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baddi" sheetId="1" r:id="rId4"/>
    <sheet state="visible" name="Chess" sheetId="2" r:id="rId5"/>
    <sheet state="visible" name="Kho kho" sheetId="3" r:id="rId6"/>
    <sheet state="visible" name="Musti Yuddha" sheetId="4" r:id="rId7"/>
    <sheet state="visible" name="Lagori" sheetId="5" r:id="rId8"/>
    <sheet state="visible" name="Pambaram" sheetId="6" r:id="rId9"/>
    <sheet state="visible" name="Dhop Khel" sheetId="7" r:id="rId10"/>
    <sheet state="visible" name="Kanche" sheetId="8" r:id="rId11"/>
    <sheet state="visible" name="Carrom" sheetId="9" r:id="rId12"/>
    <sheet state="visible" name="Silambam" sheetId="10" r:id="rId13"/>
    <sheet state="visible" name="Malakhamb" sheetId="11" r:id="rId14"/>
    <sheet state="visible" name="Gilli Danda" sheetId="12" r:id="rId15"/>
    <sheet state="visible" name="Thang Ta" sheetId="13" r:id="rId16"/>
    <sheet state="visible" name="Mukna" sheetId="14" r:id="rId17"/>
    <sheet state="visible" name="Kalaripayattu" sheetId="15" r:id="rId18"/>
  </sheets>
  <definedNames/>
  <calcPr/>
</workbook>
</file>

<file path=xl/sharedStrings.xml><?xml version="1.0" encoding="utf-8"?>
<sst xmlns="http://schemas.openxmlformats.org/spreadsheetml/2006/main" count="22947" uniqueCount="14478">
  <si>
    <t>Question No.</t>
  </si>
  <si>
    <t>Question</t>
  </si>
  <si>
    <t>Options</t>
  </si>
  <si>
    <t>Answer</t>
  </si>
  <si>
    <t>प्रश्न सं.</t>
  </si>
  <si>
    <t>सवाल</t>
  </si>
  <si>
    <t>विकल्प</t>
  </si>
  <si>
    <t>उत्तर</t>
  </si>
  <si>
    <t>During a Kabaddi match, if a raider enters the opponent’s half, touches an opponent, but steps outside the boundary line without being tackled, what is the outcome?</t>
  </si>
  <si>
    <t>A) Raider is out, B) Defender is out, C) Raider earns a point, D) Both teams get a point</t>
  </si>
  <si>
    <t>A) Raider is out</t>
  </si>
  <si>
    <t>In a Kabaddi match, Team A has 6 players on the mat, and Team B has 7 players. If a player from Team B goes out, what happens?</t>
  </si>
  <si>
    <t>A) Team B loses a point, B) Team A gains a point, C) Team B must revive the player, D) Team B continues with 6 players</t>
  </si>
  <si>
    <t>D) Team B continues with 6 players</t>
  </si>
  <si>
    <t>If a raider successfully touches two defenders and returns to their half without being tackled, how many points does the raider’s team score?</t>
  </si>
  <si>
    <t>A) 1 point, B) 2 points, C) 3 points, D) No points</t>
  </si>
  <si>
    <t>B) 2 points</t>
  </si>
  <si>
    <t>During a raid, the raider must chant ‘Kabaddi’ continuously. What happens if the raider stops chanting before crossing back to their side?</t>
  </si>
  <si>
    <t>A) Raider is declared out, B) Opponent team loses a point, C) The raid is successful, D) No action is taken</t>
  </si>
  <si>
    <t>A) Raider is declared out</t>
  </si>
  <si>
    <t>What is the maximum number of players allowed on the mat for each team at the start of a Kabaddi match?</t>
  </si>
  <si>
    <t>A) 6 players, B) 7 players, C) 8 players, D) 9 players</t>
  </si>
  <si>
    <t>B) 7 players</t>
  </si>
  <si>
    <t>If a raider touches the midline while being tackled, what is the result?</t>
  </si>
  <si>
    <t>A) The raid is considered unsuccessful, B) The raider is out, C) The raider earns a point, D) No points are awarded</t>
  </si>
  <si>
    <t>C) The raider earns a point</t>
  </si>
  <si>
    <t>Which of the following is NOT a valid defensive technique in Kabaddi?</t>
  </si>
  <si>
    <t>A) Ankle hold, B) Block, C) Chain tackle, D) Punch</t>
  </si>
  <si>
    <t>D) Punch</t>
  </si>
  <si>
    <t>In Kabaddi, if all the players on a team are declared out, what is this called?</t>
  </si>
  <si>
    <t>A) Super raid, B) Bonus, C) All-out, D) Time-out</t>
  </si>
  <si>
    <t>C) All-out</t>
  </si>
  <si>
    <t>If a team is all-out, how many points does the opposing team earn?</t>
  </si>
  <si>
    <t>A) 1 point, B) 2 points, C) 3 points, D) 5 points</t>
  </si>
  <si>
    <t>How long does a raider have to complete their raid in Kabaddi?</t>
  </si>
  <si>
    <t>A) 10 seconds, B) 20 seconds, C) 30 seconds, D) 40 seconds</t>
  </si>
  <si>
    <t>C) 30 seconds</t>
  </si>
  <si>
    <t>What is the minimum number of players required for a team to continue playing in Kabaddi?</t>
  </si>
  <si>
    <t>A) 3 players, B) 4 players, C) 5 players, D) 6 players</t>
  </si>
  <si>
    <t>B) 4 players</t>
  </si>
  <si>
    <t>In Kabaddi, what is the term used when a raider scores three or more points in a single raid?</t>
  </si>
  <si>
    <t>A) All-out, B) Bonus, C) Super tackle, D) Super raid</t>
  </si>
  <si>
    <t>D) Super raid</t>
  </si>
  <si>
    <t>Which position is responsible for preventing the raider from returning to their half in Kabaddi?</t>
  </si>
  <si>
    <t>A) Raider, B) Defender, C) Stopper, D) Catcher</t>
  </si>
  <si>
    <t>B) Defender</t>
  </si>
  <si>
    <t>If a raider successfully touches the midline during a super tackle attempt, how many points does the raider’s team earn?</t>
  </si>
  <si>
    <t>A) 1 point, B) 2 points, C) 3 points, D) 4 points</t>
  </si>
  <si>
    <t>What happens if a raider enters the opponent’s half but returns without touching anyone?</t>
  </si>
  <si>
    <t>A) Raider is declared out, B) No points are scored, C) Raider earns a point, D) The opponent earns a point</t>
  </si>
  <si>
    <t>B) No points are scored</t>
  </si>
  <si>
    <t>How many points does a team score for executing a successful bonus raid in Kabaddi?</t>
  </si>
  <si>
    <t>A) 1 point</t>
  </si>
  <si>
    <t>In a Kabaddi match, which of the following situations results in a super tackle?</t>
  </si>
  <si>
    <t>A) Two defenders tackle the raider, B) Raider is tackled by three or more defenders, C) Raider crosses the midline, D) The defender steps out of bounds</t>
  </si>
  <si>
    <t>B) Raider is tackled by three or more defenders</t>
  </si>
  <si>
    <t>What is the result if a raider steps out of the boundary line during their raid?</t>
  </si>
  <si>
    <t>A) Raid continues, B) Opponent scores a point, C) Raider is declared out, D) Both teams lose a point</t>
  </si>
  <si>
    <t>C) Raider is declared out</t>
  </si>
  <si>
    <t>Which of the following is true during a super tackle situation in Kabaddi?</t>
  </si>
  <si>
    <t>A) The raider earns 2 points, B) The defending team earns 2 points, C) Both teams earn 1 point, D) The match is paused</t>
  </si>
  <si>
    <t>B) The defending team earns 2 points</t>
  </si>
  <si>
    <t>If a raider gets tackled in the opponent’s half without scoring, how many points does the defending team earn?</t>
  </si>
  <si>
    <t>During a Kabaddi match, a raider touches an opponent but gets tackled before reaching the midline. What happens?</t>
  </si>
  <si>
    <t>A) The raider’s team gets 1 point, B) The raider is out, C) Both teams score 1 point, D) The defender is out</t>
  </si>
  <si>
    <t>B) The raider is out</t>
  </si>
  <si>
    <t>If a raider successfully touches all opponents in a single raid and returns to their half, what is this called?</t>
  </si>
  <si>
    <t>A) Super raid, B) Bonus raid, C) All-out, D) Raid on</t>
  </si>
  <si>
    <t>A) Super raid</t>
  </si>
  <si>
    <t>What is the outcome when the raider goes beyond the bonus line but does not touch any defenders and is not tackled?</t>
  </si>
  <si>
    <t>A) The raider’s team earns a point, B) The defending team earns a point, C) No points are awarded, D) Both teams get 1 point</t>
  </si>
  <si>
    <t>A) The raider’s team earns a point</t>
  </si>
  <si>
    <t>If two raiders from the same team enter the opponent's half at the same time, what is the result?</t>
  </si>
  <si>
    <t>A) Both raiders score points, B) Both raiders are declared out, C) Only one raider is allowed to continue, D) The raid is declared invalid</t>
  </si>
  <si>
    <t>B) Both raiders are declared out</t>
  </si>
  <si>
    <t>In Kabaddi, if the raider successfully crosses the bonus line and returns without being tackled, how many points does the raider's team score?</t>
  </si>
  <si>
    <t>Which of the following conditions must be met for a raider to claim a bonus point?</t>
  </si>
  <si>
    <t>A) Three defenders must be on the mat, B) Four defenders must be on the mat, C) Six defenders must be on the mat, D) Seven defenders must be on the mat</t>
  </si>
  <si>
    <t>B) Four defenders must be on the mat</t>
  </si>
  <si>
    <t>What happens if a defender steps out of the boundary line while trying to tackle a raider?</t>
  </si>
  <si>
    <t>A) Defender is declared out, B) The raider is out, C) The defender and raider continue playing, D) The raid is considered void</t>
  </si>
  <si>
    <t>A) Defender is declared out</t>
  </si>
  <si>
    <t>During a Kabaddi match, what is the outcome when all defenders on a team are declared out?</t>
  </si>
  <si>
    <t>A) The raider earns 5 points, B) The match is paused, C) The raider earns 2 points and an ‘all-out’, D) The defending team automatically wins</t>
  </si>
  <si>
    <t>C) The raider earns 2 points and an ‘all-out’</t>
  </si>
  <si>
    <t>In a situation where only one defender remains on the mat, how many points can the raider score by successfully touching the defender and returning?</t>
  </si>
  <si>
    <t>If a raider starts the raid but fails to chant 'Kabaddi' throughout, what happens?</t>
  </si>
  <si>
    <t>A) The raider is allowed to continue, B) The raider is declared out, C) The raid is considered invalid, D) The raid is paused for a review</t>
  </si>
  <si>
    <t>B) The raider is declared out</t>
  </si>
  <si>
    <t>In a Kabaddi match, what is the result if a raider touches the opponent’s captain but is tackled before returning?</t>
  </si>
  <si>
    <t>A) The raider earns double points, B) The captain is declared out, C) The raider is declared out, D) Both teams lose points</t>
  </si>
  <si>
    <t>C) The raider is declared out</t>
  </si>
  <si>
    <t>How many points does a team score for executing a successful tackle during a raid?</t>
  </si>
  <si>
    <t>During a Kabaddi match, a defender tries to tackle the raider but accidentally steps out of bounds. What is the result?</t>
  </si>
  <si>
    <t>A) The raider is declared out, B) The defender is declared out, C) The defender can continue, D) No points are awarded</t>
  </si>
  <si>
    <t>B) The defender is declared out</t>
  </si>
  <si>
    <t>What happens if a raider steps out of the opponent’s boundary line while attempting to escape a tackle?</t>
  </si>
  <si>
    <t>A) The raid continues, B) The raider earns 1 point, C) The raider is declared out, D) The raider gets a second chance</t>
  </si>
  <si>
    <t>Which of the following situations results in a ‘super raid’ in Kabaddi?</t>
  </si>
  <si>
    <t>A) The raider scores a bonus, B) The raider gets tackled by two defenders, C) The raider scores 3 or more points in a raid, D) The raider steps out of bounds</t>
  </si>
  <si>
    <t>C) The raider scores 3 or more points in a raid</t>
  </si>
  <si>
    <t>In a Kabaddi match, if a defender successfully tackles a raider without stepping out of bounds, what is the outcome?</t>
  </si>
  <si>
    <t>A) The defending team earns 1 point, B) The defending team earns 2 points, C) The raider earns 1 point, D) The raid continues</t>
  </si>
  <si>
    <t>A) The defending team earns 1 point</t>
  </si>
  <si>
    <t>What happens if a raider touches two defenders and escapes back to their side in Kabaddi?</t>
  </si>
  <si>
    <t>A) The raider scores 2 points, B) The raider is declared out, C) The defending team earns 1 point, D) The raid is void</t>
  </si>
  <si>
    <t>A) The raider scores 2 points</t>
  </si>
  <si>
    <t>During a Kabaddi raid, a defender pulls the raider’s jersey before a legal tackle. What is the result?</t>
  </si>
  <si>
    <t>A) The defender is declared out, B) The raider is out, C) The raid is considered invalid, D) The raider earns a point</t>
  </si>
  <si>
    <t>D) The raider earns a point</t>
  </si>
  <si>
    <t>What is the outcome when a raider crosses the midline but fails to chant ‘Kabaddi’ continuously?</t>
  </si>
  <si>
    <t>A) The raider scores a point, B) The raider is declared out, C) No points are scored, D) The raid is paused</t>
  </si>
  <si>
    <t>In Kabaddi, what is the result if a team has fewer than 4 players on the mat?</t>
  </si>
  <si>
    <t>A) The match continues as normal, B) The team forfeits the match, C) The team gets a player revived, D) The opposing team wins</t>
  </si>
  <si>
    <t>B) The team forfeits the match</t>
  </si>
  <si>
    <t>What is the term used when a raider successfully scores a point by crossing the opponent’s bonus line?</t>
  </si>
  <si>
    <t>A) All-out, B) Super raid, C) Bonus, D) Super tackle</t>
  </si>
  <si>
    <t>C) Bonus</t>
  </si>
  <si>
    <t>Which action in Kabaddi results in a super tackle?</t>
  </si>
  <si>
    <t>A) The raider is tackled by 2 defenders, B) The raider crosses the bonus line, C) The raider scores 3 points, D) The raider is tackled by 3 or more defenders</t>
  </si>
  <si>
    <t>D) The raider is tackled by 3 or more defenders</t>
  </si>
  <si>
    <t>What happens when a raider successfully completes a super tackle?</t>
  </si>
  <si>
    <t>A) The raider’s team earns 2 points, B) The defending team earns 2 points, C) The defending team earns 1 point, D) No points are awarded</t>
  </si>
  <si>
    <t>If a raider attempts to cross the midline after being tackled, what happens?</t>
  </si>
  <si>
    <t>A) The raider earns 1 point, B) The raider is declared out, C) The defender is out, D) No points are awarded</t>
  </si>
  <si>
    <t>In Kabaddi, if all 7 defenders are on the mat and a raider scores 3 points, what is this called?</t>
  </si>
  <si>
    <t>A) Bonus raid, B) Super tackle, C) All-out, D) Super raid</t>
  </si>
  <si>
    <t>Which of the following results in a point deduction for a team in Kabaddi?</t>
  </si>
  <si>
    <t>A) A defender steps out of bounds, B) The raider touches a defender, C) The raider scores a bonus point, D) The raider is declared out</t>
  </si>
  <si>
    <t>A) A defender steps out of bounds</t>
  </si>
  <si>
    <t>What happens if a raider is tackled but does not return to their side before the time expires?</t>
  </si>
  <si>
    <t>A) The raider scores a point, B) The raider is out, C) The raid continues, D) Both teams score 1 point</t>
  </si>
  <si>
    <t>In Kabaddi, what happens when a raider touches multiple defenders and escapes without being tackled?</t>
  </si>
  <si>
    <t>A) The raider earns 2 points, B) The defenders score 1 point, C) The raid is declared void, D) The raider earns 3 points</t>
  </si>
  <si>
    <t>D) The raider earns 3 points</t>
  </si>
  <si>
    <t>During a Kabaddi match, the raider touches a defender, but the defender claims that the touch was accidental. What is the result?</t>
  </si>
  <si>
    <t>A) The defender is declared out, B) The raider is declared out, C) The referee calls for a review, D) The raid is invalid</t>
  </si>
  <si>
    <t>A) The defender is declared out</t>
  </si>
  <si>
    <t>A raider crosses the midline but is tackled before returning to their half. What does the referee decide?</t>
  </si>
  <si>
    <t>A) The raider is out, B) The raid continues, C) The defending team earns 1 point, D) The raider's team earns 1 point</t>
  </si>
  <si>
    <t>A) The raider is out</t>
  </si>
  <si>
    <t>What happens if a raider successfully touches the bonus line but is tackled before returning to their half?</t>
  </si>
  <si>
    <t>A) The raider's team earns 1 point, B) The raider is out, C) No points are awarded, D) Both teams score 1 point</t>
  </si>
  <si>
    <t>In a situation where the raider touches two defenders and reaches the midline, but one defender claims no touch, what is the outcome?</t>
  </si>
  <si>
    <t>A) Both defenders are out, B) Only one defender is out, C) The raid is reviewed, D) No points are awarded</t>
  </si>
  <si>
    <t>A) Both defenders are out</t>
  </si>
  <si>
    <t>What happens if a defender tries to tackle the raider but steps out of bounds before the tackle?</t>
  </si>
  <si>
    <t>A) The raider is out, B) The defender is out, C) The raid continues, D) No points are awarded</t>
  </si>
  <si>
    <t>B) The defender is out</t>
  </si>
  <si>
    <t>A raider attempts to escape a tackle but steps out of the boundary line. What is the result?</t>
  </si>
  <si>
    <t>A) The raider is out, B) The defender is out, C) Both players continue, D) The raid is invalid</t>
  </si>
  <si>
    <t>During a Kabaddi match, the raider chants ‘Kabaddi’ while raiding but fails to return before the chant stops. What happens?</t>
  </si>
  <si>
    <t>A) The raider is out, B) The raid continues, C) The raider's team scores a point, D) No action is taken</t>
  </si>
  <si>
    <t>If a raider touches two defenders and both defenders step out of bounds during the raid, what is the result?</t>
  </si>
  <si>
    <t>A) Both defenders are out, B) The raider is out, C) No points are awarded, D) The raid continues</t>
  </si>
  <si>
    <t>What is the outcome when a raider successfully completes a raid but steps out of bounds afterward?</t>
  </si>
  <si>
    <t>A) The raid is void, B) The raider is out, C) The raider’s team scores 1 point, D) No points are awarded</t>
  </si>
  <si>
    <t>C) The raider’s team scores 1 point</t>
  </si>
  <si>
    <t>In Kabaddi, what happens when all defenders are tackled during a raid?</t>
  </si>
  <si>
    <t>A) The defending team is all-out, B) The raider is out, C) The raid continues, D) The raider scores 2 points</t>
  </si>
  <si>
    <t>A) The defending team is all-out</t>
  </si>
  <si>
    <t>If a raider initiates a raid but does not chant 'Kabaddi', what is the decision?</t>
  </si>
  <si>
    <t>A) The raider is out, B) The raid continues, C) The raider is given another chance, D) No points are awarded</t>
  </si>
  <si>
    <t>A raider touches the bonus line with one foot but is tackled before crossing the midline. What is the outcome?</t>
  </si>
  <si>
    <t>A) The raider earns 1 point, B) The raider is out, C) The raid is invalid, D) The raider’s team scores 2 points</t>
  </si>
  <si>
    <t>In Kabaddi, if a defender holds the raider without making a legal tackle, what is the result?</t>
  </si>
  <si>
    <t>A) The defender is out, B) The raider is out, C) The raid is paused, D) Both players continue</t>
  </si>
  <si>
    <t>A) The defender is out</t>
  </si>
  <si>
    <t>What happens if the raider claims a bonus but there are fewer than four defenders on the mat?</t>
  </si>
  <si>
    <t>A) The bonus is denied, B) The raider’s team earns 1 point, C) The raid is invalid, D) The defenders are out</t>
  </si>
  <si>
    <t>A) The bonus is denied</t>
  </si>
  <si>
    <t>In a Kabaddi match, if a raider gets tackled before touching any defenders or the bonus line, what is the result?</t>
  </si>
  <si>
    <t>A) The raider is out, B) The defending team scores a point, C) The raid continues, D) Both teams score a point</t>
  </si>
  <si>
    <t>What is the result if a raider steps on the bonus line but no points are awarded?</t>
  </si>
  <si>
    <t>A) The raider is out, B) The defenders are out, C) There are fewer than four defenders on the mat, D) The raid is invalid</t>
  </si>
  <si>
    <t>C) There are fewer than four defenders on the mat</t>
  </si>
  <si>
    <t>A defender blocks the raider without making physical contact. What is the decision?</t>
  </si>
  <si>
    <t>A) The raider is out, B) The raid continues, C) The defender is out, D) The raid is reviewed</t>
  </si>
  <si>
    <t>B) The raid continues</t>
  </si>
  <si>
    <t>In a situation where a raider makes a touch but does not cross the midline before time runs out, what happens?</t>
  </si>
  <si>
    <t>A) The raider is out, B) The raider earns 1 point, C) The raid is invalid, D) The defenders earn a point</t>
  </si>
  <si>
    <t>If a defender steps out of bounds without being touched by the raider, what is the outcome?</t>
  </si>
  <si>
    <t>A) The defender is out, B) The raider is out, C) No points are awarded, D) The raid is invalid</t>
  </si>
  <si>
    <t>What happens if a raider loses grip of the midline while attempting to return after touching a defender?</t>
  </si>
  <si>
    <t>A) The raider is out, B) The defender is out, C) The raid continues, D) The raid is void</t>
  </si>
  <si>
    <t>If the raider touches multiple defenders but does not make it back to their half, what is the decision?</t>
  </si>
  <si>
    <t>A) The raider scores no points, B) The raider is declared out, C) The defenders earn 1 point, D) The raid is reviewed</t>
  </si>
  <si>
    <t>What happens if a raider steps out of bounds while attempting to earn a bonus?</t>
  </si>
  <si>
    <t>A) The raider is out, B) The raider earns 1 point, C) The raid is paused, D) The raid continues</t>
  </si>
  <si>
    <t>In Kabaddi, if a defender tries to block the raider but steps out of the boundary line, what is the result?</t>
  </si>
  <si>
    <t>A) The raider earns a point, B) The defender is out, C) The raid is void, D) Both players continue</t>
  </si>
  <si>
    <t>A raider touches the defender and escapes to their half, but the defender claims the touch was illegal. What happens?</t>
  </si>
  <si>
    <t>A) The defender is out, B) The raider is declared out, C) The raid is reviewed, D) No points are awarded</t>
  </si>
  <si>
    <t>What happens when the raider fails to chant ‘Kabaddi’ while raiding but scores a point?</t>
  </si>
  <si>
    <t>A) The raider is declared out, B) The raid is invalid, C) The defender is out, D) The raider scores a point</t>
  </si>
  <si>
    <t>A) The raider is declared out</t>
  </si>
  <si>
    <t>In a Kabaddi match, if all defenders are out and the opposing team completes a successful raid, what happens?</t>
  </si>
  <si>
    <t>A) The defending team is all-out, B) The raid is invalid, C) The raider scores 3 points, D) No points are awarded</t>
  </si>
  <si>
    <t>A raider touches a defender but fails to escape before being tackled. What is the decision?</t>
  </si>
  <si>
    <t>A) The raider is out, B) The raider scores 1 point, C) The raid is void, D) Both teams score a point</t>
  </si>
  <si>
    <t>What is the result if a defender steps out of bounds while trying to tackle the raider?</t>
  </si>
  <si>
    <t>A) The defender is out, B) The raider is out, C) The raid continues, D) No points are awarded</t>
  </si>
  <si>
    <t>In Kabaddi, what happens when a raider tries to evade a tackle but touches the bonus line?</t>
  </si>
  <si>
    <t>A) The raider scores 1 point, B) The raider is out, C) The raid is void, D) The raid continues</t>
  </si>
  <si>
    <t>A) The raider scores 1 point</t>
  </si>
  <si>
    <t>If a raider is tackled and held down, but the defender steps out of bounds, what is the result?</t>
  </si>
  <si>
    <t>A) The defender is out, B) The raider is out, C) No points are awarded, D) The raid continues</t>
  </si>
  <si>
    <t>A defender claims the raider touched them illegally. What is the decision if no foul is detected?</t>
  </si>
  <si>
    <t>A) The defender is out, B) The raider is out, C) The raid is reviewed, D) No points are awarded</t>
  </si>
  <si>
    <t>What is the result if a raider successfully touches a defender but steps out of bounds before returning to their half?</t>
  </si>
  <si>
    <t>A) The raider is out, B) The defender is out, C) The raid is paused, D) Both players are out</t>
  </si>
  <si>
    <t>If a raider manages to touch a defender but is tackled before touching the bonus line, what is the result?</t>
  </si>
  <si>
    <t>A) The raider is out, B) The raider scores 1 point, C) The defending team scores 1 point, D) The raid is void</t>
  </si>
  <si>
    <t>During a raid, if a raider touches two defenders and then gets tackled, what happens to the defenders?</t>
  </si>
  <si>
    <t>A) Both defenders are out, B) Only one defender is out, C) The raid is invalid, D) The raider earns 2 points</t>
  </si>
  <si>
    <t>What is the result if a defender holds the raider without making a legal tackle and steps out of bounds?</t>
  </si>
  <si>
    <t>A) The defender is out, B) The raider is out, C) The raid continues, D) The raid is reviewed</t>
  </si>
  <si>
    <t>If a raider crosses the midline and successfully touches a defender, but the defender touches the raider’s foot, what happens?</t>
  </si>
  <si>
    <t>A) The defender is out, B) The raider is out, C) The raid is paused, D) Both players are declared out</t>
  </si>
  <si>
    <t>What is the outcome when a raider manages to touch a defender but the defender claims the touch was accidental?</t>
  </si>
  <si>
    <t>In Kabaddi, if the raider’s foot crosses the bonus line but the raider is tackled before returning, what is the result?</t>
  </si>
  <si>
    <t>A) The raider scores 1 point, B) The raider is out, C) The raid is invalid, D) Both teams score 1 point</t>
  </si>
  <si>
    <t>What happens if a raider successfully touches three defenders and escapes back to their half without being tackled?</t>
  </si>
  <si>
    <t>A) The raider earns 3 points, B) The defenders are all-out, C) The raid is invalid, D) The raider earns 2 points</t>
  </si>
  <si>
    <t>A) The raider earns 3 points</t>
  </si>
  <si>
    <t>During a Kabaddi match, if a raider is touched by a defender but the raider’s team argues the touch was illegal, what is the decision?</t>
  </si>
  <si>
    <t>If a defender is tackled but manages to hold the raider down and the raider is out of bounds, what is the result?</t>
  </si>
  <si>
    <t>A) The raider is out, B) The defender is out, C) The raid is invalid, D) Both teams score 1 point</t>
  </si>
  <si>
    <t>In a situation where a raider crosses the midline and is tackled before touching the bonus line, what happens?</t>
  </si>
  <si>
    <t>A) The raider is out, B) The defending team earns 1 point, C) The raider scores 1 point, D) The raid continues</t>
  </si>
  <si>
    <t>What happens if a raider is tackled by multiple defenders but manages to return to their side of the court before being held?</t>
  </si>
  <si>
    <t>A) The raider earns 2 points, B) The defending team is all-out, C) The raider is declared out, D) The raid continues</t>
  </si>
  <si>
    <t>A) The raider earns 2 points</t>
  </si>
  <si>
    <t>If a raider is declared out but the defender who tackled them steps out of bounds, what is the result?</t>
  </si>
  <si>
    <t>A) The raider is out, B) The defender is out, C) Both players are out, D) The raid is invalid</t>
  </si>
  <si>
    <t>In Kabaddi, what is the result if a raider makes a successful touch but is held down by a defender who is already out of bounds?</t>
  </si>
  <si>
    <t>A) The raider earns 1 point, B) The defender is out, C) The raider is out, D) The raid is invalid</t>
  </si>
  <si>
    <t>A) The raider earns 1 point</t>
  </si>
  <si>
    <t>What happens if a raider touches a defender and then the defender touches the raider’s foot while both players are in bounds?</t>
  </si>
  <si>
    <t>A) Both players are out, B) The raider is out, C) The defender is out, D) The raid is reviewed</t>
  </si>
  <si>
    <t>C) The defender is out</t>
  </si>
  <si>
    <t>If a raider successfully earns a bonus but is tackled before returning to their side, what is the outcome?</t>
  </si>
  <si>
    <t>A) The raider’s team earns 1 point, B) The raider is out, C) The raid is invalid, D) The defender is out</t>
  </si>
  <si>
    <t>What is the result if a raider touches a defender but is tackled by another defender before returning to their side?</t>
  </si>
  <si>
    <t>A) The raider is out, B) The defender who tackled first is out, C) Both defenders are out, D) The raider earns 1 point</t>
  </si>
  <si>
    <t>During a raid, if a defender holds the raider down while stepping out of bounds, what happens?</t>
  </si>
  <si>
    <t>If a raider touches the bonus line with one foot but does not cross the midline, what is the decision?</t>
  </si>
  <si>
    <t>A) The raider is out, B) The raider scores 1 point, C) The raid continues, D) The defender is out</t>
  </si>
  <si>
    <t>What happens if a raider touches the defender but does not successfully return to their half before the time runs out?</t>
  </si>
  <si>
    <t>A) The raider is out, B) The raider’s team scores 1 point, C) The raid is reviewed, D) The defending team scores a point</t>
  </si>
  <si>
    <t>In Kabaddi, what is the outcome if a raider is successfully tackled but manages to touch a defender just before being held down?</t>
  </si>
  <si>
    <t>A) The raider earns 1 point, B) The raider is out, C) The defender is out, D) The raid is void</t>
  </si>
  <si>
    <t>If a raider is tackled by a defender but the defender’s foot is out of bounds, what is the result?</t>
  </si>
  <si>
    <t>A) The defender is out, B) The raider is out, C) Both players are out, D) The raid continues</t>
  </si>
  <si>
    <t>What is the decision if a raider manages to touch the bonus line but is tackled by multiple defenders before returning?</t>
  </si>
  <si>
    <t>A) The raider earns 1 point, B) The raider is out, C) The defenders are out, D) The raid is void</t>
  </si>
  <si>
    <t>In a Kabaddi match, if a defender steps out of bounds during a tackle attempt, what is the outcome?</t>
  </si>
  <si>
    <t>A) The defender is out, B) The raider is out, C) The raid is reviewed, D) Both players continue</t>
  </si>
  <si>
    <t>What happens when a raider is touched by a defender but the defender steps out of bounds while the raider is still in play?</t>
  </si>
  <si>
    <t>A) The raider scores 1 point, B) The defender is out, C) The raid is void, D) The raider is out</t>
  </si>
  <si>
    <t>If a raider is declared out but the defending team is caught in a technical foul, what is the result?</t>
  </si>
  <si>
    <t>A) The raider’s team scores 1 point, B) The raider is out, C) The defending team loses 1 point, D) The match is paused</t>
  </si>
  <si>
    <t>A) The raider’s team scores 1 point</t>
  </si>
  <si>
    <t>During a raid, if a raider touches a defender’s foot and then gets tackled, what is the decision?</t>
  </si>
  <si>
    <t>A) The defender is out, B) The raider is out, C) Both players are declared out, D) The raid is void</t>
  </si>
  <si>
    <t>What is the outcome if a raider crosses the midline and is tackled by a defender who steps out of bounds?</t>
  </si>
  <si>
    <t>A) The defender is out, B) The raider is out, C) Both players are out, D) The raid is reviewed</t>
  </si>
  <si>
    <t>What happens if a raider is tackled and both players fall out of bounds at the same time?</t>
  </si>
  <si>
    <t>A) The raider is out, B) The defender is out, C) Both players are declared out, D) The raid is void</t>
  </si>
  <si>
    <t>If a raider touches the bonus line but is tackled before returning to their half, what is the result?</t>
  </si>
  <si>
    <t>A) The raider is out, B) The raider earns 1 point, C) The raid is reviewed, D) The defenders are out</t>
  </si>
  <si>
    <t>During a raid, if the raider is tackled but manages to touch three defenders before being held down, what is the result?</t>
  </si>
  <si>
    <t>What happens if a raider is successfully tackled but the defender touches the raider’s foot just before the tackle?</t>
  </si>
  <si>
    <t>A) The raider is out, B) The defender is out, C) Both players are out, D) The raid is reviewed</t>
  </si>
  <si>
    <t>If a raider is tackled and held down but the defender’s foot is out of bounds, what is the decision?</t>
  </si>
  <si>
    <t>In Kabaddi, if a raider touches a defender but is caught by another defender who is not in the play area, what is the result?</t>
  </si>
  <si>
    <t>A) The defender who touched first is out, B) The raider is out, C) Both defenders are out, D) The raid is invalid</t>
  </si>
  <si>
    <t>A) The defender who touched first is out</t>
  </si>
  <si>
    <t>What happens when a raider crosses the midline and is tackled by multiple defenders at the same time?</t>
  </si>
  <si>
    <t>A) The raider is out, B) All defenders are out, C) The raid is reviewed, D) The raider earns 1 point</t>
  </si>
  <si>
    <t>If a raider successfully touches a defender and the defender immediately steps out of bounds, what is the decision?</t>
  </si>
  <si>
    <t>A) The raider earns 1 point, B) The defender is out, C) Both players are out, D) The raid is void</t>
  </si>
  <si>
    <t>In a Kabaddi match, if a defender holds the raider’s jersey but the raider escapes, what is the result?</t>
  </si>
  <si>
    <t>A) The defender is out, B) The raider is out, C) Both players continue, D) The raid is invalid</t>
  </si>
  <si>
    <t>What is the result if a raider touches a defender but is tackled by another defender before returning to their half?</t>
  </si>
  <si>
    <t>A) The raider is out, B) The defender who tackled first is out, C) The raid is reviewed, D) The raider earns 1 point</t>
  </si>
  <si>
    <t>If a raider crosses the bonus line but is tackled before reaching their side, what happens?</t>
  </si>
  <si>
    <t>A) The raider is out, B) The raider scores 1 point, C) The raid is void, D) The defending team scores 1 point</t>
  </si>
  <si>
    <t>During a raid, if a defender is holding the raider but steps out of bounds, what is the result?</t>
  </si>
  <si>
    <t>What happens if a raider manages to touch two defenders but gets tackled by a third defender before returning?</t>
  </si>
  <si>
    <t>A) The raider is out, B) The defenders are all-out, C) The raider earns 2 points, D) The raid is void</t>
  </si>
  <si>
    <t>In Kabaddi, if a raider is tackled and the defender’s foot is out of bounds, what is the outcome?</t>
  </si>
  <si>
    <t>A) The defender is out, B) The raider is out, C) Both players are declared out, D) The raid continues</t>
  </si>
  <si>
    <t>What is the result if a raider is declared out but the defender is caught committing a foul?</t>
  </si>
  <si>
    <t>If a raider crosses the midline and is touched by a defender who steps out of bounds, what happens?</t>
  </si>
  <si>
    <t>A) The raider is out, B) The defender is out, C) Both players are out, D) The raid continues</t>
  </si>
  <si>
    <t>What happens if a raider touches the bonus line and then gets tackled before returning to their half?</t>
  </si>
  <si>
    <t>A) The raider is out, B) The raider earns 1 point, C) The raid is void, D) Both teams score 1 point</t>
  </si>
  <si>
    <t>In a situation where a raider is tackled but touches a defender’s foot, what is the result?</t>
  </si>
  <si>
    <t>A) The defender is out, B) The raider is out, C) Both players are declared out, D) The raid is reviewed</t>
  </si>
  <si>
    <t>If a defender is holding the raider down but steps out of bounds while the raider is still in play, what happens?</t>
  </si>
  <si>
    <t>What is the result if a raider touches the bonus line but is tackled before returning to their side?</t>
  </si>
  <si>
    <t>A) The raider is out, B) The raider scores 1 point, C) The raid is reviewed, D) The defending team scores a point</t>
  </si>
  <si>
    <t>During a raid, if a raider touches a defender but is held down by multiple defenders, what is the outcome?</t>
  </si>
  <si>
    <t>What happens if a raider is tackled by a defender who steps out of bounds but the raider has already crossed the midline?</t>
  </si>
  <si>
    <t>A) The raider is out, B) The defender is out, C) The raid continues, D) Both players are declared out</t>
  </si>
  <si>
    <t>In Kabaddi, if a defender holds the raider but then steps out of bounds, what is the result?</t>
  </si>
  <si>
    <t>If a raider touches the bonus line but is tackled before crossing the midline, what is the decision?</t>
  </si>
  <si>
    <t>A) The raider is out, B) The raider earns 1 point, C) The raid is reviewed, D) The defending team scores 1 point</t>
  </si>
  <si>
    <t>During a raid, if the raider touches a defender and the defender is already out of bounds, what happens?</t>
  </si>
  <si>
    <t>What is the result if a raider is touched by a defender but the defender's foot is out of bounds while the raider is still in bounds?</t>
  </si>
  <si>
    <t>In a Kabaddi match, if a defender holds the raider but steps out of bounds, what is the result?</t>
  </si>
  <si>
    <t>If a raider touches the bonus line but is tackled before returning to their side, what happens?</t>
  </si>
  <si>
    <t>What is the result if a raider touches two defenders and is tackled before returning to their half?</t>
  </si>
  <si>
    <t>A) The raider earns 2 points, B) The raider is out, C) Both defenders are out, D) The raid is void</t>
  </si>
  <si>
    <t>What happens if a raider is tackled while holding onto a defender’s jersey and both players fall out of bounds?</t>
  </si>
  <si>
    <t>If a raider touches a defender but the defender steps out of bounds while holding the raider, what is the result?</t>
  </si>
  <si>
    <t>In a situation where a raider is tackled but manages to touch the bonus line before being held down, what is the decision?</t>
  </si>
  <si>
    <t>A) The raider is out, B) The raider earns 1 point, C) The raid is invalid, D) The defender is out</t>
  </si>
  <si>
    <t>If a raider is tackled and the defender steps out of bounds while holding the raider, what is the result?</t>
  </si>
  <si>
    <t>A) The defender is out, B) The raider is out, C) Both players continue, D) The raid is void</t>
  </si>
  <si>
    <t>What happens if a raider touches a defender and is tackled by another defender who is also out of bounds?</t>
  </si>
  <si>
    <t>A) The raider is out, B) The defender who tackled first is out, C) Both defenders are out, D) The raid is reviewed</t>
  </si>
  <si>
    <t>During a raid, if the raider is touched by a defender but the defender’s foot is out of bounds, what happens?</t>
  </si>
  <si>
    <t>What is the result if a raider touches the bonus line but is tackled before reaching their half?</t>
  </si>
  <si>
    <t>A) The raider is out, B) The raider earns 1 point, C) The raid is invalid, D) The defending team scores a point</t>
  </si>
  <si>
    <t>In a Kabaddi match, if a raider touches a defender but the defender steps out of bounds while holding the raider, what is the outcome?</t>
  </si>
  <si>
    <t>What happens when a raider is tackled and the defender is holding onto the raider but steps out of bounds?</t>
  </si>
  <si>
    <t>A) The defender is out, B) The raider is out, C) Both players continue, D) The raid is reviewed</t>
  </si>
  <si>
    <t>If a raider crosses the midline and is tackled by multiple defenders at once, what is the result?</t>
  </si>
  <si>
    <t>During a raid, if a raider touches a defender and the defender immediately steps out of bounds, what happens?</t>
  </si>
  <si>
    <t>A) The raider earns 1 point, B) The defender is out, C) Both players are out, D) The raid is invalid</t>
  </si>
  <si>
    <t>What happens if a raider is successfully tackled but touches two defenders before being held down?</t>
  </si>
  <si>
    <t>In a Kabaddi match, if a raider touches the bonus line but is tackled by a defender before crossing the midline, what is the decision?</t>
  </si>
  <si>
    <t>A) The raider is out, B) The raider earns 1 point, C) The raid is reviewed, D) The defending team scores a point</t>
  </si>
  <si>
    <t>What is the outcome if a raider manages to touch three defenders and returns to their half without being tackled?</t>
  </si>
  <si>
    <t>If a raider is tackled and the defender is out of bounds while holding onto the raider, what happens?</t>
  </si>
  <si>
    <t>During a raid, if a defender steps out of bounds while holding onto the raider, what is the result?</t>
  </si>
  <si>
    <t>What happens if a raider is tackled but manages to touch the bonus line just before being held down?</t>
  </si>
  <si>
    <t>A) The raider is out, B) The raider earns 1 point, C) The raid is reviewed, D) The defender is out</t>
  </si>
  <si>
    <t>If a raider touches a defender and the defender’s foot is out of bounds while the raider is still in play, what is the result?</t>
  </si>
  <si>
    <t>During a Kabaddi match, the raider goes for a raid but stays in the opponent’s half without touching any defenders for 25 seconds. What is the result?</t>
  </si>
  <si>
    <t>A) The raider earns 1 point, B) The raider is declared out, C) The raid is invalid, D) The defending team earns 1 point</t>
  </si>
  <si>
    <t>If a defender blocks a raider's path but the raider successfully escapes without being tackled and crosses the midline, what happens?</t>
  </si>
  <si>
    <t>A) The raider is out, B) The raider earns 1 point, C) The defender is out, D) The raid continues</t>
  </si>
  <si>
    <t>B) The raider earns 1 point</t>
  </si>
  <si>
    <t>What happens if a raider accidentally steps into the lobby area without touching any defenders?</t>
  </si>
  <si>
    <t>A) The raider is out, B) The raid is invalid, C) The defending team scores a point, D) The raid continues</t>
  </si>
  <si>
    <t>During a Super Tackle, a raider is held by two defenders. What happens if the raider escapes and returns to their half?</t>
  </si>
  <si>
    <t>A) The raider earns 2 points, B) The defending team earns 1 point, C) The raid is reviewed, D) The raider is out</t>
  </si>
  <si>
    <t>In a Kabaddi match, a raider attempts to touch two defenders but only touches one before being tackled. What is the outcome?</t>
  </si>
  <si>
    <t>A) The raider earns 1 point, B) The raider earns 2 points, C) The raid is void, D) The raider is out</t>
  </si>
  <si>
    <t>If a raider touches a defender and both step out of bounds simultaneously, what happens?</t>
  </si>
  <si>
    <t>A) Both are declared out, B) The raider is declared out, C) The defender is declared out, D) The raid continues</t>
  </si>
  <si>
    <t>A) Both are declared out</t>
  </si>
  <si>
    <t>A raider touches the bonus line and simultaneously a defender catches him. What happens if the raider is tackled before returning to his half?</t>
  </si>
  <si>
    <t>A) The raider earns 1 point, B) The raider is out, C) The defender earns 1 point, D) The raid is reviewed</t>
  </si>
  <si>
    <t>What happens if a raider is successfully tackled but manages to touch three defenders before being brought down?</t>
  </si>
  <si>
    <t>A) The raider earns 3 points, B) The raider is declared out, C) All defenders are declared out, D) The raid is void</t>
  </si>
  <si>
    <t>In a situation where a raider crosses the midline but is tackled by a defender whose foot is out of bounds, what is the decision?</t>
  </si>
  <si>
    <t>A) The raider is out, B) The defender is out, C) The raid is invalid, D) The raid continues</t>
  </si>
  <si>
    <t>What is the result if the raider steps into the lobby area but does not touch any defender before returning to his half?</t>
  </si>
  <si>
    <t>A) The raid is invalid, B) The raider earns 1 point, C) The raider is out, D) The raid continues</t>
  </si>
  <si>
    <t>C) The raider is out</t>
  </si>
  <si>
    <t>During a Kabaddi raid, if the raider touches two defenders and they step out of bounds while tackling him, what happens?</t>
  </si>
  <si>
    <t>A) The raider is out, B) The defenders are out, C) Both defenders and raider are out, D) The raid is invalid</t>
  </si>
  <si>
    <t>B) The defenders are out</t>
  </si>
  <si>
    <t>If a raider attempts a hand touch on a defender but the defender's foot is outside the boundary, what is the outcome?</t>
  </si>
  <si>
    <t>During a do-or-die raid, if the raider touches the bonus line but does not attempt to touch any defenders, what happens?</t>
  </si>
  <si>
    <t>A) The raider earns 1 point, B) The raider is out, C) The raid continues, D) The raid is void</t>
  </si>
  <si>
    <t>If a raider steps into the opponent's half but fails to chant 'Kabaddi' continuously and is tackled, what is the decision?</t>
  </si>
  <si>
    <t>A) The raider is out, B) The defender is out, C) The raid is invalid, D) The raid is reviewed</t>
  </si>
  <si>
    <t>In a Super Raid, the raider touches three defenders but steps out of bounds before crossing the midline. What happens?</t>
  </si>
  <si>
    <t>A) The raider earns 3 points, B) The raider is out, C) The raid is invalid, D) The defending team earns 1 point</t>
  </si>
  <si>
    <t>If a raider is tackled after touching the bonus line but before crossing the midline, what is the outcome?</t>
  </si>
  <si>
    <t>A) The raider earns 1 point, B) The raider is out, C) The raid continues, D) The raid is reviewed</t>
  </si>
  <si>
    <t>What happens if a defender blocks the raider’s path but steps out of bounds during the tackle?</t>
  </si>
  <si>
    <t>During a Kabaddi match, a raider manages to touch four defenders in a single raid. What happens if the raider is tackled before returning?</t>
  </si>
  <si>
    <t>A) The raider earns 4 points, B) The defenders are out, C) The raider is out, D) The raid is void</t>
  </si>
  <si>
    <t>In a do-or-die raid, if a raider does not make any successful touches and is tackled, what is the result?</t>
  </si>
  <si>
    <t>A) The raider is out, B) The raid is void, C) The defending team earns 1 point, D) The raider earns 1 point</t>
  </si>
  <si>
    <t>What is the outcome if a raider manages to touch a defender who has already been declared out of the game?</t>
  </si>
  <si>
    <t>A) The raider earns 1 point, B) The defender returns to play, C) The raider is out, D) The raid is void</t>
  </si>
  <si>
    <t>D) The raid is void</t>
  </si>
  <si>
    <t>If a defender successfully tackles a raider but steps out of bounds while doing so, what is the result?</t>
  </si>
  <si>
    <t>What happens if a raider steps into the lobby before touching any defenders during a raid?</t>
  </si>
  <si>
    <t>A) The raider is out, B) The raid continues, C) The raid is void, D) The raider earns 1 point</t>
  </si>
  <si>
    <t>In a Super Tackle, if the raider touches a defender before being tackled by two others, what happens?</t>
  </si>
  <si>
    <t>A) The raider earns 1 point, B) The raider is out, C) The defenders are out, D) The raid is invalid</t>
  </si>
  <si>
    <t>During a Kabaddi raid, if the raider successfully escapes but is touched by a defender after crossing the midline, what happens?</t>
  </si>
  <si>
    <t>A) The raid is invalid, B) The raider is out, C) The raid is void, D) The raider earns 1 point</t>
  </si>
  <si>
    <t>D) The raider earns 1 point</t>
  </si>
  <si>
    <t>During a Kabaddi match, if a raider performs a raid and touches two defenders but is tackled by the third defender who is out of bounds, what happens?</t>
  </si>
  <si>
    <t>A) The raider earns 2 points, B) The raider is out, C) The defender is out, D) The raid is invalid</t>
  </si>
  <si>
    <t>What is the result if a raider touches a defender and is immediately tackled by another defender whose foot is out of bounds?</t>
  </si>
  <si>
    <t>A) The raider earns 1 point, B) The raider is out, C) The defending team earns 1 point, D) Both players are out</t>
  </si>
  <si>
    <t>If a raider successfully touches one defender and returns to their half but is tackled by a defender whose foot is over the midline, what happens?</t>
  </si>
  <si>
    <t>A) The raider earns 1 point, B) The defender is out, C) The raider is out, D) The raid is reviewed</t>
  </si>
  <si>
    <t>During a Kabaddi match, a raider is tackled after touching the bonus line but before crossing the midline. What is the decision?</t>
  </si>
  <si>
    <t>A) The raider earns 1 point, B) The raider is out, C) The raid is invalid, D) The raid continues</t>
  </si>
  <si>
    <t>If a raider performs a raid and is touched by a defender who has already been declared out of the game, what happens?</t>
  </si>
  <si>
    <t>What happens if a raider touches a defender but the defender’s foot is in the lobby area?</t>
  </si>
  <si>
    <t>A) The raider is out, B) The defender is out, C) The raid is valid, D) The raid is reviewed</t>
  </si>
  <si>
    <t>If a raider touches two defenders and is tackled by a defender who is out of bounds, what is the result?</t>
  </si>
  <si>
    <t>A) The raider earns 2 points, B) The raider is out, C) The defending team earns 1 point, D) The raid is void</t>
  </si>
  <si>
    <t>During a raid, if the raider touches one defender and is immediately tackled by a defender who is outside the playing area, what happens?</t>
  </si>
  <si>
    <t>In a Kabaddi match, if a raider is successfully tackled by a defender who stepped out of bounds before the tackle, what happens?</t>
  </si>
  <si>
    <t>What happens if a raider touches the bonus line but is not able to cross the midline and is tackled?</t>
  </si>
  <si>
    <t>A) The raider earns 1 point, B) The raider is out, C) The raid is invalid, D) The defending team earns 1 point</t>
  </si>
  <si>
    <t>If a defender is holding the raider and steps out of bounds while the raider is still in play, what is the outcome?</t>
  </si>
  <si>
    <t>A) The defender is out, B) The raider is out, C) The raid is reviewed, D) The raider earns 1 point</t>
  </si>
  <si>
    <t>During a raid, if the raider touches a defender and then steps out of bounds, what happens?</t>
  </si>
  <si>
    <t>A) The raider is out, B) The raider earns 1 point, C) The defender is out, D) The raid is void</t>
  </si>
  <si>
    <t>If a raider crosses the midline and is touched by multiple defenders but manages to return to their half without being tackled, what is the result?</t>
  </si>
  <si>
    <t>A) The raider earns points based on the number of defenders touched, B) The raider is out, C) The defenders are out, D) The raid is reviewed</t>
  </si>
  <si>
    <t>A) The raider earns points based on the number of defenders touched</t>
  </si>
  <si>
    <t>What is the outcome if a raider is tackled by a defender while the defender’s foot is still in the lobby area?</t>
  </si>
  <si>
    <t>A) The defender is out, B) The raider is out, C) The raid is valid, D) The raid is invalid</t>
  </si>
  <si>
    <t>In a do-or-die raid, if the raider fails to touch any defenders and is tackled, what is the decision?</t>
  </si>
  <si>
    <t>A) The raider is out, B) The raid is valid, C) The defending team earns 1 point, D) The raider earns 1 point</t>
  </si>
  <si>
    <t>If a raider successfully touches the bonus line but is tackled before crossing the midline, what happens?</t>
  </si>
  <si>
    <t>A) The raider earns 1 point, B) The raider is out, C) The raid is void, D) The raid continues</t>
  </si>
  <si>
    <t>What happens if a raider is held by two defenders who are both out of bounds?</t>
  </si>
  <si>
    <t>A) The raider earns 2 points, B) The raider is out, C) The defending team earns 2 points, D) The raid is reviewed</t>
  </si>
  <si>
    <t>During a Kabaddi match, if a raider touches a defender who is off the court, what is the result?</t>
  </si>
  <si>
    <t>If a raider crosses the midline and touches three defenders but is tackled by the fourth defender who is out of bounds, what is the decision?</t>
  </si>
  <si>
    <t>A) The raider earns 3 points, B) The raider is out, C) The raid is void, D) The defending team earns 1 point</t>
  </si>
  <si>
    <t>What is the outcome if a defender tackles a raider and their foot is over the midline?</t>
  </si>
  <si>
    <t>A) The defender is out, B) The raider is out, C) The raid is invalid, D) The raid continues</t>
  </si>
  <si>
    <t>If a raider is tackled after touching the bonus line but before making a successful touch, what happens?</t>
  </si>
  <si>
    <t>A) The raider is out, B) The raider earns 1 point, C) The raid is void, D) The defending team earns 1 point</t>
  </si>
  <si>
    <t>During a Kabaddi raid, if a raider successfully touches one defender and is immediately tackled by two other defenders, what is the result?</t>
  </si>
  <si>
    <t>A) The raider earns 1 point, B) The raider is out, C) The defending team earns 2 points, D) The raid is void</t>
  </si>
  <si>
    <t>If a raider is tackled after touching a defender but before returning to their half, and the defender is out of bounds, what is the decision?</t>
  </si>
  <si>
    <t>A) The raider earns 1 point, B) The raider is out, C) The defender is out, D) The raid is reviewed</t>
  </si>
  <si>
    <t>In a Kabaddi match, what is the result if a raider crosses the midline but is tackled by a defender who is off the court?</t>
  </si>
  <si>
    <t>A) The raider is out, B) The defender is out, C) The raider earns 1 point, D) The raid continues</t>
  </si>
  <si>
    <t>If a raider manages to touch two defenders but is immediately tackled by a defender whose foot is in the lobby area, what happens?</t>
  </si>
  <si>
    <t>A) The raider earns 2 points, B) The defender is out, C) The raider is out, D) The raid is invalid</t>
  </si>
  <si>
    <t>During a raid, if the raider touches the bonus line and is tackled before returning to the midline, what is the result?</t>
  </si>
  <si>
    <t>What is the outcome if a raider touches a defender but the defender’s foot is outside the playing area and the raider is tackled?</t>
  </si>
  <si>
    <t>A) The raider earns 1 point, B) The defender is out, C) The raider is out, D) The raid is void</t>
  </si>
  <si>
    <t>If a defender touches the raider’s foot while stepping out of bounds, what happens?</t>
  </si>
  <si>
    <t>A) The defender is out, B) The raider is out, C) The raid is reviewed, D) The raid continues</t>
  </si>
  <si>
    <t>In a Super Tackle situation, if the raider touches two defenders but is tackled by a third defender who is off the court, what is the result?</t>
  </si>
  <si>
    <t>A) The raider earns 2 points, B) The raider is out, C) The defender is out, D) The raid is void</t>
  </si>
  <si>
    <t>What happens if a raider crosses the midline and is touched by two defenders, but one defender’s foot is in the lobby area?</t>
  </si>
  <si>
    <t>A) The raider earns 2 points, B) The raider is out, C) The defender is out, D) The raid continues</t>
  </si>
  <si>
    <t>If a raider touches a defender and is tackled by a second defender who is not touching the ground, what is the outcome?</t>
  </si>
  <si>
    <t>A) The raider earns 1 point, B) The raider is out, C) The second defender is out, D) The raid is invalid</t>
  </si>
  <si>
    <t>During a raid, if the raider touches the bonus line and is tackled by a defender who is off the court, what is the result?</t>
  </si>
  <si>
    <t>What happens if a defender tackles the raider but their foot is out of bounds while making the tackle?</t>
  </si>
  <si>
    <t>A) The defender is out, B) The raider is out, C) The raid is void, D) The raid continues</t>
  </si>
  <si>
    <t>If a raider touches three defenders and is tackled by a defender who steps into the lobby area, what happens?</t>
  </si>
  <si>
    <t>A) The raider earns 3 points, B) The defender is out, C) The raid is void, D) The raider is out</t>
  </si>
  <si>
    <t>During a Kabaddi match, if a raider is tackled by a defender whose foot is on the line but not in bounds, what is the decision?</t>
  </si>
  <si>
    <t>If a raider touches two defenders and is tackled by a third defender who is not in the playing area, what happens?</t>
  </si>
  <si>
    <t>A) The raider earns 2 points, B) The raider is out, C) The third defender is out, D) The raid is void</t>
  </si>
  <si>
    <t>C) The third defender is out</t>
  </si>
  <si>
    <t>What happens if a raider touches the bonus line and the defending team successfully tackles the raider before the midline is crossed?</t>
  </si>
  <si>
    <t>A) The raider earns 1 point, B) The raider is out, C) The defending team earns 1 point, D) The raid is invalid</t>
  </si>
  <si>
    <t>In a Kabaddi match, if a defender is holding the raider and steps out of bounds, what happens to the defender?</t>
  </si>
  <si>
    <t>If a raider is tackled but manages to touch one defender before being brought down by another defender, what is the result?</t>
  </si>
  <si>
    <t>A) The raider earns 1 point, B) The raider is out, C) The defender who tackled first is out, D) The raid is void</t>
  </si>
  <si>
    <t>During a Kabaddi match, if a raider touches two defenders but is tackled by a defender who is stepping out of bounds, what happens?</t>
  </si>
  <si>
    <t>A) The raider earns 2 points, B) The raider is out, C) The defender is out, D) The raid is reviewed</t>
  </si>
  <si>
    <t>What happens if a raider is tackled after successfully touching the bonus line but does not cross the midline?</t>
  </si>
  <si>
    <t>If a defender’s foot is in the lobby while making a successful tackle, what is the outcome?</t>
  </si>
  <si>
    <t>A) The defender is out, B) The raider is out, C) The raid continues, D) The raid is invalid</t>
  </si>
  <si>
    <t>During a Kabaddi raid, if a raider touches one defender but the second defender is off the court, what is the result?</t>
  </si>
  <si>
    <t>A) The raider earns 1 point, B) The raider is out, C) The second defender is out, D) The raid is reviewed</t>
  </si>
  <si>
    <t>C) The second defender is out</t>
  </si>
  <si>
    <t>If a raider touches three defenders but is tackled by a defender whose foot is over the midline, what is the outcome?</t>
  </si>
  <si>
    <t>A) The raider earns 3 points, B) The defender is out, C) The raider is out, D) The raid is invalid</t>
  </si>
  <si>
    <t>In a Kabaddi match, what is the result if a raider touches a defender and is tackled by another defender who steps out of bounds during the tackle?</t>
  </si>
  <si>
    <t>A) The raider earns 1 point, B) The defender is out, C) The raider is out, D) The raid continues</t>
  </si>
  <si>
    <t>If a raider is tackled after touching the bonus line but before making any further touches, what is the result?</t>
  </si>
  <si>
    <t>A) The raider earns 1 point, B) The raider is out, C) The raid is void, D) The defending team earns 1 point</t>
  </si>
  <si>
    <t>During a Kabaddi raid, if the raider touches two defenders and is tackled by a defender whose foot is in the lobby area, what is the decision?</t>
  </si>
  <si>
    <t>What is the outcome if a raider is tackled by a defender who is off the court but manages to touch one defender before being brought down?</t>
  </si>
  <si>
    <t>If a raider crosses the midline and touches the bonus line but is tackled before touching a defender, what is the result?</t>
  </si>
  <si>
    <t>During a Kabaddi match, if a defender holds the raider and steps out of bounds while holding, what is the outcome?</t>
  </si>
  <si>
    <t>If a raider touches a defender and is tackled by a second defender whose foot is not on the ground, what happens?</t>
  </si>
  <si>
    <t>A) The raider earns 1 point, B) The raider is out, C) The second defender is out, D) The raid is void</t>
  </si>
  <si>
    <t>What happens if a raider performs a successful touch and is tackled by a defender whose foot is in the lobby area?</t>
  </si>
  <si>
    <t>In a Kabaddi match, if a raider is tackled by a defender who is outside the playing area but the raider touched one defender, what is the decision?</t>
  </si>
  <si>
    <t>If a raider is tackled after touching the bonus line but does not cross the midline, what happens?</t>
  </si>
  <si>
    <t>What is the outcome if a defender is tackled by a raider while stepping out of bounds during a raid?</t>
  </si>
  <si>
    <t>If a raider touches two defenders and is tackled by a third defender who steps into the lobby area, what happens?</t>
  </si>
  <si>
    <t>During a Kabaddi match, if a raider touches a defender and is immediately tackled by another defender whose foot is on the line, what is the decision?</t>
  </si>
  <si>
    <t>What is the result if a raider crosses the midline and touches the bonus line but is tackled by a defender who is off the court?</t>
  </si>
  <si>
    <t>A) The raider earns 1 point, B) The raider is out, C) The defender is out, D) The raid is invalid</t>
  </si>
  <si>
    <t>If a defender tackles a raider while their foot is over the midline but still in bounds, what is the outcome?</t>
  </si>
  <si>
    <t>During a Kabaddi match, if a raider touches one defender but is tackled by a defender whose foot is in the lobby area, what is the decision?</t>
  </si>
  <si>
    <t>What happens if a raider is tackled by a defender who is stepping out of bounds while the raider is still in bounds?</t>
  </si>
  <si>
    <t>During a Kabaddi match, if a raider touches the bonus line and is immediately tackled by a defender whose foot is on the midline, what is the result?</t>
  </si>
  <si>
    <t>A) The raider earns 1 point, B) The defender is out</t>
  </si>
  <si>
    <t>If a raider manages to touch three defenders and is tackled by a fourth defender who is out of bounds, what happens?</t>
  </si>
  <si>
    <t>A) The raider earns 3 points, B) The raider is out, C) The fourth defender is out, D) The raid is reviewed</t>
  </si>
  <si>
    <t>A) The raider earns 3 points, C) The fourth defender is out</t>
  </si>
  <si>
    <t>What happens if a raider touches two defenders and is tackled by a defender whose foot is in the lobby area and the raider is out?</t>
  </si>
  <si>
    <t>B) The defender is out, C) The raider is out</t>
  </si>
  <si>
    <t>During a raid, if a raider crosses the midline and touches one defender but is tackled by a second defender who is on the line, what is the result?</t>
  </si>
  <si>
    <t>A) The raider earns 1 point, B) The second defender is out, C) The raider is out, D) The raid is reviewed</t>
  </si>
  <si>
    <t>A) The raider earns 1 point, B) The second defender is out</t>
  </si>
  <si>
    <t>If a raider touches a defender and is tackled by another defender who is off the court but the raider is not out, what happens?</t>
  </si>
  <si>
    <t>A) The raider earns 1 point, B) The first defender is out, C) The second defender is out, D) The raid continues</t>
  </si>
  <si>
    <t>A) The raider earns 1 point, B) The first defender is out</t>
  </si>
  <si>
    <t>What happens if a raider touches two defenders and is tackled by a defender who is stepping out of bounds but manages to touch a third defender before being tackled?</t>
  </si>
  <si>
    <t>A) The raider earns 2 points, B) The defender who is out of bounds is out, C) The third defender is out, D) The raid is void</t>
  </si>
  <si>
    <t>A) The raider earns 2 points, B) The defender who is out of bounds is out, C) The third defender is out</t>
  </si>
  <si>
    <t>In a Kabaddi match, if a defender tackles the raider while their foot is in the lobby area and the raider has touched two defenders, what is the result?</t>
  </si>
  <si>
    <t>If a raider touches one defender and is tackled by another defender who is in the lobby area, what is the outcome?</t>
  </si>
  <si>
    <t>A) The raider earns 1 point, B) The second defender is out, C) The raider is out, D) The raid continues</t>
  </si>
  <si>
    <t>B) The second defender is out, C) The raider is out</t>
  </si>
  <si>
    <t>During a Kabaddi raid, if a raider is tackled by a defender whose foot is over the midline but still in bounds, what happens?</t>
  </si>
  <si>
    <t>What is the result if a raider crosses the midline and touches the bonus line but is tackled by a defender who is stepping out of bounds?</t>
  </si>
  <si>
    <t>A) The raider earns 1 point, C) The defender is out</t>
  </si>
  <si>
    <t>If a defender tackles a raider while their foot is out of bounds but the raider touches one defender, what is the decision?</t>
  </si>
  <si>
    <t>During a Kabaddi match, if a raider is tackled after successfully touching two defenders but the second defender is stepping out of bounds, what is the result?</t>
  </si>
  <si>
    <t>A) The raider earns 2 points, B) The second defender is out, C) The first defender is out, D) The raid is invalid</t>
  </si>
  <si>
    <t>A) The raider earns 2 points, B) The second defender is out</t>
  </si>
  <si>
    <t>What happens if a raider touches the bonus line and is tackled by a defender whose foot is on the midline?</t>
  </si>
  <si>
    <t>A) The raider earns 1 point, B) The raider is out, C) The defender is out, D) The raid continues</t>
  </si>
  <si>
    <t>If a defender is holding the raider and steps out of bounds, what is the outcome?</t>
  </si>
  <si>
    <t>During a Kabaddi match, if a raider touches two defenders and is tackled by a third defender who is on the line but not in bounds, what is the result?</t>
  </si>
  <si>
    <t>A) The raider earns 2 points, B) The third defender is out, C) The raider is out, D) The raid is invalid</t>
  </si>
  <si>
    <t>B) The third defender is out, C) The raider is out</t>
  </si>
  <si>
    <t>What is the result if a raider touches one defender and is immediately tackled by another defender whose foot is out of bounds?</t>
  </si>
  <si>
    <t>If a raider touches three defenders and is tackled by a fourth defender whose foot is in the lobby area, what is the decision?</t>
  </si>
  <si>
    <t>A) The raider earns 3 points, B) The fourth defender is out, C) The raider is out, D) The raid is reviewed</t>
  </si>
  <si>
    <t>A) The raider earns 3 points, B) The fourth defender is out</t>
  </si>
  <si>
    <t>During a Kabaddi raid, if a raider touches the bonus line but is tackled by a defender who is out of bounds, what happens?</t>
  </si>
  <si>
    <t>If a defender tackles the raider while stepping out of bounds and the raider has touched one defender, what is the result?</t>
  </si>
  <si>
    <t>What happens if a raider is tackled by a defender whose foot is over the midline but not in bounds while the raider has touched two defenders?</t>
  </si>
  <si>
    <t>A) The raider earns 2 points, B) The defender is out, C) The raider is out, D) The raid continues</t>
  </si>
  <si>
    <t>A) The raider earns 2 points, B) The defender is out</t>
  </si>
  <si>
    <t>If a raider is tackled after touching the bonus line but does not cross the midline and the defender is stepping out of bounds, what is the result?</t>
  </si>
  <si>
    <t>During a raid, if a raider touches two defenders and is tackled by a third defender whose foot is on the line, what is the result?</t>
  </si>
  <si>
    <t>A) The raider earns 2 points, B) The third defender is out, C) The raider is out, D) The raid is void</t>
  </si>
  <si>
    <t>What happens if a raider performs a successful touch and is tackled by a defender who is stepping into the lobby area?</t>
  </si>
  <si>
    <t>If a raider crosses the midline and touches the bonus line but is tackled by a defender who is out of bounds, what is the result?</t>
  </si>
  <si>
    <t>During a Kabaddi match, if a raider touches one defender and is tackled by a defender whose foot is in the lobby area, what is the result?</t>
  </si>
  <si>
    <t>If a raider is tackled by a defender who is outside the playing area and the raider has touched two defenders, what happens?</t>
  </si>
  <si>
    <t>What happens if a raider touches the bonus line but is tackled by a defender who is on the midline but not in bounds?</t>
  </si>
  <si>
    <t>If a raider performs a successful touch and is tackled by a defender whose foot is in the lobby area, what is the result?</t>
  </si>
  <si>
    <t>During a Kabaddi raid, if a raider is tackled by a defender who is stepping out of bounds but has touched three defenders, what happens?</t>
  </si>
  <si>
    <t>A) The raider earns 3 points, B) The defender is out, C) The raider is out, D) The raid continues</t>
  </si>
  <si>
    <t>A) The raider earns 3 points, B) The defender is out</t>
  </si>
  <si>
    <t>What happens if a raider touches two defenders and is tackled by a third defender who is out of bounds but the raider is not out?</t>
  </si>
  <si>
    <t>A) The raider earns 2 points, B) The third defender is out, C) The raider is out, D) The raid is reviewed</t>
  </si>
  <si>
    <t>A) The raider earns 2 points, B) The third defender is out</t>
  </si>
  <si>
    <t>If a raider touches one defender and is tackled by a defender whose foot is on the line but in bounds, what is the result?</t>
  </si>
  <si>
    <t>During a Kabaddi match, if a defender tackles a raider whose foot is on the midline but in bounds, what is the outcome?</t>
  </si>
  <si>
    <t>What happens if a raider touches the bonus line and is immediately tackled by a defender who is stepping into the lobby area?</t>
  </si>
  <si>
    <t>If a defender tackles a raider while their foot is in the lobby area and the raider has touched two defenders, what is the result?</t>
  </si>
  <si>
    <t>A) The raider earns 2 points, B) The defender is out, C) The raider is out, D) The raid is reviewed</t>
  </si>
  <si>
    <t>During a raid, if a raider touches one defender and is tackled by a defender who is in bounds but out of the playing area, what happens?</t>
  </si>
  <si>
    <t>What happens if a raider crosses the midline and touches two defenders but is tackled by a defender who is out of bounds?</t>
  </si>
  <si>
    <t>A) The raider earns 2 points, C) The defender is out</t>
  </si>
  <si>
    <t>If a raider is tackled by a defender while stepping out of bounds and the raider has touched one defender, what is the result?</t>
  </si>
  <si>
    <t>During a Kabaddi match, if a raider touches the bonus line and is tackled by a defender whose foot is in the lobby area, what is the outcome?</t>
  </si>
  <si>
    <t>What is the result if a raider performs a successful touch and is immediately tackled by a defender who is stepping out of bounds?</t>
  </si>
  <si>
    <t>If a raider is tackled after touching the bonus line but does not cross the midline and the defender is in bounds, what happens?</t>
  </si>
  <si>
    <t>During a Kabaddi raid, if a raider touches two defenders and is tackled by a third defender who is out of bounds, what is the result?</t>
  </si>
  <si>
    <t>What happens if a raider is tackled by a defender whose foot is on the midline and the raider has touched one defender?</t>
  </si>
  <si>
    <t>During a Kabaddi match, if a raider touches two defenders and is tackled by a defender whose foot is on the midline but not in bounds, what is the result?</t>
  </si>
  <si>
    <t>A) The raider earns 2 points, B) The second defender is out, C) The defender on the midline is out, D) The raider is out</t>
  </si>
  <si>
    <t>B) The second defender is out, C) The defender on the midline is out</t>
  </si>
  <si>
    <t>If a raider successfully touches one defender and is tackled by a defender whose foot is in the lobby area, what happens?</t>
  </si>
  <si>
    <t>What happens if a raider touches the bonus line and is tackled by a defender who is stepping out of bounds but is still in play?</t>
  </si>
  <si>
    <t>If a raider touches three defenders and is tackled by a defender who is on the line but not in bounds, what is the result?</t>
  </si>
  <si>
    <t>A) The raider earns 3 points, B) The third defender is out, C) The raider is out, D) The raid continues</t>
  </si>
  <si>
    <t>During a Kabaddi raid, if a raider touches the bonus line and is tackled by a defender who is stepping into the lobby area, what happens?</t>
  </si>
  <si>
    <t>What happens if a raider is tackled by a defender whose foot is on the midline while the raider has touched two defenders?</t>
  </si>
  <si>
    <t>A) The raider earns 2 points, B) The defender on the midline is out, C) The second defender is out, D) The raider is out</t>
  </si>
  <si>
    <t>B) The defender on the midline is out, C) The second defender is out</t>
  </si>
  <si>
    <t>If a defender tackles a raider whose foot is out of bounds and the raider has touched one defender, what is the result?</t>
  </si>
  <si>
    <t>During a Kabaddi match, if a raider touches two defenders and is tackled by a defender who is out of bounds but still in play, what is the result?</t>
  </si>
  <si>
    <t>A) The raider earns 2 points, B) The second defender is out, C) The defender out of bounds is out, D) The raid is reviewed</t>
  </si>
  <si>
    <t>What happens if a raider is tackled by a defender who is in the lobby area and the raider has touched the bonus line?</t>
  </si>
  <si>
    <t>If a raider is tackled after touching three defenders and the fourth defender is on the line but not in bounds, what is the result?</t>
  </si>
  <si>
    <t>A) The raider earns 3 points, B) The fourth defender is out, C) The raider is out, D) The raid is void</t>
  </si>
  <si>
    <t>B) The fourth defender is out, C) The raider is out</t>
  </si>
  <si>
    <t>During a raid, if a raider touches the bonus line but is tackled by a defender who is stepping into the lobby area, what happens?</t>
  </si>
  <si>
    <t>If a defender tackles a raider while the defender’s foot is on the midline and the raider has touched one defender, what happens?</t>
  </si>
  <si>
    <t>What happens if a raider performs a successful touch and is immediately tackled by a defender whose foot is in the lobby area?</t>
  </si>
  <si>
    <t>During a Kabaddi match, if a raider is tackled by a defender who is out of bounds and has touched the bonus line, what is the result?</t>
  </si>
  <si>
    <t>What happens if a raider is tackled by a defender who is on the line and the raider has touched two defenders?</t>
  </si>
  <si>
    <t>A) The raider earns 2 points, B) The second defender is out, C) The raider is out, D) The raid continues</t>
  </si>
  <si>
    <t>If a defender tackles a raider who is stepping out of bounds and the raider has touched one defender, what happens?</t>
  </si>
  <si>
    <t>During a Kabaddi raid, if a raider touches the bonus line and is tackled by a defender whose foot is in the lobby area, what is the outcome?</t>
  </si>
  <si>
    <t>What happens if a raider touches two defenders and is tackled by a defender who is stepping into the lobby area but not completely in bounds?</t>
  </si>
  <si>
    <t>If a defender tackles a raider whose foot is on the midline and the raider has touched three defenders, what is the result?</t>
  </si>
  <si>
    <t>A) The raider earns 3 points, B) The defender on the midline is out, C) The raider is out, D) The raid is invalid</t>
  </si>
  <si>
    <t>B) The defender on the midline is out, C) The raider is out</t>
  </si>
  <si>
    <t>During a raid, if a raider is tackled by a defender who is out of bounds and the raider has touched the bonus line, what happens?</t>
  </si>
  <si>
    <t>In a professional Kabaddi match, if a raider successfully tags an opponent and returns to their half without being tagged, what happens?</t>
  </si>
  <si>
    <t>A) The raider scores 2 points, B) The raider scores 1 point, C) The raider is out, D) The opponent team scores 2 points</t>
  </si>
  <si>
    <t>B) The raider scores 1 point</t>
  </si>
  <si>
    <t>During a Kabaddi match, how many players from each team are on the field at any given time?</t>
  </si>
  <si>
    <t>A) 5, B) 7, C) 6, D) 8</t>
  </si>
  <si>
    <t>B) 7</t>
  </si>
  <si>
    <t>If a Kabaddi player holds their breath and chants 'Kabaddi' while raiding, what is this technique called?</t>
  </si>
  <si>
    <t>A) Bonus Raid, B) Super Raid, C) Do-or-Die Raid, D) Chants</t>
  </si>
  <si>
    <t>D) Chants</t>
  </si>
  <si>
    <t>In Kabaddi, what is the maximum number of points a team can score in one raid?</t>
  </si>
  <si>
    <t>A) 1, B) 2, C) 3, D) 4</t>
  </si>
  <si>
    <t>B) 2</t>
  </si>
  <si>
    <t>What happens if a raider is caught in the opponent’s half of the field and fails to return within the stipulated time?</t>
  </si>
  <si>
    <t>A) The raider scores 2 points for the team, B) The raider is declared out, C) The opponent team gets 1 point, D) The game continues with no penalty</t>
  </si>
  <si>
    <t>During a Kabaddi match, if a player is out of bounds, what is the consequence?</t>
  </si>
  <si>
    <t>A) The player is awarded 1 point, B) The player is considered out, C) The player is penalized 2 points, D) The game is paused</t>
  </si>
  <si>
    <t>B) The player is considered out</t>
  </si>
  <si>
    <t>In Kabaddi, what is the term used for the act of a defender touching a raider to prevent them from returning to their half?</t>
  </si>
  <si>
    <t>A) Tackle, B) Touch, C) Raid, D) Catch</t>
  </si>
  <si>
    <t>A) Tackle</t>
  </si>
  <si>
    <t>What is the penalty for a team if they delay the game during a Kabaddi match?</t>
  </si>
  <si>
    <t>A) The opponent team gets 1 point, B) The team is given a warning, C) The match is stopped, D) The team loses 2 points</t>
  </si>
  <si>
    <t>A) The opponent team gets 1 point</t>
  </si>
  <si>
    <t>How long is each half in a standard Kabaddi match?</t>
  </si>
  <si>
    <t>A) 10 minutes, B) 15 minutes, C) 20 minutes, D) 25 minutes</t>
  </si>
  <si>
    <t>C) 20 minutes</t>
  </si>
  <si>
    <t>In Kabaddi, what is the term used when a raider successfully tags an opponent and returns to their half without being tagged?</t>
  </si>
  <si>
    <t>A) Successful Raid, B) Bonus Raid, C) Super Raid, D) Touchdown</t>
  </si>
  <si>
    <t>A) Successful Raid</t>
  </si>
  <si>
    <t>What does the term 'Do-or-Die Raid' signify in Kabaddi?</t>
  </si>
  <si>
    <t>A) A raid where the raider must score or get out, B) A raid where the raider gets extra points, C) A raid that extends the match, D) A raid that leads to a penalty</t>
  </si>
  <si>
    <t>A) A raid where the raider must score or get out</t>
  </si>
  <si>
    <t>Which position is responsible for raiding and scoring points in a Kabaddi team?</t>
  </si>
  <si>
    <t>A) Raider, B) Defender, C) Goalkeeper, D) Midfielder</t>
  </si>
  <si>
    <t>A) Raider</t>
  </si>
  <si>
    <t>During a Kabaddi match, what is the minimum number of players a team must have on the field to start the game?</t>
  </si>
  <si>
    <t>A) 5, B) 6, C) 7, D) 8</t>
  </si>
  <si>
    <t>C) 7</t>
  </si>
  <si>
    <t>In Kabaddi, if a raider is declared out, which team gets the point?</t>
  </si>
  <si>
    <t>A) The raiding team, B) The defending team, C) Both teams, D) No one</t>
  </si>
  <si>
    <t>B) The defending team</t>
  </si>
  <si>
    <t>What is the duration of a Kabaddi match if it includes two halves?</t>
  </si>
  <si>
    <t>A) 30 minutes, B) 40 minutes, C) 50 minutes, D) 60 minutes</t>
  </si>
  <si>
    <t>B) 40 minutes</t>
  </si>
  <si>
    <t>In Kabaddi, what is it called when a raider successfully touches a defender and returns to their half?</t>
  </si>
  <si>
    <t>A) Bonus, B) Touch Point, C) Raid Point, D) Super Point</t>
  </si>
  <si>
    <t>C) Raid Point</t>
  </si>
  <si>
    <t>If a Kabaddi raider crosses the midline and does not touch an opponent, what happens?</t>
  </si>
  <si>
    <t>A) The raider scores 1 point, B) The raider is out, C) The opposing team gets 2 points, D) The game is paused</t>
  </si>
  <si>
    <t>Which team gets a point if a Kabaddi player is caught while attempting a raid and is unable to return?</t>
  </si>
  <si>
    <t>A) The raiding team, B) The defending team, C) Both teams, D) No points are awarded</t>
  </si>
  <si>
    <t>In Kabaddi, what action is taken if a team commits a technical foul?</t>
  </si>
  <si>
    <t>A) The opponent team is awarded 1 point, B) The team is given a penalty of 2 points, C) The match is stopped, D) The team is warned</t>
  </si>
  <si>
    <t>A) The opponent team is awarded 1 point</t>
  </si>
  <si>
    <t>Which of the following is a strategy used by defenders in Kabaddi to prevent a raider from scoring?</t>
  </si>
  <si>
    <t>A) Tackle, B) Raid, C) Catch, D) Throw</t>
  </si>
  <si>
    <t>How many points are awarded to a Kabaddi team if the raider successfully tags an opponent and returns without being tagged?</t>
  </si>
  <si>
    <t>In a Kabaddi match, what happens if a player is injured and cannot continue?</t>
  </si>
  <si>
    <t>A) The player is substituted, B) The match is paused, C) The player is awarded 1 point, D) The opposing team gets 2 points</t>
  </si>
  <si>
    <t>A) The player is substituted</t>
  </si>
  <si>
    <t>What is the term used for the moment when a Kabaddi raider fails to score or is caught in the opponent’s half?</t>
  </si>
  <si>
    <t>A) Failed Raid, B) Out, C) Turnover, D) Penalty</t>
  </si>
  <si>
    <t>B) Out</t>
  </si>
  <si>
    <t>In Kabaddi, what is the purpose of the 'Bonus Line'?</t>
  </si>
  <si>
    <t>A) To award extra points, B) To indicate the end of the field, C) To mark the area for bonus points, D) To define the start of the game</t>
  </si>
  <si>
    <t>C) To mark the area for bonus points</t>
  </si>
  <si>
    <t>During a Kabaddi match, what happens if the defending team commits a foul?</t>
  </si>
  <si>
    <t>A) The raiding team gets a point, B) The defending team is penalized, C) The match is stopped, D) The defending team is substituted</t>
  </si>
  <si>
    <t>A) The raiding team gets a point</t>
  </si>
  <si>
    <t>What is the name of the Kabaddi technique where the raider chants 'Kabaddi' continuously while raiding?</t>
  </si>
  <si>
    <t>A) Continuous Raid, B) Chant Raid, C) Breath Raid, D) Time Raid</t>
  </si>
  <si>
    <t>C) Breath Raid</t>
  </si>
  <si>
    <t>In Kabaddi, what does the term 'Super Tackle' refer to?</t>
  </si>
  <si>
    <t>A) A successful tackle by all defenders, B) A tackle that scores extra points, C) A tackle executed by a single defender, D) A tackle that results in a penalty</t>
  </si>
  <si>
    <t>A) A successful tackle by all defenders</t>
  </si>
  <si>
    <t>In a Kabaddi match, if a raider touches an opponent and returns to their half while holding their breath, what is the result?</t>
  </si>
  <si>
    <t>A) The raider is awarded 2 points, B) The raider is awarded 1 point, C) The opponent team scores 1 point, D) The raider is out</t>
  </si>
  <si>
    <t>B) The raider is awarded 1 point</t>
  </si>
  <si>
    <t>What happens if a Kabaddi raider is caught by the defenders but manages to tag one of them before being tackled?</t>
  </si>
  <si>
    <t>A) The raider is awarded 2 points, B) The raider is awarded 1 point, C) The raider is out, D) The defending team gets 1 point</t>
  </si>
  <si>
    <t>In a Kabaddi match, if a raider commits a foul during their raid, what is the penalty for their team?</t>
  </si>
  <si>
    <t>A) The team loses 1 point, B) The team is given a warning, C) The opponent team gets 1 point, D) The match is paused</t>
  </si>
  <si>
    <t>C) The opponent team gets 1 point</t>
  </si>
  <si>
    <t>During a Kabaddi match, what is the maximum number of points a team can score from a single raid if they touch 3 defenders?</t>
  </si>
  <si>
    <t>If a Kabaddi raider successfully tags an opponent and the raider is immediately tackled, what happens?</t>
  </si>
  <si>
    <t>A) The raider scores 1 point, B) The raider scores 2 points, C) The raider is out, D) The defending team scores 1 point</t>
  </si>
  <si>
    <t>What does 'Raid Time' refer to in Kabaddi?</t>
  </si>
  <si>
    <t>A) The time taken for a raid, B) The time a raider has to return, C) The total time of the match, D) The time for a timeout</t>
  </si>
  <si>
    <t>B) The time a raider has to return</t>
  </si>
  <si>
    <t>In Kabaddi, what is the term used for a raid where the raider is unable to touch any defender and is tackled?</t>
  </si>
  <si>
    <t>A) Failed Raid, B) Bonus Raid, C) Super Raid, D) Dead Raid</t>
  </si>
  <si>
    <t>A) Failed Raid</t>
  </si>
  <si>
    <t>What is the significance of the 'Bonus Line' in Kabaddi?</t>
  </si>
  <si>
    <t>A) It marks the area for bonus points, B) It is the line where the match starts, C) It is the line for player substitutions, D) It marks the end of the field</t>
  </si>
  <si>
    <t>A) It marks the area for bonus points</t>
  </si>
  <si>
    <t>How many timeouts are allowed per team during a Kabaddi match?</t>
  </si>
  <si>
    <t>If a Kabaddi raider is tackled and the referee signals a 'Red Card', what does it mean?</t>
  </si>
  <si>
    <t>A) The raider is penalized, B) The raider is out of the match, C) The raider is awarded 1 point, D) The raider gets a warning</t>
  </si>
  <si>
    <t>B) The raider is out of the match</t>
  </si>
  <si>
    <t>During a Kabaddi match, what is the result if the raider's foot crosses the midline but does not touch any defender?</t>
  </si>
  <si>
    <t>A) The raider scores 2 points, B) The raider scores 1 point, C) The raider is out, D) The defending team gets 1 point</t>
  </si>
  <si>
    <t>In Kabaddi, what is the term for a successful defensive move where all defenders collaborate to tackle the raider?</t>
  </si>
  <si>
    <t>A) Super Tackle, B) Mega Tackle, C) Team Tackle, D) All-out</t>
  </si>
  <si>
    <t>A) Super Tackle</t>
  </si>
  <si>
    <t>What does the 'Do-or-Die Raid' mean in a Kabaddi match?</t>
  </si>
  <si>
    <t>A) A raid where the raider must score or be out, B) A raid that extends the match duration, C) A raid that awards bonus points, D) A raid that leads to a penalty</t>
  </si>
  <si>
    <t>A) A raid where the raider must score or be out</t>
  </si>
  <si>
    <t>What action should a Kabaddi raider take if they are about to be tackled by multiple defenders?</t>
  </si>
  <si>
    <t>A) Attempt a Super Raid, B) Attempt a Bonus Raid, C) Return to their half, D) Pause and restart</t>
  </si>
  <si>
    <t>C) Return to their half</t>
  </si>
  <si>
    <t>If a Kabaddi team scores an 'All-Out', what does it signify?</t>
  </si>
  <si>
    <t>A) All defenders of the opposing team are out, B) All raiders are out, C) The match is over, D) The team gets 5 points</t>
  </si>
  <si>
    <t>A) All defenders of the opposing team are out</t>
  </si>
  <si>
    <t>During a Kabaddi match, what is the result if the raider is out of bounds but touches a defender?</t>
  </si>
  <si>
    <t>A) The raider scores 1 point, B) The raider is out, C) The defending team gets 2 points, D) The game is paused</t>
  </si>
  <si>
    <t>In Kabaddi, what is the maximum duration a raider can hold their breath while chanting 'Kabaddi' during a raid?</t>
  </si>
  <si>
    <t>A) 10 seconds, B) 15 seconds, C) 20 seconds, D) 30 seconds</t>
  </si>
  <si>
    <t>B) 15 seconds</t>
  </si>
  <si>
    <t>What happens if a Kabaddi raider crosses the bonus line and is tackled before touching any defender?</t>
  </si>
  <si>
    <t>A) The raider is out, B) The raider scores 2 points, C) The defending team gets 1 point, D) The raider is awarded a bonus point</t>
  </si>
  <si>
    <t>In Kabaddi, which action leads to a team being penalized with a point deduction for excessive delay?</t>
  </si>
  <si>
    <t>A) Delay in substitutions, B) Delay in the start of the match, C) Delay in restarting after a timeout, D) Delay in raiding</t>
  </si>
  <si>
    <t>D) Delay in raiding</t>
  </si>
  <si>
    <t>During a Kabaddi match, if the raider is successfully tackled and no points are scored, what happens next?</t>
  </si>
  <si>
    <t>A) The defending team gets 1 point, B) The raiding team gets 1 point, C) The game continues with no change in points, D) The match is paused</t>
  </si>
  <si>
    <t>A) The defending team gets 1 point</t>
  </si>
  <si>
    <t>If a Kabaddi player is substituted during a match, how many times can a team make substitutions?</t>
  </si>
  <si>
    <t>A) Unlimited, B) 2, C) 3, D) 4</t>
  </si>
  <si>
    <t>A) Unlimited</t>
  </si>
  <si>
    <t>In Kabaddi, what does the term 'Raid Line' signify?</t>
  </si>
  <si>
    <t>A) The line where the raider starts their raid, B) The line marking the end of the field, C) The line where the defenders stand, D) The line for player substitutions</t>
  </si>
  <si>
    <t>A) The line where the raider starts their raid</t>
  </si>
  <si>
    <t>What is the penalty if a Kabaddi raider touches an opponent and then crosses the midline before returning?</t>
  </si>
  <si>
    <t>A) The raider is awarded 1 point, B) The raider is out, C) The defending team scores 1 point, D) The match is stopped</t>
  </si>
  <si>
    <t>In Kabaddi, if a team commits a technical foul, how many points does the opposing team receive?</t>
  </si>
  <si>
    <t>What is the role of a defender in Kabaddi?</t>
  </si>
  <si>
    <t>A) To score points by raiding, B) To prevent the raider from scoring, C) To replace the raider, D) To coach the team</t>
  </si>
  <si>
    <t>B) To prevent the raider from scoring</t>
  </si>
  <si>
    <t>During a Kabaddi match, if the raider successfully tags two opponents and returns, what is the total score for that raid?</t>
  </si>
  <si>
    <t>If a Kabaddi player is out of the field due to injury, what is the protocol for their team?</t>
  </si>
  <si>
    <t>A) The team must play with one less player, B) The team is allowed to substitute the player, C) The team gets a penalty, D) The match is paused</t>
  </si>
  <si>
    <t>B) The team is allowed to substitute the player</t>
  </si>
  <si>
    <t>In Kabaddi, what is the term for a situation where all the defenders are out and the raiding team scores an additional point?</t>
  </si>
  <si>
    <t>A) Super Tackle, B) All-Out, C) Bonus, D) Do-or-Die</t>
  </si>
  <si>
    <t>B) All-Out</t>
  </si>
  <si>
    <t>What is the significance of the 'Substitution Line' in Kabaddi?</t>
  </si>
  <si>
    <t>A) It is the line where player substitutions are made, B) It is the line where the raider starts, C) It marks the end of the field, D) It is used for bonus point determination</t>
  </si>
  <si>
    <t>A) It is the line where player substitutions are made</t>
  </si>
  <si>
    <t>In Kabaddi, how is a point awarded to the defending team if the raider fails to touch any opponent and is tackled?</t>
  </si>
  <si>
    <t>What is the maximum number of players a Kabaddi team can have on the bench during a match?</t>
  </si>
  <si>
    <t>A) 5, B) 7, C) 10, D) 12</t>
  </si>
  <si>
    <t>D) 12</t>
  </si>
  <si>
    <t>During a Kabaddi match, what happens if the raider crosses the bonus line but does not manage to tag a defender?</t>
  </si>
  <si>
    <t>A) The raider scores 2 points, B) The raider is out, C) The defending team gets 1 point, D) The raiding team gets 1 point</t>
  </si>
  <si>
    <t>If a Kabaddi raider is tackled while crossing the bonus line and the referee signals a 'Green Card', what does it indicate?</t>
  </si>
  <si>
    <t>A) The raider is out, B) The raider is penalized, C) The raider is warned, D) The raider is awarded 1 point</t>
  </si>
  <si>
    <t>C) The raider is warned</t>
  </si>
  <si>
    <t>In a Kabaddi match, if a defender commits a foul by holding or pushing a raider, what is the consequence?</t>
  </si>
  <si>
    <t>A) The raider gets a point, B) The defender is out, C) The raiding team gets a penalty, D) The game is paused</t>
  </si>
  <si>
    <t>A) The raider gets a point</t>
  </si>
  <si>
    <t>What is the purpose of the 'Raid Timer' in Kabaddi?</t>
  </si>
  <si>
    <t>A) To track the duration of each raid, B) To count the total match time, C) To manage player substitutions, D) To monitor the score</t>
  </si>
  <si>
    <t>A) To track the duration of each raid</t>
  </si>
  <si>
    <t>What happens if a Kabaddi raider steps out of bounds while raiding?</t>
  </si>
  <si>
    <t>A) The raider is awarded 1 point, B) The raider is out, C) The defending team gets 2 points, D) The game is paused</t>
  </si>
  <si>
    <t>In Kabaddi, what action does a raider take if they are caught by the defenders but manage to tag one before being tackled?</t>
  </si>
  <si>
    <t>A) The raider is out, B) The raider scores 1 point, C) The raider scores 2 points, D) The defending team gets 1 point</t>
  </si>
  <si>
    <t>If a Kabaddi team scores an 'All-Out', what is the impact on the game?</t>
  </si>
  <si>
    <t>A) The game continues as usual, B) The team gets additional points, C) The match is declared over, D) The opposing team is penalized</t>
  </si>
  <si>
    <t>B) The team gets additional points</t>
  </si>
  <si>
    <t>What is the term for the area of the field where a Kabaddi raider must cross to score a point?</t>
  </si>
  <si>
    <t>A) Bonus Area, B) Raid Line, C) Tackle Zone, D) Touch Line</t>
  </si>
  <si>
    <t>B) Raid Line</t>
  </si>
  <si>
    <t>In a Kabaddi match, what happens if a defender holds a raider's hand and does not allow them to return to their half?</t>
  </si>
  <si>
    <t>A) The raider is awarded 1 point, B) The raider is out, C) The defending team gets 1 point, D) The raiding team gets a penalty</t>
  </si>
  <si>
    <t>What is the maximum number of points a raider can score from a single raid by tagging all the defenders and returning?</t>
  </si>
  <si>
    <t>During a Kabaddi match, how many points are awarded if the raider successfully crosses the bonus line and returns to their half?</t>
  </si>
  <si>
    <t>What does the 'Green Card' signify in Kabaddi?</t>
  </si>
  <si>
    <t>A) Warning to the player, B) Penalty to the player, C) Point awarded to the raider, D) Substitution of the player</t>
  </si>
  <si>
    <t>A) Warning to the player</t>
  </si>
  <si>
    <t>If a Kabaddi player is out due to a foul, which team benefits from this action?</t>
  </si>
  <si>
    <t>A) The raiding team, B) The defending team, C) Both teams, D) Neither team</t>
  </si>
  <si>
    <t>What is the consequence if a Kabaddi raider fails to return to their half before the 'Raid Time' expires?</t>
  </si>
  <si>
    <t>A) The raider is awarded 1 point, B) The raider is out, C) The defending team gets 2 points, D) The game continues</t>
  </si>
  <si>
    <t>In Kabaddi, what is the purpose of the 'Timeout'?</t>
  </si>
  <si>
    <t>A) To allow teams to rest and strategize, B) To change players, C) To pause the match, D) To score additional points</t>
  </si>
  <si>
    <t>A) To allow teams to rest and strategize</t>
  </si>
  <si>
    <t>If a Kabaddi raider is tackled and the defending team fails to touch them, what happens?</t>
  </si>
  <si>
    <t>A) The raider scores 1 point, B) The raider scores 2 points, C) The defending team gets 1 point, D) The game is paused</t>
  </si>
  <si>
    <t>B) The raider scores 2 points</t>
  </si>
  <si>
    <t>What does the term 'Bonus Point' refer to in Kabaddi?</t>
  </si>
  <si>
    <t>A) A point awarded for crossing the bonus line, B) A point for tagging all defenders, C) A point for successfully raiding, D) A point for successful tackling</t>
  </si>
  <si>
    <t>A) A point awarded for crossing the bonus line</t>
  </si>
  <si>
    <t>In a Kabaddi match, if a team is repeatedly delaying the game, what action can the referee take?</t>
  </si>
  <si>
    <t>A) Award a penalty point to the opposing team, B) Stop the match, C) Subtract points from the team, D) Award a timeout</t>
  </si>
  <si>
    <t>A) Award a penalty point to the opposing team</t>
  </si>
  <si>
    <t>What happens if a Kabaddi raider is out of bounds and the referee signals a 'Yellow Card'?</t>
  </si>
  <si>
    <t>A) The raider is penalized, B) The raider is awarded 1 point, C) The raider is out of the match, D) The raider is warned</t>
  </si>
  <si>
    <t>D) The raider is warned</t>
  </si>
  <si>
    <t>In a Kabaddi match, how long does each team have to complete their raid?</t>
  </si>
  <si>
    <t>If a Kabaddi player is found to be offside during a raid, what is the consequence?</t>
  </si>
  <si>
    <t>A) The player is out, B) The team gets a penalty, C) The opposing team gets a point, D) The match is paused</t>
  </si>
  <si>
    <t>C) The opposing team gets a point</t>
  </si>
  <si>
    <t>During a Kabaddi match, what is the result if the raider's hand crosses the midline and they are tackled immediately?</t>
  </si>
  <si>
    <t>A) The raider scores 1 point, B) The raider is out, C) The defending team gets 1 point, D) The game is paused</t>
  </si>
  <si>
    <t>What does the term 'Do-or-Die Raid' mean in the context of Kabaddi?</t>
  </si>
  <si>
    <t>A) A raid where the raider must score or be out, B) A raid where the team must score to avoid elimination, C) A raid where the raider gets bonus points, D) A raid with extended duration</t>
  </si>
  <si>
    <t>If a Kabaddi raider is tackled by a defender who is also holding onto another defender, what is the result?</t>
  </si>
  <si>
    <t>A) The raider scores 1 point, B) The raider is out, C) The defending team gets 2 points, D) The match is paused</t>
  </si>
  <si>
    <t>What is the role of the 'Centre Line' in a Kabaddi match?</t>
  </si>
  <si>
    <t>A) It divides the two halves of the field, B) It marks the end of the field, C) It is where substitutions are made, D) It indicates the bonus area</t>
  </si>
  <si>
    <t>A) It divides the two halves of the field</t>
  </si>
  <si>
    <t>In a Kabaddi match, how is a point awarded for a successful 'Super Tackle'?</t>
  </si>
  <si>
    <t>A) The raider is out of the match, B) The raider is awarded 1 point, C) The raider is given a warning, D) The match is paused</t>
  </si>
  <si>
    <t>A) The raider is out of the match</t>
  </si>
  <si>
    <t>In Kabaddi, what happens if the raider fails to cross the midline before the raid timer expires?</t>
  </si>
  <si>
    <t>What is the purpose of the 'Timeout' in Kabaddi?</t>
  </si>
  <si>
    <t>A) To allow teams to strategize and rest, B) To penalize teams, C) To change players, D) To extend the match duration</t>
  </si>
  <si>
    <t>A) To allow teams to strategize and rest</t>
  </si>
  <si>
    <t>In a Kabaddi match, if a raider is tackled and the defending team fails to touch them, what is the result?</t>
  </si>
  <si>
    <t>What is the purpose of the 'Bonus Line' in Kabaddi?</t>
  </si>
  <si>
    <t>A) To award points for crossing it, B) To mark the end of the field, C) To indicate the center of the field, D) To start the raid</t>
  </si>
  <si>
    <t>A) To award points for crossing it</t>
  </si>
  <si>
    <t>During a Kabaddi match, if a defender holds a raider and the raider manages to tag another defender, what happens?</t>
  </si>
  <si>
    <t>A) The raider is awarded 2 points, B) The raider is out, C) The defending team gets 1 point, D) The game is paused</t>
  </si>
  <si>
    <t>A) The raider is awarded 2 points</t>
  </si>
  <si>
    <t>In Kabaddi, what is the consequence if a raider crosses the midline and is immediately tackled by the defenders?</t>
  </si>
  <si>
    <t>What happens if a Kabaddi raider is out of bounds and touches a defender before being tackled?</t>
  </si>
  <si>
    <t>During a Kabaddi match, if the raider is tackled by a defender who is also holding onto another defender, what is the result?</t>
  </si>
  <si>
    <t>A) The raider is awarded 1 point, B) The raider is out, C) The defending team gets 2 points, D) The match is paused</t>
  </si>
  <si>
    <t>In Kabaddi, what does a 'Yellow Card' signify?</t>
  </si>
  <si>
    <t>What is the consequence if a Kabaddi raider crosses the bonus line and is immediately tackled by the defenders?</t>
  </si>
  <si>
    <t>If a Kabaddi raider successfully tags a defender but is caught before returning to their half, what happens?</t>
  </si>
  <si>
    <t>A) The raider is awarded 1 point, B) The raider is awarded 2 points, C) The raider is out, D) The defending team gets 1 point</t>
  </si>
  <si>
    <t>A) The raider is awarded 1 point</t>
  </si>
  <si>
    <t>In a Kabaddi match, what is the result if the raider successfully touches a defender and is tackled before crossing the midline?</t>
  </si>
  <si>
    <t>During a Kabaddi match, what happens if a raider crosses the bonus line but fails to tag any defender?</t>
  </si>
  <si>
    <t>If a Kabaddi raider is tackled while attempting to tag a defender who is not holding onto another defender, what happens?</t>
  </si>
  <si>
    <t>A) The raider scores 1 point, B) The raider is out, C) The defending team gets 2 points, D) The raiding team gets a penalty</t>
  </si>
  <si>
    <t>What is the effect on the game if a Kabaddi raider is tackled but manages to cross the bonus line?</t>
  </si>
  <si>
    <t>A) The raider scores 1 point, B) The raider is out, C) The defending team gets 1 point, D) The raiding team gets 2 points</t>
  </si>
  <si>
    <t>In Kabaddi, if a player is out due to a foul, how many players from the team are allowed to continue playing?</t>
  </si>
  <si>
    <t>A) 6, B) 7, C) 8, D) 9</t>
  </si>
  <si>
    <t>A) 6</t>
  </si>
  <si>
    <t>If a Kabaddi raider is successful in tagging all defenders and returning to their half, how many points does their team receive?</t>
  </si>
  <si>
    <t>What does the term 'Super Tackle' refer to in Kabaddi?</t>
  </si>
  <si>
    <t>A) When all defenders tackle a raider at once, B) When a raider successfully tags all defenders, C) When the raider crosses the bonus line, D) When the raiding team scores the most points in a single raid</t>
  </si>
  <si>
    <t>A) When all defenders tackle a raider at once</t>
  </si>
  <si>
    <t>In Kabaddi, what happens if a defender is found to be obstructing a raider with their hands?</t>
  </si>
  <si>
    <t>A) The raider is awarded 1 point, B) The defender is out, C) The raiding team gets a penalty, D) The game is paused</t>
  </si>
  <si>
    <t>What is the term used when the entire opposing team is out in a Kabaddi match?</t>
  </si>
  <si>
    <t>A) All-Out, B) Super Raid, C) Total Tackle, D) Bonus</t>
  </si>
  <si>
    <t>A) All-Out</t>
  </si>
  <si>
    <t>During a Kabaddi match, if a raider's foot crosses the midline but they are immediately tackled, what is the outcome?</t>
  </si>
  <si>
    <t>A) The raider scores 1 point, B) The raider is out, C) The defending team gets 1 point, D) The raiding team gets a penalty</t>
  </si>
  <si>
    <t>In Kabaddi, what is the result if a raider successfully touches a defender and then crosses the bonus line without being tackled?</t>
  </si>
  <si>
    <t>A) The raider scores 1 point, B) The raider scores 2 points, C) The raider is out, D) The defending team gets 1 point</t>
  </si>
  <si>
    <t>If a Kabaddi raider is tagged by a defender who is not in possession of the ball, what is the result?</t>
  </si>
  <si>
    <t>What happens if a Kabaddi raider successfully tags three defenders and crosses the midline without being tackled?</t>
  </si>
  <si>
    <t>A) The raider scores 1 point, B) The raider scores 2 points, C) The raider scores 3 points, D) The raider scores 4 points</t>
  </si>
  <si>
    <t>What is the effect of a 'Red Card' in Kabaddi?</t>
  </si>
  <si>
    <t>A) The player is suspended for the rest of the match, B) The player is warned, C) The player is fined, D) The player is substituted</t>
  </si>
  <si>
    <t>A) The player is suspended for the rest of the match</t>
  </si>
  <si>
    <t>In Kabaddi, what happens if a raider crosses the bonus line but is tackled by more than one defender before returning to their half?</t>
  </si>
  <si>
    <t>What is the role of the 'Raid Line' in a Kabaddi match?</t>
  </si>
  <si>
    <t>A) To indicate where raiding begins, B) To mark the end of the field, C) To determine the bonus area, D) To start the match</t>
  </si>
  <si>
    <t>A) To indicate where raiding begins</t>
  </si>
  <si>
    <t>In a Kabaddi match, if the raider successfully tags one defender and returns to their half without being tackled, what is the score for that raid?</t>
  </si>
  <si>
    <t>What does a 'Green Card' signify in Kabaddi?</t>
  </si>
  <si>
    <t>If a Kabaddi raider is tackled while attempting to cross the bonus line and fails, what is the outcome?</t>
  </si>
  <si>
    <t>In Kabaddi, how many points are awarded if the raider successfully crosses the bonus line and tags one defender?</t>
  </si>
  <si>
    <t>What is the result if a Kabaddi raider crosses the midline and is immediately tackled by a defender holding another defender?</t>
  </si>
  <si>
    <t>A) The raider is out, B) The raider scores 1 point, C) The defending team gets 1 point, D) The game is paused</t>
  </si>
  <si>
    <t>What happens if a Kabaddi raider is successfully tackled but had tagged two defenders before the tackle?</t>
  </si>
  <si>
    <t>A) The raider is out, B) The raider scores 1 point, C) The raider scores 2 points, D) The defending team gets 2 points</t>
  </si>
  <si>
    <t>In Kabaddi, if a player holds a raider while another defender tags the raider, what is the result?</t>
  </si>
  <si>
    <t>What is the term used when a raider is out due to crossing the midline and being tackled by the defenders?</t>
  </si>
  <si>
    <t>A) Do-or-Die Raid, B) Super Tackle, C) Bonus Point, D) All-Out</t>
  </si>
  <si>
    <t>A) Do-or-Die Raid</t>
  </si>
  <si>
    <t>During a Kabaddi match, if the raider crosses the midline but fails to tag a defender before being tackled, what is the outcome?</t>
  </si>
  <si>
    <t>In a Kabaddi match, if a raider successfully tags a defender but is immediately tackled, how many points are awarded?</t>
  </si>
  <si>
    <t>What is the effect of a 'Blue Card' in Kabaddi?</t>
  </si>
  <si>
    <t>A) Penalty to the player, B) Warning to the player, C) Point awarded to the raider, D) Substitution of the player</t>
  </si>
  <si>
    <t>A) Penalty to the player</t>
  </si>
  <si>
    <t>What happens if a Kabaddi raider is tackled but manages to touch a defender before being caught?</t>
  </si>
  <si>
    <t>A) The raider is out, B) The raider scores 1 point, C) The raider scores 2 points, D) The game is paused</t>
  </si>
  <si>
    <t>In Kabaddi, if the defending team successfully tackles a raider, what is the typical outcome?</t>
  </si>
  <si>
    <t>A) The raider scores 1 point, B) The defending team gets 1 point, C) The raiding team gets a penalty, D) The game is paused</t>
  </si>
  <si>
    <t>B) The defending team gets 1 point</t>
  </si>
  <si>
    <t>During a Kabaddi match, if the raider fails to cross the midline and is tackled, what happens?</t>
  </si>
  <si>
    <t>A) The raider is awarded 1 point, B) The raider is out, C) The defending team gets 1 point, D) The game continues</t>
  </si>
  <si>
    <t>What is the purpose of the 'Bonus Line' in a Kabaddi match?</t>
  </si>
  <si>
    <t>A) To indicate where bonus points can be scored, B) To mark the end of the field, C) To determine the center of the field, D) To start the match</t>
  </si>
  <si>
    <t>A) To indicate where bonus points can be scored</t>
  </si>
  <si>
    <t>What is the effect of a successful 'Super Raid' in Kabaddi?</t>
  </si>
  <si>
    <t>A) The raider scores 2 points, B) The raiding team gets 3 points, C) The raider scores 5 points, D) The defending team gets 2 points</t>
  </si>
  <si>
    <t>C) The raider scores 5 points</t>
  </si>
  <si>
    <t>In Kabaddi, if a raider is tackled before crossing the bonus line, what is the result?</t>
  </si>
  <si>
    <t>If a Kabaddi player is penalized for illegal conduct, how is the penalty usually served?</t>
  </si>
  <si>
    <t>A) The player is suspended for a few minutes, B) The player is fined, C) The player is substituted, D) The team loses 1 point</t>
  </si>
  <si>
    <t>A) The player is suspended for a few minutes</t>
  </si>
  <si>
    <t>During a Kabaddi match, what is the consequence if the raider fails to return to their half before the raid timer expires?</t>
  </si>
  <si>
    <t>What is the role of the 'Referee' in a Kabaddi match?</t>
  </si>
  <si>
    <t>A) To enforce rules and ensure fair play, B) To coach the teams, C) To award extra points, D) To set the match duration</t>
  </si>
  <si>
    <t>A) To enforce rules and ensure fair play</t>
  </si>
  <si>
    <t>What happens if a Kabaddi raider successfully tags all defenders but is tackled before returning to their half?</t>
  </si>
  <si>
    <t>A) The raider scores 1 point, B) The raider scores 2 points, C) The raider is out, D) The defending team gets 2 points</t>
  </si>
  <si>
    <t>In Kabaddi, what is the significance of the 'Midline'?</t>
  </si>
  <si>
    <t>A) It divides the field into two halves, B) It marks the bonus line, C) It indicates the end of the field, D) It is where the match starts</t>
  </si>
  <si>
    <t>A) It divides the field into two halves</t>
  </si>
  <si>
    <t>During a Kabaddi match, if a player commits a foul, what is the standard consequence?</t>
  </si>
  <si>
    <t>A) The player is penalized, B) The player is substituted, C) The player is fined, D) The player is suspended</t>
  </si>
  <si>
    <t>A) The player is penalized</t>
  </si>
  <si>
    <t>What is the outcome if a Kabaddi raider is tagged by a defender who is not in the field of play?</t>
  </si>
  <si>
    <t>If a Kabaddi raider crosses the bonus line but is tackled immediately, what is the result?</t>
  </si>
  <si>
    <t>During a Kabaddi match, if the raider is caught by multiple defenders and none of them are holding each other, what happens?</t>
  </si>
  <si>
    <t>What is the effect of a 'Timeout' in Kabaddi?</t>
  </si>
  <si>
    <t>A) Allows teams to strategize and rest, B) Extends the match duration, C) Penalizes a team, D) Changes the game rules</t>
  </si>
  <si>
    <t>A) Allows teams to strategize and rest</t>
  </si>
  <si>
    <t>In Kabaddi, what is the term for when all players of a team are out and the match resumes with a fresh start?</t>
  </si>
  <si>
    <t>A) All-Out, B) Super Tackle, C) Bonus Line, D) Do-or-Die Raid</t>
  </si>
  <si>
    <t>A) The raider is awarded 1 point, B) The raider is out, C) The defending team gets 1 point, D) The game is paused</t>
  </si>
  <si>
    <t>During a Kabaddi match, if a raider is caught by the defending team while attempting to tag a defender, what is the outcome?</t>
  </si>
  <si>
    <t>What is the consequence if a Kabaddi raider crosses the midline and is immediately tackled by multiple defenders?</t>
  </si>
  <si>
    <t>A) The raider scores 1 point, B) The raider is out, C) The raider scores 2 points, D) The defending team gets 2 points</t>
  </si>
  <si>
    <t>In Kabaddi, what does a 'Yellow Card' represent?</t>
  </si>
  <si>
    <t>What happens if a Kabaddi raider successfully tags a defender but fails to return to their half before the raid timer expires?</t>
  </si>
  <si>
    <t>If a Kabaddi raider successfully tags a defender and crosses the bonus line but is tackled, how many points does the raider score?</t>
  </si>
  <si>
    <t>During a Kabaddi match, if a raider is tackled while attempting a raid but the defenders fail to hold onto the raider, what is the outcome?</t>
  </si>
  <si>
    <t>What is the purpose of the 'Centre Line' in a Kabaddi match?</t>
  </si>
  <si>
    <t>If a Kabaddi raider is tagged while trying to cross the midline and all defenders are holding onto each other, what happens?</t>
  </si>
  <si>
    <t>What happens if a Kabaddi raider successfully crosses the midline and tags all defenders, but is tackled before returning?</t>
  </si>
  <si>
    <t>A) The raider scores 1 point, B) The raider scores 2 points, C) The raider scores 3 points, D) The raiding team gets a penalty</t>
  </si>
  <si>
    <t>In Kabaddi, what is the term for a raid where the raider has to score points or be out to continue?</t>
  </si>
  <si>
    <t>A) Do-or-Die Raid, B) Super Raid, C) Bonus Point, D) All-Out</t>
  </si>
  <si>
    <t>What is the role of the 'Coach' during a Kabaddi match?</t>
  </si>
  <si>
    <t>A) To strategize and guide the team, B) To referee the match, C) To award points, D) To enforce the rules</t>
  </si>
  <si>
    <t>A) To strategize and guide the team</t>
  </si>
  <si>
    <t>During a Kabaddi match, if a player commits an offense that is not severe, what is the likely consequence?</t>
  </si>
  <si>
    <t>A) The player is given a warning, B) The player is penalized, C) The player is substituted, D) The team loses 1 point</t>
  </si>
  <si>
    <t>A) The player is given a warning</t>
  </si>
  <si>
    <t>What is the impact of a 'Team Timeout' in a Kabaddi match?</t>
  </si>
  <si>
    <t>A) Allows teams to discuss strategy and rest, B) Changes the game rules, C) Extends the match duration, D) Penalizes a team</t>
  </si>
  <si>
    <t>A) Allows teams to discuss strategy and rest</t>
  </si>
  <si>
    <t>In Kabaddi, if a raider is tackled before touching the bonus line and fails to return to their half, what happens?</t>
  </si>
  <si>
    <t>What is the result if a Kabaddi raider successfully crosses the bonus line and tags all defenders, then returns to their half without being tackled?</t>
  </si>
  <si>
    <t>A) The raider scores 2 points, B) The raider scores 3 points, C) The raider scores 4 points, D) The raiding team gets 1 point</t>
  </si>
  <si>
    <t>If a Kabaddi player is injured during the match, what is the standard procedure?</t>
  </si>
  <si>
    <t>A) The player is substituted, B) The game is stopped, C) The player is given medical attention, D) The team gets a penalty</t>
  </si>
  <si>
    <t>C) The player is given medical attention</t>
  </si>
  <si>
    <t>What is the term for the area that a Kabaddi raider must cross to earn additional points?</t>
  </si>
  <si>
    <t>A) Bonus Line, B) Raid Line, C) Midline, D) End Line</t>
  </si>
  <si>
    <t>A) Bonus Line</t>
  </si>
  <si>
    <t>During a Kabaddi match, if a raider is tackled but manages to touch two defenders before the tackle, what is the result?</t>
  </si>
  <si>
    <t>What happens if a Kabaddi raider fails to tag any defender but crosses the bonus line and returns?</t>
  </si>
  <si>
    <t>What does a 'Technical Timeout' in Kabaddi indicate?</t>
  </si>
  <si>
    <t>A) A break for technical issues, B) A break for medical reasons, C) A break for team strategy, D) A break for rule violations</t>
  </si>
  <si>
    <t>A) A break for technical issues</t>
  </si>
  <si>
    <t>If a Kabaddi raider is tagged while attempting to cross the midline but is held by multiple defenders, what is the result?</t>
  </si>
  <si>
    <t>A) The raider is out, B) The raider scores 1 point, C) The raiding team gets a penalty, D) The defending team gets 2 points</t>
  </si>
  <si>
    <t>In Kabaddi, if the raider successfully crosses the bonus line but is tackled, what is the outcome for the raider's team?</t>
  </si>
  <si>
    <t>A) The raider scores 1 point, B) The raider scores 2 points, C) The defending team gets 1 point, D) The raiding team gets a penalty</t>
  </si>
  <si>
    <t>During a Kabaddi match, if a player uses unfair tactics to prevent a raider from scoring, what is the likely penalty?</t>
  </si>
  <si>
    <t>A) The player is given a yellow card, B) The player is substituted, C) The player is fined, D) The team loses 2 points</t>
  </si>
  <si>
    <t>A) The player is given a yellow card</t>
  </si>
  <si>
    <t>In a Kabaddi match, what happens if the defending team commits a foul that leads to the raider being awarded points?</t>
  </si>
  <si>
    <t>A) The raiding team gets 1 point, B) The defending team gets a penalty, C) The raiding team gets 2 points, D) The game is paused</t>
  </si>
  <si>
    <t>B) The defending team gets a penalty</t>
  </si>
  <si>
    <t>In a Kabaddi match, if a raider crosses the midline but is touched by a defender who was out of bounds, what is the outcome?</t>
  </si>
  <si>
    <t>A) The raider is out, B) The raider scores 1 point, C) The defender is penalized, D) The raiding team gets a point</t>
  </si>
  <si>
    <t>During a Kabaddi raid, if the raider tags three defenders but is tackled by a fourth defender before returning to their half, what happens?</t>
  </si>
  <si>
    <t>A) The raider scores 3 points, B) The raider scores 1 point, C) The raider is out, D) The defending team gets 3 points</t>
  </si>
  <si>
    <t>If a Kabaddi raider successfully tags a defender and then immediately touches the bonus line but is tackled before returning, how many points are awarded?</t>
  </si>
  <si>
    <t>In a Kabaddi match, if the defending team commits a foul during a raid, what is the usual consequence?</t>
  </si>
  <si>
    <t>What is the result if a Kabaddi raider is tackled while attempting to cross the bonus line and the raider has touched one defender?</t>
  </si>
  <si>
    <t>During a Kabaddi match, if a player uses excessive force during a tackle, what is the likely penalty?</t>
  </si>
  <si>
    <t>A) The player is given a red card, B) The player is substituted, C) The player is fined, D) The defending team loses 1 point</t>
  </si>
  <si>
    <t>A) The player is given a red card</t>
  </si>
  <si>
    <t>If a Kabaddi raider successfully tags two defenders but is caught by the third defender, what is the outcome?</t>
  </si>
  <si>
    <t>A) The raider scores 1 point, B) The raider scores 2 points, C) The raider is out, D) The game is paused</t>
  </si>
  <si>
    <t>In a Kabaddi match, what happens if a raider touches the bonus line but does not tag any defenders?</t>
  </si>
  <si>
    <t>What is the impact of a 'Red Card' in Kabaddi?</t>
  </si>
  <si>
    <t>A) The player is sent off the field, B) The player is given a warning, C) The player is fined, D) The team is penalized with 1 point</t>
  </si>
  <si>
    <t>A) The player is sent off the field</t>
  </si>
  <si>
    <t>During a Kabaddi raid, if a raider is tagged by a defender but then successfully tags another defender before being tackled, how many points are awarded?</t>
  </si>
  <si>
    <t>In Kabaddi, what is the role of the 'Umpire' during a match?</t>
  </si>
  <si>
    <t>A) To assist the referee in decision-making, B) To coach the teams, C) To award points, D) To enforce the rules</t>
  </si>
  <si>
    <t>A) To assist the referee in decision-making</t>
  </si>
  <si>
    <t>If a Kabaddi raider is tackled while holding onto a defender, what is the result?</t>
  </si>
  <si>
    <t>During a Kabaddi match, if a raider is tackled and a defender is found to be offside, what is the outcome?</t>
  </si>
  <si>
    <t>A) The raider is awarded 1 point, B) The raider is out, C) The defending team gets a penalty, D) The game is paused</t>
  </si>
  <si>
    <t>What does a 'Green Card' signify in a Kabaddi match?</t>
  </si>
  <si>
    <t>A) Warning to the team, B) Penalty to the player, C) Award to the raider, D) Substitution of the player</t>
  </si>
  <si>
    <t>A) Warning to the team</t>
  </si>
  <si>
    <t>In a Kabaddi match, if a raider tags two defenders but is caught by the third defender and the raider's team has already used their 'Super Tackle', what happens?</t>
  </si>
  <si>
    <t>A) The raider scores 2 points, B) The raider is out, C) The defending team gets 2 points, D) The game is paused</t>
  </si>
  <si>
    <t>What is the consequence of a 'Do-or-Die Raid' in Kabaddi?</t>
  </si>
  <si>
    <t>A) The raider must score or be out, B) The raider scores double points, C) The raider gets extra time, D) The game is paused</t>
  </si>
  <si>
    <t>A) The raider must score or be out</t>
  </si>
  <si>
    <t>If a Kabaddi raider successfully tags a defender but is immediately tackled, what happens to the raider's team?</t>
  </si>
  <si>
    <t>A) The raider's team scores 1 point, B) The raider's team gets a penalty, C) The raider's team loses 1 point, D) The game is paused</t>
  </si>
  <si>
    <t>A) The raider's team scores 1 point</t>
  </si>
  <si>
    <t>During a Kabaddi match, if the defending team successfully tackles a raider who was attempting a 'Super Raid', what is the outcome?</t>
  </si>
  <si>
    <t>A) The raiding team loses 5 points, B) The defending team gets 5 points, C) The raider is out, D) The game is paused</t>
  </si>
  <si>
    <t>What is the role of the 'Line Umpire' in a Kabaddi match?</t>
  </si>
  <si>
    <t>A) To monitor line violations, B) To score the match, C) To enforce penalties, D) To assist the referee</t>
  </si>
  <si>
    <t>A) To monitor line violations</t>
  </si>
  <si>
    <t>If a Kabaddi player commits a serious foul, how is the game typically affected?</t>
  </si>
  <si>
    <t>A) The player is suspended, B) The game is stopped, C) The team loses points, D) The game continues without interruption</t>
  </si>
  <si>
    <t>A) The player is suspended</t>
  </si>
  <si>
    <t>What happens if a Kabaddi raider is tackled but the defender is holding onto the raider and another defender?</t>
  </si>
  <si>
    <t>During a Kabaddi match, if a player commits a minor infraction, what is the usual consequence?</t>
  </si>
  <si>
    <t>A) The player receives a warning, B) The player is penalized, C) The player is substituted, D) The game is paused</t>
  </si>
  <si>
    <t>A) The player receives a warning</t>
  </si>
  <si>
    <t>If a Kabaddi raider successfully tags all defenders and crosses the bonus line but is tackled before returning to their half, what happens?</t>
  </si>
  <si>
    <t>A) The raider scores 3 points, B) The raider scores 2 points, C) The raider scores 1 point, D) The raiding team gets a penalty</t>
  </si>
  <si>
    <t>What is the significance of the 'Raid Line' in Kabaddi?</t>
  </si>
  <si>
    <t>A) It indicates the area a raider must cross to score, B) It marks the end of the field, C) It divides the field into two halves, D) It is where the match starts</t>
  </si>
  <si>
    <t>A) It indicates the area a raider must cross to score</t>
  </si>
  <si>
    <t>If a Kabaddi raider is tagged by a defender but manages to touch the bonus line, what is the outcome?</t>
  </si>
  <si>
    <t>During a Kabaddi raid, if a raider tags a defender who is out of bounds, what is the result?</t>
  </si>
  <si>
    <t>A) The raider scores 1 point, B) The raider is out, C) The defending team gets a penalty, D) The game is paused</t>
  </si>
  <si>
    <t>In Kabaddi, if a raider is tagged but manages to return to their half without being fully tackled, what happens?</t>
  </si>
  <si>
    <t>A) The raider scores 1 point, B) The raider is out, C) The raiding team gets a penalty, D) The game is paused</t>
  </si>
  <si>
    <t>What does a 'Super Raid' entail in Kabaddi?</t>
  </si>
  <si>
    <t>A) The raider scores double points for tagging multiple defenders, B) The raider gets an extra attempt, C) The raider has additional time, D) The game is paused</t>
  </si>
  <si>
    <t>A) The raider scores double points for tagging multiple defenders</t>
  </si>
  <si>
    <t>If a Kabaddi raider is tagged but touches the bonus line before being fully tackled, how many points does the raider score?</t>
  </si>
  <si>
    <t>During a Kabaddi match, if the raiding team is 'All-Out', what is the usual outcome?</t>
  </si>
  <si>
    <t>A) The defending team scores 2 points, B) The raiding team scores 2 points, C) The match is paused, D) The game continues without interruption</t>
  </si>
  <si>
    <t>A) The defending team scores 2 points</t>
  </si>
  <si>
    <t>A) To enforce rules and make decisions, B) To score the match, C) To coach the teams, D) To monitor player fitness</t>
  </si>
  <si>
    <t>A) To enforce rules and make decisions</t>
  </si>
  <si>
    <t>If a Kabaddi raider is tackled and the defenders are found to be offside, what is the result?</t>
  </si>
  <si>
    <t>During a Kabaddi match, if a raider manages to touch the bonus line and tag two defenders but is tackled by a third, how many points does the raider score?</t>
  </si>
  <si>
    <t>A) 2 points, B) 3 points, C) 4 points, D) 1 point</t>
  </si>
  <si>
    <t>A) 2 points</t>
  </si>
  <si>
    <t>What is the standard duration of a Kabaddi match?</t>
  </si>
  <si>
    <t>A) 40 minutes, B) 30 minutes, C) 20 minutes, D) 50 minutes</t>
  </si>
  <si>
    <t>A) 40 minutes</t>
  </si>
  <si>
    <t>If a Kabaddi raider crosses the midline and successfully tags three defenders but is tackled by the fourth, what is the result?</t>
  </si>
  <si>
    <t>A) The raider scores 3 points, B) The raider scores 2 points, C) The raider is out, D) The game is paused</t>
  </si>
  <si>
    <t>During a Kabaddi match, if the defending team fails to hold onto a raider who has tagged all defenders, what happens?</t>
  </si>
  <si>
    <t>A) The raiding team scores 4 points, B) The raider scores 2 points, C) The raiding team gets a penalty, D) The game is paused</t>
  </si>
  <si>
    <t>What is the term used when a raider successfully crosses the midline, tags defenders, and returns to their half without being tackled?</t>
  </si>
  <si>
    <t>A) Super Raid, B) Do-or-Die Raid, C) Bonus Raid, D) Successful Raid</t>
  </si>
  <si>
    <t>D) Successful Raid</t>
  </si>
  <si>
    <t>If a Kabaddi raider touches the bonus line and tags a defender but is tackled before returning, what happens?</t>
  </si>
  <si>
    <t>During a Kabaddi match, if the raiding team has no available players and the defenders successfully tackle the raider, what is the outcome?</t>
  </si>
  <si>
    <t>A) The defending team scores 2 points, B) The raiding team scores 1 point, C) The raiding team gets a penalty, D) The game is paused</t>
  </si>
  <si>
    <t>What is the term for the area where a raider must enter to score additional points in Kabaddi?</t>
  </si>
  <si>
    <t>If a Kabaddi raider successfully tags all defenders and crosses the bonus line but is tackled before returning, what happens?</t>
  </si>
  <si>
    <t>A) The raider scores 2 points, B) The raider scores 3 points, C) The raider is out, D) The game is paused</t>
  </si>
  <si>
    <t>During a Kabaddi match, if a raider is tackled while attempting a Super Raid but does not score, what happens?</t>
  </si>
  <si>
    <t>A) The raider is out, B) The raider scores 2 points, C) The raiding team gets a penalty, D) The defending team gets 2 points</t>
  </si>
  <si>
    <t>What is the role of the 'Match Commissioner' in a Kabaddi match?</t>
  </si>
  <si>
    <t>A) To oversee the match and ensure fair play, B) To coach the teams, C) To referee the match, D) To score the game</t>
  </si>
  <si>
    <t>A) To oversee the match and ensure fair play</t>
  </si>
  <si>
    <t>If a Kabaddi raider is tagged by a defender but the defender is out of bounds, what is the result?</t>
  </si>
  <si>
    <t>During a Kabaddi raid, if the raider is tackled by multiple defenders but has already tagged two defenders, how many points does the raider score?</t>
  </si>
  <si>
    <t>What is the standard number of players on each team in a Kabaddi match?</t>
  </si>
  <si>
    <t>A) 7, B) 6, C) 8, D) 5</t>
  </si>
  <si>
    <t>A) 7</t>
  </si>
  <si>
    <t>If a Kabaddi player is caught using illegal tactics, what is the usual penalty?</t>
  </si>
  <si>
    <t>A) The player is given a red card, B) The player is fined, C) The player is substituted, D) The team loses 1 point</t>
  </si>
  <si>
    <t>During a Kabaddi match, if a raider manages to tag one defender but is tackled before tagging any additional defenders, what is the result?</t>
  </si>
  <si>
    <t>In a Kabaddi match, if a defender commits a foul that leads to a raid being nullified, what is the usual consequence?</t>
  </si>
  <si>
    <t>A) The raiding team gets 1 point, B) The defending team gets 1 point, C) The game is paused, D) The raiding team gets a penalty</t>
  </si>
  <si>
    <t>A) The raiding team gets 1 point</t>
  </si>
  <si>
    <t>What is the term used when a Kabaddi raider is caught in a 'Do-or-Die Raid' but fails to score?</t>
  </si>
  <si>
    <t>A) The raider is out, B) The raider scores 2 points, C) The raiding team gets a penalty, D) The game is paused</t>
  </si>
  <si>
    <t>During a Kabaddi match, what happens if a defender is tagged but falls out of bounds?</t>
  </si>
  <si>
    <t>If a Kabaddi raider successfully crosses the midline and tags a defender but is caught by a defender who was offside, what is the outcome?</t>
  </si>
  <si>
    <t>What is the usual duration of a Kabaddi raid?</t>
  </si>
  <si>
    <t>A) 30 seconds, B) 20 seconds, C) 15 seconds, D) 10 seconds</t>
  </si>
  <si>
    <t>A) 30 seconds</t>
  </si>
  <si>
    <t>If a Kabaddi raider is tagged but manages to touch the bonus line, what happens if the defending team commits a foul?</t>
  </si>
  <si>
    <t>A) The raider scores 2 points, B) The raider is out, C) The defending team gets a penalty, D) The game is paused</t>
  </si>
  <si>
    <t>In a Kabaddi match, what does a 'Green Card' typically signify?</t>
  </si>
  <si>
    <t>A) Warning to the team, B) Award to the player, C) Penalty to the player, D) Substitution of the player</t>
  </si>
  <si>
    <t>If a Kabaddi raider is tackled while attempting to cross the bonus line, but the defender is out of bounds, what happens?</t>
  </si>
  <si>
    <t>During a Kabaddi match, if the raiding team is all out and the defending team has no available players, what is the result?</t>
  </si>
  <si>
    <t>A) The defending team scores 2 points, B) The raiding team scores 2 points, C) The game is paused, D) The match is declared a draw</t>
  </si>
  <si>
    <t>What is the primary objective of a Kabaddi raider during a raid?</t>
  </si>
  <si>
    <t>A) To tag defenders and return to their half, B) To tackle defenders, C) To score bonus points, D) To defend the midline</t>
  </si>
  <si>
    <t>A) To tag defenders and return to their half</t>
  </si>
  <si>
    <t>If a Kabaddi defender commits a foul during a tackle, what is the usual penalty for the defending team?</t>
  </si>
  <si>
    <t>A) The raiding team gets 1 point, B) The defending team loses 1 point, C) The game is paused, D) The raiding team gets a penalty</t>
  </si>
  <si>
    <t>During a Kabaddi raid, if the raider is tagged by multiple defenders but manages to tag one defender, how many points does the raider score?</t>
  </si>
  <si>
    <t>In Kabaddi, what is the term for when a raider is out due to not scoring points in a 'Do-or-Die Raid'?</t>
  </si>
  <si>
    <t>A) All-Out, B) Super Raid, C) Bonus Raid, D) Do-or-Die Raid</t>
  </si>
  <si>
    <t>D) Do-or-Die Raid</t>
  </si>
  <si>
    <t>What is the role of the 'Scorer' in a Kabaddi match?</t>
  </si>
  <si>
    <t>A) To keep track of points and fouls, B) To referee the match, C) To coach the teams, D) To monitor player fitness</t>
  </si>
  <si>
    <t>A) To keep track of points and fouls</t>
  </si>
  <si>
    <t>If a Kabaddi player commits a foul and receives a yellow card, what is the usual consequence?</t>
  </si>
  <si>
    <t>A) The player is warned, B) The player is substituted, C) The player is fined, D) The team loses 1 point</t>
  </si>
  <si>
    <t>A) The player is warned</t>
  </si>
  <si>
    <t>During a Kabaddi raid, if the raider is caught and the defending team has fewer players, what happens?</t>
  </si>
  <si>
    <t>A) The defending team gets 1 point, B) The raider is out, C) The raiding team gets 1 point, D) The game is paused</t>
  </si>
  <si>
    <t>What is the role of the 'Technical Official' in a Kabaddi match?</t>
  </si>
  <si>
    <t>A) To assist with the match rules and procedures, B) To score the match, C) To coach the teams, D) To referee the match</t>
  </si>
  <si>
    <t>A) To assist with the match rules and procedures</t>
  </si>
  <si>
    <t>In a classical chess game, White sacrifices a knight on f7 in the opening phase. Black’s king is now exposed, and White has a chance to develop a strong attack. What should White's next move be to continue the attack?</t>
  </si>
  <si>
    <t>A) Move the queen to g4 to prepare a check on g7, B) Capture Black’s f7 pawn with the bishop, C) Castle kingside to bring the rook into play, D) Move the bishop to c4 to control more space</t>
  </si>
  <si>
    <t>A) Move the queen to g4 to prepare a check on g7</t>
  </si>
  <si>
    <t>In a rapid game, White has an advanced pawn on the seventh rank, and Black has a knight defending the promotion square. Which of the following is White’s best strategy?</t>
  </si>
  <si>
    <t>A) Move the pawn to promote, B) Protect the pawn with the queen, C) Force the knight to move away with a rook check, D) Sacrifice the pawn and gain control of the center</t>
  </si>
  <si>
    <t>C) Force the knight to move away with a rook check</t>
  </si>
  <si>
    <t>In a standard chess game, White's king is castled kingside while Black’s pieces are attacking from the queenside. What would be the best defensive move for White?</t>
  </si>
  <si>
    <t>A) Push the g-pawn to g3, B) Push the h-pawn to h4, C) Move the rook to f1, D) Move the king to h1</t>
  </si>
  <si>
    <t>A) Push the g-pawn to g3</t>
  </si>
  <si>
    <t>During the middle game, White has a well-positioned knight on d5 and Black has no immediate threats. What would be the best strategy for White to consolidate their advantage?</t>
  </si>
  <si>
    <t>A) Exchange the knight for Black's bishop, B) Maneuver the knight to f6 to attack Black's king, C) Push the e-pawn to open up the center, D) Move the rook to c1 to control the open file</t>
  </si>
  <si>
    <t>D) Move the rook to c1 to control the open file</t>
  </si>
  <si>
    <t>White has a queen and rook lined up on the e-file, threatening Black’s king, who is unable to castle. What is the most effective way for White to proceed with the attack?</t>
  </si>
  <si>
    <t>A) Move the queen to e5 for a direct check, B) Push the e-pawn to open lines, C) Move the rook to e6, D) Move the knight to f6</t>
  </si>
  <si>
    <t>C) Move the rook to e6</t>
  </si>
  <si>
    <t>In a blitz game, White is ahead in material but short on time. What is White’s best strategy to win?</t>
  </si>
  <si>
    <t>A) Exchange pieces to simplify the position, B) Attack Black’s pawns aggressively, C) Go for a quick checkmate, D) Defend and wait for Black to blunder</t>
  </si>
  <si>
    <t>A) Exchange pieces to simplify the position</t>
  </si>
  <si>
    <t>White’s rook is on the seventh rank, controlling Black’s pawns. How can White maximize the effectiveness of the rook?</t>
  </si>
  <si>
    <t>A) Move the rook to the eighth rank to deliver checks, B) Protect the rook with a pawn, C) Coordinate with the queen to target Black’s back rank, D) Move the rook to the sixth rank to guard against counterattacks</t>
  </si>
  <si>
    <t>C) Coordinate with the queen to target Black’s back rank</t>
  </si>
  <si>
    <t>White is playing in a bullet game and has an extra pawn in a king and pawn endgame. What is the most efficient path to victory?</t>
  </si>
  <si>
    <t>A) Push the pawn immediately, B) Bring the king closer to support the pawn, C) Capture Black's remaining pawns first, D) Try to gain opposition with the king</t>
  </si>
  <si>
    <t>B) Bring the king closer to support the pawn</t>
  </si>
  <si>
    <t>White has a bishop and knight against Black’s lone king in the endgame. What is White’s best strategy to deliver checkmate?</t>
  </si>
  <si>
    <t>A) Use the knight to restrict the king's movement, B) Force the king to the corner using both pieces, C) Position the bishop on a long diagonal, D) Move the knight to block the king’s escape</t>
  </si>
  <si>
    <t>B) Force the king to the corner using both pieces</t>
  </si>
  <si>
    <t>In the opening, White has developed all minor pieces and is ready to castle. Black has pushed their central pawns aggressively. What should White focus on next?</t>
  </si>
  <si>
    <t>A) Castle to safeguard the king, B) Push a pawn in the center to counter Black, C) Develop the queen to connect the rooks, D) Move a rook to an open file</t>
  </si>
  <si>
    <t>A) Castle to safeguard the king</t>
  </si>
  <si>
    <t>White has two connected passed pawns on the queenside. Black’s pieces are active on the kingside. What is White’s best plan?</t>
  </si>
  <si>
    <t>A) Push the pawns and create a passed pawn, B) Bring the king to the queenside to support the pawns, C) Defend the kingside with the rook, D) Attack Black’s weak pawns</t>
  </si>
  <si>
    <t>A) Push the pawns and create a passed pawn</t>
  </si>
  <si>
    <t>Black is down a queen for a rook and knight but has a dangerous passed pawn on the seventh rank. What is Black’s best chance for counterplay?</t>
  </si>
  <si>
    <t>A) Push the pawn to promote, B) Use the rook to give checks, C) Exchange the rook for White’s queen, D) Block White’s pieces from attacking</t>
  </si>
  <si>
    <t>A) Push the pawn to promote</t>
  </si>
  <si>
    <t>White is up a piece in a complicated middle game, but Black has strong central pawns. What should White focus on?</t>
  </si>
  <si>
    <t>A) Exchange the queens to reduce Black’s counterplay, B) Attack Black’s pawns immediately, C) Consolidate the extra material by defending, D) Push a pawn to challenge Black’s center</t>
  </si>
  <si>
    <t>A) Exchange the queens to reduce Black’s counterplay</t>
  </si>
  <si>
    <t>In a queen versus rook endgame, White is up a queen but Black’s rook is on an active file. How should White proceed?</t>
  </si>
  <si>
    <t>A) Chase Black’s king with checks, B) Trade the queen for the rook, C) Push a pawn to distract the rook, D) Try to force the rook to the edge of the board</t>
  </si>
  <si>
    <t>D) Try to force the rook to the edge of the board</t>
  </si>
  <si>
    <t>White has sacrificed a bishop for a strong kingside attack. Black’s king is exposed, but White has no immediate checks. What is the best way to continue the attack?</t>
  </si>
  <si>
    <t>A) Bring the queen to h5, B) Push the h-pawn, C) Bring the knight to g5, D) Open the center with an e-pawn push</t>
  </si>
  <si>
    <t>C) Bring the knight to g5</t>
  </si>
  <si>
    <t>In a rapid game, Black has an isolated pawn on the d-file. White’s pieces are well-placed. What is the best strategy for White?</t>
  </si>
  <si>
    <t>A) Blockade the pawn with a knight, B) Exchange queens to simplify the position, C) Attack the isolated pawn directly, D) Open a file on the kingside</t>
  </si>
  <si>
    <t>A) Blockade the pawn with a knight</t>
  </si>
  <si>
    <t>In a blitz game, White is down in material but has a strong attack. Black has a weak back rank. What should White focus on?</t>
  </si>
  <si>
    <t>A) Attack Black’s king with a rook lift, B) Defend the weak pawns, C) Force an exchange of queens, D) Push a central pawn to open lines</t>
  </si>
  <si>
    <t>A) Attack Black’s king with a rook lift</t>
  </si>
  <si>
    <t>In the middle game, White has an outpost for a knight on e5. What should be White’s primary goal?</t>
  </si>
  <si>
    <t>A) Keep the knight on e5 as long as possible, B) Exchange the knight for Black’s queen, C) Push the f-pawn to open lines for the rooks, D) Move the knight to g6 to target Black’s king</t>
  </si>
  <si>
    <t>A) Keep the knight on e5 as long as possible</t>
  </si>
  <si>
    <t>In the endgame, White has a king and three pawns, while Black has a king and two pawns. What is White’s most efficient plan to win?</t>
  </si>
  <si>
    <t>A) Push the pawns immediately, B) Centralize the king and attack Black’s pawns, C) Sacrifice a pawn to gain opposition, D) Force Black’s king into a corner</t>
  </si>
  <si>
    <t>B) Centralize the king and attack Black’s pawns</t>
  </si>
  <si>
    <t>White has castled kingside, and Black has a strong bishop controlling the a1-h8 diagonal. What is White’s best way to neutralize Black’s bishop?</t>
  </si>
  <si>
    <t>A) Move the king to h1 to avoid checks, B) Push the f-pawn to challenge the bishop, C) Exchange the bishop with a knight, D) Move the queen to block the diagonal</t>
  </si>
  <si>
    <t>B) Push the f-pawn to challenge the bishop</t>
  </si>
  <si>
    <t>Black’s knight is on f4, attacking White’s h3-pawn. What is White’s best defensive move?</t>
  </si>
  <si>
    <t>A) Push the g-pawn to g3, B) Move the queen to protect the pawn, C) Move the rook to g1, D) Ignore the threat and castle</t>
  </si>
  <si>
    <t>In a rook endgame, White’s rook is on the seventh rank and Black’s king is trapped on the eighth rank. How can White force a win?</t>
  </si>
  <si>
    <t>A) Move the rook to the eighth rank to deliver checks, B) Push a pawn to create a passed pawn, C) Move the king closer to support the rook, D) Sacrifice the rook for Black’s pawns</t>
  </si>
  <si>
    <t>B) Push a pawn to create a passed pawn</t>
  </si>
  <si>
    <t>White is preparing to sacrifice a rook for a knight to weaken Black’s defense. What should White consider before making the sacrifice?</t>
  </si>
  <si>
    <t>A) Whether the sacrifice will lead to a forced checkmate, B) Whether Black can counterattack on the queenside, C) Whether Black has enough pawns to defend, D) Whether White has enough time on the clock</t>
  </si>
  <si>
    <t>A) Whether the sacrifice will lead to a forced checkmate</t>
  </si>
  <si>
    <t>White has a queen and two pawns against Black’s rook and bishop. Black’s pieces are actively placed, but White has an opportunity to create a passed pawn. What is White’s best move?</t>
  </si>
  <si>
    <t>A) Exchange the queen for Black’s rook, B) Push the pawn to create a passed pawn, C) Move the queen to a defensive square, D) Attack Black’s bishop with the queen</t>
  </si>
  <si>
    <t>B) Push the pawn to create a passed pawn</t>
  </si>
  <si>
    <t>In a critical endgame, Black has an active rook on the second rank. White’s king is cut off on the first rank. What is Black’s best plan to win?</t>
  </si>
  <si>
    <t>A) Push the pawn to create a passer, B) Keep the rook on the second rank to restrict White’s king, C) Exchange the rook for White’s knight, D) Attack White’s king with checks</t>
  </si>
  <si>
    <t>B) Keep the rook on the second rank to restrict White’s king</t>
  </si>
  <si>
    <t>White has sacrificed a bishop for a pawn, opening up Black’s kingside. What should White do next to capitalize on the attack?</t>
  </si>
  <si>
    <t>A) Bring the queen to h5 to threaten checkmate, B) Push the g-pawn to create an open file, C) Move the knight to f6 to attack Black’s king, D) Castle queenside for safety</t>
  </si>
  <si>
    <t>A) Bring the queen to h5 to threaten checkmate</t>
  </si>
  <si>
    <t>In the middle game, Black’s pieces are cramped, and White has a space advantage. What should White focus on next?</t>
  </si>
  <si>
    <t>A) Push a pawn to open lines for the rooks, B) Exchange queens to simplify the position, C) Create a passed pawn on the queenside, D) Trade minor pieces to reduce Black’s counterplay</t>
  </si>
  <si>
    <t>A) Push a pawn to open lines for the rooks</t>
  </si>
  <si>
    <t>Black is in an endgame with a rook and two pawns against White’s rook and one pawn. What is Black’s best plan to convert the advantage?</t>
  </si>
  <si>
    <t>A) Exchange rooks to simplify the endgame, B) Push the pawns to create a passed pawn, C) Move the king to support the pawns, D) Attack White’s pawn to gain material</t>
  </si>
  <si>
    <t>B) Push the pawns to create a passed pawn</t>
  </si>
  <si>
    <t>White has a rook and a bishop in the endgame, and Black has a rook and a knight. What is White’s best strategy to neutralize Black’s knight?</t>
  </si>
  <si>
    <t>A) Exchange the bishop for the knight, B) Trap the knight using the bishop, C) Attack Black’s pawns, D) Push a pawn to distract the knight</t>
  </si>
  <si>
    <t>B) Trap the knight using the bishop</t>
  </si>
  <si>
    <t>In the opening, White has developed all pieces but Black has a powerful bishop on g7, controlling the long diagonal. What should White focus on?</t>
  </si>
  <si>
    <t>A) Trade the bishop for a knight, B) Castle kingside to protect the king, C) Push the e-pawn to challenge the center, D) Move the queen to block the diagonal</t>
  </si>
  <si>
    <t>C) Push the e-pawn to challenge the center</t>
  </si>
  <si>
    <t>White has a knight on d5, and Black’s bishop is attacking from c8. What is White’s best way to increase pressure?</t>
  </si>
  <si>
    <t>A) Move the knight to f6 to threaten Black’s king, B) Push the f-pawn to open lines, C) Move the rook to the e-file, D) Exchange the knight for Black’s bishop</t>
  </si>
  <si>
    <t>A) Move the knight to f6 to threaten Black’s king</t>
  </si>
  <si>
    <t>Black has a passed pawn on the a-file, but White has active pieces on the kingside. How can Black proceed to promote the pawn?</t>
  </si>
  <si>
    <t>A) Push the pawn immediately, B) Protect the pawn with the king, C) Use the rook to support the pawn, D) Exchange pieces to simplify the position</t>
  </si>
  <si>
    <t>C) Use the rook to support the pawn</t>
  </si>
  <si>
    <t>White’s knight is on an outpost on e5, and Black is unable to challenge it immediately. What is White’s best plan?</t>
  </si>
  <si>
    <t>A) Move the knight to g6 to attack Black’s king, B) Keep the knight on e5 and improve other pieces, C) Exchange the knight for Black’s bishop, D) Push the f-pawn to gain more space</t>
  </si>
  <si>
    <t>B) Keep the knight on e5 and improve other pieces</t>
  </si>
  <si>
    <t>White’s rooks are doubled on the c-file, and Black has a weakness on c7. What is White’s best way to exploit this?</t>
  </si>
  <si>
    <t>A) Push the c-pawn to open lines, B) Attack the c7-pawn directly, C) Exchange one of the rooks to simplify the attack, D) Bring the queen to the c-file</t>
  </si>
  <si>
    <t>B) Attack the c7-pawn directly</t>
  </si>
  <si>
    <t>In a blitz game, White has a queen and rook against Black’s rook and knight. White’s king is safe, but Black’s knight is active. What should White prioritize?</t>
  </si>
  <si>
    <t>A) Exchange the queen for Black’s rook and knight, B) Move the queen to create threats, C) Push a pawn to open lines for the rook, D) Try to trap Black’s knight</t>
  </si>
  <si>
    <t>B) Move the queen to create threats</t>
  </si>
  <si>
    <t>White is up a pawn in a queen and pawn endgame, but Black has more active pieces. What should White’s main focus be?</t>
  </si>
  <si>
    <t>A) Push the extra pawn immediately, B) Exchange queens to simplify the position, C) Keep the queen active and look for counterplay, D) Move the king to support the pawn</t>
  </si>
  <si>
    <t>B) Exchange queens to simplify the position</t>
  </si>
  <si>
    <t>Black is up a piece but White has dangerous pawns on the kingside. What should Black’s main strategy be?</t>
  </si>
  <si>
    <t>A) Block White’s pawns with the extra piece, B) Push a queenside pawn to create counterplay, C) Attack White’s king directly, D) Exchange pieces to simplify the position</t>
  </si>
  <si>
    <t>D) Exchange pieces to simplify the position</t>
  </si>
  <si>
    <t>White has a powerful bishop pair in an open position, while Black’s knights are defending a cramped position. What should White focus on?</t>
  </si>
  <si>
    <t>A) Trade one of the bishops for Black’s knight, B) Push a pawn to open more lines, C) Bring the queen to the kingside, D) Attack Black’s weak pawns</t>
  </si>
  <si>
    <t>B) Push a pawn to open more lines</t>
  </si>
  <si>
    <t>In the endgame, White has a rook and two pawns, while Black has a bishop and three pawns. What should White focus on to win?</t>
  </si>
  <si>
    <t>A) Push the pawns to create a passed pawn, B) Exchange rooks to simplify, C) Block Black’s pawns with the rook, D) Bring the king to the center</t>
  </si>
  <si>
    <t>A) Push the pawns to create a passed pawn</t>
  </si>
  <si>
    <t>In a rapid game, Black has an active queen on the second rank. White’s king is well defended. What is Black’s best plan?</t>
  </si>
  <si>
    <t>A) Exchange queens to simplify, B) Keep the queen on the second rank to pressure White, C) Attack White’s pawns with the queen, D) Bring the rook to support the queen</t>
  </si>
  <si>
    <t>B) Keep the queen on the second rank to pressure White</t>
  </si>
  <si>
    <t>White’s rook is on the seventh rank, and Black has no immediate threats. What is the best plan for White?</t>
  </si>
  <si>
    <t>A) Attack Black’s pawns on the seventh rank, B) Exchange rooks to simplify, C) Move the rook to the eighth rank to give checks, D) Push a pawn to create a passed pawn</t>
  </si>
  <si>
    <t>A) Attack Black’s pawns on the seventh rank</t>
  </si>
  <si>
    <t>In the endgame, White has a rook and a knight, and Black has a rook and a bishop. Both sides have pawns. What should White focus on to gain an advantage?</t>
  </si>
  <si>
    <t>A) Exchange the knight for the bishop, B) Try to trap Black’s bishop, C) Create a passed pawn on the queenside, D) Attack Black’s pawns</t>
  </si>
  <si>
    <t>C) Create a passed pawn on the queenside</t>
  </si>
  <si>
    <t>White has a queen and bishop versus Black’s queen and knight. The position is open. What should White focus on?</t>
  </si>
  <si>
    <t>A) Attack Black’s king with the queen, B) Use the bishop to control the long diagonals, C) Exchange queens to reach a winning endgame, D) Trap Black’s knight</t>
  </si>
  <si>
    <t>B) Use the bishop to control the long diagonals</t>
  </si>
  <si>
    <t>White has a rook and two pawns against Black’s rook and one pawn in an endgame. Both kings are active. What should White do to increase their chances of winning?</t>
  </si>
  <si>
    <t>A) Trade rooks to simplify the endgame, B) Push the passed pawn, C) Move the rook to attack Black’s pawn, D) Move the king closer to Black’s rook</t>
  </si>
  <si>
    <t>B) Push the passed pawn</t>
  </si>
  <si>
    <t>Black’s knight is pinned against the king by White’s bishop. What should White do to maximize the advantage?</t>
  </si>
  <si>
    <t>A) Exchange the bishop for the knight, B) Increase the pressure by attacking the pinned knight with another piece, C) Castle to bring the rook into play, D) Push a pawn to open more lines</t>
  </si>
  <si>
    <t>B) Increase the pressure by attacking the pinned knight with another piece</t>
  </si>
  <si>
    <t>In the middle game, White’s pieces are actively placed on the kingside, while Black has castled queenside. What should White’s plan be?</t>
  </si>
  <si>
    <t>A) Attack Black’s king by advancing pawns on the queenside, B) Prepare a central breakthrough, C) Open lines by pushing pawns on the kingside, D) Exchange queens to simplify</t>
  </si>
  <si>
    <t>C) Open lines by pushing pawns on the kingside</t>
  </si>
  <si>
    <t>White has a bishop on g2 and Black’s king is castled kingside. White wants to open the long diagonal. What is the best approach?</t>
  </si>
  <si>
    <t>A) Push the f-pawn to open lines, B) Move the queen to h5 to pressure Black’s king, C) Push the e-pawn to open the center, D) Attack with the knight on the kingside</t>
  </si>
  <si>
    <t>A) Push the f-pawn to open lines</t>
  </si>
  <si>
    <t>Black’s queen is aggressively positioned on the seventh rank. White’s pieces are passively defending. What should Black focus on?</t>
  </si>
  <si>
    <t>A) Exchange queens to avoid a counterattack, B) Use the queen to pressure White’s pawns, C) Bring the rook to support the queen, D) Push a pawn to create threats</t>
  </si>
  <si>
    <t>C) Bring the rook to support the queen</t>
  </si>
  <si>
    <t>In a complex middle game, White’s rooks are doubled on the open file. Black has a weak pawn on that file. What should White’s next move be?</t>
  </si>
  <si>
    <t>A) Double the rooks on the seventh rank, B) Attack the weak pawn with the rooks, C) Exchange one of the rooks for Black’s rook, D) Push a pawn to open another file</t>
  </si>
  <si>
    <t>B) Attack the weak pawn with the rooks</t>
  </si>
  <si>
    <t>White is down a piece but has compensation in the form of active play and Black’s weak king. How should White proceed?</t>
  </si>
  <si>
    <t>A) Trade pieces to simplify the position, B) Attack Black’s king directly with all available pieces, C) Push a central pawn to create counterplay, D) Move the king to safety</t>
  </si>
  <si>
    <t>B) Attack Black’s king directly with all available pieces</t>
  </si>
  <si>
    <t>White has an advanced passed pawn on the d-file, and Black’s king is far away. What should White focus on to secure the win?</t>
  </si>
  <si>
    <t>A) Push the passed pawn immediately, B) Use the king to support the pawn’s advance, C) Exchange pieces to simplify the position, D) Defend the passed pawn with other pieces</t>
  </si>
  <si>
    <t>B) Use the king to support the pawn’s advance</t>
  </si>
  <si>
    <t>In a critical moment, White’s rook is on the seventh rank, attacking Black’s pawns. What is the best plan for White?</t>
  </si>
  <si>
    <t>A) Exchange the rook for Black’s rook to simplify, B) Attack Black’s pawns with the rook, C) Push a pawn to create a passed pawn, D) Move the rook to defend the kingside</t>
  </si>
  <si>
    <t>B) Attack Black’s pawns with the rook</t>
  </si>
  <si>
    <t>Black is up a pawn but White has a strong knight in the center of the board. How should Black proceed?</t>
  </si>
  <si>
    <t>A) Exchange the knight for Black’s bishop, B) Push a pawn to create a passed pawn, C) Attack White’s knight with other pieces, D) Trade queens to reach a favorable endgame</t>
  </si>
  <si>
    <t>C) Attack White’s knight with other pieces</t>
  </si>
  <si>
    <t>White’s queen and rook are attacking Black’s king, which is surrounded by pawns. What should White focus on next?</t>
  </si>
  <si>
    <t>A) Sacrifice a pawn to open lines, B) Bring the knight to join the attack, C) Trade the queen for Black’s bishop, D) Push a central pawn to break through</t>
  </si>
  <si>
    <t>B) Bring the knight to join the attack</t>
  </si>
  <si>
    <t>White has an extra pawn in the endgame, but Black’s king is more active. What is White’s best strategy?</t>
  </si>
  <si>
    <t>A) Push the extra pawn immediately, B) Bring the king into the game to support the pawn, C) Exchange pawns to simplify, D) Defend the pawn with the rook</t>
  </si>
  <si>
    <t>B) Bring the king into the game to support the pawn</t>
  </si>
  <si>
    <t>Black has sacrificed a knight to open up White’s kingside. What should White do to defend effectively?</t>
  </si>
  <si>
    <t>A) Counterattack Black’s king immediately, B) Move the queen to defend the kingside, C) Push a pawn to block the attack, D) Exchange queens to eliminate Black’s attack</t>
  </si>
  <si>
    <t>D) Exchange queens to eliminate Black’s attack</t>
  </si>
  <si>
    <t>White’s pieces are well-developed and Black’s king is stuck in the center. How should White proceed?</t>
  </si>
  <si>
    <t>A) Castle to bring the rook into the game, B) Push a central pawn to open lines, C) Attack Black’s knight, D) Exchange pieces to reach an endgame</t>
  </si>
  <si>
    <t>B) Push a central pawn to open lines</t>
  </si>
  <si>
    <t>In a rapid game, White is ahead on material but Black has an advanced pawn. How should White manage the situation?</t>
  </si>
  <si>
    <t>A) Exchange queens to simplify, B) Push a pawn to create counterplay, C) Attack Black’s advanced pawn immediately, D) Move the rook to defend</t>
  </si>
  <si>
    <t>C) Attack Black’s advanced pawn immediately</t>
  </si>
  <si>
    <t>White has a powerful bishop pair in an open position. Black’s knights are defending the kingside. What should White focus on?</t>
  </si>
  <si>
    <t>A) Trade one of the bishops for a knight, B) Keep the bishops and open more lines, C) Push a pawn to attack Black’s king, D) Move the queen to exchange pieces</t>
  </si>
  <si>
    <t>B) Keep the bishops and open more lines</t>
  </si>
  <si>
    <t>White has a passed pawn on the queenside, and Black is attacking on the kingside. How should White proceed?</t>
  </si>
  <si>
    <t>A) Push the passed pawn immediately, B) Move the king to defend, C) Exchange queens to reduce Black’s attack, D) Counterattack Black’s pawns</t>
  </si>
  <si>
    <t>A) Push the passed pawn immediately</t>
  </si>
  <si>
    <t>Black has doubled rooks on the seventh rank, threatening White’s pawns. What should White focus on to defend?</t>
  </si>
  <si>
    <t>A) Move the king closer to the rooks, B) Exchange one of the rooks to reduce pressure, C) Push a pawn to distract Black’s rooks, D) Attack Black’s rooks with the queen</t>
  </si>
  <si>
    <t>B) Exchange one of the rooks to reduce pressure</t>
  </si>
  <si>
    <t>White’s knight is well-positioned in the center, and Black’s bishop is passive. How can White improve the position?</t>
  </si>
  <si>
    <t>A) Exchange the knight for Black’s bishop, B) Push a pawn to open lines for the knight, C) Keep the knight in the center and improve other pieces, D) Trade queens to simplify the position</t>
  </si>
  <si>
    <t>C) Keep the knight in the center and improve other pieces</t>
  </si>
  <si>
    <t>In a rook endgame, White is up a pawn, but Black’s rook is more active. What should White’s strategy be?</t>
  </si>
  <si>
    <t>A) Push the extra pawn immediately, B) Defend passively to avoid counterplay, C) Bring the king closer to the rook, D) Exchange rooks to simplify</t>
  </si>
  <si>
    <t>A) Push the extra pawn immediately</t>
  </si>
  <si>
    <t>White has sacrificed a bishop for an attack on Black’s king. What should White focus on to follow up?</t>
  </si>
  <si>
    <t>A) Bring all available pieces into the attack, B) Defend the remaining pieces, C) Exchange queens to reach an endgame, D) Push a pawn to create a new threat</t>
  </si>
  <si>
    <t>A) Bring all available pieces into the attack</t>
  </si>
  <si>
    <t>Black is up a rook for a knight in the endgame. What should Black’s focus be?</t>
  </si>
  <si>
    <t>A) Exchange pieces to simplify, B) Defend the rook actively, C) Attack White’s knight immediately, D) Push a pawn to create counterplay</t>
  </si>
  <si>
    <t>A) Exchange pieces to simplify</t>
  </si>
  <si>
    <t>White has a queen and a rook against Black’s queen and two pawns. Both kings are exposed. What is the best plan for White?</t>
  </si>
  <si>
    <t>A) Exchange queens to reduce the pressure, B) Attack Black’s pawns with the rook, C) Push a pawn to create a passed pawn, D) Defend the king with the queen</t>
  </si>
  <si>
    <t>In the opening, White has developed all pieces and castled kingside. Black is still behind in development. What should White do?</t>
  </si>
  <si>
    <t>A) Attack the center with pawns, B) Exchange a knight for Black’s bishop, C) Prepare a kingside pawn storm, D) Wait for Black to make a move</t>
  </si>
  <si>
    <t>A) Attack the center with pawns</t>
  </si>
  <si>
    <t>Black’s rook is pinned against the queen by White’s bishop. What should White do to maximize the advantage?</t>
  </si>
  <si>
    <t>A) Exchange the bishop for the rook, B) Increase the pressure by attacking the pinned rook with another piece, C) Castle to bring the rook into play, D) Push a pawn to open more lines</t>
  </si>
  <si>
    <t>B) Increase the pressure by attacking the pinned rook with another piece</t>
  </si>
  <si>
    <t>White has a knight and pawn versus Black’s rook in an endgame. What should White’s focus be to draw the game?</t>
  </si>
  <si>
    <t>A) Push the pawn immediately, B) Keep the knight active to prevent Black’s rook from controlling the board, C) Trade the knight for the rook, D) Exchange the pawn for a passed pawn</t>
  </si>
  <si>
    <t>B) Keep the knight active to prevent Black’s rook from controlling the board</t>
  </si>
  <si>
    <t>White has a queen and a knight in an endgame, while Black has a queen and a bishop. Both sides have pawns on the board. What is the best plan for White?</t>
  </si>
  <si>
    <t>A) Trade queens to simplify the position, B) Use the knight to control the center, C) Attack Black’s pawns with the queen, D) Push pawns on the kingside</t>
  </si>
  <si>
    <t>C) Attack Black’s pawns with the queen</t>
  </si>
  <si>
    <t>White has doubled pawns on the c-file but a strong knight on d5. Black’s pieces are passive. What should White’s next move be?</t>
  </si>
  <si>
    <t>A) Trade the knight for Black’s bishop, B) Push the c-pawn to open up the position, C) Improve the position of the rooks, D) Move the queen to attack on the kingside</t>
  </si>
  <si>
    <t>C) Improve the position of the rooks</t>
  </si>
  <si>
    <t>Black has sacrificed a knight for two pawns and is launching an attack on White’s king. How should White defend?</t>
  </si>
  <si>
    <t>A) Exchange queens to reduce the attack, B) Move the king to safety, C) Counterattack Black’s pawns, D) Bring all available pieces to defend the king</t>
  </si>
  <si>
    <t>D) Bring all available pieces to defend the king</t>
  </si>
  <si>
    <t>White’s rook is on the open e-file, and Black’s rook is defending the seventh rank. What should White focus on?</t>
  </si>
  <si>
    <t>A) Trade rooks to simplify the position, B) Double the rooks on the e-file, C) Attack Black’s seventh rank with the queen, D) Push a pawn to open more lines</t>
  </si>
  <si>
    <t>B) Double the rooks on the e-file</t>
  </si>
  <si>
    <t>Black’s knight is blockading White’s passed pawn on the d-file. How should White proceed?</t>
  </si>
  <si>
    <t>A) Exchange the knight for a bishop, B) Push the pawn immediately, C) Use the king to support the pawn, D) Attack the knight with other pieces</t>
  </si>
  <si>
    <t>D) Attack the knight with other pieces</t>
  </si>
  <si>
    <t>White has the bishop pair in an open position. Black’s knights are well-placed but defensive. What should White aim for?</t>
  </si>
  <si>
    <t>A) Trade one bishop for a knight, B) Keep the bishops and increase pressure on open lines, C) Push pawns to create weaknesses, D) Exchange queens to simplify</t>
  </si>
  <si>
    <t>B) Keep the bishops and increase pressure on open lines</t>
  </si>
  <si>
    <t>In the middlegame, White has a pawn majority on the queenside, while Black has a strong kingside attack. What should White focus on?</t>
  </si>
  <si>
    <t>A) Push the queenside pawns to create a passed pawn, B) Exchange pieces to weaken Black’s attack, C) Counterattack on the kingside, D) Centralize the rooks</t>
  </si>
  <si>
    <t>A) Push the queenside pawns to create a passed pawn</t>
  </si>
  <si>
    <t>White’s knight is attacking Black’s queen, and Black’s rook is pinned to the king. What should White do?</t>
  </si>
  <si>
    <t>A) Capture the pinned rook, B) Continue the attack with another piece, C) Move the knight to a better position, D) Push a pawn to open more lines</t>
  </si>
  <si>
    <t>A) Capture the pinned rook</t>
  </si>
  <si>
    <t>Black’s queen is pressuring White’s kingside, and White’s pieces are not well-coordinated. What is the best defensive move for White?</t>
  </si>
  <si>
    <t>A) Move the king to safety, B) Exchange queens to eliminate Black’s attack, C) Bring a rook to the defense, D) Push a pawn to create space</t>
  </si>
  <si>
    <t>B) Exchange queens to eliminate Black’s attack</t>
  </si>
  <si>
    <t>White has an isolated pawn on d4 but active pieces. Black is trying to block the pawn. What should White focus on?</t>
  </si>
  <si>
    <t>A) Defend the isolated pawn, B) Push the pawn to create counterplay, C) Use the rooks to support the pawn, D) Attack Black’s blockading piece</t>
  </si>
  <si>
    <t>D) Attack Black’s blockading piece</t>
  </si>
  <si>
    <t>White has sacrificed an exchange (a rook for a minor piece) to open Black’s king. What should White do next?</t>
  </si>
  <si>
    <t>A) Bring all available pieces into the attack, B) Defend the remaining pieces, C) Push pawns to create more weaknesses, D) Exchange queens to simplify</t>
  </si>
  <si>
    <t>In a queen and pawn endgame, White has a passed pawn, but Black’s queen is very active. What should White focus on?</t>
  </si>
  <si>
    <t>A) Push the passed pawn immediately, B) Defend against Black’s queen first, C) Trade queens to reach a winning endgame, D) Move the king to a safer square</t>
  </si>
  <si>
    <t>C) Trade queens to reach a winning endgame</t>
  </si>
  <si>
    <t>White’s knight is on a strong outpost on e5, and Black’s pieces are passive. What should White do to increase pressure?</t>
  </si>
  <si>
    <t>A) Push a pawn to create a new outpost, B) Attack Black’s pawns with the knight, C) Use the other pieces to support the knight, D) Exchange queens to simplify</t>
  </si>
  <si>
    <t>C) Use the other pieces to support the knight</t>
  </si>
  <si>
    <t>In an open position, White has a bishop and Black has a knight. Both players have equal pawns. What is the best plan for White?</t>
  </si>
  <si>
    <t>A) Trade the bishop for the knight, B) Use the bishop to attack on open diagonals, C) Push a pawn to create a passed pawn, D) Defend the pawns and wait for Black’s move</t>
  </si>
  <si>
    <t>B) Use the bishop to attack on open diagonals</t>
  </si>
  <si>
    <t>Black has sacrificed a pawn for active piece play and is targeting White’s weak f2 pawn. What should White focus on?</t>
  </si>
  <si>
    <t>A) Defend the f2 pawn with a rook, B) Counterattack Black’s center, C) Trade pieces to reduce Black’s activity, D) Move the king to a safer square</t>
  </si>
  <si>
    <t>C) Trade pieces to reduce Black’s activity</t>
  </si>
  <si>
    <t>White has control of the open d-file with rooks doubled. Black’s rooks are inactive. What is White’s best plan?</t>
  </si>
  <si>
    <t>A) Push a pawn to create a new open file, B) Attack Black’s weak pawns on the queenside, C) Bring the queen to the d-file to support the rooks, D) Exchange one of the rooks to simplify the position</t>
  </si>
  <si>
    <t>B) Attack Black’s weak pawns on the queenside</t>
  </si>
  <si>
    <t>White has an extra pawn but Black’s pieces are more active. What should White prioritize?</t>
  </si>
  <si>
    <t>A) Push the extra pawn immediately, B) Trade pieces to simplify, C) Defend passively and wait for Black’s move, D) Activate the king to support the pawns</t>
  </si>
  <si>
    <t>B) Trade pieces to simplify</t>
  </si>
  <si>
    <t>In the opening, White has castled kingside, while Black has delayed castling. What should White focus on?</t>
  </si>
  <si>
    <t>A) Push a pawn in the center to open lines, B) Attack Black’s uncastled king directly, C) Develop remaining pieces and wait for Black’s plan, D) Prepare a queenside pawn advance</t>
  </si>
  <si>
    <t>A) Push a pawn in the center to open lines</t>
  </si>
  <si>
    <t>Black has castled queenside, and White’s pieces are concentrated on the kingside. What is White’s best strategy?</t>
  </si>
  <si>
    <t>A) Push pawns on the queenside to attack Black’s king, B) Prepare a kingside pawn storm, C) Exchange queens to avoid complications, D) Develop the last piece before attacking</t>
  </si>
  <si>
    <t>B) Prepare a kingside pawn storm</t>
  </si>
  <si>
    <t>In a pawn endgame, White has a distant passed pawn, and Black’s king is closer to the center. What is White’s best move?</t>
  </si>
  <si>
    <t>A) Push the passed pawn immediately, B) Bring the king closer to support the pawn, C) Exchange pawns to simplify the position, D) Use the passed pawn to distract Black’s king</t>
  </si>
  <si>
    <t>D) Use the passed pawn to distract Black’s king</t>
  </si>
  <si>
    <t>White has the queen and a pawn, while Black has a queen and a rook in an endgame. Both kings are exposed. What should White do?</t>
  </si>
  <si>
    <t>A) Trade queens to simplify the position, B) Push the pawn immediately, C) Bring the king to a safer square, D) Counterattack Black’s king with the queen</t>
  </si>
  <si>
    <t>D) Counterattack Black’s king with the queen</t>
  </si>
  <si>
    <t>Black has a passed pawn on the a-file, but White has more active pieces in the center. What should Black focus on?</t>
  </si>
  <si>
    <t>A) Push the a-pawn immediately, B) Defend the passed pawn with pieces, C) Attack White’s central pawns, D) Exchange pieces to simplify the position</t>
  </si>
  <si>
    <t>A) Push the a-pawn immediately</t>
  </si>
  <si>
    <t>White has a knight on a strong outpost, and Black’s bishop is passive. What should White do next?</t>
  </si>
  <si>
    <t>A) Trade the knight for the bishop, B) Push a pawn to create new weaknesses, C) Attack Black’s pawns with the knight, D) Exchange queens to reduce complications</t>
  </si>
  <si>
    <t>C) Attack Black’s pawns with the knight</t>
  </si>
  <si>
    <t>White’s king is exposed on g1, and Black’s pieces are attacking on the kingside. What is White’s best defense?</t>
  </si>
  <si>
    <t>A) Move the king to a safer square, B) Exchange queens to eliminate Black’s attack, C) Bring the rooks to the kingside for defense, D) Counterattack on the queenside</t>
  </si>
  <si>
    <t>White is up a pawn in a rook and pawn endgame, but Black’s king is more active. What should White focus on?</t>
  </si>
  <si>
    <t>A) Push the extra pawn immediately, B) Exchange rooks to simplify the position, C) Bring the king to support the pawn, D) Attack Black’s pawns on the queenside</t>
  </si>
  <si>
    <t>C) Bring the king to support the pawn</t>
  </si>
  <si>
    <t>White has a bishop pair in an open position, while Black has a strong knight on d5. How should White proceed?</t>
  </si>
  <si>
    <t>A) Trade one bishop for the knight, B) Keep the bishops and control open diagonals, C) Attack Black’s knight directly, D) Push pawns to create weaknesses</t>
  </si>
  <si>
    <t>B) Keep the bishops and control open diagonals</t>
  </si>
  <si>
    <t>Black’s pieces are cramped, and White has control of the center. What is White’s best plan?</t>
  </si>
  <si>
    <t>A) Launch an attack on Black’s king, B) Improve the position of the pieces, C) Push pawns to open more lines, D) Trade queens to simplify the position</t>
  </si>
  <si>
    <t>B) Improve the position of the pieces</t>
  </si>
  <si>
    <t>In a knight endgame, White has an outside passed pawn, but Black has a more active king. What should White do?</t>
  </si>
  <si>
    <t>A) Push the passed pawn immediately, B) Use the knight to defend the passed pawn, C) Bring the king closer to the action, D) Exchange knights to simplify</t>
  </si>
  <si>
    <t>C) Bring the king closer to the action</t>
  </si>
  <si>
    <t>White has doubled rooks on the seventh rank, while Black’s rooks are passive. What is the best plan for White?</t>
  </si>
  <si>
    <t>A) Trade one pair of rooks, B) Attack Black’s king directly, C) Push a pawn to open a new line, D) Attack Black’s pawns on the seventh rank</t>
  </si>
  <si>
    <t>D) Attack Black’s pawns on the seventh rank</t>
  </si>
  <si>
    <t>Black has a pawn majority on the queenside but White has a more active knight in the center. What should White focus on?</t>
  </si>
  <si>
    <t>A) Attack Black’s pawns on the queenside, B) Exchange knights to reduce Black’s counterplay, C) Push pawns to create weaknesses in Black’s position, D) Use the knight to control key squares</t>
  </si>
  <si>
    <t>D) Use the knight to control key squares</t>
  </si>
  <si>
    <t>In a rook endgame, White has an extra pawn on the kingside, but Black’s king is more active. What is the best strategy for White?</t>
  </si>
  <si>
    <t>A) Push the extra pawn immediately, B) Exchange rooks to simplify, C) Use the king to support the pawn, D) Attack Black’s pawns on the queenside</t>
  </si>
  <si>
    <t>C) Use the king to support the pawn</t>
  </si>
  <si>
    <t>White has castled queenside, while Black has castled kingside. What should White focus on?</t>
  </si>
  <si>
    <t>A) Push pawns on the kingside to attack Black’s king, B) Push pawns on the queenside to create weaknesses, C) Trade queens to avoid complications, D) Develop pieces before launching an attack</t>
  </si>
  <si>
    <t>A) Push pawns on the kingside to attack Black’s king</t>
  </si>
  <si>
    <t>Black has a rook on the seventh rank and is threatening White’s pawns. How should White respond?</t>
  </si>
  <si>
    <t>A) Exchange rooks to reduce Black’s activity, B) Defend the pawns with other pieces, C) Counterattack Black’s pawns, D) Move the king to defend the pawns</t>
  </si>
  <si>
    <t>C) Counterattack Black’s pawns</t>
  </si>
  <si>
    <t>White’s queen is attacking Black’s king, but Black’s rook is threatening a back-rank mate. What is the best move for White?</t>
  </si>
  <si>
    <t>A) Check Black’s king immediately, B) Move a pawn to prevent the back-rank mate, C) Exchange queens to avoid the threat, D) Defend with a rook</t>
  </si>
  <si>
    <t>B) Move a pawn to prevent the back-rank mate</t>
  </si>
  <si>
    <t>Black has sacrificed a piece for a strong attack on White’s king. What is the best defensive move for White?</t>
  </si>
  <si>
    <t>A) Trade queens to eliminate the attack, B) Move the king to safety, C) Bring more pieces to defend the king, D) Counterattack Black’s weak pawns</t>
  </si>
  <si>
    <t>C) Bring more pieces to defend the king</t>
  </si>
  <si>
    <t>In the middlegame, White has doubled pawns on the f-file but has control of the open e-file. What is the best plan?</t>
  </si>
  <si>
    <t>A) Push the f-pawns to create counterplay, B) Trade queens to reduce complications, C) Use the open e-file to pressure Black, D) Defend the doubled pawns</t>
  </si>
  <si>
    <t>C) Use the open e-file to pressure Black</t>
  </si>
  <si>
    <t>White has a knight on a strong outpost, while Black’s pieces are passive. What should White do next?</t>
  </si>
  <si>
    <t>A) Push a pawn to create new weaknesses in Black’s position, B) Exchange the knight for Black’s bishop, C) Attack Black’s pawns with the knight, D) Bring more pieces to support the knight</t>
  </si>
  <si>
    <t>D) Bring more pieces to support the knight</t>
  </si>
  <si>
    <t>Black has a dangerous passed pawn on the b-file, but White has more active pieces in the center. What is White’s best plan?</t>
  </si>
  <si>
    <t>A) Attack Black’s passed pawn immediately, B) Push White’s central pawns to create counterplay, C) Exchange pieces to reduce Black’s counterplay, D) Defend against the passed pawn with the king</t>
  </si>
  <si>
    <t>B) Push White’s central pawns to create counterplay</t>
  </si>
  <si>
    <t>White has a rook and a bishop against Black’s rook and knight in the endgame. Both sides have pawns. What is White’s best strategy?</t>
  </si>
  <si>
    <t>A) Trade rooks to simplify the position, B) Attack Black’s knight with the bishop, C) Use the king to support the pawns, D) Push a pawn to create a passed pawn</t>
  </si>
  <si>
    <t>C) Use the king to support the pawns</t>
  </si>
  <si>
    <t>Black’s king is exposed, and White’s queen is controlling the center. How should White proceed?</t>
  </si>
  <si>
    <t>A) Exchange queens to avoid complications, B) Attack Black’s king directly with the queen, C) Improve the position of other pieces before attacking, D) Push pawns to open more lines</t>
  </si>
  <si>
    <t>B) Attack Black’s king directly with the queen</t>
  </si>
  <si>
    <t>White has sacrificed a rook for a strong attack on Black’s king. What is the best way to continue the attack?</t>
  </si>
  <si>
    <t>A) Bring more pieces into the attack, B) Exchange queens to avoid complications, C) Push a pawn to open more lines, D) Defend White’s own king first</t>
  </si>
  <si>
    <t>A) Bring more pieces into the attack</t>
  </si>
  <si>
    <t>Black has sacrificed a pawn to gain the initiative in the middlegame. What is White’s best move?</t>
  </si>
  <si>
    <t>A) Defend the extra pawn, B) Exchange pieces to reduce Black’s activity, C) Counterattack Black’s weak pawns, D) Bring more pieces to the defense</t>
  </si>
  <si>
    <t>B) Exchange pieces to reduce Black’s activity</t>
  </si>
  <si>
    <t>White has an isolated queen’s pawn, but active pieces. What is the best strategy for White?</t>
  </si>
  <si>
    <t>A) Defend the isolated pawn, B) Push the pawn to create counterplay, C) Exchange queens to simplify the position, D) Use the pieces to create pressure on Black</t>
  </si>
  <si>
    <t>D) Use the pieces to create pressure on Black</t>
  </si>
  <si>
    <t>White has control of the open d-file, while Black’s pieces are passive. What is the best plan for White?</t>
  </si>
  <si>
    <t>A) Trade one pair of rooks to simplify the position, B) Use the d-file to invade Black’s position, C) Push pawns on the kingside to create weaknesses, D) Exchange queens to avoid complications</t>
  </si>
  <si>
    <t>B) Use the d-file to invade Black’s position</t>
  </si>
  <si>
    <t>Black has just castled queenside, while White has castled kingside. What is White’s best plan?</t>
  </si>
  <si>
    <t>A) Push pawns on the queenside to attack Black’s king, B) Push pawns on the kingside to create counterplay, C) Exchange queens to avoid complications, D) Attack Black’s queenside pawns with pieces</t>
  </si>
  <si>
    <t>A) Push pawns on the queenside to attack Black’s king</t>
  </si>
  <si>
    <t>White has a passed pawn on the d-file, while Black has a pawn majority on the queenside. What should White focus on?</t>
  </si>
  <si>
    <t>A) Push the passed pawn immediately, B) Defend the passed pawn with pieces, C) Attack Black’s pawns on the queenside, D) Exchange pieces to simplify the position</t>
  </si>
  <si>
    <t>Black has a powerful knight on d4, while White has a passive bishop. What should White focus on?</t>
  </si>
  <si>
    <t>A) Trade the bishop for the knight, B) Push a pawn to challenge the knight, C) Improve the position of the other pieces, D) Attack Black’s pawns to create counterplay</t>
  </si>
  <si>
    <t>B) Push a pawn to challenge the knight</t>
  </si>
  <si>
    <t>White has an active queen and rook, while Black’s king is exposed. What is the best way for White to continue the attack?</t>
  </si>
  <si>
    <t>A) Exchange queens to reduce complications, B) Attack Black’s king directly with both pieces, C) Push a pawn to open new lines, D) Defend White’s own king first</t>
  </si>
  <si>
    <t>B) Attack Black’s king directly with both pieces</t>
  </si>
  <si>
    <t>White has a strong knight on d5, while Black has a bishop on c8 that is not active. What is White’s best strategy?</t>
  </si>
  <si>
    <t>A) Exchange the knight for the bishop, B) Push a central pawn to create space, C) Focus on attacking Black’s queenside, D) Attack Black’s king with a direct assault</t>
  </si>
  <si>
    <t>B) Push a central pawn to create space</t>
  </si>
  <si>
    <t>Black has doubled rooks on the open e-file, but White has a knight in the center controlling key squares. What is White’s best response?</t>
  </si>
  <si>
    <t>A) Trade rooks to neutralize Black’s control, B) Use the knight to defend the e-file, C) Counterattack Black’s rooks, D) Push a pawn to support the knight</t>
  </si>
  <si>
    <t>A) Trade rooks to neutralize Black’s control</t>
  </si>
  <si>
    <t>White has an isolated queen's pawn, and Black is trying to block it. What should White focus on?</t>
  </si>
  <si>
    <t>A) Push the isolated pawn, B) Exchange queens to simplify the position, C) Defend the isolated pawn with rooks, D) Launch an attack on the kingside</t>
  </si>
  <si>
    <t>A) Push the isolated pawn</t>
  </si>
  <si>
    <t>In a closed position, Black’s pawns are locked on the queenside, and White’s knight has an outpost on e5. What is White’s plan?</t>
  </si>
  <si>
    <t>A) Trade knights to simplify the position, B) Push the h-pawn to open the kingside, C) Attack Black’s pawns on the queenside, D) Double rooks on an open file</t>
  </si>
  <si>
    <t>B) Push the h-pawn to open the kingside</t>
  </si>
  <si>
    <t>White has a passed pawn on the c-file, but Black’s king is closer to it. What should White do?</t>
  </si>
  <si>
    <t>A) Push the passed pawn immediately, B) Defend the passed pawn with the king, C) Bring a rook to support the passed pawn, D) Attack Black’s pawns to create counterplay</t>
  </si>
  <si>
    <t>C) Bring a rook to support the passed pawn</t>
  </si>
  <si>
    <t>Black has a strong bishop controlling the long diagonal, but White’s knight is threatening an outpost. What should Black do?</t>
  </si>
  <si>
    <t>A) Trade the bishop for the knight, B) Keep the bishop and control the diagonal, C) Attack White’s queenside pawns, D) Exchange rooks to simplify the position</t>
  </si>
  <si>
    <t>B) Keep the bishop and control the diagonal</t>
  </si>
  <si>
    <t>In an opposite-colored bishop endgame, White is up a pawn but Black’s bishop controls key squares. What is White’s plan?</t>
  </si>
  <si>
    <t>A) Trade bishops to convert the advantage, B) Push the passed pawn quickly, C) Use the king to support the pawn, D) Attack Black’s pawns on the opposite wing</t>
  </si>
  <si>
    <t>White has a rook on the seventh rank, while Black’s rooks are passive. What should White’s next move be?</t>
  </si>
  <si>
    <t>A) Exchange rooks to simplify the position, B) Attack Black’s pawns on the seventh rank, C) Move the king closer to support the rooks, D) Push a pawn to open new lines</t>
  </si>
  <si>
    <t>B) Attack Black’s pawns on the seventh rank</t>
  </si>
  <si>
    <t>White has an advanced passed pawn on the a-file, while Black has more active pieces. What should White do?</t>
  </si>
  <si>
    <t>A) Push the passed pawn immediately, B) Defend the passed pawn with the rook, C) Create counterplay by attacking Black’s king, D) Trade pieces to simplify</t>
  </si>
  <si>
    <t>Black has sacrificed a piece to gain the initiative. What is White’s best response to neutralize the attack?</t>
  </si>
  <si>
    <t>A) Trade queens to eliminate the threat, B) Move the king to a safer square, C) Bring more pieces to defend, D) Counterattack Black’s weak pawns</t>
  </si>
  <si>
    <t>C) Bring more pieces to defend</t>
  </si>
  <si>
    <t>White has doubled pawns on the c-file, but Black’s pieces are passive. What should White focus on?</t>
  </si>
  <si>
    <t>A) Push the doubled pawns to create counterplay, B) Attack Black’s king directly, C) Control the open files with rooks, D) Defend the doubled pawns with pieces</t>
  </si>
  <si>
    <t>C) Control the open files with rooks</t>
  </si>
  <si>
    <t>Black’s king is exposed on the queenside after castling, while White has active pieces on both flanks. What should White do?</t>
  </si>
  <si>
    <t>A) Attack Black’s king immediately, B) Exchange queens to reduce complications, C) Bring more pieces into the attack, D) Push pawns on the queenside</t>
  </si>
  <si>
    <t>C) Bring more pieces into the attack</t>
  </si>
  <si>
    <t>White has a rook and a bishop against Black’s rook and knight. Both sides have pawns. What is White’s best plan?</t>
  </si>
  <si>
    <t>A) Trade rooks to simplify the position, B) Use the bishop to control key squares, C) Attack Black’s knight with the rook, D) Push pawns to create a passed pawn</t>
  </si>
  <si>
    <t>B) Use the bishop to control key squares</t>
  </si>
  <si>
    <t>Black has control of the center with pawns, but White’s pieces are more active. What should White focus on?</t>
  </si>
  <si>
    <t>A) Attack Black’s pawns directly, B) Trade pieces to reduce Black’s control, C) Use pieces to attack Black’s king, D) Push pawns to create counterplay</t>
  </si>
  <si>
    <t>C) Use pieces to attack Black’s king</t>
  </si>
  <si>
    <t>White has a strong pawn chain on the kingside, but Black has more space on the queenside. What should White do?</t>
  </si>
  <si>
    <t>A) Push pawns on the kingside to gain space, B) Attack Black’s pawns on the queenside, C) Exchange queens to simplify the position, D) Push pawns in the center to open lines</t>
  </si>
  <si>
    <t>A) Push pawns on the kingside to gain space</t>
  </si>
  <si>
    <t>Black has an outside passed pawn, but White’s pieces are more active in the center. What should White do?</t>
  </si>
  <si>
    <t>A) Attack Black’s passed pawn, B) Counterattack Black’s weak pawns, C) Push pawns to create counterplay, D) Bring the king closer to support the pawns</t>
  </si>
  <si>
    <t>B) Counterattack Black’s weak pawns</t>
  </si>
  <si>
    <t>White’s pieces are more active, but Black has a pawn majority on the queenside. What should White focus on?</t>
  </si>
  <si>
    <t>A) Attack Black’s queenside pawns, B) Push pawns to create counterplay, C) Use pieces to control open files, D) Exchange queens to avoid complications</t>
  </si>
  <si>
    <t>C) Use pieces to control open files</t>
  </si>
  <si>
    <t>In a pawn endgame, Black has an outside passed pawn, but White’s king is more central. What is White’s best plan?</t>
  </si>
  <si>
    <t>A) Push White’s central pawn immediately, B) Move the king to block Black’s pawn, C) Attack Black’s pawns on the other side, D) Exchange pawns to simplify</t>
  </si>
  <si>
    <t>C) Attack Black’s pawns on the other side</t>
  </si>
  <si>
    <t>White’s king is on g1, and Black’s rook is attacking along the open g-file. What is the best move for White?</t>
  </si>
  <si>
    <t>A) Move the king to safety, B) Block the g-file with a piece, C) Counterattack Black’s rook, D) Push a pawn to open a new line</t>
  </si>
  <si>
    <t>B) Block the g-file with a piece</t>
  </si>
  <si>
    <t>White has two rooks controlling the open d-file, while Black’s pieces are cramped. What should White do next?</t>
  </si>
  <si>
    <t>A) Double the rooks on the d-file to create pressure, B) Push a pawn to create new weaknesses, C) Attack Black’s king directly, D) Exchange one rook to simplify</t>
  </si>
  <si>
    <t>A) Double the rooks on the d-file to create pressure</t>
  </si>
  <si>
    <t>White’s queen and bishop are both targeting Black’s castled king. What is the best way to increase the pressure?</t>
  </si>
  <si>
    <t>A) Push a pawn to open lines against the king, B) Bring the rook into the attack, C) Exchange queens to simplify, D) Attack Black’s pawns directly</t>
  </si>
  <si>
    <t>B) Bring the rook into the attack</t>
  </si>
  <si>
    <t>Black has a pawn majority on the kingside but White has control of the open a-file. What should White do?</t>
  </si>
  <si>
    <t>A) Push pawns on the a-file, B) Exchange rooks to simplify the position, C) Attack Black’s kingside pawns, D) Bring the king closer to support the attack</t>
  </si>
  <si>
    <t>A) Push pawns on the a-file</t>
  </si>
  <si>
    <t>White has a strong central pawn chain, but Black’s pieces are more active on the flanks. What is White’s best plan?</t>
  </si>
  <si>
    <t>A) Push the central pawns to gain space, B) Exchange pawns to open the center, C) Attack Black’s pieces on the flanks, D) Defend the pawn chain with pieces</t>
  </si>
  <si>
    <t>A) Push the central pawns to gain space</t>
  </si>
  <si>
    <t>White has doubled pawns on the c-file, but Black’s king is under attack. What should White prioritize?</t>
  </si>
  <si>
    <t>A) Defend the doubled pawns, B) Attack Black’s king, C) Trade queens, D) Push a pawn to open the center</t>
  </si>
  <si>
    <t>B) Attack Black’s king</t>
  </si>
  <si>
    <t>Black has an active knight on e4, while White has a passive bishop. What should White aim for?</t>
  </si>
  <si>
    <t>A) Exchange the bishop for the knight, B) Attack Black’s pawns on the queenside, C) Use the rook to pressure Black’s king, D) Push pawns to create an outpost for the bishop</t>
  </si>
  <si>
    <t>A) Exchange the bishop for the knight</t>
  </si>
  <si>
    <t>White has a rook on the seventh rank and Black’s king is exposed. How should White proceed?</t>
  </si>
  <si>
    <t>A) Double rooks on the seventh rank, B) Bring the queen into the attack, C) Trade queens to simplify, D) Push a pawn to open the kingside</t>
  </si>
  <si>
    <t>B) Bring the queen into the attack</t>
  </si>
  <si>
    <t>Black has a passed pawn on the a-file, while White has a more active king in the endgame. What should White do?</t>
  </si>
  <si>
    <t>A) Block the passed pawn with the rook, B) Push a central pawn to create counterplay, C) Move the king closer to the center, D) Exchange rooks to simplify</t>
  </si>
  <si>
    <t>B) Push a central pawn to create counterplay</t>
  </si>
  <si>
    <t>White has a strong pawn on d6, but Black is threatening to attack it. How should White respond?</t>
  </si>
  <si>
    <t>A) Defend the pawn with pieces, B) Push the pawn to d7, C) Trade pieces to protect the pawn, D) Counterattack Black’s weak pawns</t>
  </si>
  <si>
    <t>A) Defend the pawn with pieces</t>
  </si>
  <si>
    <t>Black has doubled pawns on the f-file, but White’s rooks are passive. What is Black’s best plan?</t>
  </si>
  <si>
    <t>A) Push the f-pawns to create space, B) Trade rooks to simplify the position, C) Use the king to support the pawns, D) Control the open files with rooks</t>
  </si>
  <si>
    <t>D) Control the open files with rooks</t>
  </si>
  <si>
    <t>White has an advanced pawn on the queenside, but Black’s king is more centralized. What should White do?</t>
  </si>
  <si>
    <t>A) Push the pawn to create a passed pawn, B) Defend the pawn with the rook, C) Attack Black’s kingside pawns, D) Exchange rooks to simplify</t>
  </si>
  <si>
    <t>A) Push the pawn to create a passed pawn</t>
  </si>
  <si>
    <t>Black’s knight is on a powerful outpost on d4, while White’s bishop is limited. How should White continue?</t>
  </si>
  <si>
    <t>A) Trade the bishop for the knight, B) Push a pawn to challenge the knight, C) Improve the bishop’s position, D) Attack Black’s queenside pawns</t>
  </si>
  <si>
    <t>White has a pawn majority on the kingside, while Black has a rook on an open file. What should White focus on?</t>
  </si>
  <si>
    <t>A) Push the kingside pawns, B) Exchange rooks to reduce Black’s activity, C) Bring the king into play, D) Attack Black’s pawns on the queenside</t>
  </si>
  <si>
    <t>A) Push the kingside pawns</t>
  </si>
  <si>
    <t>Black has an isolated pawn on d5, but White’s knight is far from the action. How should Black proceed?</t>
  </si>
  <si>
    <t>A) Defend the isolated pawn with pieces, B) Push the isolated pawn to create counterplay, C) Attack White’s knight, D) Exchange queens to simplify the position</t>
  </si>
  <si>
    <t>B) Push the isolated pawn to create counterplay</t>
  </si>
  <si>
    <t>White’s queen is active, but Black has a dangerous passed pawn on the queenside. What should White prioritize?</t>
  </si>
  <si>
    <t>A) Exchange queens to reduce complications, B) Attack Black’s king directly, C) Push a pawn to block the passed pawn, D) Bring the king closer to the action</t>
  </si>
  <si>
    <t>A) Exchange queens to reduce complications</t>
  </si>
  <si>
    <t>Black has a strong bishop on the long diagonal, while White’s pawns are blocking the center. What is Black’s best plan?</t>
  </si>
  <si>
    <t>A) Push pawns to open the diagonal, B) Trade the bishop for White’s knight, C) Double rooks on an open file, D) Attack White’s queenside pawns</t>
  </si>
  <si>
    <t>A) Push pawns to open the diagonal</t>
  </si>
  <si>
    <t>White has doubled pawns on the f-file, but Black’s king is exposed. How should White proceed?</t>
  </si>
  <si>
    <t>A) Push the f-pawns to create space, B) Attack Black’s king with pieces, C) Trade rooks to simplify, D) Defend the doubled pawns with the king</t>
  </si>
  <si>
    <t>B) Attack Black’s king with pieces</t>
  </si>
  <si>
    <t>Black has a rook on the seventh rank, but White’s pawns are more advanced. What should Black focus on?</t>
  </si>
  <si>
    <t>A) Attack White’s pawns from behind, B) Trade rooks to reduce White’s activity, C) Push a pawn to create a passed pawn, D) Defend the seventh rank with pieces</t>
  </si>
  <si>
    <t>A) Attack White’s pawns from behind</t>
  </si>
  <si>
    <t>White has a queen and knight aiming at Black’s kingside, while Black has a solid defense. How should White continue?</t>
  </si>
  <si>
    <t>A) Sacrifice a piece to open lines, B) Bring more pieces into the attack, C) Exchange queens to simplify, D) Attack Black’s pawns on the queenside</t>
  </si>
  <si>
    <t>B) Bring more pieces into the attack</t>
  </si>
  <si>
    <t>Black has doubled rooks on the open file, but White has a powerful knight on a central square. What should Black do?</t>
  </si>
  <si>
    <t>A) Trade rooks to reduce White’s activity, B) Attack White’s knight with a pawn, C) Use the rooks to pressure White’s king, D) Push a pawn to create counterplay</t>
  </si>
  <si>
    <t>C) Use the rooks to pressure White’s king</t>
  </si>
  <si>
    <t>White’s rooks are controlling the open file, but Black has a passed pawn. What is White’s best move?</t>
  </si>
  <si>
    <t>A) Attack Black’s pawn with the rooks, B) Double the rooks on the open file, C) Exchange one rook to simplify, D) Push a pawn to create counterplay</t>
  </si>
  <si>
    <t>A) Attack Black’s pawn with the rooks</t>
  </si>
  <si>
    <t>Black’s queen is centralized, but White has an advanced passed pawn. How should Black respond?</t>
  </si>
  <si>
    <t>A) Block the passed pawn with the queen, B) Exchange queens to simplify the position, C) Attack White’s king directly, D) Bring the king closer to the pawn</t>
  </si>
  <si>
    <t>White has a strong knight on d5, but Black is pressuring the queenside. What should White focus on?</t>
  </si>
  <si>
    <t>A) Attack Black’s queenside pawns, B) Defend the knight with a rook, C) Push a central pawn to open lines, D) Exchange queens to reduce complications</t>
  </si>
  <si>
    <t>A) Attack Black’s queenside pawns</t>
  </si>
  <si>
    <t>Black’s pieces are well-coordinated on the kingside, while White has weak pawns on the queenside. What should Black do?</t>
  </si>
  <si>
    <t>A) Push pawns to open the kingside, B) Attack White’s pawns on the queenside, C) Trade pieces to simplify the position, D) Use the king to support the attack</t>
  </si>
  <si>
    <t>A) Push pawns to open the kingside</t>
  </si>
  <si>
    <t>White’s rook is active on the seventh rank, but Black’s pawns are advancing. How should White proceed?</t>
  </si>
  <si>
    <t>A) Attack Black’s pawns from behind, B) Defend White’s pawns with the king, C) Exchange rooks to simplify the position, D) Push a pawn to open new lines</t>
  </si>
  <si>
    <t>A) Attack Black’s pawns from behind</t>
  </si>
  <si>
    <t>Black has an active knight on d4, while White has a passive rook. What is Black’s best strategy?</t>
  </si>
  <si>
    <t>A) Attack White’s pawns with the knight, B) Trade the knight for White’s rook, C) Use the knight to defend Black’s pawns, D) Push a pawn to create an outpost</t>
  </si>
  <si>
    <t>A) Attack White’s pawns with the knight</t>
  </si>
  <si>
    <t>White has doubled pawns on the g-file, but Black’s king is in the center. How should White continue?</t>
  </si>
  <si>
    <t>A) Push the doubled pawns to create counterplay, B) Attack Black’s king with pieces, C) Exchange pawns to simplify the position, D) Defend the doubled pawns with the rook</t>
  </si>
  <si>
    <t>Black has a bishop pair, while White has a knight and rook. What should Black focus on?</t>
  </si>
  <si>
    <t>A) Trade a bishop for White’s knight, B) Use the bishops to control open diagonals, C) Push pawns to create weaknesses, D) Exchange pieces to reach an endgame</t>
  </si>
  <si>
    <t>B) Use the bishops to control open diagonals</t>
  </si>
  <si>
    <t>White has a rook and a pawn against Black’s rook. Black’s king is in the corner. What should White aim for?</t>
  </si>
  <si>
    <t>A) Push the pawn to promotion, B) Trade the rook for Black’s rook, C) Bring the king closer to the action, D) Exchange pawns to simplify</t>
  </si>
  <si>
    <t>A) Push the pawn to promotion</t>
  </si>
  <si>
    <t>Black has a bishop pair and White has doubled pawns. What should Black focus on?</t>
  </si>
  <si>
    <t>A) Use the bishops to control open diagonals, B) Push pawns on the queenside, C) Exchange one bishop for a rook, D) Attack White’s pawns directly</t>
  </si>
  <si>
    <t>A) Use the bishops to control open diagonals</t>
  </si>
  <si>
    <t>White has a strong knight on e5, while Black’s pawn structure is compromised. What is White’s best strategy?</t>
  </si>
  <si>
    <t>A) Exploit the knight’s position to attack, B) Push pawns to create weaknesses, C) Exchange pieces to simplify, D) Move the knight to a safer square</t>
  </si>
  <si>
    <t>A) Exploit the knight’s position to attack</t>
  </si>
  <si>
    <t>Black has an advanced pawn on d4, but White’s pieces are more active. What should White do?</t>
  </si>
  <si>
    <t>A) Attack the advanced pawn directly, B) Exchange pawns to open lines, C) Improve the position of the pieces, D) Use the rook to pressure Black’s position</t>
  </si>
  <si>
    <t>C) Improve the position of the pieces</t>
  </si>
  <si>
    <t>White has a rook and a pawn on the kingside, while Black’s king is exposed. What is White’s best plan?</t>
  </si>
  <si>
    <t>A) Push the pawn to create a threat, B) Bring the king into the attack, C) Trade rooks to simplify, D) Attack Black’s pawns on the queenside</t>
  </si>
  <si>
    <t>A) Push the pawn to create a threat</t>
  </si>
  <si>
    <t>Black has an active rook on the open file, but White’s king is well-protected. How should Black proceed?</t>
  </si>
  <si>
    <t>A) Push pawns on the queenside, B) Double the rooks on the open file, C) Attack White’s pawns on the kingside, D) Exchange queens to simplify</t>
  </si>
  <si>
    <t>B) Double the rooks on the open file</t>
  </si>
  <si>
    <t>White has a strong bishop on a long diagonal, but Black’s pawns are on the same color as the bishop. What should White do?</t>
  </si>
  <si>
    <t>A) Push pawns on the queenside, B) Use the bishop to control key squares, C) Exchange the bishop for a knight, D) Move the bishop to a different diagonal</t>
  </si>
  <si>
    <t>Black’s knight is threatening White’s queen, but White has a rook and bishop aiming at Black’s king. What should White focus on?</t>
  </si>
  <si>
    <t>A) Attack Black’s king with the rook and bishop, B) Defend the queen from the knight, C) Trade rooks to simplify, D) Push pawns to create counterplay</t>
  </si>
  <si>
    <t>A) Attack Black’s king with the rook and bishop</t>
  </si>
  <si>
    <t>White has a passed pawn on the d-file, while Black’s rook is active on the open file. What is White’s best move?</t>
  </si>
  <si>
    <t>A) Push the passed pawn, B) Defend the pawn with pieces, C) Trade rooks to reduce Black’s activity, D) Attack Black’s pawns on the queenside</t>
  </si>
  <si>
    <t>A) Push the passed pawn</t>
  </si>
  <si>
    <t>Black has a rook on the seventh rank and White’s king is exposed. How should Black continue?</t>
  </si>
  <si>
    <t>A) Use the rook to attack White’s king, B) Push pawns on the queenside, C) Exchange rooks to simplify, D) Bring the queen into the attack</t>
  </si>
  <si>
    <t>A) Use the rook to attack White’s king</t>
  </si>
  <si>
    <t>White’s knight is on an outpost on c5, but Black’s pawns are attacking it. What should White do?</t>
  </si>
  <si>
    <t>A) Defend the knight with another piece, B) Exchange the knight for a pawn, C) Move the knight to a safer square, D) Push a pawn to support the knight</t>
  </si>
  <si>
    <t>A) Defend the knight with another piece</t>
  </si>
  <si>
    <t>Black’s pawn structure is compromised, but White has a rook and queen. What is White’s best strategy?</t>
  </si>
  <si>
    <t>A) Exploit Black’s pawn weaknesses, B) Trade queens to simplify, C) Push pawns to create weaknesses, D) Attack Black’s king with the rook</t>
  </si>
  <si>
    <t>A) Exploit Black’s pawn weaknesses</t>
  </si>
  <si>
    <t>White has an advanced pawn on e6, but Black’s pieces are well-coordinated. What should White do?</t>
  </si>
  <si>
    <t>A) Push the pawn to promote, B) Defend the pawn with pieces, C) Exchange pieces to reduce Black’s activity, D) Attack Black’s pawns on the queenside</t>
  </si>
  <si>
    <t>C) Exchange pieces to reduce Black’s activity</t>
  </si>
  <si>
    <t>Black has a queen and pawn on the kingside, while White’s pieces are active on the queenside. What should Black focus on?</t>
  </si>
  <si>
    <t>A) Push the pawn to create a threat, B) Bring the king into the attack, C) Exchange queens to simplify, D) Attack White’s pawns on the queenside</t>
  </si>
  <si>
    <t>White’s rook is on the open file, but Black’s king is well-protected. How should White proceed?</t>
  </si>
  <si>
    <t>A) Push pawns on the queenside, B) Double the rooks on the open file, C) Exchange rooks to simplify, D) Attack Black’s pawns on the kingside</t>
  </si>
  <si>
    <t>Black has a knight on an outpost, but White’s king is in a strong position. What should Black do?</t>
  </si>
  <si>
    <t>A) Use the knight to attack White’s pawns, B) Push pawns to create counterplay, C) Bring more pieces into the attack, D) Exchange knights to simplify</t>
  </si>
  <si>
    <t>A) Use the knight to attack White’s pawns</t>
  </si>
  <si>
    <t>White has a rook and pawn on the kingside, but Black’s rook is active on an open file. What is White’s best plan?</t>
  </si>
  <si>
    <t>A) Push the pawn to create a passed pawn, B) Bring the king into the attack, C) Trade rooks to simplify, D) Attack Black’s pawns on the queenside</t>
  </si>
  <si>
    <t>Black has a bishop pair, but White’s pawns are advanced. What should Black prioritize?</t>
  </si>
  <si>
    <t>A) Use the bishops to control open diagonals, B) Push pawns on the queenside, C) Exchange a bishop for a rook, D) Attack White’s pawns on the kingside</t>
  </si>
  <si>
    <t>White has a strong pawn on d6, but Black has an active queen. What is White’s best strategy?</t>
  </si>
  <si>
    <t>A) Defend the pawn with pieces, B) Attack Black’s king with the queen, C) Push the pawn to promote, D) Exchange queens to simplify</t>
  </si>
  <si>
    <t>Black has doubled rooks on an open file, but White has a powerful knight on e5. How should White respond?</t>
  </si>
  <si>
    <t>A) Attack Black’s rooks with the knight, B) Trade rooks to reduce Black’s activity, C) Push pawns on the queenside, D) Bring the king into play</t>
  </si>
  <si>
    <t>B) Trade rooks to reduce Black’s activity</t>
  </si>
  <si>
    <t>White has a rook on the seventh rank, while Black’s pawns are advancing. What should White focus on?</t>
  </si>
  <si>
    <t>A) Attack Black’s pawns from behind, B) Defend the rook with pieces, C) Push a pawn to create counterplay, D) Exchange pawns to simplify</t>
  </si>
  <si>
    <t>Black has a knight on an active square, but White’s bishop is controlling key diagonals. What should Black do?</t>
  </si>
  <si>
    <t>A) Use the knight to attack White’s pawns, B) Exchange the knight for White’s bishop, C) Push pawns to create weaknesses, D) Bring more pieces into the attack</t>
  </si>
  <si>
    <t>White’s rook and queen are on the kingside, but Black’s king is in the center. What is White’s best plan?</t>
  </si>
  <si>
    <t>A) Coordinate the rook and queen to attack, B) Push pawns on the queenside, C) Exchange queens to simplify, D) Bring the king into the center</t>
  </si>
  <si>
    <t>A) Coordinate the rook and queen to attack</t>
  </si>
  <si>
    <t>Black has an advanced pawn on c5, while White’s pieces are active. What should White focus on?</t>
  </si>
  <si>
    <t>A) Attack the advanced pawn directly, B) Improve the position of the pieces, C) Exchange pawns to open lines, D) Push pawns to create counterplay</t>
  </si>
  <si>
    <t>White has a knight and bishop, but Black has a queen. How should White approach the position?</t>
  </si>
  <si>
    <t>A) Coordinate the knight and bishop for an attack, B) Exchange pieces to simplify, C) Push pawns to create counterplay, D) Defend the knight with pieces</t>
  </si>
  <si>
    <t>A) Coordinate the knight and bishop for an attack</t>
  </si>
  <si>
    <t>Black has a strong pawn on d4, but White has a rook on the open file. What is White’s best plan?</t>
  </si>
  <si>
    <t>A) Use the rook to pressure Black’s position, B) Push pawns on the queenside, C) Exchange rooks to simplify, D) Defend the rook with pieces</t>
  </si>
  <si>
    <t>A) Use the rook to pressure Black’s position</t>
  </si>
  <si>
    <t>White has an advanced pawn on b7, but Black’s pieces are active. What should White aim for?</t>
  </si>
  <si>
    <t>A) Push the pawn to promotion, B) Defend the pawn with pieces, C) Exchange pieces to simplify, D) Attack Black’s pawns on the kingside</t>
  </si>
  <si>
    <t>Black has a rook and pawn on the kingside, while White’s king is exposed. What should Black do?</t>
  </si>
  <si>
    <t>A) Use the rook to attack White’s king, B) Push the pawn to create a threat, C) Exchange rooks to simplify, D) Bring the queen into the attack</t>
  </si>
  <si>
    <t>White has a rook on the open file, but Black’s king is well-protected. What should White focus on?</t>
  </si>
  <si>
    <t>A) Double the rooks on the open file, B) Push pawns on the queenside, C) Exchange rooks to simplify, D) Attack Black’s pawns on the kingside</t>
  </si>
  <si>
    <t>A) Double the rooks on the open file</t>
  </si>
  <si>
    <t>Black’s knight is on an outpost on c5, but White’s pieces are active. How should White proceed?</t>
  </si>
  <si>
    <t>A) Attack the knight with pieces, B) Push pawns on the queenside, C) Exchange knights to simplify, D) Bring the queen into play</t>
  </si>
  <si>
    <t>A) Attack the knight with pieces</t>
  </si>
  <si>
    <t>White has a bishop pair, but Black’s pawns are on the same color as the bishops. What should White focus on?</t>
  </si>
  <si>
    <t>A) Use the bishops to control key diagonals, B) Push pawns to create weaknesses, C) Exchange a bishop for a rook, D) Attack Black’s pawns on the kingside</t>
  </si>
  <si>
    <t>A) Use the bishops to control key diagonals</t>
  </si>
  <si>
    <t>Black has a rook and pawns on the kingside, while White’s pieces are on the queenside. What is Black’s best plan?</t>
  </si>
  <si>
    <t>A) Push the pawns to create threats, B) Bring the king into the attack, C) Exchange rooks to simplify, D) Push pawns on the queenside</t>
  </si>
  <si>
    <t>A) Push the pawns to create threats</t>
  </si>
  <si>
    <t>White has a strong pawn on e6, but Black’s pieces are well-coordinated. What should White aim for?</t>
  </si>
  <si>
    <t>Black has an advanced pawn on d4, while White has a rook on the open file. What should White focus on?</t>
  </si>
  <si>
    <t>White has a strong knight on e5, but Black’s pawns are attacking it. What should White do?</t>
  </si>
  <si>
    <t>Black has a queen and pawn on the kingside, while White’s pieces are on the queenside. What should Black do?</t>
  </si>
  <si>
    <t>White has a rook on the open file, but Black’s king is well-protected. How should White proceed?</t>
  </si>
  <si>
    <t>Black has a knight on an outpost, but White’s bishop is controlling key diagonals. What should Black do?</t>
  </si>
  <si>
    <t>Black’s rook is on the seventh rank, but White’s king is well-protected. What should Black do?</t>
  </si>
  <si>
    <t>A) Use the rook to attack White’s pawns, B) Push pawns on the queenside, C) Exchange rooks to simplify, D) Bring the queen into the attack</t>
  </si>
  <si>
    <t>A) Use the rook to attack White’s pawns</t>
  </si>
  <si>
    <t>A) Coordinate the rook and pawn to attack, B) Push pawns on the queenside, C) Exchange rooks to simplify, D) Bring the king into play</t>
  </si>
  <si>
    <t>A) Coordinate the rook and pawn to attack</t>
  </si>
  <si>
    <t>Black has a strong pawn on d4, while White’s pieces are more active. What should White do?</t>
  </si>
  <si>
    <t>White has a rook on an open file, but Black’s king is well-protected. How should White focus on the position?</t>
  </si>
  <si>
    <t>Black’s bishop is pinned by White’s rook, but White’s king is well-protected. What should Black do?</t>
  </si>
  <si>
    <t>A) Move the bishop to safety, B) Push pawns to create counterplay, C) Bring the queen into the attack, D) Exchange bishops to simplify</t>
  </si>
  <si>
    <t>A) Move the bishop to safety</t>
  </si>
  <si>
    <t>White has a strong pawn on e6, but Black’s pieces are well-coordinated. What is White’s best move?</t>
  </si>
  <si>
    <t>Black has an advanced pawn on c5, while White’s pieces are more active. What should White aim for?</t>
  </si>
  <si>
    <t>White’s knight is attacking Black’s queen, but Black’s rook is active on an open file. What should White do?</t>
  </si>
  <si>
    <t>A) Move the knight to a safer square, B) Exchange queens to simplify, C) Attack Black’s rook with another piece, D) Push pawns to create counterplay</t>
  </si>
  <si>
    <t>B) Exchange queens to simplify</t>
  </si>
  <si>
    <t>Black has a rook on the seventh rank, while White has an active queen. What is White’s best strategy?</t>
  </si>
  <si>
    <t>A) Coordinate the queen and rook to attack, B) Push pawns on the queenside, C) Exchange rooks to simplify, D) Bring the king into the center</t>
  </si>
  <si>
    <t>A) Coordinate the queen and rook to attack</t>
  </si>
  <si>
    <t>White has a powerful pawn on d6, but Black’s pieces are well-coordinated. What should White do?</t>
  </si>
  <si>
    <t>Black has a bishop pair, but White’s pawns are advanced. What is Black’s best move?</t>
  </si>
  <si>
    <t>A) Use the bishops to control key diagonals, B) Push pawns to create counterplay, C) Exchange a bishop for a rook, D) Attack White’s pawns on the kingside</t>
  </si>
  <si>
    <t>White has a rook and a pawn on the kingside, while Black’s king is exposed. What should White focus on?</t>
  </si>
  <si>
    <t>Black has a rook on the seventh rank, but White’s king is well-protected. What should Black do?</t>
  </si>
  <si>
    <t>White has a knight and bishop, but Black has a queen. What should White focus on?</t>
  </si>
  <si>
    <t>Black has an advanced pawn on c5, while White’s pieces are active. What should White do?</t>
  </si>
  <si>
    <t>White has an advanced pawn on b7, but Black’s pieces are active. What should White do?</t>
  </si>
  <si>
    <t>White’s rook is on the open file, but Black’s king is well-protected. How should White focus on the position?</t>
  </si>
  <si>
    <t>Black’s knight is on an outpost, but White’s bishop is controlling key diagonals. What should Black do?</t>
  </si>
  <si>
    <t>White has an advanced pawn on e6, but Black’s pieces are well-coordinated. What is White’s best move?</t>
  </si>
  <si>
    <t>Black has a strong pawn on d4, while White’s pieces are active. What should White do?</t>
  </si>
  <si>
    <t>White has a rook on an open file, but Black’s king is well-protected. What should White do?</t>
  </si>
  <si>
    <t>Black has a rook on the seventh rank, while White has an active queen. What should White focus on?</t>
  </si>
  <si>
    <t>White has a rook on the open file, but Black’s king is well-protected. What is White’s best move?</t>
  </si>
  <si>
    <t>White has a powerful pawn on e6, but Black’s pieces are well-coordinated. What is White’s best move?</t>
  </si>
  <si>
    <t>White is down a rook but has a strong pawn on d6. Black’s king is on g8. What should White do to maximize their advantage?</t>
  </si>
  <si>
    <t>A) Push the pawn to d7, B) Use the pawn as a decoy to create threats, C) Exchange pawns to simplify, D) Activate the king to support the pawn</t>
  </si>
  <si>
    <t>B) Use the pawn as a decoy to create threats</t>
  </si>
  <si>
    <t>Black has a passed pawn on e4, while White has a rook and bishop. How should White respond to this pawn threat?</t>
  </si>
  <si>
    <t>A) Push the pawn on the queenside, B) Use the rook to attack the pawn, C) Use the bishop to support the rook, D) Exchange the passed pawn for White’s pawn</t>
  </si>
  <si>
    <t>B) Use the rook to attack the pawn</t>
  </si>
  <si>
    <t>White has a rook on the seventh rank and a knight on f3. Black’s king is on g8 and has a rook on a8. What is White’s best strategy?</t>
  </si>
  <si>
    <t>A) Double the rooks on the open file, B) Coordinate the knight and rook for an attack, C) Push pawns on the queenside, D) Exchange rooks to simplify</t>
  </si>
  <si>
    <t>B) Coordinate the knight and rook for an attack</t>
  </si>
  <si>
    <t>Black has a bishop pair and White has pawns on the queenside. How should White use their pawns to their advantage?</t>
  </si>
  <si>
    <t>A) Push the pawns to create a passed pawn, B) Defend the pawns with pieces, C) Exchange pawns to open lines, D) Push pawns to create a blockade</t>
  </si>
  <si>
    <t>White has a rook and pawn on the kingside, while Black has an advanced pawn on c5. What should White do to capitalize on their position?</t>
  </si>
  <si>
    <t>A) Push the pawn to promotion, B) Use the rook to attack Black’s c5 pawn, C) Push pawns on the queenside, D) Exchange pawns to open lines</t>
  </si>
  <si>
    <t>B) Use the rook to attack Black’s c5 pawn</t>
  </si>
  <si>
    <t>Black’s queen is attacking White’s rook, but White has an active bishop on e2. What should White do?</t>
  </si>
  <si>
    <t>A) Move the rook to safety, B) Exchange queens to simplify, C) Use the bishop to protect the rook, D) Push pawns to create counterplay</t>
  </si>
  <si>
    <t>White has an advanced pawn on f7 and Black has a rook on f8. How should White proceed?</t>
  </si>
  <si>
    <t>A) Push the pawn to promote, B) Use the rook to attack Black’s rook, C) Exchange pawns to open lines, D) Bring the king into the center</t>
  </si>
  <si>
    <t>Black’s rook is on the seventh rank and White’s king is on g1. What should Black focus on?</t>
  </si>
  <si>
    <t>A) Use the rook to attack White’s pawns, B) Push pawns on the queenside, C) Bring the queen into the attack, D) Exchange rooks to simplify</t>
  </si>
  <si>
    <t>White has a powerful knight on d5 and Black’s bishop is on b7. What should White do to maximize their advantage?</t>
  </si>
  <si>
    <t>A) Use the knight to attack Black’s pawns, B) Push pawns to create a passed pawn, C) Coordinate the knight and rook for an attack, D) Exchange knights to simplify</t>
  </si>
  <si>
    <t>C) Coordinate the knight and rook for an attack</t>
  </si>
  <si>
    <t>Black has a queen and pawn on the kingside, while White has a rook on an open file. How should White respond?</t>
  </si>
  <si>
    <t>A) Double the rooks on the open file, B) Push pawns on the queenside, C) Exchange rooks to simplify, D) Coordinate the rook and king to defend</t>
  </si>
  <si>
    <t>White has a rook on the open file and a pawn on d6, while Black has a knight on e6. What should White focus on?</t>
  </si>
  <si>
    <t>A) Push the pawn to d7, B) Use the rook to attack Black’s knight, C) Exchange rooks to simplify, D) Bring the king into play</t>
  </si>
  <si>
    <t>A) Push the pawn to d7</t>
  </si>
  <si>
    <t>Black has an advanced pawn on a4 and White’s bishop is on f1. What should White do to handle this pawn?</t>
  </si>
  <si>
    <t>A) Move the bishop to attack the pawn, B) Push pawns on the queenside, C) Defend the bishop with other pieces, D) Exchange pawns to open lines</t>
  </si>
  <si>
    <t>A) Move the bishop to attack the pawn</t>
  </si>
  <si>
    <t>White has an advanced pawn on b6 and Black has a rook on a8. What should White do to maximize their position?</t>
  </si>
  <si>
    <t>A) Push the pawn to b7, B) Coordinate the pawn and rook for an attack, C) Exchange rooks to simplify, D) Bring the king into play</t>
  </si>
  <si>
    <t>A) Push the pawn to b7</t>
  </si>
  <si>
    <t>Black’s queen is active on the kingside and White has a rook and bishop on the queenside. What should White focus on?</t>
  </si>
  <si>
    <t>A) Coordinate the rook and bishop for an attack, B) Push pawns on the kingside, C) Exchange queens to simplify, D) Bring the king into the center</t>
  </si>
  <si>
    <t>A) Coordinate the rook and bishop for an attack</t>
  </si>
  <si>
    <t>White has a rook on the seventh rank and Black has an advanced pawn on e5. What should White do?</t>
  </si>
  <si>
    <t>A) Use the rook to attack the pawn, B) Push pawns on the queenside, C) Exchange rooks to simplify, D) Bring the king into play</t>
  </si>
  <si>
    <t>A) Use the rook to attack the pawn</t>
  </si>
  <si>
    <t>Black has a knight on c6 and White has a bishop and pawn on the queenside. What should White focus on?</t>
  </si>
  <si>
    <t>A) Push the pawns to create a passed pawn, B) Use the bishop to attack Black’s knight, C) Coordinate the bishop and pawn for an attack, D) Exchange pieces to simplify</t>
  </si>
  <si>
    <t>C) Coordinate the bishop and pawn for an attack</t>
  </si>
  <si>
    <t>White has a rook on an open file and Black has a bishop pair. What should White do to maximize their advantage?</t>
  </si>
  <si>
    <t>A) Double the rooks on the open file, B) Use the rooks to attack Black’s pawns, C) Push pawns on the queenside, D) Exchange rooks to simplify</t>
  </si>
  <si>
    <t>Black has a rook and pawn on the kingside, while White has a knight on f5. What should White do?</t>
  </si>
  <si>
    <t>A) Use the knight to attack Black’s pawns, B) Push pawns on the queenside, C) Coordinate the knight and rook for an attack, D) Exchange knights to simplify</t>
  </si>
  <si>
    <t>A) Use the knight to attack Black’s pawns</t>
  </si>
  <si>
    <t>White has a pawn on g7 and Black’s king is on h8. What should White do to secure the win?</t>
  </si>
  <si>
    <t>A) Promote the pawn, B) Use the rook to attack Black’s pawns, C) Coordinate the rook and pawn for an attack, D) Bring the king into play</t>
  </si>
  <si>
    <t>A) Promote the pawn</t>
  </si>
  <si>
    <t>Black has a bishop pair and White has an active rook. What should White focus on in this situation?</t>
  </si>
  <si>
    <t>A) Coordinate the rook and pawn for an attack, B) Exchange pieces to simplify, C) Push pawns to create counterplay, D) Attack Black’s bishops directly</t>
  </si>
  <si>
    <t>A) Coordinate the rook and pawn for an attack</t>
  </si>
  <si>
    <t>White has a queen on e4 and Black has a rook on f8. What is White’s best strategy?</t>
  </si>
  <si>
    <t>A) Coordinate the queen and rook for an attack, B) Push pawns on the kingside, C) Exchange queens to simplify, D) Attack Black’s rook with the queen</t>
  </si>
  <si>
    <t>A) Coordinate the queen and rook for an attack</t>
  </si>
  <si>
    <t>Black has an advanced pawn on f4, while White has a bishop and knight. What should White do?</t>
  </si>
  <si>
    <t>A) Use the knight to attack the pawn, B) Push pawns on the queenside, C) Exchange the pawn for White’s pieces, D) Coordinate the bishop and knight for an attack</t>
  </si>
  <si>
    <t>D) Coordinate the bishop and knight for an attack</t>
  </si>
  <si>
    <t>White has a rook and pawn on the kingside, while Black has a queen and pawns. What should White focus on?</t>
  </si>
  <si>
    <t>A) Use the rook to support the pawn promotion, B) Push pawns on the queenside, C) Exchange rooks to simplify, D) Coordinate the rook and king to defend</t>
  </si>
  <si>
    <t>A) Use the rook to support the pawn promotion</t>
  </si>
  <si>
    <t>Black has a rook and bishop, and White has a queen and pawn on the queenside. What should White do?</t>
  </si>
  <si>
    <t>A) Use the queen to attack Black’s pawns, B) Push the pawn to create a passed pawn, C) Coordinate the queen and pawn for an attack, D) Exchange queens to simplify</t>
  </si>
  <si>
    <t>White has a knight on e5 and Black’s king is on g8. What should White focus on?</t>
  </si>
  <si>
    <t>A) Use the knight to attack Black’s pawns, B) Coordinate the knight and other pieces for an attack, C) Push pawns on the kingside, D) Exchange knights to simplify</t>
  </si>
  <si>
    <t>B) Coordinate the knight and other pieces for an attack</t>
  </si>
  <si>
    <t>Black has a queen and pawn on the queenside, while White has a rook and bishop. What should White do?</t>
  </si>
  <si>
    <t>A) Use the rook and bishop to attack Black’s pawns, B) Push pawns on the kingside, C) Exchange pieces to simplify, D) Coordinate the rook and bishop for an attack</t>
  </si>
  <si>
    <t>A) Use the rook and bishop to attack Black’s pawns</t>
  </si>
  <si>
    <t>White has a passed pawn on b6 and Black’s king is on g8. What should White do?</t>
  </si>
  <si>
    <t>A) Push the pawn to b7, B) Use the pawn to create threats, C) Coordinate the pawn with other pieces, D) Bring the king into play</t>
  </si>
  <si>
    <t>Black has a rook and a pawn on the kingside, while White has a queen on the open file. What should White focus on?</t>
  </si>
  <si>
    <t>A) Coordinate the queen and rook for an attack, B) Push pawns on the queenside, C) Exchange queens to simplify, D) Use the queen to attack Black’s pawns</t>
  </si>
  <si>
    <t>White has a powerful pawn on f7 and Black’s rook is on f8. What should White do?</t>
  </si>
  <si>
    <t>A) Push the pawn to promotion, B) Use the pawn as a decoy, C) Coordinate the pawn and rook for an attack, D) Exchange rooks to simplify</t>
  </si>
  <si>
    <t>Black’s queen is active on the kingside and White has a rook on the queenside. How should White respond?</t>
  </si>
  <si>
    <t>A) Push pawns on the queenside, B) Use the rook to attack Black’s pawns, C) Coordinate the rook and other pieces for an attack, D) Exchange queens to simplify</t>
  </si>
  <si>
    <t>C) Coordinate the rook and other pieces for an attack</t>
  </si>
  <si>
    <t>White has a rook on the seventh rank and Black has a bishop on e6. What should White do?</t>
  </si>
  <si>
    <t>A) Use the rook to attack Black’s pawns, B) Push pawns on the queenside, C) Exchange rooks to simplify, D) Coordinate the rook with other pieces for an attack</t>
  </si>
  <si>
    <t>A) Use the rook to attack Black’s pawns</t>
  </si>
  <si>
    <t>Black has an advanced pawn on d4 and White has a rook and bishop on the queenside. What should White do?</t>
  </si>
  <si>
    <t>A) Use the rook to attack Black’s pawn, B) Push pawns on the kingside, C) Coordinate the rook and bishop for an attack, D) Exchange pieces to simplify</t>
  </si>
  <si>
    <t>C) Coordinate the rook and bishop for an attack</t>
  </si>
  <si>
    <t>White has a queen and pawn on the kingside, while Black has a rook on an open file. What should White do?</t>
  </si>
  <si>
    <t>A) Coordinate the queen and pawn for an attack, B) Push pawns on the queenside, C) Exchange queens to simplify, D) Use the queen to support the pawn promotion</t>
  </si>
  <si>
    <t>D) Use the queen to support the pawn promotion</t>
  </si>
  <si>
    <t>Black has a knight on d5 and White’s king is on h1. What is White’s best move?</t>
  </si>
  <si>
    <t>A) Use the queen to attack Black’s knight, B) Push pawns on the queenside, C) Coordinate the queen and other pieces for an attack, D) Exchange pieces to simplify</t>
  </si>
  <si>
    <t>C) Coordinate the queen and other pieces for an attack</t>
  </si>
  <si>
    <t>White has a rook on the seventh rank and Black has a bishop on b7. What should White focus on?</t>
  </si>
  <si>
    <t>Black has a passed pawn on b5 and White’s king is on h3. What should White do?</t>
  </si>
  <si>
    <t>A) Use the king to support the pawns, B) Push pawns on the queenside, C) Coordinate the king and rook for an attack, D) Exchange pawns to simplify</t>
  </si>
  <si>
    <t>B) Push pawns on the queenside</t>
  </si>
  <si>
    <t>White has a rook and pawn on the kingside, while Black has a queen on an open file. What should White do?</t>
  </si>
  <si>
    <t>A) Coordinate the rook and pawn for an attack, B) Use the rook to attack Black’s queen, C) Push pawns on the queenside, D) Exchange queens to simplify</t>
  </si>
  <si>
    <t>Black has a knight on e6 and White has a pawn on f7. What should White do to maximize their position?</t>
  </si>
  <si>
    <t>A) Push the pawn to f8, B) Use the pawn to create threats, C) Coordinate the pawn with other pieces for an attack, D) Exchange knights to simplify</t>
  </si>
  <si>
    <t>A) Push the pawn to f8</t>
  </si>
  <si>
    <t>White has a queen on d1 and Black has a rook on a8. What is White’s best strategy?</t>
  </si>
  <si>
    <t>A) Coordinate the queen with other pieces for an attack, B) Push pawns on the kingside, C) Exchange queens to simplify, D) Use the queen to attack Black’s rook</t>
  </si>
  <si>
    <t>A) Coordinate the queen with other pieces for an attack</t>
  </si>
  <si>
    <t>Black has an advanced pawn on f4 and White has a rook and bishop. What should White do?</t>
  </si>
  <si>
    <t>A) Use the rook and bishop to attack Black’s pawn, B) Push pawns on the queenside, C) Coordinate the rook and bishop for an attack, D) Exchange pieces to simplify</t>
  </si>
  <si>
    <t>White has a powerful pawn on g6 and Black’s king is on h8. What should White do to win?</t>
  </si>
  <si>
    <t>A) Promote the pawn to a queen, B) Use the pawn to create threats, C) Coordinate the pawn with other pieces, D) Exchange pawns to simplify</t>
  </si>
  <si>
    <t>A) Promote the pawn to a queen</t>
  </si>
  <si>
    <t>White has a rook on the seventh rank and Black has a bishop on e6. What should White focus on?</t>
  </si>
  <si>
    <t>Black has a knight on d5 and White has a rook on the seventh rank. What should White do?</t>
  </si>
  <si>
    <t>A) Use the rook to attack Black’s pawns, B) Push pawns on the queenside, C) Coordinate the rook and knight for an attack, D) Exchange rooks to simplify</t>
  </si>
  <si>
    <t>White has a passed pawn on c6 and Black’s king is on g8. What should White do?</t>
  </si>
  <si>
    <t>A) Push the pawn to c7, B) Use the pawn to create threats, C) Coordinate the pawn with other pieces for an attack, D) Bring the king into play</t>
  </si>
  <si>
    <t>A) Push the pawn to c7</t>
  </si>
  <si>
    <t>Black has a rook and pawn on the kingside, while White has a queen on the open file. What should White do?</t>
  </si>
  <si>
    <t>A) Coordinate the queen and rook for an attack, B) Push pawns on the queenside, C) Exchange queens to simplify, D) Use the queen to support the pawn promotion</t>
  </si>
  <si>
    <t>White has an advanced pawn on d6 and Black has a rook on a8. What should White focus on?</t>
  </si>
  <si>
    <t>A) Push the pawn to d7, B) Use the pawn as a decoy, C) Coordinate the pawn with other pieces for an attack, D) Exchange rooks to simplify</t>
  </si>
  <si>
    <t>Black has an advanced pawn on a5 and White’s king is on h1. What should White do?</t>
  </si>
  <si>
    <t>A) Push pawns on the queenside, B) Use the king to support the pawns, C) Coordinate the king and rook for an attack, D) Exchange pawns to simplify</t>
  </si>
  <si>
    <t>A) Push pawns on the queenside</t>
  </si>
  <si>
    <t>White has a queen and pawn on the kingside, while Black has a rook and bishop. What should White do?</t>
  </si>
  <si>
    <t>Black has a passed pawn on c4 and White has a rook and bishop on the queenside. What should White do?</t>
  </si>
  <si>
    <t>White has a rook on the seventh rank and Black has a knight on e6. What should White focus on?</t>
  </si>
  <si>
    <t>Black has a bishop pair and White has a rook and pawn on the kingside. What should White do?</t>
  </si>
  <si>
    <t>A) Use the rook to attack Black’s bishops, B) Push pawns on the queenside, C) Coordinate the rook and pawn for an attack, D) Exchange pieces to simplify</t>
  </si>
  <si>
    <t>C) Coordinate the rook and pawn for an attack</t>
  </si>
  <si>
    <t>White has a pawn on d7 and Black’s king is on g8. What should White do to win?</t>
  </si>
  <si>
    <t>Black has an advanced pawn on g4 and White has a rook and bishop. What should White do?</t>
  </si>
  <si>
    <t>A) Use the rook and bishop to attack Black’s pawn</t>
  </si>
  <si>
    <t>White has a queen and pawn on the kingside, while Black has a rook on an open file. What should White focus on?</t>
  </si>
  <si>
    <t>Black has a rook on the seventh rank and White has a knight on d5. What should White do?</t>
  </si>
  <si>
    <t>A) Use the knight to attack Black’s rook, B) Push pawns on the queenside, C) Coordinate the knight and other pieces for an attack, D) Exchange knights to simplify</t>
  </si>
  <si>
    <t>A) Use the knight to attack Black’s rook</t>
  </si>
  <si>
    <t>White has a powerful pawn on e6 and Black’s king is on g8. What should White do to win?</t>
  </si>
  <si>
    <t>A) Push the pawn to promotion, B) Use the pawn to create threats, C) Coordinate the pawn with other pieces, D) Exchange pawns to simplify</t>
  </si>
  <si>
    <t>Black has a knight on f4 and White has a rook on the seventh rank. What should White focus on?</t>
  </si>
  <si>
    <t>A) Use the rook to attack Black’s knight, B) Push pawns on the queenside, C) Coordinate the rook and other pieces for an attack, D) Exchange rooks to simplify</t>
  </si>
  <si>
    <t>A) Use the rook to attack Black’s knight</t>
  </si>
  <si>
    <t>White has an advanced pawn on a6 and Black’s king is on g8. What should White do?</t>
  </si>
  <si>
    <t>A) Push the pawn to a7, B) Use the pawn to create threats, C) Coordinate the pawn with other pieces, D) Exchange pawns to simplify</t>
  </si>
  <si>
    <t>A) Push the pawn to a7</t>
  </si>
  <si>
    <t>Black has a queen on the kingside and White has a rook on the open file. What should White focus on?</t>
  </si>
  <si>
    <t>A) Coordinate the rook and other pieces for an attack, B) Push pawns on the queenside, C) Exchange queens to simplify, D) Use the rook to attack Black’s pawns</t>
  </si>
  <si>
    <t>A) Coordinate the rook and other pieces for an attack</t>
  </si>
  <si>
    <t>A) Use the rook to attack Black’s pawn, B) Push pawns on the queenside, C) Coordinate the rook and other pieces for an attack, D) Exchange rooks to simplify</t>
  </si>
  <si>
    <t>A) Use the rook to attack Black’s pawn</t>
  </si>
  <si>
    <t>Black has a bishop on c6 and White has a pawn on e6. What should White do to maximize their position?</t>
  </si>
  <si>
    <t>A) Push the pawn to e7, B) Use the pawn to create threats, C) Coordinate the pawn with other pieces for an attack, D) Exchange pieces to simplify</t>
  </si>
  <si>
    <t>A) Push the pawn to e7</t>
  </si>
  <si>
    <t>White has a queen and rook on the kingside, while Black has a bishop pair. What should White do?</t>
  </si>
  <si>
    <t>Black has an advanced pawn on b4 and White has a rook on the seventh rank. What should White do?</t>
  </si>
  <si>
    <t>A) Use the rook to attack Black’s pawn, B) Push pawns on the kingside, C) Coordinate the rook with other pieces for an attack, D) Exchange pieces to simplify</t>
  </si>
  <si>
    <t>White has an advanced pawn on c5 and Black has a rook on f8. What should White do?</t>
  </si>
  <si>
    <t>A) Push the pawn to c6, B) Use the pawn to create threats, C) Coordinate the pawn with other pieces, D) Exchange pawns to simplify</t>
  </si>
  <si>
    <t>A) Push the pawn to c6</t>
  </si>
  <si>
    <t>Black has a passed pawn on d5 and White has a queen on the kingside. What should White focus on?</t>
  </si>
  <si>
    <t>A) Coordinate the queen and other pieces for an attack, B) Push pawns on the queenside, C) Exchange queens to simplify, D) Use the queen to support the pawn promotion</t>
  </si>
  <si>
    <t>A) Coordinate the queen and other pieces for an attack</t>
  </si>
  <si>
    <t>White has a rook on the seventh rank and Black has a knight on d5. What should White do?</t>
  </si>
  <si>
    <t>Black has a bishop on g5 and White has a rook on the open file. What should White do?</t>
  </si>
  <si>
    <t>A) Coordinate the rook with other pieces for an attack, B) Push pawns on the queenside, C) Exchange rooks to simplify, D) Use the rook to attack Black’s bishop</t>
  </si>
  <si>
    <t>A) Coordinate the rook with other pieces for an attack</t>
  </si>
  <si>
    <t>White has a rook on the seventh rank and Black has a pawn on f4. What should White focus on?</t>
  </si>
  <si>
    <t>A) Use the rook to attack Black’s pawn, B) Push pawns on the queenside, C) Coordinate the rook with other pieces for an attack, D) Exchange rooks to simplify</t>
  </si>
  <si>
    <t>Black has a rook on f8 and White has a pawn on f7. What should White do to win?</t>
  </si>
  <si>
    <t>A) Push the pawn to promotion, B) Use the pawn to create threats, C) Coordinate the pawn with other pieces, D) Exchange rooks to simplify</t>
  </si>
  <si>
    <t>Black has an advanced pawn on d4 and White has a rook on the open file. What should White do?</t>
  </si>
  <si>
    <t>A) Use the rook to attack Black’s pawn, B) Push pawns on the kingside, C) Coordinate the rook and other pieces for an attack, D) Exchange rooks to simplify</t>
  </si>
  <si>
    <t>White has a powerful pawn on h6 and Black’s king is on g8. What should White do to win?</t>
  </si>
  <si>
    <t>Black has a passed pawn on a4 and White has a rook on the seventh rank. What should White do?</t>
  </si>
  <si>
    <t>White has an advanced pawn on g7 and Black’s king is on h8. What should White do to win?</t>
  </si>
  <si>
    <t>Black has a rook on e8 and White has a bishop on d3. What should White do?</t>
  </si>
  <si>
    <t>A) Use the bishop to attack Black’s rook, B) Push pawns on the queenside, C) Coordinate the bishop with other pieces for an attack, D) Exchange pieces to simplify</t>
  </si>
  <si>
    <t>C) Coordinate the bishop with other pieces for an attack</t>
  </si>
  <si>
    <t>White has a pawn on f6 and Black’s king is on g8. What should White focus on?</t>
  </si>
  <si>
    <t>Black has a knight on c5 and White has a rook on the seventh rank. What should White do?</t>
  </si>
  <si>
    <t>A) Use the rook to attack Black’s pawns, B) Push pawns on the queenside, C) Coordinate the rook with other pieces for an attack, D) Exchange pieces to simplify</t>
  </si>
  <si>
    <t>White has a powerful pawn on b7 and Black’s king is on g8. What should White do?</t>
  </si>
  <si>
    <t>Black has an advanced pawn on e4 and White has a rook on the open file. What should White do?</t>
  </si>
  <si>
    <t>A) Use the rook to attack Black’s pawn, B) Push pawns on the kingside, C) Coordinate the rook with other pieces for an attack, D) Exchange rooks to simplify</t>
  </si>
  <si>
    <t>C) Coordinate the rook with other pieces for an attack</t>
  </si>
  <si>
    <t>White has a rook on d1 and a bishop on f1. Black's king is on g8, and Black has a pawn on d5. What should White do?</t>
  </si>
  <si>
    <t>A) Use the rook to attack Black’s pawn on d5, B) Move the bishop to e2, C) Push pawns on the queenside, D) Coordinate the rook and bishop for an attack</t>
  </si>
  <si>
    <t>A) Use the rook to attack Black’s pawn on d5</t>
  </si>
  <si>
    <t>Black has a knight on e5 and White has a queen on d1 and a rook on a1. What should White do?</t>
  </si>
  <si>
    <t>A) Use the queen and rook to coordinate an attack, B) Move the rook to c1, C) Push pawns on the kingside, D) Exchange queens to simplify</t>
  </si>
  <si>
    <t>A) Use the queen and rook to coordinate an attack</t>
  </si>
  <si>
    <t>White has a bishop on d4 and a knight on f3. Black has a pawn on e5 and a rook on a8. What should White focus on?</t>
  </si>
  <si>
    <t>A) Use the bishop to attack Black’s pawn on e5, B) Move the knight to e1, C) Push pawns on the queenside, D) Coordinate the bishop and knight for an attack</t>
  </si>
  <si>
    <t>Black has a queen on h4 and White has a rook on e1 and a pawn on e5. What should White do?</t>
  </si>
  <si>
    <t>A) Use the rook to attack Black’s queen, B) Push the pawn to e6, C) Coordinate the rook and pawn for an attack, D) Move the rook to d1</t>
  </si>
  <si>
    <t>B) Push the pawn to e6</t>
  </si>
  <si>
    <t>White has a pawn on b7 and a rook on d1. Black’s king is on g8 and Black has a rook on f8. What should White do?</t>
  </si>
  <si>
    <t>A) Push the pawn to b8 for promotion, B) Use the rook to attack Black’s rook on f8, C) Coordinate the rook and pawn for an attack, D) Move the rook to a1</t>
  </si>
  <si>
    <t>A) Push the pawn to b8 for promotion</t>
  </si>
  <si>
    <t>Black has a rook on e8 and a bishop on c6. White has a queen on d4 and a knight on f3. What should White focus on?</t>
  </si>
  <si>
    <t>A) Use the queen to attack Black’s rook, B) Move the knight to e1, C) Coordinate the queen and knight for an attack, D) Push pawns on the kingside</t>
  </si>
  <si>
    <t>C) Coordinate the queen and knight for an attack</t>
  </si>
  <si>
    <t>White has a knight on d5 and a rook on f1. Black has a pawn on e6 and a queen on c7. What should White do?</t>
  </si>
  <si>
    <t>A) Use the knight to attack Black’s pawn on e6, B) Move the rook to f7, C) Push pawns on the queenside, D) Coordinate the knight and rook for an attack</t>
  </si>
  <si>
    <t>A) Use the knight to attack Black’s pawn on e6</t>
  </si>
  <si>
    <t>Black has a rook on g8 and a pawn on f6. White has a queen on e2 and a bishop on h3. What should White do?</t>
  </si>
  <si>
    <t>A) Use the queen to attack Black’s rook, B) Move the bishop to g2, C) Push pawns on the queenside, D) Coordinate the queen and bishop for an attack</t>
  </si>
  <si>
    <t>D) Coordinate the queen and bishop for an attack</t>
  </si>
  <si>
    <t>White has a pawn on c7 and Black has a knight on f6. What should White do to maximize their position?</t>
  </si>
  <si>
    <t>A) Promote the pawn to a queen, B) Use the pawn to create threats, C) Coordinate the pawn with other pieces, D) Exchange pieces to simplify</t>
  </si>
  <si>
    <t>Black has a queen on f6 and White has a rook on d1 and a pawn on d5. What should White focus on?</t>
  </si>
  <si>
    <t>A) Use the rook to attack Black’s queen, B) Push the pawn to d6, C) Coordinate the rook and pawn for an attack, D) Move the rook to e1</t>
  </si>
  <si>
    <t>B) Push the pawn to d6</t>
  </si>
  <si>
    <t>White has a knight on e5 and Black has a queen on d8 and a pawn on a6. What should White do?</t>
  </si>
  <si>
    <t>A) Use the knight to attack Black’s queen, B) Move the knight to f3, C) Push pawns on the queenside, D) Coordinate the knight and other pieces for an attack</t>
  </si>
  <si>
    <t>A) Use the knight to attack Black’s queen</t>
  </si>
  <si>
    <t>Black has a rook on a7 and a bishop on f6. White has a queen on d1 and a pawn on e5. What should White do?</t>
  </si>
  <si>
    <t>A) Use the queen to attack Black’s bishop, B) Move the pawn to e6, C) Coordinate the queen and pawn for an attack, D) Exchange pieces to simplify</t>
  </si>
  <si>
    <t>B) Move the pawn to e6</t>
  </si>
  <si>
    <t>White has a rook on f1 and a pawn on g7. Black has a queen on c7 and a knight on d5. What should White do?</t>
  </si>
  <si>
    <t>A) Push the pawn to g8 for promotion, B) Use the rook to attack Black’s knight, C) Coordinate the rook and pawn for an attack, D) Move the rook to e1</t>
  </si>
  <si>
    <t>A) Push the pawn to g8 for promotion</t>
  </si>
  <si>
    <t>Black has a bishop on c5 and a rook on e8. White has a queen on d4 and a knight on f3. What should White focus on?</t>
  </si>
  <si>
    <t>A) Use the queen to attack Black’s rook, B) Coordinate the queen and knight for an attack, C) Push pawns on the queenside, D) Exchange queens to simplify</t>
  </si>
  <si>
    <t>B) Coordinate the queen and knight for an attack</t>
  </si>
  <si>
    <t>White has an advanced pawn on h6 and Black’s king is on h8. What should White do to win?</t>
  </si>
  <si>
    <t>Black has a rook on d8 and a pawn on e5. White has a queen on d1 and a bishop on f3. What should White do?</t>
  </si>
  <si>
    <t>A) Use the queen to attack Black’s rook, B) Move the bishop to e4, C) Push pawns on the queenside, D) Coordinate the queen and bishop for an attack</t>
  </si>
  <si>
    <t>White has a knight on e5 and Black has a queen on d8 and a rook on a8. What should White do?</t>
  </si>
  <si>
    <t>Black has a pawn on c4 and White has a rook on e1 and a queen on d1. What should White do?</t>
  </si>
  <si>
    <t>A) Use the queen to attack Black’s pawn on c4, B) Move the rook to e2, C) Push pawns on the kingside, D) Coordinate the queen and rook for an attack</t>
  </si>
  <si>
    <t>A) Use the queen to attack Black’s pawn on c4</t>
  </si>
  <si>
    <t>White has a rook on h1 and a pawn on g7. Black has a queen on d8 and a rook on e8. What should White do?</t>
  </si>
  <si>
    <t>A) Push the pawn to g8 for promotion, B) Use the rook to attack Black’s rook, C) Coordinate the rook and pawn for an attack, D) Move the rook to e1</t>
  </si>
  <si>
    <t>Black has a bishop on g7 and White has a rook on e1 and a pawn on e5. What should White do?</t>
  </si>
  <si>
    <t>A) Push the pawn to e6, B) Use the rook to attack Black’s bishop, C) Coordinate the rook and pawn for an attack, D) Exchange pieces to simplify</t>
  </si>
  <si>
    <t>A) Push the pawn to e6</t>
  </si>
  <si>
    <t>White has a knight on c3 and a pawn on d4. Black has a rook on a8 and a queen on d8. What should White do?</t>
  </si>
  <si>
    <t>A) Use the knight to attack Black’s rook, B) Move the knight to e4, C) Push the pawn to d5, D) Coordinate the knight and pawn for an attack</t>
  </si>
  <si>
    <t>C) Push the pawn to d5</t>
  </si>
  <si>
    <t>Black has a rook on f8 and a pawn on f6. White has a queen on g5 and a bishop on h3. What should White do?</t>
  </si>
  <si>
    <t>White has a pawn on f7 and Black has a king on g8 and a rook on e8. What should White do to win?</t>
  </si>
  <si>
    <t>A) Push the pawn to f8 for promotion, B) Use the pawn to create threats, C) Coordinate the pawn with other pieces, D) Exchange pawns to simplify</t>
  </si>
  <si>
    <t>A) Push the pawn to f8 for promotion</t>
  </si>
  <si>
    <t>Black has a queen on c8 and White has a rook on f1 and a bishop on d3. What should White do?</t>
  </si>
  <si>
    <t>A) Use the rook to attack Black’s queen, B) Move the bishop to e4, C) Coordinate the rook and bishop for an attack, D) Push pawns on the queenside</t>
  </si>
  <si>
    <t>White has a rook on h1 and Black has a knight on e5 and a pawn on f6. What should White do?</t>
  </si>
  <si>
    <t>A) Use the rook to attack Black’s knight, B) Move the rook to g1, C) Push pawns on the queenside, D) Coordinate the rook with other pieces for an attack</t>
  </si>
  <si>
    <t>Black has a pawn on a4 and White has a queen on d1 and a rook on a1. What should White do?</t>
  </si>
  <si>
    <t>A) Use the queen to attack Black’s pawn, B) Move the rook to b1, C) Push pawns on the kingside, D) Coordinate the queen and rook for an attack</t>
  </si>
  <si>
    <t>A) Use the queen to attack Black’s pawn</t>
  </si>
  <si>
    <t>White has a queen on c3 and a rook on e1. Black has a pawn on d4 and a king on g8. What should White do?</t>
  </si>
  <si>
    <t>A) Use the queen to attack Black’s pawn on d4, B) Move the rook to e4, C) Push pawns on the queenside, D) Coordinate the queen and rook for an attack</t>
  </si>
  <si>
    <t>A) Use the queen to attack Black’s pawn on d4</t>
  </si>
  <si>
    <t>Black has a bishop on e4 and White has a rook on f1 and a pawn on f5. What should White do?</t>
  </si>
  <si>
    <t>A) Push the pawn to f6, B) Use the rook to attack Black’s bishop, C) Coordinate the rook and pawn for an attack, D) Move the rook to f2</t>
  </si>
  <si>
    <t>A) Push the pawn to f6</t>
  </si>
  <si>
    <t>White has a knight on f3 and a pawn on g7. Black has a queen on d8 and a rook on e8. What should White do?</t>
  </si>
  <si>
    <t>A) Push the pawn to g8 for promotion, B) Use the knight to attack Black’s rook, C) Coordinate the knight and pawn for an attack, D) Move the knight to e1</t>
  </si>
  <si>
    <t>Black has a queen on h6 and White has a rook on f1 and a pawn on f5. What should White do?</t>
  </si>
  <si>
    <t>A) Push the pawn to f6, B) Use the rook to attack Black’s queen, C) Coordinate the rook and pawn for an attack, D) Move the rook to f2</t>
  </si>
  <si>
    <t>White has a bishop on f4 and a pawn on e5. Black has a rook on a8 and a pawn on d6. What should White do?</t>
  </si>
  <si>
    <t>A) Use the bishop to attack Black’s pawn on d6, B) Move the pawn to e6, C) Coordinate the bishop and pawn for an attack, D) Push pawns on the queenside</t>
  </si>
  <si>
    <t>A) Use the bishop to attack Black’s pawn on d6</t>
  </si>
  <si>
    <t>Black has a rook on g8 and a knight on f6. White has a queen on d1 and a pawn on g7. What should White do?</t>
  </si>
  <si>
    <t>A) Push the pawn to g8 for promotion, B) Use the queen to attack Black’s knight, C) Coordinate the queen and pawn for an attack, D) Move the queen to e2</t>
  </si>
  <si>
    <t>White has a queen on h3 and a bishop on e4. Black has a pawn on d4 and a rook on a8. What should White do?</t>
  </si>
  <si>
    <t>A) Use the queen to attack Black’s pawn on d4, B) Move the bishop to f3, C) Push pawns on the queenside, D) Coordinate the queen and bishop for an attack</t>
  </si>
  <si>
    <t>Black has a pawn on e4 and White has a rook on f1 and a bishop on e3. What should White do?</t>
  </si>
  <si>
    <t>A) Use the rook to attack Black’s pawn on e4, B) Move the bishop to f2, C) Push pawns on the queenside, D) Coordinate the rook and bishop for an attack</t>
  </si>
  <si>
    <t>A) Use the rook to attack Black’s pawn on e4</t>
  </si>
  <si>
    <t>White has a pawn on a7 and Black has a rook on b8 and a king on g8. What should White do?</t>
  </si>
  <si>
    <t>A) Push the pawn to a8 for promotion, B) Use the pawn to create threats, C) Coordinate the pawn with other pieces, D) Exchange pawns to simplify</t>
  </si>
  <si>
    <t>A) Push the pawn to a8 for promotion</t>
  </si>
  <si>
    <t>Black has a queen on e5 and White has a rook on f1 and a pawn on f6. What should White do?</t>
  </si>
  <si>
    <t>A) Push the pawn to f7, B) Use the rook to attack Black’s queen, C) Coordinate the rook and pawn for an attack, D) Move the rook to f2</t>
  </si>
  <si>
    <t>A) Push the pawn to f7</t>
  </si>
  <si>
    <t>White has a rook on a1 and a pawn on a7. Black has a knight on c5 and a king on g8. What should White do?</t>
  </si>
  <si>
    <t>A) Push the pawn to a8 for promotion, B) Use the rook to attack Black’s knight, C) Coordinate the rook and pawn for an attack, D) Move the rook to a3</t>
  </si>
  <si>
    <t>Black has a bishop on d4 and a pawn on f6. White has a queen on d1 and a rook on h1. What should White do?</t>
  </si>
  <si>
    <t>A) Use the queen to attack Black’s bishop, B) Move the rook to g1, C) Push pawns on the queenside, D) Coordinate the queen and rook for an attack</t>
  </si>
  <si>
    <t>A) Use the queen to attack Black’s bishop</t>
  </si>
  <si>
    <t>White has a queen on g6 and Black has a rook on f8 and a pawn on g7. What should White do?</t>
  </si>
  <si>
    <t>A) Push the pawn to g8 for promotion, B) Use the queen to attack Black’s rook, C) Coordinate the queen and pawn for an attack, D) Move the queen to e4</t>
  </si>
  <si>
    <t>Black has a queen on d7 and White has a rook on a1 and a bishop on e4. What should White do?</t>
  </si>
  <si>
    <t>A) Use the rook to attack Black’s queen, B) Move the bishop to f3, C) Push pawns on the queenside, D) Coordinate the rook and bishop for an attack</t>
  </si>
  <si>
    <t>D) Coordinate the rook and bishop for an attack</t>
  </si>
  <si>
    <t>White has a knight on g5 and Black has a pawn on f6 and a queen on d8. What should White do?</t>
  </si>
  <si>
    <t>A) Use the knight to attack Black’s queen, B) Move the knight to f3, C) Push pawns on the kingside, D) Coordinate the knight and other pieces for an attack</t>
  </si>
  <si>
    <t>Black has a rook on e8 and a pawn on e5. White has a queen on d4 and a pawn on f4. What should White do?</t>
  </si>
  <si>
    <t>A) Use the queen to attack Black’s pawn on e5, B) Move the queen to e3, C) Push the pawn to f5, D) Coordinate the queen and pawn for an attack</t>
  </si>
  <si>
    <t>A) Use the queen to attack Black’s pawn on e5</t>
  </si>
  <si>
    <t>White has a rook on d1 and a pawn on d6. Black has a knight on f6 and a king on h8. What should White do?</t>
  </si>
  <si>
    <t>A) Push the pawn to d7, B) Use the rook to attack Black’s knight, C) Coordinate the rook and pawn for an attack, D) Move the rook to d2</t>
  </si>
  <si>
    <t>Black has a rook on h8 and a pawn on h5. White has a queen on g6 and a bishop on d4. What should White do?</t>
  </si>
  <si>
    <t>A) Push the pawn to g7 for promotion, B) Use the queen to attack Black’s rook, C) Coordinate the queen and bishop for an attack, D) Move the queen to e4</t>
  </si>
  <si>
    <t>A) Push the pawn to g7 for promotion</t>
  </si>
  <si>
    <t>White has a rook on e1 and a pawn on e5. Black has a queen on d7 and a knight on f6. What should White do?</t>
  </si>
  <si>
    <t>A) Push the pawn to e6, B) Use the rook to attack Black’s queen, C) Coordinate the rook and pawn for an attack, D) Move the rook to e2</t>
  </si>
  <si>
    <t>Black has a bishop on d6 and a rook on f8. White has a queen on e2 and a pawn on f5. What should White do?</t>
  </si>
  <si>
    <t>A) Push the pawn to f6, B) Use the queen to attack Black’s bishop, C) Coordinate the queen and pawn for an attack, D) Move the queen to e3</t>
  </si>
  <si>
    <t>White has a pawn on c6 and Black has a knight on f6 and a queen on d8. What should White do?</t>
  </si>
  <si>
    <t>A) Push the pawn to c7, B) Use the pawn to create threats, C) Coordinate the pawn with other pieces, D) Move the pawn to c5</t>
  </si>
  <si>
    <t>Black has a queen on c6 and White has a rook on d1 and a bishop on f4. What should White do?</t>
  </si>
  <si>
    <t>A) Use the rook to attack Black’s queen, B) Move the bishop to e3, C) Push pawns on the kingside, D) Coordinate the rook and bishop for an attack</t>
  </si>
  <si>
    <t>A) Use the rook to attack Black’s queen</t>
  </si>
  <si>
    <t>White has a pawn on d6 and Black has a rook on a8 and a knight on f6. What should White do?</t>
  </si>
  <si>
    <t>A) Push the pawn to d7, B) Use the pawn to create threats, C) Coordinate the pawn with other pieces, D) Move the pawn to d5</t>
  </si>
  <si>
    <t>Black has a rook on e8 and a bishop on f6. White has a queen on d1 and a pawn on e5. What should White do?</t>
  </si>
  <si>
    <t>A) Push the pawn to e6, B) Use the queen to attack Black’s rook, C) Coordinate the queen and pawn for an attack, D) Move the queen to e2</t>
  </si>
  <si>
    <t>White has a rook on f1 and a knight on e5. Black has a queen on d7 and a pawn on f6. What should White do?</t>
  </si>
  <si>
    <t>A) Use the rook to attack Black’s queen, B) Move the knight to f3, C) Push the pawn to f7, D) Coordinate the rook and knight for an attack</t>
  </si>
  <si>
    <t>C) Push the pawn to f7</t>
  </si>
  <si>
    <t>Black has a pawn on b5 and a rook on a8. White has a queen on d1 and a rook on f1. What should White do?</t>
  </si>
  <si>
    <t>A) Use the queen to attack Black’s pawn, B) Move the rook to f2, C) Push pawns on the kingside, D) Coordinate the queen and rook for an attack</t>
  </si>
  <si>
    <t>White has a knight on d4 and Black has a queen on d8 and a rook on f8. What should White do?</t>
  </si>
  <si>
    <t>A) Use the knight to attack Black’s queen, B) Move the knight to e2, C) Push pawns on the queenside, D) Coordinate the knight with other pieces for an attack</t>
  </si>
  <si>
    <t>Black has a bishop on g4 and White has a rook on h1 and a pawn on h5. What should White do?</t>
  </si>
  <si>
    <t>A) Push the pawn to h6, B) Use the rook to attack Black’s bishop, C) Coordinate the rook and pawn for an attack, D) Move the rook to h2</t>
  </si>
  <si>
    <t>A) Push the pawn to h6</t>
  </si>
  <si>
    <t>White has a pawn on e6 and Black has a rook on d8 and a bishop on f6. What should White do?</t>
  </si>
  <si>
    <t>A) Push the pawn to e7, B) Use the pawn to create threats, C) Coordinate the pawn with other pieces, D) Move the pawn to e5</t>
  </si>
  <si>
    <t>Black has a queen on c7 and White has a rook on e1 and a bishop on f1. What should White do?</t>
  </si>
  <si>
    <t>A) Use the rook to attack Black’s queen, B) Move the bishop to e3, C) Push pawns on the queenside, D) Coordinate the rook and bishop for an attack</t>
  </si>
  <si>
    <t>White has a pawn on g6 and Black has a queen on e7 and a rook on h8. What should White do?</t>
  </si>
  <si>
    <t>A) Push the pawn to g7 for promotion, B) Use the pawn to create threats, C) Coordinate the pawn with other pieces, D) Move the pawn to g5</t>
  </si>
  <si>
    <t>Black has a rook on c8 and White has a queen on d4 and a knight on f3. What should White do?</t>
  </si>
  <si>
    <t>A) Use the queen to attack Black’s rook, B) Move the knight to e1, C) Push pawns on the kingside, D) Coordinate the queen and knight for an attack</t>
  </si>
  <si>
    <t>D) Coordinate the queen and knight for an attack</t>
  </si>
  <si>
    <t>White has a rook on g1 and Black has a pawn on g7 and a knight on f6. What should White do?</t>
  </si>
  <si>
    <t>A) Use the rook to attack Black’s pawn, B) Push the pawn to g8 for promotion, C) Coordinate the rook and pawn for an attack, D) Move the rook to g2</t>
  </si>
  <si>
    <t>B) Push the pawn to g8 for promotion</t>
  </si>
  <si>
    <t>Black has a pawn on b4 and White has a queen on d1 and a rook on a1. What should White do?</t>
  </si>
  <si>
    <t>A) Use the queen to attack Black’s pawn, B) Move the rook to a2, C) Push pawns on the kingside, D) Coordinate the queen and rook for an attack</t>
  </si>
  <si>
    <t>White has a bishop on h3 and a pawn on f6. Black has a rook on f8 and a knight on d5. What should White do?</t>
  </si>
  <si>
    <t>A) Push the pawn to f7, B) Use the bishop to attack Black’s rook, C) Coordinate the bishop and pawn for an attack, D) Move the bishop to g4</t>
  </si>
  <si>
    <t>Black has a queen on a7 and White has a rook on f1 and a pawn on f6. What should White do?</t>
  </si>
  <si>
    <t>A) Use the rook to attack Black’s queen, B) Move the rook to f2, C) Push the pawn to f7, D) Coordinate the rook and pawn for an attack</t>
  </si>
  <si>
    <t>White has a pawn on a5 and Black has a rook on b8 and a knight on e4. What should White do?</t>
  </si>
  <si>
    <t>A) Push the pawn to a6, B) Use the pawn to create threats, C) Coordinate the pawn with other pieces, D) Move the pawn to a4</t>
  </si>
  <si>
    <t>A) Push the pawn to a6</t>
  </si>
  <si>
    <t>White has a rook on e1 and a pawn on e5. Black has a queen on e8 and a bishop on d6. What should White do?</t>
  </si>
  <si>
    <t>A) Push the pawn to e6, B) Use the rook to attack Black’s queen, C) Move the rook to e2, D) Coordinate the rook and pawn for an attack</t>
  </si>
  <si>
    <t>Black has a rook on a7 and a pawn on a5. White has a queen on d4 and a knight on f3. What should White do?</t>
  </si>
  <si>
    <t>A) Use the queen to attack Black’s pawn, B) Move the knight to e5, C) Push the pawn on the queenside, D) Coordinate the queen and knight for an attack</t>
  </si>
  <si>
    <t>White has a pawn on f7 and Black has a rook on g8 and a king on h8. What should White do?</t>
  </si>
  <si>
    <t>A) Push the pawn to f8 for promotion, B) Use the pawn to attack Black’s rook, C) Coordinate the pawn with other pieces, D) Move the pawn to f6</t>
  </si>
  <si>
    <t>Black has a queen on b7 and a pawn on b4. White has a rook on a1 and a bishop on f4. What should White do?</t>
  </si>
  <si>
    <t>A) Use the rook to attack Black’s queen, B) Move the bishop to e3, C) Push the pawn on the queenside, D) Coordinate the rook and bishop for an attack</t>
  </si>
  <si>
    <t>White has a rook on d1 and a pawn on d6. Black has a knight on f6 and a bishop on c8. What should White do?</t>
  </si>
  <si>
    <t>Black has a pawn on e4 and a rook on e8. White has a queen on d4 and a knight on f3. What should White do?</t>
  </si>
  <si>
    <t>A) Use the queen to attack Black’s pawn, B) Move the knight to e5, C) Push the pawn to e5, D) Coordinate the queen and knight for an attack</t>
  </si>
  <si>
    <t>White has a knight on c6 and a pawn on a5. Black has a rook on a7 and a bishop on f6. What should White do?</t>
  </si>
  <si>
    <t>A) Use the knight to attack Black’s bishop, B) Push the pawn to a6, C) Coordinate the knight with other pieces, D) Move the knight to b8</t>
  </si>
  <si>
    <t>B) Push the pawn to a6</t>
  </si>
  <si>
    <t>Black has a bishop on g4 and a pawn on h5. White has a rook on h1 and a pawn on g6. What should White do?</t>
  </si>
  <si>
    <t>A) Push the pawn to g7 for promotion, B) Use the rook to attack Black’s bishop, C) Coordinate the rook and pawn for an attack, D) Move the rook to h2</t>
  </si>
  <si>
    <t>White has a queen on d5 and Black has a rook on e8 and a pawn on e6. What should White do?</t>
  </si>
  <si>
    <t>A) Use the queen to attack Black’s rook, B) Push the pawn to e7, C) Coordinate the queen and other pieces for an attack, D) Move the queen to e4</t>
  </si>
  <si>
    <t>B) Push the pawn to e7</t>
  </si>
  <si>
    <t>Black has a rook on a1 and a pawn on b4. White has a queen on d2 and a bishop on f3. What should White do?</t>
  </si>
  <si>
    <t>A) Use the queen to attack Black’s pawn, B) Move the bishop to e4, C) Push the pawn on the queenside, D) Coordinate the queen and bishop for an attack</t>
  </si>
  <si>
    <t>White has a rook on h7 and a pawn on g6. Black has a queen on e8 and a rook on f8. What should White do?</t>
  </si>
  <si>
    <t>A) Push the pawn to g7 for promotion, B) Use the rook to attack Black’s queen, C) Coordinate the rook and pawn for an attack, D) Move the rook to h8</t>
  </si>
  <si>
    <t>Black has a pawn on c5 and a knight on e5. White has a rook on d1 and a bishop on f4. What should White do?</t>
  </si>
  <si>
    <t>A) Use the rook to attack Black’s pawn, B) Move the bishop to e3, C) Push the pawn on the queenside, D) Coordinate the rook and bishop for an attack</t>
  </si>
  <si>
    <t>White has a knight on f6 and a pawn on f4. Black has a queen on d5 and a rook on f8. What should White do?</t>
  </si>
  <si>
    <t>A) Use the knight to attack Black’s queen, B) Move the knight to e5, C) Push the pawn to f5, D) Coordinate the knight and pawn for an attack</t>
  </si>
  <si>
    <t>Black has a rook on a8 and a pawn on a6. White has a queen on c4 and a bishop on e3. What should White do?</t>
  </si>
  <si>
    <t>A) Use the queen to attack Black’s pawn, B) Move the bishop to e2, C) Push the pawn on the queenside, D) Coordinate the queen and bishop for an attack</t>
  </si>
  <si>
    <t>White has a pawn on b6 and Black has a rook on d8 and a knight on f6. What should White do?</t>
  </si>
  <si>
    <t>A) Push the pawn to b7, B) Use the pawn to create threats, C) Coordinate the pawn with other pieces, D) Move the pawn to b5</t>
  </si>
  <si>
    <t>Black has a queen on c5 and a pawn on g6. White has a rook on f1 and a bishop on e3. What should White do?</t>
  </si>
  <si>
    <t>A) Use the rook to attack Black’s queen, B) Move the bishop to d2, C) Push the pawn to g7, D) Coordinate the rook and bishop for an attack</t>
  </si>
  <si>
    <t>White has a knight on d4 and Black has a pawn on d5 and a queen on c7. What should White do?</t>
  </si>
  <si>
    <t>A) Use the knight to attack Black’s queen, B) Move the knight to e6, C) Push the pawn on the queenside, D) Coordinate the knight with other pieces for an attack</t>
  </si>
  <si>
    <t>Black has a bishop on h4 and White has a rook on h1 and a pawn on h5. What should White do?</t>
  </si>
  <si>
    <t>White has a rook on d1 and Black has a bishop on c6 and a pawn on d5. What should White do?</t>
  </si>
  <si>
    <t>A) Use the rook to attack Black’s bishop, B) Push the pawn to d6, C) Coordinate the rook with other pieces, D) Move the rook to d2</t>
  </si>
  <si>
    <t>Black has a queen on e7 and White has a rook on g1 and a pawn on g6. What should White do?</t>
  </si>
  <si>
    <t>A) Push the pawn to g7 for promotion, B) Use the rook to attack Black’s queen, C) Coordinate the rook and pawn for an attack, D) Move the rook to g2</t>
  </si>
  <si>
    <t>White has a queen on d2 and Black has a rook on a8 and a knight on f6. What should White do?</t>
  </si>
  <si>
    <t>A) Use the queen to attack Black’s rook, B) Move the queen to d3, C) Coordinate the queen and other pieces, D) Push the pawn on the queenside</t>
  </si>
  <si>
    <t>A) Use the queen to attack Black’s rook</t>
  </si>
  <si>
    <t>Black has a rook on f8 and White has a queen on e1 and a pawn on f7. What should White do?</t>
  </si>
  <si>
    <t>A) Push the pawn to f8 for promotion, B) Use the queen to attack Black’s rook, C) Coordinate the queen and pawn for an attack, D) Move the queen to e2</t>
  </si>
  <si>
    <t>White has a bishop on b3 and Black has a queen on f5 and a pawn on g6. What should White do?</t>
  </si>
  <si>
    <t>A) Use the bishop to attack Black’s queen, B) Move the bishop to a4, C) Push the pawn to g7, D) Coordinate the bishop with other pieces</t>
  </si>
  <si>
    <t>A) Use the bishop to attack Black’s queen</t>
  </si>
  <si>
    <t>Black has a knight on g6 and White has a rook on d1 and a pawn on d6. What should White do?</t>
  </si>
  <si>
    <t>A) Use the rook to attack Black’s knight, B) Push the pawn to d7, C) Coordinate the rook with other pieces for an attack, D) Move the rook to d2</t>
  </si>
  <si>
    <t>B) Push the pawn to d7</t>
  </si>
  <si>
    <t>White has a pawn on h4 and Black has a rook on h8 and a bishop on e5. What should White do?</t>
  </si>
  <si>
    <t>A) Push the pawn to h5, B) Use the pawn to attack Black’s bishop, C) Coordinate the pawn with other pieces, D) Move the pawn to h3</t>
  </si>
  <si>
    <t>A) Push the pawn to h5</t>
  </si>
  <si>
    <t>Black has a queen on c3 and White has a rook on a8 and a pawn on b7. What should White do?</t>
  </si>
  <si>
    <t>A) Push the pawn to b8 for promotion, B) Use the rook to attack Black’s queen, C) Coordinate the rook with other pieces, D) Move the rook to a7</t>
  </si>
  <si>
    <t>White has a queen on g4 and Black has a bishop on f6 and a pawn on h5. What should White do?</t>
  </si>
  <si>
    <t>A) Use the queen to attack Black’s bishop, B) Push the pawn to h6, C) Coordinate the queen and other pieces for an attack, D) Move the queen to h4</t>
  </si>
  <si>
    <t>B) Push the pawn to h6</t>
  </si>
  <si>
    <t>Black has a rook on b8 and White has a pawn on b6 and a knight on d5. What should White do?</t>
  </si>
  <si>
    <t>A) Push the pawn to b7, B) Use the knight to attack Black’s rook, C) Coordinate the knight with other pieces, D) Move the knight to e7</t>
  </si>
  <si>
    <t>White has a bishop on d4 and Black has a queen on e6 and a pawn on d5. What should White do?</t>
  </si>
  <si>
    <t>A) Use the bishop to attack Black’s queen, B) Move the bishop to e3, C) Push the pawn to d6, D) Coordinate the bishop with other pieces</t>
  </si>
  <si>
    <t>Black has a knight on d7 and White has a queen on d4 and a pawn on d5. What should White do?</t>
  </si>
  <si>
    <t>A) Use the queen to attack Black’s knight, B) Move the queen to e3, C) Push the pawn to d6, D) Coordinate the queen with other pieces</t>
  </si>
  <si>
    <t>C) Push the pawn to d6</t>
  </si>
  <si>
    <t>White has a rook on e1 and Black has a queen on d8 and a pawn on e6. What should White do?</t>
  </si>
  <si>
    <t>A) Use the rook to attack Black’s queen, B) Push the pawn to e7, C) Coordinate the rook and pawn for an attack, D) Move the rook to e2</t>
  </si>
  <si>
    <t>Black has a bishop on c5 and White has a queen on d3 and a rook on e1. What should White do?</t>
  </si>
  <si>
    <t>A) Use the queen to attack Black’s bishop, B) Move the rook to e4, C) Coordinate the queen and rook for an attack, D) Push the pawn on the queenside</t>
  </si>
  <si>
    <t>White has a pawn on f5 and Black has a rook on g8 and a knight on e4. What should White do?</t>
  </si>
  <si>
    <t>A) Push the pawn to f6, B) Use the pawn to attack Black’s rook, C) Coordinate the pawn with other pieces, D) Move the pawn to f4</t>
  </si>
  <si>
    <t>Black has a rook on h8 and White has a queen on f1 and a pawn on f7. What should White do?</t>
  </si>
  <si>
    <t>A) Push the pawn to f8 for promotion, B) Use the queen to attack Black’s rook, C) Coordinate the queen and pawn for an attack, D) Move the queen to f3</t>
  </si>
  <si>
    <t>White has a rook on a6 and a pawn on b5. Black has a queen on c8 and a pawn on c5. What should White do?</t>
  </si>
  <si>
    <t>A) Push the pawn to b6, B) Use the rook to attack Black’s queen, C) Coordinate the rook and pawn for an attack, D) Move the rook to a7</t>
  </si>
  <si>
    <t>A) Push the pawn to b6</t>
  </si>
  <si>
    <t>Black has a queen on b7 and White has a rook on d1 and a pawn on d6. What should White do?</t>
  </si>
  <si>
    <t>A) Push the pawn to d7, B) Use the rook to attack Black’s queen, C) Coordinate the rook and pawn for an attack, D) Move the rook to d2</t>
  </si>
  <si>
    <t>White has a knight on f3 and a pawn on f5. Black has a queen on f6 and a rook on h8. What should White do?</t>
  </si>
  <si>
    <t>A) Use the knight to attack Black’s queen, B) Push the pawn to f6, C) Coordinate the knight and pawn for an attack, D) Move the knight to e5</t>
  </si>
  <si>
    <t>B) Push the pawn to f6</t>
  </si>
  <si>
    <t>Black has a rook on d7 and White has a queen on e5 and a pawn on f7. What should White do?</t>
  </si>
  <si>
    <t>A) Push the pawn to f8 for promotion, B) Use the queen to attack Black’s rook, C) Coordinate the queen and pawn for an attack, D) Move the queen to e4</t>
  </si>
  <si>
    <t>White has a rook on b6 and Black has a knight on d4 and a pawn on b5. What should White do?</t>
  </si>
  <si>
    <t>A) Push the pawn to b6, B) Use the rook to attack Black’s knight, C) Coordinate the rook with other pieces, D) Move the rook to b7</t>
  </si>
  <si>
    <t>Black has a queen on f5 and White has a bishop on g3 and a pawn on h4. What should White do?</t>
  </si>
  <si>
    <t>A) Push the pawn to h5, B) Use the bishop to attack Black’s queen, C) Coordinate the bishop with other pieces, D) Move the bishop to f4</t>
  </si>
  <si>
    <t>White has a knight on e5 and Black has a rook on c8 and a pawn on d6. What should White do?</t>
  </si>
  <si>
    <t>A) Use the knight to attack Black’s rook, B) Move the knight to f7, C) Push the pawn to d7, D) Coordinate the knight with other pieces</t>
  </si>
  <si>
    <t>C) Push the pawn to d7</t>
  </si>
  <si>
    <t>Black has a rook on e8 and White has a pawn on e7 and a knight on f6. What should White do?</t>
  </si>
  <si>
    <t>A) Push the pawn to e8 for promotion, B) Use the knight to attack Black’s rook, C) Coordinate the pawn and knight for an attack, D) Move the knight to e5</t>
  </si>
  <si>
    <t>A) Push the pawn to e8 for promotion</t>
  </si>
  <si>
    <t>White has a queen on d5 and Black has a rook on d8 and a pawn on f6. What should White do?</t>
  </si>
  <si>
    <t>A) Use the queen to attack Black’s rook, B) Push the pawn to f7, C) Coordinate the queen with other pieces, D) Move the queen to d4</t>
  </si>
  <si>
    <t>B) Push the pawn to f7</t>
  </si>
  <si>
    <t>Black has a knight on f6 and White has a rook on h7 and a pawn on g6. What should White do?</t>
  </si>
  <si>
    <t>A) Push the pawn to g7 for promotion, B) Use the rook to attack Black’s knight, C) Coordinate the rook and pawn for an attack, D) Move the rook to h8</t>
  </si>
  <si>
    <t>White has a queen on f3 and Black has a bishop on e7 and a pawn on d6. What should White do?</t>
  </si>
  <si>
    <t>A) Use the queen to attack Black’s bishop, B) Push the pawn to d7, C) Coordinate the queen with other pieces, D) Move the queen to e4</t>
  </si>
  <si>
    <t>Black has a rook on h6 and White has a queen on d2 and a pawn on f5. What should White do?</t>
  </si>
  <si>
    <t>A) Push the pawn to f6, B) Use the queen to attack Black’s rook, C) Coordinate the queen with other pieces, D) Move the queen to e2</t>
  </si>
  <si>
    <t>White has a knight on c5 and Black has a rook on d8 and a pawn on d6. What should White do?</t>
  </si>
  <si>
    <t>A) Use the knight to attack Black’s rook, B) Push the pawn to d7, C) Coordinate the knight with other pieces, D) Move the knight to b7</t>
  </si>
  <si>
    <t>Black has a queen on d5 and White has a rook on e1 and a pawn on e6. What should White do?</t>
  </si>
  <si>
    <t>A) Push the pawn to e7, B) Use the rook to attack Black’s queen, C) Coordinate the rook and pawn for an attack, D) Move the rook to e2</t>
  </si>
  <si>
    <t>White has a bishop on g3 and Black has a queen on d6 and a pawn on h5. What should White do?</t>
  </si>
  <si>
    <t>A) Push the pawn to h6, B) Use the bishop to attack Black’s queen, C) Coordinate the bishop with other pieces, D) Move the bishop to f4</t>
  </si>
  <si>
    <t>Black has a rook on e8 and White has a queen on f5 and a pawn on g6. What should White do?</t>
  </si>
  <si>
    <t>A) Push the pawn to g7 for promotion, B) Use the queen to attack Black’s rook, C) Coordinate the queen and pawn for an attack, D) Move the queen to f6</t>
  </si>
  <si>
    <t>White has a queen on e5 and Black has a rook on f8 and a pawn on e6. What should White do?</t>
  </si>
  <si>
    <t>A) Use the queen to attack Black’s rook, B) Push the pawn to e7, C) Coordinate the queen with other pieces, D) Move the queen to e4</t>
  </si>
  <si>
    <t>White has a rook on e1 and Black has a queen on d8 and a pawn on d6. What should White do?</t>
  </si>
  <si>
    <t>A) Use the rook to attack Black’s queen, B) Push the pawn to d7, C) Coordinate the rook with other pieces, D) Move the rook to e2</t>
  </si>
  <si>
    <t>Black has a bishop on e5 and White has a queen on d3 and a pawn on d6. What should White do?</t>
  </si>
  <si>
    <t>A) Use the queen to attack Black’s bishop, B) Move the queen to d2, C) Push the pawn to d7, D) Coordinate the queen with other pieces</t>
  </si>
  <si>
    <t>White has a knight on f6 and Black has a rook on f8 and a pawn on g6. What should White do?</t>
  </si>
  <si>
    <t>A) Push the pawn to g7 for promotion, B) Use the knight to attack Black’s rook, C) Coordinate the knight and pawn for an attack, D) Move the knight to e8</t>
  </si>
  <si>
    <t>Black has a queen on d4 and White has a rook on e1 and a pawn on d6. What should White do?</t>
  </si>
  <si>
    <t>White has a pawn on f5 and Black has a queen on e8 and a rook on f7. What should White do?</t>
  </si>
  <si>
    <t>Black has a knight on f3 and White has a queen on f1 and a pawn on g6. What should White do?</t>
  </si>
  <si>
    <t>A) Push the pawn to g7 for promotion, B) Use the queen to attack Black’s knight, C) Coordinate the queen and pawn for an attack, D) Move the queen to g2</t>
  </si>
  <si>
    <t>White has a rook on a6 and Black has a queen on c8 and a pawn on b5. What should White do?</t>
  </si>
  <si>
    <t>A) Push the pawn to b6, B) Use the rook to attack Black’s queen, C) Coordinate the rook with other pieces, D) Move the rook to a7</t>
  </si>
  <si>
    <t>Black has a rook on d8 and White has a bishop on e4 and a pawn on f7. What should White do?</t>
  </si>
  <si>
    <t>A) Push the pawn to f8 for promotion, B) Use the bishop to attack Black’s rook, C) Coordinate the bishop and pawn for an attack, D) Move the bishop to f4</t>
  </si>
  <si>
    <t>White has a queen on d5 and Black has a bishop on e6 and a pawn on f6. What should White do?</t>
  </si>
  <si>
    <t>A) Push the pawn to f7, B) Use the queen to attack Black’s bishop, C) Coordinate the queen with other pieces, D) Move the queen to d4</t>
  </si>
  <si>
    <t>Black has a rook on f7 and White has a knight on e5 and a pawn on f6. What should White do?</t>
  </si>
  <si>
    <t>A) Use the knight to attack Black’s rook, B) Push the pawn to f7, C) Coordinate the knight and pawn for an attack, D) Move the knight to f7</t>
  </si>
  <si>
    <t>White has a queen on e5 and Black has a rook on e8 and a pawn on d6. What should White do?</t>
  </si>
  <si>
    <t>A) Use the queen to attack Black’s rook, B) Push the pawn to d7, C) Coordinate the queen with other pieces, D) Move the queen to e4</t>
  </si>
  <si>
    <t>Black has a bishop on h4 and White has a rook on g6 and a pawn on g5. What should White do?</t>
  </si>
  <si>
    <t>A) Push the pawn to g6, B) Use the rook to attack Black’s bishop, C) Coordinate the rook with other pieces, D) Move the rook to g7</t>
  </si>
  <si>
    <t>A) Push the pawn to g6</t>
  </si>
  <si>
    <t>White has a rook on a7 and Black has a knight on d6 and a pawn on d5. What should White do?</t>
  </si>
  <si>
    <t>A) Push the pawn to d6, B) Use the rook to attack Black’s knight, C) Coordinate the rook with other pieces, D) Move the rook to a8</t>
  </si>
  <si>
    <t>A) Push the pawn to d6</t>
  </si>
  <si>
    <t>Black has a queen on f8 and White has a rook on f1 and a pawn on f7. What should White do?</t>
  </si>
  <si>
    <t>A) Push the pawn to f8 for promotion, B) Use the rook to attack Black’s queen, C) Coordinate the rook and pawn for an attack, D) Move the rook to f2</t>
  </si>
  <si>
    <t>White has a rook on d1 and Black has a queen on e4 and a pawn on d5. What should White do?</t>
  </si>
  <si>
    <t>A) Move the rook to d2, B) Use the rook to attack Black’s queen, C) Push the pawn to d6, D) Move the rook to e1</t>
  </si>
  <si>
    <t>Black has a bishop on c6 and White has a queen on h3 and a pawn on h4. What should White do?</t>
  </si>
  <si>
    <t>A) Push the pawn to h5, B) Use the queen to attack Black’s bishop, C) Move the queen to g2, D) Coordinate the queen with other pieces</t>
  </si>
  <si>
    <t>White has a knight on f4 and Black has a rook on f8 and a pawn on g7. What should White do?</t>
  </si>
  <si>
    <t>A) Use the knight to attack Black’s rook, B) Push the pawn to g8 for promotion, C) Move the knight to e6, D) Coordinate the knight with other pieces</t>
  </si>
  <si>
    <t>Black has a queen on c7 and White has a rook on a7 and a pawn on a6. What should White do?</t>
  </si>
  <si>
    <t>A) Push the pawn to a7, B) Use the rook to attack Black’s queen, C) Coordinate the rook with other pieces, D) Move the rook to a8</t>
  </si>
  <si>
    <t>White has a queen on d6 and Black has a bishop on g8 and a pawn on f7. What should White do?</t>
  </si>
  <si>
    <t>A) Push the pawn to f8 for promotion, B) Use the queen to attack Black’s bishop, C) Move the queen to d7, D) Coordinate the queen with other pieces</t>
  </si>
  <si>
    <t>Black has a rook on d8 and White has a queen on e5 and a pawn on e6. What should White do?</t>
  </si>
  <si>
    <t>A) Push the pawn to e7, B) Use the queen to attack Black’s rook, C) Move the queen to e4, D) Coordinate the queen with other pieces</t>
  </si>
  <si>
    <t>White has a bishop on c4 and Black has a queen on a5 and a pawn on b4. What should White do?</t>
  </si>
  <si>
    <t>A) Push the pawn to b5, B) Use the bishop to attack Black’s queen, C) Move the bishop to b3, D) Coordinate the bishop with other pieces</t>
  </si>
  <si>
    <t>A) Push the pawn to b5</t>
  </si>
  <si>
    <t>Black has a knight on f3 and White has a rook on g1 and a pawn on g2. What should White do?</t>
  </si>
  <si>
    <t>A) Push the pawn to g3, B) Use the rook to attack Black’s knight, C) Move the rook to g4, D) Coordinate the rook with other pieces</t>
  </si>
  <si>
    <t>A) Push the pawn to g3</t>
  </si>
  <si>
    <t>White has a queen on a4 and Black has a rook on d8 and a pawn on c6. What should White do?</t>
  </si>
  <si>
    <t>A) Move the queen to a5, B) Use the queen to attack Black’s rook, C) Push the pawn to c7, D) Coordinate the queen with other pieces</t>
  </si>
  <si>
    <t>C) Push the pawn to c7</t>
  </si>
  <si>
    <t>Black has a bishop on d4 and White has a queen on f6 and a pawn on g7. What should White do?</t>
  </si>
  <si>
    <t>A) Push the pawn to g8 for promotion, B) Use the queen to attack Black’s bishop, C) Move the queen to f7, D) Coordinate the queen with other pieces</t>
  </si>
  <si>
    <t>White has a rook on b7 and Black has a queen on e8 and a pawn on c6. What should White do?</t>
  </si>
  <si>
    <t>A) Move the rook to b8, B) Push the pawn to c7, C) Use the rook to attack Black’s queen, D) Coordinate the rook with other pieces</t>
  </si>
  <si>
    <t>B) Push the pawn to c7</t>
  </si>
  <si>
    <t>Black has a rook on e8 and White has a bishop on f7 and a pawn on g6. What should White do?</t>
  </si>
  <si>
    <t>A) Push the pawn to g7 for promotion, B) Use the bishop to attack Black’s rook, C) Move the bishop to e6, D) Coordinate the bishop with other pieces</t>
  </si>
  <si>
    <t>White has a knight on d4 and Black has a queen on b6 and a pawn on d5. What should White do?</t>
  </si>
  <si>
    <t>A) Move the knight to b3, B) Use the knight to attack Black’s queen, C) Push the pawn to d6, D) Coordinate the knight with other pieces</t>
  </si>
  <si>
    <t>Black has a queen on h4 and White has a rook on f1 and a pawn on g5. What should White do?</t>
  </si>
  <si>
    <t>A) Push the pawn to g6, B) Use the rook to attack Black’s queen, C) Move the rook to f2, D) Coordinate the rook with other pieces</t>
  </si>
  <si>
    <t>White has a queen on h7 and Black has a bishop on e8 and a pawn on g6. What should White do?</t>
  </si>
  <si>
    <t>A) Push the pawn to g7 for promotion, B) Use the queen to attack Black’s bishop, C) Move the queen to h6, D) Coordinate the queen with other pieces</t>
  </si>
  <si>
    <t>Black has a rook on f6 and White has a queen on g4 and a pawn on f7. What should White do?</t>
  </si>
  <si>
    <t>A) Push the pawn to f8 for promotion, B) Use the queen to attack Black’s rook, C) Move the queen to g5, D) Coordinate the queen with other pieces</t>
  </si>
  <si>
    <t>White has a rook on h5 and Black has a queen on e4 and a pawn on h6. What should White do?</t>
  </si>
  <si>
    <t>A) Push the pawn to h7, B) Use the rook to attack Black’s queen, C) Move the rook to h6, D) Coordinate the rook with other pieces</t>
  </si>
  <si>
    <t>A) Push the pawn to h7</t>
  </si>
  <si>
    <t>Black has a knight on d4 and White has a bishop on g2 and a pawn on d3. What should White do?</t>
  </si>
  <si>
    <t>A) Push the pawn to d4, B) Use the bishop to attack Black’s knight, C) Move the bishop to f3, D) Coordinate the bishop with other pieces</t>
  </si>
  <si>
    <t>A) Push the pawn to d4</t>
  </si>
  <si>
    <t>White has a queen on a7 and Black has a rook on b8 and a pawn on a6. What should White do?</t>
  </si>
  <si>
    <t>A) Move the queen to a8, B) Push the pawn to a7, C) Use the queen to attack Black’s rook, D) Coordinate the queen with other pieces</t>
  </si>
  <si>
    <t>B) Push the pawn to a7</t>
  </si>
  <si>
    <t>Black has a bishop on f6 and White has a queen on e5 and a pawn on f5. What should White do?</t>
  </si>
  <si>
    <t>A) Push the pawn to f6, B) Use the queen to attack Black’s bishop, C) Move the queen to e4, D) Coordinate the queen with other pieces</t>
  </si>
  <si>
    <t>White has a rook on d1 and Black has a queen on d6 and a pawn on d5. What should White do?</t>
  </si>
  <si>
    <t>A) Push the pawn to d6, B) Use the rook to attack Black’s queen, C) Move the rook to d2, D) Coordinate the rook with other pieces</t>
  </si>
  <si>
    <t>Black has a queen on b6 and White has a rook on a7 and a pawn on a5. What should White do?</t>
  </si>
  <si>
    <t>A) Push the pawn to a6, B) Use the rook to attack Black’s queen, C) Move the rook to a8, D) Coordinate the rook with other pieces</t>
  </si>
  <si>
    <t>White has a bishop on d2 and Black has a rook on c8 and a pawn on d4. What should White do?</t>
  </si>
  <si>
    <t>A) Push the pawn to d5, B) Use the bishop to attack Black’s rook, C) Move the bishop to e3, D) Coordinate the bishop with other pieces</t>
  </si>
  <si>
    <t>A) Push the pawn to d5</t>
  </si>
  <si>
    <t>Black has a rook on f5 and White has a knight on d5 and a pawn on f6. What should White do?</t>
  </si>
  <si>
    <t>A) Push the pawn to f7, B) Use the knight to attack Black’s rook, C) Move the knight to e7, D) Coordinate the knight with other pieces</t>
  </si>
  <si>
    <t>White has a queen on e4 and Black has a knight on f6 and a pawn on e5. What should White do?</t>
  </si>
  <si>
    <t>A) Push the pawn to e6, B) Use the queen to attack Black’s knight, C) Move the queen to e5, D) Coordinate the queen with other pieces</t>
  </si>
  <si>
    <t>Black has a rook on a1 and White has a queen on d4 and a pawn on d5. What should White do?</t>
  </si>
  <si>
    <t>A) Move the queen to d5, B) Push the pawn to d6, C) Use the queen to attack Black’s rook, D) Coordinate the queen with other pieces</t>
  </si>
  <si>
    <t>White has a rook on e1 and Black has a queen on d7 and a pawn on e5. What should White do?</t>
  </si>
  <si>
    <t>A) Push the pawn to e6, B) Use the rook to attack Black’s queen, C) Move the rook to e2, D) Coordinate the rook with other pieces</t>
  </si>
  <si>
    <t>Black has a bishop on g6 and White has a rook on g1 and a pawn on g5. What should White do?</t>
  </si>
  <si>
    <t>A) Push the pawn to g6, B) Use the rook to attack Black’s bishop, C) Move the rook to g2, D) Coordinate the rook with other pieces</t>
  </si>
  <si>
    <t>White has a queen on a6 and Black has a rook on b7 and a pawn on a5. What should White do?</t>
  </si>
  <si>
    <t>A) Push the pawn to a6, B) Move the queen to a7, C) Use the queen to attack Black’s rook, D) Coordinate the queen with other pieces</t>
  </si>
  <si>
    <t>Black has a queen on c8 and White has a rook on c1 and a pawn on c7. What should White do?</t>
  </si>
  <si>
    <t>A) Push the pawn to c8 for promotion, B) Use the rook to attack Black’s queen, C) Move the rook to c2, D) Coordinate the rook with other pieces</t>
  </si>
  <si>
    <t>A) Push the pawn to c8 for promotion</t>
  </si>
  <si>
    <t>White has a rook on f1 and Black has a queen on g8 and a pawn on f6. What should White do?</t>
  </si>
  <si>
    <t>A) Push the pawn to f7, B) Use the rook to attack Black’s queen, C) Move the rook to f2, D) Coordinate the rook with other pieces</t>
  </si>
  <si>
    <t>Black has a knight on b5 and White has a queen on a3 and a pawn on a4. What should White do?</t>
  </si>
  <si>
    <t>A) Push the pawn to a5, B) Use the queen to attack Black’s knight, C) Move the queen to b4, D) Coordinate the queen with other pieces</t>
  </si>
  <si>
    <t>A) Push the pawn to a5</t>
  </si>
  <si>
    <t>White has a bishop on h2 and Black has a rook on e8 and a pawn on g7. What should White do?</t>
  </si>
  <si>
    <t>A) Push the pawn to g8 for promotion, B) Use the bishop to attack Black’s rook, C) Move the bishop to g3, D) Coordinate the bishop with other pieces</t>
  </si>
  <si>
    <t>Black has a queen on b7 and White has a rook on a8 and a pawn on a6. What should White do?</t>
  </si>
  <si>
    <t>A) Push the pawn to a7, B) Move the rook to a7, C) Use the rook to attack Black’s queen, D) Coordinate the rook with other pieces</t>
  </si>
  <si>
    <t>White has a knight on g4 and Black has a bishop on h5 and a pawn on g6. What should White do?</t>
  </si>
  <si>
    <t>A) Push the pawn to g7, B) Use the knight to attack Black’s bishop, C) Move the knight to e3, D) Coordinate the knight with other pieces</t>
  </si>
  <si>
    <t>A) Push the pawn to g7</t>
  </si>
  <si>
    <t>Black has a rook on d4 and White has a queen on f4 and a pawn on e5. What should White do?</t>
  </si>
  <si>
    <t>A) Push the pawn to e6, B) Use the queen to attack Black’s rook, C) Move the queen to e3, D) Coordinate the queen with other pieces</t>
  </si>
  <si>
    <t>White has a bishop on e4 and Black has a queen on c6 and a pawn on d5. What should White do?</t>
  </si>
  <si>
    <t>A) Push the pawn to d6, B) Use the bishop to attack Black’s queen, C) Move the bishop to d5, D) Coordinate the bishop with other pieces</t>
  </si>
  <si>
    <t>Black has a queen on h4 and White has a rook on h1 and a pawn on h5. What should White do?</t>
  </si>
  <si>
    <t>A) Push the pawn to h6, B) Use the rook to attack Black’s queen, C) Move the rook to h2, D) Coordinate the rook with other pieces</t>
  </si>
  <si>
    <t>White has a queen on b3 and Black has a rook on c5 and a pawn on b6. What should White do?</t>
  </si>
  <si>
    <t>A) Push the pawn to b7, B) Use the queen to attack Black’s rook, C) Move the queen to b4, D) Coordinate the queen with other pieces</t>
  </si>
  <si>
    <t>Black has a bishop on d5 and White has a queen on e4 and a pawn on d4. What should White do?</t>
  </si>
  <si>
    <t>A) Push the pawn to d5, B) Use the queen to attack Black’s bishop, C) Move the queen to d5, D) Coordinate the queen with other pieces</t>
  </si>
  <si>
    <t>White has a knight on h6 and Black has a queen on e7 and a pawn on g7. What should White do?</t>
  </si>
  <si>
    <t>A) Push the pawn to g8 for promotion, B) Use the knight to attack Black’s queen, C) Move the knight to f8, D) Coordinate the knight with other pieces</t>
  </si>
  <si>
    <t>Black has a rook on f8 and White has a queen on f1 and a pawn on f6. What should White do?</t>
  </si>
  <si>
    <t>A) Push the pawn to f7, B) Use the queen to attack Black’s rook, C) Move the queen to f2, D) Coordinate the queen with other pieces</t>
  </si>
  <si>
    <t>White has a rook on a4 and Black has a queen on e4 and a pawn on d5. What should White do?</t>
  </si>
  <si>
    <t>A) Push the pawn to d6, B) Use the rook to attack Black’s queen, C) Move the rook to a5, D) Coordinate the rook with other pieces</t>
  </si>
  <si>
    <t>Black has a bishop on f3 and White has a rook on f1 and a pawn on f5. What should White do?</t>
  </si>
  <si>
    <t>A) Push the pawn to f6, B) Use the rook to attack Black’s bishop, C) Move the rook to f2, D) Coordinate the rook with other pieces</t>
  </si>
  <si>
    <t>White has a rook on e4 and Black has a knight on d6 and a pawn on e5. What should White do?</t>
  </si>
  <si>
    <t>A) Push the pawn to e6, B) Use the rook to attack Black’s knight, C) Move the rook to e5, D) Coordinate the rook with other pieces</t>
  </si>
  <si>
    <t>Black has a rook on a6 and White has a queen on d6 and a pawn on d5. What should White do?</t>
  </si>
  <si>
    <t>A) Push the pawn to d6, B) Use the queen to attack Black’s rook, C) Move the queen to d5, D) Coordinate the queen with other pieces</t>
  </si>
  <si>
    <t>White has a knight on e5 and Black has a rook on e8 and a pawn on d5. What should White do?</t>
  </si>
  <si>
    <t>A) Push the pawn to d6, B) Use the knight to attack Black’s rook, C) Move the knight to f3, D) Coordinate the knight with other pieces</t>
  </si>
  <si>
    <t>Black has a queen on b6 and White has a rook on c7 and a pawn on b5. What should White do?</t>
  </si>
  <si>
    <t>A) Push the pawn to b6, B) Move the rook to c8, C) Use the rook to attack Black’s queen, D) Coordinate the rook with other pieces</t>
  </si>
  <si>
    <t>White has a queen on a3 and Black has a rook on b7 and a pawn on a5. What should White do?</t>
  </si>
  <si>
    <t>A) Push the pawn to a6, B) Use the queen to attack Black’s rook, C) Move the queen to a4, D) Coordinate the queen with other pieces</t>
  </si>
  <si>
    <t>Black has a rook on d5 and White has a queen on d1 and a pawn on d3. What should White do?</t>
  </si>
  <si>
    <t>A) Push the pawn to d4, B) Use the queen to attack Black’s rook, C) Move the queen to d2, D) Coordinate the queen with other pieces</t>
  </si>
  <si>
    <t>White has a rook on h5 and Black has a bishop on g6 and a pawn on h6. What should White do?</t>
  </si>
  <si>
    <t>A) Push the pawn to h7, B) Use the rook to attack Black’s bishop, C) Move the rook to h6, D) Coordinate the rook with other pieces</t>
  </si>
  <si>
    <t>Black has a queen on c8 and White has a rook on a7 and a pawn on a6. What should White do?</t>
  </si>
  <si>
    <t>A) Push the pawn to a7, B) Move the rook to a8, C) Use the rook to attack Black’s queen, D) Coordinate the rook with other pieces</t>
  </si>
  <si>
    <t>White has a bishop on e5 and Black has a queen on e7 and a pawn on d6. What should White do?</t>
  </si>
  <si>
    <t>A) Push the pawn to d7, B) Use the bishop to attack Black’s queen, C) Move the bishop to f6, D) Coordinate the bishop with other pieces</t>
  </si>
  <si>
    <t>Black has a rook on f6 and White has a queen on g5 and a pawn on f5. What should White do?</t>
  </si>
  <si>
    <t>A) Push the pawn to f6, B) Use the queen to attack Black’s rook, C) Move the queen to g4, D) Coordinate the queen with other pieces</t>
  </si>
  <si>
    <t>White has a queen on d4 and Black has a rook on e8 and a pawn on e5. What should White do?</t>
  </si>
  <si>
    <t>A) Push the pawn to e6, B) Use the queen to attack Black’s rook, C) Move the queen to e5, D) Coordinate the queen with other pieces</t>
  </si>
  <si>
    <t>Black has a bishop on h5 and White has a queen on f4 and a pawn on g5. What should White do?</t>
  </si>
  <si>
    <t>A) Push the pawn to g6, B) Use the queen to attack Black’s bishop, C) Move the queen to g4, D) Coordinate the queen with other pieces</t>
  </si>
  <si>
    <t>Black has a rook on b7 and White has a queen on c6 and a pawn on b5. What should White do?</t>
  </si>
  <si>
    <t>A) Push the pawn to b6, B) Move the queen to c7, C) Use the queen to attack Black’s rook, D) Coordinate the queen with other pieces</t>
  </si>
  <si>
    <t>White has a knight on e6 and Black has a queen on g8 and a pawn on f7. What should White do?</t>
  </si>
  <si>
    <t>A) Push the pawn to f8 for promotion, B) Use the knight to attack Black’s queen, C) Move the knight to f8, D) Coordinate the knight with other pieces</t>
  </si>
  <si>
    <t>Black has a queen on c8 and White has a rook on d7 and a pawn on d5. What should White do?</t>
  </si>
  <si>
    <t>A) Push the pawn to d6, B) Use the rook to attack Black’s queen, C) Move the rook to d8, D) Coordinate the rook with other pieces</t>
  </si>
  <si>
    <t>White has a queen on e3 and Black has a rook on e8 and a pawn on f6. What should White do?</t>
  </si>
  <si>
    <t>A) Push the pawn to f7, B) Use the queen to attack Black’s rook, C) Move the queen to e4, D) Coordinate the queen with other pieces</t>
  </si>
  <si>
    <t>Black has a bishop on h5 and White has a rook on h1 and a pawn on h6. What should White do?</t>
  </si>
  <si>
    <t>A) Push the pawn to h7, B) Use the rook to attack Black’s bishop, C) Move the rook to h2, D) Coordinate the rook with other pieces</t>
  </si>
  <si>
    <t>White has a rook on d7 and Black has a queen on d6 and a pawn on d5. What should White do?</t>
  </si>
  <si>
    <t>A) Push the pawn to d6, B) Use the rook to attack Black’s queen, C) Move the rook to d6, D) Coordinate the rook with other pieces</t>
  </si>
  <si>
    <t>Black has a knight on f4 and White has a queen on d1 and a pawn on f5. What should White do?</t>
  </si>
  <si>
    <t>A) Push the pawn to f6, B) Use the queen to attack Black’s knight, C) Move the queen to e1, D) Coordinate the queen with other pieces</t>
  </si>
  <si>
    <t>White has a bishop on f3 and Black has a rook on f8 and a pawn on f6. What should White do?</t>
  </si>
  <si>
    <t>A) Push the pawn to f7, B) Use the bishop to attack Black’s rook, C) Move the bishop to e4, D) Coordinate the bishop with other pieces</t>
  </si>
  <si>
    <t>Black has a queen on d8 and White has a rook on a8 and a pawn on a7. What should White do?</t>
  </si>
  <si>
    <t>A) Push the pawn to a8 for promotion, B) Use the rook to attack Black’s queen, C) Move the rook to a7, D) Coordinate the rook with other pieces</t>
  </si>
  <si>
    <t>White has a rook on f4 and Black has a knight on g6 and a pawn on f5. What should White do?</t>
  </si>
  <si>
    <t>A) Push the pawn to f6, B) Use the rook to attack Black’s knight, C) Move the rook to f5, D) Coordinate the rook with other pieces</t>
  </si>
  <si>
    <t>In a professional Kho Kho match, Team A and Team B are playing in the finals. Team A has managed to touch all the chasing defenders within 5 minutes, earning 9 points. If Team B fails to score more than 9 points in their chasing turn, what will be the result?</t>
  </si>
  <si>
    <t>A) Team A wins the match, B) Team B wins the match, C) The match ends in a draw, D) Team B can still tie the match in the next round</t>
  </si>
  <si>
    <t>A) Team A wins the match</t>
  </si>
  <si>
    <t>A Kho Kho player on the chasing team successfully dodges three defenders in a row but gets out while attempting to tag the fourth. What strategy mistake might the player have made?</t>
  </si>
  <si>
    <t>A) Lack of stamina, B) Incorrect running angle, C) Misjudgment of the opponent’s speed, D) Lack of awareness of the field</t>
  </si>
  <si>
    <t>C) Misjudgment of the opponent’s speed</t>
  </si>
  <si>
    <t>During a Kho Kho match, the referee calls for a foul against Team B's defender for stepping out of bounds intentionally. What consequence will this foul have for Team B?</t>
  </si>
  <si>
    <t>A) Team B loses 1 point, B) Team A gains a point, C) The defender is disqualified from the round, D) Team B gets a free chasing turn</t>
  </si>
  <si>
    <t>C) The defender is disqualified from the round</t>
  </si>
  <si>
    <t>If a chasing player from Team A tags a defender while stepping outside the central lane, what will the referee decide?</t>
  </si>
  <si>
    <t>A) The defender remains safe, B) The chasing player earns a point, C) The defender is out, D) The chasing player is penalized</t>
  </si>
  <si>
    <t>A) The defender remains safe</t>
  </si>
  <si>
    <t>In a Kho Kho match, Team A manages to earn 12 points in their chasing turn. How many players did they successfully tag if each tagged defender awards 1 point?</t>
  </si>
  <si>
    <t>A) 8 players, B) 12 players, C) 10 players, D) 9 players</t>
  </si>
  <si>
    <t>B) 12 players</t>
  </si>
  <si>
    <t>A defender successfully dodges all attempts to be tagged for 3 minutes during a Kho Kho game. What is this strategy called?</t>
  </si>
  <si>
    <t>A) Attacking play, B) Defensive play, C) Counter-dodging, D) Side-step dodging</t>
  </si>
  <si>
    <t>B) Defensive play</t>
  </si>
  <si>
    <t>If Team A's defender is able to stay within the playing area for 5 minutes without getting tagged, how many points will the defending team earn?</t>
  </si>
  <si>
    <t>A) 5 points, B) 3 points, C) 1 point, D) No points</t>
  </si>
  <si>
    <t>D) No points</t>
  </si>
  <si>
    <t>What should a chasing player in Kho Kho focus on to minimize energy loss while effectively chasing?</t>
  </si>
  <si>
    <t>A) Speed alone, B) Proper angle and timing, C) Jumping over players, D) Running continuously</t>
  </si>
  <si>
    <t>B) Proper angle and timing</t>
  </si>
  <si>
    <t>A Kho Kho player from Team A tags the last remaining defender of Team B just before the time expires. What will be the impact on the score?</t>
  </si>
  <si>
    <t>A) Team A gains 2 points, B) Team A gains 1 point, C) Team B gets penalized, D) No impact since time expired</t>
  </si>
  <si>
    <t>B) Team A gains 1 point</t>
  </si>
  <si>
    <t>Which defensive tactic is most effective when multiple chasing players are nearby during a Kho Kho match?</t>
  </si>
  <si>
    <t>A) Running fast in a straight line, B) Zigzag dodging, C) Standing still, D) Passing through the central lane</t>
  </si>
  <si>
    <t>B) Zigzag dodging</t>
  </si>
  <si>
    <t>During a tournament final, Team A's defender successfully avoided being tagged for 3 consecutive rounds. What is the likely outcome for Team A in terms of game strategy?</t>
  </si>
  <si>
    <t>A) They earn extra points, B) They can switch defenders, C) They waste the chasing team’s energy, D) They are penalized for not engaging</t>
  </si>
  <si>
    <t>C) They waste the chasing team’s energy</t>
  </si>
  <si>
    <t>In Kho Kho, what is the importance of 'giving kho' during the game?</t>
  </si>
  <si>
    <t>A) It helps defend better, B) It prevents defenders from resting, C) It transfers the chasing role to another player, D) It confuses the opponents</t>
  </si>
  <si>
    <t>C) It transfers the chasing role to another player</t>
  </si>
  <si>
    <t>What happens if a defender from Team B steps outside the boundary lines of the Kho Kho field during the match?</t>
  </si>
  <si>
    <t>A) The defender is out, B) The defender gets a free pass, C) The defender must re-enter the field, D) The chasing team gets an extra point</t>
  </si>
  <si>
    <t>Team B has a 2-point lead, and Team A needs to score at least 3 points in the next round to win the match. What must Team A do in their chasing round?</t>
  </si>
  <si>
    <t>A) Tag 1 defender, B) Tag 2 defenders, C) Tag 3 defenders, D) Defend for 5 minutes</t>
  </si>
  <si>
    <t>C) Tag 3 defenders</t>
  </si>
  <si>
    <t>In a Kho Kho tournament, if a defender is tagged by a chaser after receiving a 'Kho' but the defender was already out of the running lane, what is the correct ruling?</t>
  </si>
  <si>
    <t>A) Defender is safe, B) Defender is out, C) Chaser is disqualified, D) Defender gets a penalty</t>
  </si>
  <si>
    <t>B) Defender is out</t>
  </si>
  <si>
    <t>A Kho Kho player dodges successfully for 4 minutes without being tagged. How does this affect their team's strategy?</t>
  </si>
  <si>
    <t>A) Earns extra points for the team, B) Exhausts the chasing team, C) Loses points for not engaging, D) Forces a timeout</t>
  </si>
  <si>
    <t>B) Exhausts the chasing team</t>
  </si>
  <si>
    <t>What should a defender avoid to prevent being easily tagged in Kho Kho?</t>
  </si>
  <si>
    <t>A) Running in circles, B) Changing direction quickly, C) Stopping frequently, D) Sprinting in a straight line</t>
  </si>
  <si>
    <t>D) Sprinting in a straight line</t>
  </si>
  <si>
    <t>During a Kho Kho game, a chasing player manages to tag a defender right before they cross the central lane. What will the referee's decision be?</t>
  </si>
  <si>
    <t>A) The defender remains safe, B) The defender is out, C) The chaser gets a point, D) The chaser is penalized for late tagging</t>
  </si>
  <si>
    <t>Which of the following is considered a foul in Kho Kho?</t>
  </si>
  <si>
    <t>A) Tagging a player outside the boundary, B) Not giving 'Kho' within the required time, C) Running parallel to the central lane, D) Defenders running through the central lane</t>
  </si>
  <si>
    <t>B) Not giving 'Kho' within the required time</t>
  </si>
  <si>
    <t>If a chasing team in Kho Kho fails to tag any defenders in a round, what will happen?</t>
  </si>
  <si>
    <t>A) They lose the match, B) They gain a point, C) The defending team earns an advantage, D) The chasing team gets another round</t>
  </si>
  <si>
    <t>C) The defending team earns an advantage</t>
  </si>
  <si>
    <t>During a Kho Kho match, Team B’s defender is running parallel to the central lane for a long time without changing direction. What disadvantage might the defender face?</t>
  </si>
  <si>
    <t>A) Chasing team will lose stamina, B) Chasing team can easily predict the defender’s movement, C) The defender gains an extra point, D) The defender can take a break</t>
  </si>
  <si>
    <t>B) Chasing team can easily predict the defender’s movement</t>
  </si>
  <si>
    <t>In a Kho Kho match, Team A gives the chasing role to one of their fastest runners. What advantage does this strategy provide?</t>
  </si>
  <si>
    <t>A) Higher chance of tagging multiple defenders, B) Slows down the opponents, C) Increases the points of defenders, D) Ensures the chasing team gets a time-out</t>
  </si>
  <si>
    <t>A) Higher chance of tagging multiple defenders</t>
  </si>
  <si>
    <t>A defender is cornered by two chasers. What strategy can the defender use to escape?</t>
  </si>
  <si>
    <t>A) Run toward one chaser, B) Zigzag to confuse both chasers, C) Stand still until tagged, D) Jump over the chasers</t>
  </si>
  <si>
    <t>B) Zigzag to confuse both chasers</t>
  </si>
  <si>
    <t>If a chasing player gives a ‘Kho’ but does not step out of the central lane in time, what will be the referee’s decision?</t>
  </si>
  <si>
    <t>A) The 'Kho' is invalid, B) The chasing player is penalized, C) The defender is out, D) The next player takes over automatically</t>
  </si>
  <si>
    <t>A) The 'Kho' is invalid</t>
  </si>
  <si>
    <t>During a Kho Kho match, a defender steps out of the boundary line after being chased for 2 minutes. What is the result?</t>
  </si>
  <si>
    <t>A) Defender is declared out, B) Defender is given another chance, C) Defender earns 1 point, D) The chasing team loses 1 point</t>
  </si>
  <si>
    <t>In the final moments of a Kho Kho game, Team B’s defender dodges a chaser and stays within the boundary for 30 seconds. What does Team B gain?</t>
  </si>
  <si>
    <t>A) A point for each second dodged, B) The match continues, C) The defender exhausts the chaser, D) The game resets for the next round</t>
  </si>
  <si>
    <t>C) The defender exhausts the chaser</t>
  </si>
  <si>
    <t>What happens if a defender is tagged by a chaser but the chaser is outside the boundary line?</t>
  </si>
  <si>
    <t>A) The defender is safe, B) The defender is out, C) The chaser gets a penalty, D) The chaser earns 2 points</t>
  </si>
  <si>
    <t>A) The defender is safe</t>
  </si>
  <si>
    <t>Team A’s chaser fails to give a ‘Kho’ within the allowed time. What penalty will Team A face?</t>
  </si>
  <si>
    <t>A) Team B gains 1 point, B) Team A loses 1 point, C) The next chaser takes over, D) The round ends immediately</t>
  </si>
  <si>
    <t>C) The next chaser takes over</t>
  </si>
  <si>
    <t>During a Kho Kho match, Team A decides to use all their energy to tag the defenders quickly. What could be a potential risk of this strategy?</t>
  </si>
  <si>
    <t>A) Defenders might get an extra point, B) Chasers might lose stamina for later rounds, C) Team B will lose automatically, D) The chasers will be substituted</t>
  </si>
  <si>
    <t>B) Chasers might lose stamina for later rounds</t>
  </si>
  <si>
    <t>In a professional Kho Kho match, if a chaser gives a ‘Kho’ but fails to touch the next chaser’s back properly, what will happen?</t>
  </si>
  <si>
    <t>A) The Kho is invalid, B) The game continues without any issue, C) The defender gets a free pass, D) The round is restarted</t>
  </si>
  <si>
    <t>A) The Kho is invalid</t>
  </si>
  <si>
    <t>Which of the following actions is a defender in Kho Kho allowed to perform to avoid being tagged?</t>
  </si>
  <si>
    <t>A) Jumping over the chaser, B) Running out of bounds, C) Dodging in zigzag patterns, D) Tackling the chaser</t>
  </si>
  <si>
    <t>C) Dodging in zigzag patterns</t>
  </si>
  <si>
    <t>A chasing player from Team B tags a defender by extending their arm but not moving their feet outside the central lane. What will the referee decide?</t>
  </si>
  <si>
    <t>A) Defender is out, B) Defender remains safe, C) Chaser gets a penalty, D) The round ends</t>
  </si>
  <si>
    <t>B) Defender remains safe</t>
  </si>
  <si>
    <t>In a Kho Kho tournament, what should a chaser avoid to prevent giving the defender an easy escape?</t>
  </si>
  <si>
    <t>A) Giving Kho too early, B) Running too fast, C) Staying close to the central lane, D) Following the defender in a straight line</t>
  </si>
  <si>
    <t>D) Following the defender in a straight line</t>
  </si>
  <si>
    <t>During a crucial Kho Kho match, Team A needs to tag 4 defenders in the final minute to win. What should Team A focus on to maximize their chances?</t>
  </si>
  <si>
    <t>A) Running as fast as possible, B) Strategic use of Kho, C) Letting defenders tire themselves, D) Trying to block defenders in one area</t>
  </si>
  <si>
    <t>B) Strategic use of Kho</t>
  </si>
  <si>
    <t>If a Kho Kho defender manages to dodge three chasers in a row, what impact does this have on the game?</t>
  </si>
  <si>
    <t>A) The defender earns extra points, B) The chasers are disqualified, C) The chasers waste time and energy, D) The defender must sit out the next round</t>
  </si>
  <si>
    <t>C) The chasers waste time and energy</t>
  </si>
  <si>
    <t>In a Kho Kho match, Team A's defender is surrounded by three chasers but manages to dodge them using quick turns for over two minutes. What is the most likely benefit for Team A?</t>
  </si>
  <si>
    <t>A) Exhausts the chasers, B) Gains extra points for dodging, C) Loses time for not engaging, D) Defender is disqualified for staying too long</t>
  </si>
  <si>
    <t>A) Exhausts the chasers</t>
  </si>
  <si>
    <t>During a Kho Kho match, a chaser from Team B tries to tag a defender but misses. The defender then immediately runs through the central lane. What rule applies to this scenario?</t>
  </si>
  <si>
    <t>A) Defender is safe and continues, B) Defender is penalized for crossing the lane, C) Chaser is awarded a point, D) Defender gets an extra point for crossing the lane</t>
  </si>
  <si>
    <t>A) Defender is safe and continues</t>
  </si>
  <si>
    <t>Team A is in the final round of a Kho Kho tournament. The match is tied, and they need 5 points to win. What should Team A focus on during their chasing round?</t>
  </si>
  <si>
    <t>A) Exhausting the defenders, B) Avoiding fouls, C) Giving quick 'Kho', D) Tagging at least 5 defenders</t>
  </si>
  <si>
    <t>D) Tagging at least 5 defenders</t>
  </si>
  <si>
    <t>In a high-pressure Kho Kho match, Team B's defender stays in the corner of the field to avoid being tagged. What tactical disadvantage does this pose?</t>
  </si>
  <si>
    <t>A) Easy to trap in a confined space, B) Defenders lose points for passive play, C) Chasers lose stamina, D) Defender gains points for surviving</t>
  </si>
  <si>
    <t>A) Easy to trap in a confined space</t>
  </si>
  <si>
    <t>A chasing player from Team A tags a defender but steps outside the boundary line just before making the tag. What will the referee decide?</t>
  </si>
  <si>
    <t>A) Defender is out, B) Chaser earns a point, C) Defender remains safe, D) Chaser is disqualified</t>
  </si>
  <si>
    <t>C) Defender remains safe</t>
  </si>
  <si>
    <t>Team B’s defender is touched while turning back to avoid a chaser. However, the chaser touched them with both feet outside the center lane. What is the referee’s call?</t>
  </si>
  <si>
    <t>A) Defender is out, B) Defender is safe, C) Chaser earns a point, D) Chaser is warned</t>
  </si>
  <si>
    <t>B) Defender is safe</t>
  </si>
  <si>
    <t>In a critical Kho Kho match, Team A is down by 2 points, and their defender needs to survive the last 30 seconds. What strategy should the defender adopt?</t>
  </si>
  <si>
    <t>A) Sprinting in one direction, B) Zigzag running, C) Standing still in the corner, D) Running through the central lane</t>
  </si>
  <si>
    <t>B) Zigzag running</t>
  </si>
  <si>
    <t>A defender from Team B uses feints and dodges continuously for 5 minutes but does not attempt to move across the field. How does this impact the game?</t>
  </si>
  <si>
    <t>A) Team B gains extra points, B) Team B wastes time but tires out chasers, C) Team B loses points for not advancing, D) Defender is penalized for passive play</t>
  </si>
  <si>
    <t>B) Team B wastes time but tires out chasers</t>
  </si>
  <si>
    <t>During a tournament final, Team A’s defender crosses the central lane just as the chasing team switches chasers. What is the most likely outcome?</t>
  </si>
  <si>
    <t>A) Defender is safe, B) Defender is out, C) Defender gains a point, D) Chaser is penalized for not switching in time</t>
  </si>
  <si>
    <t>A) Defender is safe</t>
  </si>
  <si>
    <t>In a tight Kho Kho match, Team B needs to defend for one more minute to win. What is the most effective strategy for their defenders?</t>
  </si>
  <si>
    <t>A) Running continuously, B) Constantly switching lanes, C) Using the corners of the field, D) Staying near the center of the field</t>
  </si>
  <si>
    <t>C) Using the corners of the field</t>
  </si>
  <si>
    <t>A defender from Team A steps out of bounds while attempting to dodge a chaser. What will be the consequence?</t>
  </si>
  <si>
    <t>A) Defender is penalized, B) Defender is out, C) Chaser earns a point, D) Defender must re-enter the field</t>
  </si>
  <si>
    <t>In a closely contested match, Team B’s defender is tagged while attempting to switch lanes. However, the chaser did not touch the ground before tagging. What is the ruling?</t>
  </si>
  <si>
    <t>A) Defender is out, B) Defender remains safe, C) Chaser earns a point, D) The round is reset</t>
  </si>
  <si>
    <t>During a Kho Kho match, a chaser from Team A successfully tags a defender but accidentally collides with another defender. What will the referee’s decision be?</t>
  </si>
  <si>
    <t>A) Chaser earns a point, B) Collision is penalized, C) Defender is disqualified, D) The round continues without penalties</t>
  </si>
  <si>
    <t>B) Collision is penalized</t>
  </si>
  <si>
    <t>A defender from Team B dodges successfully for 3 minutes, tiring out two chasers. What is the most likely impact of this defensive play on Team B?</t>
  </si>
  <si>
    <t>A) Team B gains extra points, B) Team B reduces the energy of the chasing team, C) Team B can request a substitution, D) Defender is penalized for not engaging</t>
  </si>
  <si>
    <t>B) Team B reduces the energy of the chasing team</t>
  </si>
  <si>
    <t>Team A’s defender tries to dodge but is trapped between two chasers. What is the best way for the defender to escape the situation?</t>
  </si>
  <si>
    <t>A) Run toward the central lane, B) Move quickly to the sidelines, C) Wait for an opening, D) Switch to the opposite corner</t>
  </si>
  <si>
    <t>A) Run toward the central lane</t>
  </si>
  <si>
    <t>A chaser from Team B gives a late 'Kho' to their teammate, resulting in a delay in tagging a defender. What might this delay lead to?</t>
  </si>
  <si>
    <t>A) Defender gains an advantage, B) Chasing team earns a point, C) Defender is penalized, D) The game is paused</t>
  </si>
  <si>
    <t>A) Defender gains an advantage</t>
  </si>
  <si>
    <t>In the final moments of a Kho Kho match, Team A needs to defend for 10 more seconds to win. What is the best strategy for Team A’s defender?</t>
  </si>
  <si>
    <t>A) Sprint in a straight line, B) Use quick dodges and feints, C) Stand still and wait, D) Run through the central lane</t>
  </si>
  <si>
    <t>B) Use quick dodges and feints</t>
  </si>
  <si>
    <t>During a critical round, a chaser from Team A successfully tags a defender just before they cross the central lane. What will the referee decide?</t>
  </si>
  <si>
    <t>A) Defender is safe, B) Defender is out, C) Chaser earns a point, D) Chaser is disqualified for late tagging</t>
  </si>
  <si>
    <t>Team B’s defender attempts to jump over a chaser to avoid being tagged. However, the defender lands outside the playing area. What will be the referee's ruling?</t>
  </si>
  <si>
    <t>A) Defender is out, B) Defender gains a point for creative dodging, C) Chaser earns a point, D) Defender must re-enter the field</t>
  </si>
  <si>
    <t>A) Defender is out</t>
  </si>
  <si>
    <t>A chaser from Team A is getting tired and cannot keep up with the defender. What is the most effective action for the chaser to take?</t>
  </si>
  <si>
    <t>A) Sprint harder, B) Call for a 'Kho', C) Stop and rest, D) Run parallel to the defender</t>
  </si>
  <si>
    <t>B) Call for a 'Kho'</t>
  </si>
  <si>
    <t>During a Kho Kho game, the defenders of Team A are using a zigzag pattern to avoid being tagged. What advantage does this strategy provide?</t>
  </si>
  <si>
    <t>A) Confuses the chasers, B) Earns points for creativity, C) Increases the defenders' speed, D) Allows more time for resting</t>
  </si>
  <si>
    <t>A) Confuses the chasers</t>
  </si>
  <si>
    <t>Team A’s defender is about to be tagged but receives a warning from a teammate in time to dodge. What is the role of communication in this situation?</t>
  </si>
  <si>
    <t>A) Encourages faster movement, B) Prevents unnecessary fouls, C) Helps defenders stay alert, D) Disorients the chasers</t>
  </si>
  <si>
    <t>C) Helps defenders stay alert</t>
  </si>
  <si>
    <t>In a tournament, Team B has only 30 seconds left to score enough points to win the match. What is the best strategy for the chasers to maximize their chances?</t>
  </si>
  <si>
    <t>A) Focus on a single defender, B) Give frequent 'Kho', C) Slow down the pace, D) Wait for the defenders to tire</t>
  </si>
  <si>
    <t>B) Give frequent 'Kho'</t>
  </si>
  <si>
    <t>A chaser from Team B repeatedly tags the same defender. What rule is violated in this situation?</t>
  </si>
  <si>
    <t>A) Defender is disqualified, B) Chaser is penalized, C) Multiple tags are allowed, D) Chaser is substituted</t>
  </si>
  <si>
    <t>B) Chaser is penalized</t>
  </si>
  <si>
    <t>During a match, Team A’s chaser makes an early 'Kho', resulting in confusion among the teammates. How might this impact Team A’s chances?</t>
  </si>
  <si>
    <t>A) Increases speed, B) Causes miscoordination, C) Helps defenders stay alert, D) Leads to a disqualification</t>
  </si>
  <si>
    <t>B) Causes miscoordination</t>
  </si>
  <si>
    <t>In a high-stakes final, Team B’s defender successfully dodges three chasers but steps out of bounds afterward. What is the ruling?</t>
  </si>
  <si>
    <t>A) Defender is out, B) Defender gains a point, C) Chaser earns a point, D) Defender is warned but continues</t>
  </si>
  <si>
    <t>During a close match, Team A's defender performs a sudden reverse turn to avoid a chaser. What tactical advantage does this provide?</t>
  </si>
  <si>
    <t>A) Confuses the chaser, B) Increases speed, C) Gains extra points, D) Avoids a foul</t>
  </si>
  <si>
    <t>A) Confuses the chaser</t>
  </si>
  <si>
    <t>A defender from Team B attempts to cross the central lane but is tagged just before making it through. What will the referee decide?</t>
  </si>
  <si>
    <t>A) Defender is safe, B) Defender is out, C) Chaser earns a point, D) The round is reset</t>
  </si>
  <si>
    <t>In a tense final, Team A's chaser gives a late 'Kho', causing the next chaser to miss a tagging opportunity. How should Team A adjust their strategy?</t>
  </si>
  <si>
    <t>A) Give 'Kho' earlier, B) Slow down the pace, C) Avoid using 'Kho', D) Focus on individual chasers</t>
  </si>
  <si>
    <t>A) Give 'Kho' earlier</t>
  </si>
  <si>
    <t>Team B’s defender is consistently switching lanes to avoid being tagged. How does this impact the chasing team?</t>
  </si>
  <si>
    <t>A) Tires out the chasers, B) Gains extra points for switching, C) Allows chasers to rest, D) Chasers gain extra speed</t>
  </si>
  <si>
    <t>A) Tires out the chasers</t>
  </si>
  <si>
    <t>During a match, a chaser from Team A successfully tags a defender but makes contact with their hand outside the lane. What will the referee's ruling be?</t>
  </si>
  <si>
    <t>A) Defender is out, B) Defender is safe, C) Chaser earns a point, D) Defender gains a point</t>
  </si>
  <si>
    <t>In the final moments of a match, Team B’s defender is trying to run out the clock by staying near the sidelines. What is the risk of this strategy?</t>
  </si>
  <si>
    <t>A) Defender can be easily trapped, B) Defender gains extra points, C) Chasers will tire out, D) Defender can rest and recover</t>
  </si>
  <si>
    <t>A) Defender can be easily trapped</t>
  </si>
  <si>
    <t>A chaser from Team A tags a defender just as the defender crosses the central lane. The chaser’s foot, however, is still in the lane. What is the outcome?</t>
  </si>
  <si>
    <t>A) Defender is out, B) Defender is safe, C) Chaser earns a point, D) Chaser is penalized</t>
  </si>
  <si>
    <t>In a critical match, Team A’s defender is dodging multiple chasers by staying close to the central lane. What is the most likely benefit of this strategy?</t>
  </si>
  <si>
    <t>A) Easier to switch directions quickly, B) Earns extra points, C) Gains rest time, D) Confuses the chasers</t>
  </si>
  <si>
    <t>A) Easier to switch directions quickly</t>
  </si>
  <si>
    <t>During a heated Kho Kho game, Team B’s chaser accidentally tags two defenders at once. What will be the referee’s call?</t>
  </si>
  <si>
    <t>A) Both defenders are out, B) Both defenders are safe, C) Only one defender is out, D) Chaser is penalized</t>
  </si>
  <si>
    <t>C) Only one defender is out</t>
  </si>
  <si>
    <t>A defender from Team A attempts to dodge a chaser but steps outside the playing field. What is the consequence of this action?</t>
  </si>
  <si>
    <t>A) Defender is out, B) Defender is safe, C) Chaser is awarded a point, D) The round is reset</t>
  </si>
  <si>
    <t>In a final match, Team B needs to tag a defender quickly to win. The chaser hesitates before giving a 'Kho'. What is the impact of this hesitation?</t>
  </si>
  <si>
    <t>A) Defender gains extra time, B) Chaser gains an advantage, C) Defender is penalized, D) Chaser earns a point</t>
  </si>
  <si>
    <t>A) Defender gains extra time</t>
  </si>
  <si>
    <t>During a semi-final match, a defender from Team A is surrounded by two chasers but manages to escape through a quick turn. What is the most likely impact of this escape?</t>
  </si>
  <si>
    <t>A) Defender gains extra time, B) Chasers lose coordination, C) Defender earns a point, D) Chasers are penalized</t>
  </si>
  <si>
    <t>B) Chasers lose coordination</t>
  </si>
  <si>
    <t>In a critical moment, Team A’s defender uses a feint to trick the chasers and successfully crosses the central lane. What benefit does this provide?</t>
  </si>
  <si>
    <t>A) Gains extra time, B) Defender earns a point, C) Chasers are disqualified, D) Defender is safe from tagging</t>
  </si>
  <si>
    <t>D) Defender is safe from tagging</t>
  </si>
  <si>
    <t>A chaser from Team B is about to tag a defender but is delayed by a teammate giving a late 'Kho'. What is the best way to avoid this situation in the future?</t>
  </si>
  <si>
    <t>A) Give 'Kho' earlier, B) Focus on individual chasers, C) Avoid using 'Kho', D) Give fewer 'Kho' instructions</t>
  </si>
  <si>
    <t>Team B’s defender is trying to dodge two chasers by moving in a circular pattern. What is the risk of this strategy?</t>
  </si>
  <si>
    <t>A) Easier to trap in a confined space, B) Defender gains extra time, C) Chasers lose stamina, D) Chasers get confused</t>
  </si>
  <si>
    <t>A) Easier to trap in a confined space</t>
  </si>
  <si>
    <t>In the final seconds of a match, Team A’s chaser tags a defender just before the whistle blows. What will the referee’s decision likely be?</t>
  </si>
  <si>
    <t>A) Defender is out, B) Defender is safe, C) Chaser earns a point, D) The round is reset</t>
  </si>
  <si>
    <t>In a high-pressure match, Team A's chaser tags a defender but the defender claims the tag was not legitimate. What will the referee do?</t>
  </si>
  <si>
    <t>A) Award the point to Team A, B) Review the play, C) Ignore the claim, D) Penalize the defender</t>
  </si>
  <si>
    <t>B) Review the play</t>
  </si>
  <si>
    <t>During a crucial moment, Team B’s defender is sprinting down the lane but stumbles just before a chaser tags him. What is the outcome?</t>
  </si>
  <si>
    <t>A) Defender is out, B) Defender is safe, C) Chaser is penalized, D) Round is restarted</t>
  </si>
  <si>
    <t>Team A's chaser gives a rapid 'Kho', but the new chaser trips while running. How can Team A adjust their strategy to avoid this mistake?</t>
  </si>
  <si>
    <t>A) Slow down the 'Kho', B) Give more space between players, C) Avoid giving 'Kho', D) Practice better coordination</t>
  </si>
  <si>
    <t>D) Practice better coordination</t>
  </si>
  <si>
    <t>In a final match, Team B’s defender is continuously stepping close to the central lane without crossing it. What is the advantage of this strategy?</t>
  </si>
  <si>
    <t>A) Confuses the chasers, B) Gains extra points, C) Avoids being tagged, D) Traps the chasers</t>
  </si>
  <si>
    <t>C) Avoids being tagged</t>
  </si>
  <si>
    <t>A defender from Team A is running along the edge of the field and is about to be tagged by a chaser. What could the defender do to avoid the tag?</t>
  </si>
  <si>
    <t>A) Speed up, B) Change direction quickly, C) Step out of bounds, D) Slow down</t>
  </si>
  <si>
    <t>B) Change direction quickly</t>
  </si>
  <si>
    <t>In the final seconds of a match, Team B’s chaser hesitates to give 'Kho'. What impact does this hesitation have on the team’s chances?</t>
  </si>
  <si>
    <t>A) Defender gains time, B) Chaser gains energy, C) Defender is disqualified, D) Chaser earns a point</t>
  </si>
  <si>
    <t>A) Defender gains time</t>
  </si>
  <si>
    <t>During a tournament, Team A's chaser is running down the lane but collides with the next chaser after giving 'Kho'. What is the likely consequence?</t>
  </si>
  <si>
    <t>A) Defender is safe, B) Chaser is penalized, C) Chaser earns a point, D) Team A loses coordination</t>
  </si>
  <si>
    <t>D) Team A loses coordination</t>
  </si>
  <si>
    <t>Team B's defender tries to cross the central lane but is blocked by two chasers. What could be the defender's best strategy?</t>
  </si>
  <si>
    <t>A) Attempt a reverse turn, B) Sprint forward, C) Slow down, D) Call for a time-out</t>
  </si>
  <si>
    <t>A) Attempt a reverse turn</t>
  </si>
  <si>
    <t>A chaser from Team A tags a defender, but the defender protests that the chaser crossed the central lane during the tag. What will the referee's decision be?</t>
  </si>
  <si>
    <t>A) Tag is invalid, B) Defender is out, C) Chaser is disqualified, D) Defender gains a point</t>
  </si>
  <si>
    <t>A) Tag is invalid</t>
  </si>
  <si>
    <t>During a match, Team A’s chaser gives a 'Kho' but misses the opportunity to tag the defender due to miscommunication. What adjustment should Team A make?</t>
  </si>
  <si>
    <t>A) Give clearer instructions, B) Slow down the pace, C) Avoid giving 'Kho', D) Switch positions</t>
  </si>
  <si>
    <t>A) Give clearer instructions</t>
  </si>
  <si>
    <t>In a semi-final, Team B’s defender is consistently dodging tags by quickly switching lanes. How might this impact the chasers?</t>
  </si>
  <si>
    <t>A) Confuses the chasers, B) Slows down the game, C) Chasers lose stamina, D) Earns extra points</t>
  </si>
  <si>
    <t>C) Chasers lose stamina</t>
  </si>
  <si>
    <t>During a match, Team A's chaser tags a defender but steps out of bounds just before the tag. What is the ruling?</t>
  </si>
  <si>
    <t>A) Tag is invalid, B) Defender is out, C) Chaser earns a point, D) Defender gains a point</t>
  </si>
  <si>
    <t>Team B’s defender is about to be tagged but uses a sudden jump to avoid the chaser. What is the most likely outcome?</t>
  </si>
  <si>
    <t>A) Defender is safe, B) Defender gains a point, C) Chaser earns a point, D) Defender is disqualified</t>
  </si>
  <si>
    <t>During a critical match, Team A’s chaser gives a quick 'Kho' but the next chaser hesitates to pursue the defender. What will likely happen?</t>
  </si>
  <si>
    <t>A) Defender gains time, B) Chaser gains stamina, C) Defender is penalized, D) Chaser earns a point</t>
  </si>
  <si>
    <t>In a tense match, Team B’s defender avoids multiple chasers by staying near the boundary line. What risk does this pose?</t>
  </si>
  <si>
    <t>A) Defender might step out of bounds, B) Defender gains extra points, C) Chasers lose stamina, D) Defender is disqualified</t>
  </si>
  <si>
    <t>A) Defender might step out of bounds</t>
  </si>
  <si>
    <t>A chaser from Team A tags a defender right before the whistle blows, but the tag is disputed. What will the referee likely do?</t>
  </si>
  <si>
    <t>A) Award the point to Team A, B) Review the play, C) Restart the round, D) Penalize Team A</t>
  </si>
  <si>
    <t>In the final minutes of a match, Team A’s chaser gives a slow 'Kho' which delays the next chaser’s response. How could Team A improve this?</t>
  </si>
  <si>
    <t>A) Speed up the 'Kho', B) Avoid giving 'Kho', C) Focus on individual defenders, D) Increase coordination</t>
  </si>
  <si>
    <t>A) Speed up the 'Kho'</t>
  </si>
  <si>
    <t>During a match, Team B’s defender crosses the central lane but is immediately tagged by a chaser. What is the ruling?</t>
  </si>
  <si>
    <t>In a final match, Team A’s defender dodges a chaser by switching lanes, but the chaser claims the defender crossed illegally. What will the referee decide?</t>
  </si>
  <si>
    <t>A) Defender is safe, B) Defender is out, C) Chaser is penalized, D) Round is reset</t>
  </si>
  <si>
    <t>Team B’s chaser gives a late 'Kho' but manages to tag the defender just in time. What should Team B focus on to avoid this close call in future?</t>
  </si>
  <si>
    <t>A) Give 'Kho' earlier, B) Avoid using 'Kho', C) Increase speed, D) Slow down the pace</t>
  </si>
  <si>
    <t>A defender from Team A is using a zig-zag pattern to dodge the chasers. What is the advantage of this tactic?</t>
  </si>
  <si>
    <t>A) Confuses the chasers, B) Increases defender’s stamina, C) Slows down the game, D) Defender gains extra points</t>
  </si>
  <si>
    <t>In a close match, Team A’s chaser hesitates before giving a 'Kho', causing the next chaser to miss an opportunity. What adjustment should Team A make?</t>
  </si>
  <si>
    <t>A) Give 'Kho' more quickly, B) Avoid giving 'Kho', C) Focus on single chasers, D) Slow down the game</t>
  </si>
  <si>
    <t>A) Give 'Kho' more quickly</t>
  </si>
  <si>
    <t>During a heated match, Team B’s defender is caught just as they attempt to cross the central lane. What is the outcome?</t>
  </si>
  <si>
    <t>Team A’s chaser gives a quick 'Kho' but the next chaser misses the defender by a small margin. What should the team focus on to improve?</t>
  </si>
  <si>
    <t>A) Timing the 'Kho' better, B) Slow down the pace, C) Increase distance between chasers, D) Avoid giving 'Kho'</t>
  </si>
  <si>
    <t>A) Timing the 'Kho' better</t>
  </si>
  <si>
    <t>A defender from Team B is continuously changing lanes to avoid being tagged. What is the primary benefit of this strategy?</t>
  </si>
  <si>
    <t>A) Confuses the chasers, B) Slows down the game, C) Increases defender's points, D) Exhausts the defender</t>
  </si>
  <si>
    <t>Team A’s chaser tags a defender but steps out of bounds immediately after. What is the ruling?</t>
  </si>
  <si>
    <t>In a semi-final, Team B’s defender is about to be tagged but jumps to avoid the chaser. What is the outcome?</t>
  </si>
  <si>
    <t>During a crucial moment, Team A’s chaser hesitates to give 'Kho'. How could this affect the team’s strategy?</t>
  </si>
  <si>
    <t>During the final moments of a match, Team A's defender is trapped near the pole by two chasers. What should the defender do to escape?</t>
  </si>
  <si>
    <t>A) Switch lanes quickly, B) Run towards the pole, C) Call for a time-out, D) Attempt to dodge both chasers simultaneously</t>
  </si>
  <si>
    <t>A) Switch lanes quickly</t>
  </si>
  <si>
    <t>A Team B defender is consistently running close to the boundary line. What is the major risk of this strategy?</t>
  </si>
  <si>
    <t>A) Gaining points, B) Confusing the chasers, C) Accidentally stepping out of bounds, D) Getting penalized</t>
  </si>
  <si>
    <t>C) Accidentally stepping out of bounds</t>
  </si>
  <si>
    <t>Team A’s chaser gives a late 'Kho', and the next chaser hesitates, missing an opportunity to tag the defender. What adjustment should be made?</t>
  </si>
  <si>
    <t>A) Give 'Kho' earlier, B) Skip giving 'Kho', C) Slow down the pace, D) Focus on timing</t>
  </si>
  <si>
    <t>Team B's chaser is about to give a 'Kho' but realizes the defender is too far. What is the best action the chaser can take?</t>
  </si>
  <si>
    <t>A) Give the 'Kho' anyway, B) Run towards the defender, C) Wait for the defender to come closer, D) Plan a better 'Kho'</t>
  </si>
  <si>
    <t>D) Plan a better 'Kho'</t>
  </si>
  <si>
    <t>During the last minute of a tense match, Team A’s chaser is about to tag a defender but slips. What should the next chaser do?</t>
  </si>
  <si>
    <t>A) Immediately start chasing the defender, B) Ignore the defender, C) Wait for the defender to get closer, D) Skip the turn</t>
  </si>
  <si>
    <t>A) Immediately start chasing the defender</t>
  </si>
  <si>
    <t>A defender from Team B is dodging multiple chasers, but the team fails to coordinate their 'Kho'. What could help them improve?</t>
  </si>
  <si>
    <t>A) Faster Kho exchanges, B) Skipping Kho, C) Slowing down the game, D) Dividing their focus</t>
  </si>
  <si>
    <t>A) Faster Kho exchanges</t>
  </si>
  <si>
    <t>Team A’s defender steps out of bounds while avoiding a tag. What is the outcome of this action?</t>
  </si>
  <si>
    <t>A) Defender is safe, B) Defender is out, C) Chaser earns a point, D) The round is restarted</t>
  </si>
  <si>
    <t>During a match, Team B’s defender is tagged after a quick 'Kho'. What could have helped the defender stay safe?</t>
  </si>
  <si>
    <t>A) Running faster, B) Choosing a better escape route, C) Slowing down, D) Asking for a time-out</t>
  </si>
  <si>
    <t>B) Choosing a better escape route</t>
  </si>
  <si>
    <t>In a semi-final, Team A’s defender is running out of stamina, but the chasers are also slowing down. What should the defender do?</t>
  </si>
  <si>
    <t>A) Attempt a quick dodge, B) Stay close to the boundary, C) Wait for the chasers to make a mistake, D) Run to the pole</t>
  </si>
  <si>
    <t>A) Attempt a quick dodge</t>
  </si>
  <si>
    <t>Team B’s defender attempts to switch lanes but is caught between two chasers. What is the most effective escape route?</t>
  </si>
  <si>
    <t>A) Cross the central lane, B) Dodge in the same lane, C) Reverse direction, D) Wait for a mistake</t>
  </si>
  <si>
    <t>C) Reverse direction</t>
  </si>
  <si>
    <t>During a final, Team A’s chaser gives a well-timed 'Kho' but the next chaser hesitates. What impact does this have on the team?</t>
  </si>
  <si>
    <t>Team B’s defender is cornered near the pole by two chasers. What should the defender do?</t>
  </si>
  <si>
    <t>A) Try to confuse the chasers by slowing down, B) Sprint towards the nearest exit lane, C) Step out of bounds, D) Switch lanes quickly</t>
  </si>
  <si>
    <t>B) Sprint towards the nearest exit lane</t>
  </si>
  <si>
    <t>During a high-stakes match, Team A’s chaser fails to tag a defender due to a slow 'Kho'. How could this be improved?</t>
  </si>
  <si>
    <t>A) Speed up 'Kho', B) Avoid giving 'Kho', C) Wait for better positioning, D) Plan a defensive strategy</t>
  </si>
  <si>
    <t>A) Speed up 'Kho'</t>
  </si>
  <si>
    <t>In a high-pressure match, Team B’s defender is dodging in a zigzag pattern. How can Team A’s chasers best counter this?</t>
  </si>
  <si>
    <t>A) Give quick 'Kho', B) Block both sides of the lane, C) Wait for the defender to slow down, D) Change direction constantly</t>
  </si>
  <si>
    <t>B) Block both sides of the lane</t>
  </si>
  <si>
    <t>A Team A defender is running close to the central lane but not crossing it. What advantage does this provide?</t>
  </si>
  <si>
    <t>A) Reduces chasers’ options, B) Earns extra points, C) Confuses the referee, D) Slows down the game</t>
  </si>
  <si>
    <t>A) Reduces chasers’ options</t>
  </si>
  <si>
    <t>In a crucial game moment, Team A’s chaser hesitates to give 'Kho'. What effect will this have on the game?</t>
  </si>
  <si>
    <t>A) Defender gains time, B) Chaser earns stamina, C) Defender is penalized, D) Chaser gains points</t>
  </si>
  <si>
    <t>A defender from Team B steps out of bounds while attempting to dodge. What is the outcome?</t>
  </si>
  <si>
    <t>A) Defender is safe, B) Defender is out, C) Chaser earns a point, D) The round restarts</t>
  </si>
  <si>
    <t>Team A’s defender has been avoiding the chasers for a long time by sticking close to the boundary line. What could be the chasers’ strategy to tag the defender?</t>
  </si>
  <si>
    <t>A) Force the defender towards the center, B) Allow the defender to tire out, C) Sprint towards the defender, D) Block the escape routes</t>
  </si>
  <si>
    <t>D) Block the escape routes</t>
  </si>
  <si>
    <t>Team B’s defender is attempting to cross the central lane but is trapped by two chasers. What should the defender do?</t>
  </si>
  <si>
    <t>A) Reverse direction quickly, B) Step out of bounds, C) Wait for the chasers to make a mistake, D) Sprint forward</t>
  </si>
  <si>
    <t>A) Reverse direction quickly</t>
  </si>
  <si>
    <t>During a tense moment, Team A’s chaser misses the defender after giving 'Kho'. How can the team prevent this mistake in the future?</t>
  </si>
  <si>
    <t>A) Improve coordination, B) Give faster 'Kho', C) Avoid giving 'Kho', D) Slow down the pace</t>
  </si>
  <si>
    <t>A) Improve coordination</t>
  </si>
  <si>
    <t>A Team B defender is tagged just as the round ends. What is the referee’s decision?</t>
  </si>
  <si>
    <t>A) Tag is valid, B) Tag is invalid, C) Defender gains a point, D) Round is restarted</t>
  </si>
  <si>
    <t>A) Tag is valid</t>
  </si>
  <si>
    <t>In a match, Team A’s defender is avoiding tags by rapidly switching lanes. What can the chasers do to counter this strategy?</t>
  </si>
  <si>
    <t>A) Use quicker Kho transitions, B) Focus on a single lane, C) Wait for the defender to slow down, D) Block both ends of the lane</t>
  </si>
  <si>
    <t>D) Block both ends of the lane</t>
  </si>
  <si>
    <t>During the last minute, Team B’s chaser gives 'Kho' but the next chaser is too far behind to tag the defender. What should the team do next time?</t>
  </si>
  <si>
    <t>A) Stay closer between chasers, B) Slow down the game, C) Avoid giving 'Kho', D) Run faster</t>
  </si>
  <si>
    <t>A) Stay closer between chasers</t>
  </si>
  <si>
    <t>Team A’s defender is running close to the boundary line. What should the chasers focus on to tag him?</t>
  </si>
  <si>
    <t>A) Force the defender towards the center, B) Sprint faster, C) Block the defender's path, D) Wait for a mistake</t>
  </si>
  <si>
    <t>A) Force the defender towards the center</t>
  </si>
  <si>
    <t>During a match, Team A’s chaser fails to tag a defender who makes a sudden sharp turn. What should be the focus for the chaser’s improvement?</t>
  </si>
  <si>
    <t>A) Anticipating sharp turns, B) Increasing speed, C) Improving coordination, D) Timing of 'Kho'</t>
  </si>
  <si>
    <t>A) Anticipating sharp turns</t>
  </si>
  <si>
    <t>In a crucial game moment, Team B’s chaser is unable to tag a defender due to a miscalculation of distance. What should be improved?</t>
  </si>
  <si>
    <t>A) Distance assessment, B) Speed, C) Coordination, D) Timing</t>
  </si>
  <si>
    <t>A) Distance assessment</t>
  </si>
  <si>
    <t>Team A’s defender is using a quick sideways movement to avoid being tagged. What is the most effective strategy for the chasers to counter this?</t>
  </si>
  <si>
    <t>A) Block possible escape routes, B) Increase speed, C) Use better timing, D) Wait for the defender to tire out</t>
  </si>
  <si>
    <t>A) Block possible escape routes</t>
  </si>
  <si>
    <t>During the match, Team B’s chaser is unable to tag a defender due to poor timing. What should be the primary focus for improvement?</t>
  </si>
  <si>
    <t>A) Timing of the tag, B) Speed, C) Coordination, D) Strategy</t>
  </si>
  <si>
    <t>A) Timing of the tag</t>
  </si>
  <si>
    <t>A Team A defender is cornered by chasers and attempts to evade by running in circles. What is the best strategy for the chasers to tag the defender?</t>
  </si>
  <si>
    <t>A) Close in from multiple directions, B) Increase speed, C) Use better timing, D) Wait for the defender to tire out</t>
  </si>
  <si>
    <t>A) Close in from multiple directions</t>
  </si>
  <si>
    <t>In a high-pressure game, Team B’s chaser tags a defender but is immediately tagged by another chaser. What is the ruling?</t>
  </si>
  <si>
    <t>A) Defender is out, B) Both chasers are out, C) Defender is safe, D) The round restarts</t>
  </si>
  <si>
    <t>C) Defender is safe</t>
  </si>
  <si>
    <t>Team A’s chaser gives 'Kho' but the next chaser is unable to tag the defender due to confusion. What should be done to avoid this issue?</t>
  </si>
  <si>
    <t>A) Improve communication, B) Increase speed, C) Practice individual skills, D) Change tactics</t>
  </si>
  <si>
    <t>A) Improve communication</t>
  </si>
  <si>
    <t>Team B’s defender is making quick directional changes to evade tags. What should Team A focus on to effectively tag this defender?</t>
  </si>
  <si>
    <t>A) Anticipate and block escape routes, B) Increase speed, C) Use better timing, D) Wait for the defender to tire out</t>
  </si>
  <si>
    <t>A) Anticipate and block escape routes</t>
  </si>
  <si>
    <t>During a critical moment, Team A’s chaser is too late to give 'Kho' due to confusion. What should be the team’s focus for improvement?</t>
  </si>
  <si>
    <t>A) Communication, B) Speed, C) Coordination, D) Timing</t>
  </si>
  <si>
    <t>A) Communication</t>
  </si>
  <si>
    <t>Team B’s chaser misses tagging a defender due to poor coordination with other chasers. What should be focused on for the next attempt?</t>
  </si>
  <si>
    <t>A) Coordination, B) Speed, C) Individual skills, D) Strategy</t>
  </si>
  <si>
    <t>A) Coordination</t>
  </si>
  <si>
    <t>A Team A defender attempts to avoid being tagged by running along the boundary. What is the best strategy for Team B’s chasers?</t>
  </si>
  <si>
    <t>A) Block escape routes along the boundary, B) Increase speed, C) Use better timing, D) Change lanes</t>
  </si>
  <si>
    <t>A) Block escape routes along the boundary</t>
  </si>
  <si>
    <t>In the last moments of the game, Team A’s chaser tags a defender who was running towards the center. What should be the focus for improvement?</t>
  </si>
  <si>
    <t>A) Anticipation of movements, B) Speed, C) Coordination, D) Timing</t>
  </si>
  <si>
    <t>A) Anticipation of movements</t>
  </si>
  <si>
    <t>Team B’s defender is using a zigzag pattern to avoid being tagged. What should Team A’s chasers focus on?</t>
  </si>
  <si>
    <t>A) Block potential escape routes, B) Increase speed, C) Improve individual skills, D) Change strategy</t>
  </si>
  <si>
    <t>A) Block potential escape routes</t>
  </si>
  <si>
    <t>Team A's chaser is unable to tag a defender because they are too far away. What should be the focus for the chaser’s improvement?</t>
  </si>
  <si>
    <t>A) Improve distance judgment, B) Increase speed, C) Enhance coordination, D) Better timing</t>
  </si>
  <si>
    <t>A) Improve distance judgment</t>
  </si>
  <si>
    <t>In a critical moment, Team B’s chaser tags a defender who was running along the boundary line. What is the correct ruling?</t>
  </si>
  <si>
    <t>A) Defender is out, B) Defender is safe, C) The round restarts, D) Both chasers are out</t>
  </si>
  <si>
    <t>Team A’s chaser gives a 'Kho' but the next chaser is not ready. What should Team A focus on to improve?</t>
  </si>
  <si>
    <t>A) Better readiness and coordination, B) Increase speed, C) Improve individual skills, D) Change tactics</t>
  </si>
  <si>
    <t>A) Better readiness and coordination</t>
  </si>
  <si>
    <t>During a match, Team B’s defender uses quick lateral movements to avoid being tagged. What is a good counter-strategy for Team A’s chasers?</t>
  </si>
  <si>
    <t>A) Anticipate and block lateral movements, B) Increase speed, C) Use better timing, D) Wait for the defender to tire out</t>
  </si>
  <si>
    <t>A) Anticipate and block lateral movements</t>
  </si>
  <si>
    <t>Team A’s chaser tags a defender, but the tag is disputed by Team B. What should be the next step?</t>
  </si>
  <si>
    <t>A) Accept the referee's decision, B) Replay the round, C) Discuss with the referee, D) Change the strategy</t>
  </si>
  <si>
    <t>A) Accept the referee's decision</t>
  </si>
  <si>
    <t>Team B’s chaser is unable to tag a defender who is running straight towards the center. What should be improved?</t>
  </si>
  <si>
    <t>A) Better positioning, B) Increase speed, C) Improve individual skills, D) Better timing</t>
  </si>
  <si>
    <t>A) Better positioning</t>
  </si>
  <si>
    <t>A Team A defender is using a circular running pattern to evade tags. What is an effective strategy for Team B’s chasers?</t>
  </si>
  <si>
    <t>A) Block escape routes in circles, B) Increase speed, C) Use better timing, D) Wait for the defender to tire out</t>
  </si>
  <si>
    <t>A) Block escape routes in circles</t>
  </si>
  <si>
    <t>During the game, Team A’s chaser gives a 'Kho' but the next chaser is slow to react. What is the key area for improvement?</t>
  </si>
  <si>
    <t>A) Reaction time, B) Speed, C) Coordination, D) Timing</t>
  </si>
  <si>
    <t>A) Reaction time</t>
  </si>
  <si>
    <t>Team B’s defender is using sharp turns to evade tags. What is a crucial skill for Team A’s chasers to counter this?</t>
  </si>
  <si>
    <t>A) Anticipate sharp turns, B) Increase speed, C) Improve individual skills, D) Use better timing</t>
  </si>
  <si>
    <t>A) Anticipate sharp turns</t>
  </si>
  <si>
    <t>In the last seconds of the game, Team B’s chaser tags a defender who is close to the boundary. What is the ruling?</t>
  </si>
  <si>
    <t>Team A’s chaser is confused about the direction of 'Kho' and misses tagging a defender. What should be improved?</t>
  </si>
  <si>
    <t>A) Communication, B) Speed, C) Timing, D) Coordination</t>
  </si>
  <si>
    <t>Team B’s defender is cornered but manages to avoid a tag with a quick move. What is the best strategy for Team A’s chasers?</t>
  </si>
  <si>
    <t>A) Block escape routes from the corner, B) Increase speed, C) Improve timing, D) Wait for the defender to tire out</t>
  </si>
  <si>
    <t>A) Block escape routes from the corner</t>
  </si>
  <si>
    <t>During the match, Team A’s chaser is tagged by a defender due to poor positioning. What should be focused on for improvement?</t>
  </si>
  <si>
    <t>A) Positioning, B) Speed, C) Timing, D) Strategy</t>
  </si>
  <si>
    <t>A) Positioning</t>
  </si>
  <si>
    <t>Team B’s chaser is unable to tag a defender due to poor coordination with other chasers. What should be improved?</t>
  </si>
  <si>
    <t>A) Coordination, B) Speed, C) Timing, D) Individual skills</t>
  </si>
  <si>
    <t>A Team A defender is making quick direction changes to avoid being tagged. What is a good counter-strategy for Team B’s chasers?</t>
  </si>
  <si>
    <t>A) Block potential escape routes, B) Increase speed, C) Use better timing, D) Wait for the defender to tire out</t>
  </si>
  <si>
    <t>In a high-pressure game moment, Team B’s chaser tags a defender but the tag is disputed. What should be the next step?</t>
  </si>
  <si>
    <t>A) Accept the decision, B) Replay the round, C) Discuss with the referee, D) Change tactics</t>
  </si>
  <si>
    <t>A) Accept the decision</t>
  </si>
  <si>
    <t>Team A’s chaser misses tagging a defender due to confusion. What should be improved for the team?</t>
  </si>
  <si>
    <t>During a match, Team B’s defender is running towards the boundary to avoid being tagged. What is a good strategy for Team A’s chasers?</t>
  </si>
  <si>
    <t>A) Block escape routes near the boundary, B) Increase speed, C) Use better timing, D) Change lanes</t>
  </si>
  <si>
    <t>A) Block escape routes near the boundary</t>
  </si>
  <si>
    <t>Team A’s chaser is unable to tag a defender who is running in quick circles. What should be the focus for improvement?</t>
  </si>
  <si>
    <t>A) Blocking escape routes, B) Increasing speed, C) Improving timing, D) Better individual skills</t>
  </si>
  <si>
    <t>A) Blocking escape routes</t>
  </si>
  <si>
    <t>In the final seconds of the game, Team B’s chaser is confused about the direction of 'Kho' and misses the tag. What is the key area for improvement?</t>
  </si>
  <si>
    <t>Team A’s chaser gives a 'Kho' but the next chaser fails to tag due to a miscalculation. What should be improved?</t>
  </si>
  <si>
    <t>A) Distance judgment, B) Speed, C) Coordination, D) Timing</t>
  </si>
  <si>
    <t>A) Distance judgment</t>
  </si>
  <si>
    <t>During a match, Team B’s defender avoids being tagged by running in zigzag patterns. What is a good counter-strategy for Team A’s chasers?</t>
  </si>
  <si>
    <t>A) Anticipate and block zigzag movements, B) Increase speed, C) Use better timing, D) Wait for the defender to tire out</t>
  </si>
  <si>
    <t>A) Anticipate and block zigzag movements</t>
  </si>
  <si>
    <t>Team A’s chaser tags a defender but is immediately tagged by another defender. What is the ruling?</t>
  </si>
  <si>
    <t>A) Defender is safe, B) Both chasers are out, C) Defender is out, D) The round restarts</t>
  </si>
  <si>
    <t>Team B’s chaser misses the tag due to poor positioning. What should be focused on for improvement?</t>
  </si>
  <si>
    <t>A) Positioning, B) Speed, C) Timing, D) Coordination</t>
  </si>
  <si>
    <t>A Team A defender is using quick lateral movements to evade tags. What is a good strategy for Team B’s chasers?</t>
  </si>
  <si>
    <t>A) Block lateral movements, B) Increase speed, C) Use better timing, D) Wait for the defender to tire out</t>
  </si>
  <si>
    <t>A) Block lateral movements</t>
  </si>
  <si>
    <t>In a crucial moment, Team B’s chaser tags a defender who was running straight. What is the correct ruling?</t>
  </si>
  <si>
    <t>Team A’s chaser is unable to tag a defender due to confusion about the direction of 'Kho'. What should be improved?</t>
  </si>
  <si>
    <t>Team B’s chaser gives a 'Kho' but the next chaser is not ready to tag. What should be the focus for Team B’s improvement?</t>
  </si>
  <si>
    <t>A) Readiness and coordination, B) Speed, C) Individual skills, D) Strategy</t>
  </si>
  <si>
    <t>A) Readiness and coordination</t>
  </si>
  <si>
    <t>A Team A defender is cornered by chasers and tries to evade using quick moves. What should Team B’s chasers do?</t>
  </si>
  <si>
    <t>A) Block all possible escape routes, B) Increase speed, C) Improve individual skills, D) Wait for the defender to tire out</t>
  </si>
  <si>
    <t>A) Block all possible escape routes</t>
  </si>
  <si>
    <t>In the final moments, Team B’s chaser misses tagging a defender due to poor timing. What should be improved?</t>
  </si>
  <si>
    <t>A) Timing, B) Speed, C) Coordination, D) Individual skills</t>
  </si>
  <si>
    <t>A) Timing</t>
  </si>
  <si>
    <t>Team A’s chaser tags a defender who was running along the boundary. What is the ruling for this tag?</t>
  </si>
  <si>
    <t>During a game, Team B’s chaser is unable to tag a defender due to misjudged distance. What should be improved?</t>
  </si>
  <si>
    <t>A) Distance judgment, B) Speed, C) Timing, D) Coordination</t>
  </si>
  <si>
    <t>A Team A defender is avoiding being tagged with a zigzag running pattern. What should Team B’s chasers focus on?</t>
  </si>
  <si>
    <t>A) Anticipate and block zigzag patterns, B) Increase speed, C) Use better timing, D) Change strategy</t>
  </si>
  <si>
    <t>A) Anticipate and block zigzag patterns</t>
  </si>
  <si>
    <t>In a crucial moment, Team B’s chaser tags a defender but is immediately tagged by another chaser. What is the outcome?</t>
  </si>
  <si>
    <t>Team A’s chaser misses the tag due to confusion about the direction of 'Kho'. What should be the focus for improvement?</t>
  </si>
  <si>
    <t>Team B’s defender is avoiding being tagged by running in circles. What is an effective strategy for Team A’s chasers?</t>
  </si>
  <si>
    <t>A) Block escape routes in circles, B) Increase speed, C) Improve timing, D) Wait for the defender to tire out</t>
  </si>
  <si>
    <t>During a match, Team A’s chaser tags a defender who was running close to the boundary. What is the ruling?</t>
  </si>
  <si>
    <t>Team B’s chaser is unable to tag a defender due to poor positioning. What should be focused on for improvement?</t>
  </si>
  <si>
    <t>A Team A defender is making sharp turns to avoid being tagged. What should Team B’s chasers focus on?</t>
  </si>
  <si>
    <t>A) Anticipate sharp turns, B) Increase speed, C) Improve timing, D) Use better strategy</t>
  </si>
  <si>
    <t>In the last moments of the game, Team B’s chaser is confused about the direction of 'Kho' and misses the tag. What should be improved?</t>
  </si>
  <si>
    <t>Team A’s chaser is unable to tag a defender due to poor distance judgment. What should be the primary focus for improvement?</t>
  </si>
  <si>
    <t>During a critical game moment, Team B’s defender is evading tags with quick lateral movements. What should Team A’s chasers focus on?</t>
  </si>
  <si>
    <t>Team A’s chaser tags a defender who was running straight towards the center. What is the ruling?</t>
  </si>
  <si>
    <t>In the final seconds of the match, Team B’s chaser is unable to tag a defender due to poor coordination. What should be focused on for improvement?</t>
  </si>
  <si>
    <t>A) Coordination, B) Speed, C) Timing, D) Strategy</t>
  </si>
  <si>
    <t>Team A’s chaser misses a tag due to confusion about the direction of 'Kho'. What should be improved?</t>
  </si>
  <si>
    <t>During the game, Team B’s defender is using quick moves to avoid being tagged. What is a good strategy for Team A’s chasers?</t>
  </si>
  <si>
    <t>A) Block all possible escape routes, B) Increase speed, C) Improve timing, D) Wait for the defender to tire out</t>
  </si>
  <si>
    <t>Team B’s chaser gives a 'Kho' but the next chaser is too slow to react. What should be the focus for Team B’s improvement?</t>
  </si>
  <si>
    <t>A) Reaction time, B) Speed, C) Coordination, D) Individual skills</t>
  </si>
  <si>
    <t>A Team A defender is running in circles to avoid being tagged. What is an effective strategy for Team B’s chasers?</t>
  </si>
  <si>
    <t>A) Block escape routes in circles, B) Increase speed, C) Use better timing, D) Change strategy</t>
  </si>
  <si>
    <t>In the final moments, Team A’s chaser tags a defender who was running close to the boundary. What is the ruling?</t>
  </si>
  <si>
    <t>Team B’s chaser misses tagging a defender due to poor distance judgment. What should be improved?</t>
  </si>
  <si>
    <t>A Team A defender is evading tags by running in quick zigzag patterns. What should Team B’s chasers focus on?</t>
  </si>
  <si>
    <t>A) Block zigzag patterns, B) Increase speed, C) Use better timing, D) Wait for the defender to tire out</t>
  </si>
  <si>
    <t>A) Block zigzag patterns</t>
  </si>
  <si>
    <t>During a crucial moment, Team B’s chaser tags a defender but is immediately tagged by another chaser. What is the outcome?</t>
  </si>
  <si>
    <t>Team A’s chaser is unable to tag a defender due to poor coordination with other chasers. What should be improved?</t>
  </si>
  <si>
    <t>A Team B defender is avoiding being tagged by running along the boundary. What is a good strategy for Team A’s chasers?</t>
  </si>
  <si>
    <t>During the game, Team A’s chaser tags a defender who is running in circles. What is the ruling?</t>
  </si>
  <si>
    <t>Team B’s chaser is unable to tag a defender due to misjudged distance. What should be focused on for improvement?</t>
  </si>
  <si>
    <t>In the last seconds of the game, Team B’s chaser misses tagging a defender due to poor timing. What should be improved?</t>
  </si>
  <si>
    <t>Team A’s chaser is confused about the direction of 'Kho' and misses tagging a defender. What should be the key focus for improvement?</t>
  </si>
  <si>
    <t>Team B’s chaser is unable to tag a defender who is making sharp turns. What should be the focus for improvement?</t>
  </si>
  <si>
    <t>A) Anticipate sharp turns, B) Increase speed, C) Use better timing, D) Change strategy</t>
  </si>
  <si>
    <t>In a crucial game moment, Team A’s chaser tags a defender who is running along the boundary. What is the correct ruling?</t>
  </si>
  <si>
    <t>Team B’s chaser misses a tag due to confusion about the direction of 'Kho'. What should be improved?</t>
  </si>
  <si>
    <t>A Team A defender is evading being tagged by running in circles. What is a good strategy for Team B’s chasers?</t>
  </si>
  <si>
    <t>During a match, Team A’s chaser tags a defender who was running in quick zigzag patterns. What is the ruling?</t>
  </si>
  <si>
    <t>Team B’s chaser is unable to tag a defender due to poor distance judgment. What should be the key area for improvement?</t>
  </si>
  <si>
    <t>Team A's chaser tags a defender near the center line. What is the ruling?</t>
  </si>
  <si>
    <t>During a match, Team B’s chaser is too slow to react after a 'Kho'. What should be improved?</t>
  </si>
  <si>
    <t>A Team A defender is running towards the boundary to avoid being tagged. What is an effective strategy for Team B’s chasers?</t>
  </si>
  <si>
    <t>A) Block boundary routes, B) Increase speed, C) Improve timing, D) Use better strategy</t>
  </si>
  <si>
    <t>A) Block boundary routes</t>
  </si>
  <si>
    <t>In the final moments, Team B’s chaser is unable to tag a defender due to poor timing. What should be the focus for improvement?</t>
  </si>
  <si>
    <t>A) Timing, B) Speed, C) Coordination, D) Communication</t>
  </si>
  <si>
    <t>Team A’s chaser gives a 'Kho' but the next chaser is not ready. What should Team A focus on improving?</t>
  </si>
  <si>
    <t>Team B’s chaser tags a defender who was running in a zigzag pattern. What is the ruling?</t>
  </si>
  <si>
    <t>A Team A defender is evading tags with quick lateral movements. What should Team B’s chasers focus on?</t>
  </si>
  <si>
    <t>Team A’s chaser misses tagging a defender due to poor distance judgment. What should be the focus for improvement?</t>
  </si>
  <si>
    <t>During a critical game moment, Team B’s chaser tags a defender but is immediately tagged by another chaser. What is the outcome?</t>
  </si>
  <si>
    <t>Team B’s defender is avoiding tags by running in circles. What is an effective strategy for Team A’s chasers?</t>
  </si>
  <si>
    <t>A Team A defender is tagged while running along the boundary. What is the ruling?</t>
  </si>
  <si>
    <t>Team B’s chaser is unable to tag a defender due to poor coordination. What should be improved?</t>
  </si>
  <si>
    <t>During the game, Team A’s chaser tags a defender running close to the center line. What is the ruling?</t>
  </si>
  <si>
    <t>A Team B defender is using quick zigzag patterns to avoid being tagged. What should Team A’s chasers focus on?</t>
  </si>
  <si>
    <t>In the final seconds, Team B’s chaser misses tagging a defender due to confusion about the direction of 'Kho'. What should be improved?</t>
  </si>
  <si>
    <t>Team B’s chaser is unable to tag a defender due to poor distance judgment. What should be the focus for improvement?</t>
  </si>
  <si>
    <t>A Team A defender is running in quick lateral movements to avoid being tagged. What is a good strategy for Team B’s chasers?</t>
  </si>
  <si>
    <t>A) Block lateral movements, B) Increase speed, C) Improve timing, D) Wait for the defender to tire out</t>
  </si>
  <si>
    <t>During the game, Team A’s chaser tags a defender who was running in quick zigzag patterns. What is the ruling?</t>
  </si>
  <si>
    <t>A Team A defender is avoiding being tagged by running in circles. What is a good strategy for Team B’s chasers?</t>
  </si>
  <si>
    <t>Team B’s chaser is unable to tag a defender due to poor timing. What should be focused on for improvement?</t>
  </si>
  <si>
    <t>A) Timing, B) Speed, C) Coordination, D) Strategy</t>
  </si>
  <si>
    <t>In the final moments of the game, Team A’s chaser is confused about the direction of 'Kho' and misses tagging a defender. What should be the focus for improvement?</t>
  </si>
  <si>
    <t>A Team B defender is evading being tagged by running in quick zigzag patterns. What is an effective strategy for Team A’s chasers?</t>
  </si>
  <si>
    <t>A) Block zigzag patterns, B) Increase speed, C) Use better timing, D) Change strategy</t>
  </si>
  <si>
    <t>Team B’s chaser is unable to tag a defender due to misjudged distance. What should be the focus for improvement?</t>
  </si>
  <si>
    <t>A Team A defender is running towards the center line to avoid being tagged. What is an effective strategy for Team B’s chasers?</t>
  </si>
  <si>
    <t>A) Block center line routes, B) Increase speed, C) Improve timing, D) Use better strategy</t>
  </si>
  <si>
    <t>A) Block center line routes</t>
  </si>
  <si>
    <t>During the match, Team A’s chaser tags a defender who is running close to the center line. What is the ruling?</t>
  </si>
  <si>
    <t>Team A’s chaser is struggling to tag a defender who is using quick diagonal runs. What is the best approach for Team A’s chaser?</t>
  </si>
  <si>
    <t>A) Anticipate diagonal movements, B) Increase speed, C) Improve timing, D) Wait for the defender to tire out</t>
  </si>
  <si>
    <t>A) Anticipate diagonal movements</t>
  </si>
  <si>
    <t>A Team B defender manages to avoid being tagged by running along the sidelines. What should Team A’s chasers focus on?</t>
  </si>
  <si>
    <t>A) Block sideline routes, B) Increase speed, C) Use better timing, D) Improve coordination</t>
  </si>
  <si>
    <t>A) Block sideline routes</t>
  </si>
  <si>
    <t>During a critical moment, Team B’s chaser tags a defender who is running in a straight line. What is the ruling?</t>
  </si>
  <si>
    <t>Team A’s chaser is unable to tag a defender due to poor timing. What should be the key focus for improvement?</t>
  </si>
  <si>
    <t>A Team B chaser fails to tag a defender who is making sharp cuts. What is the best strategy for Team B’s chaser?</t>
  </si>
  <si>
    <t>A) Anticipate sharp cuts, B) Increase speed, C) Improve timing, D) Change strategy</t>
  </si>
  <si>
    <t>A) Anticipate sharp cuts</t>
  </si>
  <si>
    <t>Team A’s defender avoids being tagged by running in tight circles. What should Team B’s chasers focus on?</t>
  </si>
  <si>
    <t>A) Block tight circles, B) Increase speed, C) Improve timing, D) Use better strategy</t>
  </si>
  <si>
    <t>A) Block tight circles</t>
  </si>
  <si>
    <t>In the last seconds of the game, Team B’s chaser tags a defender who is near the boundary. What is the ruling?</t>
  </si>
  <si>
    <t>A Team A defender is evading tags with quick backward movements. What should Team B’s chasers focus on?</t>
  </si>
  <si>
    <t>A) Block backward movements, B) Increase speed, C) Improve timing, D) Wait for the defender to tire out</t>
  </si>
  <si>
    <t>A) Block backward movements</t>
  </si>
  <si>
    <t>Team B’s chaser misses tagging a defender due to poor distance assessment. What is the focus for improvement?</t>
  </si>
  <si>
    <t>A) Distance assessment, B) Speed, C) Timing, D) Coordination</t>
  </si>
  <si>
    <t>A Team A defender uses a combination of fast and slow movements to evade tags. What should Team B’s chasers focus on?</t>
  </si>
  <si>
    <t>A) Anticipate movement patterns, B) Increase speed, C) Improve timing, D) Wait for the defender to tire out</t>
  </si>
  <si>
    <t>A) Anticipate movement patterns</t>
  </si>
  <si>
    <t>During the match, Team B’s chaser is too late to tag a defender who suddenly changes direction. What should be improved?</t>
  </si>
  <si>
    <t>Team A’s chaser is unable to tag a defender who is running in zigzag patterns. What is an effective strategy for Team A’s chasers?</t>
  </si>
  <si>
    <t>A) Block zigzag patterns, B) Increase speed, C) Improve timing, D) Change strategy</t>
  </si>
  <si>
    <t>A Team B defender is running close to the center line to avoid being tagged. What should Team A’s chasers focus on?</t>
  </si>
  <si>
    <t>During a game, Team B’s chaser tags a defender who was running straight. What is the ruling?</t>
  </si>
  <si>
    <t>A Team A defender uses quick lateral movements to avoid being tagged. What should Team B’s chasers focus on?</t>
  </si>
  <si>
    <t>Team B’s chaser fails to tag a defender who is using quick diagonal runs. What is the key area for improvement?</t>
  </si>
  <si>
    <t>A) Anticipate diagonal runs, B) Increase speed, C) Improve timing, D) Coordination</t>
  </si>
  <si>
    <t>A) Anticipate diagonal runs</t>
  </si>
  <si>
    <t>A Team A defender is running in a tight circle to evade tags. What should Team B’s chasers do?</t>
  </si>
  <si>
    <t>A) Block tight circles, B) Increase speed, C) Improve timing, D) Wait for the defender to tire out</t>
  </si>
  <si>
    <t>In the final seconds of a match, Team A’s chaser tags a defender who is running close to the sideline. What is the ruling?</t>
  </si>
  <si>
    <t>Team B’s chaser is unable to tag a defender due to poor coordination. What should be focused on for improvement?</t>
  </si>
  <si>
    <t>A Team A chaser tags a defender who is running in quick zigzag patterns. What is the ruling?</t>
  </si>
  <si>
    <t>Team B’s chaser misses a tag due to poor timing. What is the best focus for improvement?</t>
  </si>
  <si>
    <t>A Team A defender is using quick backward runs to evade tags. What should Team B’s chasers focus on?</t>
  </si>
  <si>
    <t>A) Block backward runs, B) Increase speed, C) Improve timing, D) Wait for the defender to tire out</t>
  </si>
  <si>
    <t>A) Block backward runs</t>
  </si>
  <si>
    <t>During the game, Team B’s chaser tags a defender running close to the center line. What is the ruling?</t>
  </si>
  <si>
    <t>Team A’s chaser is confused about the direction of 'Kho' and misses tagging a defender. What should be the focus for improvement?</t>
  </si>
  <si>
    <t>A Team B chaser is unable to tag a defender due to poor distance judgment. What should be focused on?</t>
  </si>
  <si>
    <t>Team A’s chaser is running in circles to avoid being tagged. What should Team B’s chasers do?</t>
  </si>
  <si>
    <t>A) Block circular routes, B) Increase speed, C) Improve timing, D) Wait for the defender to tire out</t>
  </si>
  <si>
    <t>A) Block circular routes</t>
  </si>
  <si>
    <t>During the match, Team B’s chaser fails to tag a defender who is running straight. What is the ruling?</t>
  </si>
  <si>
    <t>In a Musti Yuddha match, Fighter A and Fighter B are evenly matched. After a grueling 5 rounds, both fighters have been declared to have won 2 rounds each. The final round is about to start, and according to the rules, the winner must score at least 3 consecutive punches without retaliation to win the match. In the final round, Fighter A delivers 3 consecutive punches, but Fighter B retaliates with 2 punches. What should be the result?</t>
  </si>
  <si>
    <t>A) Fighter A wins the match. B) Fighter B wins the match. C) The match goes to sudden death. D) The final round is declared a draw.</t>
  </si>
  <si>
    <t>A) Fighter A wins the match.</t>
  </si>
  <si>
    <t>In a Musti Yuddha championship, Fighter X has won the first 2 rounds decisively, while Fighter Y wins the third round. In the fourth round, Fighter Y delivers a powerful blow, but Fighter X retaliates quickly with a series of defensive moves, minimizing damage. The judges declare the fourth round a tie. Given this scenario, what is the correct course of action for the final round?</t>
  </si>
  <si>
    <t>A) Fighter X automatically wins due to having more round victories. B) Fighter Y must score a knockout to win the match. C) The final round will decide the winner regardless of previous rounds. D) The judges will determine the winner based on overall performance so far.</t>
  </si>
  <si>
    <t>C) The final round will decide the winner regardless of previous rounds.</t>
  </si>
  <si>
    <t>During a Musti Yuddha training session, two fighters are practicing techniques for defensive stances and counterattacks. Fighter A lands a legal punch, but Fighter B quickly performs a counterstrike that causes Fighter A to lose balance. What should Fighter A do next according to traditional Musti Yuddha rules to avoid losing the match?</t>
  </si>
  <si>
    <t>A) Continue attacking despite the imbalance. B) Step back and regain balance before attacking again. C) Deliver a rapid punch to offset the imbalance. D) Take a defensive stance and wait for the opponent's move.</t>
  </si>
  <si>
    <t>B) Step back and regain balance before attacking again.</t>
  </si>
  <si>
    <t>In a Musti Yuddha tournament, two experienced fighters face off in the final match. Fighter A focuses on a mix of punches and defensive techniques, while Fighter B uses aggressive forward momentum to corner Fighter A. After several attempts, Fighter B manages to land a knockdown punch, but Fighter A stands up within the allowed time. According to the rules, what should happen next?</t>
  </si>
  <si>
    <t>A) Fighter B automatically wins due to the knockdown. B) The match continues as Fighter A was able to stand up. C) Fighter A must land a counterstrike to regain points. D) The judges will decide the winner based on overall performance.</t>
  </si>
  <si>
    <t>B) The match continues as Fighter A was able to stand up.</t>
  </si>
  <si>
    <t>In a semi-final Musti Yuddha match, Fighter A and Fighter B are tied with one round win each. In the third and final round, both fighters are extremely cautious, landing minimal punches. However, Fighter A's punches are more precise, while Fighter B's punches are stronger but less accurate. What should the judges consider when deciding the winner?</t>
  </si>
  <si>
    <t>A) The number of punches landed. B) The strength of each punch. C) A combination of precision and strength. D) The duration each fighter controlled the round.</t>
  </si>
  <si>
    <t>C) A combination of precision and strength.</t>
  </si>
  <si>
    <t>During a Musti Yuddha match, Fighter A is leading in points but begins to tire in the final round. Fighter B, who has been conserving energy, starts a sudden attack in the last minute. Fighter A manages to dodge most strikes but takes a heavy hit at the end. What would be the outcome?</t>
  </si>
  <si>
    <t>A) Fighter A wins due to leading in points. B) Fighter B wins because of the heavy hit. C) The match ends in a draw. D) The judges will review the final round to decide the winner.</t>
  </si>
  <si>
    <t>A) Fighter A wins due to leading in points.</t>
  </si>
  <si>
    <t>In a closely contested Musti Yuddha bout, both fighters have won two rounds each. In the final round, Fighter A delivers a knockout punch, but the referee rules that it was delivered just after the bell. What should happen next?</t>
  </si>
  <si>
    <t>A) Fighter A is disqualified for hitting after the bell. B) The knockout punch is disregarded, and the round is judged normally. C) Fighter B wins due to a foul by Fighter A. D) The round is restarted for a fair finish.</t>
  </si>
  <si>
    <t>B) The knockout punch is disregarded, and the round is judged normally.</t>
  </si>
  <si>
    <t>Fighter A is known for his defensive techniques, while Fighter B is an aggressive attacker. During the first round, Fighter B continuously attacks, but Fighter A manages to evade and counterstrike occasionally. At the end of the round, neither fighter has landed a decisive blow. How should the judges score the round?</t>
  </si>
  <si>
    <t>A) Favor Fighter A for better defense. B) Favor Fighter B for aggression. C) Declare the round a draw. D) Penalize Fighter B for lack of precision.</t>
  </si>
  <si>
    <t>C) Declare the round a draw.</t>
  </si>
  <si>
    <t>In a championship Musti Yuddha match, Fighter A uses a low stance to protect against high punches, while Fighter B switches between high and low attacks. During a low sweep, Fighter B slips but immediately regains balance. What should happen according to the rules?</t>
  </si>
  <si>
    <t>A) Fighter A should be awarded a point for the slip. B) Fighter B is disqualified for imbalance. C) The match continues as it was an accidental slip. D) The round is paused, and Fighter B is warned.</t>
  </si>
  <si>
    <t>C) The match continues as it was an accidental slip.</t>
  </si>
  <si>
    <t>Fighter A and Fighter B have reached the final round of a Musti Yuddha match. Fighter A leads by points, but Fighter B scores a clean hit in the last 10 seconds. Fighter A does not retaliate but avoids further hits. What should be the result?</t>
  </si>
  <si>
    <t>A) Fighter A wins due to overall points. B) Fighter B wins due to the clean hit. C) The round is declared a draw. D) The match goes into overtime.</t>
  </si>
  <si>
    <t>A) Fighter A wins due to overall points.</t>
  </si>
  <si>
    <t>During a training match, Fighter A attempts an illegal punch below the belt, but Fighter B blocks it. The referee sees the attempt but does not stop the match. How should the fighters proceed?</t>
  </si>
  <si>
    <t>A) Fighter B is awarded a point for the block. B) Fighter A is warned but allowed to continue. C) The match is stopped, and Fighter A is disqualified. D) The round restarts with a warning to Fighter A.</t>
  </si>
  <si>
    <t>B) Fighter A is warned but allowed to continue.</t>
  </si>
  <si>
    <t>In the final round of a Musti Yuddha match, Fighter A lands a series of fast punches, but Fighter B absorbs them and counters with a powerful strike. Fighter A appears stunned but stays on his feet. How should the round be scored?</t>
  </si>
  <si>
    <t>A) Favor Fighter A for landing more punches. B) Favor Fighter B for landing the more powerful strike. C) Declare the round a tie. D) Award the round to Fighter A for better endurance.</t>
  </si>
  <si>
    <t>B) Favor Fighter B for landing the more powerful strike.</t>
  </si>
  <si>
    <t>Fighter A has won three rounds in a five-round Musti Yuddha match. However, in the fourth round, Fighter B delivers a blow that temporarily incapacitates Fighter A, who is unable to continue for that round. What should happen next?</t>
  </si>
  <si>
    <t>A) Fighter B wins by knockout. B) Fighter A wins because he has won more rounds. C) Fighter A forfeits the match. D) The match is paused for a medical evaluation.</t>
  </si>
  <si>
    <t>D) The match is paused for a medical evaluation.</t>
  </si>
  <si>
    <t>In a youth Musti Yuddha competition, Fighter A dominates the first two rounds, but Fighter B starts performing better in the third round. Fighter A lands a blow just before the bell, and Fighter B falls but stands up again. How should the referee handle the situation?</t>
  </si>
  <si>
    <t>A) Award the round to Fighter A for the knockdown. B) Declare the round a draw because Fighter B stood up. C) Warn Fighter A for delivering a late punch. D) Review the fall and let the judges decide.</t>
  </si>
  <si>
    <t>A) Award the round to Fighter A for the knockdown.</t>
  </si>
  <si>
    <t>In a high-stakes Musti Yuddha final, Fighter A is leading by points, but Fighter B starts gaining momentum. During a clinch, Fighter B delivers an elbow strike, which is illegal. The referee does not see it, but Fighter A complains. How should the match proceed?</t>
  </si>
  <si>
    <t>A) The referee pauses the match and reviews the footage. B) Fighter B is automatically disqualified. C) The match continues without penalty. D) Fighter A is allowed to take a free hit.</t>
  </si>
  <si>
    <t>A) The referee pauses the match and reviews the footage.</t>
  </si>
  <si>
    <t>During a Musti Yuddha tournament, Fighter A scores multiple clean hits early in the match. However, Fighter B lands a powerful punch in the final seconds, knocking Fighter A to the ground. Fighter A recovers quickly but is visibly shaken. What should the referee decide?</t>
  </si>
  <si>
    <t>A) Fighter B wins by knockout. B) Fighter A wins due to early points. C) The round is declared a tie. D) The match goes into sudden death.</t>
  </si>
  <si>
    <t>B) Fighter A wins due to early points.</t>
  </si>
  <si>
    <t>In a friendly Musti Yuddha sparring session, Fighter A is much more experienced than Fighter B. Fighter A lands several controlled punches but does not push the advantage. Fighter B, however, manages to land a surprise hit. How should the match be judged?</t>
  </si>
  <si>
    <t>A) Fighter A wins due to better technique. B) Fighter B wins due to the surprise hit. C) The sparring is declared a draw. D) Both fighters are given equal credit for their performance.</t>
  </si>
  <si>
    <t>A) Fighter A wins due to better technique.</t>
  </si>
  <si>
    <t>During a Musti Yuddha demonstration, Fighter A and Fighter B are showcasing advanced techniques. Fighter B performs a spinning punch that grazes Fighter A's face, but Fighter A responds with a counterpunch that lands solidly. What should the audience take away from this exchange?</t>
  </si>
  <si>
    <t>A) Fighter B has better technique. B) Fighter A's counterpunch shows better timing. C) Both fighters demonstrated equal skill. D) Fighter B should be declared the winner for creativity.</t>
  </si>
  <si>
    <t>B) Fighter A's counterpunch shows better timing.</t>
  </si>
  <si>
    <t>In a heated Musti Yuddha match, both fighters are evenly matched in points going into the final round. Fighter A starts with a series of aggressive strikes, but Fighter B remains calm and counters effectively. In the last 30 seconds, Fighter A starts to tire. How should the round be judged?</t>
  </si>
  <si>
    <t>A) Award the round to Fighter A for aggression. B) Award the round to Fighter B for calm defense. C) Declare the round a tie. D) Extend the match into overtime.</t>
  </si>
  <si>
    <t>B) Award the round to Fighter B for calm defense.</t>
  </si>
  <si>
    <t>Fighter A and Fighter B are in the second round of a Musti Yuddha match. Fighter A accidentally steps out of the ring while dodging an attack. Fighter B claims a point for ring control. What should the referee decide?</t>
  </si>
  <si>
    <t>A) Award Fighter B a point for ring control. B) Deduct a point from Fighter A for stepping out. C) Pause the match and restart the round. D) Let the match continue without any point changes.</t>
  </si>
  <si>
    <t>D) Let the match continue without any point changes.</t>
  </si>
  <si>
    <t>In a regional Musti Yuddha tournament, Fighter A has a significant reach advantage over Fighter B. Fighter A uses long punches to keep Fighter B at a distance, but Fighter B manages to slip inside and land a body shot. What should Fighter A do to regain control?</t>
  </si>
  <si>
    <t>A) Keep using long-range punches. B) Focus on defensive footwork. C) Attempt a counterattack immediately. D) Retreat and reset the position.</t>
  </si>
  <si>
    <t>B) Focus on defensive footwork.</t>
  </si>
  <si>
    <t>In a Musti Yuddha exhibition match, Fighter A and Fighter B are demonstrating techniques for an audience. Fighter B uses an unorthodox stance that confuses Fighter A, who hesitates. How should Fighter A respond according to traditional training?</t>
  </si>
  <si>
    <t>A) Mimic Fighter B's stance. B) Stay with his own stance and remain focused. C) Attack immediately to prevent more confusion. D) Ask the referee for clarification.</t>
  </si>
  <si>
    <t>B) Stay with his own stance and remain focused.</t>
  </si>
  <si>
    <t>In a semi-final match, Fighter A is trailing by points but has better stamina than Fighter B. In the final round, Fighter A increases the pace, while Fighter B starts to slow down. What strategy should Fighter A adopt to maximize his chances of winning?</t>
  </si>
  <si>
    <t>A) Focus on landing quick jabs. B) Try to knock out Fighter B. C) Wait for Fighter B to make a mistake. D) Maintain consistent pressure with controlled strikes.</t>
  </si>
  <si>
    <t>D) Maintain consistent pressure with controlled strikes.</t>
  </si>
  <si>
    <t>During a Musti Yuddha championship bout, Fighter A attempts a risky flying punch but misses, leaving himself open. Fighter B hesitates to counter. What is the best course of action for Fighter B?</t>
  </si>
  <si>
    <t>A) Take advantage of Fighter A's vulnerability and strike. B) Step back and wait for Fighter A to recover. C) Match Fighter A's risky technique with one of his own. D) Call for a pause in the match.</t>
  </si>
  <si>
    <t>A) Take advantage of Fighter A's vulnerability and strike.</t>
  </si>
  <si>
    <t>In the final round of a closely contested Musti Yuddha match, both fighters are exhausted. Fighter A attempts a final barrage of punches but fails to land any significant hits. Fighter B defends successfully but doesn't counterattack. How should the judges score the round?</t>
  </si>
  <si>
    <t>A) Favor Fighter A for aggression. B) Favor Fighter B for successful defense. C) Declare the round a draw. D) Send the match into overtime.</t>
  </si>
  <si>
    <t>B) Favor Fighter B for successful defense.</t>
  </si>
  <si>
    <t>In a Musti Yuddha practice session, Fighter A is training to improve his reaction time. Fighter B, his training partner, deliberately throws a slow punch to test Fighter A’s response. Fighter A overreacts and misses the counterpunch. What should Fighter A do to improve?</t>
  </si>
  <si>
    <t>A) Slow down and focus on precision. B) Increase the speed of his reactions. C) Ignore slow punches and focus on faster ones. D) Ask Fighter B to throw faster punches.</t>
  </si>
  <si>
    <t>A) Slow down and focus on precision.</t>
  </si>
  <si>
    <t>Fighter A lands a solid punch on Fighter B during a Musti Yuddha match. Fighter B stumbles but stays on his feet. Fighter A backs off, allowing Fighter B to regain composure. What should the referee do?</t>
  </si>
  <si>
    <t>A) Stop the match and check on Fighter B. B) Allow the fight to continue. C) Give Fighter B a warning for stumbling. D) Award Fighter A extra points for sportsmanship.</t>
  </si>
  <si>
    <t>B) Allow the fight to continue.</t>
  </si>
  <si>
    <t>In the third round of a Musti Yuddha match, Fighter A is leading by points but is tiring. Fighter B uses this to his advantage and lands a quick series of punches. Fighter A blocks most of them but is still pushed back. What should Fighter A focus on?</t>
  </si>
  <si>
    <t>A) Increasing his offensive strikes. B) Improving his defensive stance. C) Conceding the round to save energy. D) Switching to an aggressive approach.</t>
  </si>
  <si>
    <t>B) Improving his defensive stance.</t>
  </si>
  <si>
    <t>Fighter A has a significant height and reach advantage over Fighter B in a Musti Yuddha match. Fighter B manages to get inside Fighter A’s guard and deliver multiple body shots. What strategy should Fighter A adopt?</t>
  </si>
  <si>
    <t>A) Use long-range punches to keep Fighter B at bay. B) Focus on defending body shots. C) Use kicks to maintain distance. D) Step back and create space.</t>
  </si>
  <si>
    <t>A) Use long-range punches to keep Fighter B at bay.</t>
  </si>
  <si>
    <t>In a Musti Yuddha competition, Fighter A lands a punch on Fighter B that causes B to lose his balance and fall. However, the punch did not appear strong enough to cause the fall. How should the referee respond?</t>
  </si>
  <si>
    <t>A) Award a point to Fighter A for the fall. B) Let the match continue without any penalties. C) Ask Fighter B if he can continue. D) Deduct a point from Fighter A for an illegal move.</t>
  </si>
  <si>
    <t>B) Let the match continue without any penalties.</t>
  </si>
  <si>
    <t>Fighter A is known for his quick footwork, while Fighter B relies on powerful punches. During the match, Fighter A keeps dodging Fighter B’s punches but fails to land any significant strikes. What should Fighter B do?</t>
  </si>
  <si>
    <t>A) Keep chasing Fighter A and throw more punches. B) Focus on counterattacks when Fighter A gets close. C) Slow down and wait for Fighter A to tire. D) Increase the speed of his punches.</t>
  </si>
  <si>
    <t>B) Focus on counterattacks when Fighter A gets close.</t>
  </si>
  <si>
    <t>Fighter A is leading in points, but in the final round, Fighter B delivers a powerful knockout punch. However, the punch is delivered after the bell rings. What is the correct ruling?</t>
  </si>
  <si>
    <t>A) Fighter B wins by knockout. B) Fighter A wins because the punch was after the bell. C) The match is declared a draw. D) The round is restarted.</t>
  </si>
  <si>
    <t>B) Fighter A wins because the punch was after the bell.</t>
  </si>
  <si>
    <t>In the first round of a Musti Yuddha match, Fighter A injures his wrist but continues fighting. Fighter B, noticing the injury, targets Fighter A's weak spot. What is the ethical course of action for Fighter B?</t>
  </si>
  <si>
    <t>A) Keep targeting Fighter A’s wrist. B) Fight fairly and avoid the injured area. C) Ask the referee to stop the match. D) Slow down the pace of the fight.</t>
  </si>
  <si>
    <t>B) Fight fairly and avoid the injured area.</t>
  </si>
  <si>
    <t>In a Musti Yuddha bout, Fighter A has won two rounds, and Fighter B has won one. In the fourth round, Fighter A delivers a punch right as the bell rings, knocking Fighter B down. What should the referee decide?</t>
  </si>
  <si>
    <t>A) The punch is valid, and Fighter A wins the round. B) The punch is after the bell, and Fighter B wins the round. C) The punch is after the bell, so no points are awarded. D) Fighter A is disqualified for hitting after the bell.</t>
  </si>
  <si>
    <t>C) The punch is after the bell, so no points are awarded.</t>
  </si>
  <si>
    <t>Fighter A and Fighter B are evenly matched in the first two rounds of a Musti Yuddha match. In the third round, Fighter A suddenly changes his fighting style, confusing Fighter B. How should Fighter B adapt?</t>
  </si>
  <si>
    <t>A) Stick to his original fighting style. B) Mimic Fighter A’s new style. C) Focus on defense and wait for an opening. D) Ask the referee for a timeout to regroup.</t>
  </si>
  <si>
    <t>C) Focus on defense and wait for an opening.</t>
  </si>
  <si>
    <t>Fighter A is known for his fast reflexes, while Fighter B is known for his endurance. During the match, Fighter A lands several quick punches early on, but Fighter B keeps moving forward. What should Fighter B do to turn the tide?</t>
  </si>
  <si>
    <t>A) Try to match Fighter A’s speed. B) Focus on body shots to wear Fighter A down. C) Increase his defensive movements. D) Wait for Fighter A to tire and then strike.</t>
  </si>
  <si>
    <t>D) Wait for Fighter A to tire and then strike.</t>
  </si>
  <si>
    <t>In a semi-final match of a Musti Yuddha tournament, Fighter A is known for his aggressive fighting style, while Fighter B is more defensive. In the final round, Fighter B takes a defensive approach, causing Fighter A to miss several punches. What should Fighter A do?</t>
  </si>
  <si>
    <t>A) Keep attacking aggressively. B) Focus on precision strikes. C) Wait for Fighter B to make a mistake. D) Switch to a defensive strategy.</t>
  </si>
  <si>
    <t>B) Focus on precision strikes.</t>
  </si>
  <si>
    <t>In the middle of a Musti Yuddha match, Fighter A gets backed into a corner by Fighter B. Fighter A has been leading on points but now faces constant pressure. What is the best move for Fighter A?</t>
  </si>
  <si>
    <t>A) Fight his way out aggressively. B) Hold his position and defend. C) Try to escape the corner. D) Wait for Fighter B to make an opening.</t>
  </si>
  <si>
    <t>C) Try to escape the corner.</t>
  </si>
  <si>
    <t>During a Musti Yuddha match, Fighter A takes a defensive stance, waiting for Fighter B to make the first move. Fighter B hesitates and throws a weak punch. What should Fighter A do?</t>
  </si>
  <si>
    <t>A) Counterattack immediately. B) Keep waiting for a stronger attack. C) Maintain the defensive stance. D) Close the distance and go for a knockout.</t>
  </si>
  <si>
    <t>A) Counterattack immediately.</t>
  </si>
  <si>
    <t>Fighter A is dominating the match, but in the final round, Fighter B lands a critical punch that visibly weakens Fighter A. Fighter B presses the attack, but Fighter A manages to defend. What should Fighter B do next?</t>
  </si>
  <si>
    <t>A) Continue the aggressive assault. B) Slow down and focus on precision. C) Let Fighter A recover and reset the fight. D) Defend against a possible counterattack.</t>
  </si>
  <si>
    <t>A) Continue the aggressive assault.</t>
  </si>
  <si>
    <t>Fighter A has won two rounds, and Fighter B has won one in a Musti Yuddha match. In the fourth round, Fighter B lands a powerful punch that stuns Fighter A. The referee starts a count, but Fighter A gets up before the count reaches 10. What should happen next?</t>
  </si>
  <si>
    <t>A) Fighter B is declared the winner by knockout. B) The round continues. C) Fighter A is disqualified for being stunned. D) The referee pauses the match for a medical check.</t>
  </si>
  <si>
    <t>B) The round continues.</t>
  </si>
  <si>
    <t>During a Musti Yuddha training match, Fighter A accidentally punches Fighter B below the belt. The referee sees it but Fighter B claims he is fine and wants to continue. What should the referee do?</t>
  </si>
  <si>
    <t>A) Disqualify Fighter A for an illegal move. B) Allow the match to continue. C) Pause the match and warn Fighter A. D) Deduct points from Fighter A and resume the match.</t>
  </si>
  <si>
    <t>C) Pause the match and warn Fighter A.</t>
  </si>
  <si>
    <t>Fighter A is leading on points but is visibly tired in the last round. Fighter B, still fresh, starts pressing with a series of powerful strikes. Fighter A manages to avoid most hits but is slowing down. What should Fighter A’s strategy be?</t>
  </si>
  <si>
    <t>A) Try to land a knockout punch. B) Focus on defense and running out the clock. C) Switch to an aggressive approach. D) Concede the round to conserve energy.</t>
  </si>
  <si>
    <t>B) Focus on defense and running out the clock.</t>
  </si>
  <si>
    <t>In a Musti Yuddha sparring session, Fighter A throws a punch that narrowly misses Fighter B. Fighter B, thinking it was a feint, hesitates and misses the opportunity to counter. What should Fighter B have done?</t>
  </si>
  <si>
    <t>A) Wait for Fighter A’s next move. B) Counterattack immediately. C) Step back and reassess. D) Change his stance and move in.</t>
  </si>
  <si>
    <t>B) Counterattack immediately.</t>
  </si>
  <si>
    <t>In the final match of a Musti Yuddha tournament, Fighter A is landing fast, precise punches, but Fighter B has a strong defense. After multiple rounds, neither fighter has a clear advantage. What should Fighter A focus on in the final round?</t>
  </si>
  <si>
    <t>A) Increase the speed of his punches. B) Focus on weakening Fighter B’s defense. C) Switch to a more defensive approach. D) Try to land a knockout punch.</t>
  </si>
  <si>
    <t>B) Focus on weakening Fighter B’s defense.</t>
  </si>
  <si>
    <t>During a Musti Yuddha match, Fighter A notices that Fighter B is favoring his left side, indicating a possible injury. What is the best course of action for Fighter A?</t>
  </si>
  <si>
    <t>A) Target Fighter B’s injured side. B) Continue fighting without exploiting the injury. C) Ask the referee to stop the match. D) Switch to a more defensive style.</t>
  </si>
  <si>
    <t>A) Target Fighter B’s injured side.</t>
  </si>
  <si>
    <t>During a Musti Yuddha match, Fighter A tries to land a heavy punch on Fighter B, but Fighter B dodges it and counters with a quick jab. Fighter A seems unbalanced after the missed punch. What should Fighter B do next?</t>
  </si>
  <si>
    <t>A) Press forward with more jabs. B) Step back to reassess the situation. C) Wait for Fighter A to regain balance. D) Attempt a grappling move to finish the fight.</t>
  </si>
  <si>
    <t>A) Press forward with more jabs.</t>
  </si>
  <si>
    <t>Fighter A starts a Musti Yuddha match with an aggressive strategy, landing several punches. However, Fighter B remains composed and uses defensive moves to avoid taking significant damage. How should Fighter B turn the fight around?</t>
  </si>
  <si>
    <t>A) Keep using defensive moves to tire Fighter A. B) Engage aggressively to surprise Fighter A. C) Focus on counter-attacks to take advantage of Fighter A’s aggression. D) Stay passive and hope Fighter A makes a mistake.</t>
  </si>
  <si>
    <t>C) Focus on counter-attacks to take advantage of Fighter A’s aggression.</t>
  </si>
  <si>
    <t>In a closely contested match, Fighter A suddenly switches to a southpaw stance, confusing Fighter B. Fighter B hesitates for a moment. What should Fighter B do?</t>
  </si>
  <si>
    <t>A) Switch stances to mirror Fighter A. B) Keep fighting in his usual stance. C) Take a defensive position to evaluate Fighter A’s new stance. D) Focus on attacking Fighter A’s exposed side.</t>
  </si>
  <si>
    <t>C) Take a defensive position to evaluate Fighter A’s new stance.</t>
  </si>
  <si>
    <t>During the final round, Fighter A is ahead on points, but Fighter B lands a solid punch that staggers Fighter A. The crowd is cheering for Fighter B. What should Fighter B do to capitalize on this moment?</t>
  </si>
  <si>
    <t>A) Increase the intensity of his punches. B) Wait for Fighter A to recover. C) Stay defensive to avoid making mistakes. D) Try to knock out Fighter A quickly.</t>
  </si>
  <si>
    <t>A) Increase the intensity of his punches.</t>
  </si>
  <si>
    <t>Fighter A is known for his powerful uppercuts, while Fighter B excels in speed and footwork. During the match, Fighter B continuously dodges Fighter A’s uppercuts. What should Fighter A do to improve his chances?</t>
  </si>
  <si>
    <t>A) Keep throwing uppercuts and hope one lands. B) Focus on body punches to slow Fighter B down. C) Try to match Fighter B’s speed. D) Switch to a more defensive fighting style.</t>
  </si>
  <si>
    <t>B) Focus on body punches to slow Fighter B down.</t>
  </si>
  <si>
    <t>In the second round, Fighter A manages to land multiple punches on Fighter B, but Fighter B remains composed. Fighter A starts to show signs of fatigue. How should Fighter B approach the rest of the round?</t>
  </si>
  <si>
    <t>A) Keep pressuring Fighter A to tire him further. B) Slow down and let Fighter A recover. C) Wait for Fighter A to make a mistake. D) Try to knock out Fighter A immediately.</t>
  </si>
  <si>
    <t>A) Keep pressuring Fighter A to tire him further.</t>
  </si>
  <si>
    <t>During the first round, Fighter A is dominating, but Fighter B suddenly shifts the momentum with a strong counterpunch. Fighter A retreats but is visibly shaken. What should Fighter B do next?</t>
  </si>
  <si>
    <t>A) Take advantage of Fighter A’s retreat and attack. B) Stay defensive to prevent any counterattacks. C) Let Fighter A regain confidence before attacking again. D) Wait for Fighter A to come forward and then strike.</t>
  </si>
  <si>
    <t>A) Take advantage of Fighter A’s retreat and attack.</t>
  </si>
  <si>
    <t>In the third round, Fighter A is ahead on points but begins to slow down due to fatigue. Fighter B sees an opportunity and starts attacking aggressively. What should Fighter A do to maintain his lead?</t>
  </si>
  <si>
    <t>A) Defend carefully and conserve energy. B) Try to knock out Fighter B before getting too tired. C) Match Fighter B’s aggression punch for punch. D) Retreat and wait for Fighter B to tire.</t>
  </si>
  <si>
    <t>A) Defend carefully and conserve energy.</t>
  </si>
  <si>
    <t>Fighter A has a significant reach advantage over Fighter B. Fighter B keeps trying to get inside Fighter A’s guard but gets hit by jabs every time. What strategy should Fighter B adopt?</t>
  </si>
  <si>
    <t>A) Keep rushing forward despite the jabs. B) Use feints to confuse Fighter A and get inside. C) Wait for Fighter A to tire before attacking. D) Focus on long-range strikes despite the reach disadvantage.</t>
  </si>
  <si>
    <t>B) Use feints to confuse Fighter A and get inside.</t>
  </si>
  <si>
    <t>Fighter A lands a punch on Fighter B’s face, causing a cut above Fighter B’s eye. The referee doesn’t stop the match, but Fighter B’s vision seems affected. What should Fighter A do?</t>
  </si>
  <si>
    <t>A) Keep targeting the cut. B) Focus on body shots instead. C) Slow down the pace of the fight. D) Ask the referee to stop the fight.</t>
  </si>
  <si>
    <t>A) Keep targeting the cut.</t>
  </si>
  <si>
    <t>In the final round, Fighter A is slightly ahead on points. Fighter B, knowing this, starts an all-out assault. Fighter A is dodging most punches but not landing any counterattacks. What should Fighter A focus on?</t>
  </si>
  <si>
    <t>A) Keep dodging until the round ends. B) Engage with counterattacks when safe. C) Avoid engaging and wait for the clock to run out. D) Challenge Fighter B with equally aggressive attacks.</t>
  </si>
  <si>
    <t>B) Engage with counterattacks when safe.</t>
  </si>
  <si>
    <t>During a Musti Yuddha match, Fighter A takes a defensive stance and waits for Fighter B to make the first move. Fighter B throws a wild punch and misses. How should Fighter A respond?</t>
  </si>
  <si>
    <t>A) Throw a quick counterpunch. B) Stay in a defensive stance. C) Wait for Fighter B to throw another punch. D) Move forward and attempt a knockout.</t>
  </si>
  <si>
    <t>A) Throw a quick counterpunch.</t>
  </si>
  <si>
    <t>In the middle of the second round, Fighter A gets cornered by Fighter B. Fighter B is landing punches, and Fighter A is struggling to escape. What should Fighter A do?</t>
  </si>
  <si>
    <t>A) Try to push Fighter B away with a strong punch. B) Attempt to block all of Fighter B’s punches. C) Slip out of the corner and create distance. D) Throw punches while staying in the corner.</t>
  </si>
  <si>
    <t>C) Slip out of the corner and create distance.</t>
  </si>
  <si>
    <t>Fighter A is leading the fight on points, but in the final round, Fighter B lands a strong uppercut, sending Fighter A to the ground. Fighter A gets up before the 10-count. What should Fighter A focus on now?</t>
  </si>
  <si>
    <t>A) Regaining his footing and going on the offensive. B) Defending carefully to protect the point lead. C) Trying to knock out Fighter B to end the match. D) Asking the referee for a time-out.</t>
  </si>
  <si>
    <t>B) Defending carefully to protect the point lead.</t>
  </si>
  <si>
    <t>Fighter A has landed multiple body shots on Fighter B throughout the fight. In the final round, Fighter B seems to be slowing down. What should Fighter A do to finish the match?</t>
  </si>
  <si>
    <t>A) Keep attacking the body to weaken Fighter B further. B) Switch to head shots for a knockout. C) Focus on defense and run out the clock. D) Give Fighter B a chance to recover.</t>
  </si>
  <si>
    <t>A) Keep attacking the body to weaken Fighter B further.</t>
  </si>
  <si>
    <t>During the first round of a Musti Yuddha match, Fighter A consistently lands jabs on Fighter B. However, Fighter B is able to endure and move forward despite the jabs. What adjustment should Fighter A make?</t>
  </si>
  <si>
    <t>A) Throw more jabs to keep Fighter B at bay. B) Switch to stronger punches like hooks or uppercuts. C) Focus solely on defense. D) Step back and wait for Fighter B to tire.</t>
  </si>
  <si>
    <t>B) Switch to stronger punches like hooks or uppercuts.</t>
  </si>
  <si>
    <t>Fighter A is known for his stamina, while Fighter B is known for his explosive power. In the final round, Fighter B is running out of energy, but Fighter A is still fresh. What should Fighter A focus on?</t>
  </si>
  <si>
    <t>A) Keeping up the pressure to wear Fighter B out completely. B) Defending carefully to avoid a knockout punch. C) Letting Fighter B recover to make the fight more competitive. D) Avoiding close-range exchanges.</t>
  </si>
  <si>
    <t>A) Keeping up the pressure to wear Fighter B out completely.</t>
  </si>
  <si>
    <t>During a Musti Yuddha match, Fighter A gets knocked down by Fighter B. The referee starts counting, but Fighter A quickly stands up and signals that he is ready to continue. What should Fighter B do next?</t>
  </si>
  <si>
    <t>A) Attack aggressively to finish the fight. B) Wait for Fighter A to recover fully. C) Keep a defensive stance and see what Fighter A does. D) Step back and let the referee check Fighter A.</t>
  </si>
  <si>
    <t>A) Attack aggressively to finish the fight.</t>
  </si>
  <si>
    <t>In a critical match, Fighter A is known for his powerful punches, but Fighter B is skilled at dodging attacks. After multiple missed punches, Fighter A is getting frustrated. What should Fighter A focus on?</t>
  </si>
  <si>
    <t>A) Keep throwing powerful punches. B) Slow down and focus on landing accurate hits. C) Try to intimidate Fighter B with aggression. D) Stop attacking and wait for Fighter B to initiate.</t>
  </si>
  <si>
    <t>B) Slow down and focus on landing accurate hits.</t>
  </si>
  <si>
    <t>Fighter A is down on points and there are only 30 seconds left in the final round. Fighter B is ahead but seems to be slowing down. What should Fighter A’s strategy be?</t>
  </si>
  <si>
    <t>A) Go for a knockout to win the match. B) Play defensively to avoid further damage. C) Try to outlast Fighter B and win on points. D) Appeal to the referee for more time.</t>
  </si>
  <si>
    <t>A) Go for a knockout to win the match.</t>
  </si>
  <si>
    <t>Fighter A and Fighter B are in a championship bout. Fighter A is known for quick footwork, while Fighter B has powerful punches. Fighter A successfully dodges most of Fighter B’s attacks but hasn’t been landing many punches. What should Fighter A focus on next?</t>
  </si>
  <si>
    <t>A) Keep dodging and wait for an opening. B) Increase the pace and try to wear down Fighter B. C) Switch to an aggressive approach and trade punches. D) Take a defensive stance and conserve energy.</t>
  </si>
  <si>
    <t>B) Increase the pace and try to wear down Fighter B.</t>
  </si>
  <si>
    <t>In a close match, Fighter A notices that Fighter B is starting to breathe heavily and slow down. What is the best strategy for Fighter A to secure a victory?</t>
  </si>
  <si>
    <t>A) Keep pressuring Fighter B to tire him out further. B) Slow the fight down to avoid any risk. C) Attack aggressively and try to end the match. D) Wait for Fighter B to make a mistake.</t>
  </si>
  <si>
    <t>A) Keep pressuring Fighter B to tire him out further.</t>
  </si>
  <si>
    <t>Fighter A has landed several punches on Fighter B’s body, causing visible discomfort. Fighter B responds with a flurry of head punches. What should Fighter A do next?</t>
  </si>
  <si>
    <t>A) Focus on defending the head. B) Keep attacking the body to weaken Fighter B further. C) Step back and avoid close combat. D) Try to knock out Fighter B with a headshot.</t>
  </si>
  <si>
    <t>B) Keep attacking the body to weaken Fighter B further.</t>
  </si>
  <si>
    <t>During a heated exchange, Fighter A lands a punch that stuns Fighter B. Fighter A hesitates momentarily. What is the best course of action for Fighter A?</t>
  </si>
  <si>
    <t>A) Step back and assess the situation. B) Go for a knockout immediately. C) Wait for Fighter B to recover. D) Switch to defensive mode.</t>
  </si>
  <si>
    <t>B) Go for a knockout immediately.</t>
  </si>
  <si>
    <t>Fighter A is leading on points, but Fighter B lands a surprise punch that sends Fighter A to the ground. Fighter A gets back up, but looks shaky. What should Fighter B do?</t>
  </si>
  <si>
    <t>A) Keep up the pressure with more punches. B) Step back and allow Fighter A to regain balance. C) Try to conserve energy for the final round. D) Avoid further punches and focus on defense.</t>
  </si>
  <si>
    <t>A) Keep up the pressure with more punches.</t>
  </si>
  <si>
    <t>In a championship match, Fighter A is using a counter-punching strategy, waiting for Fighter B to make mistakes. However, Fighter B is cautious and isn’t attacking much. How should Fighter A adjust?</t>
  </si>
  <si>
    <t>A) Keep waiting for Fighter B to attack. B) Change strategy and become more aggressive. C) Try to provoke Fighter B with feints. D) Focus entirely on defense.</t>
  </si>
  <si>
    <t>C) Try to provoke Fighter B with feints.</t>
  </si>
  <si>
    <t>In the middle of the match, Fighter A successfully lands a powerful body shot on Fighter B, who visibly winces in pain. What is the best way for Fighter A to capitalize on this opportunity?</t>
  </si>
  <si>
    <t>A) Continue attacking the body. B) Switch to head punches for a knockout. C) Step back and let Fighter B recover. D) Avoid attacking the injured area to play fair.</t>
  </si>
  <si>
    <t>A) Continue attacking the body.</t>
  </si>
  <si>
    <t>Fighter A is known for his powerful punches, but Fighter B’s defense has been strong throughout the match. In the final round, Fighter A starts to fatigue. What should Fighter B focus on to win the match?</t>
  </si>
  <si>
    <t>A) Keep defending and let Fighter A tire out. B) Attack aggressively to take advantage of Fighter A’s fatigue. C) Focus on body shots to wear Fighter A down further. D) Wait for an opportunity to land a knockout punch.</t>
  </si>
  <si>
    <t>B) Attack aggressively to take advantage of Fighter A’s fatigue.</t>
  </si>
  <si>
    <t>During a Musti Yuddha match, Fighter A keeps rushing in with aggressive attacks, but Fighter B is using his reach advantage to land jabs. What should Fighter A do to close the distance effectively?</t>
  </si>
  <si>
    <t>A) Continue rushing in with the same attacks. B) Use head movement and footwork to get inside Fighter B’s reach. C) Stay back and wait for Fighter B to tire. D) Focus on countering Fighter B’s jabs.</t>
  </si>
  <si>
    <t>B) Use head movement and footwork to get inside Fighter B’s reach.</t>
  </si>
  <si>
    <t>Fighter A is getting outclassed in a match and is behind on points. Fighter B is ahead but looks tired. How should Fighter A approach the final round?</t>
  </si>
  <si>
    <t>A) Go for a knockout to win the match. B) Conserve energy and play it safe. C) Try to win by points with a defensive strategy. D) Take a break and wait for Fighter B to attack.</t>
  </si>
  <si>
    <t>In the final round, Fighter A is ahead on points but gets caught with a strong punch from Fighter B. Fighter A is clearly hurt but still standing. What should Fighter A focus on for the rest of the round?</t>
  </si>
  <si>
    <t>A) Defend and avoid getting hit again. B) Attack aggressively to regain control. C) Stay still and hope Fighter B tires out. D) Try to knock out Fighter B.</t>
  </si>
  <si>
    <t>A) Defend and avoid getting hit again.</t>
  </si>
  <si>
    <t>Fighter A has been landing successful punches, but Fighter B’s defense is tight. As the match progresses, Fighter B shows signs of slowing down. What should Fighter A focus on?</t>
  </si>
  <si>
    <t>A) Keep up the same pace and pressure. B) Take it easy and conserve energy. C) Focus on body punches to wear Fighter B down further. D) Try to land a knockout punch immediately.</t>
  </si>
  <si>
    <t>C) Focus on body punches to wear Fighter B down further.</t>
  </si>
  <si>
    <t>Fighter A is known for his speed, while Fighter B has a powerful knockout punch. During the match, Fighter A avoids most of Fighter B’s attacks, but hasn’t done much damage. What should Fighter A do next?</t>
  </si>
  <si>
    <t>A) Keep avoiding Fighter B’s punches. B) Increase the pace and try to overwhelm Fighter B with volume. C) Wait for Fighter B to tire out. D) Switch to a more defensive strategy.</t>
  </si>
  <si>
    <t>B) Increase the pace and try to overwhelm Fighter B with volume.</t>
  </si>
  <si>
    <t>During a Musti Yuddha match, Fighter A gets knocked down by a surprise punch from Fighter B. Fighter A stands up before the count ends. What should Fighter A do next?</t>
  </si>
  <si>
    <t>A) Defend carefully to avoid another knockdown. B) Attack immediately to regain control. C) Take a break and recover. D) Try to knock out Fighter B to finish the match.</t>
  </si>
  <si>
    <t>A) Defend carefully to avoid another knockdown.</t>
  </si>
  <si>
    <t>In a Musti Yuddha match, Fighter A is using a strong jab to control the distance. Fighter B is having trouble getting inside the range of Fighter A’s punches. What should Fighter B do?</t>
  </si>
  <si>
    <t>A) Keep trying to rush in despite the jabs. B) Use head movement to slip past the jabs and get inside. C) Stay outside and wait for Fighter A to tire. D) Focus on defending against the jabs.</t>
  </si>
  <si>
    <t>B) Use head movement to slip past the jabs and get inside.</t>
  </si>
  <si>
    <t>Fighter A lands a clean punch that stuns Fighter B. Fighter B is visibly shaken but hasn’t gone down. What is the best move for Fighter A?</t>
  </si>
  <si>
    <t>A) Go for a quick knockout punch. B) Step back and wait for another opportunity. C) Switch to defensive mode and avoid risks. D) Let Fighter B recover.</t>
  </si>
  <si>
    <t>A) Go for a quick knockout punch.</t>
  </si>
  <si>
    <t>Fighter A is fighting an opponent with a reach advantage. Despite his best efforts, Fighter A keeps getting hit with long-range punches. What should Fighter A focus on to turn the tide?</t>
  </si>
  <si>
    <t>A) Stay at a distance and throw punches. B) Use footwork to get inside and close the gap. C) Keep trying to land punches from the outside. D) Conserve energy and wait for Fighter B to tire.</t>
  </si>
  <si>
    <t>B) Use footwork to get inside and close the gap.</t>
  </si>
  <si>
    <t>During a match, Fighter A lands several punches on Fighter B’s midsection, weakening him. Fighter B becomes more defensive and hesitant to engage. How should Fighter A capitalize on this?</t>
  </si>
  <si>
    <t>A) Continue attacking the body. B) Switch to head punches for a knockout. C) Step back and play defensively. D) Wait for Fighter B to attack again.</t>
  </si>
  <si>
    <t>During a Musti Yuddha match, Fighter A is significantly ahead on points, but Fighter B lands a surprising kick that causes Fighter A to stumble. What should Fighter A do immediately after this?</t>
  </si>
  <si>
    <t>A) Reassess the strategy and focus on defense. B) Increase aggression to regain control. C) Attempt a counter-attack to capitalize on Fighter B’s momentary lapse. D) Retreat to recover and avoid further damage.</t>
  </si>
  <si>
    <t>A) Reassess the strategy and focus on defense.</t>
  </si>
  <si>
    <t>Fighter A is having trouble landing effective strikes due to Fighter B’s excellent blocking technique. How should Fighter A adjust his strategy?</t>
  </si>
  <si>
    <t>A) Use feints to open up Fighter B’s defense. B) Increase the frequency of attacks. C) Focus on defensive techniques and wait for Fighter B to make a mistake. D) Switch to a different fighting style.</t>
  </si>
  <si>
    <t>A) Use feints to open up Fighter B’s defense.</t>
  </si>
  <si>
    <t>In the final round, Fighter A and Fighter B are tied on points. Fighter A notices that Fighter B is showing signs of fatigue. What should Fighter A do?</t>
  </si>
  <si>
    <t>A) Intensify the attack to exploit Fighter B’s fatigue. B) Maintain the current pace to avoid mistakes. C) Focus on defense and avoid taking risks. D) Attempt a knockout to end the match quickly.</t>
  </si>
  <si>
    <t>A) Intensify the attack to exploit Fighter B’s fatigue.</t>
  </si>
  <si>
    <t>Fighter A is leading in points but is receiving more hits than usual in the last round. What is the best strategy for Fighter A?</t>
  </si>
  <si>
    <t>A) Focus on defensive techniques to protect the lead. B) Increase the pace to try for a knockout. C) Stay at a distance and wait for the final bell. D) Attempt a final aggressive push to secure a decisive victory.</t>
  </si>
  <si>
    <t>A) Focus on defensive techniques to protect the lead.</t>
  </si>
  <si>
    <t>Fighter A and Fighter B are engaged in a close match. Fighter B is starting to show signs of frustration and aggression. How should Fighter A handle this change in Fighter B’s demeanor?</t>
  </si>
  <si>
    <t>A) Maintain composure and use defensive tactics. B) Increase the intensity of attacks to match Fighter B’s aggression. C) Attempt to counter-punch Fighter B’s aggressive moves. D) Retreat and wait for Fighter B to tire out.</t>
  </si>
  <si>
    <t>A) Maintain composure and use defensive tactics.</t>
  </si>
  <si>
    <t>Fighter A is using a variety of kicks effectively, but Fighter B has adapted and started blocking them. What should Fighter A do to regain the advantage?</t>
  </si>
  <si>
    <t>A) Incorporate more punches into the attack strategy. B) Increase the power and speed of kicks. C) Focus on defensive tactics and wait for an opening. D) Use feints to create opportunities for kicks.</t>
  </si>
  <si>
    <t>D) Use feints to create opportunities for kicks.</t>
  </si>
  <si>
    <t>During a Musti Yuddha match, Fighter A is effectively using a counter-attacking strategy, but Fighter B starts to anticipate and counter Fighter A’s counters. What should Fighter A do to adjust?</t>
  </si>
  <si>
    <t>A) Vary the timing and angles of attacks. B) Increase the volume of attacks to overwhelm Fighter B. C) Focus on defensive techniques to avoid further counters. D) Change to a more aggressive fighting style.</t>
  </si>
  <si>
    <t>A) Vary the timing and angles of attacks.</t>
  </si>
  <si>
    <t>Fighter A and Fighter B are in a tight match. Fighter B is showing signs of strategic adjustments, while Fighter A is sticking to a fixed strategy. What should Fighter A consider doing?</t>
  </si>
  <si>
    <t>A) Adjust the strategy to counter Fighter B’s new approach. B) Increase the intensity of attacks to overwhelm Fighter B. C) Focus on defensive tactics and wait for Fighter B to make a mistake. D) Maintain the current strategy and rely on previous success.</t>
  </si>
  <si>
    <t>A) Adjust the strategy to counter Fighter B’s new approach.</t>
  </si>
  <si>
    <t>Fighter A is leading in points and has a solid defensive strategy. Fighter B is becoming increasingly aggressive and reckless. What should Fighter A do?</t>
  </si>
  <si>
    <t>A) Continue with the defensive strategy and capitalize on Fighter B’s mistakes. B) Increase the aggression to match Fighter B’s pace. C) Focus on landing powerful strikes to finish the match. D) Conserve energy and wait for the final bell.</t>
  </si>
  <si>
    <t>A) Continue with the defensive strategy and capitalize on Fighter B’s mistakes.</t>
  </si>
  <si>
    <t>Fighter A has been successful with a combination of punches and kicks. Fighter B is starting to focus heavily on blocking kicks. What should Fighter A do to maintain effectiveness?</t>
  </si>
  <si>
    <t>A) Increase the use of punches to exploit Fighter B’s focus on blocking kicks. B) Continue with kicks and try to find new angles. C) Switch to a more aggressive strategy. D) Focus on defensive techniques to avoid mistakes.</t>
  </si>
  <si>
    <t>A) Increase the use of punches to exploit Fighter B’s focus on blocking kicks.</t>
  </si>
  <si>
    <t>Fighter A and Fighter B are in the final round. Fighter A is slightly ahead on points but is getting tired. How should Fighter A approach the remaining time?</t>
  </si>
  <si>
    <t>A) Play defensively to protect the lead and avoid risks. B) Increase the pace to try for a knockout. C) Focus on counter-punching to capitalize on Fighter B’s mistakes. D) Conserve energy and wait for the final bell.</t>
  </si>
  <si>
    <t>A) Play defensively to protect the lead and avoid risks.</t>
  </si>
  <si>
    <t>Fighter A is using a combination of quick strikes and footwork effectively. Fighter B is starting to anticipate and counter these moves. What should Fighter A do to maintain an advantage?</t>
  </si>
  <si>
    <t>A) Vary the attack patterns and incorporate new techniques. B) Increase the speed and frequency of attacks. C) Focus on defensive strategies to avoid counters. D) Switch to a different fighting style.</t>
  </si>
  <si>
    <t>A) Vary the attack patterns and incorporate new techniques.</t>
  </si>
  <si>
    <t>Fighter A is showing signs of fatigue, while Fighter B is still energetic and aggressive. What should Fighter A focus on to avoid losing the match?</t>
  </si>
  <si>
    <t>A) Focus on defensive techniques and conserve energy. B) Increase aggression to match Fighter B’s pace. C) Attempt a knockout to finish the match quickly. D) Focus on landing powerful strikes to turn the fight.</t>
  </si>
  <si>
    <t>A) Focus on defensive techniques and conserve energy.</t>
  </si>
  <si>
    <t>Fighter A is known for his endurance and ability to withstand damage, while Fighter B is aggressive but tires quickly. How should Fighter A use his endurance advantage?</t>
  </si>
  <si>
    <t>A) Increase the pace and outlast Fighter B. B) Focus on defensive tactics and wait for Fighter B to tire. C) Attempt to finish the fight with a knockout. D) Play conservatively and wait for the final bell.</t>
  </si>
  <si>
    <t>B) Focus on defensive tactics and wait for Fighter B to tire.</t>
  </si>
  <si>
    <t>Fighter A is effectively using body punches, but Fighter B starts to cover up and defend against these attacks. How should Fighter A adjust his strategy?</t>
  </si>
  <si>
    <t>A) Increase the use of head punches to exploit Fighter B’s new defense. B) Switch to a more aggressive approach. C) Focus on defensive techniques and wait for an opening. D) Use feints to create openings for body punches.</t>
  </si>
  <si>
    <t>A) Increase the use of head punches to exploit Fighter B’s new defense.</t>
  </si>
  <si>
    <t>Fighter A is trailing on points and is in the last round. What should Fighter A focus on to have a chance at winning?</t>
  </si>
  <si>
    <t>A) Go for an all-out attack to try for a knockout. B) Focus on defense and wait for Fighter B to make a mistake. C) Attempt to land as many strikes as possible to close the points gap. D) Conserve energy and wait for the final bell.</t>
  </si>
  <si>
    <t>A) Go for an all-out attack to try for a knockout.</t>
  </si>
  <si>
    <t>Fighter A and Fighter B are in a competitive match with one round left. Fighter A is slightly ahead but is getting hit more frequently. How should Fighter A adjust his strategy?</t>
  </si>
  <si>
    <t>A) Focus on defensive techniques to protect the lead. B) Increase aggression to try for a knockout. C) Focus on counter-punching to capitalize on Fighter B’s mistakes. D) Conserve energy and wait for the final bell.</t>
  </si>
  <si>
    <t>Fighter A is using a mix of punches and kicks effectively, but Fighter B has started to anticipate and block these attacks. What should Fighter A do to regain control?</t>
  </si>
  <si>
    <t>A) Vary the attacks and incorporate new techniques. B) Increase the speed and power of punches and kicks. C) Focus on defensive tactics to avoid getting hit. D) Use feints and misdirection to create openings.</t>
  </si>
  <si>
    <t>D) Use feints and misdirection to create openings.</t>
  </si>
  <si>
    <t>Fighter A has been landing effective strikes, but Fighter B is showing improved defense. How should Fighter A adjust to maintain effectiveness?</t>
  </si>
  <si>
    <t>A) Increase the volume of attacks and use more feints. B) Focus on defensive techniques and wait for an opening. C) Switch to a more aggressive strategy. D) Attempt to land a decisive knockout strike.</t>
  </si>
  <si>
    <t>A) Increase the volume of attacks and use more feints.</t>
  </si>
  <si>
    <t>Fighter A and Fighter B are in a close match, and both fighters are showing signs of fatigue. What should Fighter A focus on to gain an advantage?</t>
  </si>
  <si>
    <t>A) Utilize remaining energy to increase the pace of attacks. B) Focus on defensive techniques to conserve energy. C) Attempt a knockout to end the match quickly. D) Play conservatively and wait for the final bell.</t>
  </si>
  <si>
    <t>A) Utilize remaining energy to increase the pace of attacks.</t>
  </si>
  <si>
    <t>Fighter A is leading on points but is getting hit more often in the later rounds. What is the best strategy for Fighter A?</t>
  </si>
  <si>
    <t>A) Focus on defensive tactics to protect the lead. B) Increase the aggression to finish the match with a knockout. C) Maintain the current pace and avoid further damage. D) Attempt a final push to secure a decisive victory.</t>
  </si>
  <si>
    <t>A) Focus on defensive tactics to protect the lead.</t>
  </si>
  <si>
    <t>Fighter A and Fighter B are evenly matched. Fighter B starts to show signs of frustration and aggression. How should Fighter A adapt?</t>
  </si>
  <si>
    <t>A) Continue with the current strategy and capitalize on Fighter B’s mistakes. B) Increase aggression to match Fighter B’s pace. C) Focus on defensive tactics and avoid getting hit. D) Attempt to end the match quickly with a knockout.</t>
  </si>
  <si>
    <t>A) Continue with the current strategy and capitalize on Fighter B’s mistakes.</t>
  </si>
  <si>
    <t>Fighter A is known for his powerful kicks, but Fighter B is using effective blocking techniques. How should Fighter A adjust his approach?</t>
  </si>
  <si>
    <t>A) Increase the variety and unpredictability of attacks. B) Focus on powerful kicks and try different angles. C) Switch to a more aggressive punching strategy. D) Focus on defensive techniques to avoid getting hit.</t>
  </si>
  <si>
    <t>A) Increase the variety and unpredictability of attacks.</t>
  </si>
  <si>
    <t>In the final round, Fighter A is slightly behind on points. What should Fighter A focus on to try to win the match?</t>
  </si>
  <si>
    <t>A) Increase the intensity and go for a knockout. B) Focus on defensive techniques to avoid getting hit. C) Attempt to land as many strikes as possible to close the points gap. D) Conserve energy and wait for the final bell.</t>
  </si>
  <si>
    <t>A) Increase the intensity and go for a knockout.</t>
  </si>
  <si>
    <t>Fighter A is using a combination of strikes and kicks effectively, but Fighter B starts to anticipate and counter these attacks. How should Fighter A adapt?</t>
  </si>
  <si>
    <t>A) Vary the attack patterns and incorporate new techniques. B) Increase the frequency of attacks to overwhelm Fighter B. C) Focus on defensive strategies to avoid counters. D) Switch to a different fighting style.</t>
  </si>
  <si>
    <t>Fighter A and Fighter B are in a competitive match with only one round remaining. Fighter A is ahead on points but is showing signs of fatigue. What is the best strategy for Fighter A?</t>
  </si>
  <si>
    <t>A) Play defensively to protect the lead. B) Increase the pace to try for a knockout. C) Attempt to land as many strikes as possible. D) Focus on conserving energy and wait for the final bell.</t>
  </si>
  <si>
    <t>A) Play defensively to protect the lead.</t>
  </si>
  <si>
    <t>Fighter A and Fighter B are both skilled in both punching and kicking. Fighter B starts to focus heavily on blocking kicks. How should Fighter A adjust his strategy?</t>
  </si>
  <si>
    <t>A) Increase the use of punches to exploit Fighter B’s focus on blocking kicks. B) Continue with kicks and try new techniques. C) Switch to a more aggressive approach. D) Focus on defensive tactics to avoid getting hit.</t>
  </si>
  <si>
    <t>Fighter A is known for his endurance and ability to withstand damage, while Fighter B is aggressive but tires quickly. What should Fighter A do to utilize his endurance advantage?</t>
  </si>
  <si>
    <t>A) Focus on defensive tactics and outlast Fighter B. B) Increase aggression to match Fighter B’s pace. C) Attempt to finish the fight with a knockout. D) Conserve energy and wait for the final bell.</t>
  </si>
  <si>
    <t>A) Focus on defensive tactics and outlast Fighter B.</t>
  </si>
  <si>
    <t>Fighter A has been successful with a mix of punches and kicks, but Fighter B has started to anticipate and block these attacks. How should Fighter A adjust his strategy?</t>
  </si>
  <si>
    <t>A) Use feints and misdirection to create openings. B) Increase the speed and power of punches and kicks. C) Focus on defensive tactics and wait for an opening. D) Switch to a different fighting style.</t>
  </si>
  <si>
    <t>A) Use feints and misdirection to create openings.</t>
  </si>
  <si>
    <t>Fighter A and Fighter B are in a close match, with Fighter A slightly ahead. What is the best approach for Fighter A in the final round?</t>
  </si>
  <si>
    <t>A) Focus on defensive techniques to protect the lead. B) Increase aggression to try for a knockout. C) Attempt to land as many strikes as possible to secure the victory. D) Conserve energy and wait for the final bell.</t>
  </si>
  <si>
    <t>Fighter A and Fighter B are evenly matched, and both are showing signs of fatigue. What should Fighter A focus on to gain an advantage?</t>
  </si>
  <si>
    <t>A) Utilize remaining energy to increase the pace of attacks. B) Focus on defensive techniques to conserve energy. C) Attempt a knockout to finish the match quickly. D) Play conservatively and wait for the final bell.</t>
  </si>
  <si>
    <t>Fighter A is using effective body punches, but Fighter B is starting to cover up and defend against these attacks. How should Fighter A adjust his approach?</t>
  </si>
  <si>
    <t>A) Increase the use of head punches to exploit Fighter B’s new defense. B) Continue with body punches and try different techniques. C) Focus on defensive tactics to avoid getting hit. D) Use feints to create openings for body punches.</t>
  </si>
  <si>
    <t>Fighter A and Fighter B are in a tight match. Fighter A is trailing on points but is showing signs of improvement. What should Fighter A focus on to close the gap?</t>
  </si>
  <si>
    <t>A) Increase the intensity of attacks to close the points gap. B) Focus on defensive techniques and wait for an opening. C) Attempt to land a decisive knockout strike. D) Conserve energy and wait for the final bell.</t>
  </si>
  <si>
    <t>A) Increase the intensity of attacks to close the points gap.</t>
  </si>
  <si>
    <t>Fighter A is known for his quick strikes, but Fighter B starts to anticipate and counter these attacks effectively. How should Fighter A adapt?</t>
  </si>
  <si>
    <t>A) Vary the timing and angles of attacks. B) Increase the speed and frequency of strikes. C) Focus on defensive strategies to avoid counters. D) Switch to a more aggressive fighting style.</t>
  </si>
  <si>
    <t>Fighter A and Fighter B are in the last round of their match. Fighter A is slightly behind on points and showing signs of fatigue. What is the best strategy for Fighter A?</t>
  </si>
  <si>
    <t>A) Go for an all-out attack to try for a knockout. B) Focus on defensive techniques to avoid further damage. C) Attempt to land as many strikes as possible to close the points gap. D) Conserve energy and wait for the final bell.</t>
  </si>
  <si>
    <t>Fighter A is using a combination of punches and kicks effectively, but Fighter B is starting to block these attacks. What should Fighter A do to regain control?</t>
  </si>
  <si>
    <t>A) Increase the variety of attacks and use more feints. B) Continue with punches and kicks and try different techniques. C) Focus on defensive tactics and wait for an opening. D) Switch to a different fighting style.</t>
  </si>
  <si>
    <t>A) Increase the variety of attacks and use more feints.</t>
  </si>
  <si>
    <t>Fighter A and Fighter B are in a competitive match. Fighter A is slightly ahead on points but is getting tired. What should Fighter A focus on in the final round?</t>
  </si>
  <si>
    <t>A) Play defensively to protect the lead. B) Increase the intensity of attacks to secure a victory. C) Attempt to land a knockout strike. D) Focus on conserving energy and wait for the final bell.</t>
  </si>
  <si>
    <t>Fighter A is leading in points but is getting hit more frequently. What is the best strategy for Fighter A in the final round?</t>
  </si>
  <si>
    <t>A) Focus on defensive techniques to protect the lead. B) Increase aggression to try for a knockout. C) Maintain the current pace and avoid getting hit further. D) Attempt a final push to secure a decisive victory.</t>
  </si>
  <si>
    <t>Fighter A and Fighter B are engaged in a close match. Fighter B starts to show signs of frustration and aggression. How should Fighter A handle this change?</t>
  </si>
  <si>
    <t>A) Maintain composure and use defensive tactics. B) Increase aggression to match Fighter B’s pace. C) Attempt to counter-punch Fighter B’s aggressive moves. D) Retreat and wait for Fighter B to tire out.</t>
  </si>
  <si>
    <t>Fighter A is known for his endurance and ability to withstand damage, while Fighter B is aggressive but tires quickly. How should Fighter A utilize his endurance advantage?</t>
  </si>
  <si>
    <t>Fighter A has been landing effective strikes, but Fighter B is showing improved defense. How should Fighter A adjust his strategy?</t>
  </si>
  <si>
    <t>A) Use feints and misdirection to create openings. B) Increase the speed and power of strikes. C) Focus on defensive tactics to avoid getting hit. D) Switch to a different fighting style.</t>
  </si>
  <si>
    <t>Fighter A and Fighter B are in a tight match, with only one round remaining. What should Fighter A focus on to gain an advantage?</t>
  </si>
  <si>
    <t>Fighter A is effectively using body punches, but Fighter B starts to cover up and defend against these attacks. How should Fighter A adjust his approach?</t>
  </si>
  <si>
    <t>Fighter A and Fighter B are in a close match, with Fighter A trailing on points. What should Fighter A focus on in the final round?</t>
  </si>
  <si>
    <t>A) Go for an all-out attack to try for a knockout. B) Focus on defensive techniques to avoid getting hit. C) Attempt to land as many strikes as possible to close the points gap. D) Conserve energy and wait for the final bell.</t>
  </si>
  <si>
    <t>Fighter A and Fighter B are in the final round of their match. Fighter A is slightly behind on points and showing signs of fatigue. What is the best strategy for Fighter A?</t>
  </si>
  <si>
    <t>A) Increase the intensity and go for a knockout. B) Focus on defensive techniques to avoid further damage. C) Attempt to land as many strikes as possible to close the points gap. D) Conserve energy and wait for the final bell.</t>
  </si>
  <si>
    <t>Fighter A is using a mix of strikes and kicks effectively, but Fighter B is starting to anticipate and block these attacks. How should Fighter A adjust his approach?</t>
  </si>
  <si>
    <t>A) Vary the timing and angles of attacks. B) Increase the speed and frequency of strikes. C) Focus on defensive tactics to avoid counters. D) Switch to a different fighting style.</t>
  </si>
  <si>
    <t>Fighter A and Fighter B are in a close match, with only one round remaining. What should Fighter A focus on to gain an advantage?</t>
  </si>
  <si>
    <t>Fighter A is leading in points but is getting hit more frequently. What should Fighter A focus on in the final round?</t>
  </si>
  <si>
    <t>Fighter A and Fighter B are evenly matched. Fighter B starts to show signs of frustration and aggression. How should Fighter A handle this change?</t>
  </si>
  <si>
    <t>Fighter A is using effective body punches, but Fighter B starts to cover up and defend against these attacks. How should Fighter A adjust his strategy?</t>
  </si>
  <si>
    <t>Fighter A is ahead in points but is getting tired. Fighter B is still fresh. What should Fighter A focus on in the final round?</t>
  </si>
  <si>
    <t>A) Play defensively and manage energy. B) Increase aggression to secure a win. C) Continue with the current strategy. D) Focus on counterattacks to catch Fighter B off guard.</t>
  </si>
  <si>
    <t>A) Play defensively and manage energy.</t>
  </si>
  <si>
    <t>Fighter B is known for his strong leg kicks. How should Fighter A adapt his strategy?</t>
  </si>
  <si>
    <t>A) Focus on countering leg kicks with body punches. B) Avoid engaging in close combat. C) Increase aggression and try to overpower Fighter B. D) Use feints to create openings.</t>
  </si>
  <si>
    <t>A) Focus on countering leg kicks with body punches.</t>
  </si>
  <si>
    <t>Fighter A has a clear lead in points but is getting increasingly aggressive. What should Fighter B do to respond effectively?</t>
  </si>
  <si>
    <t>A) Focus on defensive techniques and wait for an opening. B) Match Fighter A's aggression with equal force. C) Attempt to land a knockout blow. D) Conserve energy and play conservatively.</t>
  </si>
  <si>
    <t>A) Focus on defensive techniques and wait for an opening.</t>
  </si>
  <si>
    <t>In a situation where both fighters are equally matched in terms of skill, what is the most effective strategy for Fighter A to gain an advantage?</t>
  </si>
  <si>
    <t>A) Focus on exploiting any minor mistakes by Fighter B. B) Increase the pace of the fight to tire out Fighter B. C) Use defensive tactics to avoid getting hit. D) Attempt a surprise move to catch Fighter B off guard.</t>
  </si>
  <si>
    <t>A) Focus on exploiting any minor mistakes by Fighter B.</t>
  </si>
  <si>
    <t>Fighter A and Fighter B are evenly matched, but Fighter A is starting to show signs of fatigue. What should Fighter B do to take advantage of this?</t>
  </si>
  <si>
    <t>A) Increase the intensity of attacks. B) Focus on defensive tactics to avoid getting hit. C) Attempt to land a knockout blow. D) Play conservatively and wait for the final bell.</t>
  </si>
  <si>
    <t>A) Increase the intensity of attacks.</t>
  </si>
  <si>
    <t>Fighter A is using a lot of energy early in the match. How should Fighter B adjust his strategy?</t>
  </si>
  <si>
    <t>A) Play defensively and wait for Fighter A to tire out. B) Increase aggression to match Fighter A's pace. C) Focus on counterattacking to exploit openings. D) Attempt to finish the fight quickly.</t>
  </si>
  <si>
    <t>A) Play defensively and wait for Fighter A to tire out.</t>
  </si>
  <si>
    <t>Fighter A has been successful with body punches, but Fighter B is starting to anticipate these attacks. How should Fighter A adjust his approach?</t>
  </si>
  <si>
    <t>A) Vary the attack by using head punches. B) Continue with body punches and try to improve accuracy. C) Increase the speed of body punches. D) Focus on defensive tactics.</t>
  </si>
  <si>
    <t>A) Vary the attack by using head punches.</t>
  </si>
  <si>
    <t>Fighter B is known for his strong counterattacks. How should Fighter A approach the match to minimize the risk of being countered?</t>
  </si>
  <si>
    <t>A) Use feints and misdirection to create openings. B) Increase aggression and try to overpower Fighter B. C) Focus on defensive techniques and avoid engaging. D) Attempt to catch Fighter B off guard with surprise attacks.</t>
  </si>
  <si>
    <t>Fighter A and Fighter B are in a close match. Fighter B starts to show signs of frustration and aggression. How should Fighter A handle this situation?</t>
  </si>
  <si>
    <t>Fighter A is leading in points but is becoming increasingly aggressive. What should Fighter B do to counter this?</t>
  </si>
  <si>
    <t>A) Use defensive techniques to avoid getting hit. B) Match Fighter A’s aggression with equal force. C) Attempt to land a decisive counterattack. D) Play conservatively and wait for the final bell.</t>
  </si>
  <si>
    <t>A) Use defensive techniques to avoid getting hit.</t>
  </si>
  <si>
    <t>Fighter A and Fighter B are in the final round. Fighter A is slightly behind on points but is showing signs of fatigue. What is the best strategy for Fighter A?</t>
  </si>
  <si>
    <t>Fighter A is known for his endurance and ability to withstand damage. Fighter B is aggressive but tires quickly. How should Fighter A utilize his endurance advantage?</t>
  </si>
  <si>
    <t>Fighter A is ahead in points but is getting hit more frequently. What is the best strategy for Fighter A in the final round?</t>
  </si>
  <si>
    <t>Fighter A and Fighter B are in a close match. Fighter A starts to show signs of fatigue while Fighter B remains fresh. How should Fighter B capitalize on this?</t>
  </si>
  <si>
    <t>A) Increase the intensity of attacks to exploit Fighter A’s fatigue. B) Focus on defensive techniques to avoid getting hit. C) Attempt to land a knockout blow. D) Conserve energy and wait for the final bell.</t>
  </si>
  <si>
    <t>A) Increase the intensity of attacks to exploit Fighter A’s fatigue.</t>
  </si>
  <si>
    <t>Fighter A is using a mix of strikes and kicks effectively. However, Fighter B is starting to anticipate and block these attacks. How should Fighter A adjust his approach?</t>
  </si>
  <si>
    <t>Fighter A is trailing on points but has a strong track record of late-round comebacks. What should Fighter A focus on in the final round?</t>
  </si>
  <si>
    <t>A) Use remaining energy to increase the pace of attacks. B) Focus on defensive techniques to avoid getting hit. C) Attempt a knockout to secure a win. D) Conserve energy and wait for the final bell.</t>
  </si>
  <si>
    <t>A) Use remaining energy to increase the pace of attacks.</t>
  </si>
  <si>
    <t>Fighter A and Fighter B are in a tight match. Fighter B starts to use more defensive tactics. How should Fighter A adjust his strategy?</t>
  </si>
  <si>
    <t>A) Increase the use of feints and combinations to break through Fighter B’s defense. B) Focus on defensive tactics to avoid counters. C) Increase the pace of attacks. D) Switch to a more aggressive fighting style.</t>
  </si>
  <si>
    <t>A) Increase the use of feints and combinations to break through Fighter B’s defense.</t>
  </si>
  <si>
    <t>Fighter A is landing effective strikes, but Fighter B starts to show improved defense. How should Fighter A adjust his approach?</t>
  </si>
  <si>
    <t>Fighter A is ahead in points but is getting increasingly aggressive. What should Fighter B do to counter this?</t>
  </si>
  <si>
    <t>Fighter A and Fighter B are evenly matched. Fighter A has been effective with high kicks, but Fighter B starts to anticipate these attacks. How should Fighter A adapt?</t>
  </si>
  <si>
    <t>A) Mix in low kicks and body punches. B) Increase the speed and power of high kicks. C) Focus on defensive tactics to avoid getting hit. D) Attempt to land a knockout blow.</t>
  </si>
  <si>
    <t>A) Mix in low kicks and body punches.</t>
  </si>
  <si>
    <t>Fighter A has a lead but starts to show signs of fatigue. What is the best strategy for Fighter A to secure the win?</t>
  </si>
  <si>
    <t>A) Play defensively and manage energy. B) Increase aggression to try for a knockout. C) Focus on maintaining the current pace. D) Attempt to land as many strikes as possible.</t>
  </si>
  <si>
    <t>Fighter B is known for his quick footwork. How should Fighter A approach the match to counter this advantage?</t>
  </si>
  <si>
    <t>A) Focus on counterattacks and cutting off Fighter B’s movement. B) Increase the speed of attacks to match Fighter B’s footwork. C) Focus on defensive tactics to avoid getting hit. D) Attempt to outlast Fighter B by conserving energy.</t>
  </si>
  <si>
    <t>A) Focus on counterattacks and cutting off Fighter B’s movement.</t>
  </si>
  <si>
    <t>Fighter A and Fighter B are in a close match. Fighter B starts to use more feints. How should Fighter A adjust his strategy?</t>
  </si>
  <si>
    <t>A) Increase focus on defensive techniques and counterattacks. B) Match Fighter B’s feints with equal deception. C) Increase aggression to overpower Fighter B. D) Focus on maintaining the current pace.</t>
  </si>
  <si>
    <t>A) Increase focus on defensive techniques and counterattacks.</t>
  </si>
  <si>
    <t>Fighter A is using effective body shots, but Fighter B is starting to cover up more. How should Fighter A adjust his approach?</t>
  </si>
  <si>
    <t>A) Incorporate head shots and combinations. B) Continue with body shots to wear down Fighter B. C) Increase the power of body shots. D) Focus on defensive tactics to avoid counters.</t>
  </si>
  <si>
    <t>A) Incorporate head shots and combinations.</t>
  </si>
  <si>
    <t>Fighter A has a significant lead in points, but Fighter B is showing improved defense. How should Fighter A approach the final round?</t>
  </si>
  <si>
    <t>A) Focus on maintaining the lead with defensive tactics. B) Increase the pace of attacks to try for a knockout. C) Attempt to land as many strikes as possible. D) Conserve energy and wait for the final bell.</t>
  </si>
  <si>
    <t>A) Focus on maintaining the lead with defensive tactics.</t>
  </si>
  <si>
    <t>Fighter A and Fighter B are in a tight match, with both showing signs of fatigue. How should Fighter A approach the final round?</t>
  </si>
  <si>
    <t>A) Use remaining energy to increase the pace of attacks. B) Focus on defensive tactics and avoid getting hit. C) Attempt a knockout to secure a win. D) Conserve energy and wait for the final bell.</t>
  </si>
  <si>
    <t>Fighter A has been effective with counterattacks, but Fighter B is starting to anticipate these. How should Fighter A adapt his strategy?</t>
  </si>
  <si>
    <t>A) Use feints and misdirection to create openings. B) Increase the speed and power of counterattacks. C) Focus on defensive techniques to avoid getting hit. D) Switch to a different fighting style.</t>
  </si>
  <si>
    <t>Fighter A is trailing on points but is known for his endurance. What should Fighter A focus on in the final round?</t>
  </si>
  <si>
    <t>A) Use endurance to increase the pace of attacks. B) Focus on defensive tactics to avoid further damage. C) Attempt to land as many strikes as possible. D) Conserve energy and wait for the final bell.</t>
  </si>
  <si>
    <t>A) Use endurance to increase the pace of attacks.</t>
  </si>
  <si>
    <t>Fighter A is effective with high kicks, but Fighter B starts to anticipate and counter them. How should Fighter A adjust his strategy?</t>
  </si>
  <si>
    <t>A) Incorporate low kicks and body punches. B) Increase the speed and power of high kicks. C) Focus on defensive techniques to avoid counters. D) Switch to a different fighting style.</t>
  </si>
  <si>
    <t>A) Incorporate low kicks and body punches.</t>
  </si>
  <si>
    <t>Fighter A has a slight lead in points but is starting to show signs of fatigue. How should Fighter A approach the final round?</t>
  </si>
  <si>
    <t>A) Focus on defensive techniques to protect the lead. B) Increase aggression to try for a knockout. C) Attempt to land as many strikes as possible. D) Conserve energy and wait for the final bell.</t>
  </si>
  <si>
    <t>Fighter A and Fighter B are in a close match. Fighter B starts to use more aggressive tactics. How should Fighter A respond?</t>
  </si>
  <si>
    <t>A) Use defensive techniques and wait for an opening. B) Match Fighter B’s aggression with equal force. C) Attempt to land a knockout blow. D) Play conservatively and wait for the final bell.</t>
  </si>
  <si>
    <t>A) Use defensive techniques and wait for an opening.</t>
  </si>
  <si>
    <t>Fighter A has been successful with body shots, but Fighter B starts to cover up. How should Fighter A adjust his strategy?</t>
  </si>
  <si>
    <t>A) Incorporate head shots and combinations. B) Continue with body shots and try different techniques. C) Increase the power of body shots. D) Focus on defensive tactics to avoid counters.</t>
  </si>
  <si>
    <t>Fighter A and Fighter B are in the final round. Fighter A is slightly behind on points and showing signs of fatigue. What is the best strategy for Fighter A?</t>
  </si>
  <si>
    <t>Fighter A is effective with strikes, but Fighter B starts to show improved defense. How should Fighter A adapt his approach?</t>
  </si>
  <si>
    <t>Fighter A and Fighter B are in a tight match. Fighter B starts to use more feints. How should Fighter A adjust his strategy?</t>
  </si>
  <si>
    <t>Fighter A and Fighter B are in a close match. Fighter A has been effective with high kicks, but Fighter B starts to anticipate these attacks. How should Fighter A adapt?</t>
  </si>
  <si>
    <t>A) Mix in low kicks and body punches. B) Increase the speed and power of high kicks. C) Focus on defensive techniques to avoid getting hit. D) Attempt to land a knockout blow.</t>
  </si>
  <si>
    <t>A) Use remaining energy to increase the pace of attacks. B) Focus on defensive tactics to avoid getting hit. C) Attempt to land as many strikes as possible to close the points gap. D) Conserve energy and wait for the final bell.</t>
  </si>
  <si>
    <t>Fighter A is effective with counterattacks, but Fighter B starts to anticipate these. How should Fighter A adapt his strategy?</t>
  </si>
  <si>
    <t>Fighter A and Fighter B are evenly matched. Fighter A has been effective with high kicks, but Fighter B starts to anticipate and counter them. How should Fighter A adjust his strategy?</t>
  </si>
  <si>
    <t>A) Incorporate low kicks and body punches. B) Increase the speed and power of high kicks. C) Focus on defensive techniques to avoid counters. D) Attempt to land a knockout blow.</t>
  </si>
  <si>
    <t>Fighter A and Fighter B are in a tight match. Fighter A has been effective with high kicks, but Fighter B starts to anticipate these attacks. How should Fighter A adapt?</t>
  </si>
  <si>
    <t>Fighter A and Fighter B are evenly matched in points. Fighter A is known for his aggressive style, while Fighter B is known for his defensive skills. How should Fighter A adjust his strategy?</t>
  </si>
  <si>
    <t>A) Increase aggression to overwhelm Fighter B. B) Focus on defensive tactics to avoid counters. C) Attempt to land a decisive knockout blow. D) Match Fighter B’s defensive skills with equal caution.</t>
  </si>
  <si>
    <t>A) Increase aggression to overwhelm Fighter B.</t>
  </si>
  <si>
    <t>Fighter A is behind on points and is showing signs of fatigue. What should Fighter A focus on to turn the fight around?</t>
  </si>
  <si>
    <t>A) Increase the pace and intensity of attacks. B) Focus on defensive techniques to avoid further damage. C) Conserve energy and wait for the final bell. D) Attempt a risky move to secure a knockout.</t>
  </si>
  <si>
    <t>A) Increase the pace and intensity of attacks.</t>
  </si>
  <si>
    <t>Fighter A and Fighter B are in a close match. Fighter A has been successful with low kicks, but Fighter B starts to anticipate them. How should Fighter A adapt?</t>
  </si>
  <si>
    <t>A) Incorporate more head shots and combinations. B) Increase the frequency and power of low kicks. C) Focus on defensive techniques to avoid counters. D) Attempt to land a knockout blow.</t>
  </si>
  <si>
    <t>A) Incorporate more head shots and combinations.</t>
  </si>
  <si>
    <t>Fighter A is trailing by a significant margin. What should Fighter A do in the final round to attempt a comeback?</t>
  </si>
  <si>
    <t>A) Increase the pace and attempt a knockout. B) Focus on defensive tactics to minimize further damage. C) Conserve energy and wait for the final bell. D) Use feints to confuse Fighter B and create openings.</t>
  </si>
  <si>
    <t>A) Increase the pace and attempt a knockout.</t>
  </si>
  <si>
    <t>Fighter A has been effective with his jab throughout the match. Fighter B starts to counter this jab effectively. What should Fighter A do to regain the advantage?</t>
  </si>
  <si>
    <t>A) Incorporate feints and combinations to break through Fighter B’s defense. B) Increase the power of the jab. C) Focus on defensive techniques. D) Attempt to land a powerful punch to secure a knockout.</t>
  </si>
  <si>
    <t>A) Incorporate feints and combinations to break through Fighter B’s defense.</t>
  </si>
  <si>
    <t>Fighter A is ahead on points, but Fighter B is becoming more aggressive. What is the best strategy for Fighter A to maintain the lead?</t>
  </si>
  <si>
    <t>A) Use defensive techniques and focus on maintaining the lead. B) Match Fighter B’s aggression with equal force. C) Increase the pace of attacks to try for a knockout. D) Conserve energy and wait for the final bell.</t>
  </si>
  <si>
    <t>A) Use defensive techniques and focus on maintaining the lead.</t>
  </si>
  <si>
    <t>Fighter A and Fighter B are in the final round. Fighter B is trailing by a few points but is known for his endurance. What should Fighter B focus on to turn the fight around?</t>
  </si>
  <si>
    <t>A) Increase the pace and intensity of attacks. B) Focus on defensive techniques to avoid further damage. C) Attempt to land as many strikes as possible to close the points gap. D) Conserve energy and wait for the final bell.</t>
  </si>
  <si>
    <t>Fighter A has been landing effective body shots. Fighter B begins to cover up more to protect the body. How should Fighter A adjust his approach?</t>
  </si>
  <si>
    <t>A) Incorporate head shots and combinations. B) Continue targeting body shots. C) Increase the power of body shots. D) Focus on defensive techniques to avoid counters.</t>
  </si>
  <si>
    <t>Fighter A and Fighter B are evenly matched. Fighter A is known for his quick footwork, but Fighter B starts to predict and counter these movements. What should Fighter A do?</t>
  </si>
  <si>
    <t>A) Use unpredictable movements and feints. B) Increase the speed of footwork. C) Focus on defensive techniques. D) Attempt to land a knockout blow.</t>
  </si>
  <si>
    <t>A) Use unpredictable movements and feints.</t>
  </si>
  <si>
    <t>Fighter A is effective with his uppercuts, but Fighter B starts to counter them. How should Fighter A adapt his strategy?</t>
  </si>
  <si>
    <t>A) Incorporate different types of punches and combinations. B) Increase the frequency of uppercuts. C) Focus on defensive techniques to avoid counters. D) Attempt to land a knockout blow.</t>
  </si>
  <si>
    <t>A) Incorporate different types of punches and combinations.</t>
  </si>
  <si>
    <t>Fighter A is trailing on points and is showing signs of fatigue. What is the most effective strategy for Fighter A in the final round?</t>
  </si>
  <si>
    <t>A) Increase the pace of attacks and try for a knockout. B) Focus on defensive techniques to avoid further damage. C) Conserve energy and wait for the final bell. D) Attempt to land a few powerful strikes.</t>
  </si>
  <si>
    <t>A) Increase the pace of attacks and try for a knockout.</t>
  </si>
  <si>
    <t>Fighter A and Fighter B are in a close match. Fighter B starts to use more feints and misdirection. How should Fighter A respond?</t>
  </si>
  <si>
    <t>Fighter A and Fighter B are evenly matched, with both showing signs of fatigue. What should Fighter A focus on to secure victory?</t>
  </si>
  <si>
    <t>A) Use remaining energy to increase the pace of attacks. B) Focus on defensive techniques to avoid getting hit. C) Attempt to land as many strikes as possible to close the points gap. D) Conserve energy and wait for the final bell.</t>
  </si>
  <si>
    <t>Fighter A is effective with his kicks, but Fighter B begins to anticipate and counter them. What should Fighter A do to regain the upper hand?</t>
  </si>
  <si>
    <t>A) Incorporate more punches and combinations. B) Increase the speed and power of kicks. C) Focus on defensive techniques to avoid counters. D) Attempt to land a powerful strike.</t>
  </si>
  <si>
    <t>A) Incorporate more punches and combinations.</t>
  </si>
  <si>
    <t>Fighter A and Fighter B are in a tight match. Fighter B starts to use more defensive techniques. How should Fighter A adjust his strategy?</t>
  </si>
  <si>
    <t>A) Increase the pace and attempt to land more strikes. B) Focus on defensive techniques to avoid getting hit. C) Attempt to land a knockout blow. D) Use feints to create openings.</t>
  </si>
  <si>
    <t>A) Increase the pace and attempt to land more strikes.</t>
  </si>
  <si>
    <t>Fighter A is trailing on points but has a reputation for strong finishes. What should Fighter A focus on in the final round?</t>
  </si>
  <si>
    <t>A) Use remaining energy to increase the pace of attacks. B) Focus on defensive tactics to avoid getting hit. C) Attempt to land a decisive knockout blow. D) Conserve energy and wait for the final bell.</t>
  </si>
  <si>
    <t>Fighter A and Fighter B are evenly matched. Fighter A is effective with his jabs, but Fighter B starts to counter them. What should Fighter A do?</t>
  </si>
  <si>
    <t>A) Incorporate feints and combinations to break through Fighter B’s defense. B) Increase the power of jabs. C) Focus on defensive techniques. D) Attempt to land a powerful punch.</t>
  </si>
  <si>
    <t>Fighter A is known for his high kicks, but Fighter B starts to anticipate and counter these kicks. How should Fighter A adjust his approach?</t>
  </si>
  <si>
    <t>A) Mix in low kicks and body punches. B) Increase the speed and power of high kicks. C) Focus on defensive techniques to avoid counters. D) Attempt to land a knockout blow.</t>
  </si>
  <si>
    <t>Fighter A and Fighter B are in a close match. Fighter A is known for his endurance, but Fighter B starts to use more aggressive tactics. How should Fighter A respond?</t>
  </si>
  <si>
    <t>A) Use endurance to outlast Fighter B’s aggression. B) Match Fighter B’s aggression with equal force. C) Focus on defensive techniques to avoid damage. D) Conserve energy and wait for the final bell.</t>
  </si>
  <si>
    <t>A) Use endurance to outlast Fighter B’s aggression.</t>
  </si>
  <si>
    <t>Fighter A is trailing on points but is known for his technical skills. What should Fighter A focus on in the final round?</t>
  </si>
  <si>
    <t>A) Use technical skills to execute precise strikes and combinations. B) Focus on defensive techniques to avoid further damage. C) Attempt to land a powerful knockout blow. D) Conserve energy and wait for the final bell.</t>
  </si>
  <si>
    <t>A) Use technical skills to execute precise strikes and combinations.</t>
  </si>
  <si>
    <t>Fighter A and Fighter B are evenly matched. Fighter A has been successful with body punches, but Fighter B starts to cover up. How should Fighter A adjust?</t>
  </si>
  <si>
    <t>A) Incorporate head shots and combinations. B) Increase the frequency of body punches. C) Focus on defensive techniques to avoid counters. D) Attempt to land a knockout blow.</t>
  </si>
  <si>
    <t>Fighter A is known for his powerful punches, but Fighter B starts to use defensive techniques to avoid them. What should Fighter A do to overcome this?</t>
  </si>
  <si>
    <t>A) Mix in feints and combinations to break through Fighter B’s defense. B) Increase the power of punches. C) Focus on defensive techniques to avoid counters. D) Attempt to land a knockout blow.</t>
  </si>
  <si>
    <t>A) Mix in feints and combinations to break through Fighter B’s defense.</t>
  </si>
  <si>
    <t>Fighter A is trailing on points but has a reputation for strong finishes. What is the most effective strategy for Fighter A in the final round?</t>
  </si>
  <si>
    <t>A) Use remaining energy to increase the pace of attacks. B) Focus on defensive techniques to avoid getting hit. C) Attempt to land a decisive knockout blow. D) Conserve energy and wait for the final bell.</t>
  </si>
  <si>
    <t>Fighter A is known for his speed, but Fighter B starts to use more aggressive tactics to close the distance. How should Fighter A adjust his strategy?</t>
  </si>
  <si>
    <t>A) Use movement and feints to maintain distance. B) Match Fighter B’s aggression with equal force. C) Focus on defensive techniques to avoid damage. D) Attempt to land a knockout blow.</t>
  </si>
  <si>
    <t>A) Use movement and feints to maintain distance.</t>
  </si>
  <si>
    <t>Fighter A is ahead on points, but Fighter B is becoming more aggressive. How should Fighter A adjust his strategy?</t>
  </si>
  <si>
    <t>A) Use defensive techniques and focus on maintaining the lead. B) Increase aggression to try for a knockout. C) Match Fighter B’s aggression with equal force. D) Conserve energy and wait for the final bell.</t>
  </si>
  <si>
    <t>Fighter A and Fighter B are evenly matched, with Fighter B starting to use more counterattacks. What should Fighter A focus on to regain the advantage?</t>
  </si>
  <si>
    <t>A) Increase pace and attempt to break through Fighter B’s counters. B) Match Fighter B’s counterattacks with equal precision. C) Focus on defensive techniques to avoid getting hit. D) Attempt to land a knockout blow.</t>
  </si>
  <si>
    <t>A) Increase pace and attempt to break through Fighter B’s counters.</t>
  </si>
  <si>
    <t>Fighter A is trailing on points and showing signs of fatigue. What should Fighter A do in the final round to attempt a comeback?</t>
  </si>
  <si>
    <t>Fighter A is effective with his low kicks, but Fighter B begins to anticipate and counter them. What should Fighter A do to adjust his strategy?</t>
  </si>
  <si>
    <t>A) Incorporate more combinations and head shots. B) Increase the power and frequency of low kicks. C) Focus on defensive techniques to avoid counters. D) Attempt to land a knockout blow.</t>
  </si>
  <si>
    <t>A) Incorporate more combinations and head shots.</t>
  </si>
  <si>
    <t>Fighter A and Fighter B are in a close match. Fighter A starts to use more feints and misdirection. How should Fighter B respond?</t>
  </si>
  <si>
    <t>A) Increase focus on defensive techniques and counterattacks. B) Match Fighter A’s feints with equal deception. C) Increase aggression to overpower Fighter A. D) Focus on maintaining the current pace.</t>
  </si>
  <si>
    <t>Fighter A is known for his high endurance, but Fighter B starts to use more aggressive tactics. How should Fighter A adjust?</t>
  </si>
  <si>
    <t>Fighter A is trailing on points and is known for his strong finishes. What is the most effective strategy for Fighter A in the final round?</t>
  </si>
  <si>
    <t>A) Use remaining energy to increase the pace of attacks. B) Focus on defensive techniques to avoid further damage. C) Attempt to land a decisive knockout blow. D) Conserve energy and wait for the final bell.</t>
  </si>
  <si>
    <t>Fighter A and Fighter B are in a tight match. Fighter A is effective with jabs, but Fighter B starts to counter them. How should Fighter A adjust his approach?</t>
  </si>
  <si>
    <t>Fighter A is known for his powerful strikes, but Fighter B starts to use defensive techniques to avoid them. What should Fighter A do to overcome this?</t>
  </si>
  <si>
    <t>A) Mix in feints and combinations to break through Fighter B’s defense. B) Increase the power of strikes. C) Focus on defensive techniques to avoid counters. D) Attempt to land a knockout blow.</t>
  </si>
  <si>
    <t>Fighter A and Fighter B are evenly matched. Fighter A is known for his speed, but Fighter B starts to close the distance. How should Fighter A adjust his strategy?</t>
  </si>
  <si>
    <t>A) Use movement and feints to maintain distance. B) Increase the speed of attacks. C) Focus on defensive techniques to avoid damage. D) Attempt to land a knockout blow.</t>
  </si>
  <si>
    <t>Fighter A is trailing on points and is showing signs of fatigue. What should Fighter A focus on in the final round?</t>
  </si>
  <si>
    <t>A) Increase the pace and intensity of attacks. B) Focus on defensive techniques to avoid further damage. C) Conserve energy and wait for the final bell. D) Attempt to land a few powerful strikes.</t>
  </si>
  <si>
    <t>Fighter A is trailing on points and is known for his endurance. How should Fighter A utilize his endurance in the final round?</t>
  </si>
  <si>
    <t>A) Use endurance to outlast Fighter B’s aggressive tactics. B) Match Fighter B’s aggression with equal force. C) Focus on defensive techniques to avoid damage. D) Attempt to land a knockout blow.</t>
  </si>
  <si>
    <t>A) Use endurance to outlast Fighter B’s aggressive tactics.</t>
  </si>
  <si>
    <t>Fighter A and Fighter B are in the final round. Fighter B is known for his counterattacks. What should Fighter A focus on to avoid being countered?</t>
  </si>
  <si>
    <t>A) Use feints and combinations to break through Fighter B’s defense. B) Increase the power of attacks. C) Focus on defensive techniques to avoid counters. D) Attempt to land a powerful strike.</t>
  </si>
  <si>
    <t>A) Use feints and combinations to break through Fighter B’s defense.</t>
  </si>
  <si>
    <t>Fighter A is known for his quick footwork, but Fighter B starts to anticipate and counter these movements. What should Fighter A do to regain the advantage?</t>
  </si>
  <si>
    <t>A) Use unpredictable movements and feints. B) Increase the speed of footwork. C) Focus on defensive techniques to avoid counters. D) Attempt to land a knockout blow.</t>
  </si>
  <si>
    <t>A) Increase the pace and attempt a knockout. B) Focus on defensive techniques to avoid further damage. C) Conserve energy and wait for the final bell. D) Attempt to land a few powerful strikes.</t>
  </si>
  <si>
    <t>Fighter A and Fighter B are evenly matched. Fighter A is known for his endurance, but Fighter B starts to use more aggressive tactics. How should Fighter A adjust?</t>
  </si>
  <si>
    <t>Fighter A is known for his powerful kicks, but Fighter B begins to anticipate and counter them. What should Fighter A do to regain the advantage?</t>
  </si>
  <si>
    <t>A) Incorporate more combinations and head shots. B) Increase the frequency and power of kicks. C) Focus on defensive techniques to avoid counters. D) Attempt to land a knockout blow.</t>
  </si>
  <si>
    <t>Fighter A is trailing on points and is known for his strong finishes. What should Fighter A focus on in the final round?</t>
  </si>
  <si>
    <t>Fighter A is known for his technical skills, but Fighter B starts to use more aggressive tactics. What should Fighter A do to counter Fighter B’s approach?</t>
  </si>
  <si>
    <t>A) Utilize technical skills to execute precise strikes and combinations. B) Increase the pace of attacks. C) Focus on defensive techniques to avoid damage. D) Attempt to land a knockout blow.</t>
  </si>
  <si>
    <t>A) Utilize technical skills to execute precise strikes and combinations.</t>
  </si>
  <si>
    <t>Fighter A and Fighter B are in a tight match. Fighter A has been effective with his jab, but Fighter B starts to counter it. How should Fighter A adjust his strategy?</t>
  </si>
  <si>
    <t>A) Incorporate feints and combinations to break through Fighter B’s defense. B) Increase the power of jabs. C) Focus on defensive techniques. D) Attempt to land a knockout blow.</t>
  </si>
  <si>
    <t>Fighter A is trailing on points and is known for his endurance. What should Fighter A focus on in the final round?</t>
  </si>
  <si>
    <t>A) Use endurance to outlast Fighter B’s aggression. B) Increase the pace of attacks. C) Focus on defensive techniques to avoid damage. D) Attempt to land a knockout blow.</t>
  </si>
  <si>
    <t>Fighter A is known for his powerful strikes, but Fighter B begins to anticipate and counter them. How should Fighter A adjust his strategy?</t>
  </si>
  <si>
    <t>Fighter A is ahead on points, but Fighter B is becoming more aggressive. What should Fighter A do to maintain the lead?</t>
  </si>
  <si>
    <t>Fighter A and Fighter B are in a close match. Fighter A is effective with his low kicks, but Fighter B starts to anticipate them. How should Fighter A adapt?</t>
  </si>
  <si>
    <t>Fighter A is trailing on points and is known for his strong finishes. How should Fighter A utilize his strength in the final round?</t>
  </si>
  <si>
    <t>A) Increase the pace and intensity of attacks. B) Focus on defensive techniques to avoid further damage. C) Conserve energy and wait for the final bell. D) Attempt to land a decisive knockout blow.</t>
  </si>
  <si>
    <t>Fighter A is known for his endurance, but Fighter B starts to use more aggressive tactics. What should Fighter A do to respond?</t>
  </si>
  <si>
    <t>Fighter A and Fighter B are in a tight match. Fighter A starts to use more feints and misdirection. How should Fighter B adjust his strategy?</t>
  </si>
  <si>
    <t>Fighter A is trailing on points and is showing signs of fatigue. What is the best strategy for Fighter A in the final round?</t>
  </si>
  <si>
    <t>Fighter A and Fighter B are in the final round. Fighter A is effective with his low kicks, but Fighter B starts to cover up. What should Fighter A do to adjust?</t>
  </si>
  <si>
    <t>A) Incorporate more head shots and combinations. B) Increase the frequency of low kicks. C) Focus on defensive techniques to avoid counters. D) Attempt to land a knockout blow.</t>
  </si>
  <si>
    <t>Fighter A is known for his powerful punches, but Fighter B is using fast footwork to evade most of the attacks. How should Fighter A adjust his strategy?</t>
  </si>
  <si>
    <t>A) Focus on body shots to slow Fighter B down. B) Continue with powerful punches. C) Focus on defensive techniques. D) Attempt to clinch.</t>
  </si>
  <si>
    <t>A) Focus on body shots to slow Fighter B down.</t>
  </si>
  <si>
    <t>During a Musti Yuddha match, Fighter A is leading in points, but Fighter B starts landing quick jabs. What should Fighter A do to maintain his lead?</t>
  </si>
  <si>
    <t>A) Increase his defense and counterattack. B) Increase aggression to overwhelm Fighter B. C) Focus on knockout attempts. D) Ignore the jabs and continue with his original strategy.</t>
  </si>
  <si>
    <t>A) Increase his defense and counterattack.</t>
  </si>
  <si>
    <t>Fighter A has a reach advantage but is being pressured by Fighter B’s close-range attacks. What should Fighter A do to regain control?</t>
  </si>
  <si>
    <t>A) Use jabs and long-range strikes to keep Fighter B at bay. B) Match Fighter B’s close-range attacks. C) Focus on defense and wait for an opening. D) Attempt to clinch and throw Fighter B.</t>
  </si>
  <si>
    <t>A) Use jabs and long-range strikes to keep Fighter B at bay.</t>
  </si>
  <si>
    <t>In the final round, Fighter A is down on points but is known for his endurance. How should Fighter A approach this round?</t>
  </si>
  <si>
    <t>A) Increase the pace of attacks and press forward. B) Focus on defense to avoid further point loss. C) Conserve energy and hope for a mistake from Fighter B. D) Attempt a risky, all-out attack.</t>
  </si>
  <si>
    <t>A) Increase the pace of attacks and press forward.</t>
  </si>
  <si>
    <t>Fighter A has been dominating with powerful kicks, but Fighter B begins to block and counter them. How should Fighter A adapt?</t>
  </si>
  <si>
    <t>A) Mix in punches and feints to confuse Fighter B. B) Increase the power of his kicks. C) Focus solely on defensive techniques. D) Attempt a knockout with one strong kick.</t>
  </si>
  <si>
    <t>A) Mix in punches and feints to confuse Fighter B.</t>
  </si>
  <si>
    <t>Fighter A is known for his quick reflexes, but Fighter B is catching him with well-timed counters. What should Fighter A focus on to avoid these counters?</t>
  </si>
  <si>
    <t>A) Use feints and combinations to disrupt Fighter B’s timing. B) Increase the speed of his attacks. C) Focus on footwork to avoid counters. D) Attempt to block Fighter B’s counters.</t>
  </si>
  <si>
    <t>A) Use feints and combinations to disrupt Fighter B’s timing.</t>
  </si>
  <si>
    <t>In a Musti Yuddha match, Fighter A is using a high guard to block punches, but Fighter B is targeting the body. What should Fighter A do?</t>
  </si>
  <si>
    <t>A) Lower his guard to protect the body while using footwork to avoid headshots. B) Continue blocking punches and wait for an opening. C) Increase aggression and attempt to overwhelm Fighter B. D) Attempt to clinch and slow down Fighter B.</t>
  </si>
  <si>
    <t>A) Lower his guard to protect the body while using footwork to avoid headshots.</t>
  </si>
  <si>
    <t>Fighter A is down on points and only has one round left to win. Fighter B is playing it safe, focusing on defense. What’s Fighter A’s best strategy?</t>
  </si>
  <si>
    <t>A) Increase aggression and go for a knockout. B) Focus on scoring points through clean strikes. C) Conserve energy and hope Fighter B makes a mistake. D) Focus on defensive techniques to avoid further damage.</t>
  </si>
  <si>
    <t>A) Increase aggression and go for a knockout.</t>
  </si>
  <si>
    <t>Fighter A has been consistently landing leg kicks on Fighter B, but Fighter B starts checking them. What should Fighter A do next?</t>
  </si>
  <si>
    <t>A) Mix in high kicks or punches to keep Fighter B guessing. B) Increase the power of his leg kicks. C) Focus on defensive techniques to avoid counters. D) Attempt to land a knockout punch.</t>
  </si>
  <si>
    <t>A) Mix in high kicks or punches to keep Fighter B guessing.</t>
  </si>
  <si>
    <t>Fighter A is pressuring Fighter B against the ropes, but Fighter B is countering effectively. What should Fighter A do to maintain the pressure without getting countered?</t>
  </si>
  <si>
    <t>A) Use feints and combinations to open Fighter B’s defense. B) Increase the power of his strikes. C) Focus on defense and wait for Fighter B to tire. D) Attempt to clinch and land knee strikes.</t>
  </si>
  <si>
    <t>A) Use feints and combinations to open Fighter B’s defense.</t>
  </si>
  <si>
    <t>Fighter A is ahead on points, but Fighter B has become more aggressive in the final round. How should Fighter A adjust?</t>
  </si>
  <si>
    <t>A) Focus on defense and counterattacks. B) Increase his own aggression to overwhelm Fighter B. C) Conserve energy and avoid engagement. D) Attempt to land a knockout to secure the win.</t>
  </si>
  <si>
    <t>A) Focus on defense and counterattacks.</t>
  </si>
  <si>
    <t>Fighter A is dominating with his speed, but Fighter B starts to anticipate and counter his attacks. What should Fighter A do?</t>
  </si>
  <si>
    <t>A) Use feints and change the rhythm of his attacks. B) Increase the speed of his attacks even further. C) Focus on defense and wait for an opening. D) Attempt to knock out Fighter B quickly.</t>
  </si>
  <si>
    <t>A) Use feints and change the rhythm of his attacks.</t>
  </si>
  <si>
    <t>Fighter A is behind on points but has more stamina than Fighter B. What should Fighter A focus on to turn the match around?</t>
  </si>
  <si>
    <t>A) Increase the pace and pressure Fighter B to exhaust him. B) Focus on scoring points through clean strikes. C) Conserve energy and wait for an opportunity. D) Attempt risky, powerful strikes.</t>
  </si>
  <si>
    <t>A) Increase the pace and pressure Fighter B to exhaust him.</t>
  </si>
  <si>
    <t>Fighter A is known for his powerful punches, but Fighter B is landing quick, effective counters. How should Fighter A adjust his strategy?</t>
  </si>
  <si>
    <t>A) Use more feints and combinations to disrupt Fighter B’s counters. B) Focus on increasing the power of his punches. C) Focus on defense and avoid counters. D) Attempt to knock out Fighter B with one strong punch.</t>
  </si>
  <si>
    <t>A) Use more feints and combinations to disrupt Fighter B’s counters.</t>
  </si>
  <si>
    <t>Fighter A has been using low kicks effectively, but Fighter B starts to check them. What should Fighter A do to maintain his advantage?</t>
  </si>
  <si>
    <t>A) Mix in punches and high kicks to keep Fighter B guessing. B) Increase the power of his low kicks. C) Focus on defense and wait for an opening. D) Attempt to land a knockout punch.</t>
  </si>
  <si>
    <t>A) Mix in punches and high kicks to keep Fighter B guessing.</t>
  </si>
  <si>
    <t>Fighter A is known for his speed, but Fighter B starts closing the distance to negate this advantage. What should Fighter A focus on?</t>
  </si>
  <si>
    <t>A) Use movement and angles to maintain distance. B) Increase the speed of his punches. C) Focus on defense and wait for an opening. D) Attempt to clinch and neutralize Fighter B.</t>
  </si>
  <si>
    <t>A) Use movement and angles to maintain distance.</t>
  </si>
  <si>
    <t>Fighter A is trailing on points and only has one round left to win. Fighter B is playing it safe, focusing on defense. What’s Fighter A’s best strategy?</t>
  </si>
  <si>
    <t>Fighter A has been landing powerful body shots, but Fighter B is still advancing aggressively. How should Fighter A handle the pressure?</t>
  </si>
  <si>
    <t>A) Use movement and counterattacks to slow Fighter B. B) Increase the power of his body shots. C) Focus on defense and avoid engagement. D) Attempt to land a knockout punch.</t>
  </si>
  <si>
    <t>A) Use movement and counterattacks to slow Fighter B.</t>
  </si>
  <si>
    <t>Fighter A is pressuring Fighter B with a series of combinations, but Fighter B is absorbing the strikes. How can Fighter A maintain the pressure without tiring out?</t>
  </si>
  <si>
    <t>A) Mix in feints and vary the timing of his attacks. B) Increase the power of his punches. C) Focus on defense and wait for Fighter B to tire. D) Attempt to clinch and land knee strikes.</t>
  </si>
  <si>
    <t>A) Mix in feints and vary the timing of his attacks.</t>
  </si>
  <si>
    <t>Fighter A is behind on points and known for his endurance. Fighter B is tiring in the later rounds. What should Fighter A focus on?</t>
  </si>
  <si>
    <t>A) Increase the pace to pressure Fighter B. B) Conserve energy and wait for an opportunity. C) Attempt to land a knockout punch. D) Focus on defensive techniques.</t>
  </si>
  <si>
    <t>A) Increase the pace to pressure Fighter B.</t>
  </si>
  <si>
    <t>Fighter A has a reach advantage over Fighter B, but Fighter B is closing the distance quickly. What should Fighter A focus on to keep Fighter B at bay?</t>
  </si>
  <si>
    <t>A) Use jabs to control distance. B) Focus on powerful strikes. C) Rely on counterattacks. D) Wait for Fighter B to tire out.</t>
  </si>
  <si>
    <t>A) Use jabs to control distance.</t>
  </si>
  <si>
    <t>Fighter A is ahead on points, but Fighter B is pushing forward aggressively in the final round. What should Fighter A do to protect his lead?</t>
  </si>
  <si>
    <t>A) Focus on defense and counterattacks. B) Increase aggression to push Fighter B back. C) Attempt to land a knockout blow. D) Conserve energy and avoid exchanges.</t>
  </si>
  <si>
    <t>Fighter A has been landing body shots on Fighter B, but Fighter B is not showing signs of slowing down. What should Fighter A do next?</t>
  </si>
  <si>
    <t>A) Mix in head strikes with body shots. B) Focus on defensive tactics. C) Increase the frequency of body shots. D) Attempt to land a powerful knockout punch.</t>
  </si>
  <si>
    <t>A) Mix in head strikes with body shots.</t>
  </si>
  <si>
    <t>Fighter A is struggling to land punches against Fighter B’s defensive style. What strategy should Fighter A employ to break through Fighter B’s defense?</t>
  </si>
  <si>
    <t>A) Use feints to open up opportunities. B) Increase the power of his strikes. C) Focus on defending against counterattacks. D) Engage in a clinch to change the pace.</t>
  </si>
  <si>
    <t>A) Use feints to open up opportunities.</t>
  </si>
  <si>
    <t>Fighter A is controlling the pace with quick, light strikes, but Fighter B starts landing heavy counters. What should Fighter A do to adjust?</t>
  </si>
  <si>
    <t>A) Use movement to avoid counters and maintain range. B) Increase the speed of his strikes. C) Engage in a clinch to neutralize Fighter B’s power. D) Go for an all-out attack to overwhelm Fighter B.</t>
  </si>
  <si>
    <t>A) Use movement to avoid counters and maintain range.</t>
  </si>
  <si>
    <t>Fighter A is starting to fatigue after an intense match, but Fighter B is also showing signs of exhaustion. How should Fighter A approach the final round?</t>
  </si>
  <si>
    <t>A) Conserve energy and pick precise shots. B) Push the pace to tire Fighter B further. C) Focus entirely on defense. D) Go for a knockout with aggressive strikes.</t>
  </si>
  <si>
    <t>A) Conserve energy and pick precise shots.</t>
  </si>
  <si>
    <t>Fighter A is getting caught in clinches often by Fighter B. What should Fighter A do to avoid getting tied up?</t>
  </si>
  <si>
    <t>A) Use lateral movement and distance control. B) Engage in more clinches to tire Fighter B. C) Focus on powerful punches to break the clinch. D) Conserve energy by staying defensive in the clinch.</t>
  </si>
  <si>
    <t>A) Use lateral movement and distance control.</t>
  </si>
  <si>
    <t>Fighter A has been landing kicks on Fighter B, but Fighter B begins to catch his kicks and counter. What should Fighter A do?</t>
  </si>
  <si>
    <t>A) Mix in feints and punches to keep Fighter B guessing. B) Increase the power of his kicks. C) Focus on defense and wait for an opening. D) Continue with kicks despite being countered.</t>
  </si>
  <si>
    <t>A) Mix in feints and punches to keep Fighter B guessing.</t>
  </si>
  <si>
    <t>Fighter A has sustained damage to his lead leg from Fighter B’s low kicks. What should Fighter A do to reduce further damage?</t>
  </si>
  <si>
    <t>A) Switch stances to protect the lead leg. B) Increase aggression to push Fighter B back. C) Focus on defensive movement. D) Attempt to catch Fighter B’s kicks.</t>
  </si>
  <si>
    <t>A) Switch stances to protect the lead leg.</t>
  </si>
  <si>
    <t>Fighter A is losing on points but still has one round left. Fighter B is tiring but playing defensively. What’s Fighter A’s best strategy?</t>
  </si>
  <si>
    <t>A) Increase aggression and look for a knockout. B) Focus on scoring clean strikes to close the point gap. C) Conserve energy and wait for an opening. D) Attempt to outlast Fighter B by being defensive.</t>
  </si>
  <si>
    <t>A) Increase aggression and look for a knockout.</t>
  </si>
  <si>
    <t>Fighter A has been throwing headshots throughout the fight, but Fighter B has adapted with a strong high guard. What should Fighter A do next?</t>
  </si>
  <si>
    <t>A) Focus on body strikes to bring down Fighter B’s guard. B) Continue with headshots in hopes of breaking through. C) Engage in a clinch to neutralize Fighter B’s defense. D) Slow down and focus on defense.</t>
  </si>
  <si>
    <t>A) Focus on body strikes to bring down Fighter B’s guard.</t>
  </si>
  <si>
    <t>Fighter A is dominating with his speed and footwork, but Fighter B starts to pressure him against the ropes. What should Fighter A do to regain control?</t>
  </si>
  <si>
    <t>A) Use angles and movement to escape the pressure. B) Engage in a clinch to reset the fight. C) Focus on defense and wait for an opening. D) Increase the speed of his strikes to counter the pressure.</t>
  </si>
  <si>
    <t>A) Use angles and movement to escape the pressure.</t>
  </si>
  <si>
    <t>Fighter A is ahead on points but is slowing down due to fatigue. Fighter B senses this and is increasing his aggression. How should Fighter A respond?</t>
  </si>
  <si>
    <t>A) Focus on defense and counterattacks. B) Push forward with his own aggression. C) Attempt to land a knockout punch. D) Conserve energy and avoid engagement.</t>
  </si>
  <si>
    <t>Fighter A is being outpointed by Fighter B but is known for his knockout power. With only one round left, what is Fighter A’s best course of action?</t>
  </si>
  <si>
    <t>A) Go for a knockout with aggressive strikes. B) Try to score points with clean punches. C) Conserve energy and defend. D) Attempt to tire out Fighter B.</t>
  </si>
  <si>
    <t>A) Go for a knockout with aggressive strikes.</t>
  </si>
  <si>
    <t>Fighter A is having trouble landing punches as Fighter B uses strong defensive techniques. What adjustment should Fighter A make to land cleaner strikes?</t>
  </si>
  <si>
    <t>A) Use feints and combinations to disrupt Fighter B’s defense. B) Focus on power to break through Fighter B’s guard. C) Engage in a clinch to slow the fight down. D) Attempt to tire Fighter B out with movement.</t>
  </si>
  <si>
    <t>A) Use feints and combinations to disrupt Fighter B’s defense.</t>
  </si>
  <si>
    <t>Fighter A is consistently landing low kicks, but Fighter B is showing resilience. How should Fighter A adjust his strategy?</t>
  </si>
  <si>
    <t>A) Mix in punches and high kicks to vary the attack. B) Increase the power of his low kicks. C) Focus on defense to avoid counters. D) Conserve energy and wait for an opening.</t>
  </si>
  <si>
    <t>A) Mix in punches and high kicks to vary the attack.</t>
  </si>
  <si>
    <t>Fighter A is controlling the pace of the match with his footwork, but Fighter B is pressuring with heavy strikes. How can Fighter A avoid getting caught?</t>
  </si>
  <si>
    <t>A) Continue using footwork and angles to evade. B) Engage in a clinch to slow down the fight. C) Focus on defensive blocks and counters. D) Attempt to match Fighter B’s power.</t>
  </si>
  <si>
    <t>A) Continue using footwork and angles to evade.</t>
  </si>
  <si>
    <t>Fighter A is taking damage from Fighter B’s counters after every strike. What should Fighter A focus on to avoid these counters?</t>
  </si>
  <si>
    <t>A) Use feints and combinations to disrupt Fighter B’s timing. B) Increase the power of his strikes. C) Engage in a clinch to stop the counters. D) Focus on defense and avoid exchanges.</t>
  </si>
  <si>
    <t>Fighter A has been controlling the fight with aggressive striking, but Fighter B starts focusing on countering. How should Fighter A adjust?</t>
  </si>
  <si>
    <t>A) Use feints and vary the timing of his attacks. B) Continue pressing forward with aggression. C) Focus on defensive movements. D) Conserve energy and avoid exchanges.</t>
  </si>
  <si>
    <t>A) Use feints and vary the timing of his attacks.</t>
  </si>
  <si>
    <t>Fighter A has sustained a cut above his eye, but is leading on points. Fighter B is now targeting the injured area. What should Fighter A do?</t>
  </si>
  <si>
    <t>A) Focus on defense and protect the injured area. B) Increase aggression to overwhelm Fighter B. C) Attempt to end the fight with a knockout. D) Conserve energy and wait for the referee’s intervention.</t>
  </si>
  <si>
    <t>A) Focus on defense and protect the injured area.</t>
  </si>
  <si>
    <t>Fighter A has successfully landed a series of quick jabs on Fighter B, but Fighter B is showing no signs of slowing down. What should Fighter A do next?</t>
  </si>
  <si>
    <t>A) Increase the intensity of the jabs. B) Switch to body shots to weaken Fighter B. C) Focus on defense to avoid counterattacks. D) Attempt a knockout punch to end the match.</t>
  </si>
  <si>
    <t>B) Switch to body shots to weaken Fighter B.</t>
  </si>
  <si>
    <t>During the third round, Fighter B starts to focus on Fighter A’s lead leg, continuously landing low kicks. How should Fighter A adjust?</t>
  </si>
  <si>
    <t>A) Switch stances to protect the lead leg. B) Increase aggression and push Fighter B back. C) Focus on blocking the low kicks. D) Counter the low kicks with high punches.</t>
  </si>
  <si>
    <t>Fighter A has taken damage to his ribs from Fighter B’s body shots. What should Fighter A do to avoid further damage?</t>
  </si>
  <si>
    <t>A) Keep his guard low to protect the body. B) Use more lateral movement to avoid the body shots. C) Engage in clinches to slow the fight down. D) Increase the pace to overwhelm Fighter B.</t>
  </si>
  <si>
    <t>B) Use more lateral movement to avoid the body shots.</t>
  </si>
  <si>
    <t>Fighter B has been consistently throwing counterpunches every time Fighter A attacks. How should Fighter A adapt to avoid getting countered?</t>
  </si>
  <si>
    <t>A) Use feints to bait Fighter B into mistimed counters. B) Increase the speed of his attacks. C) Focus on defensive techniques to avoid counters. D) Engage in close-range fighting to neutralize the counters.</t>
  </si>
  <si>
    <t>A) Use feints to bait Fighter B into mistimed counters.</t>
  </si>
  <si>
    <t>Fighter A is landing strong punches to Fighter B’s body, but Fighter B’s defense remains strong. What should Fighter A focus on?</t>
  </si>
  <si>
    <t>A) Mix body punches with head shots to disrupt the defense. B) Continue targeting the body to wear Fighter B down. C) Increase his defensive movements. D) Back off and wait for Fighter B to make a mistake.</t>
  </si>
  <si>
    <t>A) Mix body punches with head shots to disrupt the defense.</t>
  </si>
  <si>
    <t>Fighter A notices that Fighter B is dropping his guard after throwing heavy punches. What strategy should Fighter A employ to exploit this?</t>
  </si>
  <si>
    <t>A) Counter with quick strikes immediately after Fighter B’s punches. B) Engage in a clinch to neutralize Fighter B’s power. C) Wait for Fighter B to tire out and capitalize later. D) Focus on defending against the heavy punches.</t>
  </si>
  <si>
    <t>A) Counter with quick strikes immediately after Fighter B’s punches.</t>
  </si>
  <si>
    <t>Fighter A is ahead on points but starts to fatigue in the final round. Fighter B senses this and becomes more aggressive. How should Fighter A approach the situation?</t>
  </si>
  <si>
    <t>A) Focus on defense and avoid unnecessary exchanges. B) Conserve energy and wait for Fighter B to tire out. C) Increase aggression to keep Fighter B at bay. D) Look for a knockout to secure the win.</t>
  </si>
  <si>
    <t>A) Focus on defense and avoid unnecessary exchanges.</t>
  </si>
  <si>
    <t>Fighter A is controlling the pace of the fight with his footwork, but Fighter B starts pressuring forward. What adjustment should Fighter A make?</t>
  </si>
  <si>
    <t>A) Use lateral movement and counters to disrupt Fighter B’s advance. B) Engage in a clinch to neutralize Fighter B’s pressure. C) Focus on defensive blocks to absorb the pressure. D) Increase his aggression to push Fighter B back.</t>
  </si>
  <si>
    <t>A) Use lateral movement and counters to disrupt Fighter B’s advance.</t>
  </si>
  <si>
    <t>Fighter A has sustained a cut above his eye and is struggling to see Fighter B’s attacks clearly. How should Fighter A adjust his strategy?</t>
  </si>
  <si>
    <t>A) Focus on defense and avoid further damage to the eye. B) Increase aggression to try and end the fight quickly. C) Engage in clinches to slow down the pace of the fight. D) Rely on counterattacks to minimize risks.</t>
  </si>
  <si>
    <t>A) Focus on defense and avoid further damage to the eye.</t>
  </si>
  <si>
    <t>Fighter A has been successful with his jabs, but Fighter B begins to time them and counter effectively. What should Fighter A do to maintain control?</t>
  </si>
  <si>
    <t>A) Mix in feints to disrupt Fighter B’s timing. B) Continue jabbing with increased speed. C) Switch to body punches to change the target. D) Engage in a clinch to reset the pace.</t>
  </si>
  <si>
    <t>A) Mix in feints to disrupt Fighter B’s timing.</t>
  </si>
  <si>
    <t>Fighter B is landing powerful punches, but Fighter A is maintaining his guard well. How should Fighter A capitalize on this defensive success?</t>
  </si>
  <si>
    <t>A) Use quick counterpunches after blocking Fighter B’s attacks. B) Engage in a clinch to reduce the power of Fighter B’s punches. C) Focus solely on defense and wait for an opening. D) Increase his aggression to overwhelm Fighter B.</t>
  </si>
  <si>
    <t>A) Use quick counterpunches after blocking Fighter B’s attacks.</t>
  </si>
  <si>
    <t>Fighter A is being outmatched in terms of power, but he is faster than Fighter B. What strategy should Fighter A employ?</t>
  </si>
  <si>
    <t>A) Use footwork and speed to evade and counter. B) Engage in close-range fighting to negate Fighter B’s power. C) Focus on defense and wait for Fighter B to tire. D) Match Fighter B’s power with his own punches.</t>
  </si>
  <si>
    <t>A) Use footwork and speed to evade and counter.</t>
  </si>
  <si>
    <t>Fighter A is known for his endurance, but Fighter B is trying to finish the fight early with powerful strikes. How should Fighter A approach the fight?</t>
  </si>
  <si>
    <t>A) Conserve energy and weather the early storm. B) Engage in a brawl to test Fighter B’s power. C) Focus on defensive techniques to block the strikes. D) Increase his aggression to surprise Fighter B.</t>
  </si>
  <si>
    <t>A) Conserve energy and weather the early storm.</t>
  </si>
  <si>
    <t>Fighter A notices that Fighter B has a weak guard after throwing leg kicks. What should Fighter A do to take advantage of this opening?</t>
  </si>
  <si>
    <t>A) Counter with a punch to the head after each leg kick. B) Focus on defending against the leg kicks. C) Engage in a clinch to slow Fighter B down. D) Attempt to land a powerful leg kick of his own.</t>
  </si>
  <si>
    <t>A) Counter with a punch to the head after each leg kick.</t>
  </si>
  <si>
    <t>Fighter A is leading on points, but Fighter B is landing heavy shots in the later rounds. What should Fighter A do to maintain his lead?</t>
  </si>
  <si>
    <t>A) Focus on defense and avoid risky exchanges. B) Conserve energy and wait for an opening. C) Increase his aggression to push Fighter B back. D) Attempt to end the fight with a knockout punch.</t>
  </si>
  <si>
    <t>A) Focus on defense and avoid risky exchanges.</t>
  </si>
  <si>
    <t>Fighter A has been controlling the fight with his range, but Fighter B is closing the distance effectively. How should Fighter A adjust?</t>
  </si>
  <si>
    <t>A) Use jabs and movement to maintain distance. B) Engage in close-range fighting to neutralize Fighter B. C) Focus on defending against close-range attacks. D) Attempt to knock out Fighter B with a powerful strike.</t>
  </si>
  <si>
    <t>A) Use jabs and movement to maintain distance.</t>
  </si>
  <si>
    <t>Fighter A is tiring after a fast-paced match, but Fighter B is also showing signs of exhaustion. What should Fighter A focus on in the final round?</t>
  </si>
  <si>
    <t>A) Conserve energy and look for precise counterattacks. B) Increase the pace to tire Fighter B further. C) Focus entirely on defense to protect his lead. D) Go for a knockout to finish the fight.</t>
  </si>
  <si>
    <t>A) Conserve energy and look for precise counterattacks.</t>
  </si>
  <si>
    <t>Fighter B is attempting to overwhelm Fighter A with aggressive flurries of punches. What should Fighter A do to avoid getting overwhelmed?</t>
  </si>
  <si>
    <t>A) Use defensive footwork to escape the flurries. B) Engage in a clinch to slow Fighter B down. C) Increase his aggression to match Fighter B’s. D) Focus on blocking and absorbing the punches.</t>
  </si>
  <si>
    <t>A) Use defensive footwork to escape the flurries.</t>
  </si>
  <si>
    <t>Fighter A is dominating the match, but Fighter B is starting to time his punches and counter effectively. How should Fighter A adjust his strategy?</t>
  </si>
  <si>
    <t>A) Keep the same pace and pressure. B) Use feints to throw off Fighter B's counters. C) Retreat and defend until Fighter B tires out. D) Attempt to land a knockout punch immediately.</t>
  </si>
  <si>
    <t>B) Use feints to throw off Fighter B's counters.</t>
  </si>
  <si>
    <t>During a critical moment, Fighter A gets caught by a powerful hook and starts losing his balance. What is the best response for Fighter A to recover?</t>
  </si>
  <si>
    <t>A) Engage in a clinch to recover. B) Continue attacking aggressively. C) Step back and regain composure. D) Lower his guard to confuse the opponent.</t>
  </si>
  <si>
    <t>A) Engage in a clinch to recover.</t>
  </si>
  <si>
    <t>Fighter B is known for his strong counterpunches but hesitates to engage first. What should Fighter A do to initiate an opening?</t>
  </si>
  <si>
    <t>A) Stay defensive and wait for Fighter B to attack. B) Use quick jabs to test Fighter B's reaction. C) Go all-in with heavy punches. D) Attempt a takedown to surprise Fighter B.</t>
  </si>
  <si>
    <t>B) Use quick jabs to test Fighter B's reaction.</t>
  </si>
  <si>
    <t>Fighter A's footwork has been consistent, but Fighter B is targeting his lower body with kicks. How should Fighter A respond?</t>
  </si>
  <si>
    <t>A) Focus on blocking the kicks. B) Attack Fighter B's upper body while taking the kicks. C) Change stance to protect his legs. D) Increase pressure to disrupt Fighter B's kicking rhythm.</t>
  </si>
  <si>
    <t>C) Change stance to protect his legs.</t>
  </si>
  <si>
    <t>Fighter A has been dominating on points, but Fighter B is landing powerful punches in the final round. What is Fighter A's best approach?</t>
  </si>
  <si>
    <t>A) Stay defensive and avoid exchanges. B) Go for a knockout to secure the win. C) Match Fighter B's aggression to maintain dominance. D) Try to end the match early by overwhelming Fighter B.</t>
  </si>
  <si>
    <t>A) Stay defensive and avoid exchanges.</t>
  </si>
  <si>
    <t>Fighter A's corner advises him to focus on body shots, but Fighter B has a high guard protecting his upper body. What should Fighter A do next?</t>
  </si>
  <si>
    <t>A) Keep throwing body shots. B) Switch to targeting Fighter B's legs. C) Mix up body shots with head punches. D) Engage in a clinch to reset the situation.</t>
  </si>
  <si>
    <t>C) Mix up body shots with head punches.</t>
  </si>
  <si>
    <t>Fighter B begins to show signs of fatigue as Fighter A maintains his pace. What should Fighter A prioritize to take advantage?</t>
  </si>
  <si>
    <t>A) Increase his aggression to overwhelm Fighter B. B) Conserve energy and wait for Fighter B to collapse. C) Focus on defense in case Fighter B recovers. D) Test Fighter B's stamina with feints and quick strikes.</t>
  </si>
  <si>
    <t>A) Increase his aggression to overwhelm Fighter B.</t>
  </si>
  <si>
    <t>Fighter A realizes that Fighter B is dropping his guard after every kick. What is Fighter A's best course of action?</t>
  </si>
  <si>
    <t>A) Counter with a punch to the head after each kick. B) Focus on defending against the kicks. C) Engage in a clinch to slow Fighter B's pace. D) Attempt a leg sweep to destabilize Fighter B.</t>
  </si>
  <si>
    <t>A) Counter with a punch to the head after each kick.</t>
  </si>
  <si>
    <t>Fighter A lands a strong uppercut that momentarily stuns Fighter B. What should Fighter A do to capitalize on this?</t>
  </si>
  <si>
    <t>A) Back off and wait for another opportunity. B) Immediately follow up with a flurry of punches. C) Engage in a clinch to avoid a counterattack. D) Focus on defending in case Fighter B recovers.</t>
  </si>
  <si>
    <t>B) Immediately follow up with a flurry of punches.</t>
  </si>
  <si>
    <t>Fighter A has taken heavy damage to his midsection from body shots. How should he adjust to prevent further damage?</t>
  </si>
  <si>
    <t>A) Lower his guard to protect the midsection. B) Increase his aggression to push Fighter B back. C) Use more footwork to avoid getting hit. D) Engage in a clinch to slow down the fight.</t>
  </si>
  <si>
    <t>C) Use more footwork to avoid getting hit.</t>
  </si>
  <si>
    <t>Fighter B is taller and has a longer reach than Fighter A. What strategy should Fighter A use to close the distance?</t>
  </si>
  <si>
    <t>A) Move in quickly with combination punches. B) Stay defensive and wait for Fighter B to make a mistake. C) Focus on body shots to weaken Fighter B's reach. D) Engage in a clinch to neutralize Fighter B's advantage.</t>
  </si>
  <si>
    <t>A) Move in quickly with combination punches.</t>
  </si>
  <si>
    <t>Fighter A has been blocking all of Fighter B's punches but hasn't been landing any counters. How should Fighter A change his strategy?</t>
  </si>
  <si>
    <t>A) Keep blocking until Fighter B tires out. B) Start counterattacking after each block. C) Increase his footwork to avoid the punches altogether. D) Take more risks by throwing heavy punches.</t>
  </si>
  <si>
    <t>B) Start counterattacking after each block.</t>
  </si>
  <si>
    <t>Fighter A is behind on points but notices Fighter B starting to slow down. What should Fighter A focus on in the final round?</t>
  </si>
  <si>
    <t>A) Conserve energy and hope for a mistake. B) Press the attack and increase the pace. C) Play defensively to avoid further point loss. D) Look for an opportunity to land a knockout blow.</t>
  </si>
  <si>
    <t>B) Press the attack and increase the pace.</t>
  </si>
  <si>
    <t>Fighter B is targeting Fighter A's lead leg with consistent low kicks. How should Fighter A adjust to defend against this tactic?</t>
  </si>
  <si>
    <t>A) Block the kicks with his shin. B) Switch stances to protect his lead leg. C) Start throwing low kicks of his own. D) Increase his aggression to keep Fighter B on the defensive.</t>
  </si>
  <si>
    <t>B) Switch stances to protect his lead leg.</t>
  </si>
  <si>
    <t>Fighter A is landing quick jabs, but Fighter B is starting to time them and counterpunch effectively. What adjustment should Fighter A make?</t>
  </si>
  <si>
    <t>A) Throw fewer jabs and focus on defense. B) Increase the speed of his jabs. C) Use feints to disrupt Fighter B's timing. D) Focus on body shots to mix up his attacks.</t>
  </si>
  <si>
    <t>C) Use feints to disrupt Fighter B's timing.</t>
  </si>
  <si>
    <t>Fighter A is known for his endurance, but Fighter B is aggressively targeting his body to wear him down. What should Fighter A do?</t>
  </si>
  <si>
    <t>A) Stay defensive and wait for an opportunity. B) Start targeting Fighter B's body as well. C) Increase his pace to tire Fighter B faster. D) Use footwork to avoid body shots and counter.</t>
  </si>
  <si>
    <t>D) Use footwork to avoid body shots and counter.</t>
  </si>
  <si>
    <t>Fighter A notices that Fighter B drops his hands after throwing combinations. How can Fighter A exploit this weakness?</t>
  </si>
  <si>
    <t>A) Counter immediately after Fighter B's combinations. B) Increase his aggression and throw heavier punches. C) Engage in a clinch to avoid the combinations. D) Focus on defense until Fighter B tires out.</t>
  </si>
  <si>
    <t>A) Counter immediately after Fighter B's combinations.</t>
  </si>
  <si>
    <t>Fighter A is leading on points, but Fighter B is gaining momentum with strong strikes. What should Fighter A prioritize?</t>
  </si>
  <si>
    <t>A) Avoid risky exchanges and focus on defense. B) Increase his aggression to stop Fighter B's momentum. C) Engage in clinches to slow the pace of the fight. D) Go for a knockout to end the match.</t>
  </si>
  <si>
    <t>A) Avoid risky exchanges and focus on defense.</t>
  </si>
  <si>
    <t>Fighter B is trying to land a knockout blow, but Fighter A has been successfully avoiding most of the heavy punches. What should Fighter A do?</t>
  </si>
  <si>
    <t>A) Continue evading until Fighter B tires out. B) Counter with powerful strikes of his own. C) Engage in a clinch to disrupt Fighter B's attacks. D) Increase his aggression to finish the fight.</t>
  </si>
  <si>
    <t>A) Continue evading until Fighter B tires out.</t>
  </si>
  <si>
    <t>Fighter A has injured his hand during the match and is struggling to land punches. What strategy should he use to stay in the fight?</t>
  </si>
  <si>
    <t>A) Focus on kicks and lower body strikes. B) Use the injured hand sparingly for defense. C) Engage in a clinch to slow down the pace. D) Go for a quick knockout before the injury worsens.</t>
  </si>
  <si>
    <t>C) Engage in a clinch to slow down the pace.</t>
  </si>
  <si>
    <t>Fighter A is known for his aggressive style, but Fighter B is consistently dodging and counterattacking. How can Fighter A break through Fighter B's defense?</t>
  </si>
  <si>
    <t>A) Increase the speed of his punches. B) Use feints to confuse Fighter B. C) Focus on body shots. D) Wait for Fighter B to tire out.</t>
  </si>
  <si>
    <t>B) Use feints to confuse Fighter B.</t>
  </si>
  <si>
    <t>Fighter A has been leading throughout the match, but in the final round, Fighter B starts targeting his weakened shoulder. What should Fighter A prioritize?</t>
  </si>
  <si>
    <t>A) Defend the shoulder at all costs. B) Continue attacking and ignore the injury. C) Engage in a clinch to slow the pace. D) Use his other hand more often.</t>
  </si>
  <si>
    <t>C) Engage in a clinch to slow the pace.</t>
  </si>
  <si>
    <t>Fighter A is significantly shorter than Fighter B, who has a longer reach. What should Fighter A do to close the distance and land punches?</t>
  </si>
  <si>
    <t>A) Rush in aggressively with heavy punches. B) Use footwork to move inside Fighter B’s reach. C) Wait for Fighter B to make a mistake. D) Focus on defending and tire Fighter B out.</t>
  </si>
  <si>
    <t>B) Use footwork to move inside Fighter B’s reach.</t>
  </si>
  <si>
    <t>Fighter A has landed multiple body shots, causing Fighter B to lower his guard. What should Fighter A do next?</t>
  </si>
  <si>
    <t>A) Continue targeting the body. B) Switch to headshots to exploit the lowered guard. C) Engage in a clinch. D) Focus on defense to avoid counterattacks.</t>
  </si>
  <si>
    <t>B) Switch to headshots to exploit the lowered guard.</t>
  </si>
  <si>
    <t>In the final round, Fighter B starts throwing wild punches to knock Fighter A out. How should Fighter A respond?</t>
  </si>
  <si>
    <t>A) Match Fighter B's aggression. B) Stay defensive and avoid unnecessary exchanges. C) Counterattack with precise punches. D) Engage in a clinch to slow Fighter B down.</t>
  </si>
  <si>
    <t>B) Stay defensive and avoid unnecessary exchanges.</t>
  </si>
  <si>
    <t>Fighter A's speed is his strength, but Fighter B has a strong defense and is absorbing most of the punches. What should Fighter A do to win?</t>
  </si>
  <si>
    <t>A) Focus on breaking through Fighter B’s defense with power punches. B) Use his speed to tire Fighter B out. C) Throw combinations to confuse Fighter B. D) Engage in a clinch to slow the fight down.</t>
  </si>
  <si>
    <t>C) Throw combinations to confuse Fighter B.</t>
  </si>
  <si>
    <t>Fighter A notices that Fighter B hesitates every time he throws a right hook. What should Fighter A do to exploit this hesitation?</t>
  </si>
  <si>
    <t>A) Throw more right hooks. B) Use a combination of left jabs and right hooks. C) Focus on defense until Fighter B tires. D) Engage in a clinch to neutralize Fighter B’s attacks.</t>
  </si>
  <si>
    <t>B) Use a combination of left jabs and right hooks.</t>
  </si>
  <si>
    <t>Fighter B is constantly attacking Fighter A’s body, but Fighter A’s footwork is superior. How can Fighter A use his footwork to his advantage?</t>
  </si>
  <si>
    <t>A) Keep moving and wait for Fighter B to tire. B) Step in closer to reduce the impact of body shots. C) Use footwork to create angles for counterattacks. D) Focus on defense to avoid more damage.</t>
  </si>
  <si>
    <t>C) Use footwork to create angles for counterattacks.</t>
  </si>
  <si>
    <t>Fighter A has been on the defensive for most of the match but sees an opening in Fighter B's guard. What is Fighter A’s best move?</t>
  </si>
  <si>
    <t>A) Take the opportunity to counterattack aggressively. B) Stay defensive and let Fighter B tire out. C) Engage in a clinch to reset the match. D) Attempt a knockout punch.</t>
  </si>
  <si>
    <t>A) Take the opportunity to counterattack aggressively.</t>
  </si>
  <si>
    <t>Fighter A’s punches are consistently blocked by Fighter B, but Fighter B’s stamina is decreasing. What should Fighter A do to capitalize on this?</t>
  </si>
  <si>
    <t>A) Increase the number of punches thrown. B) Focus on landing heavier punches. C) Use combinations to wear Fighter B down. D) Engage in a clinch to maintain control of the fight.</t>
  </si>
  <si>
    <t>C) Use combinations to wear Fighter B down.</t>
  </si>
  <si>
    <t>Fighter A is known for his strong uppercuts, but Fighter B is keeping a tight guard. How should Fighter A adjust his strategy?</t>
  </si>
  <si>
    <t>A) Keep using uppercuts to break Fighter B’s guard. B) Switch to body shots to open up Fighter B’s defense. C) Focus on footwork and defense. D) Wait for Fighter B to attack and counter.</t>
  </si>
  <si>
    <t>B) Switch to body shots to open up Fighter B’s defense.</t>
  </si>
  <si>
    <t>Fighter A has the advantage in height and reach, but Fighter B is faster. How can Fighter A neutralize Fighter B’s speed?</t>
  </si>
  <si>
    <t>A) Use his reach to keep Fighter B at a distance. B) Move in close to engage in short-range combat. C) Stay defensive and wait for Fighter B to tire. D) Focus on footwork to outmaneuver Fighter B.</t>
  </si>
  <si>
    <t>A) Use his reach to keep Fighter B at a distance.</t>
  </si>
  <si>
    <t>Fighter A notices that Fighter B is backing up whenever he throws a combination. What should Fighter A do to capitalize on this?</t>
  </si>
  <si>
    <t>A) Keep throwing combinations to push Fighter B back. B) Focus on single, powerful punches. C) Engage in a clinch. D) Slow down the pace and conserve energy.</t>
  </si>
  <si>
    <t>A) Keep throwing combinations to push Fighter B back.</t>
  </si>
  <si>
    <t>Fighter B is landing heavy punches, and Fighter A is starting to feel fatigued. How should Fighter A adjust his approach?</t>
  </si>
  <si>
    <t>A) Increase his aggression to surprise Fighter B. B) Stay defensive and avoid further damage. C) Engage in a clinch to slow the pace. D) Look for an opening to counterattack.</t>
  </si>
  <si>
    <t>Fighter A’s strength is his defense, but Fighter B is starting to outpoint him with aggressive combinations. How should Fighter A respond?</t>
  </si>
  <si>
    <t>A) Stay defensive and wait for Fighter B to tire. B) Increase his aggression to disrupt Fighter B’s rhythm. C) Use footwork to avoid engaging. D) Engage in a clinch to break Fighter B’s momentum.</t>
  </si>
  <si>
    <t>B) Increase his aggression to disrupt Fighter B’s rhythm.</t>
  </si>
  <si>
    <t>Fighter A lands a punch that stuns Fighter B, but he hesitates to follow up. What should Fighter A do to capitalize on the opportunity?</t>
  </si>
  <si>
    <t>A) Step back and wait for another opening. B) Immediately follow up with more punches. C) Engage in a clinch. D) Focus on defense in case Fighter B recovers quickly.</t>
  </si>
  <si>
    <t>B) Immediately follow up with more punches.</t>
  </si>
  <si>
    <t>Fighter A notices that Fighter B is getting frustrated and starting to make mistakes. What should Fighter A do next?</t>
  </si>
  <si>
    <t>A) Increase his pressure to force more mistakes. B) Stay defensive and wait for an opening. C) Engage in a clinch to frustrate Fighter B further. D) Focus on counterattacking after each mistake.</t>
  </si>
  <si>
    <t>A) Increase his pressure to force more mistakes.</t>
  </si>
  <si>
    <t>Fighter B is known for his strong kicks, but Fighter A has been avoiding them so far. How should Fighter A continue to neutralize Fighter B’s kicks?</t>
  </si>
  <si>
    <t>A) Engage in a clinch to prevent kicking. B) Counter with punches immediately after the kicks. C) Focus on footwork to avoid the kicks. D) Try to catch the kicks and counterattack.</t>
  </si>
  <si>
    <t>B) Counter with punches immediately after the kicks.</t>
  </si>
  <si>
    <t>Fighter A is landing quick jabs, but Fighter B is timing them for counters. How can Fighter A adjust his strategy to avoid being countered?</t>
  </si>
  <si>
    <t>A) Throw fewer jabs. B) Use feints before throwing the jabs. C) Focus on body shots instead. D) Engage in a clinch to slow the pace.</t>
  </si>
  <si>
    <t>B) Use feints before throwing the jabs.</t>
  </si>
  <si>
    <t>Fighter A is starting to tire, and Fighter B is taking control of the match. What should Fighter A do to regain momentum?</t>
  </si>
  <si>
    <t>A) Increase his aggression to regain control. B) Stay defensive and conserve energy. C) Engage in a clinch to slow the pace. D) Look for a knockout punch.</t>
  </si>
  <si>
    <t>Fighter A lands a punch that opens a cut on Fighter B’s face. How should Fighter A proceed?</t>
  </si>
  <si>
    <t>A) Focus on targeting the cut. B) Continue with his original strategy. C) Slow down to conserve energy. D) Engage in a clinch to assess the situation.</t>
  </si>
  <si>
    <t>A) Focus on targeting the cut.</t>
  </si>
  <si>
    <t>Fighter A is dominating the match, but Fighter B is trying to provoke him into making mistakes. How should Fighter A respond?</t>
  </si>
  <si>
    <t>A) Increase his aggression to finish the fight. B) Stay focused and avoid unnecessary risks. C) Engage in a clinch to frustrate Fighter B further. D) Wait for Fighter B to tire out.</t>
  </si>
  <si>
    <t>B) Stay focused and avoid unnecessary risks.</t>
  </si>
  <si>
    <t>Fighter B is known for his powerful overhand right, and Fighter A is trying to avoid it. What should Fighter A do to neutralize this threat?</t>
  </si>
  <si>
    <t>A) Keep moving to avoid being a stationary target. B) Engage in a clinch to prevent the overhand right. C) Use feints to make Fighter B miss. D) Focus on countering after each overhand right.</t>
  </si>
  <si>
    <t>A) Keep moving to avoid being a stationary target.</t>
  </si>
  <si>
    <t>Fighter A has been knocked down twice but is still in the fight. How should Fighter A approach the rest of the match?</t>
  </si>
  <si>
    <t>A) Stay defensive and avoid further knockdowns. B) Increase aggression to turn the fight around. C) Engage in a clinch to slow the pace. D) Focus on counterattacks to regain control.</t>
  </si>
  <si>
    <t>A) Stay defensive and avoid further knockdowns.</t>
  </si>
  <si>
    <t>Fighter A is known for his speed, but Fighter B is stronger. If Fighter A wants to avoid a close-range fight, what strategy should he use?</t>
  </si>
  <si>
    <t>A) Engage in close combat to challenge Fighter B. B) Use quick footwork to stay out of Fighter B's range. C) Focus on defense and wait for Fighter B to tire out. D) Rely on heavy punches to overpower Fighter B.</t>
  </si>
  <si>
    <t>B) Use quick footwork to stay out of Fighter B's range.</t>
  </si>
  <si>
    <t>During a Musti Yuddha match, Fighter A notices that Fighter B is favoring his left leg. How should Fighter A adjust his strategy?</t>
  </si>
  <si>
    <t>A) Target Fighter B's right side to avoid the injury. B) Engage in a clinch to slow the pace of the fight. C) Target the left leg to further weaken Fighter B. D) Focus on landing punches to Fighter B's head.</t>
  </si>
  <si>
    <t>C) Target the left leg to further weaken Fighter B.</t>
  </si>
  <si>
    <t>Fighter A is leading in points, but Fighter B is gaining momentum with aggressive attacks. What should Fighter A do?</t>
  </si>
  <si>
    <t>A) Match Fighter B’s aggression. B) Focus on defense to maintain the lead. C) Engage in a clinch to slow Fighter B down. D) Increase his speed to outmaneuver Fighter B.</t>
  </si>
  <si>
    <t>B) Focus on defense to maintain the lead.</t>
  </si>
  <si>
    <t>Fighter A is significantly taller than Fighter B. How can Fighter B use his shorter height to his advantage?</t>
  </si>
  <si>
    <t>A) Engage in a long-range fight to avoid being hit. B) Use quick, low strikes to unbalance Fighter A. C) Focus on defense and counter when possible. D) Target Fighter A’s head with powerful punches.</t>
  </si>
  <si>
    <t>B) Use quick, low strikes to unbalance Fighter A.</t>
  </si>
  <si>
    <t>In a Musti Yuddha match, Fighter A lands multiple body shots, causing Fighter B to lower his guard. What should Fighter A do next?</t>
  </si>
  <si>
    <t>A) Continue targeting the body. B) Switch to headshots to exploit the lowered guard. C) Focus on defense to avoid counterattacks. D) Slow down to conserve energy for later rounds.</t>
  </si>
  <si>
    <t>Fighter B is throwing wild punches, hoping for a knockout. How should Fighter A respond?</t>
  </si>
  <si>
    <t>A) Match Fighter B’s aggression and throw power punches. B) Stay defensive and avoid unnecessary exchanges. C) Counterattack aggressively to end the match. D) Engage in a clinch to stop Fighter B's momentum.</t>
  </si>
  <si>
    <t>Fighter A notices that Fighter B gets tired after every fast combination. What should Fighter A focus on to exploit this?</t>
  </si>
  <si>
    <t>A) Engage in longer exchanges to tire Fighter B further. B) Focus on landing one powerful punch. C) Wait for Fighter B to tire and then counter. D) Engage in a clinch to slow down the match.</t>
  </si>
  <si>
    <t>A) Engage in longer exchanges to tire Fighter B further.</t>
  </si>
  <si>
    <t>Fighter A's punches aren't making much impact on Fighter B's defense. How should Fighter A adapt?</t>
  </si>
  <si>
    <t>A) Increase the power of his punches. B) Use combinations to break through Fighter B's defense. C) Focus on body shots to weaken Fighter B. D) Wait for an opening in Fighter B's defense.</t>
  </si>
  <si>
    <t>B) Use combinations to break through Fighter B's defense.</t>
  </si>
  <si>
    <t>Fighter B is dodging most of Fighter A’s strikes but is weak on counterattacks. What should Fighter A do to win?</t>
  </si>
  <si>
    <t>A) Throw more feints to create openings. B) Focus on defending to avoid getting hit. C) Slow down the pace of the match. D) Engage in a clinch to control Fighter B.</t>
  </si>
  <si>
    <t>A) Throw more feints to create openings.</t>
  </si>
  <si>
    <t>Fighter A’s stamina is superior, but Fighter B is landing heavier punches. What should Fighter A prioritize?</t>
  </si>
  <si>
    <t>A) Engage in longer exchanges to tire Fighter B. B) Defend and avoid damage while waiting for an opening. C) Focus on counterattacking aggressively. D) Use clinches to slow the fight down.</t>
  </si>
  <si>
    <t>A) Engage in longer exchanges to tire Fighter B.</t>
  </si>
  <si>
    <t>In the final round, Fighter A’s opponent is visibly tired but still dangerous with powerful strikes. What’s Fighter A’s best approach?</t>
  </si>
  <si>
    <t>A) Go for an all-out attack to finish the fight. B) Stay defensive and wait for the right opportunity. C) Engage in a clinch to reduce the danger. D) Match the opponent's power with heavy punches.</t>
  </si>
  <si>
    <t>B) Stay defensive and wait for the right opportunity.</t>
  </si>
  <si>
    <t>Fighter B has been focusing on Fighter A’s head throughout the match. What should Fighter A do to counter this?</t>
  </si>
  <si>
    <t>A) Defend his head more and counterattack to the body. B) Focus on dodging and avoid engaging. C) Engage in a clinch to neutralize Fighter B’s attacks. D) Trade punches head-on to match Fighter B.</t>
  </si>
  <si>
    <t>A) Defend his head more and counterattack to the body.</t>
  </si>
  <si>
    <t>Fighter A’s hands are injured, reducing his punching power. How can Fighter A still win the match?</t>
  </si>
  <si>
    <t>A) Focus on clinching and tiring Fighter B. B) Engage in close combat to neutralize Fighter B’s range. C) Use his footwork and speed to outmaneuver Fighter B. D) Continue punching and hope for a knockout.</t>
  </si>
  <si>
    <t>C) Use his footwork and speed to outmaneuver Fighter B.</t>
  </si>
  <si>
    <t>Fighter A has been taking a defensive approach, but Fighter B is starting to overpower him. What should Fighter A do?</t>
  </si>
  <si>
    <t>A) Switch to a more aggressive approach. B) Stick to defense and hope Fighter B tires. C) Engage in a clinch to slow Fighter B down. D) Wait for an opening and counterattack.</t>
  </si>
  <si>
    <t>A) Switch to a more aggressive approach.</t>
  </si>
  <si>
    <t>Fighter A is behind on points and needs a strong finish to win the match. What’s the best strategy for Fighter A?</t>
  </si>
  <si>
    <t>A) Play it safe and defend. B) Take more risks and throw aggressive combinations. C) Engage in a clinch to conserve energy. D) Focus on counterattacks.</t>
  </si>
  <si>
    <t>B) Take more risks and throw aggressive combinations.</t>
  </si>
  <si>
    <t>Fighter A is faster, but Fighter B has better timing. How should Fighter A adjust to avoid being countered?</t>
  </si>
  <si>
    <t>A) Increase the speed of his punches. B) Use feints to throw off Fighter B’s timing. C) Stay defensive and wait for Fighter B to tire. D) Focus on landing powerful strikes.</t>
  </si>
  <si>
    <t>B) Use feints to throw off Fighter B’s timing.</t>
  </si>
  <si>
    <t>Fighter A is trying to avoid Fighter B’s powerful punches. What should Fighter A focus on?</t>
  </si>
  <si>
    <t>A) Stay out of range and rely on footwork. B) Block the punches and counter immediately. C) Engage in a clinch to neutralize Fighter B’s power. D) Increase aggression to catch Fighter B off guard.</t>
  </si>
  <si>
    <t>A) Stay out of range and rely on footwork.</t>
  </si>
  <si>
    <t>Fighter A is getting frustrated by Fighter B’s defensive style. What should Fighter A do?</t>
  </si>
  <si>
    <t>A) Increase aggression and pressure Fighter B. B) Stay patient and wait for an opening. C) Focus on body shots to weaken Fighter B. D) Engage in a clinch to stop Fighter B’s movement.</t>
  </si>
  <si>
    <t>C) Focus on body shots to weaken Fighter B.</t>
  </si>
  <si>
    <t>Fighter A’s best punches are being blocked by Fighter B, but Fighter B seems fatigued. What should Fighter A do?</t>
  </si>
  <si>
    <t>A) Throw more punches to break through Fighter B’s defense. B) Slow down and conserve energy. C) Wait for Fighter B to make a mistake. D) Engage in a clinch to slow the pace.</t>
  </si>
  <si>
    <t>A) Throw more punches to break through Fighter B’s defense.</t>
  </si>
  <si>
    <t>Fighter A has superior footwork but isn’t landing enough punches. How should Fighter A adjust his strategy?</t>
  </si>
  <si>
    <t>A) Focus more on defense. B) Increase the volume of punches thrown. C) Stay at a distance and avoid engagement. D) Engage in a clinch to force close combat.</t>
  </si>
  <si>
    <t>B) Increase the volume of punches thrown.</t>
  </si>
  <si>
    <t>Fighter A is much quicker than Fighter B, who relies on strength. What should Fighter A's strategy be to win?</t>
  </si>
  <si>
    <t>A) Engage in close-range combat. B) Use footwork and speed to outmaneuver Fighter B. C) Focus on defense and counter-attacks. D) Match Fighter B's power with heavy strikes.</t>
  </si>
  <si>
    <t>B) Use footwork and speed to outmaneuver Fighter B.</t>
  </si>
  <si>
    <t>Fighter B is known for his quick recovery after every heavy punch. How should Fighter A adjust his approach?</t>
  </si>
  <si>
    <t>A) Focus on a constant attack to wear him down. B) Wait for Fighter B to tire before attacking. C) Engage in short bursts of heavy strikes. D) Defend against his punches and look for counters.</t>
  </si>
  <si>
    <t>A) Focus on a constant attack to wear him down.</t>
  </si>
  <si>
    <t>Fighter A has just landed a strong punch that shook Fighter B. How should Fighter A proceed?</t>
  </si>
  <si>
    <t>A) Increase aggression and try to finish the fight. B) Stay cautious and wait for more openings. C) Defend to avoid counterattacks. D) Slow the pace of the fight to conserve energy.</t>
  </si>
  <si>
    <t>A) Increase aggression and try to finish the fight.</t>
  </si>
  <si>
    <t>Fighter A’s punches are less powerful, but he is quicker than Fighter B. How should Fighter A adjust his tactics?</t>
  </si>
  <si>
    <t>A) Focus on quick combinations to overwhelm Fighter B. B) Go for powerful punches to end the fight quickly. C) Engage in a clinch to stop Fighter B's advances. D) Defend and avoid close combat.</t>
  </si>
  <si>
    <t>A) Focus on quick combinations to overwhelm Fighter B.</t>
  </si>
  <si>
    <t>Fighter B keeps using the same combination, and Fighter A is struggling to defend. What should Fighter A do?</t>
  </si>
  <si>
    <t>A) Wait for an opening to counter the combination. B) Engage in a clinch to disrupt Fighter B’s rhythm. C) Increase aggression to stop Fighter B. D) Keep defending and hope Fighter B gets tired.</t>
  </si>
  <si>
    <t>B) Engage in a clinch to disrupt Fighter B’s rhythm.</t>
  </si>
  <si>
    <t>Fighter A has injured his right hand, which reduces his punching power. What should he do?</t>
  </si>
  <si>
    <t>A) Focus on defense and wait for an opportunity. B) Use his left hand for jabs and defensive strikes. C) Engage in a clinch to slow the fight down. D) Continue using his right hand and hope for a knockout.</t>
  </si>
  <si>
    <t>B) Use his left hand for jabs and defensive strikes.</t>
  </si>
  <si>
    <t>Fighter A is dominating the fight, but Fighter B lands a surprise punch that shakes Fighter A. What should Fighter A do?</t>
  </si>
  <si>
    <t>A) Increase aggression to regain control. B) Stay defensive and recover. C) Engage in a clinch to slow the pace. D) Retreat and reassess his strategy.</t>
  </si>
  <si>
    <t>B) Stay defensive and recover.</t>
  </si>
  <si>
    <t>Fighter A is taller with a longer reach, but Fighter B is stronger in close combat. What should Fighter A do to maintain his advantage?</t>
  </si>
  <si>
    <t>A) Keep the fight at a distance. B) Engage in close combat to test Fighter B. C) Stay on the defensive and wait for openings. D) Increase his aggression to finish the fight early.</t>
  </si>
  <si>
    <t>A) Keep the fight at a distance.</t>
  </si>
  <si>
    <t>Fighter B is landing body shots and weakening Fighter A. How should Fighter A respond?</t>
  </si>
  <si>
    <t>A) Defend his body and wait for an opening to counter. B) Focus on defending his head. C) Engage in a clinch to stop the body shots. D) Increase aggression to stop Fighter B’s attacks.</t>
  </si>
  <si>
    <t>A) Defend his body and wait for an opening to counter.</t>
  </si>
  <si>
    <t>Fighter A notices that Fighter B is starting to slow down. What should Fighter A do to capitalize?</t>
  </si>
  <si>
    <t>A) Increase the pace of the fight and attack. B) Stay defensive to avoid a counter. C) Engage in a clinch to further wear down Fighter B. D) Slow down the pace to conserve energy.</t>
  </si>
  <si>
    <t>A) Increase the pace of the fight and attack.</t>
  </si>
  <si>
    <t>Fighter A has been leading on points, but Fighter B lands a powerful punch that stuns him. What should Fighter A do?</t>
  </si>
  <si>
    <t>A) Increase his defense to avoid further damage. B) Go for an all-out attack to regain control. C) Engage in a clinch to recover. D) Retreat and wait for an opening.</t>
  </si>
  <si>
    <t>A) Increase his defense to avoid further damage.</t>
  </si>
  <si>
    <t>Fighter B is known for powerful hooks, and Fighter A needs to avoid getting hit by them. What should Fighter A do?</t>
  </si>
  <si>
    <t>A) Focus on head movement and footwork. B) Engage in a clinch to stop Fighter B’s punches. C) Defend and wait for Fighter B to tire out. D) Throw jabs to keep Fighter B at a distance.</t>
  </si>
  <si>
    <t>A) Focus on head movement and footwork.</t>
  </si>
  <si>
    <t>Fighter A’s best weapon is his jab, but Fighter B is countering it with overhand punches. How should Fighter A adjust?</t>
  </si>
  <si>
    <t>A) Stop using the jab and focus on defense. B) Increase the frequency of jabs to keep Fighter B at bay. C) Use feints to draw out Fighter B's counters. D) Engage in a clinch to reduce Fighter B’s counter opportunities.</t>
  </si>
  <si>
    <t>C) Use feints to draw out Fighter B's counters.</t>
  </si>
  <si>
    <t>Fighter A is a counterpuncher, but Fighter B is not giving him any openings. What should Fighter A do?</t>
  </si>
  <si>
    <t>A) Increase aggression to create openings. B) Wait for Fighter B to tire and then counter. C) Engage in a clinch to frustrate Fighter B. D) Switch to a defensive approach and wait for mistakes.</t>
  </si>
  <si>
    <t>A) Increase aggression to create openings.</t>
  </si>
  <si>
    <t>Fighter A is leading on points, but Fighter B has knockout power. How should Fighter A proceed?</t>
  </si>
  <si>
    <t>A) Defend and avoid getting caught by a big punch. B) Increase aggression to overwhelm Fighter B. C) Engage in a clinch to stop Fighter B's attacks. D) Slow the pace and conserve energy.</t>
  </si>
  <si>
    <t>A) Defend and avoid getting caught by a big punch.</t>
  </si>
  <si>
    <t>Fighter A is being pressed against the ropes by Fighter B. What should Fighter A do?</t>
  </si>
  <si>
    <t>A) Increase aggression to get off the ropes. B) Use head movement and footwork to escape. C) Engage in a clinch to slow down the fight. D) Defend and hope for a referee break.</t>
  </si>
  <si>
    <t>B) Use head movement and footwork to escape.</t>
  </si>
  <si>
    <t>Fighter B is attacking with a series of body shots. How should Fighter A defend?</t>
  </si>
  <si>
    <t>A) Block the body and counterattack. B) Engage in a clinch to stop the body shots. C) Focus on head movement to avoid the punches. D) Increase aggression to make Fighter B stop.</t>
  </si>
  <si>
    <t>A) Block the body and counterattack.</t>
  </si>
  <si>
    <t>Fighter A is losing on points but is still in the fight. What should he do in the final round?</t>
  </si>
  <si>
    <t>A) Take more risks and go for a knockout. B) Stay defensive and avoid further damage. C) Engage in a clinch to slow the fight down. D) Focus on body shots to wear down Fighter B.</t>
  </si>
  <si>
    <t>A) Take more risks and go for a knockout.</t>
  </si>
  <si>
    <t>A) Increase aggression and apply more pressure. B) Stay patient and wait for an opening. C) Focus on body shots to weaken Fighter B. D) Engage in a clinch to stop Fighter B's movement.</t>
  </si>
  <si>
    <t>Fighter A is faster but keeps getting caught by Fighter B’s counterpunches. What should Fighter A do?</t>
  </si>
  <si>
    <t>A) Slow down the pace to avoid counterattacks. B) Increase his punch volume to overwhelm Fighter B. C) Focus on defense and counter Fighter B’s counters. D) Engage in a clinch to reduce Fighter B’s counters.</t>
  </si>
  <si>
    <t>B) Increase his punch volume to overwhelm Fighter B.</t>
  </si>
  <si>
    <t>Fighter B is using his strength to push Fighter A into the corners. How should Fighter A counter this?</t>
  </si>
  <si>
    <t>A) Engage in a clinch to prevent being cornered. B) Use footwork and quick movement to stay in the center. C) Defend against Fighter B’s advances and wait for counters. D) Increase aggression to avoid being pushed back.</t>
  </si>
  <si>
    <t>B) Use footwork and quick movement to stay in the center.</t>
  </si>
  <si>
    <t>Fighter A is landing precise punches, but Fighter B has excellent stamina and can endure long battles. What should Fighter A focus on?</t>
  </si>
  <si>
    <t>A) Continue throwing precise punches to weaken Fighter B. B) Engage in a clinch to slow down Fighter B. C) Conserve energy for later rounds. D) Defend more to avoid being worn down.</t>
  </si>
  <si>
    <t>A) Continue throwing precise punches to weaken Fighter B.</t>
  </si>
  <si>
    <t>Fighter B has the height advantage, constantly landing punches from a distance. How should Fighter A close the gap?</t>
  </si>
  <si>
    <t>A) Use head movement and rush inside for close combat. B) Engage in a clinch to nullify the reach advantage. C) Defend until Fighter B makes a mistake. D) Stay back and focus on counterattacks.</t>
  </si>
  <si>
    <t>A) Use head movement and rush inside for close combat.</t>
  </si>
  <si>
    <t>Fighter A is great at body shots, but Fighter B is defending well and tiring Fighter A out. What should Fighter A do?</t>
  </si>
  <si>
    <t>A) Switch targets and go for head punches. B) Increase the frequency of body shots. C) Focus on defense and let Fighter B attack. D) Engage in a clinch to slow down the fight.</t>
  </si>
  <si>
    <t>A) Switch targets and go for head punches.</t>
  </si>
  <si>
    <t>Fighter A is winning on points, but Fighter B is getting more aggressive in the final round. How should Fighter A proceed?</t>
  </si>
  <si>
    <t>A) Defend and maintain the lead. B) Increase aggression to match Fighter B. C) Engage in a clinch to reduce the pace. D) Stay back and counterattack.</t>
  </si>
  <si>
    <t>A) Defend and maintain the lead.</t>
  </si>
  <si>
    <t>Fighter B is known for delivering devastating uppercuts. How should Fighter A avoid this attack?</t>
  </si>
  <si>
    <t>A) Stay on the outside and avoid close combat. B) Engage in a clinch to stop the uppercuts. C) Defend and wait for an opening. D) Increase aggression to disrupt Fighter B's rhythm.</t>
  </si>
  <si>
    <t>A) Stay on the outside and avoid close combat.</t>
  </si>
  <si>
    <t>Fighter A is using a lot of feints to confuse Fighter B, but Fighter B isn’t falling for them. What should Fighter A do?</t>
  </si>
  <si>
    <t>A) Increase punch frequency and mix up combinations. B) Focus on defense and wait for Fighter B to attack. C) Stop using feints and attack directly. D) Engage in a clinch to disrupt Fighter B.</t>
  </si>
  <si>
    <t>A) Increase punch frequency and mix up combinations.</t>
  </si>
  <si>
    <t>Fighter B has been pressuring Fighter A for the majority of the fight, and Fighter A is getting tired. How should Fighter A adjust?</t>
  </si>
  <si>
    <t>A) Defend and counterattack when possible. B) Engage in a clinch to slow the fight down. C) Increase aggression and try to finish the fight quickly. D) Focus on head movement to avoid punches.</t>
  </si>
  <si>
    <t>B) Engage in a clinch to slow the fight down.</t>
  </si>
  <si>
    <t>Fighter A has a better defense, but Fighter B is stronger offensively. How should Fighter A win the match?</t>
  </si>
  <si>
    <t>A) Focus on counterattacking when Fighter B throws punches. B) Engage in a clinch to stop Fighter B's offensive pressure. C) Stay on the defensive and wait for Fighter B to tire out. D) Increase aggression to match Fighter B's strength.</t>
  </si>
  <si>
    <t>A) Focus on counterattacking when Fighter B throws punches.</t>
  </si>
  <si>
    <t>Fighter A is ahead on points, but Fighter B's power is dangerous. What should Fighter A do in the final round?</t>
  </si>
  <si>
    <t>A) Defend carefully and avoid Fighter B's power punches. B) Engage in a clinch to limit Fighter B's attacks. C) Increase aggression to finish the fight. D) Stay at a distance and throw jabs.</t>
  </si>
  <si>
    <t>A) Defend carefully and avoid Fighter B's power punches.</t>
  </si>
  <si>
    <t>Fighter A's punches are quick but less powerful, while Fighter B's punches are slower but much stronger. How should Fighter A approach the fight?</t>
  </si>
  <si>
    <t>A) Focus on quick combinations and avoid prolonged exchanges. B) Defend and wait for Fighter B to tire out. C) Engage in a clinch to stop Fighter B's power shots. D) Match Fighter B's strength with heavier punches.</t>
  </si>
  <si>
    <t>A) Focus on quick combinations and avoid prolonged exchanges.</t>
  </si>
  <si>
    <t>Fighter B is using a defensive style that is hard to break through. What should Fighter A do?</t>
  </si>
  <si>
    <t>A) Focus on body shots to break Fighter B’s defense. B) Stay patient and wait for an opening. C) Increase aggression and try to overwhelm Fighter B. D) Engage in a clinch to disrupt Fighter B's rhythm.</t>
  </si>
  <si>
    <t>A) Focus on body shots to break Fighter B’s defense.</t>
  </si>
  <si>
    <t>Fighter A is being pushed towards the ropes, and Fighter B is increasing pressure. What should Fighter A do to escape?</t>
  </si>
  <si>
    <t>A) Use footwork and movement to circle away from the ropes. B) Engage in a clinch to stop Fighter B’s advances. C) Increase aggression and punch back immediately. D) Defend and wait for the referee to intervene.</t>
  </si>
  <si>
    <t>A) Use footwork and movement to circle away from the ropes.</t>
  </si>
  <si>
    <t>Fighter B is consistently throwing strong combinations, but Fighter A is struggling to defend. What should Fighter A do?</t>
  </si>
  <si>
    <t>A) Engage in a clinch to reduce Fighter B's attacks. B) Focus on head movement to avoid punches. C) Defend and counterattack when Fighter B finishes a combination. D) Increase aggression to disrupt Fighter B's rhythm.</t>
  </si>
  <si>
    <t>C) Defend and counterattack when Fighter B finishes a combination.</t>
  </si>
  <si>
    <t>Fighter A’s footwork is quicker, but Fighter B is much stronger in close-range combat. What should Fighter A focus on?</t>
  </si>
  <si>
    <t>A) Stay on the outside and use footwork to avoid close combat. B) Engage in a clinch to reduce Fighter B’s power. C) Focus on defense and counterattack when possible. D) Increase aggression to match Fighter B's strength.</t>
  </si>
  <si>
    <t>A) Stay on the outside and use footwork to avoid close combat.</t>
  </si>
  <si>
    <t>Fighter B is using head movement to avoid Fighter A's punches. How should Fighter A adjust?</t>
  </si>
  <si>
    <t>A) Focus on body shots instead of head punches. B) Throw more jabs to keep Fighter B off-balance. C) Engage in a clinch to reduce Fighter B’s movement. D) Increase aggression and aim for power shots.</t>
  </si>
  <si>
    <t>A) Focus on body shots instead of head punches.</t>
  </si>
  <si>
    <t>Fighter A is getting frustrated by Fighter B’s clinching tactics. What should Fighter A do?</t>
  </si>
  <si>
    <t>A) Increase aggression and try to break free from the clinch. B) Focus on body shots during the clinch. C) Stay patient and wait for an opportunity. D) Defend against the clinch and look for counters.</t>
  </si>
  <si>
    <t>B) Focus on body shots during the clinch.</t>
  </si>
  <si>
    <t>Fighter A is quicker on his feet but is being pressured into the corners by Fighter B. How should Fighter A escape?</t>
  </si>
  <si>
    <t>A) Use footwork to move away from the corners. B) Engage in a clinch to stop Fighter B’s advances. C) Defend and wait for the referee to break the action. D) Increase aggression to push Fighter B back.</t>
  </si>
  <si>
    <t>A) Use footwork to move away from the corners.</t>
  </si>
  <si>
    <t>Fighter B is landing powerful hooks, and Fighter A is struggling to defend. What should Fighter A focus on?</t>
  </si>
  <si>
    <t>A) Block the hooks and counterattack. B) Engage in a clinch to reduce Fighter B’s power. C) Increase head movement to avoid the hooks. D) Throw jabs to keep Fighter B at a distance.</t>
  </si>
  <si>
    <t>C) Increase head movement to avoid the hooks.</t>
  </si>
  <si>
    <t>Fighter A is leading on points, but Fighter B is going for a knockout. How should Fighter A proceed?</t>
  </si>
  <si>
    <t>A) Defend and avoid risky exchanges. B) Increase aggression to stop Fighter B’s attacks. C) Engage in a clinch to reduce Fighter B’s power. D) Stay back and throw counter punches.</t>
  </si>
  <si>
    <t>A) Defend and avoid risky exchanges.</t>
  </si>
  <si>
    <t>In a game of Lagori, Player A hits the ball and it lands outside the boundary line. What is the immediate consequence for Player A's team?</t>
  </si>
  <si>
    <t>A) The team loses their turn and the other team gets a point. , B) The team gains a point. , C) The team continues playing without any penalty. , D) The game is paused until the ball is retrieved.</t>
  </si>
  <si>
    <t>A) The team loses their turn and the other team gets a point.</t>
  </si>
  <si>
    <t>During a Lagori match, Team X successfully knocks down all the 7 stones. What must Team X do next to win the game?</t>
  </si>
  <si>
    <t>A) Team X must prevent Team Y from restoring the stones. , B) Team X must immediately restore the stones themselves. , C) Team X must call for a timeout. , D) Team X must score more points than Team Y.</t>
  </si>
  <si>
    <t>A) Team X must prevent Team Y from restoring the stones.</t>
  </si>
  <si>
    <t>In a Lagori game, Player B is about to throw the ball to knock down the stones. If Player B misses the stones but hits Player C, what happens next?</t>
  </si>
  <si>
    <t>A) Player C is out and must leave the field. , B) The ball is given to the other team. , C) Player B gets another chance to throw. , D) The game continues without any penalty.</t>
  </si>
  <si>
    <t>B) The ball is given to the other team.</t>
  </si>
  <si>
    <t>If a Lagori game is played with two teams and Team A finishes their turn without knocking down any stones, what is the penalty?</t>
  </si>
  <si>
    <t>A) Team A loses their turn and Team B gets a chance to throw. , B) Team A must restore all the stones. , C) Team A is given an extra turn. , D) Team A loses a point.</t>
  </si>
  <si>
    <t>A) Team A loses their turn and Team B gets a chance to throw.</t>
  </si>
  <si>
    <t>In Lagori, how many stones are traditionally used in a standard game?</t>
  </si>
  <si>
    <t>A) 5 , B) 7 , C) 9 , D) 11</t>
  </si>
  <si>
    <t>If a Lagori game ends with both teams having the same number of points, what is the standard procedure?</t>
  </si>
  <si>
    <t>A) The game is declared a draw. , B) An additional round is played to determine the winner. , C) The team with the most knocks wins. , D) The game continues until one team scores more points.</t>
  </si>
  <si>
    <t>B) An additional round is played to determine the winner.</t>
  </si>
  <si>
    <t>In a Lagori game, if a player is hit by the ball but the ball did not hit any stones, what is the ruling?</t>
  </si>
  <si>
    <t>A) The player is out and must leave the field. , B) The game continues without any penalty. , C) The player who threw the ball is out. , D) The stones must be restored.</t>
  </si>
  <si>
    <t>B) The game continues without any penalty.</t>
  </si>
  <si>
    <t>During a Lagori match, if the ball hits the stones but fails to knock them down, what should happen next?</t>
  </si>
  <si>
    <t>A) The ball is given to the other team. , B) The stones are immediately restored. , C) The player who threw the ball is out. , D) The game is paused.</t>
  </si>
  <si>
    <t>A) The ball is given to the other team.</t>
  </si>
  <si>
    <t>In Lagori, if a player is caught cheating by deliberately hitting their own team members with the ball, what is the standard penalty?</t>
  </si>
  <si>
    <t>A) The team loses their turn. , B) The team is disqualified from the match. , C) The player is out. , D) The game is restarted.</t>
  </si>
  <si>
    <t>A) The team loses their turn.</t>
  </si>
  <si>
    <t>What is the primary objective of the attacking team in Lagori?</t>
  </si>
  <si>
    <t>A) To knock down all the stones and prevent the opposing team from restoring them. , B) To hit all opposing players with the ball. , C) To score points by hitting the ball into the goal. , D) To defend their base from the ball.</t>
  </si>
  <si>
    <t>A) To knock down all the stones and prevent the opposing team from restoring them.</t>
  </si>
  <si>
    <t>When a player from the defending team successfully restores all the stones in Lagori, what is the immediate impact on the attacking team?</t>
  </si>
  <si>
    <t>A) The attacking team must start their turn again. , B) The attacking team loses a point. , C) The attacking team gains an extra turn. , D) The defending team gets to throw the ball again.</t>
  </si>
  <si>
    <t>A) The attacking team must start their turn again.</t>
  </si>
  <si>
    <t>In Lagori, if a stone is accidentally kicked by a player while retrieving the ball, what should happen?</t>
  </si>
  <si>
    <t>A) The stone is placed back in its original position. , B) The game is paused for a reorganization. , C) The player is penalized with an extra turn. , D) The stone is removed from the game.</t>
  </si>
  <si>
    <t>A) The stone is placed back in its original position.</t>
  </si>
  <si>
    <t>In a Lagori game, what is the correct term for the action of knocking down the stones with the ball?</t>
  </si>
  <si>
    <t>A) Striking , B) Hitting , C) Scoring , D) Knocking</t>
  </si>
  <si>
    <t>D) Knocking</t>
  </si>
  <si>
    <t>In Lagori, if a player from the attacking team hits a stone but fails to knock it down, what is the consequence?</t>
  </si>
  <si>
    <t>A) The attacking team loses their turn. , B) The stone is removed from the game. , C) The player gets another chance. , D) The game is restarted.</t>
  </si>
  <si>
    <t>A) The attacking team loses their turn.</t>
  </si>
  <si>
    <t>What is the role of the defending team in Lagori?</t>
  </si>
  <si>
    <t>A) To restore the knocked-down stones before the attacking team can throw again. , B) To knock down all the stones. , C) To catch the ball thrown by the attacking team. , D) To score points by hitting the ball.</t>
  </si>
  <si>
    <t>A) To restore the knocked-down stones before the attacking team can throw again.</t>
  </si>
  <si>
    <t>In Lagori, if the ball is caught by the defending team before it hits the stones, what is the ruling?</t>
  </si>
  <si>
    <t>A) The attacking team loses their turn. , B) The defending team must restore the stones. , C) The ball is thrown back to the attacking team. , D) The game is paused.</t>
  </si>
  <si>
    <t>How many rounds are typically played in a standard Lagori match?</t>
  </si>
  <si>
    <t>A) 3 , B) 5 , C) 7 , D) 9</t>
  </si>
  <si>
    <t>B) 5</t>
  </si>
  <si>
    <t>In Lagori, what happens if the ball is thrown and does not make contact with any player or stones?</t>
  </si>
  <si>
    <t>A) The turn is forfeited. , B) The ball is given to the defending team. , C) The game is paused. , D) The thrower gets an extra chance.</t>
  </si>
  <si>
    <t>A) The turn is forfeited.</t>
  </si>
  <si>
    <t>If a Lagori game is interrupted by weather conditions, what is the standard procedure?</t>
  </si>
  <si>
    <t>A) The game is paused until conditions improve. , B) The game is canceled. , C) The game continues under the new conditions. , D) The game is restarted.</t>
  </si>
  <si>
    <t>A) The game is paused until conditions improve.</t>
  </si>
  <si>
    <t>In Lagori, if a player accidentally hits a stone while aiming for the ball, what should happen?</t>
  </si>
  <si>
    <t>A) The stone is replaced and the turn is forfeited. , B) The player is out. , C) The turn continues without penalty. , D) The stones are removed from the field.</t>
  </si>
  <si>
    <t>A) The stone is replaced and the turn is forfeited.</t>
  </si>
  <si>
    <t>During a Lagori match, what is the key to success for the attacking team?</t>
  </si>
  <si>
    <t>A) Precision in knocking down stones and quick reaction to prevent restoration. , B) Hitting the ball hard. , C) Avoiding hitting the defending team. , D) Restoring the stones quickly.</t>
  </si>
  <si>
    <t>A) Precision in knocking down stones and quick reaction to prevent restoration.</t>
  </si>
  <si>
    <t>In Lagori, if the ball is thrown and hits the stones but does not knock them down, what is the immediate consequence?</t>
  </si>
  <si>
    <t>A) The defending team gets a chance to throw. , B) The attacking team loses their turn. , C) The stones are reset. , D) The game is paused.</t>
  </si>
  <si>
    <t>B) The attacking team loses their turn.</t>
  </si>
  <si>
    <t>During a Lagori match, Player A throws the ball, and it hits a stone but the stone does not fall. What happens next?</t>
  </si>
  <si>
    <t>A) The ball is given to the other team. , B) Player A gets another chance to throw. , C) The game continues without any penalty. , D) The stone is removed from the game.</t>
  </si>
  <si>
    <t>In Lagori, if a player throws the ball and it hits one of their own team members before hitting any stones, what is the ruling?</t>
  </si>
  <si>
    <t>A) The player is out. , B) The turn is forfeited. , C) The game continues. , D) The stones are reset.</t>
  </si>
  <si>
    <t>B) The turn is forfeited.</t>
  </si>
  <si>
    <t>In a Lagori game, if the ball is caught by a member of the defending team before it hits the ground, what happens next?</t>
  </si>
  <si>
    <t>A) The attacking team loses their turn. , B) The ball is thrown back to the attacking team. , C) The game is paused. , D) The defending team gets to throw next.</t>
  </si>
  <si>
    <t>During a Lagori match, if a stone is knocked down but a player from the attacking team touches it before the defending team restores it, what happens?</t>
  </si>
  <si>
    <t>A) The stone is replaced and the turn is forfeited. , B) The stone remains down. , C) The defending team gets a point. , D) The attacking team gets another chance.</t>
  </si>
  <si>
    <t>In Lagori, if a player successfully restores all the stones and their team still has possession of the ball, what is the next step?</t>
  </si>
  <si>
    <t>A) The attacking team continues their turn. , B) The defending team gets the ball. , C) The game is paused. , D) The attacking team loses their turn.</t>
  </si>
  <si>
    <t>A) The attacking team continues their turn.</t>
  </si>
  <si>
    <t>If a Lagori game ends with the stones still scattered and no team able to restore them, what is the ruling?</t>
  </si>
  <si>
    <t>A) The game is declared a draw. , B) The game is restarted. , C) The defending team is declared the winner. , D) The attacking team is declared the winner.</t>
  </si>
  <si>
    <t>A) The game is declared a draw.</t>
  </si>
  <si>
    <t>In Lagori, what happens if a player from the defending team throws the ball and accidentally hits a stone, but the stone is not knocked down?</t>
  </si>
  <si>
    <t>A) The attacking team loses their turn. , B) The defending team gets another chance to throw. , C) The game continues without penalty. , D) The stone is removed from play.</t>
  </si>
  <si>
    <t>C) The game continues without penalty.</t>
  </si>
  <si>
    <t>During a Lagori match, if the ball is thrown and lands on the edge of the playing field without hitting any stones, what should be done?</t>
  </si>
  <si>
    <t>A) The turn is forfeited. , B) The ball is given to the defending team. , C) The ball is thrown back into play. , D) The game is paused.</t>
  </si>
  <si>
    <t>In Lagori, if a player from the defending team successfully catches the ball while it is in mid-air, what happens next?</t>
  </si>
  <si>
    <t>A) The attacking team loses their turn. , B) The ball is given to the attacking team. , C) The game is paused. , D) The defending team gets to throw next.</t>
  </si>
  <si>
    <t>In a Lagori game, if the ball is thrown and bounces before hitting any stones, what is the ruling?</t>
  </si>
  <si>
    <t>A) The ball is considered out of play and the turn is forfeited. , B) The stones are restored. , C) The ball is thrown again. , D) The game continues without penalty.</t>
  </si>
  <si>
    <t>A) The ball is considered out of play and the turn is forfeited.</t>
  </si>
  <si>
    <t>If a Lagori game is tied with both teams having the same number of points, what is typically done to resolve the tie?</t>
  </si>
  <si>
    <t>A) An additional round is played. , B) The game is declared a draw. , C) The team with the most successful throws wins. , D) The game is restarted from the beginning.</t>
  </si>
  <si>
    <t>A) An additional round is played.</t>
  </si>
  <si>
    <t>In Lagori, if a player throws the ball and hits the stones but only a few fall, what happens next?</t>
  </si>
  <si>
    <t>A) The turn is forfeited. , B) The defending team must restore the fallen stones. , C) The attacking team gets another chance to throw. , D) The game is paused.</t>
  </si>
  <si>
    <t>B) The defending team must restore the fallen stones.</t>
  </si>
  <si>
    <t>During a Lagori match, if the stones are accidentally moved by a spectator, what is the correct course of action?</t>
  </si>
  <si>
    <t>A) The stones are returned to their original positions and the game continues. , B) The game is paused for a reorganization. , C) The game is restarted. , D) The spectator is asked to leave.</t>
  </si>
  <si>
    <t>A) The stones are returned to their original positions and the game continues.</t>
  </si>
  <si>
    <t>In Lagori, if a player from the attacking team is injured while retrieving the ball, what should be done?</t>
  </si>
  <si>
    <t>A) The game is paused until the player is able to continue. , B) The game continues with a substitute player. , C) The attacking team loses their turn. , D) The injured player is out and cannot return.</t>
  </si>
  <si>
    <t>A) The game is paused until the player is able to continue.</t>
  </si>
  <si>
    <t>What is the primary strategy for the attacking team in Lagori to be successful?</t>
  </si>
  <si>
    <t>A) To knock down as many stones as possible and prevent the defending team from restoring them. , B) To hit the ball as hard as possible. , C) To distract the defending team. , D) To avoid hitting any players.</t>
  </si>
  <si>
    <t>A) To knock down as many stones as possible and prevent the defending team from restoring them.</t>
  </si>
  <si>
    <t>In Lagori, if the ball is thrown and lands on a stone without knocking it down, what is the result?</t>
  </si>
  <si>
    <t>A) The attacking team loses their turn. , B) The ball is given to the defending team. , C) The stone is removed from the game. , D) The game is paused.</t>
  </si>
  <si>
    <t>If a player from the defending team manages to catch the ball thrown by the attacking team before it hits the stones, what happens next?</t>
  </si>
  <si>
    <t>A) The attacking team loses their turn. , B) The ball is thrown again by the attacking team. , C) The defending team gets an additional point. , D) The stones are reset.</t>
  </si>
  <si>
    <t>During a Lagori match, if the ball hits a stone and causes it to wobble but not fall, what should happen?</t>
  </si>
  <si>
    <t>A) The turn is forfeited. , B) The stone remains in its position. , C) The game is paused. , D) The stone is removed from the game.</t>
  </si>
  <si>
    <t>B) The stone remains in its position.</t>
  </si>
  <si>
    <t>In a Lagori game, if a stone is knocked down and then accidentally kicked by a player, what is the procedure?</t>
  </si>
  <si>
    <t>A) The stone is replaced and the turn is forfeited. , B) The stone is left as it is. , C) The player is penalized with an additional turn. , D) The game continues without penalty.</t>
  </si>
  <si>
    <t>In Lagori, if a player from the attacking team successfully knocks down all the stones, what is the next step for the defending team?</t>
  </si>
  <si>
    <t>A) The defending team must restore all the stones before the attacking team can throw again. , B) The defending team is out. , C) The game is paused for a reorganization. , D) The defending team gets to throw the ball.</t>
  </si>
  <si>
    <t>A) The defending team must restore all the stones before the attacking team can throw again.</t>
  </si>
  <si>
    <t>If a Lagori game is played and the ball is thrown and lands in a location where it cannot be retrieved easily, what should happen?</t>
  </si>
  <si>
    <t>A) The game is paused and the ball is retrieved. , B) The ball is considered out of play and the turn is forfeited. , C) The ball is replaced with a new one. , D) The game continues without any action.</t>
  </si>
  <si>
    <t>B) The ball is considered out of play and the turn is forfeited.</t>
  </si>
  <si>
    <t>In a Lagori match, if the attacking team is able to knock down all the stones but fails to prevent the defending team from restoring them, what happens next?</t>
  </si>
  <si>
    <t>A) The defending team gets a chance to throw. , B) The attacking team continues their turn. , C) The game is paused for a review. , D) The attacking team loses a point.</t>
  </si>
  <si>
    <t>A) The defending team gets a chance to throw.</t>
  </si>
  <si>
    <t>If a stone in Lagori is knocked down and the ball hits it again, what should be done?</t>
  </si>
  <si>
    <t>A) The stone remains down. , B) The stone is restored to its original position. , C) The ball is considered out of play. , D) The game is paused.</t>
  </si>
  <si>
    <t>B) The stone is restored to its original position.</t>
  </si>
  <si>
    <t>During a Lagori match, if a player from the attacking team throws the ball and it lands outside the boundary without hitting any stones, what is the consequence?</t>
  </si>
  <si>
    <t>A) The attacking team loses their turn. , B) The ball is given to the defending team. , C) The game is restarted. , D) The game is paused.</t>
  </si>
  <si>
    <t>In Lagori, if a player from the defending team touches a stone before it is fully restored, what should be the ruling?</t>
  </si>
  <si>
    <t>A) The stone is replaced and the turn is forfeited. , B) The player is out. , C) The game continues without penalty. , D) The stone is removed from the game.</t>
  </si>
  <si>
    <t>If a player from the attacking team manages to knock down all the stones but the ball lands outside the play area, what happens next?</t>
  </si>
  <si>
    <t>A) The defending team restores the stones and gets to throw next. , B) The attacking team gets an additional turn. , C) The game is paused. , D) The attacking team loses their turn.</t>
  </si>
  <si>
    <t>A) The defending team restores the stones and gets to throw next.</t>
  </si>
  <si>
    <t>In Lagori, if the ball is thrown and hits a stone but the stone falls into an out-of-bounds area, what should be done?</t>
  </si>
  <si>
    <t>A) The stone is replaced and the game continues. , B) The stone is removed from play. , C) The stone is considered down and the game is paused. , D) The ball is given to the defending team.</t>
  </si>
  <si>
    <t>A) The stone is replaced and the game continues.</t>
  </si>
  <si>
    <t>During a Lagori game, if a player from the defending team successfully catches the ball but does not knock down any stones, what happens next?</t>
  </si>
  <si>
    <t>A) The attacking team loses their turn. , B) The defending team gets another chance to throw. , C) The game continues without any penalty. , D) The ball is given to the attacking team.</t>
  </si>
  <si>
    <t>In a Lagori match, if the ball is thrown and lands on a stone without knocking it down, what is the impact on the defending team?</t>
  </si>
  <si>
    <t>A) The defending team must restore the stone. , B) The defending team gets an additional point. , C) The game is paused. , D) The stone is removed from the game.</t>
  </si>
  <si>
    <t>A) The defending team must restore the stone.</t>
  </si>
  <si>
    <t>If a Lagori game ends and the stones are not all restored, what is the typical ruling?</t>
  </si>
  <si>
    <t>A) The game is declared incomplete and may be replayed. , B) The defending team is declared the winner. , C) The attacking team is declared the winner. , D) The game is restarted from the beginning.</t>
  </si>
  <si>
    <t>A) The game is declared incomplete and may be replayed.</t>
  </si>
  <si>
    <t>In Lagori, if a stone is knocked down and a player from the attacking team accidentally steps on it before it is restored, what happens?</t>
  </si>
  <si>
    <t>A) The stone is replaced and the turn is forfeited. , B) The stone is left down. , C) The player is out. , D) The game continues without penalty.</t>
  </si>
  <si>
    <t>During a Lagori match, if a player throws the ball and it hits the ground before hitting any stones, what is the consequence?</t>
  </si>
  <si>
    <t>A) The turn is forfeited. , B) The ball is thrown again. , C) The game is paused. , D) The defending team gets a chance to throw.</t>
  </si>
  <si>
    <t>In Lagori, if the ball is thrown and lands on the boundary line without hitting any stones, what is the ruling?</t>
  </si>
  <si>
    <t>A) The turn is considered invalid and forfeited. , B) The ball is given to the defending team. , C) The game continues. , D) The stones are restored.</t>
  </si>
  <si>
    <t>A) The turn is considered invalid and forfeited.</t>
  </si>
  <si>
    <t>If a Lagori game is interrupted due to a player dispute, what is the usual resolution?</t>
  </si>
  <si>
    <t>A) The game is paused and the dispute is resolved by the referee. , B) The game is canceled. , C) The team involved in the dispute is disqualified. , D) The game continues without resolution.</t>
  </si>
  <si>
    <t>A) The game is paused and the dispute is resolved by the referee.</t>
  </si>
  <si>
    <t>In Lagori, if a stone is knocked down but a player from the attacking team touches it before the defending team restores it, what happens next?</t>
  </si>
  <si>
    <t>A) The stone is replaced and the attacking team loses their turn. , B) The stone remains down. , C) The player is penalized with an additional turn. , D) The game continues without penalty.</t>
  </si>
  <si>
    <t>A) The stone is replaced and the attacking team loses their turn.</t>
  </si>
  <si>
    <t>During a Lagori match, if the stones are not all restored by the end of a round, what is the ruling?</t>
  </si>
  <si>
    <t>A) The game continues with the stones remaining as is. , B) The game is paused and the stones are restored. , C) The game is declared incomplete. , D) The defending team is declared the winner.</t>
  </si>
  <si>
    <t>C) The game is declared incomplete.</t>
  </si>
  <si>
    <t>In Lagori, if a player throws the ball and it bounces off the ground before hitting any stones, what is the impact?</t>
  </si>
  <si>
    <t>A) The turn is forfeited. , B) The ball is considered out of play. , C) The game is paused. , D) The stones are reset.</t>
  </si>
  <si>
    <t>If a Lagori game is played and a player is found to be cheating by intentionally hitting the stones with the ball, what is the penalty?</t>
  </si>
  <si>
    <t>A) The team loses their turn. , B) The player is disqualified from the match. , C) The stones are removed from the game. , D) The game is restarted.</t>
  </si>
  <si>
    <t>In a Lagori match, if the ball hits the stones and a stone falls but is immediately caught by a player, what should happen?</t>
  </si>
  <si>
    <t>A) The stone is replaced and the turn is forfeited. , B) The stone remains down. , C) The ball is thrown again. , D) The game is paused.</t>
  </si>
  <si>
    <t>During a Lagori match, if the ball is thrown and lands in a location that is difficult to reach, what is the ruling?</t>
  </si>
  <si>
    <t>A) The turn is forfeited and the ball is retrieved. , B) The game continues without interruption. , C) The ball is replaced with a new one. , D) The game is paused.</t>
  </si>
  <si>
    <t>A) The turn is forfeited and the ball is retrieved.</t>
  </si>
  <si>
    <t>In Lagori, if a player from the defending team successfully catches the ball and the stones are not fully restored, what happens next?</t>
  </si>
  <si>
    <t>A) The attacking team loses their turn and the stones are restored. , B) The defending team gets an additional point. , C) The game continues without penalty. , D) The attacking team gets another chance.</t>
  </si>
  <si>
    <t>A) The attacking team loses their turn and the stones are restored.</t>
  </si>
  <si>
    <t>If a stone in Lagori is knocked down and a player from the attacking team touches it before the defending team has a chance to restore it, what is the outcome?</t>
  </si>
  <si>
    <t>A) The stone is replaced and the turn is forfeited. , B) The stone remains down. , C) The game continues without any penalty. , D) The defending team gets an additional turn.</t>
  </si>
  <si>
    <t>During a Lagori match, if the ball is thrown and it hits the stones but none of them fall, what should be done?</t>
  </si>
  <si>
    <t>A) The turn is considered unsuccessful and forfeited. , B) The stones are reset. , C) The defending team gets a chance to throw. , D) The game is paused.</t>
  </si>
  <si>
    <t>A) The turn is considered unsuccessful and forfeited.</t>
  </si>
  <si>
    <t>In Lagori, if a stone is knocked down and a player from the attacking team accidentally touches it, what is the ruling?</t>
  </si>
  <si>
    <t>A) The stone is replaced and the turn is forfeited. , B) The stone remains down. , C) The player is penalized with an additional turn. , D) The game continues without penalty.</t>
  </si>
  <si>
    <t>If a Lagori game ends with both teams having equal points, what is the common procedure to determine the winner?</t>
  </si>
  <si>
    <t>A) An additional round is played to break the tie. , B) The game is declared a draw. , C) The team with the most successful throws wins. , D) The game is restarted from the beginning.</t>
  </si>
  <si>
    <t>A) An additional round is played to break the tie.</t>
  </si>
  <si>
    <t>In Lagori, if a player from the defending team catches the ball before it hits the ground, what happens next?</t>
  </si>
  <si>
    <t>A) The attacking team loses their turn. , B) The defending team gets to throw next. , C) The game is paused. , D) The attacking team gets another chance to throw.</t>
  </si>
  <si>
    <t>If the stones in Lagori are accidentally moved by a player, what should be done to ensure fairness?</t>
  </si>
  <si>
    <t>A) The stones should be returned to their original positions and the game continued. , B) The game is paused and a new set of stones is used. , C) The game is restarted. , D) The player who moved the stones is disqualified.</t>
  </si>
  <si>
    <t>A) The stones should be returned to their original positions and the game continued.</t>
  </si>
  <si>
    <t>During a Lagori match, if the ball is thrown and lands on a stone but does not knock it down, what is the consequence for the attacking team?</t>
  </si>
  <si>
    <t>A) The turn is forfeited. , B) The attacking team gets another chance to throw. , C) The game is paused. , D) The defending team gets an additional turn.</t>
  </si>
  <si>
    <t>In Lagori, if the ball is thrown and lands outside the playing area without hitting any stones, what is the ruling?</t>
  </si>
  <si>
    <t>A) The turn is forfeited and the ball is retrieved. , B) The game continues without penalty. , C) The ball is replaced with a new one. , D) The game is paused.</t>
  </si>
  <si>
    <t>If a player from the attacking team throws the ball and hits a stone but the stone does not fall, what is the outcome?</t>
  </si>
  <si>
    <t>A) The attacking team loses their turn. , B) The defending team gets a chance to throw. , C) The game is paused. , D) The attacking team gets another chance.</t>
  </si>
  <si>
    <t>During a Lagori match, if a stone is knocked down but the ball hits it again, what is the correct procedure?</t>
  </si>
  <si>
    <t>A) The stone is replaced and the turn is forfeited. , B) The stone remains down. , C) The ball is considered out of play. , D) The game is paused.</t>
  </si>
  <si>
    <t>In Lagori, if the ball hits a stone and the stone falls but is immediately caught by a player from the defending team, what is the ruling?</t>
  </si>
  <si>
    <t>A) The stone is replaced and the turn is forfeited. , B) The stone remains down. , C) The defending team gets an additional turn. , D) The attacking team gets another chance.</t>
  </si>
  <si>
    <t>If a Lagori game is interrupted by weather conditions, what is the usual procedure?</t>
  </si>
  <si>
    <t>A) The game is paused until conditions improve. , B) The game is canceled. , C) The game is restarted from the beginning. , D) The team with the most points at the time of interruption is declared the winner.</t>
  </si>
  <si>
    <t>In Lagori, if the ball is thrown and hits the stones but none of them fall, what should be done?</t>
  </si>
  <si>
    <t>A) The turn is considered unsuccessful and forfeited. , B) The stones are restored. , C) The ball is thrown again. , D) The game is paused.</t>
  </si>
  <si>
    <t>During a Lagori match, if a stone is knocked down and the ball hits it again, what is the procedure?</t>
  </si>
  <si>
    <t>In Lagori, if a player throws the ball and it lands on a stone without knocking it down, what is the ruling?</t>
  </si>
  <si>
    <t>A) The turn is forfeited. , B) The stone remains in its position. , C) The game is paused. , D) The stones are reset.</t>
  </si>
  <si>
    <t>If a Lagori game is played and a player is found to be intentionally hitting stones with the ball, what is the ruling?</t>
  </si>
  <si>
    <t>A) The team loses their turn. , B) The player is disqualified from the match. , C) The stones are removed from play. , D) The game is restarted.</t>
  </si>
  <si>
    <t>In Lagori, if a stone is knocked down and a player from the defending team touches it before it is fully restored, what is the ruling?</t>
  </si>
  <si>
    <t>A) The stone is replaced and the turn is forfeited. , B) The stone remains down. , C) The game continues without penalty. , D) The defending team gets an additional turn.</t>
  </si>
  <si>
    <t>In a Lagori match, if the attacking team successfully knocks down all the stones and the defending team is unable to restore them within the given time, what happens next?</t>
  </si>
  <si>
    <t>A) The attacking team wins the round. , B) The defending team gets another chance. , C) The game is restarted. , D) The attacking team is penalized.</t>
  </si>
  <si>
    <t>A) The attacking team wins the round.</t>
  </si>
  <si>
    <t>If a stone in Lagori is knocked down but the ball lands outside the play area, what should be done?</t>
  </si>
  <si>
    <t>A) The stone is restored and the turn is forfeited. , B) The ball is considered out of play and the turn is forfeited. , C) The game is paused and the stone is replaced. , D) The defending team gets a chance to throw.</t>
  </si>
  <si>
    <t>A) The stone is restored and the turn is forfeited.</t>
  </si>
  <si>
    <t>During a Lagori game, if a player from the attacking team throws the ball and it lands on a stone, but the stone does not fall, what is the ruling?</t>
  </si>
  <si>
    <t>A) The attacking team loses their turn. , B) The stone is reset. , C) The ball is thrown again. , D) The game is paused.</t>
  </si>
  <si>
    <t>In Lagori, if the ball hits a stone and the stone falls but is quickly placed back by a player from the defending team, what should happen?</t>
  </si>
  <si>
    <t>A) The stone is considered down and the turn is forfeited. , B) The stone is restored and the game continues. , C) The ball is thrown again. , D) The defending team gets an additional chance.</t>
  </si>
  <si>
    <t>A) The stone is considered down and the turn is forfeited.</t>
  </si>
  <si>
    <t>If a Lagori match is played and a player accidentally knocks down multiple stones at once, what is the typical ruling?</t>
  </si>
  <si>
    <t>A) All knocked down stones remain down. , B) The stones are restored and the player is penalized. , C) The game is paused for a review. , D) The attacking team loses their turn.</t>
  </si>
  <si>
    <t>A) All knocked down stones remain down.</t>
  </si>
  <si>
    <t>During a Lagori match, if the ball lands on a stone but the stone remains upright, what is the outcome for the attacking team?</t>
  </si>
  <si>
    <t>A) The attacking team loses their turn. , B) The stone is considered knocked down. , C) The game is paused. , D) The attacking team gets another chance to throw.</t>
  </si>
  <si>
    <t>In Lagori, if a player from the attacking team throws the ball and it lands outside the boundary line, what should be done?</t>
  </si>
  <si>
    <t>A) The attacking team loses their turn. , B) The ball is retrieved and the game continues. , C) The ball is replaced with a new one. , D) The game is paused.</t>
  </si>
  <si>
    <t>If a Lagori game is interrupted because a player is injured, what is the usual procedure?</t>
  </si>
  <si>
    <t>A) The game is paused and medical assistance is provided. , B) The game is canceled. , C) The injured player is replaced and the game continues. , D) The game is restarted from the beginning.</t>
  </si>
  <si>
    <t>A) The game is paused and medical assistance is provided.</t>
  </si>
  <si>
    <t>In Lagori, if a player from the defending team touches a stone before it is fully restored, what is the typical ruling?</t>
  </si>
  <si>
    <t>A) The stone is replaced and the defending team loses their turn. , B) The stone remains down. , C) The game continues without any penalty. , D) The attacking team gets an additional chance.</t>
  </si>
  <si>
    <t>A) The stone is replaced and the defending team loses their turn.</t>
  </si>
  <si>
    <t>During a Lagori match, if the ball is thrown and it hits the stones but none fall, what happens next?</t>
  </si>
  <si>
    <t>A) The turn is considered unsuccessful and forfeited. , B) The stones are reset. , C) The game is paused. , D) The attacking team gets another chance.</t>
  </si>
  <si>
    <t>In Lagori, if a player from the attacking team accidentally hits the ball out of bounds, what is the consequence?</t>
  </si>
  <si>
    <t>A) The attacking team loses their turn. , B) The ball is retrieved and the game continues. , C) The ball is replaced. , D) The game is paused.</t>
  </si>
  <si>
    <t>If a Lagori game is played and the stones are not all restored by the defending team, what is the usual outcome?</t>
  </si>
  <si>
    <t>A) The game is declared incomplete and may be replayed. , B) The attacking team is declared the winner. , C) The defending team is penalized. , D) The game is restarted.</t>
  </si>
  <si>
    <t>In Lagori, if a stone is knocked down but a player from the attacking team touches it before it is restored, what happens?</t>
  </si>
  <si>
    <t>A) The stone is replaced and the turn is forfeited. , B) The stone remains down. , C) The player is penalized. , D) The game continues without penalty.</t>
  </si>
  <si>
    <t>During a Lagori match, if a player from the defending team catches the ball before it hits the ground, what is the ruling?</t>
  </si>
  <si>
    <t>A) The attacking team loses their turn. , B) The defending team gets another chance to throw. , C) The game is paused. , D) The attacking team gets an additional turn.</t>
  </si>
  <si>
    <t>If the ball in Lagori lands in an area that is too difficult to retrieve, what is the consequence?</t>
  </si>
  <si>
    <t>A) The attacking team loses their turn. , B) The game is paused and the ball is retrieved. , C) The ball is replaced. , D) The game continues without interruption.</t>
  </si>
  <si>
    <t>In Lagori, if the ball hits the stones but none of them fall and the ball is caught by a player, what is the result?</t>
  </si>
  <si>
    <t>A) The turn is forfeited. , B) The stones are restored. , C) The ball is thrown again. , D) The game is paused.</t>
  </si>
  <si>
    <t>During a Lagori match, if a player from the attacking team knocks down all the stones but the ball lands outside the boundary, what happens next?</t>
  </si>
  <si>
    <t>A) The defending team restores the stones and gets to throw next. , B) The attacking team gets another turn. , C) The game is paused. , D) The game is declared incomplete.</t>
  </si>
  <si>
    <t>In Lagori, if the ball is thrown and lands on a stone but does not knock it down, what should be the outcome?</t>
  </si>
  <si>
    <t>If a Lagori game is played and the ball is accidentally thrown out of bounds, what should be the ruling?</t>
  </si>
  <si>
    <t>In Lagori, if the ball is thrown and hits a stone but does not knock it down, what happens next?</t>
  </si>
  <si>
    <t>A) The attacking team loses their turn. , B) The game is paused. , C) The defending team gets an additional turn. , D) The stones are reset.</t>
  </si>
  <si>
    <t>If a player in Lagori throws the ball and hits a stone, but the stone remains standing, what is the outcome?</t>
  </si>
  <si>
    <t>A) The attacking team loses their turn. , B) The stone is considered knocked down. , C) The game is paused. , D) The stones are restored.</t>
  </si>
  <si>
    <t>During a Lagori match, if a stone is knocked down and a player from the attacking team touches it before it is restored, what is the ruling?</t>
  </si>
  <si>
    <t>If a Lagori game ends with both teams having the same number of points, what is the usual procedure to determine the winner?</t>
  </si>
  <si>
    <t>In Lagori, if the stones are knocked down and a player from the defending team touches them before they are restored, what happens?</t>
  </si>
  <si>
    <t>A) The stones are replaced and the defending team loses their turn. , B) The stones remain down. , C) The game continues without penalty. , D) The attacking team gets an additional chance.</t>
  </si>
  <si>
    <t>A) The stones are replaced and the defending team loses their turn.</t>
  </si>
  <si>
    <t>During a Lagori match, if the ball is thrown and lands on a stone but the stone does not fall, what is the outcome for the attacking team?</t>
  </si>
  <si>
    <t>In Lagori, if a player from the attacking team throws the ball and it lands in an area that is too difficult to retrieve, what is the consequence?</t>
  </si>
  <si>
    <t>In Lagori, if the stones are knocked down and a player from the defending team touches them before they are fully restored, what is the ruling?</t>
  </si>
  <si>
    <t>A) The stones are replaced and the turn is forfeited. , B) The stones remain down. , C) The game continues without penalty. , D) The defending team gets an additional turn.</t>
  </si>
  <si>
    <t>A) The stones are replaced and the turn is forfeited.</t>
  </si>
  <si>
    <t>During a Lagori match, if the ball is thrown and lands on a stone but does not knock it down, what is the procedure for the attacking team?</t>
  </si>
  <si>
    <t>In Lagori, if the ball is thrown and hits the stones but none of them fall, what happens next?</t>
  </si>
  <si>
    <t>If a Lagori game is played and the ball is accidentally thrown out of bounds, what is the ruling?</t>
  </si>
  <si>
    <t>In Lagori, if the stones are knocked down and the ball hits them again, what should be done?</t>
  </si>
  <si>
    <t>A) The stones are replaced and the turn is forfeited. , B) The stones remain down. , C) The ball is considered out of play. , D) The game is paused.</t>
  </si>
  <si>
    <t>During a Lagori match, if a player from the attacking team accidentally hits a stone with the ball but does not knock it down, what is the outcome?</t>
  </si>
  <si>
    <t>If a Lagori game is played and the stones are not all restored by the defending team within the time limit, what is the typical outcome?</t>
  </si>
  <si>
    <t>In Lagori, if the ball is thrown and lands on a stone but does not knock it down, what happens next?</t>
  </si>
  <si>
    <t>A) The attacking team loses their turn. , B) The stone remains in its position. , C) The game is paused. , D) The stones are reset.</t>
  </si>
  <si>
    <t>In Lagori, if a player throws the ball and it lands outside the playing area without hitting any stones, what should be done?</t>
  </si>
  <si>
    <t>During a Lagori match, if the ball is thrown and lands in a location where it is difficult to retrieve, what is the consequence?</t>
  </si>
  <si>
    <t>In Lagori, if the ball is thrown and lands on a stone but the stone does not fall, what is the procedure for the attacking team?</t>
  </si>
  <si>
    <t>During a Lagori match, if the ball hits a stone and the stone falls, but another stone is accidentally moved, what should be done?</t>
  </si>
  <si>
    <t>A) The moved stone is restored and the game continues. , B) The stone remains in its position and the game is paused. , C) The game is restarted. , D) The attacking team loses their turn.</t>
  </si>
  <si>
    <t>A) The moved stone is restored and the game continues.</t>
  </si>
  <si>
    <t>A) The stone is replaced and the defending team loses their turn. , B) The stone remains down. , C) The game continues without penalty. , D) The attacking team gets an additional chance.</t>
  </si>
  <si>
    <t>During a Lagori match, if the stones are knocked down and the ball lands on a stone that is still down, what is the outcome?</t>
  </si>
  <si>
    <t>A) The stone remains down and the turn is considered unsuccessful. , B) The stone is restored and the game continues. , C) The attacking team gets another chance to throw. , D) The game is paused.</t>
  </si>
  <si>
    <t>A) The stone remains down and the turn is considered unsuccessful.</t>
  </si>
  <si>
    <t>In Lagori, if the ball is thrown and lands outside the playing area without hitting any stones, what should be done?</t>
  </si>
  <si>
    <t>During a Lagori match, if a player from the attacking team throws the ball and it lands in an area where it is difficult to retrieve, what is the consequence?</t>
  </si>
  <si>
    <t>In Lagori, if the ball is thrown and hits a stone but the stone does not fall, what should be the procedure?</t>
  </si>
  <si>
    <t>During a Lagori match, if a player throws the ball and it lands in an area where it is difficult to retrieve, what is the consequence?</t>
  </si>
  <si>
    <t>If a Lagori game is played and the stones are knocked down but the ball lands outside the play area, what happens next?</t>
  </si>
  <si>
    <t>A) The stones are restored and the defending team gets to throw next. , B) The attacking team gets another turn. , C) The game is paused. , D) The game is declared incomplete.</t>
  </si>
  <si>
    <t>A) The stones are restored and the defending team gets to throw next.</t>
  </si>
  <si>
    <t>In Lagori, if a player throws the ball and it hits a stone but the stone does not fall, what is the ruling?</t>
  </si>
  <si>
    <t>A) The attacking team loses their turn. , B) The stone is considered knocked down. , C) The game is paused. , D) The ball is thrown again.</t>
  </si>
  <si>
    <t>In Lagori, if a stone is knocked down and a player from the attacking team touches it before it is restored, what is the ruling?</t>
  </si>
  <si>
    <t>During a Lagori match, if a player from the attacking team throws the ball and it lands in a location where it is difficult to retrieve, what is the consequence?</t>
  </si>
  <si>
    <t>If a player throws the ball and it lands on a stone but does not knock it down, what is the next step for the attacking team?</t>
  </si>
  <si>
    <t>In Lagori, if a stone is knocked down and the ball lands on it, what happens?</t>
  </si>
  <si>
    <t>A) The stone remains down and the turn is forfeited. , B) The stone is restored and the game continues. , C) The ball is thrown again. , D) The game is paused.</t>
  </si>
  <si>
    <t>A) The stone remains down and the turn is forfeited.</t>
  </si>
  <si>
    <t>If a player from the defending team accidentally touches a knocked-down stone, what is the ruling?</t>
  </si>
  <si>
    <t>A) The stone is replaced and the defending team loses their turn. , B) The stone remains down. , C) The game is paused. , D) The attacking team gets an additional turn.</t>
  </si>
  <si>
    <t>During a Lagori match, if the ball is thrown and lands outside the playing area without hitting any stones, what should be done?</t>
  </si>
  <si>
    <t>In Lagori, if a player from the attacking team throws the ball and hits a stone, but the stone remains standing, what is the outcome?</t>
  </si>
  <si>
    <t>If a stone is knocked down and a player from the defending team touches it before it is restored, what is the ruling?</t>
  </si>
  <si>
    <t>During a Lagori game, if a stone is knocked down and the ball lands on it, what should be done?</t>
  </si>
  <si>
    <t>A) The stone remains down and the turn is considered unsuccessful. , B) The stone is restored and the game continues. , C) The attacking team gets another turn. , D) The game is paused.</t>
  </si>
  <si>
    <t>During a Lagori match, if the stones are knocked down and a player from the defending team touches them before they are fully restored, what is the ruling?</t>
  </si>
  <si>
    <t>In Lagori, if the ball lands on a stone that is still down, what should be the procedure?</t>
  </si>
  <si>
    <t>If the ball is thrown and lands in an area where it is difficult to retrieve, what is the consequence in Lagori?</t>
  </si>
  <si>
    <t>During a Lagori match, if a player throws the ball and it lands on a stone but the stone does not fall, what is the outcome?</t>
  </si>
  <si>
    <t>In Lagori, if a player from the attacking team throws the ball and hits a stone but the stone does not fall, what is the ruling?</t>
  </si>
  <si>
    <t>During a Lagori match, if the ball lands on a stone and the stone falls, but another stone is accidentally moved, what should be done?</t>
  </si>
  <si>
    <t>During a Lagori game, if the stones are not all restored by the defending team within the time limit, what is the typical outcome?</t>
  </si>
  <si>
    <t>A) The stone remains down and the turn is forfeited. , B) The stone is restored and the game continues. , C) The attacking team gets another chance. , D) The game is paused.</t>
  </si>
  <si>
    <t>In Lagori, if the ball is thrown and lands in an area where it is difficult to retrieve, what is the consequence?</t>
  </si>
  <si>
    <t>During a Lagori match, if a stone is knocked down and a player from the defending team touches it before it is fully restored, what is the ruling?</t>
  </si>
  <si>
    <t>In Lagori, if a player from the attacking team throws the ball and it lands on a stone but does not knock it down, what is the ruling?</t>
  </si>
  <si>
    <t>During a Lagori game, if the ball lands in an area where it is difficult to retrieve, what should be done?</t>
  </si>
  <si>
    <t>If a stone is knocked down and the ball lands on it, what should be done in Lagori?</t>
  </si>
  <si>
    <t>In Lagori, if a stone is knocked down but the ball lands outside the playing area, what happens next?</t>
  </si>
  <si>
    <t>During a Lagori match, if the ball is thrown and lands on a stone that is still down, what should be done?</t>
  </si>
  <si>
    <t>A) The stone remains down and the turn is considered unsuccessful. , B) The stone is restored and the game continues. , C) The attacking team gets another chance. , D) The game is paused.</t>
  </si>
  <si>
    <t>If the ball lands in an area where it is difficult to retrieve during a Lagori game, what is the ruling?</t>
  </si>
  <si>
    <t>During a Lagori match, if the ball is thrown and it lands outside the play area without hitting any stones, what should be done?</t>
  </si>
  <si>
    <t>In Lagori, if a stone is knocked down and the ball lands on it, what should be the procedure?</t>
  </si>
  <si>
    <t>If a Lagori game is played and the stones are knocked down but the ball lands outside the play area, what is the outcome?</t>
  </si>
  <si>
    <t>During a Lagori match, if the ball is thrown and it lands in an area where it is difficult to retrieve, what is the consequence?</t>
  </si>
  <si>
    <t>In Lagori, if a player from the attacking team throws the ball and it lands on a stone but does not knock it down, what should be done?</t>
  </si>
  <si>
    <t>If a Lagori game is interrupted due to rain, what is the usual procedure?</t>
  </si>
  <si>
    <t>A) The game is paused until weather conditions improve. , B) The game is canceled. , C) The game is restarted from the beginning. , D) The team with the most points at the time of interruption is declared the winner.</t>
  </si>
  <si>
    <t>A) The game is paused until weather conditions improve.</t>
  </si>
  <si>
    <t>During a Lagori match, if the ball lands on a stone that is still down, what is the ruling?</t>
  </si>
  <si>
    <t>In Lagori, if a player accidentally touches a knocked-down stone, what should be done?</t>
  </si>
  <si>
    <t>If the ball is thrown and lands in an area where it is difficult to retrieve during a Lagori game, what is the consequence?</t>
  </si>
  <si>
    <t>During a Lagori match, if a stone is knocked down and the ball lands on it, what should be the procedure?</t>
  </si>
  <si>
    <t>During a Lagori match, if the ball lands outside the playing area without hitting any stones, what should be done?</t>
  </si>
  <si>
    <t>In Lagori, if the ball lands on a stone that is still down, what is the outcome?</t>
  </si>
  <si>
    <t>During a Lagori match, if the ball lands in an area where it is difficult to retrieve, what is the ruling?</t>
  </si>
  <si>
    <t>During a Lagori match, if the ball is thrown and lands outside the play area without hitting any stones, what should be done?</t>
  </si>
  <si>
    <t>During a Lagori match, if the ball lands in an area where it is difficult to retrieve, what is the consequence?</t>
  </si>
  <si>
    <t>In a Lagori game, if the ball is thrown and it lands on a stone that is knocked down but the stone does not move, what happens?</t>
  </si>
  <si>
    <t>A) The stone is considered knocked down. , B) The stone is restored and the game continues. , C) The attacking team loses their turn. , D) The game is paused.</t>
  </si>
  <si>
    <t>C) The attacking team loses their turn.</t>
  </si>
  <si>
    <t>During a Lagori match, if the ball hits a stone and the stone falls but is quickly returned to its original position by a defending player, what is the ruling?</t>
  </si>
  <si>
    <t>A) The stone remains down and the turn is considered successful. , B) The stone is restored and the game continues. , C) The attacking team gets another turn. , D) The defending team loses their turn.</t>
  </si>
  <si>
    <t>B) The stone is restored and the game continues.</t>
  </si>
  <si>
    <t>If the ball is thrown and lands in an area that is considered out of bounds, what happens in Lagori?</t>
  </si>
  <si>
    <t>A) The attacking team loses their turn. , B) The game is paused and the ball is retrieved. , C) The game continues without interruption. , D) The attacking team gets another chance.</t>
  </si>
  <si>
    <t>In Lagori, if a player accidentally steps on a knocked-down stone, what is the ruling?</t>
  </si>
  <si>
    <t>A) The stone remains down and the turn is forfeited. , B) The stone is restored. , C) The game is paused. , D) The attacking team gets another chance.</t>
  </si>
  <si>
    <t>During a Lagori match, if the ball is thrown and lands on a stone but does not knock it down, what is the outcome?</t>
  </si>
  <si>
    <t>If a Lagori game is played and the ball lands outside the play area after knocking down some stones, what happens next?</t>
  </si>
  <si>
    <t>In Lagori, if the ball lands on a stone that is partially knocked down but does not fall completely, what should be done?</t>
  </si>
  <si>
    <t>A) The stone is considered knocked down. , B) The stone remains in its position. , C) The attacking team loses their turn. , D) The game is paused.</t>
  </si>
  <si>
    <t>If a Lagori match is interrupted because of an injury, what is the usual procedure?</t>
  </si>
  <si>
    <t>A) The game is paused until the player is attended to. , B) The game is canceled. , C) The game continues with a substitute player. , D) The team with the most points is declared the winner.</t>
  </si>
  <si>
    <t>A) The game is paused until the player is attended to.</t>
  </si>
  <si>
    <t>During a Lagori game, if the ball lands on a stone that is already knocked down, what is the ruling?</t>
  </si>
  <si>
    <t>A) The stone remains down and the turn is considered unsuccessful. , B) The stone is restored. , C) The attacking team gets another chance. , D) The game is paused.</t>
  </si>
  <si>
    <t>If a Lagori game is played and the stones are knocked down but the ball lands outside the play area, what should be done next?</t>
  </si>
  <si>
    <t>In Lagori, if a player throws the ball and it lands on a stone that is knocked down but does not move, what is the ruling?</t>
  </si>
  <si>
    <t>During a Lagori match, if the ball lands in an area that is difficult to retrieve and the attacking team cannot get it back, what is the consequence?</t>
  </si>
  <si>
    <t>If a Lagori game is interrupted by a power outage, what is the usual procedure?</t>
  </si>
  <si>
    <t>A) The game is paused until the power is restored. , B) The game is canceled. , C) The game is restarted from the beginning. , D) The team with the most points at the time of interruption is declared the winner.</t>
  </si>
  <si>
    <t>A) The game is paused until the power is restored.</t>
  </si>
  <si>
    <t>In Lagori, if a stone is knocked down and the ball lands on it, but the ball is then retrieved by the attacking team, what happens?</t>
  </si>
  <si>
    <t>During a Lagori match, if the ball is thrown and lands outside the playing area without hitting any stones, what is the ruling?</t>
  </si>
  <si>
    <t>In Lagori, if a stone is knocked down and the ball lands on it but does not hit it directly, what should be done?</t>
  </si>
  <si>
    <t>If a Lagori game is played and the stones are knocked down but the ball lands outside the play area, what is the next step?</t>
  </si>
  <si>
    <t>During a Lagori match, if the ball lands in a difficult-to-retrieve area, what is the ruling?</t>
  </si>
  <si>
    <t>In Lagori, if a player throws the ball and it lands on a stone that is knocked down but does not knock it further, what is the ruling?</t>
  </si>
  <si>
    <t>If a Lagori game is interrupted due to a medical emergency, what should be done?</t>
  </si>
  <si>
    <t>A) The game is paused until the emergency is resolved. , B) The game is canceled. , C) The game is restarted from the beginning. , D) The team with the most points at the time of interruption is declared the winner.</t>
  </si>
  <si>
    <t>A) The game is paused until the emergency is resolved.</t>
  </si>
  <si>
    <t>During a Lagori match, if the ball lands outside the play area without hitting any stones, what is the ruling?</t>
  </si>
  <si>
    <t>In Lagori, if the ball lands on a stone that is partially knocked down, what should be done?</t>
  </si>
  <si>
    <t>A) The stone remains partially down and the turn is considered unsuccessful. , B) The stone is restored and the game continues. , C) The attacking team gets another chance. , D) The game is paused.</t>
  </si>
  <si>
    <t>A) The stone remains partially down and the turn is considered unsuccessful.</t>
  </si>
  <si>
    <t>In Lagori, if the ball lands in an area that is difficult to retrieve, what happens?</t>
  </si>
  <si>
    <t>During a Lagori match, if a stone is knocked down but the ball lands outside the playing area, what should be done?</t>
  </si>
  <si>
    <t>A) The stone is restored and the defending team gets to throw next. , B) The attacking team gets another turn. , C) The game is paused. , D) The game is declared incomplete.</t>
  </si>
  <si>
    <t>A) The stone is restored and the defending team gets to throw next.</t>
  </si>
  <si>
    <t>In Lagori, if the ball lands on a stone that is knocked down but does not knock it further, what is the ruling?</t>
  </si>
  <si>
    <t>If a Lagori game is interrupted due to a power outage, what is the procedure?</t>
  </si>
  <si>
    <t>A) The game is paused until power is restored. , B) The game is canceled. , C) The game is restarted from the beginning. , D) The team with the most points is declared the winner.</t>
  </si>
  <si>
    <t>A) The game is paused until power is restored.</t>
  </si>
  <si>
    <t>During a Lagori match, if the ball lands outside the play area and hits no stones, what is the ruling?</t>
  </si>
  <si>
    <t>In Lagori, if the ball lands on a stone that is partially knocked down, what is the ruling?</t>
  </si>
  <si>
    <t>A) The stone remains partially knocked down and the turn is considered unsuccessful. , B) The stone is restored and the game continues. , C) The attacking team gets another chance. , D) The game is paused.</t>
  </si>
  <si>
    <t>A) The stone remains partially knocked down and the turn is considered unsuccessful.</t>
  </si>
  <si>
    <t>During a Lagori match, if the ball lands in an area that is difficult to retrieve and the attacking team cannot get it back, what is the ruling?</t>
  </si>
  <si>
    <t>If a Lagori game is interrupted due to a medical emergency, what is the usual procedure?</t>
  </si>
  <si>
    <t>In Lagori, if the ball lands in an area that is difficult to retrieve, what is the ruling?</t>
  </si>
  <si>
    <t>In Lagori, if the ball lands on a stone that is knocked down but does not move it further, what is the ruling?</t>
  </si>
  <si>
    <t>If a Lagori game is interrupted due to a power outage, what should be done?</t>
  </si>
  <si>
    <t>In a Lagori game, if the ball hits a stone and then lands outside the play area, what should be done?</t>
  </si>
  <si>
    <t>If during a Lagori match, the ball hits a stone that is not properly placed, what is the ruling?</t>
  </si>
  <si>
    <t>A) The stone is adjusted and the turn continues. , B) The stone is removed and the game continues. , C) The turn is considered unsuccessful. , D) The game is paused until the stone is fixed.</t>
  </si>
  <si>
    <t>C) The turn is considered unsuccessful.</t>
  </si>
  <si>
    <t>In a Lagori game, if the ball lands on a stone but does not knock it down, what is the next step?</t>
  </si>
  <si>
    <t>A) The stone remains as it is and the turn is considered unsuccessful. , B) The stone is restored and the game continues. , C) The attacking team gets another chance. , D) The game is paused.</t>
  </si>
  <si>
    <t>A) The stone remains as it is and the turn is considered unsuccessful.</t>
  </si>
  <si>
    <t>During a Lagori match, if the attacking team accidentally throws the ball out of the play area, what should happen?</t>
  </si>
  <si>
    <t>A) The turn is forfeited and the defending team gets to throw next. , B) The attacking team gets another chance. , C) The game is paused. , D) The game is declared incomplete.</t>
  </si>
  <si>
    <t>A) The turn is forfeited and the defending team gets to throw next.</t>
  </si>
  <si>
    <t>If the ball lands on a stone and the stone partially moves but does not fall, what is the ruling?</t>
  </si>
  <si>
    <t>A) The stone remains partially moved and the turn is considered unsuccessful. , B) The stone is restored and the game continues. , C) The attacking team gets another chance. , D) The game is paused.</t>
  </si>
  <si>
    <t>A) The stone remains partially moved and the turn is considered unsuccessful.</t>
  </si>
  <si>
    <t>In Lagori, if the ball lands in a position that makes it difficult to retrieve and the defending team cannot get it back, what is the ruling?</t>
  </si>
  <si>
    <t>If a Lagori game is played and the stones are knocked down but the ball lands outside the play area, what should be done?</t>
  </si>
  <si>
    <t>During a Lagori match, if a stone is knocked down and the ball lands on it but does not move it further, what should be done?</t>
  </si>
  <si>
    <t>In a Lagori game, if the ball lands outside the play area and hits no stones, what should be done next?</t>
  </si>
  <si>
    <t>If a Lagori game is interrupted due to bad weather, what is the usual procedure?</t>
  </si>
  <si>
    <t>A) The game is paused until the weather improves. , B) The game is canceled. , C) The game is restarted from the beginning. , D) The team with the most points is declared the winner.</t>
  </si>
  <si>
    <t>A) The game is paused until the weather improves.</t>
  </si>
  <si>
    <t>During a Lagori match, if a player steps out of the play area while throwing the ball, what happens?</t>
  </si>
  <si>
    <t>A) The turn is considered unsuccessful and the ball is retrieved. , B) The player gets another chance. , C) The game is paused. , D) The game continues without interruption.</t>
  </si>
  <si>
    <t>A) The turn is considered unsuccessful and the ball is retrieved.</t>
  </si>
  <si>
    <t>In Lagori, if the ball lands on a stone but does not knock it down and the stone is slightly moved, what should be done?</t>
  </si>
  <si>
    <t>A) The stone remains in its new position and the turn is considered unsuccessful. , B) The stone is restored and the game continues. , C) The attacking team gets another chance. , D) The game is paused.</t>
  </si>
  <si>
    <t>A) The stone remains in its new position and the turn is considered unsuccessful.</t>
  </si>
  <si>
    <t>If during a Lagori match, the ball lands on a stone and the stone is knocked down but the ball lands outside the play area, what is the ruling?</t>
  </si>
  <si>
    <t>A) The stone remains knocked down and the defending team gets to throw next. , B) The attacking team gets another turn. , C) The game is paused. , D) The game is declared incomplete.</t>
  </si>
  <si>
    <t>A) The stone remains knocked down and the defending team gets to throw next.</t>
  </si>
  <si>
    <t>In Lagori, if the ball lands on a stone but does not affect its position, what should be done?</t>
  </si>
  <si>
    <t>During a Lagori match, if the attacking team is unable to retrieve the ball after it lands in a difficult position, what happens next?</t>
  </si>
  <si>
    <t>If a Lagori game is interrupted due to a sudden rule change, what should be done?</t>
  </si>
  <si>
    <t>A) The game is paused until the new rules are explained. , B) The game is canceled. , C) The game is restarted from the beginning. , D) The team with the most points is declared the winner.</t>
  </si>
  <si>
    <t>A) The game is paused until the new rules are explained.</t>
  </si>
  <si>
    <t>In Lagori, if the ball lands on a stone and the stone is knocked down but the ball then lands outside the play area, what should be done?</t>
  </si>
  <si>
    <t>A) The stone remains down and the defending team gets to throw next. , B) The attacking team gets another turn. , C) The game is paused. , D) The game is declared incomplete.</t>
  </si>
  <si>
    <t>A) The stone remains down and the defending team gets to throw next.</t>
  </si>
  <si>
    <t>During a Lagori match, if the ball lands on a stone but the stone remains in its original position, what is the ruling?</t>
  </si>
  <si>
    <t>A) The turn is considered unsuccessful and the ball is retrieved. , B) The stone is restored and the game continues. , C) The attacking team gets another chance. , D) The game is paused.</t>
  </si>
  <si>
    <t>If a Lagori game is interrupted by a minor injury, what is the usual procedure?</t>
  </si>
  <si>
    <t>A) The game is paused until the injury is attended to. , B) The game is canceled. , C) The game is restarted from the beginning. , D) The team with the most points at the time of interruption is declared the winner.</t>
  </si>
  <si>
    <t>A) The game is paused until the injury is attended to.</t>
  </si>
  <si>
    <t>In Lagori, if the ball lands outside the play area and hits no stones, what happens next?</t>
  </si>
  <si>
    <t>During a Lagori match, if the ball lands on a stone and the stone is knocked down but the ball lands outside the play area, what should be done?</t>
  </si>
  <si>
    <t>If a Lagori game is paused due to a dispute between teams, what is the usual resolution?</t>
  </si>
  <si>
    <t>A) The dispute is resolved and the game resumes. , B) The game is canceled. , C) The game is restarted from the beginning. , D) The team with the most points is declared the winner.</t>
  </si>
  <si>
    <t>A) The dispute is resolved and the game resumes.</t>
  </si>
  <si>
    <t>In Lagori, if the ball lands on a stone and the stone is knocked down, but the ball is then thrown outside the play area, what happens next?</t>
  </si>
  <si>
    <t>During a Lagori match, if the ball lands in a difficult position and cannot be retrieved easily, what happens next?</t>
  </si>
  <si>
    <t>In Lagori, if the ball lands on a stone and the stone is knocked down, but the ball then lands outside the play area, what is the ruling?</t>
  </si>
  <si>
    <t>If the ball lands on a stone and knocks it down, but the stone is partially moved, what is the ruling?</t>
  </si>
  <si>
    <t>In Lagori, if the ball lands in a position that makes it difficult to retrieve, what is the ruling?</t>
  </si>
  <si>
    <t>During a Lagori match, if the ball lands outside the play area after hitting a stone, what should be done?</t>
  </si>
  <si>
    <t>If a Lagori game is interrupted due to an external factor, such as a disturbance or interruption, what is the usual procedure?</t>
  </si>
  <si>
    <t>A) The game is paused until the interruption is resolved. , B) The game is canceled. , C) The game is restarted from the beginning. , D) The team with the most points is declared the winner.</t>
  </si>
  <si>
    <t>A) The game is paused until the interruption is resolved.</t>
  </si>
  <si>
    <t>In Lagori, if the ball lands on a stone and the stone is knocked down, but the ball then lands outside the play area, what should be done?</t>
  </si>
  <si>
    <t>During a Lagori match, if the ball lands in a difficult-to-reach position and the defending team cannot retrieve it, what is the ruling?</t>
  </si>
  <si>
    <t>If the ball lands on a stone and the stone is knocked down but then lands outside the play area, what is the ruling?</t>
  </si>
  <si>
    <t>In Lagori, if a player accidentally throws the ball out of the play area, what happens next?</t>
  </si>
  <si>
    <t>A) The turn is forfeited and the defending team gets to throw next. , B) The player gets another chance. , C) The game is paused. , D) The game continues without interruption.</t>
  </si>
  <si>
    <t>During a Lagori match, if a stone is knocked down but the ball lands in a difficult position to retrieve, what is the ruling?</t>
  </si>
  <si>
    <t>If a Lagori game is interrupted by a minor issue, such as a player needing a short break, what is the usual procedure?</t>
  </si>
  <si>
    <t>A) The game is paused until the issue is resolved. , B) The game is canceled. , C) The game is restarted from the beginning. , D) The team with the most points at the time of interruption is declared the winner.</t>
  </si>
  <si>
    <t>A) The game is paused until the issue is resolved.</t>
  </si>
  <si>
    <t>In Lagori, if the ball lands on a stone and the stone is knocked down, but the ball lands outside the play area, what should be done?</t>
  </si>
  <si>
    <t>During a Lagori match, if the ball lands in a position that makes it difficult to retrieve, what happens next?</t>
  </si>
  <si>
    <t>If the ball lands on a stone and the stone is knocked down but the ball then lands outside the play area, what is the ruling?</t>
  </si>
  <si>
    <t>In Lagori, if the ball lands on a stone and the stone is knocked down but the ball lands outside the play area, what is the ruling?</t>
  </si>
  <si>
    <t>In Lagori, if the ball lands on a stone and the stone is knocked down but the ball lands outside the play area, what should be done?</t>
  </si>
  <si>
    <t>In Lagori, if the ball lands on a stone and the stone is knocked down but the ball then lands outside the play area, what happens next?</t>
  </si>
  <si>
    <t>During a Lagori match, if the ball lands on a stone and the stone is knocked down, but the ball lands in a difficult-to-reach position, what should be done?</t>
  </si>
  <si>
    <t>A) The stone remains knocked down and the turn is considered unsuccessful. , B) The stone is restored and the game continues. , C) The attacking team gets another chance. , D) The game is paused.</t>
  </si>
  <si>
    <t>A) The stone remains knocked down and the turn is considered unsuccessful.</t>
  </si>
  <si>
    <t>If a Lagori game is interrupted due to a minor issue, such as a player needing a short break, what is the usual procedure?</t>
  </si>
  <si>
    <t>If the ball lands on a stone and the stone is knocked down but the ball lands outside the play area, what is the ruling?</t>
  </si>
  <si>
    <t>During a Lagori match, if the ball lands on a stone and the stone is knocked down but the ball lands in a difficult-to-reach position, what should be done?</t>
  </si>
  <si>
    <t>In a Lagori game, if the attacking team knocks down all the stones but the ball lands outside the play area, what is the ruling?</t>
  </si>
  <si>
    <t>A) The attacking team wins the game. , B) The defending team gets another turn. , C) The attacking team gets another turn. , D) The game is paused until the ball is retrieved.</t>
  </si>
  <si>
    <t>B) The defending team gets another turn.</t>
  </si>
  <si>
    <t>If the defending team retrieves the ball and throws it, hitting a stone but missing the target, what should happen next?</t>
  </si>
  <si>
    <t>A) The attacking team continues their turn. , B) The defending team gets another turn. , C) The game is paused. , D) The ball is replaced.</t>
  </si>
  <si>
    <t>During a Lagori match, if a player throws the ball and accidentally hits an opponent, what is the correct action?</t>
  </si>
  <si>
    <t>A) The attacking team loses their turn. , B) The defending team gets a penalty throw. , C) The game is paused. , D) The throw is considered invalid and the game continues.</t>
  </si>
  <si>
    <t>In Lagori, if the ball is thrown and hits the stone, causing it to knock down, but the ball then goes out of bounds, what should be done?</t>
  </si>
  <si>
    <t>If the ball lands on a stone and the stone is knocked down, but the ball lands in a place where it is difficult to retrieve, what happens?</t>
  </si>
  <si>
    <t>A) The stone remains knocked down and the attacking team loses their turn. , B) The stone is restored and the game continues. , C) The attacking team gets another chance. , D) The game is paused.</t>
  </si>
  <si>
    <t>A) The stone remains knocked down and the attacking team loses their turn.</t>
  </si>
  <si>
    <t>During a Lagori match, if a player from the attacking team makes a valid throw but the ball lands outside the play area, what should happen next?</t>
  </si>
  <si>
    <t>A) The defending team gets a turn. , B) The attacking team continues their turn. , C) The game is paused. , D) The game is declared incomplete.</t>
  </si>
  <si>
    <t>A) The defending team gets a turn.</t>
  </si>
  <si>
    <t>In Lagori, if the ball hits a stone and the stone is knocked down but the ball lands in a difficult-to-retrieve spot, what is the ruling?</t>
  </si>
  <si>
    <t>If a Lagori game is interrupted due to a minor issue, such as a player needing medical attention, what is the usual procedure?</t>
  </si>
  <si>
    <t>In Lagori, if the attacking team throws the ball and it lands on the stone but then lands outside the play area, what should be done?</t>
  </si>
  <si>
    <t>If a player from the defending team catches the ball before it hits the ground, what happens?</t>
  </si>
  <si>
    <t>A) The defending team gets to throw next. , B) The attacking team gets another turn. , C) The game is paused. , D) The ball is considered out of play.</t>
  </si>
  <si>
    <t>A) The defending team gets to throw next.</t>
  </si>
  <si>
    <t>In Lagori, if a stone is knocked down and the ball lands in a position where it cannot be retrieved easily, what should happen?</t>
  </si>
  <si>
    <t>A) The stone remains knocked down and the defending team gets to throw next. , B) The stone is restored and the game continues. , C) The attacking team gets another chance. , D) The game is paused.</t>
  </si>
  <si>
    <t>During a Lagori match, if the ball lands outside the play area after hitting a stone, what is the ruling?</t>
  </si>
  <si>
    <t>In Lagori, if a player throws the ball and it hits the stone, causing it to knock down but then lands out of bounds, what should be done?</t>
  </si>
  <si>
    <t>If the ball lands on a stone and the stone is knocked down but the ball lands in a place that is hard to retrieve, what is the ruling?</t>
  </si>
  <si>
    <t>During a Lagori match, if the ball is thrown and hits a stone but the stone does not knock down, what should happen next?</t>
  </si>
  <si>
    <t>A) The attacking team continues their turn. , B) The defending team gets a turn. , C) The game is paused. , D) The ball is replaced.</t>
  </si>
  <si>
    <t>In Lagori, if the ball hits the stone and the stone is knocked down but the ball lands outside the play area, what happens next?</t>
  </si>
  <si>
    <t>If a player from the defending team retrieves the ball and throws it, hitting the stone but missing the target, what should happen?</t>
  </si>
  <si>
    <t>In Lagori, if the ball is thrown and lands in a position where it is difficult to retrieve, what should be done?</t>
  </si>
  <si>
    <t>During a Lagori match, if the ball lands on a stone and the stone is knocked down but the ball lands in a place that is hard to retrieve, what should happen?</t>
  </si>
  <si>
    <t>If a player from the attacking team makes a valid throw but the ball lands outside the play area, what should happen next?</t>
  </si>
  <si>
    <t>In Lagori, if a stone is knocked down and the ball lands in a place that makes it difficult to retrieve, what should be done?</t>
  </si>
  <si>
    <t>If the ball is thrown and lands on a stone but the stone does not knock down, what should be done?</t>
  </si>
  <si>
    <t>During a Lagori match, if a player from the defending team catches the ball before it hits the ground, what is the correct ruling?</t>
  </si>
  <si>
    <t>In Lagori, if the ball lands outside the play area after hitting a stone, what should be done?</t>
  </si>
  <si>
    <t>If a Lagori game is interrupted due to weather conditions, what is the usual procedure?</t>
  </si>
  <si>
    <t>During a Lagori match, if a player throws the ball and it hits a stone but the stone does not fall, what happens next?</t>
  </si>
  <si>
    <t>In Lagori, if the ball lands on a stone and the stone is knocked down but the ball lands in a difficult-to-retrieve spot, what should be done?</t>
  </si>
  <si>
    <t>If a player from the attacking team throws the ball and it lands on the stone, knocking it down, but the ball lands outside the play area, what happens next?</t>
  </si>
  <si>
    <t>During a Lagori match, if the ball is thrown and hits a stone, but the stone does not knock down, what should be done?</t>
  </si>
  <si>
    <t>In Lagori, if the ball is thrown and lands on a stone but the stone does not knock down, what should happen next?</t>
  </si>
  <si>
    <t>If a Lagori match is interrupted due to a player injury, what is the usual procedure?</t>
  </si>
  <si>
    <t>A) The game is paused until the player receives medical attention. , B) The game is canceled. , C) The game is restarted from the beginning. , D) The team with the most points at the time of interruption is declared the winner.</t>
  </si>
  <si>
    <t>A) The game is paused until the player receives medical attention.</t>
  </si>
  <si>
    <t>During a Lagori match, if the ball lands on a stone and the stone is knocked down but the ball lands in a place that is difficult to retrieve, what should happen?</t>
  </si>
  <si>
    <t>If the ball lands on a stone and the stone is knocked down but the ball lands in a position where it cannot be retrieved easily, what should be done?</t>
  </si>
  <si>
    <t>In Lagori, if the ball lands on a stone but the stone does not knock down, what should be done?</t>
  </si>
  <si>
    <t>During a Lagori match, if the ball lands outside the play area after hitting a stone, what happens next?</t>
  </si>
  <si>
    <t>If the ball is thrown and lands on a stone but the stone does not knock down, what should happen next?</t>
  </si>
  <si>
    <t>In Lagori, if the ball hits a stone and the stone is knocked down but the ball lands outside the play area, what should be done?</t>
  </si>
  <si>
    <t>If a player from the defending team retrieves the ball and throws it, hitting a stone but missing the target, what happens next?</t>
  </si>
  <si>
    <t>During a Lagori match, if the ball lands on a stone but the stone does not knock down, what should be done?</t>
  </si>
  <si>
    <t>In Lagori, if a stone is knocked down and the ball lands in a place that makes it difficult to retrieve, what is the ruling?</t>
  </si>
  <si>
    <t>If a player from the attacking team throws the ball and it lands on a stone, knocking it down, but the ball lands outside the play area, what should happen next?</t>
  </si>
  <si>
    <t>During a Lagori match, if a player throws the ball and it lands on a stone but the stone does not knock down, what should be done?</t>
  </si>
  <si>
    <t>In Lagori, if the ball lands on a stone but the stone does not knock down, what is the correct action?</t>
  </si>
  <si>
    <t>If the ball lands outside the play area after hitting a stone, what happens next?</t>
  </si>
  <si>
    <t>During a Lagori match, if the ball lands on a stone and the stone is knocked down but the ball lands in a difficult-to-retrieve spot, what should be done?</t>
  </si>
  <si>
    <t>If a player from the attacking team throws the ball and it lands on a stone but the stone does not knock down, what should happen next?</t>
  </si>
  <si>
    <t>In Lagori, if the ball lands on a stone and the stone is knocked down but the ball lands in a position where it is difficult to retrieve, what should be done?</t>
  </si>
  <si>
    <t>If the ball is thrown and lands on a stone, knocking it down, but the ball lands outside the play area, what should happen next?</t>
  </si>
  <si>
    <t>In Lagori, if a stone is knocked down and the ball lands in a place that makes it difficult to retrieve, what is the correct action?</t>
  </si>
  <si>
    <t>If a Lagori game is interrupted due to a minor issue, such as a player needing medical attention, what should be done?</t>
  </si>
  <si>
    <t>During a Lagori match, if the ball is thrown and lands on a stone but the stone does not knock down, what should happen?</t>
  </si>
  <si>
    <t>During a Lagori match, if the ball lands on a stone but the stone does not knock down, what is the ruling?</t>
  </si>
  <si>
    <t>If a Lagori game is interrupted due to a player injury, what is the usual procedure?</t>
  </si>
  <si>
    <t>During a Lagori match, if a player from the attacking team throws the ball and it lands on a stone but the stone does not knock down, what should be done?</t>
  </si>
  <si>
    <t>In Lagori, if the ball lands on a stone but the stone does not knock down, what is the ruling?</t>
  </si>
  <si>
    <t>In Lagori, if a player from the attacking team throws the ball and it lands on a stone but does not knock it down, what happens next?</t>
  </si>
  <si>
    <t>A) The defending team gets to throw next. , B) The attacking team gets another turn. , C) The game is paused. , D) The stone is replaced.</t>
  </si>
  <si>
    <t>If the ball is thrown and lands on a stone, knocking it down, but a player from the defending team catches the ball before it hits the ground, what is the ruling?</t>
  </si>
  <si>
    <t>During a Lagori match, if a stone is knocked down and the ball lands outside the play area, what should happen next?</t>
  </si>
  <si>
    <t>If a player throws the ball and it lands on a stone, knocking it down, but the stone rolls into an area where it cannot be retrieved, what is the correct action?</t>
  </si>
  <si>
    <t>In Lagori, if a stone is knocked down and the ball lands in a difficult-to-retrieve spot, what should be done?</t>
  </si>
  <si>
    <t>If the ball lands on a stone but the stone does not knock down, what should happen?</t>
  </si>
  <si>
    <t>In Lagori, if a player from the attacking team throws the ball and it lands on a stone but does not knock it down, what should be done next?</t>
  </si>
  <si>
    <t>If a Lagori match is interrupted due to a minor issue, such as a player needing medical attention, what is the usual procedure?</t>
  </si>
  <si>
    <t>During a Lagori match, if a player from the defending team catches the ball before it hits the ground, what happens next?</t>
  </si>
  <si>
    <t>If a stone is knocked down and the ball lands in a difficult-to-retrieve spot, what should be done?</t>
  </si>
  <si>
    <t>In Lagori, if a player throws the ball and it lands on a stone, knocking it down, but the ball lands outside the play area, what should be done next?</t>
  </si>
  <si>
    <t>During a Lagori match, if the ball lands on a stone but the stone does not knock down, what is the correct action?</t>
  </si>
  <si>
    <t>If a Lagori game is interrupted due to a player injury, what should be done?</t>
  </si>
  <si>
    <t>In Lagori, if a stone is knocked down and the ball lands outside the play area, what is the ruling?</t>
  </si>
  <si>
    <t>If a player from the attacking team throws the ball and it lands on a stone but does not knock it down, what happens next?</t>
  </si>
  <si>
    <t>If the ball lands outside the play area after hitting a stone, what should be done?</t>
  </si>
  <si>
    <t>If a Lagori game is interrupted due to a player injury, what is the correct procedure?</t>
  </si>
  <si>
    <t>During a Lagori match, if a player throws the ball and it lands on a stone but the stone does not knock down, what should be done next?</t>
  </si>
  <si>
    <t>If a Lagori game is interrupted due to a minor issue, what should be the usual procedure?</t>
  </si>
  <si>
    <t>In Lagori, if a player from the attacking team throws the ball and it lands on a stone, knocking it down, but the ball lands outside the play area, what happens next?</t>
  </si>
  <si>
    <t>If the ball lands on a stone and the stone does not knock down, what is the ruling?</t>
  </si>
  <si>
    <t>During a Lagori match, if a player from the defending team catches the ball before it hits the ground, what should be done?</t>
  </si>
  <si>
    <t>If a Lagori game is interrupted due to an injury, what should be done?</t>
  </si>
  <si>
    <t>In Lagori, if a stone is knocked down and the ball lands outside the play area, what is the correct procedure?</t>
  </si>
  <si>
    <t>If the ball lands on a stone but the stone does not knock down, what should happen next?</t>
  </si>
  <si>
    <t>During a Lagori match, if the game is interrupted due to a player injury, what is the usual procedure?</t>
  </si>
  <si>
    <t>If a Lagori game is interrupted due to a minor issue, what should be done?</t>
  </si>
  <si>
    <t>In Lagori, if the ball lands on a stone but does not knock it down, what happens next?</t>
  </si>
  <si>
    <t>A) The attacking team continues their turn. , B) The defending team gets to throw next. , C) The game is paused. , D) The ball is replaced.</t>
  </si>
  <si>
    <t>During a Lagori match, if a player throws the ball and it lands on a stone but does not knock it down, what should be done next?</t>
  </si>
  <si>
    <t>If a stone is knocked down and the ball lands outside the play area, what should be done?</t>
  </si>
  <si>
    <t>In Lagori, if the ball lands on a stone and the stone does not knock down, what is the ruling?</t>
  </si>
  <si>
    <t>During a Lagori match, if the game is interrupted due to a player injury, what should be done?</t>
  </si>
  <si>
    <t>In Lagori, if the ball lands on a stone but the stone does not knock down, what happens next?</t>
  </si>
  <si>
    <t>During a Lagori match, if the ball lands on a stone but does not knock it down, what should be done?</t>
  </si>
  <si>
    <t>If a Lagori game is interrupted due to an injury, what should be the procedure?</t>
  </si>
  <si>
    <t>During a Lagori match, if the ball lands on a stone and the stone does not knock down, what should be done?</t>
  </si>
  <si>
    <t>If a Lagori game is interrupted due to a minor issue, what is the correct procedure?</t>
  </si>
  <si>
    <t>In Lagori, if a player throws the ball and it lands on a stone but does not knock it down, what is the correct action?</t>
  </si>
  <si>
    <t>If a Lagori game is interrupted due to a minor issue, what is the usual procedure?</t>
  </si>
  <si>
    <t>During a Lagori match, if a player throws the ball and it lands on a stone but does not knock it down, what should be done?</t>
  </si>
  <si>
    <t>In Lagori, if a stone is knocked down and the ball lands outside the play area, what is the correct ruling?</t>
  </si>
  <si>
    <t>In a Lagori game, if a player throws the ball and it lands outside the play area without hitting any stone, what happens next?</t>
  </si>
  <si>
    <t>A) The defending team gets to throw next. , B) The attacking team gets another turn. , C) The game is paused. , D) The ball is replaced.</t>
  </si>
  <si>
    <t>If a Lagori game is tied and a stone is knocked down but the ball lands out of bounds, what is the ruling?</t>
  </si>
  <si>
    <t>A) The stone remains knocked down and the defending team gets to throw next. , B) The attacking team gets another turn. , C) The game is paused. , D) The game is declared a tie.</t>
  </si>
  <si>
    <t>During a Lagori match, if the ball hits a stone and knocks it down but then lands in the opposing team's area, what is the correct action?</t>
  </si>
  <si>
    <t>A) The stone remains knocked down and the defending team gets to throw next. , B) The attacking team gets another turn. , C) The game is paused. , D) The stone is replaced.</t>
  </si>
  <si>
    <t>In a Lagori game, if a player from the defending team catches the ball before it hits the ground, what should be done?</t>
  </si>
  <si>
    <t>If a Lagori game is interrupted due to a player leaving the field for a brief period, what is the procedure?</t>
  </si>
  <si>
    <t>A) The game is paused until the player returns. , B) The game is canceled. , C) The game continues without the player. , D) The team with the most points at the time of interruption is declared the winner.</t>
  </si>
  <si>
    <t>A) The game is paused until the player returns.</t>
  </si>
  <si>
    <t>In Lagori, if the ball lands on a stone and knocks it down but the stone is quickly placed back in position by the defending team, what should be done?</t>
  </si>
  <si>
    <t>During a Lagori match, if the ball is thrown and lands on a stone but does not knock it down, what happens next?</t>
  </si>
  <si>
    <t>If a Lagori game is interrupted due to a sudden rain shower, what should be done?</t>
  </si>
  <si>
    <t>A) The game is paused until the rain stops. , B) The game is canceled. , C) The game is restarted from the beginning. , D) The team with the most points at the time of interruption is declared the winner.</t>
  </si>
  <si>
    <t>A) The game is paused until the rain stops.</t>
  </si>
  <si>
    <t>In Lagori, if a stone is knocked down but the ball lands outside the play area, what is the ruling?</t>
  </si>
  <si>
    <t>During a Lagori match, if a player from the attacking team throws the ball and it lands outside the play area without hitting any stone, what should be done?</t>
  </si>
  <si>
    <t>If a Lagori game is interrupted due to a dispute between players, what should be done?</t>
  </si>
  <si>
    <t>A) The game is paused until the dispute is resolved. , B) The game is canceled. , C) The game is restarted from the beginning. , D) The team with the most points at the time of interruption is declared the winner.</t>
  </si>
  <si>
    <t>A) The game is paused until the dispute is resolved.</t>
  </si>
  <si>
    <t>In Lagori, if a player throws the ball and it lands on a stone but does not knock it down, what happens next?</t>
  </si>
  <si>
    <t>During a Lagori match, if the ball hits a stone but the stone does not fall and lands out of bounds, what is the correct action?</t>
  </si>
  <si>
    <t>A) The attacking team continues their turn. , B) The defending team gets a turn. , C) The game is paused. , D) The stone is replaced.</t>
  </si>
  <si>
    <t>If a Lagori game is interrupted because a player from the attacking team is injured, what is the procedure?</t>
  </si>
  <si>
    <t>During a Lagori match, if a stone is knocked down but the ball lands outside the play area, what is the ruling?</t>
  </si>
  <si>
    <t>If a Lagori game is interrupted due to a technical issue, such as a malfunctioning scoreboard, what should be done?</t>
  </si>
  <si>
    <t>In Lagori, if a player throws the ball and it lands on a stone but does not knock it down, what is the next step?</t>
  </si>
  <si>
    <t>During a Lagori match, if the game is interrupted due to a player needing medical attention, what should be done?</t>
  </si>
  <si>
    <t>A) The game is paused until medical attention is provided. , B) The game is canceled. , C) The game is restarted from the beginning. , D) The team with the most points at the time of interruption is declared the winner.</t>
  </si>
  <si>
    <t>A) The game is paused until medical attention is provided.</t>
  </si>
  <si>
    <t>If a Lagori game is interrupted because of an external distraction, such as a loud noise, what should be done?</t>
  </si>
  <si>
    <t>A) The game is paused until the distraction is resolved. , B) The game is canceled. , C) The game is restarted from the beginning. , D) The team with the most points at the time of interruption is declared the winner.</t>
  </si>
  <si>
    <t>A) The game is paused until the distraction is resolved.</t>
  </si>
  <si>
    <t>In Lagori, if the ball lands on a stone and the stone is knocked down, but the ball lands outside the play area, what happens next?</t>
  </si>
  <si>
    <t>During a Lagori match, if the ball hits a stone and knocks it down, but then the ball lands outside the play area, what is the ruling?</t>
  </si>
  <si>
    <t>A) The stone remains knocked down and the defending team gets to throw next. , B) The attacking team gets another turn. , C) The game is paused. , D) The ball is replaced.</t>
  </si>
  <si>
    <t>A) The game is paused until power is restored. , B) The game is canceled. , C) The game is restarted from the beginning. , D) The team with the most points at the time of interruption is declared the winner.</t>
  </si>
  <si>
    <t>During a Lagori match, if the game is interrupted due to a player being distracted by an external event, what should be done?</t>
  </si>
  <si>
    <t>If a Lagori game is interrupted because a stone is moved accidentally, what should be the procedure?</t>
  </si>
  <si>
    <t>A) The stone is replaced and the game continues. , B) The game is paused until the stone is properly placed. , C) The game is canceled. , D) The game is restarted from the beginning.</t>
  </si>
  <si>
    <t>During a Lagori match, if the ball lands on a stone and the stone is knocked down but the ball goes out of bounds, what should be done?</t>
  </si>
  <si>
    <t>If a Lagori game is interrupted due to a player needing to leave the field for a brief period, what is the procedure?</t>
  </si>
  <si>
    <t>A) The game is paused until the player returns. , B) The game is canceled. , C) The game is restarted from the beginning. , D) The team with the most points at the time of interruption is declared the winner.</t>
  </si>
  <si>
    <t>During a Lagori match, if the ball lands on a stone but does not knock it down, what is the ruling?</t>
  </si>
  <si>
    <t>If a Lagori game is interrupted because of an unforeseen event, such as a sudden loud noise, what should be the procedure?</t>
  </si>
  <si>
    <t>A) The game is paused until the event is resolved. , B) The game is canceled. , C) The game is restarted from the beginning. , D) The team with the most points at the time of interruption is declared the winner.</t>
  </si>
  <si>
    <t>A) The game is paused until the event is resolved.</t>
  </si>
  <si>
    <t>In Lagori, if the ball lands on a stone and knocks it down but the ball then lands outside the play area, what happens next?</t>
  </si>
  <si>
    <t>During a Lagori match, if a player from the attacking team throws the ball and it lands outside the play area without hitting any stone, what is the ruling?</t>
  </si>
  <si>
    <t>If a Lagori game is interrupted due to a player being temporarily unavailable, what is the procedure?</t>
  </si>
  <si>
    <t>A) The game is paused until the player is available again. , B) The game is canceled. , C) The game is restarted from the beginning. , D) The team with the most points at the time of interruption is declared the winner.</t>
  </si>
  <si>
    <t>A) The game is paused until the player is available again.</t>
  </si>
  <si>
    <t>In Lagori, if the ball hits a stone and knocks it down but lands out of bounds, what is the correct action?</t>
  </si>
  <si>
    <t>During a Lagori match, if the ball lands on a stone and knocks it down but the ball goes out of bounds, what should be the ruling?</t>
  </si>
  <si>
    <t>If a Lagori game is interrupted due to a malfunctioning piece of equipment, what is the procedure?</t>
  </si>
  <si>
    <t>A) The game is paused until the equipment is fixed. , B) The game is canceled. , C) The game is restarted from the beginning. , D) The team with the most points at the time of interruption is declared the winner.</t>
  </si>
  <si>
    <t>A) The game is paused until the equipment is fixed.</t>
  </si>
  <si>
    <t>In Lagori, if the ball lands on a stone and knocks it down but the stone is quickly returned to its original position, what should be done?</t>
  </si>
  <si>
    <t>During a Lagori match, if the ball lands outside the play area without hitting any stone, what is the ruling?</t>
  </si>
  <si>
    <t>If a Lagori game is interrupted due to a player being temporarily unavailable, what should be the procedure?</t>
  </si>
  <si>
    <t>In Lagori, if the ball hits a stone and knocks it down but lands out of bounds, what happens next?</t>
  </si>
  <si>
    <t>During a Lagori match, if the ball is thrown and lands on a stone but does not knock it down, what is the ruling?</t>
  </si>
  <si>
    <t>If a Lagori game is interrupted due to a player needing medical attention, what is the procedure?</t>
  </si>
  <si>
    <t>In Lagori, if the ball lands on a stone and knocks it down but the ball goes out of bounds, what should be done?</t>
  </si>
  <si>
    <t>During a Lagori match, if a stone is knocked down and the ball lands outside the play area, what is the ruling?</t>
  </si>
  <si>
    <t>If a Lagori game is interrupted due to a technical issue with the play area, what is the procedure?</t>
  </si>
  <si>
    <t>A) The game is paused until the issue is fixed. , B) The game is canceled. , C) The game is restarted from the beginning. , D) The team with the most points at the time of interruption is declared the winner.</t>
  </si>
  <si>
    <t>A) The game is paused until the issue is fixed.</t>
  </si>
  <si>
    <t>In Lagori, if a player from the attacking team throws the ball and it lands outside the play area without hitting any stone, what happens next?</t>
  </si>
  <si>
    <t>If a Lagori game is interrupted because of an unexpected external event, such as a loud noise, what should be done?</t>
  </si>
  <si>
    <t>In Lagori, if the ball lands on a stone and knocks it down but lands outside the play area, what happens next?</t>
  </si>
  <si>
    <t>If a Lagori game is interrupted due to an external factor, such as bad weather, what is the procedure?</t>
  </si>
  <si>
    <t>A) The game is paused until the weather improves. , B) The game is canceled. , C) The game is restarted from the beginning. , D) The team with the most points at the time of interruption is declared the winner.</t>
  </si>
  <si>
    <t>In Lagori, if a player throws the ball and it lands on a stone but does not knock it down, what is the ruling?</t>
  </si>
  <si>
    <t>During a Lagori match, if the ball lands outside the play area without hitting any stone, what happens next?</t>
  </si>
  <si>
    <t>If a Lagori game is interrupted because of a player needing to leave temporarily, what is the procedure?</t>
  </si>
  <si>
    <t>In Lagori, if the ball hits a stone and knocks it down but the ball then lands outside the play area, what happens next?</t>
  </si>
  <si>
    <t>In Lagori, if the ball lands on a stone and knocks it down but lands outside the play area, what should be done?</t>
  </si>
  <si>
    <t>During a Pambaram match, Player X successfully spins the top for 5 seconds before it falls. Player Y spins the top for 8 seconds. If the winner is the player whose top spins for the longest duration, who is the winner?</t>
  </si>
  <si>
    <t>A) Player X, B) Player Y, C) It's a tie, D) None of the above</t>
  </si>
  <si>
    <t>B) Player Y</t>
  </si>
  <si>
    <t>In a Pambaram game, Player A's top is spinning in a clockwise direction, while Player B's top is spinning counterclockwise. If the game rule is that the top spinning in the direction opposite to the other wins, who wins the game?</t>
  </si>
  <si>
    <t>A) Player A, B) Player B, C) It's a tie, D) None of the above</t>
  </si>
  <si>
    <t>A) Player A</t>
  </si>
  <si>
    <t>During a Pambaram competition, Player C's top falls after spinning for 7 seconds, and Player D's top falls after spinning for 7 seconds. If the decision is based on the top's height when it falls, who is declared the winner if Player C's top fell from a higher height?</t>
  </si>
  <si>
    <t>A) Player C, B) Player D, C) It's a tie, D) None of the above</t>
  </si>
  <si>
    <t>A) Player C</t>
  </si>
  <si>
    <t>In a Pambaram match, the rules state that the top must spin for at least 6 seconds to be considered a valid spin. If Player E's top spins for 5 seconds and Player F's top spins for 7 seconds, who qualifies for the next round?</t>
  </si>
  <si>
    <t>A) Player E, B) Player F, C) Both players, D) None of the above</t>
  </si>
  <si>
    <t>B) Player F</t>
  </si>
  <si>
    <t>Player G and Player H are competing in a Pambaram match. Player G's top spins in an irregular pattern, while Player H's top spins steadily. According to the rules that favor consistency, who has a better chance of winning?</t>
  </si>
  <si>
    <t>A) Player G, B) Player H, C) Both have an equal chance, D) None of the above</t>
  </si>
  <si>
    <t>B) Player H</t>
  </si>
  <si>
    <t>If a Pambaram match requires that the top must spin without touching the ground for at least 10 seconds, and Player I's top spins for 12 seconds before touching the ground, while Player J's top spins for 8 seconds, who wins?</t>
  </si>
  <si>
    <t>A) Player I, B) Player J, C) It's a tie, D) None of the above</t>
  </si>
  <si>
    <t>A) Player I</t>
  </si>
  <si>
    <t>During a Pambaram game, Player K's top spins perfectly for 15 seconds, but Player L's top spins for 16 seconds with a slight wobble. If the game favors longer spin time over wobble, who wins?</t>
  </si>
  <si>
    <t>A) Player K, B) Player L, C) It's a tie, D) None of the above</t>
  </si>
  <si>
    <t>B) Player L</t>
  </si>
  <si>
    <t>In a tournament setting, if the Pambaram game rules specify that the top must spin for a minimum of 5 seconds to win, and Player M spins for 4 seconds and Player N spins for 6 seconds, who wins?</t>
  </si>
  <si>
    <t>A) Player M, B) Player N, C) Both players, D) None of the above</t>
  </si>
  <si>
    <t>B) Player N</t>
  </si>
  <si>
    <t>Player O and Player P are in a Pambaram competition. Player O's top spins in a straight line, while Player P's top spins in circles. If the rules favor straight line spinning, who wins?</t>
  </si>
  <si>
    <t>A) Player O, B) Player P, C) It's a tie, D) None of the above</t>
  </si>
  <si>
    <t>A) Player O</t>
  </si>
  <si>
    <t>In a Pambaram game, Player Q's top spins for 9 seconds and falls. Player R's top spins for 8 seconds and falls. If the game rule is to award the win based on duration, who is the winner?</t>
  </si>
  <si>
    <t>A) Player Q, B) Player R, C) It's a tie, D) None of the above</t>
  </si>
  <si>
    <t>A) Player Q</t>
  </si>
  <si>
    <t>Player S's top spins for 6 seconds before it falls, and Player T's top spins for 6 seconds and then wobbles for an additional 2 seconds before falling. If the game favors stability, who wins?</t>
  </si>
  <si>
    <t>A) Player S, B) Player T, C) It's a tie, D) None of the above</t>
  </si>
  <si>
    <t>B) Player T</t>
  </si>
  <si>
    <t>In a Pambaram match, Player U's top spins for 11 seconds with a high frequency, and Player V's top spins for 10 seconds with a low frequency. If the game rules favor the frequency of spins, who wins?</t>
  </si>
  <si>
    <t>A) Player U, B) Player V, C) It's a tie, D) None of the above</t>
  </si>
  <si>
    <t>A) Player U</t>
  </si>
  <si>
    <t>Player W's top spins for 5 seconds and lands on its side, while Player X's top spins for 7 seconds and lands upright. If the game rule is that the top must land upright to win, who wins?</t>
  </si>
  <si>
    <t>A) Player W, B) Player X, C) It's a tie, D) None of the above</t>
  </si>
  <si>
    <t>B) Player X</t>
  </si>
  <si>
    <t>During a Pambaram competition, if Player Y's top spins for 8 seconds and Player Z's top spins for 8 seconds but makes a sound, and the rules state that a silent top is preferred, who wins?</t>
  </si>
  <si>
    <t>A) Player Y, B) Player Z, C) It's a tie, D) None of the above</t>
  </si>
  <si>
    <t>A) Player Y</t>
  </si>
  <si>
    <t>Player AA's top spins for 12 seconds, and Player BB's top spins for 10 seconds but does so consistently without any wobbling. If the game favors longer spin time, who wins?</t>
  </si>
  <si>
    <t>A) Player AA, B) Player BB, C) It's a tie, D) None of the above</t>
  </si>
  <si>
    <t>A) Player AA</t>
  </si>
  <si>
    <t>In a Pambaram match, Player CC's top spins for 9 seconds and falls with a slight wobble, while Player DD's top spins for 9 seconds and falls without wobbling. If the rules state that wobble is penalized, who wins?</t>
  </si>
  <si>
    <t>A) Player CC, B) Player DD, C) It's a tie, D) None of the above</t>
  </si>
  <si>
    <t>B) Player DD</t>
  </si>
  <si>
    <t>During a Pambaram competition, Player EE's top spins for 14 seconds and Player FF's top spins for 15 seconds but falls slightly to the side. If the rules favor longer spin time regardless of fall position, who wins?</t>
  </si>
  <si>
    <t>A) Player EE, B) Player FF, C) It's a tie, D) None of the above</t>
  </si>
  <si>
    <t>B) Player FF</t>
  </si>
  <si>
    <t>Player GG and Player HH are in a Pambaram game. Player GG's top spins for 6 seconds and falls, while Player HH's top spins for 6 seconds and then starts spinning again for an additional 3 seconds before falling. If the game rules favor additional spin time, who wins?</t>
  </si>
  <si>
    <t>A) Player GG, B) Player HH, C) It's a tie, D) None of the above</t>
  </si>
  <si>
    <t>B) Player HH</t>
  </si>
  <si>
    <t>In a Pambaram match, Player II's top spins for 10 seconds with a steady speed, while Player JJ's top spins for 10 seconds but changes speed intermittently. If the rules favor a steady speed, who wins?</t>
  </si>
  <si>
    <t>A) Player II, B) Player JJ, C) It's a tie, D) None of the above</t>
  </si>
  <si>
    <t>A) Player II</t>
  </si>
  <si>
    <t>Player KK's top spins for 13 seconds but falls with a tilt, while Player LL's top spins for 13 seconds and lands upright. If the game favors an upright landing, who wins?</t>
  </si>
  <si>
    <t>A) Player KK, B) Player LL, C) It's a tie, D) None of the above</t>
  </si>
  <si>
    <t>B) Player LL</t>
  </si>
  <si>
    <t>During a Pambaram competition, Player MM's top spins for 7 seconds and Player NN's top spins for 9 seconds. If the game requires a minimum of 8 seconds to win, who qualifies?</t>
  </si>
  <si>
    <t>A) Player MM, B) Player NN, C) Both players, D) None of the above</t>
  </si>
  <si>
    <t>B) Player NN</t>
  </si>
  <si>
    <t>If Player OO's top spins for 6 seconds and Player PP's top spins for 6 seconds but Player PP's top makes a whistling sound, and the game rule states that no sound is preferred, who wins?</t>
  </si>
  <si>
    <t>A) Player OO, B) Player PP, C) It's a tie, D) None of the above</t>
  </si>
  <si>
    <t>A) Player OO</t>
  </si>
  <si>
    <t>In a Pambaram match, Player QQ's top spins for 5 seconds and falls, while Player RR's top spins for 8 seconds and falls. If the game favors longer spin time, who wins?</t>
  </si>
  <si>
    <t>A) Player QQ, B) Player RR, C) It's a tie, D) None of the above</t>
  </si>
  <si>
    <t>B) Player RR</t>
  </si>
  <si>
    <t>During a Pambaram game, Player SS spins the top for 10 seconds with a consistent speed, and Player TT spins the top for 10 seconds but it wobbles towards the end. If the game prefers consistency over duration, who wins?</t>
  </si>
  <si>
    <t>A) Player SS, B) Player TT, C) It's a tie, D) None of the above</t>
  </si>
  <si>
    <t>A) Player SS</t>
  </si>
  <si>
    <t>In a Pambaram match, if Player UU's top spins for 9 seconds and Player VV's top spins for 9 seconds but Player UU's top falls first, who wins based on fall time?</t>
  </si>
  <si>
    <t>A) Player UU, B) Player VV, C) It's a tie, D) None of the above</t>
  </si>
  <si>
    <t>B) Player VV</t>
  </si>
  <si>
    <t>Player WW's top spins for 7 seconds without wobbling, while Player XX's top spins for 7 seconds and wobbles slightly. If the game rules favor no wobbling, who wins?</t>
  </si>
  <si>
    <t>A) Player WW, B) Player XX, C) It's a tie, D) None of the above</t>
  </si>
  <si>
    <t>A) Player WW</t>
  </si>
  <si>
    <t>During a Pambaram match, Player YY's top spins for 11 seconds and falls, and Player ZZ's top spins for 11 seconds and falls with a tilt. If the game rules state that a straight fall is preferred, who wins?</t>
  </si>
  <si>
    <t>A) Player YY, B) Player ZZ, C) It's a tie, D) None of the above</t>
  </si>
  <si>
    <t>A) Player YY</t>
  </si>
  <si>
    <t>In a Pambaram competition, if Player AAA's top spins for 12 seconds and Player BBB's top spins for 12 seconds but with irregular intervals, who wins if consistency is preferred?</t>
  </si>
  <si>
    <t>A) Player AAA, B) Player BBB, C) It's a tie, D) None of the above</t>
  </si>
  <si>
    <t>A) Player AAA</t>
  </si>
  <si>
    <t>Player CCC spins the top for 6 seconds and Player DDD spins the top for 6 seconds but Player DDD's top is spinning more smoothly. If the game values smoothness, who wins?</t>
  </si>
  <si>
    <t>A) Player CCC, B) Player DDD, C) It's a tie, D) None of the above</t>
  </si>
  <si>
    <t>B) Player DDD</t>
  </si>
  <si>
    <t>During a Pambaram game, Player EEE's top spins for 10 seconds and falls, and Player FFF's top spins for 10 seconds and then wobbles for an additional 2 seconds. If the game favors longer spin duration over wobble, who wins?</t>
  </si>
  <si>
    <t>A) Player EEE, B) Player FFF, C) It's a tie, D) None of the above</t>
  </si>
  <si>
    <t>A) Player EEE</t>
  </si>
  <si>
    <t>If Player GGG's top spins for 8 seconds and Player HHH's top spins for 8 seconds but Player GGG's top lands upright while Player HHH's top lands tilted, who wins if the game values an upright landing?</t>
  </si>
  <si>
    <t>A) Player GGG, B) Player HHH, C) It's a tie, D) None of the above</t>
  </si>
  <si>
    <t>A) Player GGG</t>
  </si>
  <si>
    <t>In a Pambaram match, Player III's top spins for 7 seconds and Player JJJ's top spins for 7 seconds. If Player III's top starts spinning faster midway and Player JJJ's top spins at a consistent speed, who wins if speed consistency is preferred?</t>
  </si>
  <si>
    <t>A) Player III, B) Player JJJ, C) It's a tie, D) None of the above</t>
  </si>
  <si>
    <t>B) Player JJJ</t>
  </si>
  <si>
    <t>Player KKK's top spins for 9 seconds and falls, and Player LLL's top spins for 9 seconds but with occasional wobbles. If the game favors less wobbling, who wins?</t>
  </si>
  <si>
    <t>A) Player KKK, B) Player LLL, C) It's a tie, D) None of the above</t>
  </si>
  <si>
    <t>A) Player KKK</t>
  </si>
  <si>
    <t>During a Pambaram competition, if Player MMM's top spins for 13 seconds and Player NNN's top spins for 13 seconds but Player NNN's top makes a sound, who wins if no sound is preferred?</t>
  </si>
  <si>
    <t>A) Player MMM, B) Player NNN, C) It's a tie, D) None of the above</t>
  </si>
  <si>
    <t>A) Player MMM</t>
  </si>
  <si>
    <t>If Player OOO's top spins for 14 seconds and Player PPP's top spins for 14 seconds but Player PPP's top falls with a tilt, who wins if fall position is not a factor?</t>
  </si>
  <si>
    <t>A) Player OOO, B) Player PPP, C) It's a tie, D) None of the above</t>
  </si>
  <si>
    <t>C) It's a tie</t>
  </si>
  <si>
    <t>Player QQQ spins the top for 6 seconds and Player RRR spins the top for 8 seconds. If the game rules require at least 7 seconds to win, who qualifies for the next round?</t>
  </si>
  <si>
    <t>A) Player QQQ, B) Player RRR, C) Both players, D) None of the above</t>
  </si>
  <si>
    <t>B) Player RRR</t>
  </si>
  <si>
    <t>During a Pambaram match, Player SSS's top spins for 11 seconds and Player TTT's top spins for 11 seconds but Player SSS's top wobbles slightly. If the game rules favor longer spin time, who wins?</t>
  </si>
  <si>
    <t>A) Player SSS, B) Player TTT, C) It's a tie, D) None of the above</t>
  </si>
  <si>
    <t>A) Player SSS</t>
  </si>
  <si>
    <t>Player UUU spins the top for 9 seconds and Player VVV spins the top for 9 seconds but Player VVV's top wobbles towards the end. If the game values stability, who wins?</t>
  </si>
  <si>
    <t>A) Player UUU, B) Player VVV, C) It's a tie, D) None of the above</t>
  </si>
  <si>
    <t>A) Player UUU</t>
  </si>
  <si>
    <t>If Player WWW's top spins for 8 seconds and Player XXX's top spins for 8 seconds but Player WWW's top lands upright while Player XXX's top lands tilted, who wins?</t>
  </si>
  <si>
    <t>A) Player WWW, B) Player XXX, C) It's a tie, D) None of the above</t>
  </si>
  <si>
    <t>A) Player WWW</t>
  </si>
  <si>
    <t>In a Pambaram game, if Player YYY's top spins for 7 seconds and Player ZZZ's top spins for 7 seconds but Player YYY's top falls first, who wins based on fall time?</t>
  </si>
  <si>
    <t>A) Player YYY, B) Player ZZZ, C) It's a tie, D) None of the above</t>
  </si>
  <si>
    <t>B) Player ZZZ</t>
  </si>
  <si>
    <t>Player AAA's top spins for 10 seconds and falls with a wobble, while Player BBB's top spins for 10 seconds and lands upright. If the game favors an upright landing, who wins?</t>
  </si>
  <si>
    <t>B) Player BBB</t>
  </si>
  <si>
    <t>During a Pambaram match, if Player CCC's top spins for 6 seconds and Player DDD's top spins for 6 seconds but Player CCC's top makes a sound, who wins if no sound is preferred?</t>
  </si>
  <si>
    <t>In a Pambaram competition, Player EEE spins the top for 12 seconds and Player FFF spins the top for 12 seconds but Player FFF's top wobbles slightly. If the game values less wobbling, who wins?</t>
  </si>
  <si>
    <t>If Player GGG's top spins for 14 seconds and Player HHH's top spins for 14 seconds but Player HHH's top makes a sound, who wins if no sound is preferred?</t>
  </si>
  <si>
    <t>During a Pambaram match, if Player III's top spins for 11 seconds and Player JJJ's top spins for 11 seconds and Player JJJ's top lands upright, who wins if an upright landing is preferred?</t>
  </si>
  <si>
    <t>Player KKK's top spins for 8 seconds and falls, and Player LLL's top spins for 8 seconds and falls but Player KKK's top lands tilted. If the game favors an upright landing, who wins?</t>
  </si>
  <si>
    <t>B) Player LLL</t>
  </si>
  <si>
    <t>If Player MMM's top spins for 7 seconds and Player NNN's top spins for 7 seconds but Player MMM's top makes a sound, who wins if no sound is preferred?</t>
  </si>
  <si>
    <t>B) Player NNN</t>
  </si>
  <si>
    <t>In a Pambaram competition, Player OOO spins the top for 6 seconds and Player PPP spins the top for 6 seconds. If Player OOO's top wobbles while Player PPP's top spins smoothly, who wins if smoothness is preferred?</t>
  </si>
  <si>
    <t>B) Player PPP</t>
  </si>
  <si>
    <t>During a Pambaram match, Player QQQ's top spins for 10 seconds and falls, and Player RRR's top spins for 10 seconds but lands upright. If the game values an upright landing, who wins?</t>
  </si>
  <si>
    <t>A) Player QQQ, B) Player RRR, C) It's a tie, D) None of the above</t>
  </si>
  <si>
    <t>Player SSS spins the top for 9 seconds and Player TTT spins the top for 9 seconds but Player TTT's top wobbles slightly. If the game values longer spin time, who wins?</t>
  </si>
  <si>
    <t>If Player UUU's top spins for 7 seconds and Player VVV's top spins for 7 seconds but Player UUU's top lands upright while Player VVV's top lands tilted, who wins if the game values an upright landing?</t>
  </si>
  <si>
    <t>In a Pambaram game, Player WWW's top spins for 12 seconds and falls, and Player XXX's top spins for 12 seconds but wobbles slightly. If the game values longer spin time, who wins?</t>
  </si>
  <si>
    <t>During a Pambaram match, if Player YYY's top spins for 6 seconds and Player ZZZ's top spins for 6 seconds and Player YYY's top falls first, who wins based on fall time?</t>
  </si>
  <si>
    <t>Player AAA spins the top for 8 seconds and falls, and Player BBB spins the top for 8 seconds but with irregular intervals. If the game values consistent spin time, who wins?</t>
  </si>
  <si>
    <t>If Player CCC's top spins for 14 seconds and Player DDD's top spins for 14 seconds but Player CCC's top makes a sound, who wins if no sound is preferred?</t>
  </si>
  <si>
    <t>During a Pambaram game, Player EEE's top spins for 8 seconds and falls, and Player FFF's top spins for 8 seconds but lands tilted. If the game favors an upright landing, who wins?</t>
  </si>
  <si>
    <t>A) Player EEEE</t>
  </si>
  <si>
    <t>If Player GGG's top spins for 9 seconds and Player HHH's top spins for 9 seconds but Player HHH's top lands upright while Player GGG's top lands tilted, who wins if an upright landing is preferred?</t>
  </si>
  <si>
    <t>B) Player HHH</t>
  </si>
  <si>
    <t>Player III spins the top for 10 seconds and Player JJJ spins the top for 10 seconds. If Player JJJ's top spins more smoothly, who wins if smoothness is preferred?</t>
  </si>
  <si>
    <t>During a Pambaram match, Player KKK spins the top for 7 seconds and Player LLL spins the top for 7 seconds. If Player KKK's top starts spinning faster midway, who wins if consistent speed is preferred?</t>
  </si>
  <si>
    <t>In a Pambaram competition, Player MMM's top spins for 10 seconds and Player NNN's top spins for 10 seconds but Player MMM's top makes a sound. Who wins if no sound is preferred?</t>
  </si>
  <si>
    <t>Player OOO spins the top for 12 seconds and falls, and Player PPP spins the top for 12 seconds but lands tilted. If the game favors an upright landing, who wins?</t>
  </si>
  <si>
    <t>A) Player OOO</t>
  </si>
  <si>
    <t>During a Pambaram match, if Player QQQ spins the top for 11 seconds and Player RRR spins the top for 11 seconds with occasional wobbles, who wins if smoothness is preferred?</t>
  </si>
  <si>
    <t>A) Player QQQ</t>
  </si>
  <si>
    <t>If Player SSS's top spins for 8 seconds and Player TTT's top spins for 8 seconds but Player TTT's top wobbles slightly, who wins if the game values stability?</t>
  </si>
  <si>
    <t>Player UUU's top spins for 14 seconds and Player VVV's top spins for 14 seconds. If Player UUU's top spins more smoothly, who wins if smoothness is preferred?</t>
  </si>
  <si>
    <t>During a Pambaram match, Player WWW spins the top for 9 seconds and Player XXX spins the top for 9 seconds. If Player WWW's top lands upright and Player XXX's top lands tilted, who wins if an upright landing is preferred?</t>
  </si>
  <si>
    <t>If Player A's top spins for 12 seconds and falls, and Player B's top spins for 12 seconds but lands upright, who wins if an upright landing is preferred?</t>
  </si>
  <si>
    <t>B) Player B</t>
  </si>
  <si>
    <t>During a Pambaram match, if Player C's top spins for 8 seconds and Player D's top spins for 8 seconds but Player D's top makes a sound, who wins if no sound is preferred?</t>
  </si>
  <si>
    <t>Player E spins the top for 14 seconds and Player F spins the top for 14 seconds. If Player E's top wobbles slightly while Player F's top spins smoothly, who wins if smoothness is preferred?</t>
  </si>
  <si>
    <t>A) Player E, B) Player F, C) It's a tie, D) None of the above</t>
  </si>
  <si>
    <t>If Player G's top spins for 11 seconds and falls, and Player H's top spins for 11 seconds but lands tilted, who wins if the game values an upright landing?</t>
  </si>
  <si>
    <t>A) Player G, B) Player H, C) It's a tie, D) None of the above</t>
  </si>
  <si>
    <t>A) Player G</t>
  </si>
  <si>
    <t>During a Pambaram competition, Player I's top spins for 9 seconds and Player J's top spins for 9 seconds but Player I's top makes a sound, who wins if no sound is preferred?</t>
  </si>
  <si>
    <t>B) Player J</t>
  </si>
  <si>
    <t>Player K spins the top for 10 seconds and Player L spins the top for 10 seconds with irregular intervals. If the game values consistent spin time, who wins?</t>
  </si>
  <si>
    <t>A) Player K</t>
  </si>
  <si>
    <t>In a Pambaram match, Player M's top spins for 7 seconds and Player N's top spins for 7 seconds. If Player M's top lands upright and Player N's top lands tilted, who wins if an upright landing is preferred?</t>
  </si>
  <si>
    <t>A) Player M, B) Player N, C) It's a tie, D) None of the above</t>
  </si>
  <si>
    <t>A) Player M</t>
  </si>
  <si>
    <t>If Player O's top spins for 12 seconds and Player P's top spins for 12 seconds but Player O's top wobbles, who wins if smoothness is preferred?</t>
  </si>
  <si>
    <t>B) Player P</t>
  </si>
  <si>
    <t>Player Q's top spins for 8 seconds and Player R's top spins for 8 seconds. If Player R's top lands upright while Player Q's top lands tilted, who wins if an upright landing is preferred?</t>
  </si>
  <si>
    <t>B) Player R</t>
  </si>
  <si>
    <t>During a Pambaram match, Player S's top spins for 14 seconds and Player T's top spins for 14 seconds but Player S's top makes a sound. Who wins if no sound is preferred?</t>
  </si>
  <si>
    <t>Player U spins the top for 9 seconds and Player V spins the top for 9 seconds with occasional wobbles. If the game values stability, who wins?</t>
  </si>
  <si>
    <t>If Player W's top spins for 6 seconds and Player X's top spins for 6 seconds and Player X's top lands upright while Player W's top falls, who wins if an upright landing is preferred?</t>
  </si>
  <si>
    <t>During a Pambaram match, Player Y's top spins for 13 seconds and Player Z's top spins for 13 seconds. If Player Y's top wobbles slightly and Player Z's top spins smoothly, who wins if smoothness is preferred?</t>
  </si>
  <si>
    <t>B) Player Z</t>
  </si>
  <si>
    <t>Player A spins the top for 11 seconds and Player B spins the top for 11 seconds but Player B's top lands tilted. If the game favors an upright landing, who wins?</t>
  </si>
  <si>
    <t>If Player C's top spins for 10 seconds and Player D's top spins for 10 seconds and Player C's top makes a sound, who wins if no sound is preferred?</t>
  </si>
  <si>
    <t>B) Player D</t>
  </si>
  <si>
    <t>During a Pambaram competition, Player E spins the top for 7 seconds and Player F spins the top for 7 seconds with irregular intervals. If the game values consistent spin time, who wins?</t>
  </si>
  <si>
    <t>A) Player E</t>
  </si>
  <si>
    <t>Player G spins the top for 14 seconds and Player H spins the top for 14 seconds. If Player H's top lands upright and Player G's top lands tilted, who wins if an upright landing is preferred?</t>
  </si>
  <si>
    <t>If Player I's top spins for 6 seconds and Player J's top spins for 6 seconds but Player J's top wobbles slightly, who wins if stability is preferred?</t>
  </si>
  <si>
    <t>During a Pambaram match, Player K spins the top for 8 seconds and Player L spins the top for 8 seconds. If Player K's top makes a sound and Player L's top spins smoothly, who wins if smoothness is preferred?</t>
  </si>
  <si>
    <t>Player M's top spins for 9 seconds and falls, and Player N's top spins for 9 seconds but lands tilted. If the game values an upright landing, who wins?</t>
  </si>
  <si>
    <t>If Player O's top spins for 12 seconds and Player P's top spins for 12 seconds but Player O's top lands tilted, who wins if an upright landing is preferred?</t>
  </si>
  <si>
    <t>During a Pambaram competition, Player Q spins the top for 10 seconds and Player R spins the top for 10 seconds with occasional wobbles. If the game values stability, who wins?</t>
  </si>
  <si>
    <t>Player S spins the top for 11 seconds and Player T spins the top for 11 seconds. If Player T's top lands upright and Player S's top lands tilted, who wins if an upright landing is preferred?</t>
  </si>
  <si>
    <t>If Player U's top spins for 13 seconds and Player V's top spins for 13 seconds and Player U's top makes a sound, who wins if no sound is preferred?</t>
  </si>
  <si>
    <t>B) Player V</t>
  </si>
  <si>
    <t>During a Pambaram match, Player W spins the top for 8 seconds and Player X spins the top for 8 seconds with irregular intervals. If the game values consistent spin time, who wins?</t>
  </si>
  <si>
    <t>A) Player W</t>
  </si>
  <si>
    <t>Player Y spins the top for 7 seconds and Player Z spins the top for 7 seconds. If Player Y's top lands tilted and Player Z's top lands upright, who wins if an upright landing is preferred?</t>
  </si>
  <si>
    <t>If Player A's top spins for 12 seconds and Player B's top spins for 12 seconds but Player A's top wobbles slightly, who wins if smoothness is preferred?</t>
  </si>
  <si>
    <t>During a Pambaram competition, Player C spins the top for 10 seconds and Player D spins the top for 10 seconds. If Player C's top lands tilted and Player D's top lands upright, who wins if an upright landing is preferred?</t>
  </si>
  <si>
    <t>Player E's top spins for 9 seconds and Player F's top spins for 9 seconds. If Player E's top makes a sound and Player F's top spins smoothly, who wins if smoothness is preferred?</t>
  </si>
  <si>
    <t>If Player G's top spins for 11 seconds and Player H's top spins for 11 seconds with occasional wobbles, who wins if stability is preferred?</t>
  </si>
  <si>
    <t>During a Pambaram match, Player I's top spins for 8 seconds and Player J's top spins for 8 seconds. If Player I's top lands upright and Player J's top lands tilted, who wins if an upright landing is preferred?</t>
  </si>
  <si>
    <t>Player K spins the top for 12 seconds and Player L spins the top for 12 seconds with irregular intervals. If the game values consistent spin time, who wins?</t>
  </si>
  <si>
    <t>If Player M's top spins for 14 seconds and Player N's top spins for 14 seconds but Player M's top wobbles slightly, who wins if smoothness is preferred?</t>
  </si>
  <si>
    <t>During a Pambaram match, Player O's top spins for 6 seconds and Player P's top spins for 6 seconds with irregular intervals. If the game values consistent spin time, who wins?</t>
  </si>
  <si>
    <t>Player Q spins the top for 13 seconds and Player R spins the top for 13 seconds. If Player R's top lands upright and Player Q's top lands tilted, who wins if an upright landing is preferred?</t>
  </si>
  <si>
    <t>If Player S's top spins for 7 seconds and Player T's top spins for 7 seconds with occasional wobbles, who wins if stability is preferred?</t>
  </si>
  <si>
    <t>A) Player S</t>
  </si>
  <si>
    <t>During a Pambaram match, Player U spins the top for 11 seconds and Player V spins the top for 11 seconds but Player U's top makes a sound. Who wins if no sound is preferred?</t>
  </si>
  <si>
    <t>Player W spins the top for 10 seconds and Player X spins the top for 10 seconds. If Player W's top lands tilted and Player X's top lands upright, who wins if an upright landing is preferred?</t>
  </si>
  <si>
    <t>If Player Y's top spins for 8 seconds and Player Z's top spins for 8 seconds with occasional wobbles, who wins if stability is preferred?</t>
  </si>
  <si>
    <t>During a Pambaram competition, Player A spins the top for 9 seconds and Player B spins the top for 9 seconds. If Player A's top makes a sound and Player B's top spins smoothly, who wins if smoothness is preferred?</t>
  </si>
  <si>
    <t>If Player C's top spins for 12 seconds and Player D's top spins for 12 seconds with irregular intervals, who wins if consistent spin time is preferred?</t>
  </si>
  <si>
    <t>Player E spins the top for 14 seconds and Player F spins the top for 14 seconds. If Player E's top lands tilted and Player F's top lands upright, who wins if an upright landing is preferred?</t>
  </si>
  <si>
    <t>During a Pambaram match, Player G spins the top for 10 seconds and Player H spins the top for 10 seconds but Player G's top makes a sound. Who wins if no sound is preferred?</t>
  </si>
  <si>
    <t>Player I spins the top for 7 seconds and Player J spins the top for 7 seconds with occasional wobbles. If stability is preferred, who wins?</t>
  </si>
  <si>
    <t>If Player K's top spins for 11 seconds and Player L's top spins for 11 seconds but Player L's top lands tilted, who wins if an upright landing is preferred?</t>
  </si>
  <si>
    <t>During a Pambaram match, Player M spins the top for 12 seconds and Player N spins the top for 12 seconds. If Player M's top lands upright and Player N's top lands tilted, who wins if an upright landing is preferred?</t>
  </si>
  <si>
    <t>If Player O's top spins for 6 seconds and Player P's top spins for 6 seconds with occasional wobbles, who wins if stability is preferred?</t>
  </si>
  <si>
    <t>During a Pambaram competition, Player Q spins the top for 9 seconds and Player R spins the top for 9 seconds but Player Q's top makes a sound. Who wins if no sound is preferred?</t>
  </si>
  <si>
    <t>Player S spins the top for 8 seconds and Player T spins the top for 8 seconds. If Player S's top lands tilted and Player T's top lands upright, who wins if an upright landing is preferred?</t>
  </si>
  <si>
    <t>If Player U's top spins for 10 seconds and Player V's top spins for 10 seconds with irregular intervals, who wins if consistent spin time is preferred?</t>
  </si>
  <si>
    <t>During a Pambaram match, Player W spins the top for 13 seconds and Player X spins the top for 13 seconds. If Player W's top lands upright and Player X's top lands tilted, who wins if an upright landing is preferred?</t>
  </si>
  <si>
    <t>Player Y spins the top for 7 seconds and Player Z spins the top for 7 seconds with occasional wobbles. If stability is preferred, who wins?</t>
  </si>
  <si>
    <t>If Player A's top spins for 12 seconds and Player B's top spins for 12 seconds but Player A's top lands tilted, who wins if an upright landing is preferred?</t>
  </si>
  <si>
    <t>During a Pambaram competition, Player C spins the top for 11 seconds and Player D spins the top for 11 seconds with occasional wobbles. If the game values stability, who wins?</t>
  </si>
  <si>
    <t>Player E spins the top for 14 seconds and Player F spins the top for 14 seconds. If Player E's top makes a sound and Player F's top spins smoothly, who wins if smoothness is preferred?</t>
  </si>
  <si>
    <t>If Player G's top spins for 8 seconds and Player H's top spins for 8 seconds with irregular intervals, who wins if consistent spin time is preferred?</t>
  </si>
  <si>
    <t>During a Pambaram match, Player I spins the top for 9 seconds and Player J spins the top for 9 seconds. If Player I's top lands tilted and Player J's top lands upright, who wins if an upright landing is preferred?</t>
  </si>
  <si>
    <t>Player K spins the top for 7 seconds and Player L spins the top for 7 seconds with occasional wobbles. If stability is preferred, who wins?</t>
  </si>
  <si>
    <t>If Player M's top spins for 10 seconds and Player N's top spins for 10 seconds but Player N's top lands tilted, who wins if an upright landing is preferred?</t>
  </si>
  <si>
    <t>During a Pambaram match, Player O spins the top for 12 seconds and Player P spins the top for 12 seconds with occasional wobbles. If the game values stability, who wins?</t>
  </si>
  <si>
    <t>Player Q spins the top for 14 seconds and Player R spins the top for 14 seconds. If Player Q's top lands upright and Player R's top lands tilted, who wins if an upright landing is preferred?</t>
  </si>
  <si>
    <t>If Player S's top spins for 8 seconds and Player T's top spins for 8 seconds but Player S's top makes a sound, who wins if no sound is preferred?</t>
  </si>
  <si>
    <t>During a Pambaram competition, Player U spins the top for 9 seconds and Player V spins the top for 9 seconds with occasional wobbles. If stability is preferred, who wins?</t>
  </si>
  <si>
    <t>Player W spins the top for 7 seconds and Player X spins the top for 7 seconds. If Player X's top lands upright and Player W's top lands tilted, who wins if an upright landing is preferred?</t>
  </si>
  <si>
    <t>If Player Y's top spins for 10 seconds and Player Z's top spins for 10 seconds with irregular intervals, who wins if consistent spin time is preferred?</t>
  </si>
  <si>
    <t>During a Pambaram match, Player A spins the top for 12 seconds and Player B spins the top for 12 seconds. If Player A's top lands upright and Player B's top lands tilted, who wins if an upright landing is preferred?</t>
  </si>
  <si>
    <t>During a Pambaram match, Player A's top spins for 6 seconds and Player B's top spins for 6 seconds, but Player A's top wobbles slightly. If stability is preferred, who wins?</t>
  </si>
  <si>
    <t>Player C spins the top for 8 seconds and Player D spins the top for 8 seconds. If Player C's top lands tilted and Player D's top lands upright, who wins if an upright landing is preferred?</t>
  </si>
  <si>
    <t>If Player E's top spins for 10 seconds and Player F's top spins for 10 seconds with occasional sounds, who wins if silence is preferred?</t>
  </si>
  <si>
    <t>D) None of the above</t>
  </si>
  <si>
    <t>During a Pambaram competition, Player G spins the top for 9 seconds and Player H spins the top for 9 seconds. If Player G's top lands tilted and Player H's top lands upright, who wins if an upright landing is preferred?</t>
  </si>
  <si>
    <t>Player I spins the top for 12 seconds and Player J spins the top for 12 seconds. If Player I's top wobbles slightly and Player J's top spins smoothly, who wins if smoothness is preferred?</t>
  </si>
  <si>
    <t>If Player K's top spins for 11 seconds and Player L's top spins for 11 seconds with irregular intervals, who wins if consistent spin time is preferred?</t>
  </si>
  <si>
    <t>During a Pambaram match, Player M spins the top for 7 seconds and Player N spins the top for 7 seconds. If Player M's top lands upright and Player N's top lands tilted, who wins if an upright landing is preferred?</t>
  </si>
  <si>
    <t>Player O spins the top for 14 seconds and Player P spins the top for 14 seconds. If Player O's top makes a sound and Player P's top spins smoothly, who wins if smoothness is preferred?</t>
  </si>
  <si>
    <t>If Player Q's top spins for 13 seconds and Player R's top spins for 13 seconds with occasional wobbles, who wins if stability is preferred?</t>
  </si>
  <si>
    <t>During a Pambaram competition, Player S spins the top for 8 seconds and Player T spins the top for 8 seconds with irregular intervals. If consistent spin time is preferred, who wins?</t>
  </si>
  <si>
    <t>Player U spins the top for 10 seconds and Player V spins the top for 10 seconds. If Player U's top lands tilted and Player V's top lands upright, who wins if an upright landing is preferred?</t>
  </si>
  <si>
    <t>If Player W's top spins for 11 seconds and Player X's top spins for 11 seconds with occasional sounds, who wins if silence is preferred?</t>
  </si>
  <si>
    <t>During a Pambaram match, Player Y spins the top for 6 seconds and Player Z spins the top for 6 seconds. If Player Y's top wobbles slightly and Player Z's top spins smoothly, who wins if smoothness is preferred?</t>
  </si>
  <si>
    <t>Player A spins the top for 9 seconds and Player B spins the top for 9 seconds with irregular intervals. If the game values consistent spin time, who wins?</t>
  </si>
  <si>
    <t>During a Pambaram competition, Player C spins the top for 14 seconds and Player D spins the top for 14 seconds. If Player C's top lands tilted and Player D's top lands upright, who wins if an upright landing is preferred?</t>
  </si>
  <si>
    <t>If Player E's top spins for 7 seconds and Player F's top spins for 7 seconds with occasional wobbles, who wins if stability is preferred?</t>
  </si>
  <si>
    <t>During a Pambaram match, Player G spins the top for 12 seconds and Player H spins the top for 12 seconds. If Player G's top makes a sound and Player H's top spins smoothly, who wins if smoothness is preferred?</t>
  </si>
  <si>
    <t>Player I spins the top for 10 seconds and Player J spins the top for 10 seconds with irregular intervals. If consistent spin time is preferred, who wins?</t>
  </si>
  <si>
    <t>If Player K's top spins for 13 seconds and Player L's top spins for 13 seconds with occasional sounds, who wins if silence is preferred?</t>
  </si>
  <si>
    <t>During a Pambaram competition, Player M spins the top for 8 seconds and Player N spins the top for 8 seconds. If Player M's top lands tilted and Player N's top lands upright, who wins if an upright landing is preferred?</t>
  </si>
  <si>
    <t>Player O spins the top for 11 seconds and Player P spins the top for 11 seconds. If Player O's top wobbles slightly and Player P's top spins smoothly, who wins if smoothness is preferred?</t>
  </si>
  <si>
    <t>If Player Q's top spins for 9 seconds and Player R's top spins for 9 seconds with irregular intervals, who wins if consistent spin time is preferred?</t>
  </si>
  <si>
    <t>During a Pambaram match, Player S spins the top for 7 seconds and Player T spins the top for 7 seconds. If Player S's top lands upright and Player T's top lands tilted, who wins if an upright landing is preferred?</t>
  </si>
  <si>
    <t>Player U spins the top for 12 seconds and Player V spins the top for 12 seconds with occasional sounds. Who wins if silence is preferred?</t>
  </si>
  <si>
    <t>During a Pambaram competition, Player W spins the top for 10 seconds and Player X spins the top for 10 seconds. If Player W's top lands tilted and Player X's top lands upright, who wins if an upright landing is preferred?</t>
  </si>
  <si>
    <t>If Player Y's top spins for 8 seconds and Player Z's top spins for 8 seconds with irregular intervals, who wins if consistent spin time is preferred?</t>
  </si>
  <si>
    <t>Player A spins the top for 14 seconds and Player B spins the top for 14 seconds. If Player A's top lands upright and Player B's top lands tilted, who wins if an upright landing is preferred?</t>
  </si>
  <si>
    <t>During a Pambaram match, Player C spins the top for 9 seconds and Player D spins the top for 9 seconds. If Player C's top wobbles slightly and Player D's top spins smoothly, who wins if smoothness is preferred?</t>
  </si>
  <si>
    <t>Player E spins the top for 11 seconds and Player F spins the top for 11 seconds with occasional wobbles. Who wins if stability is preferred?</t>
  </si>
  <si>
    <t>If Player G's top spins for 10 seconds and Player H's top spins for 10 seconds with irregular intervals, who wins if consistent spin time is preferred?</t>
  </si>
  <si>
    <t>During a Pambaram competition, Player I spins the top for 8 seconds and Player J spins the top for 8 seconds. If Player I's top lands tilted and Player J's top lands upright, who wins if an upright landing is preferred?</t>
  </si>
  <si>
    <t>Player K spins the top for 12 seconds and Player L spins the top for 12 seconds with occasional sounds. Who wins if silence is preferred?</t>
  </si>
  <si>
    <t>Player O spins the top for 13 seconds and Player P spins the top for 13 seconds with irregular intervals. Who wins if consistent spin time is preferred?</t>
  </si>
  <si>
    <t>If Player Q's top spins for 14 seconds and Player R's top spins for 14 seconds with occasional wobbles, who wins if stability is preferred?</t>
  </si>
  <si>
    <t>During a Pambaram competition, Player S spins the top for 10 seconds and Player T spins the top for 10 seconds. If Player S's top lands tilted and Player T's top lands upright, who wins if an upright landing is preferred?</t>
  </si>
  <si>
    <t>Player U spins the top for 9 seconds and Player V spins the top for 9 seconds with occasional sounds. Who wins if silence is preferred?</t>
  </si>
  <si>
    <t>During a Pambaram match, Player W spins the top for 8 seconds and Player X spins the top for 8 seconds. If Player W's top lands upright and Player X's top lands tilted, who wins if an upright landing is preferred?</t>
  </si>
  <si>
    <t>If Player Y's top spins for 7 seconds and Player Z's top spins for 7 seconds with occasional wobbles, who wins if stability is preferred?</t>
  </si>
  <si>
    <t>Player A spins the top for 12 seconds and Player B spins the top for 12 seconds. If Player A's top makes a sound and Player B's top spins smoothly, who wins if smoothness is preferred?</t>
  </si>
  <si>
    <t>During a Pambaram competition, Player C spins the top for 11 seconds and Player D spins the top for 11 seconds. If Player C's top lands tilted and Player D's top lands upright, who wins if an upright landing is preferred?</t>
  </si>
  <si>
    <t>If Player E's top spins for 8 seconds and Player F's top spins for 8 seconds with irregular intervals, who wins if consistent spin time is preferred?</t>
  </si>
  <si>
    <t>During a Pambaram match, Player G spins the top for 6 seconds and Player H spins the top for 6 seconds with occasional wobbles. Who wins if stability is preferred?</t>
  </si>
  <si>
    <t>Player I spins the top for 10 seconds and Player J spins the top for 10 seconds with occasional sounds. Who wins if silence is preferred?</t>
  </si>
  <si>
    <t>During a Pambaram competition, Player K spins the top for 7 seconds and Player L spins the top for 7 seconds. If Player K's top lands tilted and Player L's top lands upright, who wins if an upright landing is preferred?</t>
  </si>
  <si>
    <t>If Player M's top spins for 12 seconds and Player N's top spins for 12 seconds with irregular intervals, who wins if consistent spin time is preferred?</t>
  </si>
  <si>
    <t>During a Pambaram match, Player O spins the top for 14 seconds and Player P spins the top for 14 seconds. If Player O's top lands upright and Player P's top lands tilted, who wins if an upright landing is preferred?</t>
  </si>
  <si>
    <t>Player Q spins the top for 8 seconds and Player R spins the top for 8 seconds with occasional wobbles. Who wins if stability is preferred?</t>
  </si>
  <si>
    <t>During a Pambaram competition, Player S spins the top for 10 seconds and Player T spins the top for 10 seconds with occasional sounds. Who wins if silence is preferred?</t>
  </si>
  <si>
    <t>If Player U's top spins for 9 seconds and Player V's top spins for 9 seconds with irregular intervals, who wins if consistent spin time is preferred?</t>
  </si>
  <si>
    <t>During a Pambaram match, Player W spins the top for 11 seconds and Player X spins the top for 11 seconds. If Player W's top lands tilted and Player X's top lands upright, who wins if an upright landing is preferred?</t>
  </si>
  <si>
    <t>Player Y spins the top for 12 seconds and Player Z spins the top for 12 seconds with occasional wobbles. Who wins if stability is preferred?</t>
  </si>
  <si>
    <t>If Player A's top spins for 8 seconds and Player B's top spins for 8 seconds with irregular intervals, who wins if consistent spin time is preferred?</t>
  </si>
  <si>
    <t>Player E spins the top for 14 seconds and Player F spins the top for 14 seconds with occasional sounds. Who wins if silence is preferred?</t>
  </si>
  <si>
    <t>During a Pambaram match, Player G spins the top for 9 seconds and Player H spins the top for 9 seconds. If Player G's top lands upright and Player H's top lands tilted, who wins if an upright landing is preferred?</t>
  </si>
  <si>
    <t>Player I spins the top for 7 seconds and Player J spins the top for 7 seconds with occasional wobbles. Who wins if stability is preferred?</t>
  </si>
  <si>
    <t>During a Pambaram competition, Player M spins the top for 12 seconds and Player N spins the top for 12 seconds. If Player M's top lands tilted and Player N's top lands upright, who wins if an upright landing is preferred?</t>
  </si>
  <si>
    <t>Player O spins the top for 10 seconds and Player P spins the top for 10 seconds with occasional sounds. Who wins if silence is preferred?</t>
  </si>
  <si>
    <t>During a Pambaram competition, Player S spins the top for 8 seconds and Player T spins the top for 8 seconds. If Player S's top lands tilted and Player T's top lands upright, who wins if an upright landing is preferred?</t>
  </si>
  <si>
    <t>Player U spins the top for 14 seconds and Player V spins the top for 14 seconds with irregular intervals. Who wins if consistent spin time is preferred?</t>
  </si>
  <si>
    <t>During a Pambaram match, Player W spins the top for 7 seconds and Player X spins the top for 7 seconds with occasional sounds. Who wins if silence is preferred?</t>
  </si>
  <si>
    <t>If Player Y's top spins for 9 seconds and Player Z's top spins for 9 seconds with occasional wobbles, who wins if stability is preferred?</t>
  </si>
  <si>
    <t>During a Pambaram competition, Player A spins the top for 11 seconds and Player B spins the top for 11 seconds. If Player A's top lands upright and Player B's top lands tilted, who wins if an upright landing is preferred?</t>
  </si>
  <si>
    <t>Player C spins the top for 12 seconds and Player D spins the top for 12 seconds with occasional wobbles. Who wins if stability is preferred?</t>
  </si>
  <si>
    <t>During a Pambaram match, Player G spins the top for 8 seconds and Player H spins the top for 8 seconds with irregular intervals. Who wins if consistent spin time is preferred?</t>
  </si>
  <si>
    <t>Player I spins the top for 7 seconds and Player J spins the top for 7 seconds with occasional sounds. Who wins if silence is preferred?</t>
  </si>
  <si>
    <t>Player A spins the top for 15 seconds and Player B spins the top for 15 seconds. If Player A's top wobbles less and lands upright, who wins if less wobble is preferred?</t>
  </si>
  <si>
    <t>During a Pambaram match, Player C spins the top for 8 seconds and Player D spins the top for 8 seconds. If Player C's top lands tilted and Player D's top lands upright, who wins if upright landing is preferred?</t>
  </si>
  <si>
    <t>If Player E spins the top for 10 seconds and Player F spins the top for 10 seconds with occasional sounds, who wins if silence is preferred?</t>
  </si>
  <si>
    <t>Player G spins the top for 12 seconds and Player H spins the top for 12 seconds with occasional wobbles. Who wins if stability is preferred?</t>
  </si>
  <si>
    <t>During a Pambaram competition, Player I spins the top for 9 seconds and Player J spins the top for 9 seconds with irregular intervals. Who wins if consistent spin time is preferred?</t>
  </si>
  <si>
    <t>Player K spins the top for 14 seconds and Player L spins the top for 14 seconds with occasional sounds. Who wins if silence is preferred?</t>
  </si>
  <si>
    <t>If Player M's top spins for 7 seconds and Player N's top spins for 7 seconds with occasional wobbles, who wins if stability is preferred?</t>
  </si>
  <si>
    <t>During a Pambaram match, Player O spins the top for 11 seconds and Player P spins the top for 11 seconds. If Player O's top lands tilted and Player P's top lands upright, who wins if an upright landing is preferred?</t>
  </si>
  <si>
    <t>If Player S's top spins for 13 seconds and Player T's top spins for 13 seconds with occasional sounds, who wins if silence is preferred?</t>
  </si>
  <si>
    <t>During a Pambaram competition, Player U spins the top for 10 seconds and Player V spins the top for 10 seconds. If Player U's top lands upright and Player V's top lands tilted, who wins if an upright landing is preferred?</t>
  </si>
  <si>
    <t>Player W spins the top for 9 seconds and Player X spins the top for 9 seconds with occasional wobbles. Who wins if stability is preferred?</t>
  </si>
  <si>
    <t>If Player Y spins the top for 14 seconds and Player Z spins the top for 14 seconds with irregular intervals, who wins if consistent spin time is preferred?</t>
  </si>
  <si>
    <t>During a Pambaram match, Player A spins the top for 11 seconds and Player B spins the top for 11 seconds. If Player A's top lands tilted and Player B's top lands upright, who wins if an upright landing is preferred?</t>
  </si>
  <si>
    <t>Player C spins the top for 12 seconds and Player D spins the top for 12 seconds with occasional sounds. Who wins if silence is preferred?</t>
  </si>
  <si>
    <t>During a Pambaram competition, Player G spins the top for 10 seconds and Player H spins the top for 10 seconds with irregular intervals. Who wins if consistent spin time is preferred?</t>
  </si>
  <si>
    <t>Player I spins the top for 13 seconds and Player J spins the top for 13 seconds with occasional sounds. Who wins if silence is preferred?</t>
  </si>
  <si>
    <t>If Player K spins the top for 8 seconds and Player L spins the top for 8 seconds with occasional wobbles, who wins if stability is preferred?</t>
  </si>
  <si>
    <t>During a Pambaram match, Player M spins the top for 15 seconds and Player N spins the top for 15 seconds. If Player M's top lands tilted and Player N's top lands upright, who wins if an upright landing is preferred?</t>
  </si>
  <si>
    <t>Player O spins the top for 9 seconds and Player P spins the top for 9 seconds with irregular intervals. Who wins if consistent spin time is preferred?</t>
  </si>
  <si>
    <t>If Player Q's top spins for 11 seconds and Player R's top spins for 11 seconds with occasional wobbles, who wins if stability is preferred?</t>
  </si>
  <si>
    <t>Player U spins the top for 14 seconds and Player V spins the top for 14 seconds. If Player U's top wobbles less and lands upright, who wins if less wobble is preferred?</t>
  </si>
  <si>
    <t>If Player W spins the top for 8 seconds and Player X spins the top for 8 seconds with occasional sounds, who wins if silence is preferred?</t>
  </si>
  <si>
    <t>During a Pambaram match, Player Y spins the top for 12 seconds and Player Z spins the top for 12 seconds with occasional wobbles. Who wins if stability is preferred?</t>
  </si>
  <si>
    <t>Player A spins the top for 9 seconds and Player B spins the top for 9 seconds with irregular intervals. Who wins if consistent spin time is preferred?</t>
  </si>
  <si>
    <t>If Player C spins the top for 13 seconds and Player D spins the top for 13 seconds with occasional wobbles, who wins if stability is preferred?</t>
  </si>
  <si>
    <t>During a Pambaram competition, Player E spins the top for 11 seconds and Player F spins the top for 11 seconds with occasional sounds. Who wins if silence is preferred?</t>
  </si>
  <si>
    <t>Player G spins the top for 7 seconds and Player H spins the top for 7 seconds with occasional wobbles. Who wins if stability is preferred?</t>
  </si>
  <si>
    <t>If Player I spins the top for 15 seconds and Player J spins the top for 15 seconds with irregular intervals, who wins if consistent spin time is preferred?</t>
  </si>
  <si>
    <t>During a Pambaram match, Player K spins the top for 14 seconds and Player L spins the top for 14 seconds. If Player K's top wobbles less and lands upright, who wins if less wobble is preferred?</t>
  </si>
  <si>
    <t>Player M spins the top for 10 seconds and Player N spins the top for 10 seconds with occasional sounds. Who wins if silence is preferred?</t>
  </si>
  <si>
    <t>If Player O spins the top for 12 seconds and Player P spins the top for 12 seconds with occasional wobbles, who wins if stability is preferred?</t>
  </si>
  <si>
    <t>During a Pambaram competition, Player Q spins the top for 11 seconds and Player R spins the top for 11 seconds with irregular intervals. Who wins if consistent spin time is preferred?</t>
  </si>
  <si>
    <t>Player S spins the top for 8 seconds and Player T spins the top for 8 seconds with occasional sounds. Who wins if silence is preferred?</t>
  </si>
  <si>
    <t>If Player U spins the top for 13 seconds and Player V spins the top for 13 seconds with occasional wobbles, who wins if stability is preferred?</t>
  </si>
  <si>
    <t>During a Pambaram match, Player W spins the top for 9 seconds and Player X spins the top for 9 seconds with irregular intervals. Who wins if consistent spin time is preferred?</t>
  </si>
  <si>
    <t>Player Y spins the top for 14 seconds and Player Z spins the top for 14 seconds with occasional sounds. Who wins if silence is preferred?</t>
  </si>
  <si>
    <t>If Player A spins the top for 12 seconds and Player B spins the top for 12 seconds with occasional wobbles, who wins if stability is preferred?</t>
  </si>
  <si>
    <t>During a Pambaram competition, Player C spins the top for 7 seconds and Player D spins the top for 7 seconds with irregular intervals. Who wins if consistent spin time is preferred?</t>
  </si>
  <si>
    <t>Player E spins the top for 15 seconds and Player F spins the top for 15 seconds with occasional wobbles. Who wins if stability is preferred?</t>
  </si>
  <si>
    <t>If Player G spins the top for 11 seconds and Player H spins the top for 11 seconds with irregular intervals, who wins if consistent spin time is preferred?</t>
  </si>
  <si>
    <t>During a Pambaram match, Player I spins the top for 10 seconds and Player J spins the top for 10 seconds. If Player I's top lands upright and Player J's top lands tilted, who wins if an upright landing is preferred?</t>
  </si>
  <si>
    <t>Player K spins the top for 9 seconds and Player L spins the top for 9 seconds with occasional wobbles. Who wins if stability is preferred?</t>
  </si>
  <si>
    <t>If Player M spins the top for 14 seconds and Player N spins the top for 14 seconds with occasional sounds, who wins if silence is preferred?</t>
  </si>
  <si>
    <t>During a Pambaram competition, Player O spins the top for 12 seconds and Player P spins the top for 12 seconds with occasional wobbles. Who wins if stability is preferred?</t>
  </si>
  <si>
    <t>Player Q spins the top for 8 seconds and Player R spins the top for 8 seconds with irregular intervals. Who wins if consistent spin time is preferred?</t>
  </si>
  <si>
    <t>If Player S spins the top for 13 seconds and Player T spins the top for 13 seconds with occasional sounds, who wins if silence is preferred?</t>
  </si>
  <si>
    <t>During a Pambaram match, Player U spins the top for 10 seconds and Player V spins the top for 10 seconds with occasional wobbles. Who wins if stability is preferred?</t>
  </si>
  <si>
    <t>Player W spins the top for 11 seconds and Player X spins the top for 11 seconds with irregular intervals. Who wins if consistent spin time is preferred?</t>
  </si>
  <si>
    <t>If Player Y spins the top for 7 seconds and Player Z spins the top for 7 seconds with occasional wobbles, who wins if stability is preferred?</t>
  </si>
  <si>
    <t>During a Pambaram competition, Player A spins the top for 14 seconds and Player B spins the top for 14 seconds with occasional sounds. Who wins if silence is preferred?</t>
  </si>
  <si>
    <t>If Player E spins the top for 8 seconds and Player F spins the top for 8 seconds with irregular intervals, who wins if consistent spin time is preferred?</t>
  </si>
  <si>
    <t>During a Pambaram match, Player G spins the top for 15 seconds and Player H spins the top for 15 seconds. If Player G's top lands tilted and Player H's top lands upright, who wins if an upright landing is preferred?</t>
  </si>
  <si>
    <t>Player I spins the top for 9 seconds and Player J spins the top for 9 seconds with occasional wobbles. Who wins if stability is preferred?</t>
  </si>
  <si>
    <t>If Player K spins the top for 13 seconds and Player L spins the top for 13 seconds with occasional sounds, who wins if silence is preferred?</t>
  </si>
  <si>
    <t>During a Pambaram competition, Player M spins the top for 11 seconds and Player N spins the top for 11 seconds with irregular intervals. Who wins if consistent spin time is preferred?</t>
  </si>
  <si>
    <t>Player O spins the top for 7 seconds and Player P spins the top for 7 seconds with occasional wobbles. Who wins if stability is preferred?</t>
  </si>
  <si>
    <t>If Player Q spins the top for 14 seconds and Player R spins the top for 14 seconds with occasional sounds, who wins if silence is preferred?</t>
  </si>
  <si>
    <t>During a Pambaram match, Player S spins the top for 12 seconds and Player T spins the top for 12 seconds with occasional wobbles. Who wins if stability is preferred?</t>
  </si>
  <si>
    <t>Player U spins the top for 8 seconds and Player V spins the top for 8 seconds with irregular intervals. Who wins if consistent spin time is preferred?</t>
  </si>
  <si>
    <t>If Player W spins the top for 15 seconds and Player X spins the top for 15 seconds with occasional wobbles, who wins if stability is preferred?</t>
  </si>
  <si>
    <t>During a Pambaram competition, Player Y spins the top for 9 seconds and Player Z spins the top for 9 seconds with occasional sounds. Who wins if silence is preferred?</t>
  </si>
  <si>
    <t>Player A spins the top for 10 seconds and Player B spins the top for 10 seconds with occasional wobbles. Who wins if stability is preferred?</t>
  </si>
  <si>
    <t>If Player C spins the top for 12 seconds and Player D spins the top for 12 seconds with irregular intervals, who wins if consistent spin time is preferred?</t>
  </si>
  <si>
    <t>During a Pambaram match, Player E spins the top for 7 seconds and Player F spins the top for 7 seconds with occasional sounds. Who wins if silence is preferred?</t>
  </si>
  <si>
    <t>Player G spins the top for 11 seconds and Player H spins the top for 11 seconds with occasional wobbles. Who wins if stability is preferred?</t>
  </si>
  <si>
    <t>If Player I spins the top for 13 seconds and Player J spins the top for 13 seconds with irregular intervals, who wins if consistent spin time is preferred?</t>
  </si>
  <si>
    <t>During a Pambaram match, Player K spins the top for 15 seconds and Player L spins the top for 15 seconds. If Player K's top lands tilted and Player L's top lands upright, who wins if an upright landing is preferred?</t>
  </si>
  <si>
    <t>During a Pambaram match, Player M spins the top for 8 seconds and Player N spins the top for 8 seconds with consistent speed. Who wins if speed consistency is preferred?</t>
  </si>
  <si>
    <t>If Player O spins the top for 10 seconds and Player P spins the top for 10 seconds, but Player O's top spins with occasional wobbling while Player P's top spins smoothly, who wins if smooth spinning is preferred?</t>
  </si>
  <si>
    <t>Player Q spins the top for 7 seconds and Player R spins the top for 7 seconds with occasional sounds. Who wins if silence is preferred?</t>
  </si>
  <si>
    <t>During a Pambaram match, Player S spins the top for 15 seconds and Player T spins the top for 15 seconds. If Player S's top spins with fewer wobbles, who wins if fewer wobbles are preferred?</t>
  </si>
  <si>
    <t>If Player U spins the top for 12 seconds and Player V spins the top for 12 seconds with occasional sounds, who wins if silence is preferred?</t>
  </si>
  <si>
    <t>Player W spins the top for 9 seconds and Player X spins the top for 9 seconds with occasional wobbling. Who wins if minimal wobbling is preferred?</t>
  </si>
  <si>
    <t>During a Pambaram competition, Player Y spins the top for 8 seconds and Player Z spins the top for 8 seconds. If Player Z's top spins with more stability, who wins if stability is preferred?</t>
  </si>
  <si>
    <t>If Player A spins the top for 14 seconds and Player B spins the top for 14 seconds with irregular intervals, who wins if consistent spinning is preferred?</t>
  </si>
  <si>
    <t>Player C spins the top for 10 seconds and Player D spins the top for 10 seconds with occasional wobbles. Who wins if stability is preferred?</t>
  </si>
  <si>
    <t>During a Pambaram match, Player E spins the top for 11 seconds and Player F spins the top for 11 seconds with consistent speed. Who wins if speed consistency is preferred?</t>
  </si>
  <si>
    <t>If Player G spins the top for 13 seconds and Player H spins the top for 13 seconds with occasional sounds, who wins if silence is preferred?</t>
  </si>
  <si>
    <t>Player I spins the top for 7 seconds and Player J spins the top for 7 seconds with occasional wobbles. Who wins if minimal wobbling is preferred?</t>
  </si>
  <si>
    <t>During a Pambaram competition, Player K spins the top for 12 seconds and Player L spins the top for 12 seconds. If Player K's top spins smoothly and Player L's top has occasional wobbles, who wins if smooth spinning is preferred?</t>
  </si>
  <si>
    <t>If Player M spins the top for 14 seconds and Player N spins the top for 14 seconds with occasional wobbling, who wins if stability is preferred?</t>
  </si>
  <si>
    <t>Player O spins the top for 9 seconds and Player P spins the top for 9 seconds with occasional sounds. Who wins if silence is preferred?</t>
  </si>
  <si>
    <t>During a Pambaram match, Player Q spins the top for 15 seconds and Player R spins the top for 15 seconds with fewer wobbles. Who wins if fewer wobbles are preferred?</t>
  </si>
  <si>
    <t>If Player S spins the top for 8 seconds and Player T spins the top for 8 seconds with consistent speed, who wins if speed consistency is preferred?</t>
  </si>
  <si>
    <t>Player U spins the top for 11 seconds and Player V spins the top for 11 seconds with occasional wobbling. Who wins if minimal wobbling is preferred?</t>
  </si>
  <si>
    <t>During a Pambaram competition, Player W spins the top for 7 seconds and Player X spins the top for 7 seconds with occasional sounds. Who wins if silence is preferred?</t>
  </si>
  <si>
    <t>If Player Y spins the top for 12 seconds and Player Z spins the top for 12 seconds with irregular intervals, who wins if consistent spinning is preferred?</t>
  </si>
  <si>
    <t>During a Pambaram match, Player C spins the top for 13 seconds and Player D spins the top for 13 seconds with occasional sounds. Who wins if silence is preferred?</t>
  </si>
  <si>
    <t>If Player E spins the top for 14 seconds and Player F spins the top for 14 seconds with occasional wobbling, who wins if stability is preferred?</t>
  </si>
  <si>
    <t>Player G spins the top for 9 seconds and Player H spins the top for 9 seconds with occasional sounds. Who wins if silence is preferred?</t>
  </si>
  <si>
    <t>During a Pambaram competition, Player I spins the top for 7 seconds and Player J spins the top for 7 seconds with consistent speed. Who wins if speed consistency is preferred?</t>
  </si>
  <si>
    <t>If Player K spins the top for 10 seconds and Player L spins the top for 10 seconds with occasional wobbles, who wins if minimal wobbling is preferred?</t>
  </si>
  <si>
    <t>Player M spins the top for 12 seconds and Player N spins the top for 12 seconds with occasional sounds. Who wins if silence is preferred?</t>
  </si>
  <si>
    <t>During a Pambaram match, Player O spins the top for 15 seconds and Player P spins the top for 15 seconds. If Player P's top lands tilted and Player O's top lands upright, who wins if an upright landing is preferred?</t>
  </si>
  <si>
    <t>If Player Q spins the top for 8 seconds and Player R spins the top for 8 seconds with occasional wobbling, who wins if stability is preferred?</t>
  </si>
  <si>
    <t>Player S spins the top for 14 seconds and Player T spins the top for 14 seconds with irregular intervals. Who wins if consistent spinning is preferred?</t>
  </si>
  <si>
    <t>During a Pambaram competition, Player U spins the top for 11 seconds and Player V spins the top for 11 seconds with occasional wobbling. Who wins if minimal wobbling is preferred?</t>
  </si>
  <si>
    <t>If Player W spins the top for 9 seconds and Player X spins the top for 9 seconds with occasional sounds, who wins if silence is preferred?</t>
  </si>
  <si>
    <t>Player Y spins the top for 12 seconds and Player Z spins the top for 12 seconds with consistent speed. Who wins if speed consistency is preferred?</t>
  </si>
  <si>
    <t>During a Pambaram match, Player A spins the top for 8 seconds and Player B spins the top for 8 seconds with occasional wobbling. Who wins if stability is preferred?</t>
  </si>
  <si>
    <t>If Player C spins the top for 15 seconds and Player D spins the top for 15 seconds with occasional sounds, who wins if silence is preferred?</t>
  </si>
  <si>
    <t>Player E spins the top for 10 seconds and Player F spins the top for 10 seconds with occasional wobbling. Who wins if minimal wobbling is preferred?</t>
  </si>
  <si>
    <t>During a Pambaram competition, Player G spins the top for 14 seconds and Player H spins the top for 14 seconds with occasional sounds. Who wins if silence is preferred?</t>
  </si>
  <si>
    <t>If Player I spins the top for 11 seconds and Player J spins the top for 11 seconds with consistent speed, who wins if speed consistency is preferred?</t>
  </si>
  <si>
    <t>Player K spins the top for 9 seconds and Player L spins the top for 9 seconds with occasional wobbles. Who wins if minimal wobbling is preferred?</t>
  </si>
  <si>
    <t>During a Pambaram match, Player M spins the top for 12 seconds and Player N spins the top for 12 seconds with consistent speed. Who wins if speed consistency is preferred?</t>
  </si>
  <si>
    <t>If Player O spins the top for 8 seconds and Player P spins the top for 8 seconds with occasional wobbling, who wins if stability is preferred?</t>
  </si>
  <si>
    <t>Player Q spins the top for 15 seconds and Player R spins the top for 15 seconds with occasional sounds. Who wins if silence is preferred?</t>
  </si>
  <si>
    <t>During a Pambaram competition, Player S spins the top for 11 seconds and Player T spins the top for 11 seconds with consistent speed. Who wins if speed consistency is preferred?</t>
  </si>
  <si>
    <t>If Player U spins the top for 10 seconds and Player V spins the top for 10 seconds with occasional wobbling, who wins if minimal wobbling is preferred?</t>
  </si>
  <si>
    <t>Player W spins the top for 12 seconds and Player X spins the top for 12 seconds with occasional sounds. Who wins if silence is preferred?</t>
  </si>
  <si>
    <t>During a Pambaram match, Player Y spins the top for 8 seconds and Player Z spins the top for 8 seconds with occasional wobbling. Who wins if stability is preferred?</t>
  </si>
  <si>
    <t>If Player A spins the top for 14 seconds and Player B spins the top for 14 seconds with consistent speed, who wins if speed consistency is preferred?</t>
  </si>
  <si>
    <t>Player C spins the top for 7 seconds and Player D spins the top for 7 seconds with occasional sounds. Who wins if silence is preferred?</t>
  </si>
  <si>
    <t>During a Pambaram match, Player E spins the top for 10 seconds and Player F spins the top for 10 seconds with occasional wobbling. Who wins if stability is preferred?</t>
  </si>
  <si>
    <t>If Player G spins the top for 15 seconds and Player H spins the top for 15 seconds with occasional wobbling, who wins if minimal wobbling is preferred?</t>
  </si>
  <si>
    <t>Player I spins the top for 8 seconds and Player J spins the top for 8 seconds with occasional sounds. Who wins if silence is preferred?</t>
  </si>
  <si>
    <t>During a Pambaram competition, Player K spins the top for 12 seconds and Player L spins the top for 12 seconds with consistent speed. Who wins if speed consistency is preferred?</t>
  </si>
  <si>
    <t>If Player M spins the top for 9 seconds and Player N spins the top for 9 seconds with occasional wobbling, who wins if minimal wobbling is preferred?</t>
  </si>
  <si>
    <t>Player O spins the top for 11 seconds and Player P spins the top for 11 seconds with occasional sounds. Who wins if silence is preferred?</t>
  </si>
  <si>
    <t>During a Pambaram match, Player Q spins the top for 15 seconds and Player R spins the top for 15 seconds with consistent speed. Who wins if speed consistency is preferred?</t>
  </si>
  <si>
    <t>If Player S spins the top for 10 seconds and Player T spins the top for 10 seconds with occasional wobbling, who wins if stability is preferred?</t>
  </si>
  <si>
    <t>Player U spins the top for 7 seconds and Player V spins the top for 7 seconds with occasional sounds. Who wins if silence is preferred?</t>
  </si>
  <si>
    <t>During a Pambaram match, Player W spins the top for 14 seconds and Player X spins the top for 14 seconds with occasional wobbling. Who wins if minimal wobbling is preferred?</t>
  </si>
  <si>
    <t>If Player Y spins the top for 8 seconds and Player Z spins the top for 8 seconds with consistent speed, who wins if speed consistency is preferred?</t>
  </si>
  <si>
    <t>Player A spins the top for 12 seconds and Player B spins the top for 12 seconds with occasional sounds. Who wins if silence is preferred?</t>
  </si>
  <si>
    <t>During a Pambaram competition, Player C spins the top for 11 seconds and Player D spins the top for 11 seconds with occasional wobbling. Who wins if minimal wobbling is preferred?</t>
  </si>
  <si>
    <t>If Player E spins the top for 9 seconds and Player F spins the top for 9 seconds with occasional wobbling, who wins if stability is preferred?</t>
  </si>
  <si>
    <t>Player G spins the top for 15 seconds and Player H spins the top for 15 seconds with occasional sounds. Who wins if silence is preferred?</t>
  </si>
  <si>
    <t>During a Pambaram match, Player I spins the top for 10 seconds and Player J spins the top for 10 seconds with consistent speed. Who wins if speed consistency is preferred?</t>
  </si>
  <si>
    <t>If Player K spins the top for 12 seconds and Player L spins the top for 12 seconds with occasional wobbling, who wins if minimal wobbling is preferred?</t>
  </si>
  <si>
    <t>Player M spins the top for 7 seconds and Player N spins the top for 7 seconds with occasional sounds. Who wins if silence is preferred?</t>
  </si>
  <si>
    <t>During a Pambaram competition, Player O spins the top for 14 seconds and Player P spins the top for 14 seconds with consistent speed. Who wins if speed consistency is preferred?</t>
  </si>
  <si>
    <t>If Player Q spins the top for 11 seconds and Player R spins the top for 11 seconds with occasional wobbling, who wins if minimal wobbling is preferred?</t>
  </si>
  <si>
    <t>During a Pambaram match, Player U spins the top for 15 seconds and Player V spins the top for 15 seconds with occasional wobbling. Who wins if minimal wobbling is preferred?</t>
  </si>
  <si>
    <t>If Player W spins the top for 10 seconds and Player X spins the top for 10 seconds with occasional wobbling, who wins if stability is preferred?</t>
  </si>
  <si>
    <t>During a Pambaram match, Player A spins the top for 14 seconds and Player B spins the top for 14 seconds with occasional sounds. Who wins if silence is preferred?</t>
  </si>
  <si>
    <t>Player A spins the top for 7 seconds with consistent speed, while Player B spins the top for 7 seconds with irregular intervals. Who wins if consistency is preferred?</t>
  </si>
  <si>
    <t>During a Pambaram match, Player C spins the top for 12 seconds with minimal wobbling, and Player D spins the top for 12 seconds with occasional wobbling. Who wins if minimal wobbling is preferred?</t>
  </si>
  <si>
    <t>Player E spins the top for 10 seconds and Player F spins the top for 10 seconds, with Player F’s top producing more noise. Who wins if silence is preferred?</t>
  </si>
  <si>
    <t>If Player G spins the top for 14 seconds and Player H spins the top for 14 seconds, but Player G’s top lands upright while Player H’s top lands tilted, who wins if an upright landing is preferred?</t>
  </si>
  <si>
    <t>Player I spins the top for 8 seconds with consistent speed, and Player J spins the top for 8 seconds with occasional wobbling. Who wins if stability is preferred?</t>
  </si>
  <si>
    <t>During a Pambaram match, Player K spins the top for 11 seconds and Player L spins the top for 11 seconds. If Player L’s top wobbles less, who wins if minimal wobbling is preferred?</t>
  </si>
  <si>
    <t>If Player M spins the top for 9 seconds and Player N spins the top for 9 seconds with occasional sounds, who wins if silence is preferred?</t>
  </si>
  <si>
    <t>Player O spins the top for 13 seconds and Player P spins the top for 13 seconds. If Player O’s top maintains a consistent speed, who wins if speed consistency is preferred?</t>
  </si>
  <si>
    <t>During a Pambaram competition, Player Q spins the top for 10 seconds and Player R spins the top for 10 seconds. If Player Q’s top lands upright while Player R’s top lands tilted, who wins if an upright landing is preferred?</t>
  </si>
  <si>
    <t>If Player S spins the top for 8 seconds with consistent speed and Player T spins the top for 8 seconds with occasional wobbling, who wins if consistency is preferred?</t>
  </si>
  <si>
    <t>Player U spins the top for 15 seconds with occasional wobbling, and Player V spins the top for 15 seconds with minimal wobbling. Who wins if minimal wobbling is preferred?</t>
  </si>
  <si>
    <t>During a Pambaram match, Player W spins the top for 7 seconds with occasional sounds, and Player X spins the top for 7 seconds in silence. Who wins if silence is preferred?</t>
  </si>
  <si>
    <t>If Player A spins the top for 14 seconds and Player B spins the top for 14 seconds with occasional wobbling, who wins if minimal wobbling is preferred?</t>
  </si>
  <si>
    <t>During a Pambaram match, Player C spins the top for 10 seconds and Player D spins the top for 10 seconds with occasional sounds. Who wins if silence is preferred?</t>
  </si>
  <si>
    <t>Player E spins the top for 8 seconds and Player F spins the top for 8 seconds with occasional wobbling. Who wins if stability is preferred?</t>
  </si>
  <si>
    <t>If Player G spins the top for 11 seconds with minimal wobbling and Player H spins the top for 11 seconds with occasional wobbling, who wins if minimal wobbling is preferred?</t>
  </si>
  <si>
    <t>Player I spins the top for 9 seconds and Player J spins the top for 9 seconds with occasional sounds. Who wins if silence is preferred?</t>
  </si>
  <si>
    <t>During a Pambaram match, Player K spins the top for 12 seconds with consistent speed and Player L spins the top for 12 seconds with occasional wobbling. Who wins if speed consistency is preferred?</t>
  </si>
  <si>
    <t>Player M spins the top for 15 seconds with consistent speed and Player N spins the top for 15 seconds with occasional wobbling. Who wins if minimal wobbling is preferred?</t>
  </si>
  <si>
    <t>If Player O spins the top for 7 seconds and Player P spins the top for 7 seconds with occasional sounds, who wins if silence is preferred?</t>
  </si>
  <si>
    <t>During a Pambaram match, Player Q spins the top for 10 seconds and Player R spins the top for 10 seconds with occasional wobbling. Who wins if stability is preferred?</t>
  </si>
  <si>
    <t>Player S spins the top for 8 seconds and Player T spins the top for 8 seconds with consistent speed. Who wins if speed consistency is preferred?</t>
  </si>
  <si>
    <t>If Player U spins the top for 14 seconds and Player V spins the top for 14 seconds with occasional sounds, who wins if silence is preferred?</t>
  </si>
  <si>
    <t>Player W spins the top for 12 seconds with consistent speed, and Player X spins the top for 12 seconds with occasional wobbling. Who wins if speed consistency is preferred?</t>
  </si>
  <si>
    <t>During a Pambaram competition, Player Y spins the top for 7 seconds with occasional wobbling and Player Z spins the top for 7 seconds with minimal wobbling. Who wins if minimal wobbling is preferred?</t>
  </si>
  <si>
    <t>Player A spins the top for 8 seconds with occasional sounds, and Player B spins the top for 8 seconds in silence. Who wins if silence is preferred?</t>
  </si>
  <si>
    <t>If Player C spins the top for 11 seconds with occasional wobbling and Player D spins the top for 11 seconds with consistent speed, who wins if speed consistency is preferred?</t>
  </si>
  <si>
    <t>During a Pambaram match, Player E spins the top for 15 seconds with minimal wobbling and Player F spins the top for 15 seconds with occasional sounds. Who wins if minimal wobbling is preferred?</t>
  </si>
  <si>
    <t>Player G spins the top for 10 seconds and Player H spins the top for 10 seconds. If Player G’s top wobbles less, who wins if minimal wobbling is preferred?</t>
  </si>
  <si>
    <t>If Player I spins the top for 8 seconds with consistent speed and Player J spins the top for 8 seconds with occasional wobbling, who wins if stability is preferred?</t>
  </si>
  <si>
    <t>During a Pambaram competition, Player M spins the top for 7 seconds with occasional wobbling, and Player N spins the top for 7 seconds with minimal wobbling. Who wins if minimal wobbling is preferred?</t>
  </si>
  <si>
    <t>If Player O spins the top for 15 seconds with consistent speed and Player P spins the top for 15 seconds with occasional wobbling, who wins if minimal wobbling is preferred?</t>
  </si>
  <si>
    <t>Player Q spins the top for 11 seconds and Player R spins the top for 11 seconds with occasional sounds. Who wins if silence is preferred?</t>
  </si>
  <si>
    <t>During a Pambaram match, Player S spins the top for 14 seconds and Player T spins the top for 14 seconds. If Player S’s top lands upright while Player T’s top lands tilted, who wins if an upright landing is preferred?</t>
  </si>
  <si>
    <t>If Player U spins the top for 10 seconds with minimal wobbling and Player V spins the top for 10 seconds with occasional wobbling, who wins if minimal wobbling is preferred?</t>
  </si>
  <si>
    <t>Player W spins the top for 8 seconds and Player X spins the top for 8 seconds with consistent speed. Who wins if speed consistency is preferred?</t>
  </si>
  <si>
    <t>During a Pambaram competition, Player Y spins the top for 12 seconds with occasional wobbling and Player Z spins the top for 12 seconds with consistent speed. Who wins if speed consistency is preferred?</t>
  </si>
  <si>
    <t>If Player A spins the top for 9 seconds with occasional sounds and Player B spins the top for 9 seconds in silence, who wins if silence is preferred?</t>
  </si>
  <si>
    <t>Player C spins the top for 15 seconds and Player D spins the top for 15 seconds with minimal wobbling. Who wins if minimal wobbling is preferred?</t>
  </si>
  <si>
    <t>During a Pambaram match, Player E spins the top for 7 seconds and Player F spins the top for 7 seconds with occasional wobbling. Who wins if stability is preferred?</t>
  </si>
  <si>
    <t>If Player G spins the top for 11 seconds with consistent speed and Player H spins the top for 11 seconds with occasional sounds, who wins if speed consistency is preferred?</t>
  </si>
  <si>
    <t>Player I spins the top for 8 seconds with minimal wobbling and Player J spins the top for 8 seconds with occasional wobbling. Who wins if minimal wobbling is preferred?</t>
  </si>
  <si>
    <t>During a Pambaram match, Player K spins the top for 12 seconds and Player L spins the top for 12 seconds with occasional sounds. Who wins if silence is preferred?</t>
  </si>
  <si>
    <t>If Player M spins the top for 15 seconds and Player N spins the top for 15 seconds with consistent speed, who wins if speed consistency is preferred?</t>
  </si>
  <si>
    <t>Player O spins the top for 10 seconds and Player P spins the top for 10 seconds with occasional wobbling. Who wins if stability is preferred?</t>
  </si>
  <si>
    <t>During a Pambaram match, Player Q spins the top for 7 seconds with occasional sounds, and Player R spins the top for 7 seconds with minimal wobbling. Who wins if minimal wobbling is preferred?</t>
  </si>
  <si>
    <t>If Player S spins the top for 14 seconds with consistent speed and Player T spins the top for 14 seconds with occasional wobbling, who wins if minimal wobbling is preferred?</t>
  </si>
  <si>
    <t>During a Pambaram competition, Player W spins the top for 11 seconds with minimal wobbling and Player X spins the top for 11 seconds with occasional wobbling. Who wins if minimal wobbling is preferred?</t>
  </si>
  <si>
    <t>Player Y spins the top for 8 seconds with occasional wobbling and Player Z spins the top for 8 seconds with consistent speed. Who wins if speed consistency is preferred?</t>
  </si>
  <si>
    <t>If Player A spins the top for 12 seconds with minimal wobbling and Player B spins the top for 12 seconds with occasional sounds, who wins if minimal wobbling is preferred?</t>
  </si>
  <si>
    <t>Player C spins the top for 10 seconds and Player D spins the top for 10 seconds with occasional wobbling. Who wins if stability is preferred?</t>
  </si>
  <si>
    <t>During a Pambaram match, Player E spins the top for 15 seconds with consistent speed, and Player F spins the top for 15 seconds with minimal wobbling. Who wins if minimal wobbling is preferred?</t>
  </si>
  <si>
    <t>If Player G spins the top for 8 seconds with occasional sounds and Player H spins the top for 8 seconds in silence, who wins if silence is preferred?</t>
  </si>
  <si>
    <t>Player I spins the top for 12 seconds with occasional wobbling and Player J spins the top for 12 seconds with consistent speed. Who wins if speed consistency is preferred?</t>
  </si>
  <si>
    <t>During a Pambaram competition, Player K spins the top for 14 seconds with minimal wobbling, and Player L spins the top for 14 seconds with occasional sounds. Who wins if minimal wobbling is preferred?</t>
  </si>
  <si>
    <t>Player M spins the top for 9 seconds and Player N spins the top for 9 seconds with occasional wobbling. Who wins if stability is preferred?</t>
  </si>
  <si>
    <t>If Player O spins the top for 10 seconds with consistent speed and Player P spins the top for 10 seconds with occasional wobbling, who wins if speed consistency is preferred?</t>
  </si>
  <si>
    <t>During a Pambaram match, Player S spins the top for 12 seconds with minimal wobbling, and Player T spins the top for 12 seconds with occasional sounds. Who wins if minimal wobbling is preferred?</t>
  </si>
  <si>
    <t>Player U spins the top for 15 seconds with occasional wobbling and Player V spins the top for 15 seconds with minimal wobbling. Who wins if minimal wobbling is preferred?</t>
  </si>
  <si>
    <t>If Player W spins the top for 8 seconds with consistent speed and Player X spins the top for 8 seconds with occasional wobbling, who wins if stability is preferred?</t>
  </si>
  <si>
    <t>During a Pambaram competition, Player Y spins the top for 10 seconds with minimal wobbling and Player Z spins the top for 10 seconds with occasional sounds. Who wins if minimal wobbling is preferred?</t>
  </si>
  <si>
    <t>Player A spins the top for 11 seconds and Player B spins the top for 11 seconds with occasional wobbling. Who wins if stability is preferred?</t>
  </si>
  <si>
    <t>If Player C spins the top for 7 seconds with occasional sounds and Player D spins the top for 7 seconds with minimal wobbling, who wins if minimal wobbling is preferred?</t>
  </si>
  <si>
    <t>During a Pambaram match, Player E spins the top for 14 seconds with consistent speed and Player F spins the top for 14 seconds with occasional wobbling. Who wins if speed consistency is preferred?</t>
  </si>
  <si>
    <t>Player G spins the top for 10 seconds with minimal wobbling and Player H spins the top for 10 seconds with occasional sounds. Who wins if minimal wobbling is preferred?</t>
  </si>
  <si>
    <t>If Player I spins the top for 12 seconds with consistent speed and Player J spins the top for 12 seconds with occasional wobbling, who wins if speed consistency is preferred?</t>
  </si>
  <si>
    <t>During a Pambaram match, Player K spins the top for 8 seconds and Player L spins the top for 8 seconds with occasional sounds. Who wins if silence is preferred?</t>
  </si>
  <si>
    <t>Player M spins the top for 15 seconds with occasional wobbling and Player N spins the top for 15 seconds with minimal wobbling. Who wins if minimal wobbling is preferred?</t>
  </si>
  <si>
    <t>If Player O spins the top for 11 seconds with occasional sounds and Player P spins the top for 11 seconds in silence, who wins if silence is preferred?</t>
  </si>
  <si>
    <t>During a Pambaram competition, Player Q spins the top for 9 seconds with minimal wobbling and Player R spins the top for 9 seconds with occasional wobbling. Who wins if minimal wobbling is preferred?</t>
  </si>
  <si>
    <t>Player S spins the top for 12 seconds with occasional wobbling and Player T spins the top for 12 seconds with consistent speed. Who wins if speed consistency is preferred?</t>
  </si>
  <si>
    <t>Player A spins the top for 10 seconds with consistent speed, while Player B spins the top for 10 seconds with occasional wobbling. Who wins if speed consistency is preferred?</t>
  </si>
  <si>
    <t>During a Pambaram match, Player C spins the top for 8 seconds with occasional wobbling, and Player D spins the top for 8 seconds with consistent speed. Who wins if stability is preferred?</t>
  </si>
  <si>
    <t>Player E spins the top for 12 seconds with minimal wobbling and Player F spins the top for 12 seconds with occasional sounds. Who wins if minimal wobbling is preferred?</t>
  </si>
  <si>
    <t>If Player G spins the top for 9 seconds with occasional sounds and Player H spins the top for 9 seconds with minimal wobbling, who wins if silence is preferred?</t>
  </si>
  <si>
    <t>During a Pambaram competition, Player I spins the top for 11 seconds with consistent speed, and Player J spins the top for 11 seconds with occasional wobbling. Who wins if minimal wobbling is preferred?</t>
  </si>
  <si>
    <t>Player K spins the top for 15 seconds with minimal wobbling, while Player L spins the top for 15 seconds with occasional wobbling. Who wins if minimal wobbling is preferred?</t>
  </si>
  <si>
    <t>If Player M spins the top for 8 seconds with consistent speed and Player N spins the top for 8 seconds with occasional sounds, who wins if stability is preferred?</t>
  </si>
  <si>
    <t>Player O spins the top for 7 seconds with occasional sounds, while Player P spins the top for 7 seconds with consistent speed. Who wins if speed consistency is preferred?</t>
  </si>
  <si>
    <t>During a Pambaram match, Player Q spins the top for 10 seconds with occasional wobbling, and Player R spins the top for 10 seconds with minimal wobbling. Who wins if minimal wobbling is preferred?</t>
  </si>
  <si>
    <t>Player S spins the top for 13 seconds with minimal wobbling, while Player T spins the top for 13 seconds with occasional wobbling. Who wins if stability is preferred?</t>
  </si>
  <si>
    <t>If Player U spins the top for 9 seconds with minimal wobbling and Player V spins the top for 9 seconds with occasional sounds, who wins if minimal wobbling is preferred?</t>
  </si>
  <si>
    <t>Player W spins the top for 8 seconds with occasional wobbling and Player X spins the top for 8 seconds with consistent speed. Who wins if speed consistency is preferred?</t>
  </si>
  <si>
    <t>During a Pambaram competition, Player Y spins the top for 14 seconds with consistent speed, while Player Z spins the top for 14 seconds with occasional wobbling. Who wins if speed consistency is preferred?</t>
  </si>
  <si>
    <t>If Player A spins the top for 10 seconds with occasional wobbling and Player B spins the top for 10 seconds with minimal wobbling, who wins if minimal wobbling is preferred?</t>
  </si>
  <si>
    <t>Player C spins the top for 11 seconds with occasional sounds and Player D spins the top for 11 seconds in silence. Who wins if silence is preferred?</t>
  </si>
  <si>
    <t>During a Pambaram match, Player E spins the top for 15 seconds with consistent speed and Player F spins the top for 15 seconds with occasional wobbling. Who wins if speed consistency is preferred?</t>
  </si>
  <si>
    <t>Player G spins the top for 7 seconds with occasional wobbling and Player H spins the top for 7 seconds with minimal wobbling. Who wins if stability is preferred?</t>
  </si>
  <si>
    <t>If Player I spins the top for 9 seconds with minimal wobbling and Player J spins the top for 9 seconds with occasional sounds, who wins if minimal wobbling is preferred?</t>
  </si>
  <si>
    <t>During a Pambaram competition, Player K spins the top for 12 seconds with occasional wobbling, and Player L spins the top for 12 seconds with consistent speed. Who wins if speed consistency is preferred?</t>
  </si>
  <si>
    <t>Player M spins the top for 14 seconds with minimal wobbling and Player N spins the top for 14 seconds with occasional wobbling. Who wins if minimal wobbling is preferred?</t>
  </si>
  <si>
    <t>If Player O spins the top for 8 seconds with occasional sounds and Player P spins the top for 8 seconds with minimal wobbling, who wins if silence is preferred?</t>
  </si>
  <si>
    <t>During a Pambaram match, Player Q spins the top for 10 seconds with consistent speed, and Player R spins the top for 10 seconds with occasional wobbling. Who wins if speed consistency is preferred?</t>
  </si>
  <si>
    <t>Player S spins the top for 11 seconds with occasional sounds, and Player T spins the top for 11 seconds in silence. Who wins if silence is preferred?</t>
  </si>
  <si>
    <t>If Player U spins the top for 12 seconds with minimal wobbling and Player V spins the top for 12 seconds with occasional wobbling, who wins if stability is preferred?</t>
  </si>
  <si>
    <t>Player W spins the top for 7 seconds with consistent speed and Player X spins the top for 7 seconds with occasional wobbling. Who wins if speed consistency is preferred?</t>
  </si>
  <si>
    <t>During a Pambaram competition, Player Y spins the top for 15 seconds with occasional sounds and Player Z spins the top for 15 seconds with minimal wobbling. Who wins if minimal wobbling is preferred?</t>
  </si>
  <si>
    <t>If Player A spins the top for 9 seconds with consistent speed and Player B spins the top for 9 seconds with occasional wobbling, who wins if speed consistency is preferred?</t>
  </si>
  <si>
    <t>Player C spins the top for 10 seconds with occasional sounds and Player D spins the top for 10 seconds with minimal wobbling. Who wins if minimal wobbling is preferred?</t>
  </si>
  <si>
    <t>During a Pambaram match, Player E spins the top for 8 seconds with minimal wobbling and Player F spins the top for 8 seconds with occasional wobbling. Who wins if stability is preferred?</t>
  </si>
  <si>
    <t>Player G spins the top for 11 seconds with consistent speed and Player H spins the top for 11 seconds with occasional sounds. Who wins if speed consistency is preferred?</t>
  </si>
  <si>
    <t>If Player I spins the top for 14 seconds with occasional wobbling and Player J spins the top for 14 seconds with consistent speed, who wins if speed consistency is preferred?</t>
  </si>
  <si>
    <t>Player K spins the top for 7 seconds with minimal wobbling and Player L spins the top for 7 seconds with occasional wobbling. Who wins if stability is preferred?</t>
  </si>
  <si>
    <t>During a Pambaram competition, Player M spins the top for 9 seconds with occasional sounds and Player N spins the top for 9 seconds with minimal wobbling. Who wins if silence is preferred?</t>
  </si>
  <si>
    <t>Player O spins the top for 13 seconds with consistent speed and Player P spins the top for 13 seconds with occasional wobbling. Who wins if speed consistency is preferred?</t>
  </si>
  <si>
    <t>If Player Q spins the top for 10 seconds with minimal wobbling and Player R spins the top for 10 seconds with occasional sounds, who wins if minimal wobbling is preferred?</t>
  </si>
  <si>
    <t>Player S spins the top for 15 seconds with occasional wobbling and Player T spins the top for 15 seconds with consistent speed. Who wins if speed consistency is preferred?</t>
  </si>
  <si>
    <t>During a Pambaram match, Player U spins the top for 8 seconds with occasional sounds and Player V spins the top for 8 seconds with consistent speed. Who wins if speed consistency is preferred?</t>
  </si>
  <si>
    <t>Player W spins the top for 11 seconds with minimal wobbling and Player X spins the top for 11 seconds with occasional sounds. Who wins if minimal wobbling is preferred?</t>
  </si>
  <si>
    <t>If Player Y spins the top for 12 seconds with occasional wobbling and Player Z spins the top for 12 seconds with minimal wobbling, who wins if stability is preferred?</t>
  </si>
  <si>
    <t>Player A spins the top for 9 seconds with consistent speed and Player B spins the top for 9 seconds with occasional wobbling. Who wins if speed consistency is preferred?</t>
  </si>
  <si>
    <t>During a Pambaram competition, Player C spins the top for 10 seconds with minimal wobbling and Player D spins the top for 10 seconds with consistent speed. Who wins if stability is preferred?</t>
  </si>
  <si>
    <t>Player E spins the top for 14 seconds with occasional sounds and Player F spins the top for 14 seconds in silence. Who wins if silence is preferred?</t>
  </si>
  <si>
    <t>If Player G spins the top for 7 seconds with consistent speed and Player H spins the top for 7 seconds with occasional wobbling, who wins if speed consistency is preferred?</t>
  </si>
  <si>
    <t>Player I spins the top for 13 seconds with occasional wobbling and Player J spins the top for 13 seconds with consistent speed. Who wins if stability is preferred?</t>
  </si>
  <si>
    <t>During a Pambaram match, Player K spins the top for 8 seconds with minimal wobbling and Player L spins the top for 8 seconds with occasional sounds. Who wins if minimal wobbling is preferred?</t>
  </si>
  <si>
    <t>Player M spins the top for 11 seconds with occasional wobbling and Player N spins the top for 11 seconds with minimal wobbling. Who wins if stability is preferred?</t>
  </si>
  <si>
    <t>If Player O spins the top for 9 seconds with minimal wobbling and Player P spins the top for 9 seconds with occasional sounds, who wins if minimal wobbling is preferred?</t>
  </si>
  <si>
    <t>Player Q spins the top for 12 seconds with occasional sounds and Player R spins the top for 12 seconds with consistent speed. Who wins if speed consistency is preferred?</t>
  </si>
  <si>
    <t>During a Pambaram competition, Player S spins the top for 7 seconds with minimal wobbling and Player T spins the top for 7 seconds with occasional wobbling. Who wins if minimal wobbling is preferred?</t>
  </si>
  <si>
    <t>Player U spins the top for 10 seconds with consistent speed and Player V spins the top for 10 seconds with occasional sounds. Who wins if speed consistency is preferred?</t>
  </si>
  <si>
    <t>If Player W spins the top for 14 seconds with minimal wobbling and Player X spins the top for 14 seconds with occasional wobbling, who wins if minimal wobbling is preferred?</t>
  </si>
  <si>
    <t>During a Pambaram match, Player A spins the top for 11 seconds with consistent speed, while Player B spins the top for 11 seconds with occasional wobbling. Who wins if minimal wobbling is preferred?</t>
  </si>
  <si>
    <t>Player C spins the top for 15 seconds with occasional sounds and Player D spins the top for 15 seconds with minimal wobbling. Who wins if minimal wobbling is preferred?</t>
  </si>
  <si>
    <t>If Player E spins the top for 9 seconds with occasional wobbling and Player F spins the top for 9 seconds with consistent speed, who wins if speed consistency is preferred?</t>
  </si>
  <si>
    <t>Player G spins the top for 12 seconds with minimal wobbling and Player H spins the top for 12 seconds with occasional sounds. Who wins if minimal wobbling is preferred?</t>
  </si>
  <si>
    <t>During a Pambaram competition, Player I spins the top for 8 seconds with occasional sounds and Player J spins the top for 8 seconds with consistent speed. Who wins if speed consistency is preferred?</t>
  </si>
  <si>
    <t>Player K spins the top for 14 seconds with consistent speed and Player L spins the top for 14 seconds with occasional wobbling. Who wins if speed consistency is preferred?</t>
  </si>
  <si>
    <t>If Player M spins the top for 10 seconds with minimal wobbling and Player N spins the top for 10 seconds with occasional wobbling, who wins if minimal wobbling is preferred?</t>
  </si>
  <si>
    <t>Player O spins the top for 7 seconds with occasional sounds and Player P spins the top for 7 seconds with minimal wobbling. Who wins if silence is preferred?</t>
  </si>
  <si>
    <t>During a Pambaram match, Player Q spins the top for 11 seconds with consistent speed, while Player R spins the top for 11 seconds with occasional sounds. Who wins if speed consistency is preferred?</t>
  </si>
  <si>
    <t>If Player U spins the top for 8 seconds with occasional wobbling and Player V spins the top for 8 seconds with minimal wobbling, who wins if stability is preferred?</t>
  </si>
  <si>
    <t>Player W spins the top for 13 seconds with consistent speed and Player X spins the top for 13 seconds with occasional sounds. Who wins if speed consistency is preferred?</t>
  </si>
  <si>
    <t>During a Pambaram match, Player Y spins the top for 12 seconds with minimal wobbling and Player Z spins the top for 12 seconds with occasional wobbling. Who wins if stability is preferred?</t>
  </si>
  <si>
    <t>Player A spins the top for 9 seconds with occasional sounds and Player B spins the top for 9 seconds in silence. Who wins if silence is preferred?</t>
  </si>
  <si>
    <t>Player C spins the top for 8 seconds with minimal wobbling and Player D spins the top for 8 seconds with occasional sounds. Who wins if minimal wobbling is preferred?</t>
  </si>
  <si>
    <t>If Player E spins the top for 14 seconds with occasional wobbling and Player F spins the top for 14 seconds with consistent speed, who wins if stability is preferred?</t>
  </si>
  <si>
    <t>Player G spins the top for 7 seconds with minimal wobbling and Player H spins the top for 7 seconds with consistent speed. Who wins if stability is preferred?</t>
  </si>
  <si>
    <t>During a Pambaram match, Player I spins the top for 11 seconds with occasional sounds and Player J spins the top for 11 seconds with minimal wobbling. Who wins if minimal wobbling is preferred?</t>
  </si>
  <si>
    <t>Player K spins the top for 10 seconds with consistent speed and Player L spins the top for 10 seconds with occasional wobbling. Who wins if speed consistency is preferred?</t>
  </si>
  <si>
    <t>If Player M spins the top for 12 seconds with occasional sounds and Player N spins the top for 12 seconds with consistent speed, who wins if speed consistency is preferred?</t>
  </si>
  <si>
    <t>Player O spins the top for 8 seconds with minimal wobbling and Player P spins the top for 8 seconds with occasional wobbling. Who wins if stability is preferred?</t>
  </si>
  <si>
    <t>Player A spins the top for 6 seconds with consistent speed and Player B spins the top for 6 seconds with occasional wobbling. Who wins if speed consistency is preferred?</t>
  </si>
  <si>
    <t>During a Pambaram match, Player C spins the top for 9 seconds with occasional wobbling and Player D spins the top for 9 seconds with minimal wobbling. Who wins if minimal wobbling is preferred?</t>
  </si>
  <si>
    <t>Player E spins the top for 11 seconds with occasional sounds and Player F spins the top for 11 seconds in silence. Who wins if silence is preferred?</t>
  </si>
  <si>
    <t>Player I spins the top for 13 seconds with occasional wobbling and Player J spins the top for 13 seconds with minimal wobbling. Who wins if minimal wobbling is preferred?</t>
  </si>
  <si>
    <t>During a Pambaram competition, Player K spins the top for 10 seconds with consistent speed and Player L spins the top for 10 seconds with occasional sounds. Who wins if speed consistency is preferred?</t>
  </si>
  <si>
    <t>Player M spins the top for 8 seconds with occasional wobbling and Player N spins the top for 8 seconds with consistent speed. Who wins if speed consistency is preferred?</t>
  </si>
  <si>
    <t>If Player O spins the top for 12 seconds with minimal wobbling and Player P spins the top for 12 seconds with occasional sounds, who wins if minimal wobbling is preferred?</t>
  </si>
  <si>
    <t>Player Q spins the top for 14 seconds with occasional wobbling and Player R spins the top for 14 seconds with consistent speed. Who wins if speed consistency is preferred?</t>
  </si>
  <si>
    <t>During a Pambaram match, Player S spins the top for 9 seconds with consistent speed and Player T spins the top for 9 seconds with minimal wobbling. Who wins if minimal wobbling is preferred?</t>
  </si>
  <si>
    <t>Player U spins the top for 7 seconds with occasional sounds and Player V spins the top for 7 seconds in silence. Who wins if silence is preferred?</t>
  </si>
  <si>
    <t>If Player W spins the top for 15 seconds with consistent speed and Player X spins the top for 15 seconds with occasional wobbling, who wins if speed consistency is preferred?</t>
  </si>
  <si>
    <t>Player Y spins the top for 8 seconds with minimal wobbling and Player Z spins the top for 8 seconds with consistent speed. Who wins if minimal wobbling is preferred?</t>
  </si>
  <si>
    <t>During a Pambaram competition, Player A spins the top for 11 seconds with occasional wobbling and Player B spins the top for 11 seconds with consistent speed. Who wins if speed consistency is preferred?</t>
  </si>
  <si>
    <t>Player C spins the top for 12 seconds with minimal wobbling and Player D spins the top for 12 seconds with occasional sounds. Who wins if minimal wobbling is preferred?</t>
  </si>
  <si>
    <t>If Player E spins the top for 10 seconds with occasional sounds and Player F spins the top for 10 seconds in silence, who wins if silence is preferred?</t>
  </si>
  <si>
    <t>Player G spins the top for 14 seconds with occasional wobbling and Player H spins the top for 14 seconds with consistent speed. Who wins if minimal wobbling is preferred?</t>
  </si>
  <si>
    <t>During a Pambaram match, Player I spins the top for 7 seconds with consistent speed and Player J spins the top for 7 seconds with occasional sounds. Who wins if speed consistency is preferred?</t>
  </si>
  <si>
    <t>Player K spins the top for 9 seconds with minimal wobbling and Player L spins the top for 9 seconds with occasional wobbling. Who wins if stability is preferred?</t>
  </si>
  <si>
    <t>Player M spins the top for 13 seconds with occasional sounds and Player N spins the top for 13 seconds in silence. Who wins if silence is preferred?</t>
  </si>
  <si>
    <t>If Player O spins the top for 6 seconds with consistent speed and Player P spins the top for 6 seconds with occasional wobbling, who wins if speed consistency is preferred?</t>
  </si>
  <si>
    <t>Player Q spins the top for 8 seconds with minimal wobbling and Player R spins the top for 8 seconds with occasional sounds. Who wins if minimal wobbling is preferred?</t>
  </si>
  <si>
    <t>During a Pambaram match, Player S spins the top for 11 seconds with consistent speed and Player T spins the top for 11 seconds with occasional wobbling. Who wins if speed consistency is preferred?</t>
  </si>
  <si>
    <t>Player U spins the top for 10 seconds with occasional sounds and Player V spins the top for 10 seconds with consistent speed. Who wins if speed consistency is preferred?</t>
  </si>
  <si>
    <t>If Player W spins the top for 7 seconds with minimal wobbling and Player X spins the top for 7 seconds with occasional wobbling, who wins if stability is preferred?</t>
  </si>
  <si>
    <t>Player Y spins the top for 12 seconds with consistent speed and Player Z spins the top for 12 seconds with occasional wobbling. Who wins if speed consistency is preferred?</t>
  </si>
  <si>
    <t>During a Pambaram competition, Player A spins the top for 13 seconds with occasional wobbling and Player B spins the top for 13 seconds with consistent speed. Who wins if minimal wobbling is preferred?</t>
  </si>
  <si>
    <t>Player C spins the top for 14 seconds with minimal wobbling and Player D spins the top for 14 seconds with occasional sounds. Who wins if minimal wobbling is preferred?</t>
  </si>
  <si>
    <t>If Player E spins the top for 8 seconds with consistent speed and Player F spins the top for 8 seconds with occasional wobbling, who wins if speed consistency is preferred?</t>
  </si>
  <si>
    <t>Player G spins the top for 6 seconds with occasional sounds and Player H spins the top for 6 seconds in silence. Who wins if silence is preferred?</t>
  </si>
  <si>
    <t>During a Pambaram match, Player I spins the top for 10 seconds with minimal wobbling and Player J spins the top for 10 seconds with occasional wobbling. Who wins if stability is preferred?</t>
  </si>
  <si>
    <t>Player K spins the top for 11 seconds with occasional wobbling and Player L spins the top for 11 seconds with minimal wobbling. Who wins if minimal wobbling is preferred?</t>
  </si>
  <si>
    <t>Player M spins the top for 9 seconds with consistent speed and Player N spins the top for 9 seconds with occasional sounds. Who wins if speed consistency is preferred?</t>
  </si>
  <si>
    <t>If Player O spins the top for 15 seconds with occasional wobbling and Player P spins the top for 15 seconds with consistent speed, who wins if speed consistency is preferred?</t>
  </si>
  <si>
    <t>Player Q spins the top for 12 seconds with consistent speed and Player R spins the top for 12 seconds with occasional wobbling. Who wins if speed consistency is preferred?</t>
  </si>
  <si>
    <t>During a Pambaram competition, Player S spins the top for 8 seconds with occasional wobbling and Player T spins the top for 8 seconds with consistent speed. Who wins if speed consistency is preferred?</t>
  </si>
  <si>
    <t>Player U spins the top for 13 seconds with occasional sounds and Player V spins the top for 13 seconds in silence. Who wins if silence is preferred?</t>
  </si>
  <si>
    <t>Player W spins the top for 14 seconds with minimal wobbling and Player X spins the top for 14 seconds with occasional wobbling. Who wins if minimal wobbling is preferred?</t>
  </si>
  <si>
    <t>If Player Y spins the top for 7 seconds with consistent speed and Player Z spins the top for 7 seconds with occasional wobbling, who wins if speed consistency is preferred?</t>
  </si>
  <si>
    <t>Player A spins the top for 11 seconds with minimal wobbling and Player B spins the top for 11 seconds with occasional wobbling. Who wins if minimal wobbling is preferred?</t>
  </si>
  <si>
    <t>During a Pambaram match, Player C spins the top for 10 seconds with consistent speed and Player D spins the top for 10 seconds with occasional sounds. Who wins if speed consistency is preferred?</t>
  </si>
  <si>
    <t>Player E spins the top for 9 seconds with occasional sounds and Player F spins the top for 9 seconds in silence. Who wins if silence is preferred?</t>
  </si>
  <si>
    <t>If Player G spins the top for 12 seconds with occasional wobbling and Player H spins the top for 12 seconds with consistent speed, who wins if minimal wobbling is preferred?</t>
  </si>
  <si>
    <t>Player I spins the top for 8 seconds with minimal wobbling and Player J spins the top for 8 seconds with occasional wobbling. Who wins if stability is preferred?</t>
  </si>
  <si>
    <t>Player K spins the top for 13 seconds with consistent speed and Player L spins the top for 13 seconds with occasional wobbling. Who wins if speed consistency is preferred?</t>
  </si>
  <si>
    <t>During a Pambaram competition, Player M spins the top for 6 seconds with occasional sounds and Player N spins the top for 6 seconds in silence. Who wins if silence is preferred?</t>
  </si>
  <si>
    <t>Player O spins the top for 14 seconds with consistent speed and Player P spins the top for 14 seconds with occasional wobbling. Who wins if speed consistency is preferred?</t>
  </si>
  <si>
    <t>Player Q spins the top for 15 seconds with occasional sounds and Player R spins the top for 15 seconds with consistent speed. Who wins if speed consistency is preferred?</t>
  </si>
  <si>
    <t>During a Pambaram match, Player S spins the top for 9 seconds with minimal wobbling and Player T spins the top for 9 seconds with occasional wobbling. Who wins if minimal wobbling is preferred?</t>
  </si>
  <si>
    <t>Player U spins the top for 10 seconds with occasional sounds and Player V spins the top for 10 seconds in silence. Who wins if silence is preferred?</t>
  </si>
  <si>
    <t>Player Y spins the top for 8 seconds with consistent speed and Player Z spins the top for 8 seconds with occasional sounds. Who wins if speed consistency is preferred?</t>
  </si>
  <si>
    <t>During a Pambaram competition, Player A spins the top for 12 seconds with minimal wobbling and Player B spins the top for 12 seconds with occasional wobbling. Who wins if minimal wobbling is preferred?</t>
  </si>
  <si>
    <t>If Player E spins the top for 6 seconds with consistent speed and Player F spins the top for 6 seconds with occasional wobbling, who wins if speed consistency is preferred?</t>
  </si>
  <si>
    <t>Player G spins the top for 14 seconds with minimal wobbling and Player H spins the top for 14 seconds with occasional wobbling. Who wins if minimal wobbling is preferred?</t>
  </si>
  <si>
    <t>During a Pambaram match, Player I spins the top for 15 seconds with consistent speed and Player J spins the top for 15 seconds with occasional sounds. Who wins if speed consistency is preferred?</t>
  </si>
  <si>
    <t>Player K spins the top for 9 seconds with occasional wobbling and Player L spins the top for 9 seconds with minimal wobbling. Who wins if minimal wobbling is preferred?</t>
  </si>
  <si>
    <t>Player M spins the top for 8 seconds with minimal wobbling and Player N spins the top for 8 seconds with occasional sounds. Who wins if minimal wobbling is preferred?</t>
  </si>
  <si>
    <t>If Player O spins the top for 11 seconds with consistent speed and Player P spins the top for 11 seconds with occasional wobbling, who wins if speed consistency is preferred?</t>
  </si>
  <si>
    <t>Player Q spins the top for 12 seconds with minimal wobbling and Player R spins the top for 12 seconds with occasional sounds. Who wins if minimal wobbling is preferred?</t>
  </si>
  <si>
    <t>In a traditional Dhol Khel match, each team consists of how many players?</t>
  </si>
  <si>
    <t>A) 7, B) 9, C) 11, D) 13</t>
  </si>
  <si>
    <t>C) 11</t>
  </si>
  <si>
    <t>During a Dhol Khel tournament, Team X won their match with a score of 5 goals to 3. What was the winning margin?</t>
  </si>
  <si>
    <t>A) 1 goal, B) 2 goals, C) 3 goals, D) 4 goals</t>
  </si>
  <si>
    <t>B) 2 goals</t>
  </si>
  <si>
    <t>In Dhol Khel, if a player hits the ball out of bounds, how is the opposing team awarded?</t>
  </si>
  <si>
    <t>Which of the following is a common strategy in Dhol Khel to prevent the opposing team from scoring?</t>
  </si>
  <si>
    <t>A) Aggressive defense, B) Frequent substitutions, C) High-speed serves, D) Long-range throws</t>
  </si>
  <si>
    <t>A) Aggressive defense</t>
  </si>
  <si>
    <t>During a Dhol Khel match, which action results in a turnover of possession to the opposing team?</t>
  </si>
  <si>
    <t>A) Missing a shot, B) Violating the rules of play, C) Scoring a goal, D) Successful pass</t>
  </si>
  <si>
    <t>B) Violating the rules of play</t>
  </si>
  <si>
    <t>In a Dhol Khel game, if Team A and Team B are tied at 10 goals each, what is the minimum number of additional goals required to win the match if the rule is to win by at least 2 goals?</t>
  </si>
  <si>
    <t>Which type of ball is typically used in Dhol Khel?</t>
  </si>
  <si>
    <t>A) Leather ball, B) Rubber ball, C) Synthetic ball, D) Wooden ball</t>
  </si>
  <si>
    <t>B) Rubber ball</t>
  </si>
  <si>
    <t>If Team X has possession of the ball and they make a successful pass to a teammate, what typically happens next?</t>
  </si>
  <si>
    <t>A) The ball is returned to the opposing team, B) Team X gets a free throw, C) The game continues with Team X maintaining possession, D) The game is paused for a brief period</t>
  </si>
  <si>
    <t>C) The game continues with Team X maintaining possession</t>
  </si>
  <si>
    <t>In Dhol Khel, what is the maximum number of players that can be on the field from one team during a play?</t>
  </si>
  <si>
    <t>A) 5, B) 7, C) 9, D) 11</t>
  </si>
  <si>
    <t>D) 11</t>
  </si>
  <si>
    <t>Which of the following tactics is considered unsportsmanlike in a Dhol Khel match?</t>
  </si>
  <si>
    <t>A) Playing aggressively, B) Strategizing plays, C) Intentionally delaying the game, D) Encouraging teammates</t>
  </si>
  <si>
    <t>C) Intentionally delaying the game</t>
  </si>
  <si>
    <t>In a Dhol Khel tournament, if a match ends with both teams scoring 12 goals each, what is the likely procedure to determine the winner?</t>
  </si>
  <si>
    <t>A) The match is declared a draw, B) The game is extended for extra time, C) The team with the most recent goal is declared the winner, D) A penalty shootout is conducted</t>
  </si>
  <si>
    <t>D) A penalty shootout is conducted</t>
  </si>
  <si>
    <t>What is a common feature of the playing field used for Dhol Khel?</t>
  </si>
  <si>
    <t>A) Grass surface, B) Sand surface, C) Hardcourt surface, D) Waterlogged surface</t>
  </si>
  <si>
    <t>C) Hardcourt surface</t>
  </si>
  <si>
    <t>How is a player penalized for a foul committed during a Dhol Khel match?</t>
  </si>
  <si>
    <t>A) The opposing team is awarded a goal, B) The player is substituted, C) The opposing team is awarded possession, D) The player receives a yellow card</t>
  </si>
  <si>
    <t>C) The opposing team is awarded possession</t>
  </si>
  <si>
    <t>In Dhol Khel, what is the role of a goalkeeper?</t>
  </si>
  <si>
    <t>A) To score goals, B) To defend the goal area, C) To pass the ball, D) To referee the match</t>
  </si>
  <si>
    <t>B) To defend the goal area</t>
  </si>
  <si>
    <t>Which position is most likely to handle the ball the most during a Dhol Khel match?</t>
  </si>
  <si>
    <t>A) Forward, B) Midfielder, C) Defender, D) Goalkeeper</t>
  </si>
  <si>
    <t>A) Forward</t>
  </si>
  <si>
    <t>If a Dhol Khel player is injured during the game, what is the standard procedure?</t>
  </si>
  <si>
    <t>A) The player continues without interruption, B) The player is substituted, C) The game is paused for medical attention, D) The game is forfeited</t>
  </si>
  <si>
    <t>B) The player is substituted</t>
  </si>
  <si>
    <t>Which skill is crucial for a successful pass in Dhol Khel?</t>
  </si>
  <si>
    <t>A) Speed, B) Accuracy, C) Strength, D) Agility</t>
  </si>
  <si>
    <t>B) Accuracy</t>
  </si>
  <si>
    <t>In Dhol Khel, how is a goal scored?</t>
  </si>
  <si>
    <t>A) By passing the ball through the opponent’s goalposts, B) By hitting the ball out of bounds, C) By catching the ball in the goal area, D) By performing a specific maneuver</t>
  </si>
  <si>
    <t>A) By passing the ball through the opponent’s goalposts</t>
  </si>
  <si>
    <t>During a Dhol Khel match, how is the game restarted after a goal is scored?</t>
  </si>
  <si>
    <t>A) With a throw-in from the center of the field, B) With a free kick, C) With a kick-off from the center of the field, D) With a pass from the goal area</t>
  </si>
  <si>
    <t>C) With a kick-off from the center of the field</t>
  </si>
  <si>
    <t>What happens if the ball is caught by the opposing team during a throw-in in Dhol Khel?</t>
  </si>
  <si>
    <t>A) The throw-in is repeated, B) The ball is given to the original team, C) The opposing team is awarded a free kick, D) The opposing team gains possession</t>
  </si>
  <si>
    <t>D) The opposing team gains possession</t>
  </si>
  <si>
    <t>Which of the following is an essential rule for a Dhol Khel match?</t>
  </si>
  <si>
    <t>A) All players must wear uniforms, B) Teams must have an equal number of players, C) Each team must score a minimum of 3 goals, D) The game must be played in a specified time limit</t>
  </si>
  <si>
    <t>B) Teams must have an equal number of players</t>
  </si>
  <si>
    <t>In a Dhol Khel match, what is the consequence of a team repeatedly breaking the rules?</t>
  </si>
  <si>
    <t>A) A timeout is given, B) The team is penalized with a goal, C) The team is disqualified, D) The team is given a warning</t>
  </si>
  <si>
    <t>C) The team is disqualified</t>
  </si>
  <si>
    <t>What is the main objective for players during a Dhol Khel match?</t>
  </si>
  <si>
    <t>A) To score the most goals, B) To maintain possession of the ball, C) To defend the goal area, D) To pass the ball frequently</t>
  </si>
  <si>
    <t>A) To score the most goals</t>
  </si>
  <si>
    <t>Which of the following is a defensive strategy used in Dhol Khel?</t>
  </si>
  <si>
    <t>A) Man-to-man marking, B) Quick passing, C) Aggressive attacking, D) High-speed serving</t>
  </si>
  <si>
    <t>A) Man-to-man marking</t>
  </si>
  <si>
    <t>How is the winning team determined in a Dhol Khel match if both teams have scored equal goals?</t>
  </si>
  <si>
    <t>A) The team with the most assists wins, B) The team with the fewest fouls wins, C) The match goes to extra time, D) A penalty shootout is held</t>
  </si>
  <si>
    <t>D) A penalty shootout is held</t>
  </si>
  <si>
    <t>Which of the following is considered a violation of Dhol Khel rules?</t>
  </si>
  <si>
    <t>A) Using excessive force, B) Playing aggressively, C) Coordinating team strategies, D) Performing skillful maneuvers</t>
  </si>
  <si>
    <t>A) Using excessive force</t>
  </si>
  <si>
    <t>During a Dhol Khel game, what is a common method for a player to maintain control of the ball?</t>
  </si>
  <si>
    <t>A) Dribbling, B) Passing, C) Shooting, D) Blocking</t>
  </si>
  <si>
    <t>A) Dribbling</t>
  </si>
  <si>
    <t>What is the role of the referee in a Dhol Khel match?</t>
  </si>
  <si>
    <t>A) To coach the teams, B) To score the goals, C) To enforce the rules of the game, D) To manage player substitutions</t>
  </si>
  <si>
    <t>C) To enforce the rules of the game</t>
  </si>
  <si>
    <t>In Dhol Khel, if a player is caught committing a foul, what typically happens next?</t>
  </si>
  <si>
    <t>A) The game continues without interruption, B) The player is given a warning, C) The opposing team is awarded a penalty, D) The game is paused</t>
  </si>
  <si>
    <t>C) The opposing team is awarded a penalty</t>
  </si>
  <si>
    <t>Which strategy is often used in Dhol Khel to break through a strong defense?</t>
  </si>
  <si>
    <t>A) Fast breaks, B) Slow plays, C) Defensive formations, D) Goalkeeping</t>
  </si>
  <si>
    <t>A) Fast breaks</t>
  </si>
  <si>
    <t>How is the Dhol Khel ball typically handled by players during a match?</t>
  </si>
  <si>
    <t>A) With the feet, B) With the hands, C) With the head, D) With the chest</t>
  </si>
  <si>
    <t>B) With the hands</t>
  </si>
  <si>
    <t>In a Dhol Khel match, what is the standard duration of each half?</t>
  </si>
  <si>
    <t>A) 10 minutes, B) 15 minutes, C) 20 minutes, D) 30 minutes</t>
  </si>
  <si>
    <t>B) 15 minutes</t>
  </si>
  <si>
    <t>Which action is penalized by a free kick in Dhol Khel?</t>
  </si>
  <si>
    <t>A) A successful goal, B) A violation of game rules, C) A pass to a teammate, D) A throw-in</t>
  </si>
  <si>
    <t>B) A violation of game rules</t>
  </si>
  <si>
    <t>What is the primary objective of a defensive player in Dhol Khel?</t>
  </si>
  <si>
    <t>A) To score goals, B) To block shots, C) To make passes, D) To call plays</t>
  </si>
  <si>
    <t>B) To block shots</t>
  </si>
  <si>
    <t>If a player in Dhol Khel makes an illegal move, what is the usual consequence?</t>
  </si>
  <si>
    <t>A) The player is substituted, B) The opposing team is awarded a free kick, C) The game continues, D) The player is penalized with a yellow card</t>
  </si>
  <si>
    <t>B) The opposing team is awarded a free kick</t>
  </si>
  <si>
    <t>In Dhol Khel, what is the function of a corner kick?</t>
  </si>
  <si>
    <t>A) To restart the game after the ball goes out of play, B) To award the opposing team a goal, C) To change possession, D) To start the game</t>
  </si>
  <si>
    <t>A) To restart the game after the ball goes out of play</t>
  </si>
  <si>
    <t>Which skill is essential for a forward player in Dhol Khel?</t>
  </si>
  <si>
    <t>A) Passing accuracy, B) Defensive positioning, C) Goalkeeping, D) Scoring</t>
  </si>
  <si>
    <t>D) Scoring</t>
  </si>
  <si>
    <t>In a Dhol Khel match, what is a common way to regain possession of the ball?</t>
  </si>
  <si>
    <t>A) Stealing, B) Passing, C) Throw-in, D) Goalkeeping</t>
  </si>
  <si>
    <t>A) Stealing</t>
  </si>
  <si>
    <t>What is the significance of a yellow card in Dhol Khel?</t>
  </si>
  <si>
    <t>A) It represents a goal, B) It indicates a serious foul, C) It signifies a warning to the player, D) It awards a free kick</t>
  </si>
  <si>
    <t>C) It signifies a warning to the player</t>
  </si>
  <si>
    <t>How does a team typically prepare for a Dhol Khel match?</t>
  </si>
  <si>
    <t>A) By watching previous games, B) By practicing team strategies, C) By performing physical training, D) All of the above</t>
  </si>
  <si>
    <t>D) All of the above</t>
  </si>
  <si>
    <t>In a Dhol Khel match, what happens if the ball is kicked out of bounds?</t>
  </si>
  <si>
    <t>A) The game is paused, B) The opposing team gets possession, C) The ball is returned to the original team, D) A penalty is awarded</t>
  </si>
  <si>
    <t>B) The opposing team gets possession</t>
  </si>
  <si>
    <t>What is a key component of successful teamwork in Dhol Khel?</t>
  </si>
  <si>
    <t>A) Communication, B) Individual skills, C) Aggressiveness, D) Speed</t>
  </si>
  <si>
    <t>Which of the following is a common method used to defend against a strong attack in Dhol Khel?</t>
  </si>
  <si>
    <t>A) Zone defense, B) Man-to-man marking, C) High pressing, D) Low pressing</t>
  </si>
  <si>
    <t>B) Man-to-man marking</t>
  </si>
  <si>
    <t>In Dhol Khel, what is the typical distance for a penalty kick?</t>
  </si>
  <si>
    <t>A) 5 meters, B) 7 meters, C) 9 meters, D) 11 meters</t>
  </si>
  <si>
    <t>D) 11 meters</t>
  </si>
  <si>
    <t>What is a common tactic for a team in Dhol Khel to create scoring opportunities?</t>
  </si>
  <si>
    <t>A) Passing in quick succession, B) Playing defensively, C) Long-range shots, D) Dribbling past opponents</t>
  </si>
  <si>
    <t>A) Passing in quick succession</t>
  </si>
  <si>
    <t>What is the primary role of a Dhol Khel coach during a match?</t>
  </si>
  <si>
    <t>A) To make tactical decisions, B) To play alongside the team, C) To referee the game, D) To train players before the match</t>
  </si>
  <si>
    <t>A) To make tactical decisions</t>
  </si>
  <si>
    <t>How is a tie generally resolved in a Dhol Khel tournament?</t>
  </si>
  <si>
    <t>A) By a replay of the match, B) By awarding the game to the team with fewer fouls, C) By holding a tiebreaker match, D) By the team with the most recent goals</t>
  </si>
  <si>
    <t>C) By holding a tiebreaker match</t>
  </si>
  <si>
    <t>In Dhol Khel, what is the purpose of a throw-in?</t>
  </si>
  <si>
    <t>A) To start the game, B) To restart the game after the ball goes out of bounds, C) To award a goal, D) To make a substitution</t>
  </si>
  <si>
    <t>B) To restart the game after the ball goes out of bounds</t>
  </si>
  <si>
    <t>Which of the following is crucial for a successful defense in Dhol Khel?</t>
  </si>
  <si>
    <t>A) Speed, B) Anticipation, C) Strength, D) Aggression</t>
  </si>
  <si>
    <t>B) Anticipation</t>
  </si>
  <si>
    <t>In Dhol Khel, what is the penalty for a player who repeatedly violates the rules?</t>
  </si>
  <si>
    <t>A) Suspension from the match, B) A free kick for the opposing team, C) A warning from the referee, D) A goal awarded to the opposing team</t>
  </si>
  <si>
    <t>A) Suspension from the match</t>
  </si>
  <si>
    <t>Which position in Dhol Khel is primarily responsible for scoring goals?</t>
  </si>
  <si>
    <t>A) Defender, B) Midfielder, C) Forward, D) Goalkeeper</t>
  </si>
  <si>
    <t>C) Forward</t>
  </si>
  <si>
    <t>How is a Dhol Khel match typically started?</t>
  </si>
  <si>
    <t>A) With a kick-off from the center of the field, B) With a throw-in, C) With a free kick, D) With a goal</t>
  </si>
  <si>
    <t>A) With a kick-off from the center of the field</t>
  </si>
  <si>
    <t>Which of the following is an effective way to break through an opponent's defense in Dhol Khel?</t>
  </si>
  <si>
    <t>A) Quick passes, B) Long shots, C) High jumps, D) Defensive blocks</t>
  </si>
  <si>
    <t>A) Quick passes</t>
  </si>
  <si>
    <t>In Dhol Khel, what is the function of a free kick?</t>
  </si>
  <si>
    <t>A) To restart the game from a foul, B) To award a goal, C) To substitute players, D) To start the match</t>
  </si>
  <si>
    <t>A) To restart the game from a foul</t>
  </si>
  <si>
    <t>What is a common reason for a substitution in Dhol Khel?</t>
  </si>
  <si>
    <t>A) Player injury, B) Strategy change, C) Game delay, D) All of the above</t>
  </si>
  <si>
    <t>During a Dhol Khel match, what is the standard procedure if the game is interrupted due to weather conditions?</t>
  </si>
  <si>
    <t>A) The game is canceled, B) The game is resumed later, C) The game is forfeited, D) The game continues with adjustments</t>
  </si>
  <si>
    <t>B) The game is resumed later</t>
  </si>
  <si>
    <t>In Dhol Khel, what is the significance of a corner kick?</t>
  </si>
  <si>
    <t>A) To restart the game after the ball goes out of play, B) To score a goal directly, C) To substitute players, D) To penalize the opposing team</t>
  </si>
  <si>
    <t>Which of the following is a common technique for improving accuracy in Dhol Khel?</t>
  </si>
  <si>
    <t>A) Practicing with a target, B) Increasing speed, C) Defensive drills, D) Team strategies</t>
  </si>
  <si>
    <t>A) Practicing with a target</t>
  </si>
  <si>
    <t>In Dhol Khel, what is a common practice to ensure player fitness?</t>
  </si>
  <si>
    <t>A) Regular physical training, B) Watching videos of previous matches, C) Playing less frequently, D) Avoiding intense drills</t>
  </si>
  <si>
    <t>A) Regular physical training</t>
  </si>
  <si>
    <t>What is the common practice for handling a tie in Dhol Khel tournaments?</t>
  </si>
  <si>
    <t>A) Replay the match, B) Award the match to the team with fewer fouls, C) Conduct a penalty shootout, D) Declare both teams winners</t>
  </si>
  <si>
    <t>C) Conduct a penalty shootout</t>
  </si>
  <si>
    <t>What is the typical way to score in Dhol Khel?</t>
  </si>
  <si>
    <t>A) By passing the ball through the goalposts, B) By hitting the ball out of bounds, C) By catching the ball in the goal area, D) By performing a successful maneuver</t>
  </si>
  <si>
    <t>A) By passing the ball through the goalposts</t>
  </si>
  <si>
    <t>How is a goal typically celebrated in Dhol Khel?</t>
  </si>
  <si>
    <t>A) By a team huddle, B) By a player dancing, C) By a short pause in play, D) By the referee signaling the goal</t>
  </si>
  <si>
    <t>A) By a team huddle</t>
  </si>
  <si>
    <t>Which of the following actions is penalized in Dhol Khel?</t>
  </si>
  <si>
    <t>A) Dribbling past opponents, B) Scoring a goal, C) Holding the ball too long, D) Passing accurately</t>
  </si>
  <si>
    <t>C) Holding the ball too long</t>
  </si>
  <si>
    <t>In Dhol Khel, what typically happens if a team accumulates too many fouls?</t>
  </si>
  <si>
    <t>A) They are disqualified from the match, B) The opposing team is awarded a goal, C) The team receives a warning, D) The game is paused</t>
  </si>
  <si>
    <t>A) They are disqualified from the match</t>
  </si>
  <si>
    <t>Which of the following is a key factor in maintaining good defense in Dhol Khel?</t>
  </si>
  <si>
    <t>A) Anticipation of the opponent's moves, B) Aggressive play, C) Scoring goals, D) High-speed passes</t>
  </si>
  <si>
    <t>A) Anticipation of the opponent's moves</t>
  </si>
  <si>
    <t>How is a successful Dhol Khel game plan usually developed?</t>
  </si>
  <si>
    <t>A) By analyzing opponents’ strategies, B) By practicing individual skills, C) By focusing on physical training, D) By discussing with referees</t>
  </si>
  <si>
    <t>A) By analyzing opponents’ strategies</t>
  </si>
  <si>
    <t>In Dhol Khel, what is a common way to improve team coordination?</t>
  </si>
  <si>
    <t>A) Regular practice sessions, B) Increasing individual play time, C) Reducing the number of team meetings, D) Focusing on defensive drills</t>
  </si>
  <si>
    <t>A) Regular practice sessions</t>
  </si>
  <si>
    <t>What is the role of a referee during a Dhol Khel match?</t>
  </si>
  <si>
    <t>A) To enforce the rules and ensure fair play, B) To coach the teams, C) To participate in the game, D) To score goals</t>
  </si>
  <si>
    <t>A) To enforce the rules and ensure fair play</t>
  </si>
  <si>
    <t>What usually determines the best player in a Dhol Khel match?</t>
  </si>
  <si>
    <t>A) The number of goals scored, B) The number of assists, C) The number of defensive plays, D) Overall contribution to the game</t>
  </si>
  <si>
    <t>D) Overall contribution to the game</t>
  </si>
  <si>
    <t>In a Dhol Khel tournament, what happens if a match ends in a draw?</t>
  </si>
  <si>
    <t>A) The match is replayed, B) The team with fewer fouls wins, C) The game goes to extra time or a penalty shootout, D) Both teams are declared winners</t>
  </si>
  <si>
    <t>C) The game goes to extra time or a penalty shootout</t>
  </si>
  <si>
    <t>What is a standard feature of the Dhol Khel playing field?</t>
  </si>
  <si>
    <t>A) Flat and even surface, B) Sloped surface, C) Waterlogged surface, D) Uneven terrain</t>
  </si>
  <si>
    <t>A) Flat and even surface</t>
  </si>
  <si>
    <t>How is a penalty kick awarded in Dhol Khel?</t>
  </si>
  <si>
    <t>A) For a serious foul within the goal area, B) For scoring a goal, C) For a successful pass, D) For an out-of-bounds throw</t>
  </si>
  <si>
    <t>A) For a serious foul within the goal area</t>
  </si>
  <si>
    <t>Which position in Dhol Khel focuses primarily on defensive maneuvers?</t>
  </si>
  <si>
    <t>C) Defender</t>
  </si>
  <si>
    <t>What is an important skill for a goalkeeper in Dhol Khel?</t>
  </si>
  <si>
    <t>A) Blocking shots, B) Scoring goals, C) Passing accurately, D) Dribbling</t>
  </si>
  <si>
    <t>A) Blocking shots</t>
  </si>
  <si>
    <t>A) Injury, B) Tactical change, C) Player fatigue, D) All of the above</t>
  </si>
  <si>
    <t>Which of the following actions is considered illegal in Dhol Khel?</t>
  </si>
  <si>
    <t>A) Aggressive blocking, B) Scoring a goal, C) Dribbling past opponents, D) Catching the ball</t>
  </si>
  <si>
    <t>A) Aggressive blocking</t>
  </si>
  <si>
    <t>What is the role of a Dhol Khel team captain?</t>
  </si>
  <si>
    <t>A) To lead the team and make strategic decisions, B) To referee the match, C) To score the most goals, D) To substitute players</t>
  </si>
  <si>
    <t>A) To lead the team and make strategic decisions</t>
  </si>
  <si>
    <t>What is the primary objective of a Dhol Khel player?</t>
  </si>
  <si>
    <t>A) To score goals, B) To defend the goal, C) To pass the ball, D) To strategize</t>
  </si>
  <si>
    <t>A) To score goals</t>
  </si>
  <si>
    <t>Which of the following is a common technique for improving ball control in Dhol Khel?</t>
  </si>
  <si>
    <t>A) Dribbling drills, B) Passing drills, C) Shooting drills, D) Defensive drills</t>
  </si>
  <si>
    <t>A) Dribbling drills</t>
  </si>
  <si>
    <t>In Dhol Khel, what is the consequence of a player committing a serious foul?</t>
  </si>
  <si>
    <t>A) The player is substituted, B) A penalty kick is awarded, C) The game is paused, D) The player receives a yellow card</t>
  </si>
  <si>
    <t>B) A penalty kick is awarded</t>
  </si>
  <si>
    <t>What is a common defensive strategy used in Dhol Khel?</t>
  </si>
  <si>
    <t>A) Man-to-man marking, B) Zone defense, C) High pressing, D) Low pressing</t>
  </si>
  <si>
    <t>Which position is responsible for leading the attack in Dhol Khel?</t>
  </si>
  <si>
    <t>How is a Dhol Khel game typically resumed after a player is injured?</t>
  </si>
  <si>
    <t>A) By substituting the player, B) By continuing the game without interruption, C) By awarding a free kick, D) By calling a timeout</t>
  </si>
  <si>
    <t>A) By substituting the player</t>
  </si>
  <si>
    <t>What is the primary focus of a midfielder in Dhol Khel?</t>
  </si>
  <si>
    <t>A) Defending the goal, B) Creating scoring opportunities, C) Blocking shots, D) Goalkeeping</t>
  </si>
  <si>
    <t>B) Creating scoring opportunities</t>
  </si>
  <si>
    <t>In Dhol Khel, what is the purpose of a goal kick?</t>
  </si>
  <si>
    <t>A) To restart the game after the ball goes out of bounds, B) To penalize the opposing team, C) To score a goal, D) To make a substitution</t>
  </si>
  <si>
    <t>A) To restart the game after the ball goes out of bounds</t>
  </si>
  <si>
    <t>Which action is typically rewarded with a free kick in Dhol Khel?</t>
  </si>
  <si>
    <t>A) Scoring a goal, B) Committing a minor foul, C) Making a successful pass, D) Performing a throw-in</t>
  </si>
  <si>
    <t>B) Committing a minor foul</t>
  </si>
  <si>
    <t>What is a common way to improve teamwork in Dhol Khel?</t>
  </si>
  <si>
    <t>A) Regular practice sessions, B) Watching previous games, C) Individual training, D) Increasing game time</t>
  </si>
  <si>
    <t>Which of the following is a key aspect of goalkeeping in Dhol Khel?</t>
  </si>
  <si>
    <t>A) Blocking shots, B) Scoring goals, C) Passing the ball, D) Dribbling past opponents</t>
  </si>
  <si>
    <t>In Dhol Khel, what is the role of a defender?</t>
  </si>
  <si>
    <t>A) To score goals, B) To block offensive plays, C) To make passes, D) To call plays</t>
  </si>
  <si>
    <t>B) To block offensive plays</t>
  </si>
  <si>
    <t>How is a tie typically resolved in a Dhol Khel tournament?</t>
  </si>
  <si>
    <t>A) By a replay of the match, B) By awarding the game to the team with fewer fouls, C) By holding a penalty shootout, D) By the team with the most recent goals</t>
  </si>
  <si>
    <t>C) By holding a penalty shootout</t>
  </si>
  <si>
    <t>What is the typical method for restarting the game after the ball goes out of bounds on the sideline in Dhol Khel?</t>
  </si>
  <si>
    <t>A) Throw-in, B) Goal kick, C) Corner kick, D) Free kick</t>
  </si>
  <si>
    <t>A) Throw-in</t>
  </si>
  <si>
    <t>Which position is primarily responsible for defending in Dhol Khel?</t>
  </si>
  <si>
    <t>In Dhol Khel, what is a common reason for a penalty kick?</t>
  </si>
  <si>
    <t>A) A serious foul within the goal area, B) A successful pass, C) A goal scored, D) An out-of-bounds throw</t>
  </si>
  <si>
    <t>A) A serious foul within the goal area</t>
  </si>
  <si>
    <t>What is the purpose of a corner kick in Dhol Khel?</t>
  </si>
  <si>
    <t>A) To restart the game after the ball goes out of play, B) To award a goal, C) To substitute players, D) To penalize the opposing team</t>
  </si>
  <si>
    <t>Which skill is crucial for a forward player in Dhol Khel?</t>
  </si>
  <si>
    <t>A) Scoring, B) Goalkeeping, C) Passing, D) Defending</t>
  </si>
  <si>
    <t>A) Scoring</t>
  </si>
  <si>
    <t>What typically happens if the ball goes out of bounds over the goal line in Dhol Khel?</t>
  </si>
  <si>
    <t>A) A corner kick is awarded, B) A goal kick is awarded, C) The game is paused, D) A throw-in is awarded</t>
  </si>
  <si>
    <t>B) A goal kick is awarded</t>
  </si>
  <si>
    <t>What is a common defensive tactic in Dhol Khel?</t>
  </si>
  <si>
    <t>Which action is often taken to improve passing accuracy in Dhol Khel?</t>
  </si>
  <si>
    <t>A) Practicing with targets, B) Increasing speed, C) Defensive drills, D) Goalkeeping drills</t>
  </si>
  <si>
    <t>A) Practicing with targets</t>
  </si>
  <si>
    <t>In Dhol Khel, how is a substitution typically handled?</t>
  </si>
  <si>
    <t>A) By pausing the game, B) By replacing the player without interrupting the game, C) By awarding a free kick, D) By calling a timeout</t>
  </si>
  <si>
    <t>B) By replacing the player without interrupting the game</t>
  </si>
  <si>
    <t>What is the role of a referee in a Dhol Khel match?</t>
  </si>
  <si>
    <t>What is a common way to improve a team's defensive strategy in Dhol Khel?</t>
  </si>
  <si>
    <t>A) Practicing zone defense, B) Increasing offensive drills, C) Focusing on scoring techniques, D) Watching previous matches</t>
  </si>
  <si>
    <t>A) Practicing zone defense</t>
  </si>
  <si>
    <t>Which position in Dhol Khel is most involved in offensive plays?</t>
  </si>
  <si>
    <t>A) Forward, B) Defender, C) Midfielder, D) Goalkeeper</t>
  </si>
  <si>
    <t>In Dhol Khel, what is the typical distance for a throw-in?</t>
  </si>
  <si>
    <t>A) 5 meters, B) 7 meters, C) 9 meters, D) 10 meters</t>
  </si>
  <si>
    <t>A) 5 meters</t>
  </si>
  <si>
    <t>What is an important skill for a Dhol Khel goalkeeper?</t>
  </si>
  <si>
    <t>A) Blocking shots, B) Scoring goals, C) Passing the ball, D) Dribbling</t>
  </si>
  <si>
    <t>What action is typically rewarded with a goal kick in Dhol Khel?</t>
  </si>
  <si>
    <t>A) Ball going out of bounds over the goal line, B) Scoring a goal, C) Committing a foul, D) Successful pass</t>
  </si>
  <si>
    <t>A) Ball going out of bounds over the goal line</t>
  </si>
  <si>
    <t>A) For a serious foul within the goal area, B) For a successful pass, C) For a goal scored, D) For an out-of-bounds throw</t>
  </si>
  <si>
    <t>Which action is typically taken to restart the game after a ball goes out of bounds on the sideline?</t>
  </si>
  <si>
    <t>What is a common strategy to improve team coordination in Dhol Khel?</t>
  </si>
  <si>
    <t>A) Regular practice sessions, B) Increasing individual play time, C) Reducing team meetings, D) Focusing on defensive drills</t>
  </si>
  <si>
    <t>Which position is primarily responsible for scoring goals in Dhol Khel?</t>
  </si>
  <si>
    <t>What is a key factor in maintaining good defense in Dhol Khel?</t>
  </si>
  <si>
    <t>In Dhol Khel, what is typically the result of accumulating too many fouls?</t>
  </si>
  <si>
    <t>A) Disqualification from the match, B) Award of a goal to the opposing team, C) Receipt of a warning, D) Pausing of the game</t>
  </si>
  <si>
    <t>A) Disqualification from the match</t>
  </si>
  <si>
    <t>Which of the following is a common reason for a substitution in Dhol Khel?</t>
  </si>
  <si>
    <t>What is the purpose of a free kick in Dhol Khel?</t>
  </si>
  <si>
    <t>A) To restart the game after a minor foul, B) To award a goal, C) To substitute players, D) To penalize the opposing team</t>
  </si>
  <si>
    <t>A) To restart the game after a minor foul</t>
  </si>
  <si>
    <t>Which action is often penalized in Dhol Khel?</t>
  </si>
  <si>
    <t>What is a common way to improve accuracy in Dhol Khel?</t>
  </si>
  <si>
    <t>In Dhol Khel, what typically happens if the game ends in a draw?</t>
  </si>
  <si>
    <t>Which of the following is a key aspect of a successful Dhol Khel game plan?</t>
  </si>
  <si>
    <t>A) Analyzing opponents’ strategies, B) Practicing individual skills, C) Focusing on physical training, D) Discussing with referees</t>
  </si>
  <si>
    <t>A) Analyzing opponents’ strategies</t>
  </si>
  <si>
    <t>In Dhol Khel, what typically determines the best player in a match?</t>
  </si>
  <si>
    <t>What is the standard method of scoring in Dhol Khel?</t>
  </si>
  <si>
    <t>How is a successful game plan usually developed in Dhol Khel?</t>
  </si>
  <si>
    <t>In Dhol Khel, what is the role of a midfielder?</t>
  </si>
  <si>
    <t>A) To create scoring opportunities, B) To block offensive plays, C) To score goals, D) To enforce the rules</t>
  </si>
  <si>
    <t>A) To create scoring opportunities</t>
  </si>
  <si>
    <t>What is the typical distance for a throw-in in Dhol Khel?</t>
  </si>
  <si>
    <t>What is the purpose of a goal kick in Dhol Khel?</t>
  </si>
  <si>
    <t>A) To restart the game after the ball goes out of bounds over the goal line, B) To score a goal, C) To substitute players, D) To penalize the opposing team</t>
  </si>
  <si>
    <t>A) To restart the game after the ball goes out of bounds over the goal line</t>
  </si>
  <si>
    <t>What typically happens if a team accumulates too many fouls in Dhol Khel?</t>
  </si>
  <si>
    <t>A) The team is disqualified from the match, B) The opposing team is awarded a goal, C) The team receives a warning, D) The game is paused</t>
  </si>
  <si>
    <t>A) The team is disqualified from the match</t>
  </si>
  <si>
    <t>Which action is typically taken to restart the game after a ball goes out of bounds on the sideline in Dhol Khel?</t>
  </si>
  <si>
    <t>In Dhol Khel, which of the following is used to restart play after a ball is kicked out over the sideline?</t>
  </si>
  <si>
    <t>What is the common duration for a half in a standard Dhol Khel match?</t>
  </si>
  <si>
    <t>A) 30 minutes, B) 45 minutes, C) 60 minutes, D) 15 minutes</t>
  </si>
  <si>
    <t>B) 45 minutes</t>
  </si>
  <si>
    <t>Which skill is most important for a midfielder in Dhol Khel?</t>
  </si>
  <si>
    <t>A) Passing accuracy, B) Goalkeeping, C) Defensive blocking, D) Scoring goals</t>
  </si>
  <si>
    <t>A) Passing accuracy</t>
  </si>
  <si>
    <t>In Dhol Khel, what is the primary role of a defender?</t>
  </si>
  <si>
    <t>A) To block opposing players and protect the goal, B) To score goals, C) To make passes, D) To lead the team</t>
  </si>
  <si>
    <t>A) To block opposing players and protect the goal</t>
  </si>
  <si>
    <t>How is a penalty awarded in Dhol Khel?</t>
  </si>
  <si>
    <t>A) For a serious foul committed inside the penalty area, B) For a minor foul, C) For scoring a goal, D) For a successful pass</t>
  </si>
  <si>
    <t>A) For a serious foul committed inside the penalty area</t>
  </si>
  <si>
    <t>What is typically used to determine the best player of the match in Dhol Khel?</t>
  </si>
  <si>
    <t>A) Number of goals scored, B) Number of assists, C) Overall performance and contribution, D) Number of fouls committed</t>
  </si>
  <si>
    <t>C) Overall performance and contribution</t>
  </si>
  <si>
    <t>Which position in Dhol Khel is responsible for defending the goal?</t>
  </si>
  <si>
    <t>A) Goalkeeper, B) Forward, C) Midfielder, D) Defender</t>
  </si>
  <si>
    <t>A) Goalkeeper</t>
  </si>
  <si>
    <t>In Dhol Khel, what is the role of a corner kick?</t>
  </si>
  <si>
    <t>A) To restart play after the ball goes out of bounds over the goal line, B) To restart play after the ball goes out of bounds over the sideline, C) To award a penalty, D) To substitute a player</t>
  </si>
  <si>
    <t>A) To restart play after the ball goes out of bounds over the goal line</t>
  </si>
  <si>
    <t>What action is typically taken if a Dhol Khel game ends with a draw?</t>
  </si>
  <si>
    <t>A) Conduct a penalty shootout, B) Award the game to the team with fewer fouls, C) Replay the match, D) Declare both teams as winners</t>
  </si>
  <si>
    <t>A) Conduct a penalty shootout</t>
  </si>
  <si>
    <t>Which technique is essential for improving ball control in Dhol Khel?</t>
  </si>
  <si>
    <t>A) Dribbling drills, B) Goalkeeping drills, C) Passing drills, D) Defensive drills</t>
  </si>
  <si>
    <t>What is the primary focus of training for a Dhol Khel goalkeeper?</t>
  </si>
  <si>
    <t>A) Blocking shots and saving goals, B) Scoring goals, C) Passing the ball, D) Dribbling past opponents</t>
  </si>
  <si>
    <t>A) Blocking shots and saving goals</t>
  </si>
  <si>
    <t>In Dhol Khel, what is typically awarded for a serious foul committed outside the penalty area?</t>
  </si>
  <si>
    <t>A) Free kick, B) Corner kick, C) Penalty kick, D) Goal kick</t>
  </si>
  <si>
    <t>A) Free kick</t>
  </si>
  <si>
    <t>What is a common practice to enhance team cohesion in Dhol Khel?</t>
  </si>
  <si>
    <t>A) Regular team-building exercises, B) Individual training sessions, C) Watching recorded games, D) Increasing game time</t>
  </si>
  <si>
    <t>A) Regular team-building exercises</t>
  </si>
  <si>
    <t>Which position is crucial for initiating attacks in Dhol Khel?</t>
  </si>
  <si>
    <t>C) Midfielder</t>
  </si>
  <si>
    <t>How is a throw-in executed in Dhol Khel?</t>
  </si>
  <si>
    <t>A) By throwing the ball from behind the sideline with both hands, B) By kicking the ball from the sideline, C) By passing the ball from the corner, D) By rolling the ball from the sideline</t>
  </si>
  <si>
    <t>A) By throwing the ball from behind the sideline with both hands</t>
  </si>
  <si>
    <t>What is the typical result of accumulating too many yellow cards in a Dhol Khel match?</t>
  </si>
  <si>
    <t>A) A red card and ejection from the match, B) A goal is awarded to the opposing team, C) A substitution is made, D) The game is paused</t>
  </si>
  <si>
    <t>A) A red card and ejection from the match</t>
  </si>
  <si>
    <t>Which of the following is a standard part of a Dhol Khel training regimen?</t>
  </si>
  <si>
    <t>A) Skill drills, B) Watching videos of previous games, C) Increasing physical fitness, D) All of the above</t>
  </si>
  <si>
    <t>What is the main purpose of a goal kick in Dhol Khel?</t>
  </si>
  <si>
    <t>A) To restart the game after the ball goes out of bounds over the goal line, B) To award a penalty, C) To substitute players, D) To award a corner kick</t>
  </si>
  <si>
    <t>Which position in Dhol Khel is primarily responsible for stopping the opposing team's attacks?</t>
  </si>
  <si>
    <t>A) Defender, B) Forward, C) Midfielder, D) Goalkeeper</t>
  </si>
  <si>
    <t>A) Defender</t>
  </si>
  <si>
    <t>What is a common technique for improving shooting accuracy in Dhol Khel?</t>
  </si>
  <si>
    <t>A) Target practice, B) Defensive drills, C) Passing drills, D) Goalkeeping drills</t>
  </si>
  <si>
    <t>A) Target practice</t>
  </si>
  <si>
    <t>In Dhol Khel, what happens if the game ends with a tie?</t>
  </si>
  <si>
    <t>A) A penalty shootout is conducted, B) The game is replayed, C) The team with fewer fouls wins, D) The game ends in a draw</t>
  </si>
  <si>
    <t>A) A penalty shootout is conducted</t>
  </si>
  <si>
    <t>Which action is typically rewarded with a corner kick in Dhol Khel?</t>
  </si>
  <si>
    <t>A) The ball going out of bounds over the goal line after being touched by a defender, B) The ball going out of bounds over the sideline, C) A minor foul, D) A successful pass</t>
  </si>
  <si>
    <t>A) The ball going out of bounds over the goal line after being touched by a defender</t>
  </si>
  <si>
    <t>What is the role of a team captain in Dhol Khel?</t>
  </si>
  <si>
    <t>Which position is primarily responsible for creating scoring opportunities in Dhol Khel?</t>
  </si>
  <si>
    <t>A) Midfielder, B) Defender, C) Forward, D) Goalkeeper</t>
  </si>
  <si>
    <t>A) Midfielder</t>
  </si>
  <si>
    <t>How is a free kick awarded in Dhol Khel?</t>
  </si>
  <si>
    <t>A) For a minor foul committed outside the penalty area, B) For scoring a goal, C) For a successful pass, D) For an out-of-bounds throw</t>
  </si>
  <si>
    <t>A) For a minor foul committed outside the penalty area</t>
  </si>
  <si>
    <t>A) Zone defense, B) High pressing, C) Counter-attacking, D) Time-wasting</t>
  </si>
  <si>
    <t>A) Zone defense</t>
  </si>
  <si>
    <t>Which technique is crucial for a Dhol Khel forward?</t>
  </si>
  <si>
    <t>A) Scoring goals, B) Defending, C) Passing, D) Goalkeeping</t>
  </si>
  <si>
    <t>A) Scoring goals</t>
  </si>
  <si>
    <t>In Dhol Khel, what is the standard procedure if a player is injured?</t>
  </si>
  <si>
    <t>A) The player is substituted, B) The game is paused, C) The player is given a timeout, D) The game continues without interruption</t>
  </si>
  <si>
    <t>A) Regular practice sessions, B) Watching videos of previous games, C) Increasing individual play time, D) Reducing team meetings</t>
  </si>
  <si>
    <t>What is the main objective of a Dhol Khel defender during a match?</t>
  </si>
  <si>
    <t>A) To stop opposing players from scoring, B) To score goals, C) To make accurate passes, D) To lead the team</t>
  </si>
  <si>
    <t>A) To stop opposing players from scoring</t>
  </si>
  <si>
    <t>A) By throwing the ball from behind the sideline with both hands, B) By kicking the ball from the sideline, C) By rolling the ball from the sideline, D) By passing the ball from the corner</t>
  </si>
  <si>
    <t>Which of the following actions is commonly penalized in Dhol Khel?</t>
  </si>
  <si>
    <t>A) Holding the ball for too long, B) Scoring a goal, C) Passing accurately, D) Dribbling past opponents</t>
  </si>
  <si>
    <t>A) Holding the ball for too long</t>
  </si>
  <si>
    <t>What is an effective way to enhance passing skills in Dhol Khel?</t>
  </si>
  <si>
    <t>A) Practice with a partner, B) Increase running drills, C) Focus on goalkeeping drills, D) Work on defensive techniques</t>
  </si>
  <si>
    <t>A) Practice with a partner</t>
  </si>
  <si>
    <t>In Dhol Khel, what is the primary role of a forward?</t>
  </si>
  <si>
    <t>A) To score goals, B) To defend the goal, C) To pass the ball, D) To block shots</t>
  </si>
  <si>
    <t>What typically determines the best player in a Dhol Khel match?</t>
  </si>
  <si>
    <t>A) Overall contribution to the game, B) Number of goals scored, C) Number of assists, D) Defensive performance</t>
  </si>
  <si>
    <t>A) Overall contribution to the game</t>
  </si>
  <si>
    <t>How is a game restarted after a goal is scored in Dhol Khel?</t>
  </si>
  <si>
    <t>A) With a kick-off from the center of the field, B) With a throw-in, C) With a goal kick, D) With a corner kick</t>
  </si>
  <si>
    <t>Which position is crucial for organizing and controlling the midfield in Dhol Khel?</t>
  </si>
  <si>
    <t>A) Midfielder, B) Forward, C) Defender, D) Goalkeeper</t>
  </si>
  <si>
    <t>In Dhol Khel, what is typically used to award a penalty?</t>
  </si>
  <si>
    <t>A) Serious foul inside the penalty area, B) Minor foul outside the penalty area, C) Successful pass, D) Goal scored</t>
  </si>
  <si>
    <t>A) Serious foul inside the penalty area</t>
  </si>
  <si>
    <t>Which action is commonly taken after a ball goes out of bounds over the goal line?</t>
  </si>
  <si>
    <t>A) Goal kick or corner kick, B) Throw-in, C) Free kick, D) Penalty kick</t>
  </si>
  <si>
    <t>A) Goal kick or corner kick</t>
  </si>
  <si>
    <t>A) Injury or tactical change, B) Scoring a goal, C) Receiving a yellow card, D) Successful pass</t>
  </si>
  <si>
    <t>A) Injury or tactical change</t>
  </si>
  <si>
    <t>What is the main goal of a Dhol Khel training session?</t>
  </si>
  <si>
    <t>A) To improve skills and team performance, B) To increase individual play time, C) To discuss strategies, D) To watch previous game recordings</t>
  </si>
  <si>
    <t>A) To improve skills and team performance</t>
  </si>
  <si>
    <t>In Dhol Khel, what is the typical role of a goal kick?</t>
  </si>
  <si>
    <t>A) To restart play after the ball goes out of bounds over the goal line, B) To award a goal, C) To substitute players, D) To penalize the opposing team</t>
  </si>
  <si>
    <t>Which skill is crucial for a Dhol Khel defender?</t>
  </si>
  <si>
    <t>In Dhol Khel, what usually happens after a game ends in a tie?</t>
  </si>
  <si>
    <t>A) A penalty shootout is conducted, B) The game is replayed, C) The team with fewer fouls wins, D) The game is declared a draw</t>
  </si>
  <si>
    <t>What is the main responsibility of a Dhol Khel midfielder?</t>
  </si>
  <si>
    <t>A) To create scoring opportunities and control the ball, B) To defend the goal, C) To score goals, D) To block shots</t>
  </si>
  <si>
    <t>A) To create scoring opportunities and control the ball</t>
  </si>
  <si>
    <t>What is the purpose of a throw-in in Dhol Khel?</t>
  </si>
  <si>
    <t>A) To restart play after the ball goes out of bounds over the sideline, B) To award a goal, C) To substitute players, D) To penalize the opposing team</t>
  </si>
  <si>
    <t>A) To restart play after the ball goes out of bounds over the sideline</t>
  </si>
  <si>
    <t>Which position is essential for making tactical decisions during a match in Dhol Khel?</t>
  </si>
  <si>
    <t>A) Team captain, B) Goalkeeper, C) Forward, D) Defender</t>
  </si>
  <si>
    <t>A) Team captain</t>
  </si>
  <si>
    <t>How is a game restarted after a goal kick in Dhol Khel?</t>
  </si>
  <si>
    <t>A) By kicking the ball from the goal area, B) By throwing the ball in, C) By a corner kick, D) By a free kick</t>
  </si>
  <si>
    <t>A) By kicking the ball from the goal area</t>
  </si>
  <si>
    <t>What is a key strategy for improving team defense in Dhol Khel?</t>
  </si>
  <si>
    <t>A) Practicing zone defense, B) Increasing individual training, C) Focusing solely on attacking, D) Reducing practice sessions</t>
  </si>
  <si>
    <t>In Dhol Khel, what action is typically taken if a serious foul occurs?</t>
  </si>
  <si>
    <t>A) Award a penalty or free kick, B) Conduct a throw-in, C) Pause the game, D) Substitute the player</t>
  </si>
  <si>
    <t>A) Award a penalty or free kick</t>
  </si>
  <si>
    <t>What is the common technique for improving ball control in Dhol Khel?</t>
  </si>
  <si>
    <t>A) Dribbling drills, B) Passing drills, C) Goalkeeping drills, D) Defensive drills</t>
  </si>
  <si>
    <t>What is a common way to enhance passing accuracy in Dhol Khel?</t>
  </si>
  <si>
    <t>A) Practicing with targets, B) Increasing running drills, C) Working on goalkeeping skills, D) Focusing on defensive strategies</t>
  </si>
  <si>
    <t>In Dhol Khel, what usually happens if a player accumulates too many yellow cards?</t>
  </si>
  <si>
    <t>A) The player receives a red card and is ejected from the game, B) The player is substituted, C) The team receives a penalty, D) The game is paused</t>
  </si>
  <si>
    <t>A) The player receives a red card and is ejected from the game</t>
  </si>
  <si>
    <t>Which action is commonly taken to restart play after the ball goes out of bounds over the sideline?</t>
  </si>
  <si>
    <t>What is the primary objective of a Dhol Khel midfielder during a game?</t>
  </si>
  <si>
    <t>A) To control the ball and create scoring opportunities, B) To defend the goal, C) To block shots, D) To lead the team</t>
  </si>
  <si>
    <t>A) To control the ball and create scoring opportunities</t>
  </si>
  <si>
    <t>What is a common practice for maintaining fitness in Dhol Khel?</t>
  </si>
  <si>
    <t>A) Regular physical training, B) Watching game recordings, C) Increasing individual play time, D) Reducing practice sessions</t>
  </si>
  <si>
    <t>In Dhol Khel, what is the main role of a goalkeeping drill?</t>
  </si>
  <si>
    <t>A) To improve shot-blocking skills, B) To increase goal-scoring chances, C) To enhance passing accuracy, D) To practice defensive techniques</t>
  </si>
  <si>
    <t>A) To improve shot-blocking skills</t>
  </si>
  <si>
    <t>Which technique is crucial for improving a Dhol Khel forward's performance?</t>
  </si>
  <si>
    <t>A) Scoring drills, B) Defensive drills, C) Passing drills, D) Goalkeeping drills</t>
  </si>
  <si>
    <t>A) Scoring drills</t>
  </si>
  <si>
    <t>What is a common reason for conducting a substitution in Dhol Khel?</t>
  </si>
  <si>
    <t>How is a game restarted after a penalty kick in Dhol Khel?</t>
  </si>
  <si>
    <t>A) By a kick-off from the center of the field, B) By a goal kick, C) By a throw-in, D) By a corner kick</t>
  </si>
  <si>
    <t>A) By a kick-off from the center of the field</t>
  </si>
  <si>
    <t>In Dhol Khel, what is the role of a defender during a corner kick?</t>
  </si>
  <si>
    <t>A) To block or clear the ball from the goal area, B) To take the corner kick, C) To score a goal, D) To pass the ball to teammates</t>
  </si>
  <si>
    <t>A) To block or clear the ball from the goal area</t>
  </si>
  <si>
    <t>Which technique is essential for improving ball passing in Dhol Khel?</t>
  </si>
  <si>
    <t>A) Passing drills with accuracy targets, B) Dribbling drills, C) Goalkeeping drills, D) Defensive drills</t>
  </si>
  <si>
    <t>A) Passing drills with accuracy targets</t>
  </si>
  <si>
    <t>What is a key component of a Dhol Khel forward's training?</t>
  </si>
  <si>
    <t>A) Shooting practice, B) Goalkeeping drills, C) Defensive strategies, D) Passing accuracy</t>
  </si>
  <si>
    <t>A) Shooting practice</t>
  </si>
  <si>
    <t>In Dhol Khel, what is typically used to restart play after a free kick?</t>
  </si>
  <si>
    <t>A) By kicking the ball from the spot of the foul, B) By a throw-in, C) By a corner kick, D) By a goal kick</t>
  </si>
  <si>
    <t>A) By kicking the ball from the spot of the foul</t>
  </si>
  <si>
    <t>What is the main focus of defensive training in Dhol Khel?</t>
  </si>
  <si>
    <t>A) Blocking and clearing the ball, B) Scoring goals, C) Passing accuracy, D) Goalkeeping skills</t>
  </si>
  <si>
    <t>A) Blocking and clearing the ball</t>
  </si>
  <si>
    <t>Which position is critical for starting an attack in Dhol Khel?</t>
  </si>
  <si>
    <t>What is a common reason for a goal kick in Dhol Khel?</t>
  </si>
  <si>
    <t>A) The ball going out of bounds over the goal line after being touched by an attacker, B) The ball going out of bounds over the sideline, C) A minor foul, D) A successful pass</t>
  </si>
  <si>
    <t>A) The ball going out of bounds over the goal line after being touched by an attacker</t>
  </si>
  <si>
    <t>In Dhol Khel, what action is taken if a player is injured during the game?</t>
  </si>
  <si>
    <t>A) The player is substituted, B) The game is paused, C) The player receives a timeout, D) The game continues</t>
  </si>
  <si>
    <t>Which practice is essential for improving defensive skills in Dhol Khel?</t>
  </si>
  <si>
    <t>A) Blocking and tackling drills, B) Goalkeeping drills, C) Passing drills, D) Scoring drills</t>
  </si>
  <si>
    <t>A) Blocking and tackling drills</t>
  </si>
  <si>
    <t>What is typically the focus of a Dhol Khel training session for goalkeepers?</t>
  </si>
  <si>
    <t>A) Shot-stopping and positioning, B) Scoring goals, C) Passing accuracy, D) Defensive strategies</t>
  </si>
  <si>
    <t>A) Shot-stopping and positioning</t>
  </si>
  <si>
    <t>In Dhol Khel, what happens if a ball is kicked out over the sideline?</t>
  </si>
  <si>
    <t>A) A throw-in is awarded, B) A corner kick is awarded, C) A goal kick is awarded, D) A penalty kick is awarded</t>
  </si>
  <si>
    <t>A) A throw-in is awarded</t>
  </si>
  <si>
    <t>What is the primary purpose of practicing dribbling skills in Dhol Khel?</t>
  </si>
  <si>
    <t>A) To improve ball control and maneuverability, B) To enhance goalkeeping skills, C) To block shots, D) To increase passing accuracy</t>
  </si>
  <si>
    <t>A) To improve ball control and maneuverability</t>
  </si>
  <si>
    <t>Which position in Dhol Khel is usually tasked with making strategic passes and setting up plays?</t>
  </si>
  <si>
    <t>How is a corner kick executed in Dhol Khel?</t>
  </si>
  <si>
    <t>A) By kicking the ball from the corner of the field, B) By throwing the ball from the sideline, C) By kicking the ball from the goal area, D) By passing the ball from the center</t>
  </si>
  <si>
    <t>A) By kicking the ball from the corner of the field</t>
  </si>
  <si>
    <t>What is the typical role of a defender during a corner kick in Dhol Khel?</t>
  </si>
  <si>
    <t>A) To block or clear the ball, B) To take the corner kick, C) To score a goal, D) To pass the ball to teammates</t>
  </si>
  <si>
    <t>A) To block or clear the ball</t>
  </si>
  <si>
    <t>What is a standard technique for improving a forward's goal-scoring ability in Dhol Khel?</t>
  </si>
  <si>
    <t>A) Shooting practice, B) Goalkeeping drills, C) Defensive drills, D) Passing drills</t>
  </si>
  <si>
    <t>In Dhol Khel, what action is commonly taken if a player receives a red card?</t>
  </si>
  <si>
    <t>A) The player is ejected from the game, B) The player is substituted, C) The team receives a penalty, D) The game is paused</t>
  </si>
  <si>
    <t>A) The player is ejected from the game</t>
  </si>
  <si>
    <t>What is a common method for enhancing team coordination in Dhol Khel?</t>
  </si>
  <si>
    <t>A) Regular practice sessions and drills, B) Watching game recordings, C) Increasing individual play time, D) Reducing team meetings</t>
  </si>
  <si>
    <t>A) Regular practice sessions and drills</t>
  </si>
  <si>
    <t>Which position is primarily responsible for organizing the team and making tactical decisions in Dhol Khel?</t>
  </si>
  <si>
    <t>What is the primary purpose of a goal kick in Dhol Khel?</t>
  </si>
  <si>
    <t>How is a free kick executed in Dhol Khel?</t>
  </si>
  <si>
    <t>A) By kicking the ball from the spot of the foul, B) By throwing the ball from the sideline, C) By taking a goal kick, D) By conducting a corner kick</t>
  </si>
  <si>
    <t>What is an essential skill for a defender in Dhol Khel?</t>
  </si>
  <si>
    <t>A) Blocking and tackling, B) Scoring goals, C) Passing accuracy, D) Goalkeeping</t>
  </si>
  <si>
    <t>A) Blocking and tackling</t>
  </si>
  <si>
    <t>In Dhol Khel, what action is typically taken after a ball goes out of bounds over the goal line?</t>
  </si>
  <si>
    <t>What is the role of a midfielder in Dhol Khel?</t>
  </si>
  <si>
    <t>A) To control the ball and set up plays, B) To block shots and defend, C) To score goals, D) To make tactical decisions</t>
  </si>
  <si>
    <t>A) To control the ball and set up plays</t>
  </si>
  <si>
    <t>How is a game restarted after a throw-in in Dhol Khel?</t>
  </si>
  <si>
    <t>A) By resuming play from the sideline where the ball went out, B) By a goal kick, C) By a corner kick, D) By a free kick</t>
  </si>
  <si>
    <t>A) By resuming play from the sideline where the ball went out</t>
  </si>
  <si>
    <t>Which practice is important for improving a defender's skills in Dhol Khel?</t>
  </si>
  <si>
    <t>A) Defensive drills and positioning, B) Scoring practice, C) Passing drills, D) Goalkeeping drills</t>
  </si>
  <si>
    <t>A) Defensive drills and positioning</t>
  </si>
  <si>
    <t>What is the primary goal of a counter-attack in Dhol Khel?</t>
  </si>
  <si>
    <t>A) To quickly score after gaining possession, B) To defend against an opponent's attack, C) To pass the ball to a teammate, D) To maintain possession of the ball</t>
  </si>
  <si>
    <t>A) To quickly score after gaining possession</t>
  </si>
  <si>
    <t>Which position in Dhol Khel is generally responsible for setting up offensive plays?</t>
  </si>
  <si>
    <t>A) Midfielder, B) Defender, C) Goalkeeper, D) Forward</t>
  </si>
  <si>
    <t>What is a common strategy for defending against a powerful striker in Dhol Khel?</t>
  </si>
  <si>
    <t>A) Tight marking and double-teaming, B) Allowing them space to shoot, C) Focus on offensive play, D) Frequent substitutions</t>
  </si>
  <si>
    <t>A) Tight marking and double-teaming</t>
  </si>
  <si>
    <t>What is the typical role of a winger in Dhol Khel?</t>
  </si>
  <si>
    <t>A) To deliver crosses and create scoring opportunities, B) To defend against attacks, C) To take goal kicks, D) To organize the team</t>
  </si>
  <si>
    <t>A) To deliver crosses and create scoring opportunities</t>
  </si>
  <si>
    <t>In Dhol Khel, what action is taken when a player is awarded a penalty kick?</t>
  </si>
  <si>
    <t>A) The player takes a direct shot at the goal, B) The ball is kicked from the corner, C) The game resumes with a throw-in, D) The player receives a free kick</t>
  </si>
  <si>
    <t>A) The player takes a direct shot at the goal</t>
  </si>
  <si>
    <t>What is a critical skill for a goalkeeper in Dhol Khel?</t>
  </si>
  <si>
    <t>A) Shot-stopping and reflexes, B) Passing accuracy, C) Offensive strategies, D) Scoring goals</t>
  </si>
  <si>
    <t>A) Shot-stopping and reflexes</t>
  </si>
  <si>
    <t>A) To restart play after the ball goes out of bounds over the sideline, B) To award a goal, C) To take a penalty kick, D) To restart play after a free kick</t>
  </si>
  <si>
    <t>What is the common objective of practicing passing drills in Dhol Khel?</t>
  </si>
  <si>
    <t>A) To improve the accuracy and speed of passes, B) To enhance goalkeeping skills, C) To work on defensive strategies, D) To increase physical fitness</t>
  </si>
  <si>
    <t>A) To improve the accuracy and speed of passes</t>
  </si>
  <si>
    <t>What is the role of a central defender during a set-piece situation in Dhol Khel?</t>
  </si>
  <si>
    <t>A) To mark opponents and clear the ball, B) To take the set-piece, C) To score goals, D) To pass the ball to midfielders</t>
  </si>
  <si>
    <t>A) To mark opponents and clear the ball</t>
  </si>
  <si>
    <t>How is a game typically restarted after a goal is scored in Dhol Khel?</t>
  </si>
  <si>
    <t>A) By a kick-off from the center of the field, B) By a throw-in, C) By a goal kick, D) By a corner kick</t>
  </si>
  <si>
    <t>In Dhol Khel, what is an essential practice for improving a forward's ability to finish scoring chances?</t>
  </si>
  <si>
    <t>A) Shooting drills with various angles, B) Goalkeeping practice, C) Passing drills, D) Defensive positioning</t>
  </si>
  <si>
    <t>A) Shooting drills with various angles</t>
  </si>
  <si>
    <t>What is a common defensive technique used to intercept a pass in Dhol Khel?</t>
  </si>
  <si>
    <t>A) Stepping in front of the ball and intercepting, B) Blocking the shot, C) Tackling from behind, D) Covering the goal</t>
  </si>
  <si>
    <t>A) Stepping in front of the ball and intercepting</t>
  </si>
  <si>
    <t>Which position is primarily responsible for defending the goal area in Dhol Khel?</t>
  </si>
  <si>
    <t>A) Goalkeeper, B) Defender, C) Midfielder, D) Forward</t>
  </si>
  <si>
    <t>What is the purpose of practicing dribbling drills in Dhol Khel?</t>
  </si>
  <si>
    <t>A) To enhance ball control and maneuverability, B) To improve goalkeeping skills, C) To work on defensive strategies, D) To increase physical fitness</t>
  </si>
  <si>
    <t>A) To enhance ball control and maneuverability</t>
  </si>
  <si>
    <t>What action is taken when a player receives a yellow card in Dhol Khel?</t>
  </si>
  <si>
    <t>A) The player is warned, B) The player is substituted, C) The player is ejected from the game, D) The game is paused</t>
  </si>
  <si>
    <t>In Dhol Khel, how is a game restarted after a ball goes out over the goal line and no goal is scored?</t>
  </si>
  <si>
    <t>A) By a goal kick or a corner kick, B) By a throw-in, C) By a penalty kick, D) By a free kick</t>
  </si>
  <si>
    <t>A) By a goal kick or a corner kick</t>
  </si>
  <si>
    <t>Which position in Dhol Khel is responsible for breaking up the opponent's play and recovering the ball?</t>
  </si>
  <si>
    <t>A) Defensive midfielder, B) Forward, C) Goalkeeper, D) Winger</t>
  </si>
  <si>
    <t>A) Defensive midfielder</t>
  </si>
  <si>
    <t>What is the typical focus of a Dhol Khel team's pre-match warm-up?</t>
  </si>
  <si>
    <t>A) To prepare players physically and mentally for the game, B) To practice set-pieces, C) To increase game tactics, D) To reduce the number of injuries</t>
  </si>
  <si>
    <t>A) To prepare players physically and mentally for the game</t>
  </si>
  <si>
    <t>What is the primary role of a full-back in Dhol Khel?</t>
  </si>
  <si>
    <t>A) To defend against wingers and support the attack, B) To take corner kicks, C) To score goals, D) To organize defensive plays</t>
  </si>
  <si>
    <t>A) To defend against wingers and support the attack</t>
  </si>
  <si>
    <t>How is a substitution typically handled in Dhol Khel?</t>
  </si>
  <si>
    <t>A) By replacing a player with another from the bench during stoppage in play, B) By removing the player at halftime, C) By rotating players every 10 minutes, D) By pausing the game for a brief period</t>
  </si>
  <si>
    <t>A) By replacing a player with another from the bench during stoppage in play</t>
  </si>
  <si>
    <t>In Dhol Khel, what is the primary goal of a defensive block during a corner kick?</t>
  </si>
  <si>
    <t>A) To prevent the ball from reaching the attacking players, B) To take the corner kick, C) To score a goal, D) To pass the ball to teammates</t>
  </si>
  <si>
    <t>A) To prevent the ball from reaching the attacking players</t>
  </si>
  <si>
    <t>What is the standard method for handling a high ball in Dhol Khel?</t>
  </si>
  <si>
    <t>A) Using proper positioning and timing to head or clear the ball, B) Catching it with the hands, C) Letting it drop to the ground, D) Passing it immediately to a teammate</t>
  </si>
  <si>
    <t>A) Using proper positioning and timing to head or clear the ball</t>
  </si>
  <si>
    <t>In Dhol Khel, what is the main focus of a set-piece training session?</t>
  </si>
  <si>
    <t>A) To practice executing and defending set-piece plays like free kicks and corners, B) To improve dribbling skills, C) To increase physical fitness, D) To work on goalkeeping techniques</t>
  </si>
  <si>
    <t>A) To practice executing and defending set-piece plays like free kicks and corners</t>
  </si>
  <si>
    <t>Which action is typically taken when a ball goes out of bounds over the sideline in Dhol Khel?</t>
  </si>
  <si>
    <t>A) A throw-in is awarded, B) A goal kick is awarded, C) A corner kick is awarded, D) A free kick is awarded</t>
  </si>
  <si>
    <t>What is a common practice to improve a team's passing accuracy in Dhol Khel?</t>
  </si>
  <si>
    <t>A) Conducting drills with target zones and partners, B) Practicing individual dribbling skills, C) Working on defensive strategies, D) Enhancing goalkeeping techniques</t>
  </si>
  <si>
    <t>A) Conducting drills with target zones and partners</t>
  </si>
  <si>
    <t>What is a key skill for a midfielder in Dhol Khel to excel in the game?</t>
  </si>
  <si>
    <t>A) Vision and decision-making to control the flow of the game, B) Speed and agility, C) Goalkeeping skills, D) Defensive positioning</t>
  </si>
  <si>
    <t>A) Vision and decision-making to control the flow of the game</t>
  </si>
  <si>
    <t>How is a goal kick typically executed in Dhol Khel?</t>
  </si>
  <si>
    <t>A) The goalkeeper kicks the ball from within the goal area, B) The ball is thrown from the corner, C) The ball is placed at the center for a kick-off, D) The game resumes with a free kick</t>
  </si>
  <si>
    <t>A) The goalkeeper kicks the ball from within the goal area</t>
  </si>
  <si>
    <t>In Dhol Khel, what is the role of a forward during a defensive set-piece?</t>
  </si>
  <si>
    <t>A) To press the opposing defenders and look for counter-attacking opportunities, B) To take a free kick, C) To organize the defensive line, D) To retrieve the ball from the goal area</t>
  </si>
  <si>
    <t>A) To press the opposing defenders and look for counter-attacking opportunities</t>
  </si>
  <si>
    <t>Which technique is essential for a successful tackle in Dhol Khel?</t>
  </si>
  <si>
    <t>A) Timing and positioning to win the ball cleanly, B) Using excessive force, C) Avoiding contact with the opponent, D) Diving at the ball</t>
  </si>
  <si>
    <t>A) Timing and positioning to win the ball cleanly</t>
  </si>
  <si>
    <t>What is the purpose of practicing crossing drills in Dhol Khel?</t>
  </si>
  <si>
    <t>A) To improve the ability to deliver accurate crosses into the attacking area, B) To work on defensive positioning, C) To enhance goalkeeping skills, D) To practice free kicks</t>
  </si>
  <si>
    <t>A) To improve the ability to deliver accurate crosses into the attacking area</t>
  </si>
  <si>
    <t>What is the usual strategy for defending against a fast winger in Dhol Khel?</t>
  </si>
  <si>
    <t>A) To use quick footwork and positioning to block their runs, B) To stay in the center of the field, C) To focus on attacking instead, D) To make frequent substitutions</t>
  </si>
  <si>
    <t>A) To use quick footwork and positioning to block their runs</t>
  </si>
  <si>
    <t>In Dhol Khel, how is a direct free kick awarded?</t>
  </si>
  <si>
    <t>A) For a serious foul committed inside or outside the penalty area, B) For a throw-in, C) For a goal kick, D) For a corner kick</t>
  </si>
  <si>
    <t>A) For a serious foul committed inside or outside the penalty area</t>
  </si>
  <si>
    <t>What is the common goal of practicing fitness drills in Dhol Khel?</t>
  </si>
  <si>
    <t>A) To enhance overall physical conditioning and endurance, B) To improve goalkeeping techniques, C) To focus on tactical strategies, D) To practice passing and dribbling</t>
  </si>
  <si>
    <t>A) To enhance overall physical conditioning and endurance</t>
  </si>
  <si>
    <t>What is a common approach to organizing a team’s defensive line during a corner kick in Dhol Khel?</t>
  </si>
  <si>
    <t>A) To form a zonal or man-marking system to cover attacking players, B) To push all players forward, C) To allow the opponent free space, D) To focus solely on the goalkeeper</t>
  </si>
  <si>
    <t>A) To form a zonal or man-marking system to cover attacking players</t>
  </si>
  <si>
    <t>In Dhol Khel, how should a player position themselves to receive a pass from a teammate?</t>
  </si>
  <si>
    <t>A) By getting into a clear and open space, B) By standing close to the opponent, C) By staying in the goal area, D) By avoiding eye contact with the passer</t>
  </si>
  <si>
    <t>A) By getting into a clear and open space</t>
  </si>
  <si>
    <t>What is the typical role of a central midfielder in Dhol Khel?</t>
  </si>
  <si>
    <t>A) To control the tempo of the game and link defense with attack, B) To exclusively defend, C) To play as a goalkeeper, D) To only focus on scoring goals</t>
  </si>
  <si>
    <t>A) To control the tempo of the game and link defense with attack</t>
  </si>
  <si>
    <t>In Dhol Khel, what should a player do if they are about to take a corner kick?</t>
  </si>
  <si>
    <t>A) Deliver an accurate cross into the penalty area, B) Take a shot directly at the goal, C) Pass to a teammate outside the penalty area, D) Execute a throw-in</t>
  </si>
  <si>
    <t>A) Deliver an accurate cross into the penalty area</t>
  </si>
  <si>
    <t>What is an effective way for a defender to block a shot on goal in Dhol Khel?</t>
  </si>
  <si>
    <t>A) Position themselves between the ball and the goal, B) Use excessive force, C) Stand still and let the ball pass, D) Attempt to catch the ball with their hands</t>
  </si>
  <si>
    <t>A) Position themselves between the ball and the goal</t>
  </si>
  <si>
    <t>How does a team usually adjust its strategy when playing against a superior opponent in Dhol Khel?</t>
  </si>
  <si>
    <t>A) By focusing on strong defensive play and counter-attacking opportunities, B) By attacking aggressively from the start, C) By substituting all key players, D) By playing with fewer players</t>
  </si>
  <si>
    <t>A) By focusing on strong defensive play and counter-attacking opportunities</t>
  </si>
  <si>
    <t>In Dhol Khel, what should a player do when they receive a pass in a tight space?</t>
  </si>
  <si>
    <t>A) Use quick control and movement to maintain possession, B) Delay play and wait for support, C) Pass the ball immediately without control, D) Dribble in the direction of the nearest opponent</t>
  </si>
  <si>
    <t>A) Use quick control and movement to maintain possession</t>
  </si>
  <si>
    <t>What is the purpose of practicing goalkeeping drills in Dhol Khel?</t>
  </si>
  <si>
    <t>A) To improve catching, diving, and shot-stopping abilities, B) To practice dribbling and passing, C) To enhance goal-scoring skills, D) To work on defensive positioning</t>
  </si>
  <si>
    <t>A) To improve catching, diving, and shot-stopping abilities</t>
  </si>
  <si>
    <t>In Dhol Khel, what action is taken when a player commits a minor foul?</t>
  </si>
  <si>
    <t>A) A free kick is awarded to the opposing team, B) A yellow card is issued, C) The player is substituted, D) The game is restarted with a goal kick</t>
  </si>
  <si>
    <t>A) A free kick is awarded to the opposing team</t>
  </si>
  <si>
    <t>What is the main purpose of practicing tactical drills in Dhol Khel?</t>
  </si>
  <si>
    <t>A) To improve team coordination and strategic play, B) To work on individual fitness, C) To enhance goal-scoring techniques, D) To focus on defensive drills</t>
  </si>
  <si>
    <t>A) To improve team coordination and strategic play</t>
  </si>
  <si>
    <t>In Dhol Khel, what is the primary goal of a midfielder during an attack?</t>
  </si>
  <si>
    <t>A) To support forwards and create scoring opportunities, B) To focus solely on defending, C) To take goal kicks, D) To make long passes to the goalkeeper</t>
  </si>
  <si>
    <t>A) To support forwards and create scoring opportunities</t>
  </si>
  <si>
    <t>Which technique is essential for a successful corner kick in Dhol Khel?</t>
  </si>
  <si>
    <t>A) Delivering an accurate and well-placed ball into the penalty area, B) Kicking the ball directly at the goalkeeper, C) Passing the ball to a defender, D) Taking a shot at the goal</t>
  </si>
  <si>
    <t>A) Delivering an accurate and well-placed ball into the penalty area</t>
  </si>
  <si>
    <t>What is an effective way for a player to position themselves during a defensive play in Dhol Khel?</t>
  </si>
  <si>
    <t>A) Stay between the ball and the goal, B) Rush directly at the attacker, C) Avoid making any tackles, D) Stay close to the sideline</t>
  </si>
  <si>
    <t>A) Stay between the ball and the goal</t>
  </si>
  <si>
    <t>In Dhol Khel, what should a player focus on when executing a free kick from a distance?</t>
  </si>
  <si>
    <t>A) Accurate aiming and proper technique to achieve the desired trajectory, B) Kicking the ball with maximum power, C) Passing to a nearby teammate, D) Dribbling towards the goal</t>
  </si>
  <si>
    <t>A) Accurate aiming and proper technique to achieve the desired trajectory</t>
  </si>
  <si>
    <t>How does a player typically prepare for a goal-scoring opportunity in Dhol Khel?</t>
  </si>
  <si>
    <t>A) By positioning themselves in a prime location and anticipating the ball, B) By focusing on defensive skills, C) By practicing goalkeeping techniques, D) By taking long-range shots</t>
  </si>
  <si>
    <t>A) By positioning themselves in a prime location and anticipating the ball</t>
  </si>
  <si>
    <t>What is a key aspect of a successful defensive strategy in Dhol Khel?</t>
  </si>
  <si>
    <t>A) Maintaining a solid defensive line and proper marking, B) Focusing solely on offensive plays, C) Allowing the opponents to take free kicks, D) Ignoring the goalkeeper</t>
  </si>
  <si>
    <t>A) Maintaining a solid defensive line and proper marking</t>
  </si>
  <si>
    <t>What is an essential skill for a midfielder to excel in Dhol Khel?</t>
  </si>
  <si>
    <t>A) Passing accuracy and vision to control the play, B) Goalkeeping techniques, C) Defensive positioning, D) Speed and agility</t>
  </si>
  <si>
    <t>A) Passing accuracy and vision to control the play</t>
  </si>
  <si>
    <t>In Dhol Khel, what is a typical consequence of a serious foul committed inside the penalty area?</t>
  </si>
  <si>
    <t>A) A penalty kick is awarded to the opposing team, B) A free kick is awarded, C) A goal kick is awarded, D) The game is stopped for a brief period</t>
  </si>
  <si>
    <t>A) A penalty kick is awarded to the opposing team</t>
  </si>
  <si>
    <t>What is a common drill to improve a team's ability to execute set pieces in Dhol Khel?</t>
  </si>
  <si>
    <t>A) Practicing free kicks and corner kicks with set targets, B) Running endurance drills, C) Working on individual dribbling skills, D) Playing practice matches</t>
  </si>
  <si>
    <t>A) Practicing free kicks and corner kicks with set targets</t>
  </si>
  <si>
    <t>How is a throw-in typically executed in Dhol Khel?</t>
  </si>
  <si>
    <t>A) By throwing the ball from behind the head with both hands from the sideline, B) By kicking the ball from the corner, C) By passing the ball to a teammate, D) By taking a goal kick</t>
  </si>
  <si>
    <t>A) By throwing the ball from behind the head with both hands from the sideline</t>
  </si>
  <si>
    <t>In Dhol Khel, what should a player do when defending against an opponent with the ball?</t>
  </si>
  <si>
    <t>A) Maintain a defensive stance and try to intercept or block the ball, B) Move away from the opponent, C) Focus on attacking instead, D) Wait for the opponent to pass the ball</t>
  </si>
  <si>
    <t>A) Maintain a defensive stance and try to intercept or block the ball</t>
  </si>
  <si>
    <t>What is an important aspect of a successful counter-attack in Dhol Khel?</t>
  </si>
  <si>
    <t>A) Quick transition from defense to attack and exploiting space, B) Delaying the play and waiting for support, C) Passing the ball back to the defender, D) Focusing on individual dribbling skills</t>
  </si>
  <si>
    <t>A) Quick transition from defense to attack and exploiting space</t>
  </si>
  <si>
    <t>What is the role of a center forward in Dhol Khel during an attacking play?</t>
  </si>
  <si>
    <t>A) To position themselves for goal-scoring opportunities and create chances, B) To focus on defensive play, C) To take goal kicks, D) To pass the ball to the goalkeeper</t>
  </si>
  <si>
    <t>A) To position themselves for goal-scoring opportunities and create chances</t>
  </si>
  <si>
    <t>A) By players coming together and celebrating, B) By pausing the game, C) By immediately resuming play, D) By changing the position of players</t>
  </si>
  <si>
    <t>A) By players coming together and celebrating</t>
  </si>
  <si>
    <t>What is a common tactic for improving teamwork in Dhol Khel?</t>
  </si>
  <si>
    <t>A) Conducting team-building exercises and practice matches, B) Focusing solely on individual skills, C) Limiting player interactions, D) Using only defensive drills</t>
  </si>
  <si>
    <t>A) Conducting team-building exercises and practice matches</t>
  </si>
  <si>
    <t>In Dhol Khel, what is the purpose of a fitness test for players?</t>
  </si>
  <si>
    <t>A) To assess physical conditioning and identify areas for improvement, B) To practice goalkeeping skills, C) To focus on defensive drills, D) To work on passing accuracy</t>
  </si>
  <si>
    <t>A) To assess physical conditioning and identify areas for improvement</t>
  </si>
  <si>
    <t>What should a player focus on when preparing for a goal-scoring opportunity in Dhol Khel?</t>
  </si>
  <si>
    <t>A) Positioning themselves correctly and anticipating the ball, B) Taking a long-range shot immediately, C) Passing the ball to a defender, D) Avoiding eye contact with the ball</t>
  </si>
  <si>
    <t>A) Positioning themselves correctly and anticipating the ball</t>
  </si>
  <si>
    <t>What is a typical consequence of a foul committed during a set-piece play in Dhol Khel?</t>
  </si>
  <si>
    <t>A) The opposing team is awarded a free kick, B) A goal kick is given, C) A throw-in is awarded, D) The game is stopped for a brief period</t>
  </si>
  <si>
    <t>A) The opposing team is awarded a free kick</t>
  </si>
  <si>
    <t>In Dhol Khel, what is the main objective of a defensive midfielder during an attacking play?</t>
  </si>
  <si>
    <t>A) To break up the opponent's play and recover possession, B) To score goals, C) To focus on goalkeeping, D) To deliver crosses into the penalty area</t>
  </si>
  <si>
    <t>A) To break up the opponent's play and recover possession</t>
  </si>
  <si>
    <t>What is the primary role of a forward during a defensive set-piece in Dhol Khel?</t>
  </si>
  <si>
    <t>A) To press and disrupt the opponent's defensive organization, B) To take a goal kick, C) To focus on goalkeeping, D) To take corner kicks</t>
  </si>
  <si>
    <t>A) To press and disrupt the opponent's defensive organization</t>
  </si>
  <si>
    <t>How should a player handle a high ball in Dhol Khel?</t>
  </si>
  <si>
    <t>A) By positioning themselves properly and using their head or chest, B) By letting the ball drop and waiting for it to come down, C) By kicking the ball away from the goal, D) By catching the ball with their hands</t>
  </si>
  <si>
    <t>A) By positioning themselves properly and using their head or chest</t>
  </si>
  <si>
    <t>What is a common drill to improve a player's ability to defend against crosses in Dhol Khel?</t>
  </si>
  <si>
    <t>A) Practicing marking and positioning during crossing drills, B) Focusing on dribbling skills, C) Working on goalkeeping techniques, D) Conducting long-range shooting drills</t>
  </si>
  <si>
    <t>A) Practicing marking and positioning during crossing drills</t>
  </si>
  <si>
    <t>What should a player focus on when executing a penalty kick in Dhol Khel?</t>
  </si>
  <si>
    <t>A) Accuracy and composure to place the ball in the goal, B) Kicking the ball with maximum power, C) Passing to a teammate, D) Taking a shot from a distance</t>
  </si>
  <si>
    <t>A) Accuracy and composure to place the ball in the goal</t>
  </si>
  <si>
    <t>In Dhol Khel, what is the purpose of practicing defensive positioning drills?</t>
  </si>
  <si>
    <t>A) To improve the ability to mark opponents and defend against attacks, B) To practice goalkeeping techniques, C) To enhance goal-scoring skills, D) To work on dribbling</t>
  </si>
  <si>
    <t>A) To improve the ability to mark opponents and defend against attacks</t>
  </si>
  <si>
    <t>How does a team usually respond to being down by multiple goals in Dhol Khel?</t>
  </si>
  <si>
    <t>A) By increasing offensive pressure and trying to score, B) By focusing solely on defense, C) By making frequent substitutions, D) By allowing the game to continue without changes</t>
  </si>
  <si>
    <t>A) By increasing offensive pressure and trying to score</t>
  </si>
  <si>
    <t>What is a key skill for a forward to excel in Dhol Khel?</t>
  </si>
  <si>
    <t>A) Finishing and positioning to convert scoring chances, B) Goalkeeping techniques, C) Defensive positioning, D) Passing accuracy</t>
  </si>
  <si>
    <t>A) Finishing and positioning to convert scoring chances</t>
  </si>
  <si>
    <t>In Dhol Khel, what is a typical practice to enhance a team's defensive organization?</t>
  </si>
  <si>
    <t>A) Conducting drills focused on communication and positioning, B) Practicing offensive strategies, C) Working on individual dribbling skills, D) Focusing solely on physical fitness</t>
  </si>
  <si>
    <t>A) Conducting drills focused on communication and positioning</t>
  </si>
  <si>
    <t>What is an effective technique for a player to maintain possession of the ball under pressure in Dhol Khel?</t>
  </si>
  <si>
    <t>A) Using quick, controlled touches and shielding the ball, B) Kicking the ball away, C) Passing the ball to a defender, D) Dribbling directly towards the opponent</t>
  </si>
  <si>
    <t>A) Using quick, controlled touches and shielding the ball</t>
  </si>
  <si>
    <t>What is the main purpose of a warm-up session before a match in Dhol Khel?</t>
  </si>
  <si>
    <t>A) To prepare players physically and mentally for the game, B) To practice set-piece plays, C) To increase individual skills, D) To review game tactics</t>
  </si>
  <si>
    <t>How is a game typically restarted after a ball goes out of bounds over the end line in Dhol Khel?</t>
  </si>
  <si>
    <t>A) With a goal kick or a corner kick, depending on who touched the ball last, B) With a throw-in from the sideline, C) With a free kick, D) By resuming play from the center of the field</t>
  </si>
  <si>
    <t>A) With a goal kick or a corner kick, depending on who touched the ball last</t>
  </si>
  <si>
    <t>In Dhol Khel, what is the purpose of a defensive wall during a free kick?</t>
  </si>
  <si>
    <t>A) To block the direct path to the goal, B) To assist in taking the free kick, C) To restart the game, D) To prevent the ball from going out of play</t>
  </si>
  <si>
    <t>A) To block the direct path to the goal</t>
  </si>
  <si>
    <t>What should a player focus on when taking a corner kick in Dhol Khel?</t>
  </si>
  <si>
    <t>A) Delivering an accurate and well-placed ball into the penalty area, B) Kicking the ball as hard as possible, C) Passing the ball to a teammate, D) Waiting for the goalkeeper to catch the ball</t>
  </si>
  <si>
    <t>In Dhol Khel, what is a common tactic for a team trailing by one goal late in the game?</t>
  </si>
  <si>
    <t>A) Increasing offensive pressure and pushing more players forward, B) Focusing solely on defense, C) Substituting all players, D) Playing defensively to prevent further goals</t>
  </si>
  <si>
    <t>A) Increasing offensive pressure and pushing more players forward</t>
  </si>
  <si>
    <t>What is the role of a goalkeeper during a penalty kick in Dhol Khel?</t>
  </si>
  <si>
    <t>A) To attempt to save the ball by positioning themselves and reacting to the kick, B) To take the penalty kick, C) To call for a time-out, D) To pass the ball to a defender</t>
  </si>
  <si>
    <t>A) To attempt to save the ball by positioning themselves and reacting to the kick</t>
  </si>
  <si>
    <t>In Dhol Khel, how is the offside rule applied?</t>
  </si>
  <si>
    <t>A) A player is offside if they are closer to the opponent's goal line than both the ball and the second-last opponent when the ball is played to them, B) A player is offside if they are in their own half of the field, C) A player is offside if they are not actively involved in the play, D) A player is offside if they receive the ball from a throw-in</t>
  </si>
  <si>
    <t>A) A player is offside if they are closer to the opponent's goal line than both the ball and the second-last opponent when the ball is played to them</t>
  </si>
  <si>
    <t>What is a typical consequence of a foul committed outside the penalty area in Dhol Khel?</t>
  </si>
  <si>
    <t>A) A free kick is awarded to the opposing team, B) A penalty kick is awarded, C) A goal kick is given, D) A throw-in is awarded</t>
  </si>
  <si>
    <t>What is an important consideration when executing a long pass in Dhol Khel?</t>
  </si>
  <si>
    <t>A) The accuracy and distance to reach a teammate effectively, B) The power of the kick, C) The direction of the wind, D) The color of the ball</t>
  </si>
  <si>
    <t>A) The accuracy and distance to reach a teammate effectively</t>
  </si>
  <si>
    <t>In Dhol Khel, what is the role of a winger during an attacking play?</t>
  </si>
  <si>
    <t>A) To deliver crosses into the penalty area and create goal-scoring opportunities, B) To defend against the opponent's wingers, C) To take goal kicks, D) To focus on passing to the central midfielders</t>
  </si>
  <si>
    <t>A) To deliver crosses into the penalty area and create goal-scoring opportunities</t>
  </si>
  <si>
    <t>What is the primary purpose of practicing set-pieces such as free kicks and corner kicks in Dhol Khel?</t>
  </si>
  <si>
    <t>A) To improve scoring opportunities from set situations, B) To focus on physical fitness, C) To enhance individual dribbling skills, D) To practice goalkeeping techniques</t>
  </si>
  <si>
    <t>A) To improve scoring opportunities from set situations</t>
  </si>
  <si>
    <t>A) By kicking the ball from within the goal area to restart play, B) By taking a throw-in from the sideline, C) By passing the ball to a teammate, D) By kicking the ball from the corner</t>
  </si>
  <si>
    <t>A) By kicking the ball from within the goal area to restart play</t>
  </si>
  <si>
    <t>In Dhol Khel, what should a player do when marking an opponent during a corner kick?</t>
  </si>
  <si>
    <t>A) Stay close to the opponent and track their movement, B) Focus on attacking instead, C) Allow the opponent to move freely, D) Position themselves near the goal line</t>
  </si>
  <si>
    <t>A) Stay close to the opponent and track their movement</t>
  </si>
  <si>
    <t>What is a common drill to improve a player's ability to read the game and anticipate play in Dhol Khel?</t>
  </si>
  <si>
    <t>A) Playing small-sided games with a focus on quick decision-making, B) Practicing goal kicks, C) Running long-distance sprints, D) Working on individual dribbling techniques</t>
  </si>
  <si>
    <t>A) Playing small-sided games with a focus on quick decision-making</t>
  </si>
  <si>
    <t>In Dhol Khel, what is the typical response to a ball being played out of bounds over the sideline?</t>
  </si>
  <si>
    <t>A) A throw-in is awarded to the opposing team, B) A free kick is given, C) A goal kick is awarded, D) A corner kick is taken</t>
  </si>
  <si>
    <t>A) A throw-in is awarded to the opposing team</t>
  </si>
  <si>
    <t>What is a key aspect of effective communication among teammates during a match in Dhol Khel?</t>
  </si>
  <si>
    <t>A) Clearly calling for the ball and providing instructions, B) Ignoring teammates' positions, C) Focusing only on individual play, D) Avoiding verbal interaction</t>
  </si>
  <si>
    <t>A) Clearly calling for the ball and providing instructions</t>
  </si>
  <si>
    <t>In Dhol Khel, what is the best strategy for a team defending a lead late in the game?</t>
  </si>
  <si>
    <t>A) Organize defensively and control the pace of the game, B) Push all players forward, C) Focus solely on individual skills, D) Allow the opponent to control the game</t>
  </si>
  <si>
    <t>A) Organize defensively and control the pace of the game</t>
  </si>
  <si>
    <t>What should a player focus on when executing a header in Dhol Khel?</t>
  </si>
  <si>
    <t>A) Positioning themselves properly and timing the jump, B) Kicking the ball with power, C) Using their hands to guide the ball, D) Waiting for the ball to come closer</t>
  </si>
  <si>
    <t>A) Positioning themselves properly and timing the jump</t>
  </si>
  <si>
    <t>What is an important skill for a defender in Dhol Khel when facing an attacker?</t>
  </si>
  <si>
    <t>A) Maintaining proper positioning and using tackles effectively, B) Focusing on scoring goals, C) Passing the ball to the goalkeeper, D) Dribbling past the attacker</t>
  </si>
  <si>
    <t>A) Maintaining proper positioning and using tackles effectively</t>
  </si>
  <si>
    <t>In Dhol Khel, how should a team typically handle a situation where the ball is trapped in the opponent's penalty area?</t>
  </si>
  <si>
    <t>A) By applying pressure and attempting to clear or score, B) By moving back to their own half, C) By stopping the game, D) By passing the ball to the goalkeeper</t>
  </si>
  <si>
    <t>A) By applying pressure and attempting to clear or score</t>
  </si>
  <si>
    <t>What is a common drill to enhance a goalkeeper's reflexes in Dhol Khel?</t>
  </si>
  <si>
    <t>A) Practicing shot-stopping with quick reaction drills, B) Running long-distance sprints, C) Working on dribbling skills, D) Playing infield positions</t>
  </si>
  <si>
    <t>A) Practicing shot-stopping with quick reaction drills</t>
  </si>
  <si>
    <t>What is a key consideration for a forward when receiving a pass in Dhol Khel?</t>
  </si>
  <si>
    <t>A) Positioning themselves to control the ball and prepare for a shot, B) Passing the ball immediately to a defender, C) Focusing on defensive play, D) Waiting for the ball to come to them</t>
  </si>
  <si>
    <t>A) Positioning themselves to control the ball and prepare for a shot</t>
  </si>
  <si>
    <t>In Dhol Khel, what is the purpose of a tactical substitution during a match?</t>
  </si>
  <si>
    <t>A) To change the dynamics of the game and address specific needs, B) To allow players to rest, C) To practice new formations, D) To delay the game</t>
  </si>
  <si>
    <t>A) To change the dynamics of the game and address specific needs</t>
  </si>
  <si>
    <t>How is a game typically restarted after a goal in Dhol Khel?</t>
  </si>
  <si>
    <t>A) With a kick-off from the center of the field, B) With a throw-in from the sideline, C) With a corner kick, D) With a goal kick</t>
  </si>
  <si>
    <t>What is the role of a central midfielder in Dhol Khel?</t>
  </si>
  <si>
    <t>A) To control the tempo of the game and link defense with attack, B) To focus only on defensive tasks, C) To play exclusively on the wing, D) To act as a goalkeeper</t>
  </si>
  <si>
    <t>What is an effective strategy for a team that is losing by multiple goals in Dhol Khel?</t>
  </si>
  <si>
    <t>A) Increasing offensive pressure and making tactical changes, B) Playing more defensively, C) Substituting all players, D) Focusing on individual skills</t>
  </si>
  <si>
    <t>A) Increasing offensive pressure and making tactical changes</t>
  </si>
  <si>
    <t>In Dhol Khel, what is a key factor in successful one-on-one defending?</t>
  </si>
  <si>
    <t>A) Maintaining good positioning and making timely tackles, B) Focusing on attacking, C) Avoiding physical contact, D) Waiting for the ball to come to them</t>
  </si>
  <si>
    <t>A) Maintaining good positioning and making timely tackles</t>
  </si>
  <si>
    <t>What should a player do when their team is awarded a free kick in a dangerous area in Dhol Khel?</t>
  </si>
  <si>
    <t>A) Aim for the goal or create a scoring opportunity, B) Pass the ball to the goalkeeper, C) Delay the kick, D) Focus on defending</t>
  </si>
  <si>
    <t>A) Aim for the goal or create a scoring opportunity</t>
  </si>
  <si>
    <t>In Dhol Khel, what is the primary purpose of practicing dribbling skills?</t>
  </si>
  <si>
    <t>A) To improve ball control and maneuvering past opponents, B) To practice goalkeeping techniques, C) To enhance physical endurance, D) To learn defensive strategies</t>
  </si>
  <si>
    <t>A) To improve ball control and maneuvering past opponents</t>
  </si>
  <si>
    <t>What is a common way to defend against a counter-attack in Dhol Khel?</t>
  </si>
  <si>
    <t>A) Quickly regrouping and positioning players to block passing lanes, B) Staying in the attacking half, C) Ignoring the counter-attack, D) Only focusing on attacking</t>
  </si>
  <si>
    <t>A) Quickly regrouping and positioning players to block passing lanes</t>
  </si>
  <si>
    <t>In Dhol Khel, what is the key element of an effective passing game?</t>
  </si>
  <si>
    <t>A) Accuracy and timing of passes to maintain possession and create opportunities, B) Kicking the ball as hard as possible, C) Focusing only on individual dribbling, D) Passing the ball directly to the opponent</t>
  </si>
  <si>
    <t>A) Accuracy and timing of passes to maintain possession and create opportunities</t>
  </si>
  <si>
    <t>What is the standard procedure for handling an injury timeout in Dhol Khel?</t>
  </si>
  <si>
    <t>A) The game is stopped, and medical personnel attend to the injured player, B) The game continues as usual, C) A substitute is immediately brought on, D) The coach is allowed to make unlimited substitutions</t>
  </si>
  <si>
    <t>A) The game is stopped, and medical personnel attend to the injured player</t>
  </si>
  <si>
    <t>What is the primary responsibility of a team captain in Dhol Khel?</t>
  </si>
  <si>
    <t>A) Leading the team, making tactical decisions, and communicating with the referee, B) Only playing in defense, C) Taking all the corner kicks, D) Managing the team's finances</t>
  </si>
  <si>
    <t>A) Leading the team, making tactical decisions, and communicating with the referee</t>
  </si>
  <si>
    <t>In Dhol Khel, how is the game typically restarted after a throw-in?</t>
  </si>
  <si>
    <t>A) By the player throwing the ball from the sideline to a teammate, B) By a goal kick, C) By a corner kick, D) By a free kick</t>
  </si>
  <si>
    <t>A) By the player throwing the ball from the sideline to a teammate</t>
  </si>
  <si>
    <t>What is the role of a defensive midfielder in Dhol Khel?</t>
  </si>
  <si>
    <t>A) To protect the defense and disrupt the opponent's attacks, B) To score goals, C) To take corner kicks, D) To act as a goalkeeper</t>
  </si>
  <si>
    <t>A) To protect the defense and disrupt the opponent's attacks</t>
  </si>
  <si>
    <t>What is a key factor in successfully executing a penalty kick in Dhol Khel?</t>
  </si>
  <si>
    <t>A) Aiming for a precise location and maintaining composure, B) Kicking the ball as hard as possible, C) Waiting for the goalkeeper to move first, D) Passing the ball to a teammate</t>
  </si>
  <si>
    <t>A) Aiming for a precise location and maintaining composure</t>
  </si>
  <si>
    <t>In Dhol Khel, what is an effective method for improving a team's defensive organization?</t>
  </si>
  <si>
    <t>A) Practicing defensive drills and maintaining good communication, B) Focusing only on offensive strategies, C) Ignoring the opponent's movements, D) Working on individual dribbling skills</t>
  </si>
  <si>
    <t>A) Practicing defensive drills and maintaining good communication</t>
  </si>
  <si>
    <t>What should a player focus on when taking a goal kick in Dhol Khel?</t>
  </si>
  <si>
    <t>A) Kicking the ball accurately and with sufficient distance to reach a teammate, B) Kicking the ball as hard as possible, C) Waiting for the opponent to come closer, D) Passing the ball to the goalkeeper</t>
  </si>
  <si>
    <t>A) Kicking the ball accurately and with sufficient distance to reach a teammate</t>
  </si>
  <si>
    <t>How should a player approach a one-on-one situation with an opponent in Dhol Khel?</t>
  </si>
  <si>
    <t>A) By using positioning and timing to make a successful challenge, B) By backing away, C) By focusing on dribbling, D) By waiting for the referee to intervene</t>
  </si>
  <si>
    <t>A) By using positioning and timing to make a successful challenge</t>
  </si>
  <si>
    <t>What is the purpose of a tactical formation in Dhol Khel?</t>
  </si>
  <si>
    <t>A) To structure the team's positioning and strategy for both attack and defense, B) To dictate the color of the team's uniforms, C) To manage the team's finances, D) To decide the referee for the match</t>
  </si>
  <si>
    <t>A) To structure the team's positioning and strategy for both attack and defense</t>
  </si>
  <si>
    <t>In Dhol Khel, what is the typical response to a player being offside during play?</t>
  </si>
  <si>
    <t>A) The opposing team is awarded an indirect free kick, B) The game is restarted with a throw-in, C) The player is given a yellow card, D) The game is stopped and restarted with a goal kick</t>
  </si>
  <si>
    <t>A) The opposing team is awarded an indirect free kick</t>
  </si>
  <si>
    <t>How can a player improve their dribbling skills in Dhol Khel?</t>
  </si>
  <si>
    <t>A) By practicing dribbling under pressure and in different conditions, B) By focusing solely on shooting, C) By avoiding physical contact, D) By working on their goalkeeping techniques</t>
  </si>
  <si>
    <t>A) By practicing dribbling under pressure and in different conditions</t>
  </si>
  <si>
    <t>What is a common strategy for a team to maintain possession of the ball in Dhol Khel?</t>
  </si>
  <si>
    <t>A) Passing the ball quickly and accurately among teammates, B) Kicking the ball long distances, C) Focusing only on defense, D) Ignoring the opponent's movements</t>
  </si>
  <si>
    <t>A) Passing the ball quickly and accurately among teammates</t>
  </si>
  <si>
    <t>What is the role of a fullback in Dhol Khel?</t>
  </si>
  <si>
    <t>A) To defend against wingers and support the attack, B) To only focus on scoring goals, C) To act as a goalkeeper, D) To take all corner kicks</t>
  </si>
  <si>
    <t>What should a player do when their team is awarded a free kick in a central position in Dhol Khel?</t>
  </si>
  <si>
    <t>A) Attempt a direct shot on goal or create a scoring opportunity, B) Pass the ball to the goalkeeper, C) Wait for a substitute, D) Delay the free kick</t>
  </si>
  <si>
    <t>A) Attempt a direct shot on goal or create a scoring opportunity</t>
  </si>
  <si>
    <t>How can a player improve their passing accuracy in Dhol Khel?</t>
  </si>
  <si>
    <t>A) By practicing various types of passes and working on precision, B) By focusing on dribbling, C) By working only on defensive drills, D) By ignoring passing drills</t>
  </si>
  <si>
    <t>A) By practicing various types of passes and working on precision</t>
  </si>
  <si>
    <t>What is an effective way for a team to counteract a high-pressing opponent in Dhol Khel?</t>
  </si>
  <si>
    <t>A) Using quick, short passes to move the ball out of pressure, B) Kicking long balls directly to the attackers, C) Waiting for the opponent to make mistakes, D) Focusing solely on defense</t>
  </si>
  <si>
    <t>A) Using quick, short passes to move the ball out of pressure</t>
  </si>
  <si>
    <t>What should a player focus on during a throw-in in Dhol Khel?</t>
  </si>
  <si>
    <t>A) Ensuring the ball is thrown from behind the head and within the legal boundaries, B) Kicking the ball long distances, C) Passing the ball to the opponent, D) Ignoring the referee's signals</t>
  </si>
  <si>
    <t>A) Ensuring the ball is thrown from behind the head and within the legal boundaries</t>
  </si>
  <si>
    <t>What is the primary function of a striker in Dhol Khel?</t>
  </si>
  <si>
    <t>A) To score goals and capitalize on scoring opportunities, B) To defend against the opponent's strikers, C) To act as a goalkeeper, D) To take goal kicks</t>
  </si>
  <si>
    <t>A) To score goals and capitalize on scoring opportunities</t>
  </si>
  <si>
    <t>In Dhol Khel, how should a team typically react to a high corner kick into the penalty area?</t>
  </si>
  <si>
    <t>A) By positioning players to clear the ball or attempt a header, B) By ignoring the kick, C) By moving back to their own half, D) By passing the ball to the goalkeeper</t>
  </si>
  <si>
    <t>A) By positioning players to clear the ball or attempt a header</t>
  </si>
  <si>
    <t>What is an essential skill for a midfielder in Dhol Khel?</t>
  </si>
  <si>
    <t>A) Passing and controlling the ball effectively to dictate the pace of the game, B) Focusing only on defense, C) Taking goal kicks, D) Acting as a goalkeeper</t>
  </si>
  <si>
    <t>A) Passing and controlling the ball effectively to dictate the pace of the game</t>
  </si>
  <si>
    <t>How should a player handle a situation where they are marked closely by an opponent in Dhol Khel?</t>
  </si>
  <si>
    <t>A) Use quick movements and changes in direction to create space, B) Stand still and wait for the ball, C) Ignore the opponent and focus only on their own play, D) Foul the opponent</t>
  </si>
  <si>
    <t>A) Use quick movements and changes in direction to create space</t>
  </si>
  <si>
    <t>What is a common tactic for a team in Dhol Khel when defending a set piece such as a free kick or corner?</t>
  </si>
  <si>
    <t>A) Positioning players to cover key areas and prevent scoring opportunities, B) Focusing on attacking, C) Ignoring the set piece, D) Allowing the ball to be kicked freely</t>
  </si>
  <si>
    <t>A) Positioning players to cover key areas and prevent scoring opportunities</t>
  </si>
  <si>
    <t>What is an important aspect of goalkeeping training in Dhol Khel?</t>
  </si>
  <si>
    <t>A) Improving reflexes and shot-stopping ability, B) Focusing on dribbling skills, C) Practicing long-distance running, D) Ignoring defensive drills</t>
  </si>
  <si>
    <t>A) Improving reflexes and shot-stopping ability</t>
  </si>
  <si>
    <t>What should a player focus on when taking a long-range shot in Dhol Khel?</t>
  </si>
  <si>
    <t>A) Accuracy and power to beat the goalkeeper from distance, B) Passing the ball to a teammate, C) Waiting for the ball to come closer, D) Kicking the ball softly</t>
  </si>
  <si>
    <t>A) Accuracy and power to beat the goalkeeper from distance</t>
  </si>
  <si>
    <t>What is a key aspect of effective team defense in Dhol Khel?</t>
  </si>
  <si>
    <t>A) Maintaining proper positioning and communication among defenders, B) Focusing only on attacking, C) Ignoring the opponent's movements, D) Only playing with a single defender</t>
  </si>
  <si>
    <t>A) Maintaining proper positioning and communication among defenders</t>
  </si>
  <si>
    <t>In Dhol Khel, what is the purpose of a tactical formation?</t>
  </si>
  <si>
    <t>A) To organize the team's strategy for both attack and defense, B) To decide the game's referee, C) To determine the team's uniform color, D) To manage the team's budget</t>
  </si>
  <si>
    <t>A) To organize the team's strategy for both attack and defense</t>
  </si>
  <si>
    <t>What is the role of a sweeper in Dhol Khel?</t>
  </si>
  <si>
    <t>A) To clear the ball from the defensive area and provide additional support to the defense, B) To focus on scoring goals, C) To act as a goalkeeper, D) To take all corner kicks</t>
  </si>
  <si>
    <t>A) To clear the ball from the defensive area and provide additional support to the defense</t>
  </si>
  <si>
    <t>What is a common strategy for a team to improve their performance in Dhol Khel?</t>
  </si>
  <si>
    <t>A) Regularly practicing skills, tactics, and teamwork, B) Ignoring practice sessions, C) Focusing solely on individual performance, D) Avoiding team meetings</t>
  </si>
  <si>
    <t>A) Regularly practicing skills, tactics, and teamwork</t>
  </si>
  <si>
    <t>How can a player effectively handle a high ball in Dhol Khel?</t>
  </si>
  <si>
    <t>A) By positioning themselves correctly and using proper technique to control or head the ball, B) By kicking the ball away, C) By waiting for the ball to come down, D) By ignoring the ball</t>
  </si>
  <si>
    <t>A) By positioning themselves correctly and using proper technique to control or head the ball</t>
  </si>
  <si>
    <t>What is the role of a team manager in Dhol Khel?</t>
  </si>
  <si>
    <t>A) To oversee team operations, including logistics, strategy, and communication, B) To play as a forward, C) To take goal kicks, D) To focus on individual player skills</t>
  </si>
  <si>
    <t>A) To oversee team operations, including logistics, strategy, and communication</t>
  </si>
  <si>
    <t>In Dhol Khel, what is the significance of practicing set pieces like free kicks and corners?</t>
  </si>
  <si>
    <t>A) To create scoring opportunities and improve game strategy, B) To focus on defensive drills, C) To improve individual dribbling skills, D) To practice long-distance running</t>
  </si>
  <si>
    <t>A) To create scoring opportunities and improve game strategy</t>
  </si>
  <si>
    <t>What is the primary focus of defensive training in Dhol Khel?</t>
  </si>
  <si>
    <t>A) To improve positioning, marking, and tackling techniques, B) To practice scoring goals, C) To work on dribbling, D) To focus on goalkeeping skills</t>
  </si>
  <si>
    <t>A) To improve positioning, marking, and tackling techniques</t>
  </si>
  <si>
    <t>What is a key element of effective teamwork in Dhol Khel?</t>
  </si>
  <si>
    <t>A) Clear communication and coordination among players, B) Ignoring teammates, C) Focusing solely on individual performance, D) Avoiding passing</t>
  </si>
  <si>
    <t>A) Clear communication and coordination among players</t>
  </si>
  <si>
    <t>What should a player do when their team is awarded a free kick near the opponent's penalty area in Dhol Khel?</t>
  </si>
  <si>
    <t>A) Aim for the goal or pass to a teammate in a better position, B) Pass the ball to the goalkeeper, C) Delay the kick, D) Focus on defending</t>
  </si>
  <si>
    <t>A) Aim for the goal or pass to a teammate in a better position</t>
  </si>
  <si>
    <t>How can a player improve their shooting accuracy in Dhol Khel?</t>
  </si>
  <si>
    <t>A) By practicing various shooting techniques and focusing on precision, B) By avoiding practice, C) By focusing only on dribbling, D) By ignoring goalkeeping drills</t>
  </si>
  <si>
    <t>A) By practicing various shooting techniques and focusing on precision</t>
  </si>
  <si>
    <t>What is the role of a defensive line in Dhol Khel?</t>
  </si>
  <si>
    <t>A) To block and intercept attacking plays and protect the goal, B) To focus on scoring goals, C) To take corner kicks, D) To act as a goalkeeper</t>
  </si>
  <si>
    <t>A) To block and intercept attacking plays and protect the goal</t>
  </si>
  <si>
    <t>What should a player focus on during a direct free kick in Dhol Khel?</t>
  </si>
  <si>
    <t>A) Aiming for the goal with accuracy and power, B) Passing the ball to a teammate, C) Waiting for the opponent to make a move, D) Focusing only on defense</t>
  </si>
  <si>
    <t>A) Aiming for the goal with accuracy and power</t>
  </si>
  <si>
    <t>In Dhol Khel, what is a common drill to improve a player's ball control?</t>
  </si>
  <si>
    <t>A) Dribbling through cones and practicing close ball control, B) Running long distances, C) Practicing goal kicks, D) Ignoring ball control drills</t>
  </si>
  <si>
    <t>A) Dribbling through cones and practicing close ball control</t>
  </si>
  <si>
    <t>What is the primary objective of a counter-attack in Dhol Khel?</t>
  </si>
  <si>
    <t>A) To quickly transition from defense to attack and exploit the opponent's weaknesses, B) To focus solely on defending, C) To delay the game, D) To practice goalkeeping techniques</t>
  </si>
  <si>
    <t>A) To quickly transition from defense to attack and exploit the opponent's weaknesses</t>
  </si>
  <si>
    <t>In Dhol Khel, what is a common method to improve a team's offensive play?</t>
  </si>
  <si>
    <t>A) Working on quick passing and movement to break down the opponent's defense, B) Ignoring offensive tactics, C) Focusing solely on individual skills, D) Practicing only defensive drills</t>
  </si>
  <si>
    <t>A) Working on quick passing and movement to break down the opponent's defense</t>
  </si>
  <si>
    <t>How should a player approach a game when they are facing a strong opponent in Dhol Khel?</t>
  </si>
  <si>
    <t>A) By focusing on tactical discipline and exploiting any weaknesses, B) By playing recklessly, C) By ignoring team strategies, D) By focusing solely on individual skills</t>
  </si>
  <si>
    <t>A) By focusing on tactical discipline and exploiting any weaknesses</t>
  </si>
  <si>
    <t>What is an important aspect of preparing for a match in Dhol Khel?</t>
  </si>
  <si>
    <t>A) Understanding the opponent's strengths and weaknesses and planning accordingly, B) Ignoring the opponent's tactics, C) Focusing only on individual performance, D) Avoiding practice sessions</t>
  </si>
  <si>
    <t>A) Understanding the opponent's strengths and weaknesses and planning accordingly</t>
  </si>
  <si>
    <t>What is the role of a team's support staff in Dhol Khel?</t>
  </si>
  <si>
    <t>A) To provide assistance with training, medical care, and logistics, B) To play as a forward, C) To take goal kicks, D) To focus solely on individual player skills</t>
  </si>
  <si>
    <t>A) To provide assistance with training, medical care, and logistics</t>
  </si>
  <si>
    <t>How can a player effectively deal with pressure during a match in Dhol Khel?</t>
  </si>
  <si>
    <t>A) By staying focused, maintaining composure, and sticking to the game plan, B) By panicking and making hasty decisions, C) By ignoring the game plan, D) By avoiding contact with the ball</t>
  </si>
  <si>
    <t>A) By staying focused, maintaining composure, and sticking to the game plan</t>
  </si>
  <si>
    <t>What is the main objective of a midfielder in Dhol Khel?</t>
  </si>
  <si>
    <t>A) To control the game's tempo and distribute the ball effectively, B) To score goals, C) To defend the goal, D) To take goal kicks</t>
  </si>
  <si>
    <t>A) To control the game's tempo and distribute the ball effectively</t>
  </si>
  <si>
    <t>During a match in Dhol Khel, what is crucial for maintaining possession of the ball?</t>
  </si>
  <si>
    <t>A) Accurate passing and quick movement, B) Focusing only on defense, C) Ignoring teammates, D) Kicking the ball long distances</t>
  </si>
  <si>
    <t>A) Accurate passing and quick movement</t>
  </si>
  <si>
    <t>What is the primary role of a goalkeeper in Dhol Khel?</t>
  </si>
  <si>
    <t>A) To prevent the ball from entering the goal, B) To score goals, C) To take corner kicks, D) To serve as a forward</t>
  </si>
  <si>
    <t>A) To prevent the ball from entering the goal</t>
  </si>
  <si>
    <t>What should a player do if they are awarded a penalty kick in Dhol Khel?</t>
  </si>
  <si>
    <t>A) Aim for the goal with precision and power, B) Pass the ball to a teammate, C) Delay the kick, D) Focus on defending</t>
  </si>
  <si>
    <t>A) Aim for the goal with precision and power</t>
  </si>
  <si>
    <t>What is a common strategy for defending against a fast counter-attack in Dhol Khel?</t>
  </si>
  <si>
    <t>A) Quickly repositioning and closing down the attacking players, B) Ignoring the counter-attack, C) Moving back to the defensive half, D) Focusing on attacking</t>
  </si>
  <si>
    <t>A) Quickly repositioning and closing down the attacking players</t>
  </si>
  <si>
    <t>In Dhol Khel, how can a team effectively break down a solid defense?</t>
  </si>
  <si>
    <t>A) By using quick passes and creating space, B) By playing long balls, C) By focusing only on individual skills, D) By ignoring the defense</t>
  </si>
  <si>
    <t>A) By using quick passes and creating space</t>
  </si>
  <si>
    <t>What is a key element of a successful throw-in in Dhol Khel?</t>
  </si>
  <si>
    <t>A) Throwing the ball from behind the head and with both feet on the ground, B) Kicking the ball, C) Passing the ball to the opponent, D) Ignoring the referee</t>
  </si>
  <si>
    <t>A) Throwing the ball from behind the head and with both feet on the ground</t>
  </si>
  <si>
    <t>What is the purpose of practicing set pieces in Dhol Khel?</t>
  </si>
  <si>
    <t>A) To enhance scoring opportunities and defensive organization, B) To focus on dribbling, C) To practice long-distance running, D) To work on individual skills</t>
  </si>
  <si>
    <t>A) To enhance scoring opportunities and defensive organization</t>
  </si>
  <si>
    <t>What should a player do if they are marked tightly by an opponent in Dhol Khel?</t>
  </si>
  <si>
    <t>A) Use feints and quick changes in direction to create space, B) Stand still, C) Pass the ball to the opponent, D) Ignore the marking</t>
  </si>
  <si>
    <t>A) Use feints and quick changes in direction to create space</t>
  </si>
  <si>
    <t>A) To protect the defense and disrupt the opponent's play, B) To score goals, C) To act as a goalkeeper, D) To take corner kicks</t>
  </si>
  <si>
    <t>A) To protect the defense and disrupt the opponent's play</t>
  </si>
  <si>
    <t>What is an essential skill for a forward in Dhol Khel?</t>
  </si>
  <si>
    <t>A) Finishing chances and scoring goals, B) Defending against the opponent's attackers, C) Taking goal kicks, D) Passing the ball to the goalkeeper</t>
  </si>
  <si>
    <t>A) Finishing chances and scoring goals</t>
  </si>
  <si>
    <t>In Dhol Khel, what is a common way to defend against a free kick taken from a dangerous position?</t>
  </si>
  <si>
    <t>A) Positioning a wall of players to block the shot, B) Ignoring the free kick, C) Moving back to the goal, D) Focusing only on the ball</t>
  </si>
  <si>
    <t>A) Positioning a wall of players to block the shot</t>
  </si>
  <si>
    <t>How can a team maintain effective communication during a match in Dhol Khel?</t>
  </si>
  <si>
    <t>A) By regularly talking and signaling to teammates, B) By remaining silent, C) By ignoring teammates, D) By focusing only on individual performance</t>
  </si>
  <si>
    <t>A) By regularly talking and signaling to teammates</t>
  </si>
  <si>
    <t>What is a common drill to improve a player’s passing accuracy in Dhol Khel?</t>
  </si>
  <si>
    <t>A) Passing the ball through targets or to a moving partner, B) Running long distances, C) Practicing goal kicks, D) Ignoring passing drills</t>
  </si>
  <si>
    <t>A) Passing the ball through targets or to a moving partner</t>
  </si>
  <si>
    <t>A) Delivering the ball accurately to a teammate or into a dangerous area, B) Kicking the ball out of play, C) Passing the ball to the opponent, D) Waiting for a teammate to take the kick</t>
  </si>
  <si>
    <t>A) Delivering the ball accurately to a teammate or into a dangerous area</t>
  </si>
  <si>
    <t>In Dhol Khel, how should a team handle a situation when their opponent is on a fast break?</t>
  </si>
  <si>
    <t>A) By quickly getting back to defend and organizing a defensive line, B) By focusing only on attacking, C) By waiting in the defensive half, D) By ignoring the opponent</t>
  </si>
  <si>
    <t>A) By quickly getting back to defend and organizing a defensive line</t>
  </si>
  <si>
    <t>What is the key to effective ball control in Dhol Khel?</t>
  </si>
  <si>
    <t>A) Using the correct technique to receive and control the ball, B) Kicking the ball long distances, C) Ignoring ball control drills, D) Practicing only goalkeeping skills</t>
  </si>
  <si>
    <t>A) Using the correct technique to receive and control the ball</t>
  </si>
  <si>
    <t>What should a defender do when faced with an opposing forward in Dhol Khel?</t>
  </si>
  <si>
    <t>A) Stay close and position themselves to block or intercept the ball, B) Focus on attacking, C) Wait for the ball to come to them, D) Ignore the forward</t>
  </si>
  <si>
    <t>A) Stay close and position themselves to block or intercept the ball</t>
  </si>
  <si>
    <t>What is a common method to improve a team's teamwork in Dhol Khel?</t>
  </si>
  <si>
    <t>A) Practicing drills that emphasize communication and coordination, B) Ignoring team drills, C) Focusing solely on individual skills, D) Avoiding practice sessions</t>
  </si>
  <si>
    <t>A) Practicing drills that emphasize communication and coordination</t>
  </si>
  <si>
    <t>What is the role of a center-back in Dhol Khel?</t>
  </si>
  <si>
    <t>A) To defend against the opponent's strikers and clear the ball from the defensive area, B) To score goals, C) To take goal kicks, D) To act as a midfielder</t>
  </si>
  <si>
    <t>A) To defend against the opponent's strikers and clear the ball from the defensive area</t>
  </si>
  <si>
    <t>In Dhol Khel, how should a player approach a high ball in the penalty area?</t>
  </si>
  <si>
    <t>A) By positioning themselves correctly and using proper technique to header or control the ball, B) By ignoring the ball, C) By kicking the ball away, D) By waiting for the ball to come down</t>
  </si>
  <si>
    <t>A) By positioning themselves correctly and using proper technique to header or control the ball</t>
  </si>
  <si>
    <t>What is the main objective of a full-back in Dhol Khel?</t>
  </si>
  <si>
    <t>A) To defend the flanks and support both defense and attack, B) To act as a goalkeeper, C) To focus solely on scoring goals, D) To take all set pieces</t>
  </si>
  <si>
    <t>A) To defend the flanks and support both defense and attack</t>
  </si>
  <si>
    <t>What is a common drill to improve a player's dribbling skills in Dhol Khel?</t>
  </si>
  <si>
    <t>A) Dribbling through cones and practicing close control, B) Running long distances, C) Practicing goal kicks, D) Ignoring dribbling drills</t>
  </si>
  <si>
    <t>A) Dribbling through cones and practicing close control</t>
  </si>
  <si>
    <t>How should a team react when losing possession in Dhol Khel?</t>
  </si>
  <si>
    <t>A) By quickly pressing to regain possession or disrupting the opponent's play, B) By ignoring the ball, C) By focusing only on defense, D) By delaying their reaction</t>
  </si>
  <si>
    <t>A) By quickly pressing to regain possession or disrupting the opponent's play</t>
  </si>
  <si>
    <t>What is an effective strategy for a team to employ when defending a lead in Dhol Khel?</t>
  </si>
  <si>
    <t>A) By maintaining a solid defensive shape and managing the game tempo, B) By attacking aggressively, C) By ignoring defensive tactics, D) By focusing solely on individual skills</t>
  </si>
  <si>
    <t>A) By maintaining a solid defensive shape and managing the game tempo</t>
  </si>
  <si>
    <t>What is a critical aspect of a team's warm-up routine before a match in Dhol Khel?</t>
  </si>
  <si>
    <t>A) Performing dynamic stretches and light drills to prepare physically and mentally, B) Ignoring warm-up, C) Focusing only on tactical discussions, D) Avoiding physical exertion</t>
  </si>
  <si>
    <t>A) Performing dynamic stretches and light drills to prepare physically and mentally</t>
  </si>
  <si>
    <t>How can a team effectively manage fatigue during a match in Dhol Khel?</t>
  </si>
  <si>
    <t>A) By rotating players and ensuring proper hydration, B) By playing continuously without breaks, C) By ignoring player fatigue, D) By focusing solely on scoring</t>
  </si>
  <si>
    <t>A) By rotating players and ensuring proper hydration</t>
  </si>
  <si>
    <t>What is the role of a coach during a match in Dhol Khel?</t>
  </si>
  <si>
    <t>A) To provide tactical instructions and motivate the team, B) To play as a substitute, C) To take part in the game, D) To ignore game dynamics</t>
  </si>
  <si>
    <t>A) To provide tactical instructions and motivate the team</t>
  </si>
  <si>
    <t>What is a common technique for a player to improve their shooting accuracy in Dhol Khel?</t>
  </si>
  <si>
    <t>A) Practicing shooting with different parts of the foot and aiming for specific targets, B) Ignoring shooting practice, C) Focusing solely on dribbling, D) Taking random shots</t>
  </si>
  <si>
    <t>A) Practicing shooting with different parts of the foot and aiming for specific targets</t>
  </si>
  <si>
    <t>What is an effective way for a team to respond to a strong offensive attack in Dhol Khel?</t>
  </si>
  <si>
    <t>A) By organizing a tight defense and marking attackers closely, B) By focusing only on offense, C) By ignoring the attack, D) By allowing the opponents to attack</t>
  </si>
  <si>
    <t>A) By organizing a tight defense and marking attackers closely</t>
  </si>
  <si>
    <t>In Dhol Khel, how can a player improve their heading ability?</t>
  </si>
  <si>
    <t>A) By practicing heading drills and focusing on timing and technique, B) By avoiding heading practice, C) By focusing solely on passing, D) By ignoring heading drills</t>
  </si>
  <si>
    <t>A) By practicing heading drills and focusing on timing and technique</t>
  </si>
  <si>
    <t>What is a key factor for a successful defensive strategy in Dhol Khel?</t>
  </si>
  <si>
    <t>A) Effective communication and positioning among defenders, B) Ignoring defensive tactics, C) Focusing solely on attacking, D) Avoiding defensive drills</t>
  </si>
  <si>
    <t>A) Effective communication and positioning among defenders</t>
  </si>
  <si>
    <t>How can a team improve their performance in high-pressure situations in Dhol Khel?</t>
  </si>
  <si>
    <t>A) By maintaining composure and sticking to their game plan, B) By panicking and making hasty decisions, C) By ignoring the pressure, D) By focusing only on individual performance</t>
  </si>
  <si>
    <t>A) By maintaining composure and sticking to their game plan</t>
  </si>
  <si>
    <t>What is an important aspect of a player's technique when receiving a pass in Dhol Khel?</t>
  </si>
  <si>
    <t>A) Cushioning the ball with the foot and positioning the body to control it, B) Kicking the ball away, C) Ignoring the ball, D) Focusing only on shooting</t>
  </si>
  <si>
    <t>A) Cushioning the ball with the foot and positioning the body to control it</t>
  </si>
  <si>
    <t>What is the main objective of a set piece in Dhol Khel?</t>
  </si>
  <si>
    <t>A) To create scoring opportunities or to defend against them, B) To focus solely on dribbling, C) To take random shots, D) To ignore the set piece</t>
  </si>
  <si>
    <t>A) To create scoring opportunities or to defend against them</t>
  </si>
  <si>
    <t>What should a defender do when facing a one-on-one situation with an attacker in Dhol Khel?</t>
  </si>
  <si>
    <t>A) Stay close, anticipate the attacker's move, and position to block or intercept, B) Focus on attacking, C) Wait for the attacker to make the move, D) Ignore the attacker</t>
  </si>
  <si>
    <t>A) Stay close, anticipate the attacker's move, and position to block or intercept</t>
  </si>
  <si>
    <t>What is a common way to improve a player's fitness level for Dhol Khel?</t>
  </si>
  <si>
    <t>A) Engaging in regular cardiovascular and strength training exercises, B) Ignoring fitness training, C) Focusing solely on technical skills, D) Avoiding physical exercise</t>
  </si>
  <si>
    <t>A) Engaging in regular cardiovascular and strength training exercises</t>
  </si>
  <si>
    <t>What is an effective strategy for a team to use during a last-minute play in Dhol Khel?</t>
  </si>
  <si>
    <t>A) Playing with urgency and focusing on creating scoring opportunities, B) Ignoring the game situation, C) Playing defensively, D) Avoiding risky plays</t>
  </si>
  <si>
    <t>A) Playing with urgency and focusing on creating scoring opportunities</t>
  </si>
  <si>
    <t>How can a player enhance their ability to make accurate long passes in Dhol Khel?</t>
  </si>
  <si>
    <t>A) By practicing long passing techniques and focusing on precision, B) Ignoring passing drills, C) Focusing only on short passes, D) Avoiding passing practice</t>
  </si>
  <si>
    <t>A) By practicing long passing techniques and focusing on precision</t>
  </si>
  <si>
    <t>What is a key aspect of a team's formation in Dhol Khel?</t>
  </si>
  <si>
    <t>A) Organizing players in a way that balances defense and attack, B) Ignoring formations, C) Focusing solely on individual positions, D) Allowing players to choose their positions</t>
  </si>
  <si>
    <t>A) Organizing players in a way that balances defense and attack</t>
  </si>
  <si>
    <t>How should a player approach a high-pressure penalty situation in Dhol Khel?</t>
  </si>
  <si>
    <t>A) By staying calm, focusing on technique, and aiming for the target, B) By panicking and rushing the shot, C) By ignoring the penalty kick, D) By waiting for the goalkeeper to move</t>
  </si>
  <si>
    <t>A) By staying calm, focusing on technique, and aiming for the target</t>
  </si>
  <si>
    <t>What is an effective way to improve a team's transition play in Dhol Khel?</t>
  </si>
  <si>
    <t>A) Practicing quick changes from defense to attack and vice versa, B) Ignoring transition drills, C) Focusing solely on attacking, D) Delaying transitions</t>
  </si>
  <si>
    <t>A) Practicing quick changes from defense to attack and vice versa</t>
  </si>
  <si>
    <t>How can a team effectively utilize the width of the field in Dhol Khel?</t>
  </si>
  <si>
    <t>A) By spreading out and using the full width to create space and stretch the opponent's defense, B) By clustering players in the center, C) By focusing solely on long balls, D) By ignoring the field's width</t>
  </si>
  <si>
    <t>A) By spreading out and using the full width to create space and stretch the opponent's defense</t>
  </si>
  <si>
    <t>What is a common drill to improve a player's reaction time in Dhol Khel?</t>
  </si>
  <si>
    <t>A) Practicing quick decision-making drills and reaction exercises, B) Ignoring reaction drills, C) Focusing solely on dribbling, D) Avoiding physical exercises</t>
  </si>
  <si>
    <t>A) Practicing quick decision-making drills and reaction exercises</t>
  </si>
  <si>
    <t>What should a player focus on during a defensive positioning drill in Dhol Khel?</t>
  </si>
  <si>
    <t>A) Maintaining proper positioning and awareness of the ball and opponents, B) Ignoring positioning, C) Focusing solely on attacking, D) Avoiding defensive drills</t>
  </si>
  <si>
    <t>A) Maintaining proper positioning and awareness of the ball and opponents</t>
  </si>
  <si>
    <t>How can a team effectively prepare for a penalty shootout in Dhol Khel?</t>
  </si>
  <si>
    <t>A) By practicing penalty kicks and goalkeeping techniques, B) Ignoring penalty shootouts, C) Focusing only on offensive tactics, D) Avoiding penalty practice</t>
  </si>
  <si>
    <t>A) By practicing penalty kicks and goalkeeping techniques</t>
  </si>
  <si>
    <t>What is an important aspect of a team's defensive organization in Dhol Khel?</t>
  </si>
  <si>
    <t>A) Ensuring proper alignment and coverage to block the opponent's attacking options, B) Ignoring defensive organization, C) Focusing solely on attacking, D) Allowing attackers to freely move</t>
  </si>
  <si>
    <t>A) Ensuring proper alignment and coverage to block the opponent's attacking options</t>
  </si>
  <si>
    <t>How can a player improve their ability to make accurate crosses in Dhol Khel?</t>
  </si>
  <si>
    <t>A) By practicing crossing techniques and aiming for specific targets, B) Ignoring crossing practice, C) Focusing only on shooting, D) Avoiding crossing drills</t>
  </si>
  <si>
    <t>A) By practicing crossing techniques and aiming for specific targets</t>
  </si>
  <si>
    <t>What is a common method to enhance a player’s fitness level for Dhol Khel?</t>
  </si>
  <si>
    <t>A) Incorporating interval training and strength exercises into their routine, B) Ignoring fitness training, C) Focusing only on technical skills, D) Avoiding physical exercise</t>
  </si>
  <si>
    <t>A) Incorporating interval training and strength exercises into their routine</t>
  </si>
  <si>
    <t>What is an effective way for a team to manage their strategy during a game in Dhol Khel?</t>
  </si>
  <si>
    <t>A) By adapting tactics based on the opponent's play and the game situation, B) Ignoring the game strategy, C) Focusing only on individual skills, D) Avoiding tactical adjustments</t>
  </si>
  <si>
    <t>A) By adapting tactics based on the opponent's play and the game situation</t>
  </si>
  <si>
    <t>What is a crucial aspect of maintaining possession in Dhol Khel?</t>
  </si>
  <si>
    <t>A) Using short, precise passes and maintaining control, B) Kicking the ball away, C) Ignoring ball control, D) Focusing only on long passes</t>
  </si>
  <si>
    <t>A) Using short, precise passes and maintaining control</t>
  </si>
  <si>
    <t>What should a player do when approaching a one-on-one situation with a defender in Dhol Khel?</t>
  </si>
  <si>
    <t>A) Use dribbling skills and quick changes in direction to get past the defender, B) Ignore the defender, C) Focus only on passing, D) Delay their move</t>
  </si>
  <si>
    <t>A) Use dribbling skills and quick changes in direction to get past the defender</t>
  </si>
  <si>
    <t>How can a team effectively counteract an opponent’s aggressive play in Dhol Khel?</t>
  </si>
  <si>
    <t>A) By maintaining composure, organizing defense, and using quick counter-attacks, B) Ignoring the opponent’s play, C) Focusing only on attacking, D) Avoiding counter-attacks</t>
  </si>
  <si>
    <t>A) By maintaining composure, organizing defense, and using quick counter-attacks</t>
  </si>
  <si>
    <t>What is the role of a team captain during a match in Dhol Khel?</t>
  </si>
  <si>
    <t>A) To lead by example, motivate teammates, and communicate with the referee, B) To play as a substitute, C) To ignore team dynamics, D) To focus solely on personal performance</t>
  </si>
  <si>
    <t>A) To lead by example, motivate teammates, and communicate with the referee</t>
  </si>
  <si>
    <t>What is a common technique for improving a player’s agility in Dhol Khel?</t>
  </si>
  <si>
    <t>A) Performing agility drills such as ladder exercises and cone drills, B) Ignoring agility training, C) Focusing only on strength, D) Avoiding agility exercises</t>
  </si>
  <si>
    <t>A) Performing agility drills such as ladder exercises and cone drills</t>
  </si>
  <si>
    <t>What is an effective way to improve a team's coordination during a match in Dhol Khel?</t>
  </si>
  <si>
    <t>A) By practicing coordinated drills and emphasizing team communication, B) Ignoring coordination drills, C) Focusing solely on individual skills, D) Avoiding practice sessions</t>
  </si>
  <si>
    <t>A) By practicing coordinated drills and emphasizing team communication</t>
  </si>
  <si>
    <t>What should a player focus on when taking a free kick in Dhol Khel?</t>
  </si>
  <si>
    <t>A) Aiming for precision and considering the positioning of the wall and goalkeeper, B) Ignoring the kick, C) Focusing only on dribbling, D) Delaying the kick</t>
  </si>
  <si>
    <t>A) Aiming for precision and considering the positioning of the wall and goalkeeper</t>
  </si>
  <si>
    <t>What is an important aspect of a successful defensive play in Dhol Khel?</t>
  </si>
  <si>
    <t>A) Timing tackles and positioning to block or intercept the ball, B) Ignoring defensive tactics, C) Focusing solely on attacking, D) Avoiding defensive drills</t>
  </si>
  <si>
    <t>A) Timing tackles and positioning to block or intercept the ball</t>
  </si>
  <si>
    <t>How can a player improve their ability to read the game in Dhol Khel?</t>
  </si>
  <si>
    <t>A) By studying game situations, understanding opponents' tendencies, and observing matches, B) Ignoring game analysis, C) Focusing only on technical skills, D) Avoiding game observation</t>
  </si>
  <si>
    <t>A) By studying game situations, understanding opponents' tendencies, and observing matches</t>
  </si>
  <si>
    <t>What is a common drill to enhance a player’s shooting technique in Dhol Khel?</t>
  </si>
  <si>
    <t>A) Practicing shots from different angles and distances, B) Ignoring shooting drills, C) Focusing only on passing, D) Avoiding shooting practice</t>
  </si>
  <si>
    <t>A) Practicing shots from different angles and distances</t>
  </si>
  <si>
    <t>How should a team handle a situation where they are down by one goal in Dhol Khel?</t>
  </si>
  <si>
    <t>A) By increasing their attacking efforts and maintaining a positive mindset, B) Ignoring the deficit, C) Focusing only on defense, D) Delaying their response</t>
  </si>
  <si>
    <t>A) By increasing their attacking efforts and maintaining a positive mindset</t>
  </si>
  <si>
    <t>What is an important aspect of maintaining effective team shape in Dhol Khel?</t>
  </si>
  <si>
    <t>A) Ensuring players are properly positioned according to their roles and the game situation, B) Ignoring team shape, C) Focusing solely on individual positions, D) Allowing players to roam freely</t>
  </si>
  <si>
    <t>A) Ensuring players are properly positioned according to their roles and the game situation</t>
  </si>
  <si>
    <t>What is a key factor in successfully executing a quick throw-in in Dhol Khel?</t>
  </si>
  <si>
    <t>A) Delivering the ball quickly and accurately to a teammate, B) Ignoring the throw-in rules, C) Focusing solely on defense, D) Waiting for the referee</t>
  </si>
  <si>
    <t>A) Delivering the ball quickly and accurately to a teammate</t>
  </si>
  <si>
    <t>How can a player effectively support their teammates during an attack in Dhol Khel?</t>
  </si>
  <si>
    <t>A) By making runs into space and providing options for passing, B) Ignoring teammates, C) Focusing solely on individual play, D) Avoiding attacking support</t>
  </si>
  <si>
    <t>A) By making runs into space and providing options for passing</t>
  </si>
  <si>
    <t>What is a common method to improve a player’s defensive skills in Dhol Khel?</t>
  </si>
  <si>
    <t>A) Practicing positioning, tackling, and marking drills, B) Ignoring defensive practice, C) Focusing solely on attacking, D) Avoiding defensive exercises</t>
  </si>
  <si>
    <t>A) Practicing positioning, tackling, and marking drills</t>
  </si>
  <si>
    <t>What should a player do when faced with a direct free kick near the goal in Dhol Khel?</t>
  </si>
  <si>
    <t>A) Aim for precision and consider the wall and goalkeeper's position, B) Ignore the free kick, C) Focus only on passing, D) Delay the kick</t>
  </si>
  <si>
    <t>A) Aim for precision and consider the wall and goalkeeper's position</t>
  </si>
  <si>
    <t>How can a team effectively use substitutions during a match in Dhol Khel?</t>
  </si>
  <si>
    <t>A) By using substitutions to refresh players and adapt to the game situation, B) Ignoring substitutions, C) Focusing only on starters, D) Avoiding substitutions</t>
  </si>
  <si>
    <t>A) By using substitutions to refresh players and adapt to the game situation</t>
  </si>
  <si>
    <t>What is a key aspect of a player’s technique when dribbling in Dhol Khel?</t>
  </si>
  <si>
    <t>A) Keeping the ball close and using quick, controlled touches, B) Kicking the ball long distances, C) Ignoring dribbling techniques, D) Focusing only on shooting</t>
  </si>
  <si>
    <t>A) Keeping the ball close and using quick, controlled touches</t>
  </si>
  <si>
    <t>What is an effective way to practice aerial control in Dhol Khel?</t>
  </si>
  <si>
    <t>A) By practicing heading and controlling high balls with different parts of the body, B) Ignoring aerial drills, C) Focusing only on dribbling, D) Avoiding aerial control practice</t>
  </si>
  <si>
    <t>A) By practicing heading and controlling high balls with different parts of the body</t>
  </si>
  <si>
    <t>How should a team approach a game against a stronger opponent in Dhol Khel?</t>
  </si>
  <si>
    <t>A) By focusing on defensive organization and exploiting counter-attacking opportunities, B) Ignoring the opponent’s strength, C) Focusing only on offense, D) Avoiding tactical planning</t>
  </si>
  <si>
    <t>A) By focusing on defensive organization and exploiting counter-attacking opportunities</t>
  </si>
  <si>
    <t>What is an important aspect of maintaining effective teamwork in Dhol Khel?</t>
  </si>
  <si>
    <t>A) Ensuring players communicate well and understand their roles, B) Ignoring team dynamics, C) Focusing only on individual skills, D) Allowing players to act independently</t>
  </si>
  <si>
    <t>A) Ensuring players communicate well and understand their roles</t>
  </si>
  <si>
    <t>What should a player focus on when receiving a high ball in Dhol Khel?</t>
  </si>
  <si>
    <t>A) Positioning their body to cushion the ball and secure control, B) Ignoring the ball, C) Focusing only on passing, D) Delaying their move</t>
  </si>
  <si>
    <t>A) Positioning their body to cushion the ball and secure control</t>
  </si>
  <si>
    <t>What is a fundamental skill for passing effectively in Dhol Khel?</t>
  </si>
  <si>
    <t>A) Using the inside of the foot for accuracy, B) Kicking with the toes, C) Ignoring foot placement, D) Focusing only on dribbling</t>
  </si>
  <si>
    <t>A) Using the inside of the foot for accuracy</t>
  </si>
  <si>
    <t>How can a player improve their reaction time in Dhol Khel?</t>
  </si>
  <si>
    <t>A) By practicing quick decision-making drills and reflex exercises, B) Ignoring reaction drills, C) Focusing only on strength, D) Avoiding practice</t>
  </si>
  <si>
    <t>A) By practicing quick decision-making drills and reflex exercises</t>
  </si>
  <si>
    <t>What is a key aspect of effective communication on the field in Dhol Khel?</t>
  </si>
  <si>
    <t>A) Providing clear, concise instructions and feedback to teammates, B) Ignoring communication, C) Focusing only on personal performance, D) Avoiding verbal interaction</t>
  </si>
  <si>
    <t>A) Providing clear, concise instructions and feedback to teammates</t>
  </si>
  <si>
    <t>How can a player enhance their ball control skills in Dhol Khel?</t>
  </si>
  <si>
    <t>A) By practicing with different surfaces and varying ball speeds, B) Ignoring ball control practice, C) Focusing only on shooting, D) Avoiding control drills</t>
  </si>
  <si>
    <t>A) By practicing with different surfaces and varying ball speeds</t>
  </si>
  <si>
    <t>What is an effective strategy for defending against a fast break in Dhol Khel?</t>
  </si>
  <si>
    <t>A) Quickly organizing the defense and closing down the space, B) Ignoring the break, C) Focusing only on attacking, D) Delaying defensive actions</t>
  </si>
  <si>
    <t>A) Quickly organizing the defense and closing down the space</t>
  </si>
  <si>
    <t>What should a player do to improve their heading accuracy in Dhol Khel?</t>
  </si>
  <si>
    <t>A) Practice heading with different parts of the forehead and timing, B) Ignore heading practice, C) Focus only on footwork, D) Avoid heading drills</t>
  </si>
  <si>
    <t>A) Practice heading with different parts of the forehead and timing</t>
  </si>
  <si>
    <t>What is a crucial aspect of a successful corner kick in Dhol Khel?</t>
  </si>
  <si>
    <t>A) Delivering the ball to a targeted area with precision, B) Ignoring the kick's placement, C) Focusing only on distance, D) Avoiding corner kicks</t>
  </si>
  <si>
    <t>A) Delivering the ball to a targeted area with precision</t>
  </si>
  <si>
    <t>How can a player effectively use their body to shield the ball in Dhol Khel?</t>
  </si>
  <si>
    <t>A) By positioning their body between the ball and the opponent, B) Ignoring shielding techniques, C) Focusing solely on dribbling, D) Avoiding body positioning practice</t>
  </si>
  <si>
    <t>A) By positioning their body between the ball and the opponent</t>
  </si>
  <si>
    <t>What is an effective way to improve team cohesion in Dhol Khel?</t>
  </si>
  <si>
    <t>A) By participating in team-building activities and practicing together regularly, B) Ignoring team-building, C) Focusing only on individual skills, D) Avoiding team practice sessions</t>
  </si>
  <si>
    <t>A) By participating in team-building activities and practicing together regularly</t>
  </si>
  <si>
    <t>A) Aiming for precision and considering the goalkeeper’s position, B) Ignoring the kick’s placement, C) Focusing solely on power, D) Delaying the kick</t>
  </si>
  <si>
    <t>A) Aiming for precision and considering the goalkeeper’s position</t>
  </si>
  <si>
    <t>How can a team effectively counteract a high pressing opponent in Dhol Khel?</t>
  </si>
  <si>
    <t>A) By using quick, short passes and moving the ball rapidly, B) Ignoring the press, C) Focusing only on long passes, D) Avoiding quick passes</t>
  </si>
  <si>
    <t>A) By using quick, short passes and moving the ball rapidly</t>
  </si>
  <si>
    <t>What is a key factor in maintaining effective defensive shape in Dhol Khel?</t>
  </si>
  <si>
    <t>A) Ensuring players are properly aligned and covering key areas, B) Ignoring defensive positioning, C) Focusing solely on attacking, D) Allowing players to move freely</t>
  </si>
  <si>
    <t>A) Ensuring players are properly aligned and covering key areas</t>
  </si>
  <si>
    <t>How can a player improve their tactical awareness in Dhol Khel?</t>
  </si>
  <si>
    <t>A) By studying game footage and understanding different formations, B) Ignoring tactical training, C) Focusing solely on technical skills, D) Avoiding game analysis</t>
  </si>
  <si>
    <t>A) By studying game footage and understanding different formations</t>
  </si>
  <si>
    <t>What is a crucial aspect of effective goalkeeping in Dhol Khel?</t>
  </si>
  <si>
    <t>A) Positioning correctly, reading the game, and making timely saves, B) Ignoring goalkeeping techniques, C) Focusing solely on kicking, D) Avoiding practice</t>
  </si>
  <si>
    <t>A) Positioning correctly, reading the game, and making timely saves</t>
  </si>
  <si>
    <t>What is an important consideration when executing a throw-in in Dhol Khel?</t>
  </si>
  <si>
    <t>A) Throwing the ball from behind the head with both feet on the ground, B) Ignoring throw-in rules, C) Focusing only on distance, D) Delaying the throw</t>
  </si>
  <si>
    <t>A) Throwing the ball from behind the head with both feet on the ground</t>
  </si>
  <si>
    <t>How should a player approach a one-on-one dribbling challenge in Dhol Khel?</t>
  </si>
  <si>
    <t>A) By using quick changes of direction and close control to beat the defender, B) Ignoring the defender, C) Focusing only on passing, D) Delaying the move</t>
  </si>
  <si>
    <t>A) By using quick changes of direction and close control to beat the defender</t>
  </si>
  <si>
    <t>What is an effective way to practice defensive marking in Dhol Khel?</t>
  </si>
  <si>
    <t>A) By performing drills that focus on maintaining close proximity to the opponent and reading their movements, B) Ignoring marking drills, C) Focusing solely on attacking, D) Avoiding practice</t>
  </si>
  <si>
    <t>A) By performing drills that focus on maintaining close proximity to the opponent and reading their movements</t>
  </si>
  <si>
    <t>How can a team effectively use possession to control the game in Dhol Khel?</t>
  </si>
  <si>
    <t>A) By maintaining patient build-up play and controlling the tempo, B) Ignoring possession, C) Focusing only on fast breaks, D) Avoiding ball control</t>
  </si>
  <si>
    <t>A) By maintaining patient build-up play and controlling the tempo</t>
  </si>
  <si>
    <t>What is a key component of a successful attacking strategy in Dhol Khel?</t>
  </si>
  <si>
    <t>A) Creating space through movement and using combinations to break down defenses, B) Ignoring attacking strategies, C) Focusing solely on individual play, D) Avoiding attacking practice</t>
  </si>
  <si>
    <t>A) Creating space through movement and using combinations to break down defenses</t>
  </si>
  <si>
    <t>What is an important factor when performing a defensive tackle in Dhol Khel?</t>
  </si>
  <si>
    <t>A) Timing the tackle and making contact with the ball rather than the opponent, B) Ignoring tackle timing, C) Focusing solely on aggression, D) Avoiding tackling drills</t>
  </si>
  <si>
    <t>A) Timing the tackle and making contact with the ball rather than the opponent</t>
  </si>
  <si>
    <t>How can a player improve their fitness for the demands of Dhol Khel?</t>
  </si>
  <si>
    <t>A) By incorporating endurance, strength, and agility training into their regimen, B) Ignoring fitness training, C) Focusing solely on technique, D) Avoiding exercise</t>
  </si>
  <si>
    <t>A) By incorporating endurance, strength, and agility training into their regimen</t>
  </si>
  <si>
    <t>What is an effective way to build team chemistry in Dhol Khel?</t>
  </si>
  <si>
    <t>A) By engaging in team activities and fostering open communication, B) Ignoring team-building, C) Focusing solely on individual performance, D) Avoiding team interactions</t>
  </si>
  <si>
    <t>A) By engaging in team activities and fostering open communication</t>
  </si>
  <si>
    <t>How should a player position themselves when defending against a fast attacker in Dhol Khel?</t>
  </si>
  <si>
    <t>A) By staying low, keeping a balanced stance, and positioning between the attacker and the goal, B) Ignoring positioning, C) Focusing only on aggression, D) Avoiding defensive stance practice</t>
  </si>
  <si>
    <t>A) By staying low, keeping a balanced stance, and positioning between the attacker and the goal</t>
  </si>
  <si>
    <t>What is an important aspect of a successful free kick in Dhol Khel?</t>
  </si>
  <si>
    <t>A) Assessing the wall and goalkeeper’s positioning and aiming precisely, B) Ignoring free kick placement, C) Focusing solely on power, D) Delaying the kick</t>
  </si>
  <si>
    <t>A) Assessing the wall and goalkeeper’s positioning and aiming precisely</t>
  </si>
  <si>
    <t>How can a player develop better vision on the field in Dhol Khel?</t>
  </si>
  <si>
    <t>A) By practicing scanning the field regularly and improving awareness, B) Ignoring field vision, C) Focusing only on dribbling, D) Avoiding vision drills</t>
  </si>
  <si>
    <t>A) By practicing scanning the field regularly and improving awareness</t>
  </si>
  <si>
    <t>What should a player focus on when receiving a pass in Dhol Khel?</t>
  </si>
  <si>
    <t>A) Using the correct technique to cushion the ball and prepare for the next move, B) Ignoring receiving technique, C) Focusing solely on passing, D) Delaying the reception</t>
  </si>
  <si>
    <t>A) Using the correct technique to cushion the ball and prepare for the next move</t>
  </si>
  <si>
    <t>What is a key strategy for breaking down a strong defense in Dhol Khel?</t>
  </si>
  <si>
    <t>A) Using quick, precise passing and movement to create openings, B) Ignoring defensive strategies, C) Focusing solely on individual skill, D) Avoiding passing combinations</t>
  </si>
  <si>
    <t>A) Using quick, precise passing and movement to create openings</t>
  </si>
  <si>
    <t>How can a player effectively contribute to set-piece situations in Dhol Khel?</t>
  </si>
  <si>
    <t>A) By practicing accurate delivery and timing runs to meet the ball, B) Ignoring set-piece practice, C) Focusing solely on defensive positioning, D) Avoiding set-piece drills</t>
  </si>
  <si>
    <t>A) By practicing accurate delivery and timing runs to meet the ball</t>
  </si>
  <si>
    <t>What is an important consideration when executing a goal kick in Dhol Khel?</t>
  </si>
  <si>
    <t>A) Kicking the ball to a targeted area and using proper technique, B) Ignoring goal kick placement, C) Focusing solely on distance, D) Delaying the kick</t>
  </si>
  <si>
    <t>A) Kicking the ball to a targeted area and using proper technique</t>
  </si>
  <si>
    <t>How can a player improve their ability to perform under pressure in Dhol Khel?</t>
  </si>
  <si>
    <t>A) By simulating high-pressure scenarios during training and focusing on composure, B) Ignoring pressure training, C) Focusing solely on individual drills, D) Avoiding high-pressure situations</t>
  </si>
  <si>
    <t>A) By simulating high-pressure scenarios during training and focusing on composure</t>
  </si>
  <si>
    <t>What should a player prioritize when making a run into the attacking third in Dhol Khel?</t>
  </si>
  <si>
    <t>A) Timing the run to stay onside and creating space for teammates, B) Ignoring timing, C) Focusing solely on speed, D) Avoiding runs into the attacking third</t>
  </si>
  <si>
    <t>A) Timing the run to stay onside and creating space for teammates</t>
  </si>
  <si>
    <t>How can a team effectively maintain possession of the ball in Dhol Khel?</t>
  </si>
  <si>
    <t>A) By using short, controlled passes and maintaining a high level of movement, B) Ignoring possession tactics, C) Focusing solely on long passes, D) Avoiding ball control practice</t>
  </si>
  <si>
    <t>A) By using short, controlled passes and maintaining a high level of movement</t>
  </si>
  <si>
    <t>What is a crucial factor in effectively executing a long pass in Dhol Khel?</t>
  </si>
  <si>
    <t>A) Accuracy in direction and power to reach the intended target, B) Ignoring pass accuracy, C) Focusing solely on strength, D) Delaying the pass</t>
  </si>
  <si>
    <t>A) Accuracy in direction and power to reach the intended target</t>
  </si>
  <si>
    <t>How can a player improve their defensive positioning in Dhol Khel?</t>
  </si>
  <si>
    <t>A) By practicing positioning drills and understanding key defensive principles, B) Ignoring defensive drills, C) Focusing solely on attacking, D) Avoiding defensive practice</t>
  </si>
  <si>
    <t>A) By practicing positioning drills and understanding key defensive principles</t>
  </si>
  <si>
    <t>What is an effective way to support a teammate who is attacking in Dhol Khel?</t>
  </si>
  <si>
    <t>A) By making intelligent runs and providing passing options, B) Ignoring support roles, C) Focusing solely on personal play, D) Avoiding involvement in attacks</t>
  </si>
  <si>
    <t>A) By making intelligent runs and providing passing options</t>
  </si>
  <si>
    <t>How can a player effectively use their non-dominant foot in Dhol Khel?</t>
  </si>
  <si>
    <t>A) By practicing with it regularly to improve control and versatility, B) Ignoring non-dominant foot practice, C) Focusing solely on the dominant foot, D) Avoiding non-dominant foot drills</t>
  </si>
  <si>
    <t>A) By practicing with it regularly to improve control and versatility</t>
  </si>
  <si>
    <t>What is an important aspect of effective transition play in Dhol Khel?</t>
  </si>
  <si>
    <t>A) Quickly shifting from defense to attack with purpose and precision, B) Ignoring transition play, C) Focusing solely on individual performance, D) Avoiding transitional movements</t>
  </si>
  <si>
    <t>A) Quickly shifting from defense to attack with purpose and precision</t>
  </si>
  <si>
    <t>How can a player improve their accuracy when shooting in Dhol Khel?</t>
  </si>
  <si>
    <t>A) By practicing with different angles and using correct technique, B) Ignoring shooting practice, C) Focusing solely on power, D) Avoiding accuracy drills</t>
  </si>
  <si>
    <t>A) By practicing with different angles and using correct technique</t>
  </si>
  <si>
    <t>What is a key strategy for marking an opponent in Dhol Khel?</t>
  </si>
  <si>
    <t>A) Staying close, predicting their movements, and limiting their options, B) Ignoring marking strategies, C) Focusing solely on attacking, D) Avoiding defensive responsibilities</t>
  </si>
  <si>
    <t>A) Staying close, predicting their movements, and limiting their options</t>
  </si>
  <si>
    <t>What should a player do when receiving a high pass in Dhol Khel?</t>
  </si>
  <si>
    <t>A) Position their body to cushion the ball and prepare for control, B) Ignore the ball, C) Focus only on passing, D) Delay their reception</t>
  </si>
  <si>
    <t>A) Position their body to cushion the ball and prepare for control</t>
  </si>
  <si>
    <t>How can a player effectively manage fatigue during a match in Dhol Khel?</t>
  </si>
  <si>
    <t>A) By maintaining proper hydration, nutrition, and pacing their efforts, B) Ignoring fatigue management, C) Focusing solely on intensity, D) Avoiding rest breaks</t>
  </si>
  <si>
    <t>A) By maintaining proper hydration, nutrition, and pacing their efforts</t>
  </si>
  <si>
    <t>What is an important aspect of goalkeeping positioning in Dhol Khel?</t>
  </si>
  <si>
    <t>A) Positioning centrally in the goal and adjusting based on the ball’s location, B) Ignoring positioning, C) Focusing solely on saving, D) Avoiding position adjustments</t>
  </si>
  <si>
    <t>A) Positioning centrally in the goal and adjusting based on the ball’s location</t>
  </si>
  <si>
    <t>How can a team effectively counter a high-pressing opponent in Dhol Khel?</t>
  </si>
  <si>
    <t>A) By using quick, short passes and creating space to relieve pressure, B) Ignoring high press strategies, C) Focusing solely on long passes, D) Avoiding quick passing</t>
  </si>
  <si>
    <t>A) By using quick, short passes and creating space to relieve pressure</t>
  </si>
  <si>
    <t>What is a key factor in performing a successful dribble in Dhol Khel?</t>
  </si>
  <si>
    <t>A) Using controlled touches and quick changes of direction, B) Ignoring dribbling technique, C) Focusing solely on speed, D) Delaying dribbling</t>
  </si>
  <si>
    <t>A) Using controlled touches and quick changes of direction</t>
  </si>
  <si>
    <t>How can a player effectively improve their overall game strategy in Dhol Khel?</t>
  </si>
  <si>
    <t>A) By analyzing game footage, understanding different tactics, and applying learned strategies, B) Ignoring game strategy, C) Focusing solely on individual skills, D) Avoiding game analysis</t>
  </si>
  <si>
    <t>A) By analyzing game footage, understanding different tactics, and applying learned strategies</t>
  </si>
  <si>
    <t>What is a key consideration when executing a throw-in to ensure it is legal in Dhol Khel?</t>
  </si>
  <si>
    <t>A) Throwing with both hands from behind the head and keeping both feet on the ground, B) Ignoring throw-in rules, C) Focusing only on distance, D) Delaying the throw</t>
  </si>
  <si>
    <t>A) Throwing with both hands from behind the head and keeping both feet on the ground</t>
  </si>
  <si>
    <t>How can a player effectively use their body to shield the ball from an opponent in Dhol Khel?</t>
  </si>
  <si>
    <t>What is an effective method for improving passing accuracy in Dhol Khel?</t>
  </si>
  <si>
    <t>A) Practicing passes with different levels of power and precision, B) Ignoring passing practice, C) Focusing solely on dribbling, D) Avoiding accuracy drills</t>
  </si>
  <si>
    <t>A) Practicing passes with different levels of power and precision</t>
  </si>
  <si>
    <t>How should a player approach a defensive 50-50 ball situation in Dhol Khel?</t>
  </si>
  <si>
    <t>A) By timing their challenge well and being assertive to win the ball, B) Ignoring the challenge, C) Focusing solely on avoiding contact, D) Avoiding 50-50 situations</t>
  </si>
  <si>
    <t>A) By timing their challenge well and being assertive to win the ball</t>
  </si>
  <si>
    <t>What is an important aspect of playing effectively in different weather conditions in Dhol Khel?</t>
  </si>
  <si>
    <t>A) Adapting tactics and techniques to the conditions, such as adjusting passing and ball control, B) Ignoring weather conditions, C) Focusing solely on technique, D) Avoiding adaptation</t>
  </si>
  <si>
    <t>A) Adapting tactics and techniques to the conditions, such as adjusting passing and ball control</t>
  </si>
  <si>
    <t>How can a player enhance their skills in one-on-one situations in Dhol Khel?</t>
  </si>
  <si>
    <t>A) By practicing quick footwork, close control, and decision-making, B) Ignoring one-on-one drills, C) Focusing solely on passing, D) Avoiding practice</t>
  </si>
  <si>
    <t>A) By practicing quick footwork, close control, and decision-making</t>
  </si>
  <si>
    <t>What is a key consideration for effectively executing a goal kick in Dhol Khel?</t>
  </si>
  <si>
    <t>A) Kicking accurately to the desired target area while considering the positioning of teammates and opponents, B) Ignoring accuracy, C) Focusing solely on power, D) Delaying the kick</t>
  </si>
  <si>
    <t>A) Kicking accurately to the desired target area while considering the positioning of teammates and opponents</t>
  </si>
  <si>
    <t>How can a player effectively use their vision to enhance gameplay in Dhol Khel?</t>
  </si>
  <si>
    <t>A) By constantly scanning the field and making informed decisions based on available information, B) Ignoring field vision, C) Focusing solely on ball control, D) Avoiding vision practice</t>
  </si>
  <si>
    <t>A) By constantly scanning the field and making informed decisions based on available information</t>
  </si>
  <si>
    <t>What is an important aspect of positioning for a defender in Dhol Khel?</t>
  </si>
  <si>
    <t>A) Staying goal-side of the attacker and maintaining a proper distance, B) Ignoring positioning, C) Focusing solely on aggression, D) Avoiding position adjustments</t>
  </si>
  <si>
    <t>A) Staying goal-side of the attacker and maintaining a proper distance</t>
  </si>
  <si>
    <t>How should a player practice their dribbling skills in Dhol Khel?</t>
  </si>
  <si>
    <t>A) By using various drills to improve control, agility, and technique, B) Ignoring dribbling practice, C) Focusing solely on passing, D) Avoiding dribbling drills</t>
  </si>
  <si>
    <t>A) By using various drills to improve control, agility, and technique</t>
  </si>
  <si>
    <t>What is a key consideration when defending against a set piece in Dhol Khel?</t>
  </si>
  <si>
    <t>A) Organizing the defensive line and marking key players, B) Ignoring set-piece defense, C) Focusing solely on attacking, D) Avoiding defensive positioning</t>
  </si>
  <si>
    <t>A) Organizing the defensive line and marking key players</t>
  </si>
  <si>
    <t>How can a player effectively contribute to team play during a match in Dhol Khel?</t>
  </si>
  <si>
    <t>A) By making intelligent runs, communicating with teammates, and supporting both defense and attack, B) Ignoring team contributions, C) Focusing solely on individual performance, D) Avoiding teamwork</t>
  </si>
  <si>
    <t>A) By making intelligent runs, communicating with teammates, and supporting both defense and attack</t>
  </si>
  <si>
    <t>What is an effective strategy for winning aerial duels in Dhol Khel?</t>
  </si>
  <si>
    <t>A) Timing jumps well, using proper heading technique, and positioning, B) Ignoring aerial duels, C) Focusing solely on ground play, D) Avoiding heading practice</t>
  </si>
  <si>
    <t>A) Timing jumps well, using proper heading technique, and positioning</t>
  </si>
  <si>
    <t>How can a player effectively improve their shooting accuracy in Dhol Khel?</t>
  </si>
  <si>
    <t>A) By practicing with different types of shots and focusing on technique and precision, B) Ignoring shooting accuracy, C) Focusing solely on power, D) Avoiding accuracy drills</t>
  </si>
  <si>
    <t>A) By practicing with different types of shots and focusing on technique and precision</t>
  </si>
  <si>
    <t>A) Ensuring both feet are on the ground and the throw is taken from behind the head, B) Ignoring throw-in rules, C) Focusing solely on distance, D) Delaying the throw</t>
  </si>
  <si>
    <t>A) Ensuring both feet are on the ground and the throw is taken from behind the head</t>
  </si>
  <si>
    <t>A) By studying different playing styles and understanding game dynamics, B) Ignoring game reading skills, C) Focusing solely on personal skills, D) Avoiding game analysis</t>
  </si>
  <si>
    <t>A) By studying different playing styles and understanding game dynamics</t>
  </si>
  <si>
    <t>What is a crucial aspect of executing a successful pass in Dhol Khel?</t>
  </si>
  <si>
    <t>A) Using the appropriate amount of power and aiming accurately, B) Ignoring pass accuracy, C) Focusing solely on dribbling, D) Delaying the pass</t>
  </si>
  <si>
    <t>A) Using the appropriate amount of power and aiming accurately</t>
  </si>
  <si>
    <t>How can a player effectively manage game tempo in Dhol Khel?</t>
  </si>
  <si>
    <t>A) By controlling the pace through passing speed and movement, B) Ignoring game tempo, C) Focusing solely on individual play, D) Avoiding tempo management</t>
  </si>
  <si>
    <t>A) By controlling the pace through passing speed and movement</t>
  </si>
  <si>
    <t>What is an important aspect of defending against a counter-attack in Dhol Khel?</t>
  </si>
  <si>
    <t>A) Quickly reorganizing the defense and covering key areas, B) Ignoring counter-attack strategies, C) Focusing solely on attacking, D) Avoiding defensive organization</t>
  </si>
  <si>
    <t>A) Quickly reorganizing the defense and covering key areas</t>
  </si>
  <si>
    <t>How can a player effectively improve their fitness for playing Dhol Khel?</t>
  </si>
  <si>
    <t>A) By incorporating a balanced training regimen including endurance, strength, and agility exercises, B) Ignoring fitness training, C) Focusing solely on technique, D) Avoiding exercise</t>
  </si>
  <si>
    <t>A) By incorporating a balanced training regimen including endurance, strength, and agility exercises</t>
  </si>
  <si>
    <t>What is an effective method for a team to maintain defensive organization in Dhol Khel?</t>
  </si>
  <si>
    <t>A) Ensuring players maintain their positions and communicate effectively, B) Ignoring defensive organization, C) Focusing solely on attacking, D) Avoiding positional discipline</t>
  </si>
  <si>
    <t>A) Ensuring players maintain their positions and communicate effectively</t>
  </si>
  <si>
    <t>How should a player position themselves when receiving a pass in Dhol Khel?</t>
  </si>
  <si>
    <t>A) By positioning their body to receive the ball with control and prepare for the next move, B) Ignoring positioning, C) Focusing solely on passing, D) Delaying reception</t>
  </si>
  <si>
    <t>A) By positioning their body to receive the ball with control and prepare for the next move</t>
  </si>
  <si>
    <t>What is a key consideration when performing a defensive clearance in Dhol Khel?</t>
  </si>
  <si>
    <t>A) Clearing the ball to a safe area and ensuring it is out of immediate danger, B) Ignoring clearance techniques, C) Focusing solely on attacking, D) Delaying the clearance</t>
  </si>
  <si>
    <t>A) Clearing the ball to a safe area and ensuring it is out of immediate danger</t>
  </si>
  <si>
    <t>How can a player effectively contribute to a team’s attacking play in Dhol Khel?</t>
  </si>
  <si>
    <t>A) By making intelligent runs, creating space, and providing passing options, B) Ignoring attacking roles, C) Focusing solely on individual performance, D) Avoiding attacking involvement</t>
  </si>
  <si>
    <t>A) By making intelligent runs, creating space, and providing passing options</t>
  </si>
  <si>
    <t>What is a crucial aspect of effective ball control in Dhol Khel?</t>
  </si>
  <si>
    <t>A) Using the correct part of the foot or body to cushion and manage the ball, B) Ignoring ball control techniques, C) Focusing solely on speed, D) Avoiding control practice</t>
  </si>
  <si>
    <t>A) Using the correct part of the foot or body to cushion and manage the ball</t>
  </si>
  <si>
    <t>How can a player improve their ability to anticipate the opponent’s moves in Dhol Khel?</t>
  </si>
  <si>
    <t>A) By studying their tendencies, understanding game patterns, and reacting accordingly, B) Ignoring opponent analysis, C) Focusing solely on individual play, D) Avoiding anticipation practice</t>
  </si>
  <si>
    <t>A) By studying their tendencies, understanding game patterns, and reacting accordingly</t>
  </si>
  <si>
    <t>In Dhol Khel, what is the best strategy for a player to regain possession after losing the ball?</t>
  </si>
  <si>
    <t>A) Pressing immediately and applying high pressure, B) Retreating and waiting for an opportunity, C) Ignoring the loss of possession, D) Focusing solely on attacking</t>
  </si>
  <si>
    <t>A) Pressing immediately and applying high pressure</t>
  </si>
  <si>
    <t>What is the primary focus for a player when performing a corner kick in Dhol Khel?</t>
  </si>
  <si>
    <t>A) Delivering the ball accurately to the designated area in the box, B) Ignoring the positioning of teammates, C) Focusing solely on the distance of the kick, D) Delaying the kick</t>
  </si>
  <si>
    <t>A) Delivering the ball accurately to the designated area in the box</t>
  </si>
  <si>
    <t>How should a player adjust their playing style when facing a stronger opponent in Dhol Khel?</t>
  </si>
  <si>
    <t>A) By playing more defensively and using counter-attacking opportunities, B) Ignoring the strength of the opponent, C) Focusing solely on individual skill, D) Avoiding adjustments</t>
  </si>
  <si>
    <t>A) By playing more defensively and using counter-attacking opportunities</t>
  </si>
  <si>
    <t>What is an effective method for improving stamina for Dhol Khel?</t>
  </si>
  <si>
    <t>A) Incorporating interval training and endurance exercises into your routine, B) Ignoring fitness, C) Focusing solely on technique, D) Avoiding stamina training</t>
  </si>
  <si>
    <t>A) Incorporating interval training and endurance exercises into your routine</t>
  </si>
  <si>
    <t>A) By practicing quick decision-making drills and agility exercises, B) Ignoring reaction time, C) Focusing solely on strength training, D) Avoiding reaction drills</t>
  </si>
  <si>
    <t>A) By practicing quick decision-making drills and agility exercises</t>
  </si>
  <si>
    <t>What is the key to executing a successful free kick in Dhol Khel?</t>
  </si>
  <si>
    <t>A) Choosing the right technique and targeting the specific area of the goal, B) Ignoring free kick techniques, C) Focusing solely on power, D) Delaying the kick</t>
  </si>
  <si>
    <t>A) Choosing the right technique and targeting the specific area of the goal</t>
  </si>
  <si>
    <t>How should a player position themselves for an effective defensive stance in Dhol Khel?</t>
  </si>
  <si>
    <t>A) By keeping a low center of gravity and being ready to shift weight, B) Ignoring defensive positioning, C) Focusing solely on attacking, D) Avoiding positioning</t>
  </si>
  <si>
    <t>A) By keeping a low center of gravity and being ready to shift weight</t>
  </si>
  <si>
    <t>What is a key factor in successful team communication during a match in Dhol Khel?</t>
  </si>
  <si>
    <t>A) Clear and concise verbal and non-verbal signals between players, B) Ignoring communication, C) Focusing solely on individual play, D) Avoiding team communication</t>
  </si>
  <si>
    <t>A) Clear and concise verbal and non-verbal signals between players</t>
  </si>
  <si>
    <t>How can a player effectively handle a high-pressure situation in a match in Dhol Khel?</t>
  </si>
  <si>
    <t>A) By staying calm, focused, and sticking to their game plan, B) Ignoring pressure, C) Focusing solely on individual performance, D) Avoiding high-pressure situations</t>
  </si>
  <si>
    <t>A) By staying calm, focused, and sticking to their game plan</t>
  </si>
  <si>
    <t>What is an important consideration when performing a defensive slide tackle in Dhol Khel?</t>
  </si>
  <si>
    <t>A) Timing the tackle accurately to avoid fouls and effectively win the ball, B) Ignoring timing, C) Focusing solely on speed, D) Delaying the tackle</t>
  </si>
  <si>
    <t>A) Timing the tackle accurately to avoid fouls and effectively win the ball</t>
  </si>
  <si>
    <t>How can a player improve their passing range in Dhol Khel?</t>
  </si>
  <si>
    <t>A) By practicing long-distance passes and varying techniques, B) Ignoring passing range, C) Focusing solely on short passes, D) Avoiding long-pass practice</t>
  </si>
  <si>
    <t>A) By practicing long-distance passes and varying techniques</t>
  </si>
  <si>
    <t>What is a key aspect of positioning when making a run into the attacking third in Dhol Khel?</t>
  </si>
  <si>
    <t>A) Timing the run to receive the ball in a favorable position, B) Ignoring positioning, C) Focusing solely on speed, D) Avoiding timing runs</t>
  </si>
  <si>
    <t>A) Timing the run to receive the ball in a favorable position</t>
  </si>
  <si>
    <t>How should a player approach a one-on-one situation with the goalkeeper in Dhol Khel?</t>
  </si>
  <si>
    <t>A) By staying composed and choosing the right moment to shoot or dribble, B) Ignoring the goalkeeper, C) Focusing solely on shooting, D) Avoiding one-on-one situations</t>
  </si>
  <si>
    <t>A) By staying composed and choosing the right moment to shoot or dribble</t>
  </si>
  <si>
    <t>What is an effective way to train for agility in Dhol Khel?</t>
  </si>
  <si>
    <t>A) By incorporating cone drills, ladder drills, and quick footwork exercises, B) Ignoring agility training, C) Focusing solely on strength, D) Avoiding agility drills</t>
  </si>
  <si>
    <t>A) By incorporating cone drills, ladder drills, and quick footwork exercises</t>
  </si>
  <si>
    <t>How should a player manage their energy levels throughout a match in Dhol Khel?</t>
  </si>
  <si>
    <t>A) By pacing themselves, staying hydrated, and taking advantage of breaks, B) Ignoring energy management, C) Focusing solely on maximum effort, D) Avoiding breaks</t>
  </si>
  <si>
    <t>A) By pacing themselves, staying hydrated, and taking advantage of breaks</t>
  </si>
  <si>
    <t>What is a key consideration when performing a defensive mark in Dhol Khel?</t>
  </si>
  <si>
    <t>A) Staying close to the opponent and tracking their movements effectively, B) Ignoring marking techniques, C) Focusing solely on attacking, D) Avoiding marking</t>
  </si>
  <si>
    <t>A) Staying close to the opponent and tracking their movements effectively</t>
  </si>
  <si>
    <t>How can a player improve their goal-scoring opportunities in Dhol Khel?</t>
  </si>
  <si>
    <t>A) By working on positioning, timing, and finishing techniques, B) Ignoring goal-scoring opportunities, C) Focusing solely on passing, D) Avoiding finishing practice</t>
  </si>
  <si>
    <t>A) By working on positioning, timing, and finishing techniques</t>
  </si>
  <si>
    <t>What is an important aspect of maintaining possession in Dhol Khel?</t>
  </si>
  <si>
    <t>A) Using close control and quick, precise passes to retain the ball, B) Ignoring possession, C) Focusing solely on dribbling, D) Avoiding possession techniques</t>
  </si>
  <si>
    <t>A) Using close control and quick, precise passes to retain the ball</t>
  </si>
  <si>
    <t>How can a player effectively utilize space during a match in Dhol Khel?</t>
  </si>
  <si>
    <t>A) By making intelligent runs and creating space for themselves and teammates, B) Ignoring space utilization, C) Focusing solely on individual play, D) Avoiding space creation</t>
  </si>
  <si>
    <t>A) By making intelligent runs and creating space for themselves and teammates</t>
  </si>
  <si>
    <t>What is a crucial aspect of effective ball distribution in Dhol Khel?</t>
  </si>
  <si>
    <t>A) Choosing the right type of pass and targeting the intended teammate accurately, B) Ignoring distribution techniques, C) Focusing solely on individual skills, D) Delaying passes</t>
  </si>
  <si>
    <t>A) Choosing the right type of pass and targeting the intended teammate accurately</t>
  </si>
  <si>
    <t>A) By practicing high-pressure scenarios and maintaining focus, B) Ignoring pressure training, C) Focusing solely on technical skills, D) Avoiding pressure situations</t>
  </si>
  <si>
    <t>A) By practicing high-pressure scenarios and maintaining focus</t>
  </si>
  <si>
    <t>What is an effective way to improve teamwork during matches in Dhol Khel?</t>
  </si>
  <si>
    <t>A) By engaging in regular team-building activities and practicing team strategies, B) Ignoring teamwork, C) Focusing solely on individual skills, D) Avoiding team practices</t>
  </si>
  <si>
    <t>A) By engaging in regular team-building activities and practicing team strategies</t>
  </si>
  <si>
    <t>What should a player focus on when recovering from a defensive error in Dhol Khel?</t>
  </si>
  <si>
    <t>A) Quickly repositioning and making efforts to rectify the mistake, B) Ignoring the error, C) Focusing solely on attacking, D) Avoiding recovery efforts</t>
  </si>
  <si>
    <t>A) Quickly repositioning and making efforts to rectify the mistake</t>
  </si>
  <si>
    <t>A) By positioning their body between the ball and the opponent and maintaining control, B) Ignoring body positioning, C) Focusing solely on speed, D) Avoiding shielding techniques</t>
  </si>
  <si>
    <t>A) By positioning their body between the ball and the opponent and maintaining control</t>
  </si>
  <si>
    <t>What is a key factor in executing a successful header in Dhol Khel?</t>
  </si>
  <si>
    <t>A) Timing the jump and positioning the head accurately to direct the ball, B) Ignoring heading techniques, C) Focusing solely on strength, D) Delaying the header</t>
  </si>
  <si>
    <t>A) Timing the jump and positioning the head accurately to direct the ball</t>
  </si>
  <si>
    <t>How should a player approach a throw-in situation in Dhol Khel?</t>
  </si>
  <si>
    <t>A) By ensuring the throw is taken from behind the head and targeting a teammate effectively, B) Ignoring throw-in rules, C) Focusing solely on distance, D) Avoiding throw-in practice</t>
  </si>
  <si>
    <t>A) By ensuring the throw is taken from behind the head and targeting a teammate effectively</t>
  </si>
  <si>
    <t>What is an important aspect of defending against a fast break in Dhol Khel?</t>
  </si>
  <si>
    <t>A) Positioning oneself to block passing lanes and applying pressure quickly, B) Ignoring fast breaks, C) Focusing solely on attacking, D) Avoiding defensive positioning</t>
  </si>
  <si>
    <t>A) Positioning oneself to block passing lanes and applying pressure quickly</t>
  </si>
  <si>
    <t>How can a player effectively execute a cross in Dhol Khel?</t>
  </si>
  <si>
    <t>A) By delivering the ball accurately into the box with the right amount of height and pace, B) Ignoring crossing techniques, C) Focusing solely on distance, D) Delaying the cross</t>
  </si>
  <si>
    <t>A) By delivering the ball accurately into the box with the right amount of height and pace</t>
  </si>
  <si>
    <t>What is an effective method for improving precision in shooting in Dhol Khel?</t>
  </si>
  <si>
    <t>A) Practicing various shooting techniques and targeting specific areas of the goal, B) Ignoring precision, C) Focusing solely on power, D) Avoiding shooting practice</t>
  </si>
  <si>
    <t>A) Practicing various shooting techniques and targeting specific areas of the goal</t>
  </si>
  <si>
    <t>How should a player approach a one-on-one defensive situation in Dhol Khel?</t>
  </si>
  <si>
    <t>A) By staying in front of the attacker and forcing them towards less favorable angles, B) Ignoring defensive positioning, C) Focusing solely on tackling, D) Avoiding one-on-one situations</t>
  </si>
  <si>
    <t>A) By staying in front of the attacker and forcing them towards less favorable angles</t>
  </si>
  <si>
    <t>What is a key consideration for a player when making a long pass in Dhol Khel?</t>
  </si>
  <si>
    <t>A) Assessing the target area and choosing the appropriate technique to reach the target, B) Ignoring long pass techniques, C) Focusing solely on short passes, D) Delaying long passes</t>
  </si>
  <si>
    <t>A) Assessing the target area and choosing the appropriate technique to reach the target</t>
  </si>
  <si>
    <t>A) By studying opponents' tendencies and practicing positioning drills, B) Ignoring defensive drills, C) Focusing solely on attacking, D) Avoiding positioning practice</t>
  </si>
  <si>
    <t>A) By studying opponents' tendencies and practicing positioning drills</t>
  </si>
  <si>
    <t>What is an effective way to handle a high ball in Dhol Khel?</t>
  </si>
  <si>
    <t>A) By positioning the body correctly and using the chest or head to control the ball, B) Ignoring high ball techniques, C) Focusing solely on ground balls, D) Avoiding high ball practice</t>
  </si>
  <si>
    <t>A) By positioning the body correctly and using the chest or head to control the ball</t>
  </si>
  <si>
    <t>How should a player approach a game when they are physically fatigued in Dhol Khel?</t>
  </si>
  <si>
    <t>A) By managing their energy, focusing on positioning, and making smart decisions, B) Ignoring fatigue, C) Focusing solely on speed, D) Avoiding game participation</t>
  </si>
  <si>
    <t>A) By managing their energy, focusing on positioning, and making smart decisions</t>
  </si>
  <si>
    <t>What is a crucial aspect of effective communication between defenders in Dhol Khel?</t>
  </si>
  <si>
    <t>A) Using clear verbal cues and maintaining awareness of each other's positions, B) Ignoring communication, C) Focusing solely on individual defense, D) Avoiding communication</t>
  </si>
  <si>
    <t>A) Using clear verbal cues and maintaining awareness of each other's positions</t>
  </si>
  <si>
    <t>How can a player effectively utilize their speed in Dhol Khel?</t>
  </si>
  <si>
    <t>A) By making intelligent runs and positioning themselves to exploit gaps, B) Ignoring speed utilization, C) Focusing solely on strength, D) Avoiding speed training</t>
  </si>
  <si>
    <t>A) By making intelligent runs and positioning themselves to exploit gaps</t>
  </si>
  <si>
    <t>What is an effective technique for improving ball control in Dhol Khel?</t>
  </si>
  <si>
    <t>A) Practicing dribbling drills and ball control exercises regularly, B) Ignoring control techniques, C) Focusing solely on passing, D) Avoiding ball control practice</t>
  </si>
  <si>
    <t>A) Practicing dribbling drills and ball control exercises regularly</t>
  </si>
  <si>
    <t>How can a player effectively read the game in Dhol Khel?</t>
  </si>
  <si>
    <t>A) By analyzing opponents' movements and anticipating plays, B) Ignoring game analysis, C) Focusing solely on personal performance, D) Avoiding game reading practice</t>
  </si>
  <si>
    <t>A) By analyzing opponents' movements and anticipating plays</t>
  </si>
  <si>
    <t>What is a key factor in successful set pieces in Dhol Khel?</t>
  </si>
  <si>
    <t>A) Coordinating with teammates and executing the set piece strategy effectively, B) Ignoring set piece techniques, C) Focusing solely on individual skills, D) Delaying set pieces</t>
  </si>
  <si>
    <t>A) Coordinating with teammates and executing the set piece strategy effectively</t>
  </si>
  <si>
    <t>How should a player approach a defensive transition in Dhol Khel?</t>
  </si>
  <si>
    <t>A) By quickly repositioning and organizing the defense, B) Ignoring defensive transitions, C) Focusing solely on attacking, D) Avoiding transition practice</t>
  </si>
  <si>
    <t>A) By quickly repositioning and organizing the defense</t>
  </si>
  <si>
    <t>A) Ensuring the clearance is performed with accuracy and distance to remove immediate danger, B) Ignoring clearance techniques, C) Focusing solely on attacking, D) Delaying clearances</t>
  </si>
  <si>
    <t>A) Ensuring the clearance is performed with accuracy and distance to remove immediate danger</t>
  </si>
  <si>
    <t>How can a player improve their understanding of game tactics in Dhol Khel?</t>
  </si>
  <si>
    <t>A) By studying game strategies, analyzing matches, and discussing tactics with coaches, B) Ignoring tactical understanding, C) Focusing solely on physical training, D) Avoiding tactical discussions</t>
  </si>
  <si>
    <t>A) By studying game strategies, analyzing matches, and discussing tactics with coaches</t>
  </si>
  <si>
    <t>What is an effective way to practice dribbling skills in Dhol Khel?</t>
  </si>
  <si>
    <t>A) By using cone drills, practicing close control, and engaging in one-on-one drills, B) Ignoring dribbling practice, C) Focusing solely on passing, D) Avoiding dribbling exercises</t>
  </si>
  <si>
    <t>A) By using cone drills, practicing close control, and engaging in one-on-one drills</t>
  </si>
  <si>
    <t>How should a player approach a game when they are mentally exhausted in Dhol Khel?</t>
  </si>
  <si>
    <t>A) By focusing on simplifying their play, maintaining concentration, and managing stress, B) Ignoring mental exhaustion, C) Focusing solely on physical performance, D) Avoiding game participation</t>
  </si>
  <si>
    <t>A) By focusing on simplifying their play, maintaining concentration, and managing stress</t>
  </si>
  <si>
    <t>What is a key aspect of maintaining effective defensive shape in Dhol Khel?</t>
  </si>
  <si>
    <t>A) Keeping a compact formation and ensuring proper spacing between defenders, B) Ignoring defensive shape, C) Focusing solely on attacking, D) Avoiding formation practices</t>
  </si>
  <si>
    <t>A) Keeping a compact formation and ensuring proper spacing between defenders</t>
  </si>
  <si>
    <t>How can a player effectively improve their heading accuracy in Dhol Khel?</t>
  </si>
  <si>
    <t>A) By practicing heading techniques, focusing on timing, and improving positioning, B) Ignoring heading practice, C) Focusing solely on footwork, D) Avoiding heading exercises</t>
  </si>
  <si>
    <t>A) By practicing heading techniques, focusing on timing, and improving positioning</t>
  </si>
  <si>
    <t>What is an effective strategy for recovering possession in Dhol Khel?</t>
  </si>
  <si>
    <t>A) Applying pressure, intercepting passes, and anticipating the opponent’s moves, B) Ignoring possession recovery techniques, C) Focusing solely on attacking, D) Avoiding pressure applications</t>
  </si>
  <si>
    <t>A) Applying pressure, intercepting passes, and anticipating the opponent’s moves</t>
  </si>
  <si>
    <t>How should a player handle a situation where they are outnumbered defensively in Dhol Khel?</t>
  </si>
  <si>
    <t>A) By staying organized, positioning correctly, and seeking support from teammates, B) Ignoring the situation, C) Focusing solely on individual defense, D) Avoiding defensive organization</t>
  </si>
  <si>
    <t>A) By staying organized, positioning correctly, and seeking support from teammates</t>
  </si>
  <si>
    <t>What is an effective method for improving accuracy in short passing in Dhol Khel?</t>
  </si>
  <si>
    <t>A) Practicing precise passes, focusing on technique, and using target drills, B) Ignoring passing accuracy, C) Focusing solely on long passes, D) Avoiding short pass practice</t>
  </si>
  <si>
    <t>A) Practicing precise passes, focusing on technique, and using target drills</t>
  </si>
  <si>
    <t>How can a player effectively use feints and tricks in Dhol Khel?</t>
  </si>
  <si>
    <t>A) By using them to create space and deceive opponents, B) Ignoring feints and tricks, C) Focusing solely on direct play, D) Avoiding trick techniques</t>
  </si>
  <si>
    <t>A) By using them to create space and deceive opponents</t>
  </si>
  <si>
    <t>What is a key aspect of effective ball recovery in Dhol Khel?</t>
  </si>
  <si>
    <t>A) Reacting quickly, using appropriate techniques, and securing possession, B) Ignoring ball recovery, C) Focusing solely on offensive play, D) Avoiding recovery practices</t>
  </si>
  <si>
    <t>A) Reacting quickly, using appropriate techniques, and securing possession</t>
  </si>
  <si>
    <t>How should a player approach a high-pressure match situation in Dhol Khel?</t>
  </si>
  <si>
    <t>A) By remaining composed, sticking to the game plan, and focusing on key tactics, B) Ignoring pressure situations, C) Focusing solely on individual performance, D) Avoiding high-pressure scenarios</t>
  </si>
  <si>
    <t>A) By remaining composed, sticking to the game plan, and focusing on key tactics</t>
  </si>
  <si>
    <t>What is an effective way to practice quick transitions in Dhol Khel?</t>
  </si>
  <si>
    <t>A) By performing drills that simulate rapid changes between attack and defense, B) Ignoring transition practice, C) Focusing solely on individual skills, D) Avoiding transition drills</t>
  </si>
  <si>
    <t>A) By performing drills that simulate rapid changes between attack and defense</t>
  </si>
  <si>
    <t>How can a player effectively read their opponent's play in Dhol Khel?</t>
  </si>
  <si>
    <t>A) By analyzing their movements, patterns, and tendencies, B) Ignoring opponent analysis, C) Focusing solely on personal performance, D) Avoiding game analysis</t>
  </si>
  <si>
    <t>A) By analyzing their movements, patterns, and tendencies</t>
  </si>
  <si>
    <t>What is an important consideration when executing a tactical change during a match in Dhol Khel?</t>
  </si>
  <si>
    <t>A) Communicating effectively with teammates and implementing the change strategically, B) Ignoring tactical changes, C) Focusing solely on individual play, D) Delaying tactical changes</t>
  </si>
  <si>
    <t>A) Communicating effectively with teammates and implementing the change strategically</t>
  </si>
  <si>
    <t>How should a player prepare for a penalty shootout in Dhol Khel?</t>
  </si>
  <si>
    <t>A) By practicing penalty kicks under pressure and focusing on technique, B) Ignoring penalty preparation, C) Focusing solely on goalkeeping, D) Avoiding penalty practice</t>
  </si>
  <si>
    <t>A) By practicing penalty kicks under pressure and focusing on technique</t>
  </si>
  <si>
    <t>What is an effective technique for defending against a one-on-one dribble in Dhol Khel?</t>
  </si>
  <si>
    <t>A) Positioning oneself to block the attacker's path and using controlled tackles, B) Ignoring dribbling defense, C) Focusing solely on tackling, D) Avoiding one-on-one defense practice</t>
  </si>
  <si>
    <t>A) Positioning oneself to block the attacker's path and using controlled tackles</t>
  </si>
  <si>
    <t>How can a player improve their fitness level for Dhol Khel?</t>
  </si>
  <si>
    <t>A) By engaging in a well-rounded fitness regimen that includes cardiovascular, strength, and flexibility training, B) Ignoring fitness training, C) Focusing solely on skill development, D) Avoiding fitness exercises</t>
  </si>
  <si>
    <t>A) By engaging in a well-rounded fitness regimen that includes cardiovascular, strength, and flexibility training</t>
  </si>
  <si>
    <t>What is a key aspect of improving teamwork and cohesion in Dhol Khel?</t>
  </si>
  <si>
    <t>A) Engaging in team-building activities and fostering communication and trust, B) Ignoring teamwork, C) Focusing solely on individual skills, D) Avoiding team practices</t>
  </si>
  <si>
    <t>A) Engaging in team-building activities and fostering communication and trust</t>
  </si>
  <si>
    <t>How should a player handle a situation where they are assigned a new position in Dhol Khel?</t>
  </si>
  <si>
    <t>A) By learning the responsibilities of the new position and practicing accordingly, B) Ignoring the new position, C) Focusing solely on familiar positions, D) Avoiding position changes</t>
  </si>
  <si>
    <t>A) By learning the responsibilities of the new position and practicing accordingly</t>
  </si>
  <si>
    <t>What is an effective way to practice defensive positioning in Dhol Khel?</t>
  </si>
  <si>
    <t>A) By performing drills that simulate different attacking scenarios and practicing positioning accordingly, B) Ignoring defensive drills, C) Focusing solely on attacking, D) Avoiding positioning drills</t>
  </si>
  <si>
    <t>A) By performing drills that simulate different attacking scenarios and practicing positioning accordingly</t>
  </si>
  <si>
    <t>How can a player effectively recover from an injury in Dhol Khel?</t>
  </si>
  <si>
    <t>A) By following a proper rehabilitation program and gradually returning to play, B) Ignoring rehabilitation, C) Focusing solely on fitness, D) Avoiding recovery practices</t>
  </si>
  <si>
    <t>A) By following a proper rehabilitation program and gradually returning to play</t>
  </si>
  <si>
    <t>What is an important consideration when executing a tactical adjustment in Dhol Khel?</t>
  </si>
  <si>
    <t>A) Ensuring that all players understand and adapt to the new tactic effectively, B) Ignoring tactical adjustments, C) Focusing solely on individual roles, D) Delaying adjustments</t>
  </si>
  <si>
    <t>A) Ensuring that all players understand and adapt to the new tactic effectively</t>
  </si>
  <si>
    <t>How should a player approach a situation where they are leading in the final moments of a match in Dhol Khel?</t>
  </si>
  <si>
    <t>A) By managing the game, focusing on maintaining possession, and defending effectively, B) Ignoring the score, C) Focusing solely on attacking, D) Avoiding game management</t>
  </si>
  <si>
    <t>A) By managing the game, focusing on maintaining possession, and defending effectively</t>
  </si>
  <si>
    <t>What is an effective strategy for recovering from a setback in Dhol Khel?</t>
  </si>
  <si>
    <t>A) By analyzing the setback, learning from it, and adjusting strategies accordingly, B) Ignoring setbacks, C) Focusing solely on past mistakes, D) Avoiding adjustments</t>
  </si>
  <si>
    <t>A) By analyzing the setback, learning from it, and adjusting strategies accordingly</t>
  </si>
  <si>
    <t>How can a player effectively integrate new tactics into their play in Dhol Khel?</t>
  </si>
  <si>
    <t>A) By practicing the new tactics in training sessions and applying them during matches, B) Ignoring new tactics, C) Focusing solely on familiar tactics, D) Avoiding new tactics</t>
  </si>
  <si>
    <t>A) By practicing the new tactics in training sessions and applying them during matches</t>
  </si>
  <si>
    <t>What is a key factor in maintaining effective communication with teammates in Dhol Khel?</t>
  </si>
  <si>
    <t>A) Using clear and timely verbal and non-verbal cues, B) Ignoring communication, C) Focusing solely on individual performance, D) Avoiding communication</t>
  </si>
  <si>
    <t>A) Using clear and timely verbal and non-verbal cues</t>
  </si>
  <si>
    <t>How can a player effectively manage their performance during a match in Dhol Khel?</t>
  </si>
  <si>
    <t>A) By staying focused, managing energy levels, and making tactical adjustments as needed, B) Ignoring performance management, C) Focusing solely on physical exertion, D) Avoiding performance monitoring</t>
  </si>
  <si>
    <t>A) By staying focused, managing energy levels, and making tactical adjustments as needed</t>
  </si>
  <si>
    <t>What is an effective technique for improving a player's vision on the field in Dhol Khel?</t>
  </si>
  <si>
    <t>A) By practicing spatial awareness drills and enhancing peripheral vision, B) Ignoring vision improvement, C) Focusing solely on ball control, D) Avoiding vision exercises</t>
  </si>
  <si>
    <t>A) By practicing spatial awareness drills and enhancing peripheral vision</t>
  </si>
  <si>
    <t>How can a player effectively use their strengths to benefit the team in Dhol Khel?</t>
  </si>
  <si>
    <t>A) By leveraging their specific skills and attributes in their designated role, B) Ignoring strengths, C) Focusing solely on weaknesses, D) Avoiding role-specific play</t>
  </si>
  <si>
    <t>A) By leveraging their specific skills and attributes in their designated role</t>
  </si>
  <si>
    <t>What is the primary objective when setting up a defense in Dhol Khel?</t>
  </si>
  <si>
    <t>A) To block the opponent's scoring opportunities and protect the goal area, B) To focus solely on attacking, C) To avoid defensive responsibilities, D) To maintain possession of the ball</t>
  </si>
  <si>
    <t>A) To block the opponent's scoring opportunities and protect the goal area</t>
  </si>
  <si>
    <t>How can a player improve their ball handling skills in Dhol Khel?</t>
  </si>
  <si>
    <t>A) By practicing dribbling drills, working on grip, and enhancing hand-eye coordination, B) Ignoring ball handling practice, C) Focusing solely on passing, D) Avoiding ball control drills</t>
  </si>
  <si>
    <t>A) By practicing dribbling drills, working on grip, and enhancing hand-eye coordination</t>
  </si>
  <si>
    <t>What is an effective way to maintain team morale during a tough match in Dhol Khel?</t>
  </si>
  <si>
    <t>A) By encouraging teammates, providing positive reinforcement, and staying focused on the game plan, B) Ignoring team morale, C) Focusing solely on individual performance, D) Avoiding communication</t>
  </si>
  <si>
    <t>A) By encouraging teammates, providing positive reinforcement, and staying focused on the game plan</t>
  </si>
  <si>
    <t>How should a player approach the final moments of a close game in Dhol Khel?</t>
  </si>
  <si>
    <t>A) By executing the game plan, managing time effectively, and staying calm under pressure, B) Ignoring the game situation, C) Focusing solely on individual play, D) Avoiding strategic play</t>
  </si>
  <si>
    <t>A) By executing the game plan, managing time effectively, and staying calm under pressure</t>
  </si>
  <si>
    <t>What is an effective way to develop strategic play in Dhol Khel?</t>
  </si>
  <si>
    <t>A) By studying game footage, analyzing opponents, and practicing various strategies, B) Ignoring strategic development, C) Focusing solely on physical training, D) Avoiding game analysis</t>
  </si>
  <si>
    <t>A) By studying game footage, analyzing opponents, and practicing various strategies</t>
  </si>
  <si>
    <t>How can a player effectively improve their reaction time in Dhol Khel?</t>
  </si>
  <si>
    <t>A) By performing reaction drills, practicing quick decision-making, and enhancing mental alertness, B) Ignoring reaction training, C) Focusing solely on physical strength, D) Avoiding reaction exercises</t>
  </si>
  <si>
    <t>A) By performing reaction drills, practicing quick decision-making, and enhancing mental alertness</t>
  </si>
  <si>
    <t>A) Positioning correctly, reacting quickly, and making decisive saves, B) Ignoring goalkeeping practice, C) Focusing solely on attacking play, D) Avoiding goalkeeping drills</t>
  </si>
  <si>
    <t>A) Positioning correctly, reacting quickly, and making decisive saves</t>
  </si>
  <si>
    <t>How can a player enhance their teamwork skills in Dhol Khel?</t>
  </si>
  <si>
    <t>A) By participating in team-building activities, practicing communication, and supporting teammates, B) Ignoring teamwork, C) Focusing solely on individual skills, D) Avoiding team interactions</t>
  </si>
  <si>
    <t>A) By participating in team-building activities, practicing communication, and supporting teammates</t>
  </si>
  <si>
    <t>What is an effective strategy for managing fatigue during a match in Dhol Khel?</t>
  </si>
  <si>
    <t>A) By maintaining proper hydration, managing energy levels, and using effective rest periods, B) Ignoring fatigue management, C) Focusing solely on continuous play, D) Avoiding rest breaks</t>
  </si>
  <si>
    <t>A) By maintaining proper hydration, managing energy levels, and using effective rest periods</t>
  </si>
  <si>
    <t>How can a player effectively handle aggressive opponents in Dhol Khel?</t>
  </si>
  <si>
    <t>A) By staying composed, using appropriate techniques, and avoiding unnecessary confrontations, B) Ignoring aggressive behavior, C) Focusing solely on counter-attacking, D) Avoiding defensive strategies</t>
  </si>
  <si>
    <t>A) By staying composed, using appropriate techniques, and avoiding unnecessary confrontations</t>
  </si>
  <si>
    <t>What is a key element of successful passing in Dhol Khel?</t>
  </si>
  <si>
    <t>A) Accuracy, timing, and reading the receiver's movements, B) Ignoring passing fundamentals, C) Focusing solely on power, D) Avoiding precision</t>
  </si>
  <si>
    <t>A) Accuracy, timing, and reading the receiver's movements</t>
  </si>
  <si>
    <t>How should a player approach a situation where they are assigned a challenging opponent in Dhol Khel?</t>
  </si>
  <si>
    <t>A) By analyzing the opponent's strengths and weaknesses and adjusting their strategy accordingly, B) Ignoring the challenge, C) Focusing solely on personal skills, D) Avoiding strategic adjustments</t>
  </si>
  <si>
    <t>A) By analyzing the opponent's strengths and weaknesses and adjusting their strategy accordingly</t>
  </si>
  <si>
    <t>What is an effective method for improving shooting accuracy in Dhol Khel?</t>
  </si>
  <si>
    <t>A) By practicing shooting drills, focusing on technique, and using target-based exercises, B) Ignoring shooting practice, C) Focusing solely on power, D) Avoiding accuracy drills</t>
  </si>
  <si>
    <t>A) By practicing shooting drills, focusing on technique, and using target-based exercises</t>
  </si>
  <si>
    <t>How can a player effectively integrate new skills into their gameplay in Dhol Khel?</t>
  </si>
  <si>
    <t>A) By practicing the skills in training and applying them during matches, B) Ignoring skill integration, C) Focusing solely on existing skills, D) Avoiding skill practice</t>
  </si>
  <si>
    <t>A) By practicing the skills in training and applying them during matches</t>
  </si>
  <si>
    <t>What is an important consideration when setting up a formation in Dhol Khel?</t>
  </si>
  <si>
    <t>A) Ensuring the formation suits the team's strengths and counters the opponent's tactics, B) Ignoring formation setup, C) Focusing solely on individual roles, D) Avoiding tactical planning</t>
  </si>
  <si>
    <t>A) Ensuring the formation suits the team's strengths and counters the opponent's tactics</t>
  </si>
  <si>
    <t>How can a player effectively handle a high-pressure situation during a match in Dhol Khel?</t>
  </si>
  <si>
    <t>A) By staying focused, managing stress, and adhering to the game plan, B) Ignoring pressure management, C) Focusing solely on individual performance, D) Avoiding high-pressure situations</t>
  </si>
  <si>
    <t>A) By staying focused, managing stress, and adhering to the game plan</t>
  </si>
  <si>
    <t>What is a key factor in improving defensive tactics in Dhol Khel?</t>
  </si>
  <si>
    <t>A) Analyzing opponents, practicing defensive drills, and maintaining effective positioning, B) Ignoring defensive tactics, C) Focusing solely on attacking, D) Avoiding defensive practice</t>
  </si>
  <si>
    <t>A) Analyzing opponents, practicing defensive drills, and maintaining effective positioning</t>
  </si>
  <si>
    <t>How can a player effectively use their teammates’ strengths in Dhol Khel?</t>
  </si>
  <si>
    <t>A) By understanding and leveraging their teammates' skills to complement the team's overall strategy, B) Ignoring teammates' strengths, C) Focusing solely on personal strengths, D) Avoiding teamwork</t>
  </si>
  <si>
    <t>A) By understanding and leveraging their teammates' skills to complement the team's overall strategy</t>
  </si>
  <si>
    <t>What is an effective way to prepare for a new opponent in Dhol Khel?</t>
  </si>
  <si>
    <t>A) By researching their playing style, analyzing previous matches, and developing counter-strategies, B) Ignoring opponent analysis, C) Focusing solely on personal skills, D) Avoiding preparation</t>
  </si>
  <si>
    <t>A) By researching their playing style, analyzing previous matches, and developing counter-strategies</t>
  </si>
  <si>
    <t>How can a player improve their fitness for endurance in Dhol Khel?</t>
  </si>
  <si>
    <t>A) By incorporating long-distance running, interval training, and endurance drills into their regimen, B) Ignoring endurance training, C) Focusing solely on strength, D) Avoiding long-distance exercises</t>
  </si>
  <si>
    <t>A) By incorporating long-distance running, interval training, and endurance drills into their regimen</t>
  </si>
  <si>
    <t>What is an effective strategy for breaking through a strong defense in Dhol Khel?</t>
  </si>
  <si>
    <t>A) By using quick passes, creating space, and employing strategic plays, B) Ignoring defensive strategies, C) Focusing solely on individual play, D) Avoiding strategic adjustments</t>
  </si>
  <si>
    <t>A) By using quick passes, creating space, and employing strategic plays</t>
  </si>
  <si>
    <t>How should a player approach practice sessions for Dhol Khel?</t>
  </si>
  <si>
    <t>A) By setting specific goals, focusing on weak areas, and practicing consistently, B) Ignoring practice goals, C) Focusing solely on strengths, D) Avoiding consistent practice</t>
  </si>
  <si>
    <t>A) By setting specific goals, focusing on weak areas, and practicing consistently</t>
  </si>
  <si>
    <t>What is an effective technique for improving passing under pressure in Dhol Khel?</t>
  </si>
  <si>
    <t>A) By practicing quick decision-making, maintaining composure, and using accurate passes, B) Ignoring passing under pressure, C) Focusing solely on power passing, D) Avoiding pressure situations</t>
  </si>
  <si>
    <t>A) By practicing quick decision-making, maintaining composure, and using accurate passes</t>
  </si>
  <si>
    <t>How can a player effectively manage their energy levels during a match in Dhol Khel?</t>
  </si>
  <si>
    <t>A) By pacing themselves, using effective rest periods, and managing hydration, B) Ignoring energy management, C) Focusing solely on continuous play, D) Avoiding rest periods</t>
  </si>
  <si>
    <t>A) By pacing themselves, using effective rest periods, and managing hydration</t>
  </si>
  <si>
    <t>What is a key aspect of successful team communication in Dhol Khel?</t>
  </si>
  <si>
    <t>A) Clear, concise, and frequent communication during the game, B) Ignoring communication, C) Focusing solely on non-verbal cues, D) Avoiding team discussions</t>
  </si>
  <si>
    <t>A) Clear, concise, and frequent communication during the game</t>
  </si>
  <si>
    <t>How can a player effectively adapt their playstyle to different opponents in Dhol Khel?</t>
  </si>
  <si>
    <t>A) By analyzing the opponents’ strengths and weaknesses and adjusting tactics accordingly, B) Ignoring opponent adaptation, C) Focusing solely on personal playstyle, D) Avoiding tactical adjustments</t>
  </si>
  <si>
    <t>A) By analyzing the opponents’ strengths and weaknesses and adjusting tactics accordingly</t>
  </si>
  <si>
    <t>What is an important consideration for improving teamwork in Dhol Khel?</t>
  </si>
  <si>
    <t>A) Understanding and utilizing each team member's strengths, practicing cooperative drills, and fostering team cohesion, B) Ignoring teamwork practices, C) Focusing solely on individual skills, D) Avoiding team activities</t>
  </si>
  <si>
    <t>A) Understanding and utilizing each team member's strengths, practicing cooperative drills, and fostering team cohesion</t>
  </si>
  <si>
    <t>How should a player address a decline in their performance during a match in Dhol Khel?</t>
  </si>
  <si>
    <t>A) By assessing and adjusting their technique, focusing on improvement areas, and staying motivated, B) Ignoring performance issues, C) Focusing solely on others' mistakes, D) Avoiding self-assessment</t>
  </si>
  <si>
    <t>A) By assessing and adjusting their technique, focusing on improvement areas, and staying motivated</t>
  </si>
  <si>
    <t>What is an effective way to improve spatial awareness in Dhol Khel?</t>
  </si>
  <si>
    <t>A) By practicing drills that focus on positioning, spatial awareness exercises, and game simulations, B) Ignoring spatial awareness training, C) Focusing solely on physical fitness, D) Avoiding positioning drills</t>
  </si>
  <si>
    <t>A) By practicing drills that focus on positioning, spatial awareness exercises, and game simulations</t>
  </si>
  <si>
    <t>How can a player effectively contribute to team strategy in Dhol Khel?</t>
  </si>
  <si>
    <t>A) By understanding their role within the strategy, communicating effectively with teammates, and executing assigned tasks, B) Ignoring team strategy, C) Focusing solely on personal performance, D) Avoiding role responsibilities</t>
  </si>
  <si>
    <t>A) By understanding their role within the strategy, communicating effectively with teammates, and executing assigned tasks</t>
  </si>
  <si>
    <t>What is a crucial factor in enhancing tactical awareness in Dhol Khel?</t>
  </si>
  <si>
    <t>A) Studying game scenarios, analyzing tactical patterns, and practicing strategic plays, B) Ignoring tactical awareness, C) Focusing solely on physical training, D) Avoiding game analysis</t>
  </si>
  <si>
    <t>A) Studying game scenarios, analyzing tactical patterns, and practicing strategic plays</t>
  </si>
  <si>
    <t>How can a player effectively use feedback to improve their game in Dhol Khel?</t>
  </si>
  <si>
    <t>A) By listening to constructive feedback, applying suggestions in practice, and making necessary adjustments, B) Ignoring feedback, C) Focusing solely on personal opinions, D) Avoiding feedback application</t>
  </si>
  <si>
    <t>A) By listening to constructive feedback, applying suggestions in practice, and making necessary adjustments</t>
  </si>
  <si>
    <t>What is an effective way to develop a competitive edge in Dhol Khel?</t>
  </si>
  <si>
    <t>A) By enhancing skills through dedicated practice, analyzing competitors, and implementing advanced strategies, B) Ignoring skill development, C) Focusing solely on physical fitness, D) Avoiding competitive analysis</t>
  </si>
  <si>
    <t>A) By enhancing skills through dedicated practice, analyzing competitors, and implementing advanced strategies</t>
  </si>
  <si>
    <t>How can a player effectively manage their time during a match in Dhol Khel?</t>
  </si>
  <si>
    <t>A) By using timeouts strategically, managing pace, and focusing on key moments, B) Ignoring time management, C) Focusing solely on continuous play, D) Avoiding time-based strategies</t>
  </si>
  <si>
    <t>A) By using timeouts strategically, managing pace, and focusing on key moments</t>
  </si>
  <si>
    <t>What is an important aspect of practicing defensive maneuvers in Dhol Khel?</t>
  </si>
  <si>
    <t>A) Improving reaction time, maintaining proper positioning, and practicing various defensive techniques, B) Ignoring defensive drills, C) Focusing solely on offensive skills, D) Avoiding defensive practice</t>
  </si>
  <si>
    <t>A) Improving reaction time, maintaining proper positioning, and practicing various defensive techniques</t>
  </si>
  <si>
    <t>How can a player effectively develop leadership qualities in Dhol Khel?</t>
  </si>
  <si>
    <t>A) By taking initiative, communicating clearly, and motivating teammates, B) Ignoring leadership development, C) Focusing solely on personal performance, D) Avoiding leadership roles</t>
  </si>
  <si>
    <t>A) By taking initiative, communicating clearly, and motivating teammates</t>
  </si>
  <si>
    <t>What is an effective way to build endurance for long matches in Dhol Khel?</t>
  </si>
  <si>
    <t>A) By incorporating endurance training, maintaining proper nutrition, and managing rest periods, B) Ignoring endurance training, C) Focusing solely on strength, D) Avoiding endurance exercises</t>
  </si>
  <si>
    <t>A) By incorporating endurance training, maintaining proper nutrition, and managing rest periods</t>
  </si>
  <si>
    <t>How can a player enhance their ability to read the game in Dhol Khel?</t>
  </si>
  <si>
    <t>A) By observing game patterns, analyzing opponent behavior, and anticipating play developments, B) Ignoring game reading, C) Focusing solely on individual skills, D) Avoiding game analysis</t>
  </si>
  <si>
    <t>A) By observing game patterns, analyzing opponent behavior, and anticipating play developments</t>
  </si>
  <si>
    <t>What is a key aspect of effective goal setting for players in Dhol Khel?</t>
  </si>
  <si>
    <t>A) Setting specific, measurable, achievable, relevant, and time-bound goals, B) Ignoring goal setting, C) Focusing solely on general goals, D) Avoiding detailed planning</t>
  </si>
  <si>
    <t>A) Setting specific, measurable, achievable, relevant, and time-bound goals</t>
  </si>
  <si>
    <t>How can a player effectively improve their tactical decision-making in Dhol Khel?</t>
  </si>
  <si>
    <t>A) By practicing various game scenarios, analyzing decision-making processes, and learning from experience, B) Ignoring tactical practice, C) Focusing solely on physical training, D) Avoiding decision-making exercises</t>
  </si>
  <si>
    <t>A) By practicing various game scenarios, analyzing decision-making processes, and learning from experience</t>
  </si>
  <si>
    <t>What is an effective way to enhance physical agility for Dhol Khel?</t>
  </si>
  <si>
    <t>A) By incorporating agility drills, practicing quick movements, and focusing on flexibility exercises, B) Ignoring agility training, C) Focusing solely on strength, D) Avoiding agility exercises</t>
  </si>
  <si>
    <t>A) By incorporating agility drills, practicing quick movements, and focusing on flexibility exercises</t>
  </si>
  <si>
    <t>How can a player effectively improve their teamwork during matches in Dhol Khel?</t>
  </si>
  <si>
    <t>A) By practicing cooperative drills, enhancing communication, and understanding team roles, B) Ignoring teamwork practice, C) Focusing solely on individual performance, D) Avoiding team activities</t>
  </si>
  <si>
    <t>A) By practicing cooperative drills, enhancing communication, and understanding team roles</t>
  </si>
  <si>
    <t>What is a key factor in improving strategic thinking in Dhol Khel?</t>
  </si>
  <si>
    <t>A) Analyzing game scenarios, studying strategies, and practicing tactical plays, B) Ignoring strategic thinking, C) Focusing solely on physical training, D) Avoiding strategy practice</t>
  </si>
  <si>
    <t>A) Analyzing game scenarios, studying strategies, and practicing tactical plays</t>
  </si>
  <si>
    <t>How should a player approach recovery after an intense match in Dhol Khel?</t>
  </si>
  <si>
    <t>A) By focusing on rest, hydration, and nutrition to aid in recovery, B) Ignoring recovery practices, C) Focusing solely on continued play, D) Avoiding rest periods</t>
  </si>
  <si>
    <t>A) By focusing on rest, hydration, and nutrition to aid in recovery</t>
  </si>
  <si>
    <t>What is an effective way to enhance mental toughness in Dhol Khel?</t>
  </si>
  <si>
    <t>A) By practicing mindfulness, maintaining a positive mindset, and developing coping strategies for stress, B) Ignoring mental toughness, C) Focusing solely on physical training, D) Avoiding mental preparation</t>
  </si>
  <si>
    <t>A) By practicing mindfulness, maintaining a positive mindset, and developing coping strategies for stress</t>
  </si>
  <si>
    <t>How can a player effectively use video analysis for improving performance in Dhol Khel?</t>
  </si>
  <si>
    <t>A) By reviewing game footage, analyzing mistakes, and identifying areas for improvement, B) Ignoring video analysis, C) Focusing solely on live practice, D) Avoiding footage review</t>
  </si>
  <si>
    <t>A) By reviewing game footage, analyzing mistakes, and identifying areas for improvement</t>
  </si>
  <si>
    <t>What is a crucial element of effective goal setting for a team in Dhol Khel?</t>
  </si>
  <si>
    <t>A) Setting clear, achievable goals that align with the team’s overall strategy, B) Ignoring team goals, C) Focusing solely on individual targets, D) Avoiding goal alignment</t>
  </si>
  <si>
    <t>A) Setting clear, achievable goals that align with the team’s overall strategy</t>
  </si>
  <si>
    <t>How should a player approach improvement in specific skills in Dhol Khel?</t>
  </si>
  <si>
    <t>A) By identifying weaknesses, focusing on targeted practice, and seeking feedback, B) Ignoring skill improvement, C) Focusing solely on strengths, D) Avoiding targeted practice</t>
  </si>
  <si>
    <t>A) By identifying weaknesses, focusing on targeted practice, and seeking feedback</t>
  </si>
  <si>
    <t>What is an important factor in developing effective offensive strategies in Dhol Khel?</t>
  </si>
  <si>
    <t>A) Understanding the opponent’s defense, utilizing team strengths, and practicing various offensive plays, B) Ignoring offensive strategies, C) Focusing solely on individual play, D) Avoiding strategic practice</t>
  </si>
  <si>
    <t>A) Understanding the opponent’s defense, utilizing team strengths, and practicing various offensive plays</t>
  </si>
  <si>
    <t>How can a player effectively manage stress during high-pressure moments in Dhol Khel?</t>
  </si>
  <si>
    <t>A) By using stress management techniques, staying focused, and maintaining composure, B) Ignoring stress management, C) Focusing solely on performance, D) Avoiding stress coping strategies</t>
  </si>
  <si>
    <t>A) By using stress management techniques, staying focused, and maintaining composure</t>
  </si>
  <si>
    <t>What is an effective method for improving teamwork communication in Dhol Khel?</t>
  </si>
  <si>
    <t>A) By practicing clear and concise verbal communication, fostering a collaborative environment, and holding team meetings, B) Ignoring communication practices, C) Focusing solely on non-verbal cues, D) Avoiding team discussions</t>
  </si>
  <si>
    <t>A) By practicing clear and concise verbal communication, fostering a collaborative environment, and holding team meetings</t>
  </si>
  <si>
    <t>How can a player effectively utilize their physical strengths in Dhol Khel?</t>
  </si>
  <si>
    <t>A) By incorporating their strengths into strategic plays and focusing on areas where they excel, B) Ignoring personal strengths, C) Focusing solely on weaknesses, D) Avoiding strategic use of strengths</t>
  </si>
  <si>
    <t>A) By incorporating their strengths into strategic plays and focusing on areas where they excel</t>
  </si>
  <si>
    <t>What is an important aspect of developing defensive skills in Dhol Khel?</t>
  </si>
  <si>
    <t>A) Practicing positioning, improving reaction time, and understanding defensive techniques, B) Ignoring defensive skills, C) Focusing solely on offensive play, D) Avoiding defensive drills</t>
  </si>
  <si>
    <t>A) Practicing positioning, improving reaction time, and understanding defensive techniques</t>
  </si>
  <si>
    <t>How can a player effectively integrate new strategies into their gameplay in Dhol Khel?</t>
  </si>
  <si>
    <t>A) By practicing new strategies in training, discussing them with teammates, and applying them during matches, B) Ignoring strategy integration, C) Focusing solely on familiar tactics, D) Avoiding new strategies</t>
  </si>
  <si>
    <t>A) By practicing new strategies in training, discussing them with teammates, and applying them during matches</t>
  </si>
  <si>
    <t>What is a key factor in maintaining motivation during a long season in Dhol Khel?</t>
  </si>
  <si>
    <t>A) Setting personal and team goals, staying focused on improvements, and celebrating achievements, B) Ignoring motivation, C) Focusing solely on short-term goals, D) Avoiding long-term planning</t>
  </si>
  <si>
    <t>A) Setting personal and team goals, staying focused on improvements, and celebrating achievements</t>
  </si>
  <si>
    <t>How can a player effectively handle a loss in Dhol Khel?</t>
  </si>
  <si>
    <t>A) By analyzing the game, learning from mistakes, and staying positive, B) Ignoring the loss, C) Focusing solely on the negatives, D) Avoiding post-game analysis</t>
  </si>
  <si>
    <t>A) By analyzing the game, learning from mistakes, and staying positive</t>
  </si>
  <si>
    <t>What is an effective technique for enhancing concentration during a match in Dhol Khel?</t>
  </si>
  <si>
    <t>A) By practicing mindfulness, setting clear goals, and staying focused on the game plan, B) Ignoring concentration techniques, C) Focusing solely on physical skills, D) Avoiding mental preparation</t>
  </si>
  <si>
    <t>A) By practicing mindfulness, setting clear goals, and staying focused on the game plan</t>
  </si>
  <si>
    <t>How can a player effectively improve their game sense in Dhol Khel?</t>
  </si>
  <si>
    <t>A) By analyzing game scenarios, learning from experience, and improving decision-making skills, B) Ignoring game sense, C) Focusing solely on physical training, D) Avoiding game analysis</t>
  </si>
  <si>
    <t>A) By analyzing game scenarios, learning from experience, and improving decision-making skills</t>
  </si>
  <si>
    <t>What is a crucial element of effective recovery after intense training in Dhol Khel?</t>
  </si>
  <si>
    <t>A) Proper rest, hydration, and nutrition, along with active recovery techniques, B) Ignoring recovery, C) Focusing solely on continued training, D) Avoiding rest periods</t>
  </si>
  <si>
    <t>A) Proper rest, hydration, and nutrition, along with active recovery techniques</t>
  </si>
  <si>
    <t>How can a player effectively use their speed in Dhol Khel?</t>
  </si>
  <si>
    <t>A) By utilizing speed for quick breaks, improving positioning, and executing fast plays, B) Ignoring speed, C) Focusing solely on strength, D) Avoiding speed-based strategies</t>
  </si>
  <si>
    <t>A) By utilizing speed for quick breaks, improving positioning, and executing fast plays</t>
  </si>
  <si>
    <t>What is an important aspect of developing effective leadership skills in Dhol Khel?</t>
  </si>
  <si>
    <t>A) Leading by example, communicating effectively, and motivating teammates, B) Ignoring leadership development, C) Focusing solely on personal performance, D) Avoiding leadership responsibilities</t>
  </si>
  <si>
    <t>A) Leading by example, communicating effectively, and motivating teammates</t>
  </si>
  <si>
    <t>How can a player effectively address their weaknesses in Dhol Khel?</t>
  </si>
  <si>
    <t>A) By identifying specific areas for improvement, seeking feedback, and focusing on targeted practice, B) Ignoring weaknesses, C) Focusing solely on strengths, D) Avoiding improvement efforts</t>
  </si>
  <si>
    <t>A) By identifying specific areas for improvement, seeking feedback, and focusing on targeted practice</t>
  </si>
  <si>
    <t>What is an effective way to enhance tactical awareness during a match in Dhol Khel?</t>
  </si>
  <si>
    <t>A) By analyzing the flow of the game, understanding opponents' tactics, and adapting strategies, B) Ignoring tactical awareness, C) Focusing solely on individual play, D) Avoiding tactical analysis</t>
  </si>
  <si>
    <t>A) By analyzing the flow of the game, understanding opponents' tactics, and adapting strategies</t>
  </si>
  <si>
    <t>How can a player effectively maintain focus during a long game in Dhol Khel?</t>
  </si>
  <si>
    <t>A) By setting mental cues, practicing concentration techniques, and staying engaged with the game, B) Ignoring focus techniques, C) Focusing solely on physical aspects, D) Avoiding mental preparation</t>
  </si>
  <si>
    <t>A) By setting mental cues, practicing concentration techniques, and staying engaged with the game</t>
  </si>
  <si>
    <t>What is an effective method for improving teamwork coordination in Dhol Khel?</t>
  </si>
  <si>
    <t>A) By practicing coordinated drills, improving communication, and understanding each teammate's role, B) Ignoring teamwork, C) Focusing solely on individual skills, D) Avoiding coordinated practice</t>
  </si>
  <si>
    <t>A) By practicing coordinated drills, improving communication, and understanding each teammate's role</t>
  </si>
  <si>
    <t>How should a player approach developing new skills in Dhol Khel?</t>
  </si>
  <si>
    <t>A) By setting specific goals, practicing regularly, and seeking feedback for improvement, B) Ignoring skill development, C) Focusing solely on existing skills, D) Avoiding new skill practice</t>
  </si>
  <si>
    <t>A) By setting specific goals, practicing regularly, and seeking feedback for improvement</t>
  </si>
  <si>
    <t>What is an important factor in maintaining physical fitness for Dhol Khel?</t>
  </si>
  <si>
    <t>A) Consistent training, proper nutrition, and adequate rest, B) Ignoring fitness, C) Focusing solely on game practice, D) Avoiding physical conditioning</t>
  </si>
  <si>
    <t>A) Consistent training, proper nutrition, and adequate rest</t>
  </si>
  <si>
    <t>How can a player effectively enhance their strategic planning in Dhol Khel?</t>
  </si>
  <si>
    <t>A) By analyzing previous games, discussing strategies with teammates, and practicing strategic scenarios, B) Ignoring strategic planning, C) Focusing solely on individual tactics, D) Avoiding strategy discussions</t>
  </si>
  <si>
    <t>A) By analyzing previous games, discussing strategies with teammates, and practicing strategic scenarios</t>
  </si>
  <si>
    <t>What is a key aspect of effective game preparation in Dhol Khel?</t>
  </si>
  <si>
    <t>A) Developing a comprehensive game plan, practicing relevant skills, and reviewing opponent strategies, B) Ignoring preparation, C) Focusing solely on physical training, D) Avoiding game plan development</t>
  </si>
  <si>
    <t>A) Developing a comprehensive game plan, practicing relevant skills, and reviewing opponent strategies</t>
  </si>
  <si>
    <t>What is an effective way to improve your agility in Dhol Khel?</t>
  </si>
  <si>
    <t>A) Engaging in agility drills and exercises, B) Ignoring agility training, C) Focusing solely on strength training, D) Avoiding agility exercises</t>
  </si>
  <si>
    <t>A) Engaging in agility drills and exercises</t>
  </si>
  <si>
    <t>How can a player enhance their reaction time in Dhol Khel?</t>
  </si>
  <si>
    <t>A) By practicing quick reflex drills and maintaining sharp focus, B) Ignoring reaction time practice, C) Focusing solely on endurance, D) Avoiding reflex training</t>
  </si>
  <si>
    <t>A) By practicing quick reflex drills and maintaining sharp focus</t>
  </si>
  <si>
    <t>What is an important element of effective teamwork in Dhol Khel?</t>
  </si>
  <si>
    <t>A) Clear communication, mutual respect, and understanding each player’s role, B) Ignoring teamwork, C) Focusing solely on individual performance, D) Avoiding team coordination</t>
  </si>
  <si>
    <t>A) Clear communication, mutual respect, and understanding each player’s role</t>
  </si>
  <si>
    <t>How can a player effectively prepare for different playing conditions in Dhol Khel?</t>
  </si>
  <si>
    <t>A) By practicing under various conditions and adapting strategies accordingly, B) Ignoring different conditions, C) Focusing solely on ideal conditions, D) Avoiding condition-specific practice</t>
  </si>
  <si>
    <t>A) By practicing under various conditions and adapting strategies accordingly</t>
  </si>
  <si>
    <t>What is a key factor in maintaining high energy levels throughout a game in Dhol Khel?</t>
  </si>
  <si>
    <t>A) Proper nutrition, hydration, and pacing yourself, B) Ignoring energy management, C) Focusing solely on physical training, D) Avoiding energy-boosting strategies</t>
  </si>
  <si>
    <t>A) Proper nutrition, hydration, and pacing yourself</t>
  </si>
  <si>
    <t>How can a player effectively use their strengths to impact the game in Dhol Khel?</t>
  </si>
  <si>
    <t>A) By leveraging their strengths in strategic plays and positioning, B) Ignoring strengths, C) Focusing solely on weaknesses, D) Avoiding strength utilization</t>
  </si>
  <si>
    <t>A) By leveraging their strengths in strategic plays and positioning</t>
  </si>
  <si>
    <t>What is an effective strategy for improving endurance in Dhol Khel?</t>
  </si>
  <si>
    <t>A) Incorporating long-duration workouts and interval training into your routine, B) Ignoring endurance training, C) Focusing solely on strength, D) Avoiding long-duration exercise</t>
  </si>
  <si>
    <t>A) Incorporating long-duration workouts and interval training into your routine</t>
  </si>
  <si>
    <t>How can a player effectively build mental resilience in Dhol Khel?</t>
  </si>
  <si>
    <t>A) By practicing mental toughness exercises, setting goals, and staying positive, B) Ignoring mental resilience, C) Focusing solely on physical skills, D) Avoiding mental preparation</t>
  </si>
  <si>
    <t>A) By practicing mental toughness exercises, setting goals, and staying positive</t>
  </si>
  <si>
    <t>What is a crucial aspect of effective decision-making during a match in Dhol Khel?</t>
  </si>
  <si>
    <t>A) Quick thinking, understanding game dynamics, and assessing options, B) Ignoring decision-making, C) Focusing solely on physical aspects, D) Avoiding tactical thinking</t>
  </si>
  <si>
    <t>A) Quick thinking, understanding game dynamics, and assessing options</t>
  </si>
  <si>
    <t>A) By practicing positioning drills, studying opponents, and improving spatial awareness, B) Ignoring positioning, C) Focusing solely on offensive skills, D) Avoiding positioning practice</t>
  </si>
  <si>
    <t>A) By practicing positioning drills, studying opponents, and improving spatial awareness</t>
  </si>
  <si>
    <t>What is an effective way to enhance a team’s coordination in Dhol Khel?</t>
  </si>
  <si>
    <t>A) By engaging in team drills, improving communication, and practicing synchronized movements, B) Ignoring team coordination, C) Focusing solely on individual skills, D) Avoiding team practice</t>
  </si>
  <si>
    <t>A) By engaging in team drills, improving communication, and practicing synchronized movements</t>
  </si>
  <si>
    <t>How can a player effectively balance offensive and defensive responsibilities in Dhol Khel?</t>
  </si>
  <si>
    <t>A) By understanding team strategies, managing energy, and adapting roles as needed, B) Ignoring role balance, C) Focusing solely on one aspect, D) Avoiding role adaptability</t>
  </si>
  <si>
    <t>A) By understanding team strategies, managing energy, and adapting roles as needed</t>
  </si>
  <si>
    <t>What is an important factor in developing a winning strategy in Dhol Khel?</t>
  </si>
  <si>
    <t>A) Analyzing opponents, leveraging team strengths, and adapting tactics, B) Ignoring strategy development, C) Focusing solely on individual performance, D) Avoiding strategic planning</t>
  </si>
  <si>
    <t>A) Analyzing opponents, leveraging team strengths, and adapting tactics</t>
  </si>
  <si>
    <t>How can a player improve their ball-handling skills in Dhol Khel?</t>
  </si>
  <si>
    <t>A) By practicing with different techniques, focusing on precision, and seeking feedback, B) Ignoring ball-handling practice, C) Focusing solely on other skills, D) Avoiding ball-handling drills</t>
  </si>
  <si>
    <t>A) By practicing with different techniques, focusing on precision, and seeking feedback</t>
  </si>
  <si>
    <t>What is an effective method for enhancing communication during a game in Dhol Khel?</t>
  </si>
  <si>
    <t>A) By using clear signals, maintaining eye contact, and talking frequently, B) Ignoring communication, C) Focusing solely on non-verbal cues, D) Avoiding communication</t>
  </si>
  <si>
    <t>A) By using clear signals, maintaining eye contact, and talking frequently</t>
  </si>
  <si>
    <t>How can a player effectively manage their time during a game in Dhol Khel?</t>
  </si>
  <si>
    <t>A) By prioritizing key actions, managing pace, and making strategic decisions, B) Ignoring time management, C) Focusing solely on immediate actions, D) Avoiding time management strategies</t>
  </si>
  <si>
    <t>A) By prioritizing key actions, managing pace, and making strategic decisions</t>
  </si>
  <si>
    <t>What is a crucial element of effective physical conditioning in Dhol Khel?</t>
  </si>
  <si>
    <t>A) Incorporating strength, agility, and endurance training into your routine, B) Ignoring physical conditioning, C) Focusing solely on skill practice, D) Avoiding conditioning exercises</t>
  </si>
  <si>
    <t>A) Incorporating strength, agility, and endurance training into your routine</t>
  </si>
  <si>
    <t>How can a player effectively use feedback from coaches to improve in Dhol Khel?</t>
  </si>
  <si>
    <t>A) By actively listening, implementing suggestions, and seeking additional guidance, B) Ignoring feedback, C) Focusing solely on self-assessment, D) Avoiding coach input</t>
  </si>
  <si>
    <t>A) By actively listening, implementing suggestions, and seeking additional guidance</t>
  </si>
  <si>
    <t>What is an effective way to enhance teamwork during practice sessions in Dhol Khel?</t>
  </si>
  <si>
    <t>A) By engaging in team-building exercises, practicing collaborative drills, and fostering mutual support, B) Ignoring teamwork, C) Focusing solely on individual skills, D) Avoiding team practice</t>
  </si>
  <si>
    <t>A) By engaging in team-building exercises, practicing collaborative drills, and fostering mutual support</t>
  </si>
  <si>
    <t>How can a player improve their decision-making under pressure in Dhol Khel?</t>
  </si>
  <si>
    <t>A) By practicing high-pressure scenarios, staying calm, and analyzing options quickly, B) Ignoring pressure situations, C) Focusing solely on relaxed conditions, D) Avoiding pressure practice</t>
  </si>
  <si>
    <t>A) By practicing high-pressure scenarios, staying calm, and analyzing options quickly</t>
  </si>
  <si>
    <t>What is a key strategy for improving endurance in Dhol Khel?</t>
  </si>
  <si>
    <t>A) Implementing interval training, focusing on aerobic exercises, and gradually increasing intensity, B) Ignoring endurance training, C) Focusing solely on strength, D) Avoiding aerobic exercises</t>
  </si>
  <si>
    <t>A) Implementing interval training, focusing on aerobic exercises, and gradually increasing intensity</t>
  </si>
  <si>
    <t>How can a player effectively develop their offensive strategies in Dhol Khel?</t>
  </si>
  <si>
    <t>A) By studying successful tactics, practicing different plays, and understanding opponents' weaknesses, B) Ignoring offensive strategies, C) Focusing solely on defensive skills, D) Avoiding strategic practice</t>
  </si>
  <si>
    <t>A) By studying successful tactics, practicing different plays, and understanding opponents' weaknesses</t>
  </si>
  <si>
    <t>What is an effective way to improve your physical agility in Dhol Khel?</t>
  </si>
  <si>
    <t>A) By performing agility drills, engaging in quick footwork exercises, and practicing dynamic movements, B) Ignoring agility training, C) Focusing solely on strength, D) Avoiding agility exercises</t>
  </si>
  <si>
    <t>A) By performing agility drills, engaging in quick footwork exercises, and practicing dynamic movements</t>
  </si>
  <si>
    <t>How can a player effectively manage their performance during a tournament in Dhol Khel?</t>
  </si>
  <si>
    <t>A) By maintaining a balanced approach to training, rest, and nutrition, B) Ignoring performance management, C) Focusing solely on individual events, D) Avoiding a balanced approach</t>
  </si>
  <si>
    <t>A) By maintaining a balanced approach to training, rest, and nutrition</t>
  </si>
  <si>
    <t>What is a crucial aspect of preparing for a high-stakes match in Dhol Khel?</t>
  </si>
  <si>
    <t>A) Analyzing opponents, refining strategies, and ensuring mental readiness, B) Ignoring preparation, C) Focusing solely on physical practice, D) Avoiding pre-match preparation</t>
  </si>
  <si>
    <t>A) Analyzing opponents, refining strategies, and ensuring mental readiness</t>
  </si>
  <si>
    <t>How can a player effectively balance rest and training in Dhol Khel?</t>
  </si>
  <si>
    <t>A) By scheduling rest days, monitoring workload, and adjusting training intensity, B) Ignoring rest, C) Focusing solely on training, D) Avoiding rest days</t>
  </si>
  <si>
    <t>A) By scheduling rest days, monitoring workload, and adjusting training intensity</t>
  </si>
  <si>
    <t>What is an important factor in maintaining focus during a game in Dhol Khel?</t>
  </si>
  <si>
    <t>A) Setting clear goals, staying mentally engaged, and avoiding distractions, B) Ignoring focus, C) Focusing solely on physical aspects, D) Avoiding goal setting</t>
  </si>
  <si>
    <t>A) Setting clear goals, staying mentally engaged, and avoiding distractions</t>
  </si>
  <si>
    <t>How can a player effectively analyze their performance after a match in Dhol Khel?</t>
  </si>
  <si>
    <t>A) By reviewing game footage, assessing strengths and weaknesses, and discussing with coaches, B) Ignoring performance analysis, C) Focusing solely on winning, D) Avoiding post-match review</t>
  </si>
  <si>
    <t>A) By reviewing game footage, assessing strengths and weaknesses, and discussing with coaches</t>
  </si>
  <si>
    <t>What is a key factor in building effective team chemistry in Dhol Khel?</t>
  </si>
  <si>
    <t>A) Encouraging open communication, building trust, and engaging in team activities, B) Ignoring team dynamics, C) Focusing solely on individual performance, D) Avoiding team bonding activities</t>
  </si>
  <si>
    <t>A) Encouraging open communication, building trust, and engaging in team activities</t>
  </si>
  <si>
    <t>How can a player effectively handle pressure situations in Dhol Khel?</t>
  </si>
  <si>
    <t>A) By practicing under pressure, maintaining composure, and focusing on execution, B) Ignoring pressure situations, C) Focusing solely on relaxed conditions, D) Avoiding pressure practice</t>
  </si>
  <si>
    <t>A) By practicing under pressure, maintaining composure, and focusing on execution</t>
  </si>
  <si>
    <t>What is an effective approach to improving strategic thinking in Dhol Khel?</t>
  </si>
  <si>
    <t>A) Analyzing previous games, studying tactics, and discussing strategies with teammates, B) Ignoring strategic thinking, C) Focusing solely on physical skills, D) Avoiding strategic analysis</t>
  </si>
  <si>
    <t>A) Analyzing previous games, studying tactics, and discussing strategies with teammates</t>
  </si>
  <si>
    <t>How can a player effectively develop their leadership skills in Dhol Khel?</t>
  </si>
  <si>
    <t>A) By taking initiative, motivating teammates, and leading by example, B) Ignoring leadership development, C) Focusing solely on individual performance, D) Avoiding leadership opportunities</t>
  </si>
  <si>
    <t>A) By taking initiative, motivating teammates, and leading by example</t>
  </si>
  <si>
    <t>What is a key strategy for improving coordination between players in Dhol Khel?</t>
  </si>
  <si>
    <t>A) Practicing synchronized drills, communicating effectively, and developing team strategies, B) Ignoring coordination, C) Focusing solely on individual skills, D) Avoiding team practice</t>
  </si>
  <si>
    <t>A) Practicing synchronized drills, communicating effectively, and developing team strategies</t>
  </si>
  <si>
    <t>How can a player effectively maintain peak physical condition in Dhol Khel?</t>
  </si>
  <si>
    <t>A) By following a balanced training program, adhering to proper nutrition, and ensuring adequate rest, B) Ignoring physical conditioning, C) Focusing solely on skill development, D) Avoiding conditioning exercises</t>
  </si>
  <si>
    <t>A) By following a balanced training program, adhering to proper nutrition, and ensuring adequate rest</t>
  </si>
  <si>
    <t>What is an important aspect of effective game strategy in Dhol Khel?</t>
  </si>
  <si>
    <t>A) Adapting tactics based on opponents' strengths and weaknesses, B) Ignoring strategy, C) Focusing solely on individual performance, D) Avoiding tactical planning</t>
  </si>
  <si>
    <t>A) Adapting tactics based on opponents' strengths and weaknesses</t>
  </si>
  <si>
    <t>How can a player effectively develop their tactical awareness in Dhol Khel?</t>
  </si>
  <si>
    <t>A) By studying game scenarios, analyzing opponents' tactics, and practicing situational drills, B) Ignoring tactical awareness, C) Focusing solely on physical skills, D) Avoiding tactical practice</t>
  </si>
  <si>
    <t>A) By studying game scenarios, analyzing opponents' tactics, and practicing situational drills</t>
  </si>
  <si>
    <t>What is a crucial factor in achieving peak performance during a match in Dhol Khel?</t>
  </si>
  <si>
    <t>A) Proper preparation, mental readiness, and effective execution of skills, B) Ignoring preparation, C) Focusing solely on physical training, D) Avoiding mental readiness</t>
  </si>
  <si>
    <t>A) Proper preparation, mental readiness, and effective execution of skills</t>
  </si>
  <si>
    <t>How can a player effectively utilize feedback from teammates in Dhol Khel?</t>
  </si>
  <si>
    <t>A) By actively listening, making necessary adjustments, and incorporating suggestions into practice, B) Ignoring feedback, C) Focusing solely on personal opinions, D) Avoiding team input</t>
  </si>
  <si>
    <t>A) By actively listening, making necessary adjustments, and incorporating suggestions into practice</t>
  </si>
  <si>
    <t>What is an effective way to improve your strategic approach in Dhol Khel?</t>
  </si>
  <si>
    <t>A) By studying successful strategies, analyzing opponents, and adapting tactics accordingly, B) Ignoring strategy development, C) Focusing solely on physical skills, D) Avoiding strategic planning</t>
  </si>
  <si>
    <t>A) By studying successful strategies, analyzing opponents, and adapting tactics accordingly</t>
  </si>
  <si>
    <t>How can a player effectively balance their offensive and defensive roles in Dhol Khel?</t>
  </si>
  <si>
    <t>A) By understanding team roles, managing energy efficiently, and adapting to game situations, B) Ignoring role balance, C) Focusing solely on one aspect, D) Avoiding role adaptation</t>
  </si>
  <si>
    <t>A) By understanding team roles, managing energy efficiently, and adapting to game situations</t>
  </si>
  <si>
    <t>What is a key element of effective practice in Dhol Khel?</t>
  </si>
  <si>
    <t>A) Setting specific goals, focusing on skill development, and evaluating progress, B) Ignoring practice goals, C) Focusing solely on drills, D) Avoiding evaluation</t>
  </si>
  <si>
    <t>A) Setting specific goals, focusing on skill development, and evaluating progress</t>
  </si>
  <si>
    <t>How can a player effectively improve their overall game performance in Dhol Khel?</t>
  </si>
  <si>
    <t>A) By incorporating a variety of training methods, staying motivated, and seeking continuous improvement, B) Ignoring performance improvement, C) Focusing solely on one aspect, D) Avoiding diverse training methods</t>
  </si>
  <si>
    <t>A) By incorporating a variety of training methods, staying motivated, and seeking continuous improvement</t>
  </si>
  <si>
    <t>What is a crucial aspect of developing a strong team bond in Dhol Khel?</t>
  </si>
  <si>
    <t>A) Engaging in team-building activities, fostering mutual respect, and encouraging open communication, B) Ignoring team bonding, C) Focusing solely on individual performance, D) Avoiding team interactions</t>
  </si>
  <si>
    <t>A) Engaging in team-building activities, fostering mutual respect, and encouraging open communication</t>
  </si>
  <si>
    <t>How can a player effectively manage their physical and mental fatigue during a game in Dhol Khel?</t>
  </si>
  <si>
    <t>A) By maintaining proper hydration, pacing themselves, and utilizing mental relaxation techniques, B) Ignoring fatigue management, C) Focusing solely on physical conditioning, D) Avoiding rest and relaxation techniques</t>
  </si>
  <si>
    <t>A) By maintaining proper hydration, pacing themselves, and utilizing mental relaxation techniques</t>
  </si>
  <si>
    <t>What is an effective approach to enhancing teamwork during matches in Dhol Khel?</t>
  </si>
  <si>
    <t>A) By practicing team coordination, developing mutual understanding, and communicating effectively, B) Ignoring teamwork, C) Focusing solely on individual skills, D) Avoiding team coordination</t>
  </si>
  <si>
    <t>A) By practicing team coordination, developing mutual understanding, and communicating effectively</t>
  </si>
  <si>
    <t>How can a player effectively handle unexpected situations during a game in Dhol Khel?</t>
  </si>
  <si>
    <t>A) By staying adaptable, maintaining composure, and making quick decisions, B) Ignoring unexpected situations, C) Focusing solely on planned strategies, D) Avoiding adaptability</t>
  </si>
  <si>
    <t>A) By staying adaptable, maintaining composure, and making quick decisions</t>
  </si>
  <si>
    <t>What is an effective strategy for improving individual skills in Dhol Khel?</t>
  </si>
  <si>
    <t>A) By identifying areas for improvement, practicing regularly, and seeking feedback, B) Ignoring skill development, C) Focusing solely on team skills, D) Avoiding practice</t>
  </si>
  <si>
    <t>A) By identifying areas for improvement, practicing regularly, and seeking feedback</t>
  </si>
  <si>
    <t>How can a player effectively develop their game strategy in Dhol Khel?</t>
  </si>
  <si>
    <t>A) By analyzing previous matches, studying successful strategies, and adjusting tactics as needed, B) Ignoring strategy development, C) Focusing solely on individual performance, D) Avoiding game analysis</t>
  </si>
  <si>
    <t>A) By analyzing previous matches, studying successful strategies, and adjusting tactics as needed</t>
  </si>
  <si>
    <t>What is a crucial factor in improving game performance in Dhol Khel?</t>
  </si>
  <si>
    <t>A) Consistent practice, mental preparation, and effective execution of techniques, B) Ignoring performance improvement, C) Focusing solely on physical skills, D) Avoiding practice consistency</t>
  </si>
  <si>
    <t>A) Consistent practice, mental preparation, and effective execution of techniques</t>
  </si>
  <si>
    <t>How can a player effectively enhance their technical skills in Dhol Khel?</t>
  </si>
  <si>
    <t>A) By focusing on technique refinement, practicing specific drills, and seeking expert guidance, B) Ignoring technical skill development, C) Focusing solely on general practice, D) Avoiding technique improvement</t>
  </si>
  <si>
    <t>A) By focusing on technique refinement, practicing specific drills, and seeking expert guidance</t>
  </si>
  <si>
    <t>What is an effective way to improve a player’s overall game understanding in Dhol Khel?</t>
  </si>
  <si>
    <t>A) By studying game rules, analyzing strategies, and observing experienced players, B) Ignoring game understanding, C) Focusing solely on practice, D) Avoiding game analysis</t>
  </si>
  <si>
    <t>A) By studying game rules, analyzing strategies, and observing experienced players</t>
  </si>
  <si>
    <t>How can a player effectively use their strengths to contribute to the team in Dhol Khel?</t>
  </si>
  <si>
    <t>A) By understanding their role, utilizing strengths strategically, and supporting teammates, B) Ignoring strengths, C) Focusing solely on weaknesses, D) Avoiding strength utilization</t>
  </si>
  <si>
    <t>A) By understanding their role, utilizing strengths strategically, and supporting teammates</t>
  </si>
  <si>
    <t>What is a key strategy for effective game management in Dhol Khel?</t>
  </si>
  <si>
    <t>A) By controlling the pace of the game, making strategic decisions, and adapting to the flow of play, B) Ignoring game management, C) Focusing solely on reactive play, D) Avoiding strategic control</t>
  </si>
  <si>
    <t>A) By controlling the pace of the game, making strategic decisions, and adapting to the flow of play</t>
  </si>
  <si>
    <t>A) By observing opponents' patterns, analyzing game flow, and anticipating plays, B) Ignoring game reading, C) Focusing solely on individual skills, D) Avoiding game analysis</t>
  </si>
  <si>
    <t>A) By observing opponents' patterns, analyzing game flow, and anticipating plays</t>
  </si>
  <si>
    <t>What is an important aspect of maintaining team morale in Dhol Khel?</t>
  </si>
  <si>
    <t>A) Encouraging and supporting each other, celebrating successes, and addressing challenges positively, B) Ignoring team morale, C) Focusing solely on individual achievements, D) Avoiding team support</t>
  </si>
  <si>
    <t>A) Encouraging and supporting each other, celebrating successes, and addressing challenges positively</t>
  </si>
  <si>
    <t>How can a player effectively improve their game strategy through analysis in Dhol Khel?</t>
  </si>
  <si>
    <t>A) By reviewing game footage, assessing previous performances, and adapting strategies based on insights, B) Ignoring game analysis, C) Focusing solely on physical training, D) Avoiding strategic review</t>
  </si>
  <si>
    <t>A) By reviewing game footage, assessing previous performances, and adapting strategies based on insights</t>
  </si>
  <si>
    <t>What is an effective approach to enhancing a player’s strategic mindset in Dhol Khel?</t>
  </si>
  <si>
    <t>A) By studying successful tactics, engaging in strategic discussions, and practicing decision-making, B) Ignoring strategic mindset, C) Focusing solely on technical skills, D) Avoiding strategic training</t>
  </si>
  <si>
    <t>A) By studying successful tactics, engaging in strategic discussions, and practicing decision-making</t>
  </si>
  <si>
    <t>How can a player effectively manage their mental game during high-pressure situations in Dhol Khel?</t>
  </si>
  <si>
    <t>A) By employing relaxation techniques, maintaining focus, and staying composed, B) Ignoring mental management, C) Focusing solely on physical readiness, D) Avoiding mental preparation</t>
  </si>
  <si>
    <t>A) By employing relaxation techniques, maintaining focus, and staying composed</t>
  </si>
  <si>
    <t>What is a crucial aspect of building effective communication in Dhol Khel?</t>
  </si>
  <si>
    <t>A) Using clear signals, maintaining regular dialogue, and ensuring mutual understanding, B) Ignoring communication, C) Focusing solely on non-verbal cues, D) Avoiding communication practice</t>
  </si>
  <si>
    <t>A) Using clear signals, maintaining regular dialogue, and ensuring mutual understanding</t>
  </si>
  <si>
    <t>How can a player effectively balance individual and team goals in Dhol Khel?</t>
  </si>
  <si>
    <t>A) By aligning personal objectives with team objectives, communicating goals, and working collaboratively, B) Ignoring goal balance, C) Focusing solely on individual goals, D) Avoiding team coordination</t>
  </si>
  <si>
    <t>A) By aligning personal objectives with team objectives, communicating goals, and working collaboratively</t>
  </si>
  <si>
    <t>What is an effective way to enhance a player’s game strategy in Dhol Khel?</t>
  </si>
  <si>
    <t>A) By analyzing previous games, learning from experienced players, and adapting strategies, B) Ignoring strategy enhancement, C) Focusing solely on physical practice, D) Avoiding strategy review</t>
  </si>
  <si>
    <t>A) By analyzing previous games, learning from experienced players, and adapting strategies</t>
  </si>
  <si>
    <t>How can a player effectively improve their reaction time during a game in Dhol Khel?</t>
  </si>
  <si>
    <t>A) By practicing reaction drills, improving focus, and training under simulated conditions, B) Ignoring reaction time practice, C) Focusing solely on strength training, D) Avoiding reaction drills</t>
  </si>
  <si>
    <t>A) By practicing reaction drills, improving focus, and training under simulated conditions</t>
  </si>
  <si>
    <t>What is an important aspect of developing effective teamwork strategies in Dhol Khel?</t>
  </si>
  <si>
    <t>A) Coordinating roles, practicing together, and ensuring clear communication, B) Ignoring teamwork strategies, C) Focusing solely on individual tactics, D) Avoiding team practice</t>
  </si>
  <si>
    <t>A) Coordinating roles, practicing together, and ensuring clear communication</t>
  </si>
  <si>
    <t>A) By leveraging strengths in key situations, understanding their role, and supporting teammates, B) Ignoring strengths, C) Focusing solely on weaknesses, D) Avoiding strength utilization</t>
  </si>
  <si>
    <t>A) By leveraging strengths in key situations, understanding their role, and supporting teammates</t>
  </si>
  <si>
    <t>What is a key strategy for improving overall game performance in Dhol Khel?</t>
  </si>
  <si>
    <t>A) Consistent practice, mental preparation, and effective strategy implementation, B) Ignoring performance improvement, C) Focusing solely on physical training, D) Avoiding practice consistency</t>
  </si>
  <si>
    <t>A) Consistent practice, mental preparation, and effective strategy implementation</t>
  </si>
  <si>
    <t>How can a player effectively enhance their tactical knowledge in Dhol Khel?</t>
  </si>
  <si>
    <t>A) By studying game scenarios, learning from experts, and practicing tactical drills, B) Ignoring tactical knowledge, C) Focusing solely on technical skills, D) Avoiding tactical practice</t>
  </si>
  <si>
    <t>A) By studying game scenarios, learning from experts, and practicing tactical drills</t>
  </si>
  <si>
    <t>What is an effective method for improving a player’s decision-making skills in Dhol Khel?</t>
  </si>
  <si>
    <t>A) By practicing decision-making scenarios, analyzing past decisions, and seeking feedback, B) Ignoring decision-making practice, C) Focusing solely on physical skills, D) Avoiding decision analysis</t>
  </si>
  <si>
    <t>A) By practicing decision-making scenarios, analyzing past decisions, and seeking feedback</t>
  </si>
  <si>
    <t>How can a player effectively manage their performance during intense matches in Dhol Khel?</t>
  </si>
  <si>
    <t>A) By maintaining focus, pacing themselves, and utilizing mental strategies, B) Ignoring performance management, C) Focusing solely on physical exertion, D) Avoiding mental preparation</t>
  </si>
  <si>
    <t>A) By maintaining focus, pacing themselves, and utilizing mental strategies</t>
  </si>
  <si>
    <t>What is a key factor in achieving success in Dhol Khel?</t>
  </si>
  <si>
    <t>A) Combining skill development, strategic planning, and effective teamwork, B) Ignoring success factors, C) Focusing solely on individual skills, D) Avoiding teamwork</t>
  </si>
  <si>
    <t>A) Combining skill development, strategic planning, and effective teamwork</t>
  </si>
  <si>
    <t>During a critical match in Dhol Khel, a player notices that the opposing team is consistently targeting one specific player. What should be the best strategy for the targeted player?</t>
  </si>
  <si>
    <t>A) Work on defensive techniques and communicate with teammates for support, B) Ignore the targeting, C) Focus solely on attacking, D) Change the position without informing the team</t>
  </si>
  <si>
    <t>A) Work on defensive techniques and communicate with teammates for support</t>
  </si>
  <si>
    <t>In a close Dhol Khel match, the opposing team has gained a significant lead. What should the trailing team focus on to turn the game around?</t>
  </si>
  <si>
    <t>A) Reassess and adjust tactics, increase pressure, and stay mentally focused, B) Continue with the same strategy, C) Avoid changing tactics, D) Focus solely on individual performance</t>
  </si>
  <si>
    <t>A) Reassess and adjust tactics, increase pressure, and stay mentally focused</t>
  </si>
  <si>
    <t>What is a key aspect of preparing for a Dhol Khel match against a team known for its fast-paced play?</t>
  </si>
  <si>
    <t>A) Focus on speed drills and quick decision-making, B) Ignore the opponent's style, C) Practice only traditional techniques, D) Focus solely on strength training</t>
  </si>
  <si>
    <t>A) Focus on speed drills and quick decision-making</t>
  </si>
  <si>
    <t>If a player in Dhol Khel is struggling with accuracy in their throws, what should be their primary focus during practice?</t>
  </si>
  <si>
    <t>A) Improve precision through targeted drills and seek feedback, B) Focus on power instead, C) Ignore the issue, D) Practice only defensive skills</t>
  </si>
  <si>
    <t>A) Improve precision through targeted drills and seek feedback</t>
  </si>
  <si>
    <t>In a Dhol Khel tournament, a player has to adjust to different field sizes. What is the most effective approach for this adjustment?</t>
  </si>
  <si>
    <t>A) Practice on varied field sizes and adapt strategies accordingly, B) Stick to one field size, C) Ignore field size changes, D) Focus only on individual skills</t>
  </si>
  <si>
    <t>A) Practice on varied field sizes and adapt strategies accordingly</t>
  </si>
  <si>
    <t>During a game of Dhol Khel, how should a team approach a situation where one player is significantly outperformed by the opposition?</t>
  </si>
  <si>
    <t>A) Support and rotate the player to different roles while focusing on team strategies, B) Ignore the situation, C) Replace the player immediately, D) Focus only on that player’s improvement</t>
  </si>
  <si>
    <t>A) Support and rotate the player to different roles while focusing on team strategies</t>
  </si>
  <si>
    <t>What is a fundamental strategy for a team to regain momentum in a Dhol Khel match where they are losing?</t>
  </si>
  <si>
    <t>A) Execute well-planned plays and reinforce team morale, B) Focus solely on individual performance, C) Avoid changing tactics, D) Ignore the current game dynamics</t>
  </si>
  <si>
    <t>A) Execute well-planned plays and reinforce team morale</t>
  </si>
  <si>
    <t>How can players in Dhol Khel best prepare for a match against a team with a strong defensive strategy?</t>
  </si>
  <si>
    <t>A) Develop creative offensive plays and practice breaking defensive setups, B) Focus only on defense, C) Ignore the opponent’s defense, D) Stick to conventional plays</t>
  </si>
  <si>
    <t>A) Develop creative offensive plays and practice breaking defensive setups</t>
  </si>
  <si>
    <t>In a situation where a Dhol Khel team is consistently making errors, what should be their immediate focus during practice?</t>
  </si>
  <si>
    <t>A) Identify and correct common errors, practice precision, and enhance focus, B) Continue with the same practice routine, C) Focus on individual strengths, D) Avoid addressing errors directly</t>
  </si>
  <si>
    <t>A) Identify and correct common errors, practice precision, and enhance focus</t>
  </si>
  <si>
    <t>What is an effective method for a Dhol Khel player to improve their teamwork and communication on the field?</t>
  </si>
  <si>
    <t>A) Engage in team-building exercises, practice clear signals, and have regular strategy meetings, B) Focus solely on individual practice, C) Avoid team interactions, D) Rely only on verbal communication</t>
  </si>
  <si>
    <t>A) Engage in team-building exercises, practice clear signals, and have regular strategy meetings</t>
  </si>
  <si>
    <t>When preparing for a high-stakes Dhol Khel match, what should be the primary focus of the team’s practice sessions?</t>
  </si>
  <si>
    <t>A) Simulate match conditions, refine strategies, and build team cohesion, B) Focus only on individual skills, C) Practice in ideal conditions, D) Avoid intense practice sessions</t>
  </si>
  <si>
    <t>A) Simulate match conditions, refine strategies, and build team cohesion</t>
  </si>
  <si>
    <t>How can a Dhol Khel team effectively handle a situation where an opponent is using unexpected tactics?</t>
  </si>
  <si>
    <t>A) Adapt quickly, reassess strategies, and maintain flexibility, B) Stick to initial tactics, C) Focus only on reacting, D) Ignore the new tactics</t>
  </si>
  <si>
    <t>A) Adapt quickly, reassess strategies, and maintain flexibility</t>
  </si>
  <si>
    <t>What should be a primary focus for a Dhol Khel player who wants to improve their physical endurance?</t>
  </si>
  <si>
    <t>A) Incorporate endurance training and conditioning exercises into their routine, B) Focus solely on skill development, C) Ignore physical conditioning, D) Practice only game-specific drills</t>
  </si>
  <si>
    <t>A) Incorporate endurance training and conditioning exercises into their routine</t>
  </si>
  <si>
    <t>During a Dhol Khel match, a player notices that the opposition is using psychological tactics to unsettle the team. What is the best response?</t>
  </si>
  <si>
    <t>A) Maintain composure, focus on the game, and counter with strong play, B) React emotionally, C) Ignore the psychological tactics, D) Engage in psychological tactics in return</t>
  </si>
  <si>
    <t>A) Maintain composure, focus on the game, and counter with strong play</t>
  </si>
  <si>
    <t>How should a Dhol Khel team approach a situation where a key player is injured before an important match?</t>
  </si>
  <si>
    <t>A) Reevaluate team strategies, adjust roles, and provide support to the injured player, B) Focus solely on the injured player’s recovery, C) Ignore the injury, D) Replace the player without any adjustment</t>
  </si>
  <si>
    <t>A) Reevaluate team strategies, adjust roles, and provide support to the injured player</t>
  </si>
  <si>
    <t>What is an important aspect of analyzing an opponent's gameplay in Dhol Khel?</t>
  </si>
  <si>
    <t>A) Identifying key patterns, strengths, and weaknesses to tailor your strategy, B) Ignoring opponent analysis, C) Focusing solely on your own team's strengths, D) Avoiding detailed analysis</t>
  </si>
  <si>
    <t>A) Identifying key patterns, strengths, and weaknesses to tailor your strategy</t>
  </si>
  <si>
    <t>In a Dhol Khel match, what should be the focus of the team's warm-up routine?</t>
  </si>
  <si>
    <t>A) Preparing physically and mentally, enhancing coordination, and focusing on game-specific movements, B) Ignoring warm-up, C) Focusing only on stretching, D) Avoiding game-specific movements</t>
  </si>
  <si>
    <t>A) Preparing physically and mentally, enhancing coordination, and focusing on game-specific movements</t>
  </si>
  <si>
    <t>How can a Dhol Khel player improve their ability to handle high-pressure situations during a match?</t>
  </si>
  <si>
    <t>A) Practice mental toughness techniques, stay focused, and simulate pressure scenarios, B) Ignore pressure training, C) Focus solely on physical skills, D) Avoid high-pressure practice scenarios</t>
  </si>
  <si>
    <t>A) Practice mental toughness techniques, stay focused, and simulate pressure scenarios</t>
  </si>
  <si>
    <t>What is an effective approach for a team to enhance its defensive strategy in Dhol Khel?</t>
  </si>
  <si>
    <t>A) Develop and practice various defensive formations and anticipate opponent’s moves, B) Focus solely on offensive tactics, C) Ignore defensive strategy, D) Rely only on individual defensive skills</t>
  </si>
  <si>
    <t>A) Develop and practice various defensive formations and anticipate opponent’s moves</t>
  </si>
  <si>
    <t>How can a Dhol Khel player effectively utilize video analysis to improve their performance?</t>
  </si>
  <si>
    <t>A) Review footage to identify strengths and weaknesses, and make necessary adjustments, B) Ignore video analysis, C) Focus only on live practice, D) Avoid reviewing past performances</t>
  </si>
  <si>
    <t>A) Review footage to identify strengths and weaknesses, and make necessary adjustments</t>
  </si>
  <si>
    <t>What is a key factor in maintaining peak physical condition for a Dhol Khel player?</t>
  </si>
  <si>
    <t>A) Consistent training, proper nutrition, and adequate rest, B) Ignoring physical conditioning, C) Focusing solely on game performance, D) Avoiding physical training</t>
  </si>
  <si>
    <t>How should a Dhol Khel team handle a situation where they are facing an opponent with a significantly higher skill level?</t>
  </si>
  <si>
    <t>A) Focus on exploiting the opponent’s weaknesses and executing their own strategies effectively, B) Rely solely on defensive play, C) Avoid adjusting strategies, D) Focus only on individual performance</t>
  </si>
  <si>
    <t>A) Focus on exploiting the opponent’s weaknesses and executing their own strategies effectively</t>
  </si>
  <si>
    <t>What is a fundamental aspect of improving teamwork in Dhol Khel?</t>
  </si>
  <si>
    <t>A) Regular communication, practicing together, and building mutual trust, B) Ignoring teamwork, C) Focusing solely on individual skills, D) Avoiding team practice sessions</t>
  </si>
  <si>
    <t>A) Regular communication, practicing together, and building mutual trust</t>
  </si>
  <si>
    <t>In a Dhol Khel match, how should a player respond to a sudden change in game dynamics?</t>
  </si>
  <si>
    <t>A) Quickly adapt and communicate with teammates to adjust strategies, B) Ignore the change, C) Stick to initial plans without adjustment, D) Focus only on individual play</t>
  </si>
  <si>
    <t>A) Quickly adapt and communicate with teammates to adjust strategies</t>
  </si>
  <si>
    <t>What should be the main focus for a Dhol Khel team during pre-match preparation?</t>
  </si>
  <si>
    <t>A) Review game strategies, finalize roles, and ensure physical readiness, B) Ignore preparation, C) Focus solely on relaxation, D) Avoid strategy review</t>
  </si>
  <si>
    <t>A) Review game strategies, finalize roles, and ensure physical readiness</t>
  </si>
  <si>
    <t>How can a Dhol Khel player best improve their reaction time?</t>
  </si>
  <si>
    <t>A) Engage in reaction time drills and exercises, B) Focus only on strength training, C) Ignore reaction time improvement, D) Rely solely on natural ability</t>
  </si>
  <si>
    <t>A) Engage in reaction time drills and exercises</t>
  </si>
  <si>
    <t>What is an effective way for a Dhol Khel team to maintain focus during a long match?</t>
  </si>
  <si>
    <t>A) Regular communication, setting short-term goals, and managing energy levels, B) Ignore focus strategies, C) Rely solely on breaks, D) Avoid communication</t>
  </si>
  <si>
    <t>A) Regular communication, setting short-term goals, and managing energy levels</t>
  </si>
  <si>
    <t>When facing a team with a strong offensive strategy in Dhol Khel, what should be the defensive focus?</t>
  </si>
  <si>
    <t>A) Strengthening defensive formations and anticipating offensive plays, B) Focus solely on counter-attacking, C) Ignore the offensive strength, D) Rely only on individual defensive skills</t>
  </si>
  <si>
    <t>A) Strengthening defensive formations and anticipating offensive plays</t>
  </si>
  <si>
    <t>How should a Dhol Khel player adjust their strategy when playing on a different type of field surface?</t>
  </si>
  <si>
    <t>A) Adapt to the field surface by adjusting movement and techniques, B) Stick to the same strategy, C) Ignore the surface changes, D) Focus solely on skill practice</t>
  </si>
  <si>
    <t>A) Adapt to the field surface by adjusting movement and techniques</t>
  </si>
  <si>
    <t>What is a key aspect of maintaining high morale during a Dhol Khel match?</t>
  </si>
  <si>
    <t>A) Encouragement, positive reinforcement, and maintaining a team-focused attitude, B) Ignoring team morale, C) Focusing solely on individual performance, D) Avoiding positive reinforcement</t>
  </si>
  <si>
    <t>A) Encouragement, positive reinforcement, and maintaining a team-focused attitude</t>
  </si>
  <si>
    <t>In Dhol Khel, how should a team approach a match against an unfamiliar opponent?</t>
  </si>
  <si>
    <t>A) Study available information, focus on flexibility, and adapt strategies as needed, B) Stick to familiar strategies, C) Ignore the opponent’s unfamiliarity, D) Focus only on individual performance</t>
  </si>
  <si>
    <t>A) Study available information, focus on flexibility, and adapt strategies as needed</t>
  </si>
  <si>
    <t>What is an effective method for a Dhol Khel player to enhance their strategic thinking?</t>
  </si>
  <si>
    <t>A) Analyze previous games, study strategies, and participate in tactical drills, B) Focus solely on physical skills, C) Ignore strategic thinking, D) Rely only on instinct</t>
  </si>
  <si>
    <t>A) Analyze previous games, study strategies, and participate in tactical drills</t>
  </si>
  <si>
    <t>How can a Dhol Khel team ensure effective communication during a high-pressure situation?</t>
  </si>
  <si>
    <t>A) Develop and use clear signals, maintain calm, and ensure all members are informed, B) Rely solely on verbal communication, C) Ignore communication strategies, D) Focus only on individual tasks</t>
  </si>
  <si>
    <t>A) Develop and use clear signals, maintain calm, and ensure all members are informed</t>
  </si>
  <si>
    <t>What should be the primary focus of a Dhol Khel player's training regimen?</t>
  </si>
  <si>
    <t>A) Balancing skill development, physical conditioning, and strategic understanding, B) Ignoring physical conditioning, C) Focusing only on skills, D) Avoiding strategy training</t>
  </si>
  <si>
    <t>A) Balancing skill development, physical conditioning, and strategic understanding</t>
  </si>
  <si>
    <t>How should a Dhol Khel team address a situation where key players are underperforming?</t>
  </si>
  <si>
    <t>A) Provide support, adjust roles, and focus on team strategies, B) Replace underperforming players immediately, C) Ignore underperformance, D) Focus solely on individual skills</t>
  </si>
  <si>
    <t>A) Provide support, adjust roles, and focus on team strategies</t>
  </si>
  <si>
    <t>What is a crucial element of a successful Dhol Khel strategy against a team with strong individual players?</t>
  </si>
  <si>
    <t>A) Focus on team-based tactics and exploiting collective weaknesses, B) Rely solely on individual skills, C) Ignore team strategies, D) Avoid specific tactical adjustments</t>
  </si>
  <si>
    <t>A) Focus on team-based tactics and exploiting collective weaknesses</t>
  </si>
  <si>
    <t>How can a Dhol Khel team effectively use timeouts during a match?</t>
  </si>
  <si>
    <t>A) Use timeouts to reassess strategies, communicate, and address issues, B) Avoid using timeouts, C) Focus only on individual play during timeouts, D) Ignore timeout opportunities</t>
  </si>
  <si>
    <t>A) Use timeouts to reassess strategies, communicate, and address issues</t>
  </si>
  <si>
    <t>In Dhol Khel, what is the best way for a player to overcome mental fatigue during a match?</t>
  </si>
  <si>
    <t>A) Employ mental relaxation techniques, stay focused, and take brief breaks when possible, B) Ignore mental fatigue, C) Focus solely on physical endurance, D) Avoid mental preparation</t>
  </si>
  <si>
    <t>A) Employ mental relaxation techniques, stay focused, and take brief breaks when possible</t>
  </si>
  <si>
    <t>What strategy should a Dhol Khel team adopt when facing a team that frequently changes their gameplay tactics?</t>
  </si>
  <si>
    <t>A) Stay adaptable, communicate frequently, and adjust tactics in response, B) Stick to a fixed strategy, C) Ignore tactical changes, D) Focus only on individual performance</t>
  </si>
  <si>
    <t>A) Stay adaptable, communicate frequently, and adjust tactics in response</t>
  </si>
  <si>
    <t>During a Dhol Khel match, how can a team maintain effective coordination between players?</t>
  </si>
  <si>
    <t>A) Use predefined signals, practice teamwork, and maintain constant communication, B) Rely solely on individual skills, C) Ignore coordination strategies, D) Focus only on game strategy</t>
  </si>
  <si>
    <t>A) Use predefined signals, practice teamwork, and maintain constant communication</t>
  </si>
  <si>
    <t>What should be a player's focus during recovery time between matches in a Dhol Khel tournament?</t>
  </si>
  <si>
    <t>A) Rest, hydrate, and review performance to ensure readiness for the next match, B) Ignore recovery, C) Focus solely on practice, D) Avoid rest and hydration</t>
  </si>
  <si>
    <t>A) Rest, hydrate, and review performance to ensure readiness for the next match</t>
  </si>
  <si>
    <t>How should a Dhol Khel player approach practicing new techniques?</t>
  </si>
  <si>
    <t>A) Gradually incorporate new techniques into practice, seek feedback, and refine skills, B) Focus solely on existing techniques, C) Avoid practicing new techniques, D) Rely only on natural ability</t>
  </si>
  <si>
    <t>A) Gradually incorporate new techniques into practice, seek feedback, and refine skills</t>
  </si>
  <si>
    <t>What is a key consideration when developing a game plan for a Dhol Khel match?</t>
  </si>
  <si>
    <t>A) Analyzing opponent strengths and weaknesses while tailoring strategies to exploit them, B) Relying solely on past game plans, C) Ignoring opponent analysis, D) Focusing only on team strengths</t>
  </si>
  <si>
    <t>A) Analyzing opponent strengths and weaknesses while tailoring strategies to exploit them</t>
  </si>
  <si>
    <t>How can a Dhol Khel team improve their performance during high-stress situations?</t>
  </si>
  <si>
    <t>A) Practice stress management techniques and maintain focus on strategies, B) Ignore stress factors, C) Focus solely on physical skills, D) Avoid high-stress practice scenarios</t>
  </si>
  <si>
    <t>A) Practice stress management techniques and maintain focus on strategies</t>
  </si>
  <si>
    <t>What is an effective way for a Dhol Khel player to work on their agility?</t>
  </si>
  <si>
    <t>A) Incorporate agility drills and exercises into their training routine, B) Focus solely on strength training, C) Ignore agility training, D) Rely only on natural agility</t>
  </si>
  <si>
    <t>A) Incorporate agility drills and exercises into their training routine</t>
  </si>
  <si>
    <t>During a Dhol Khel match, what should be the focus when the team is trying to break through a strong defense?</t>
  </si>
  <si>
    <t>A) Utilize creative plays and find gaps in the defense, B) Focus solely on direct attacks, C) Ignore defensive strength, D) Rely only on individual skills</t>
  </si>
  <si>
    <t>A) Utilize creative plays and find gaps in the defense</t>
  </si>
  <si>
    <t>What is a crucial aspect of a Dhol Khel player's pre-match mental preparation?</t>
  </si>
  <si>
    <t>A) Visualizing success, staying focused, and developing a positive mindset, B) Ignoring mental preparation, C) Focusing only on physical readiness, D) Avoiding mental exercises</t>
  </si>
  <si>
    <t>A) Visualizing success, staying focused, and developing a positive mindset</t>
  </si>
  <si>
    <t>How should a Dhol Khel team adjust their game plan when facing a team with a superior record?</t>
  </si>
  <si>
    <t>A) Analyze their strengths, focus on exploiting weaknesses, and adapt strategies, B) Stick to their own game plan, C) Ignore the opponent’s record, D) Rely solely on individual performance</t>
  </si>
  <si>
    <t>A) Analyze their strengths, focus on exploiting weaknesses, and adapt strategies</t>
  </si>
  <si>
    <t>What is a key aspect of maintaining peak performance during a prolonged Dhol Khel tournament?</t>
  </si>
  <si>
    <t>A) Proper rest, hydration, and consistent mental and physical conditioning, B) Ignoring rest and hydration, C) Focusing solely on matches, D) Avoiding conditioning practices</t>
  </si>
  <si>
    <t>A) Proper rest, hydration, and consistent mental and physical conditioning</t>
  </si>
  <si>
    <t>In a Dhol Khel game, how should a player approach a situation where their usual techniques are not working?</t>
  </si>
  <si>
    <t>A) Adapt by trying new techniques, analyzing the situation, and making adjustments, B) Stick to usual techniques, C) Ignore the situation, D) Focus solely on personal performance</t>
  </si>
  <si>
    <t>A) Adapt by trying new techniques, analyzing the situation, and making adjustments</t>
  </si>
  <si>
    <t>What is an effective method for a Dhol Khel player to enhance their strategic understanding of the game?</t>
  </si>
  <si>
    <t>A) Study game footage, analyze strategies, and discuss with coaches and teammates, B) Focus only on physical skills, C) Ignore strategic analysis, D) Rely solely on game experience</t>
  </si>
  <si>
    <t>A) Study game footage, analyze strategies, and discuss with coaches and teammates</t>
  </si>
  <si>
    <t>How should a Dhol Khel team respond to an unexpected change in weather conditions during a match?</t>
  </si>
  <si>
    <t>A) Adjust tactics and strategies to accommodate the weather conditions, B) Stick to initial plans, C) Ignore weather changes, D) Focus only on individual performance</t>
  </si>
  <si>
    <t>A) Adjust tactics and strategies to accommodate the weather conditions</t>
  </si>
  <si>
    <t>What is a crucial factor in maintaining effective team dynamics during a Dhol Khel match?</t>
  </si>
  <si>
    <t>A) Open communication, mutual support, and adaptability, B) Focusing solely on individual performance, C) Ignoring team dynamics, D) Relying only on individual skills</t>
  </si>
  <si>
    <t>A) Open communication, mutual support, and adaptability</t>
  </si>
  <si>
    <t>How can a Dhol Khel player best prepare for facing a team with a strong offensive strategy?</t>
  </si>
  <si>
    <t>A) Focus on enhancing defensive skills and understanding offensive patterns, B) Ignore the opponent’s offensive strategy, C) Rely only on offensive play, D) Avoid specific preparation</t>
  </si>
  <si>
    <t>A) Focus on enhancing defensive skills and understanding offensive patterns</t>
  </si>
  <si>
    <t>What should be the focus for a Dhol Khel team when analyzing their performance after a match?</t>
  </si>
  <si>
    <t>A) Identify strengths and areas for improvement, and adjust strategies accordingly, B) Ignore post-match analysis, C) Focus solely on individual performance, D) Avoid making changes</t>
  </si>
  <si>
    <t>A) Identify strengths and areas for improvement, and adjust strategies accordingly</t>
  </si>
  <si>
    <t>How can a Dhol Khel team effectively manage game-related stress?</t>
  </si>
  <si>
    <t>A) Use stress-relief techniques, maintain focus on the game, and support each other, B) Ignore stress management, C) Focus only on physical conditioning, D) Avoid discussing stress factors</t>
  </si>
  <si>
    <t>A) Use stress-relief techniques, maintain focus on the game, and support each other</t>
  </si>
  <si>
    <t>What is an important aspect of a Dhol Khel player’s recovery routine after a rigorous match?</t>
  </si>
  <si>
    <t>A) Proper rest, nutrition, and gentle physical activity to aid recovery, B) Ignoring recovery routines, C) Focusing solely on further training, D) Avoiding rest and nutrition</t>
  </si>
  <si>
    <t>A) Proper rest, nutrition, and gentle physical activity to aid recovery</t>
  </si>
  <si>
    <t>How should a Dhol Khel team approach a match when their usual tactics are countered effectively by the opponent?</t>
  </si>
  <si>
    <t>A) Quickly adapt by devising and implementing new strategies, B) Stick to the original tactics, C) Ignore the opponent’s counter tactics, D) Focus solely on individual performance</t>
  </si>
  <si>
    <t>A) Quickly adapt by devising and implementing new strategies</t>
  </si>
  <si>
    <t>What is a key consideration for a Dhol Khel team when preparing for a rematch against a previous opponent?</t>
  </si>
  <si>
    <t>A) Analyze previous match performance, adapt strategies, and focus on improvement areas, B) Ignore previous match outcomes, C) Stick to the same strategy, D) Avoid any adjustments</t>
  </si>
  <si>
    <t>A) Analyze previous match performance, adapt strategies, and focus on improvement areas</t>
  </si>
  <si>
    <t>How can a Dhol Khel player effectively work on their game awareness?</t>
  </si>
  <si>
    <t>A) Engage in situational drills, review game footage, and practice decision-making skills, B) Focus solely on physical training, C) Ignore game awareness training, D) Rely only on instinct</t>
  </si>
  <si>
    <t>A) Engage in situational drills, review game footage, and practice decision-making skills</t>
  </si>
  <si>
    <t>What is a critical aspect of a successful Dhol Khel strategy for managing game tempo?</t>
  </si>
  <si>
    <t>A) Control the pace of the game through effective play and adaptation, B) Ignore game tempo, C) Focus only on maintaining speed, D) Avoid managing tempo</t>
  </si>
  <si>
    <t>A) Control the pace of the game through effective play and adaptation</t>
  </si>
  <si>
    <t>How can a Dhol Khel team ensure they are well-prepared for a match in unfamiliar conditions?</t>
  </si>
  <si>
    <t>A) Practice in varied conditions and develop adaptable strategies, B) Ignore unfamiliar conditions, C) Focus solely on familiar conditions, D) Avoid practicing under different conditions</t>
  </si>
  <si>
    <t>A) Practice in varied conditions and develop adaptable strategies</t>
  </si>
  <si>
    <t>What should a Dhol Khel team focus on when facing a team with a high level of physical fitness?</t>
  </si>
  <si>
    <t>A) Enhance tactical strategies and focus on exploiting technical weaknesses, B) Rely solely on physical fitness, C) Ignore the opponent’s fitness level, D) Focus only on individual skills</t>
  </si>
  <si>
    <t>A) Enhance tactical strategies and focus on exploiting technical weaknesses</t>
  </si>
  <si>
    <t>How can a Dhol Khel player effectively work on improving their decision-making skills?</t>
  </si>
  <si>
    <t>A) Practice situational drills, review game scenarios, and seek feedback, B) Focus solely on physical drills, C) Ignore decision-making practice, D) Rely only on instinct</t>
  </si>
  <si>
    <t>A) Practice situational drills, review game scenarios, and seek feedback</t>
  </si>
  <si>
    <t>What is a key aspect of a successful Dhol Khel training regimen?</t>
  </si>
  <si>
    <t>A) Balanced focus on skills development, physical conditioning, and tactical understanding, B) Ignoring physical conditioning, C) Focusing only on one aspect, D) Avoiding varied training methods</t>
  </si>
  <si>
    <t>A) Balanced focus on skills development, physical conditioning, and tactical understanding</t>
  </si>
  <si>
    <t>How should a Dhol Khel player respond if they are consistently outplayed by a particular opponent?</t>
  </si>
  <si>
    <t>A) Analyze the opponent's techniques, seek feedback, and adjust their own strategies, B) Ignore the opponent, C) Focus solely on individual skills, D) Avoid analyzing the situation</t>
  </si>
  <si>
    <t>A) Analyze the opponent's techniques, seek feedback, and adjust their own strategies</t>
  </si>
  <si>
    <t>What is an effective way for a Dhol Khel team to maintain cohesion and focus during a long tournament?</t>
  </si>
  <si>
    <t>A) Regular team meetings, focus on shared goals, and manage energy levels effectively, B) Ignore team cohesion, C) Focus only on individual performance, D) Avoid team meetings</t>
  </si>
  <si>
    <t>A) Regular team meetings, focus on shared goals, and manage energy levels effectively</t>
  </si>
  <si>
    <t>In a Dhol Khel match, how should a team handle a sudden change in team lineup due to unforeseen circumstances?</t>
  </si>
  <si>
    <t>A) Adapt quickly by reassigning roles and adjusting strategies accordingly, B) Stick to the original plan, C) Ignore the change, D) Focus only on individual roles</t>
  </si>
  <si>
    <t>A) Adapt quickly by reassigning roles and adjusting strategies accordingly</t>
  </si>
  <si>
    <t>What is a critical element in developing a strong Dhol Khel team dynamic?</t>
  </si>
  <si>
    <t>A) Building trust, fostering open communication, and encouraging collaboration, B) Ignoring team dynamics, C) Focusing solely on individual performance, D) Avoiding team-building activities</t>
  </si>
  <si>
    <t>A) Building trust, fostering open communication, and encouraging collaboration</t>
  </si>
  <si>
    <t>How should a Dhol Khel player approach training for specific match scenarios?</t>
  </si>
  <si>
    <t>A) Engage in scenario-based drills and simulations to practice specific situations, B) Focus solely on general skills, C) Ignore specific scenarios, D) Rely only on natural ability</t>
  </si>
  <si>
    <t>A) Engage in scenario-based drills and simulations to practice specific situations</t>
  </si>
  <si>
    <t>What is an effective strategy for a Dhol Khel team to overcome a deficit during a match?</t>
  </si>
  <si>
    <t>A) Intensify efforts, reassess strategies, and focus on effective teamwork, B) Ignore the deficit, C) Focus solely on individual performance, D) Avoid making changes</t>
  </si>
  <si>
    <t>A) Intensify efforts, reassess strategies, and focus on effective teamwork</t>
  </si>
  <si>
    <t>How can a Dhol Khel player effectively improve their overall game performance?</t>
  </si>
  <si>
    <t>A) Regularly review performance, seek feedback, and continually refine skills, B) Focus solely on one aspect of the game, C) Ignore performance reviews, D) Rely only on natural ability</t>
  </si>
  <si>
    <t>A) Regularly review performance, seek feedback, and continually refine skills</t>
  </si>
  <si>
    <t>In Dhol Khel, what is the primary objective when a player is positioned in the defensive line?</t>
  </si>
  <si>
    <t>A) Prevent opponents from scoring and protect the goal area, B) Focus on scoring goals, C) Engage in aggressive attacks, D) Avoid defensive responsibilities</t>
  </si>
  <si>
    <t>A) Prevent opponents from scoring and protect the goal area</t>
  </si>
  <si>
    <t>What is an effective strategy for a Dhol Khel team to use when the opposing team has a strong offensive lineup?</t>
  </si>
  <si>
    <t>A) Strengthen defensive tactics and anticipate offensive moves, B) Focus solely on attacking, C) Ignore the opponent's strengths, D) Avoid specific preparations</t>
  </si>
  <si>
    <t>A) Strengthen defensive tactics and anticipate offensive moves</t>
  </si>
  <si>
    <t>How should a Dhol Khel player adjust their playing style when facing a more experienced opponent?</t>
  </si>
  <si>
    <t>A) Adapt by using more strategic plays and focusing on exploiting weaknesses, B) Stick to their usual style, C) Rely only on physical strength, D) Ignore the opponent's experience</t>
  </si>
  <si>
    <t>A) Adapt by using more strategic plays and focusing on exploiting weaknesses</t>
  </si>
  <si>
    <t>What is a crucial aspect of a Dhol Khel team's pre-game preparation?</t>
  </si>
  <si>
    <t>A) Reviewing game plans, understanding opponent strategies, and ensuring physical readiness, B) Ignoring game plans, C) Focusing only on physical training, D) Avoiding pre-game analysis</t>
  </si>
  <si>
    <t>A) Reviewing game plans, understanding opponent strategies, and ensuring physical readiness</t>
  </si>
  <si>
    <t>In a Dhol Khel match, how should a team approach a situation where they are trailing by a significant margin?</t>
  </si>
  <si>
    <t>A) Focus on tightening defense, creating opportunities, and improving teamwork, B) Ignore the deficit, C) Rely solely on individual performance, D) Avoid making changes</t>
  </si>
  <si>
    <t>A) Focus on tightening defense, creating opportunities, and improving teamwork</t>
  </si>
  <si>
    <t>What is an effective way for a Dhol Khel team to manage fatigue during a long tournament?</t>
  </si>
  <si>
    <t>A) Implement a rotation system, ensure proper rest, and maintain hydration, B) Ignore fatigue, C) Focus solely on matches, D) Avoid rest periods</t>
  </si>
  <si>
    <t>A) Implement a rotation system, ensure proper rest, and maintain hydration</t>
  </si>
  <si>
    <t>How can a Dhol Khel player best improve their reaction time during gameplay?</t>
  </si>
  <si>
    <t>A) Practice quick reflex drills and engage in reaction time exercises, B) Focus solely on strength training, C) Ignore reaction time training, D) Rely only on natural ability</t>
  </si>
  <si>
    <t>A) Practice quick reflex drills and engage in reaction time exercises</t>
  </si>
  <si>
    <t>What should a Dhol Khel team focus on when strategizing for a match against a team with a high win rate?</t>
  </si>
  <si>
    <t>A) Analyze previous games, adapt tactics, and exploit any weaknesses, B) Stick to their own strategies, C) Ignore the opponent's win rate, D) Rely solely on individual skills</t>
  </si>
  <si>
    <t>A) Analyze previous games, adapt tactics, and exploit any weaknesses</t>
  </si>
  <si>
    <t>In a Dhol Khel match, what is a key aspect of effective communication between team members?</t>
  </si>
  <si>
    <t>A) Clear, timely, and constructive communication to ensure coordinated efforts, B) Ignoring communication, C) Focusing solely on individual performance, D) Avoiding team discussions</t>
  </si>
  <si>
    <t>A) Clear, timely, and constructive communication to ensure coordinated efforts</t>
  </si>
  <si>
    <t>How should a Dhol Khel team adjust their strategy when playing in adverse weather conditions?</t>
  </si>
  <si>
    <t>A) Modify tactics to suit the weather conditions and maintain flexibility, B) Stick to the original strategy, C) Ignore weather conditions, D) Focus solely on physical skills</t>
  </si>
  <si>
    <t>A) Modify tactics to suit the weather conditions and maintain flexibility</t>
  </si>
  <si>
    <t>What is an effective approach for a Dhol Khel team to handle a key player's sudden injury during a match?</t>
  </si>
  <si>
    <t>A) Reassign roles, adjust strategies, and maintain team morale, B) Focus solely on the injured player, C) Ignore the injury, D) Avoid making any changes</t>
  </si>
  <si>
    <t>A) Reassign roles, adjust strategies, and maintain team morale</t>
  </si>
  <si>
    <t>What is a crucial aspect of a Dhol Khel player's post-match analysis?</t>
  </si>
  <si>
    <t>A) Reviewing performance, identifying areas for improvement, and adjusting strategies, B) Ignoring post-match feedback, C) Focusing only on physical conditioning, D) Avoiding performance reviews</t>
  </si>
  <si>
    <t>A) Reviewing performance, identifying areas for improvement, and adjusting strategies</t>
  </si>
  <si>
    <t>In Dhol Khel, how should a team approach an opponent with a strong defense?</t>
  </si>
  <si>
    <t>A) Use creative plays, focus on breaking through defensive lines, and exploit gaps, B) Rely solely on direct attacks, C) Ignore the opponent's defense, D) Avoid strategic adjustments</t>
  </si>
  <si>
    <t>A) Use creative plays, focus on breaking through defensive lines, and exploit gaps</t>
  </si>
  <si>
    <t>What is an important consideration for a Dhol Khel player when participating in a high-stakes match?</t>
  </si>
  <si>
    <t>A) Maintain composure, focus on execution, and adapt strategies as needed, B) Ignore the stakes, C) Focus solely on personal performance, D) Avoid strategic planning</t>
  </si>
  <si>
    <t>A) Maintain composure, focus on execution, and adapt strategies as needed</t>
  </si>
  <si>
    <t>How should a Dhol Khel team prepare for a match against an unfamiliar opponent?</t>
  </si>
  <si>
    <t>A) Conduct research, review game footage, and develop adaptable strategies, B) Ignore the opponent's style, C) Focus solely on their own tactics, D) Avoid preparation for unfamiliar opponents</t>
  </si>
  <si>
    <t>A) Conduct research, review game footage, and develop adaptable strategies</t>
  </si>
  <si>
    <t>What is an effective way for a Dhol Khel team to improve their synergy on the field?</t>
  </si>
  <si>
    <t>A) Engage in team-building activities, practice together, and develop mutual understanding, B) Focus solely on individual performance, C) Ignore team dynamics, D) Avoid team-building exercises</t>
  </si>
  <si>
    <t>A) Engage in team-building activities, practice together, and develop mutual understanding</t>
  </si>
  <si>
    <t>How should a Dhol Khel player handle the pressure of a tight game situation?</t>
  </si>
  <si>
    <t>A) Stay focused, manage stress effectively, and stick to game plans, B) Ignore the pressure, C) Rely solely on instinct, D) Avoid addressing pressure</t>
  </si>
  <si>
    <t>A) Stay focused, manage stress effectively, and stick to game plans</t>
  </si>
  <si>
    <t>What is a key element of a Dhol Khel team's strategy when facing a team with superior technical skills?</t>
  </si>
  <si>
    <t>A) Enhance tactical play, focus on teamwork, and exploit any weaknesses, B) Rely solely on physicality, C) Ignore technical skills, D) Avoid adapting strategies</t>
  </si>
  <si>
    <t>A) Enhance tactical play, focus on teamwork, and exploit any weaknesses</t>
  </si>
  <si>
    <t>In a Dhol Khel match, what should be the priority when implementing a new game plan?</t>
  </si>
  <si>
    <t>A) Ensure the team understands the plan, practice it effectively, and adapt as needed, B) Ignore team understanding, C) Focus solely on execution, D) Avoid practicing the new plan</t>
  </si>
  <si>
    <t>A) Ensure the team understands the plan, practice it effectively, and adapt as needed</t>
  </si>
  <si>
    <t>A) Analyze game scenarios, participate in strategy discussions, and review past games, B) Focus solely on physical skills, C) Ignore strategic training, D) Rely only on natural instincts</t>
  </si>
  <si>
    <t>A) Analyze game scenarios, participate in strategy discussions, and review past games</t>
  </si>
  <si>
    <t>How should a Dhol Khel team approach a match after experiencing a loss in their previous game?</t>
  </si>
  <si>
    <t>A) Analyze the previous game, learn from mistakes, and focus on improving performance, B) Ignore the loss, C) Focus solely on physical recovery, D) Avoid discussing the previous game</t>
  </si>
  <si>
    <t>A) Analyze the previous game, learn from mistakes, and focus on improving performance</t>
  </si>
  <si>
    <t>What is an essential factor for a Dhol Khel player when dealing with an unexpected change in match conditions?</t>
  </si>
  <si>
    <t>A) Quickly adapt strategies and maintain focus on the game, B) Stick to initial plans, C) Ignore the change, D) Focus only on personal performance</t>
  </si>
  <si>
    <t>A) Quickly adapt strategies and maintain focus on the game</t>
  </si>
  <si>
    <t>How should a Dhol Khel team manage their energy levels throughout a prolonged match?</t>
  </si>
  <si>
    <t>A) Implement effective energy management techniques, including hydration and rest breaks, B) Ignore energy levels, C) Focus solely on intensity, D) Avoid managing energy</t>
  </si>
  <si>
    <t>A) Implement effective energy management techniques, including hydration and rest breaks</t>
  </si>
  <si>
    <t>What is a recommended approach for a Dhol Khel player to improve their teamwork during a game?</t>
  </si>
  <si>
    <t>A) Communicate effectively, coordinate efforts, and support teammates, B) Focus solely on individual performance, C) Ignore team dynamics, D) Avoid collaboration</t>
  </si>
  <si>
    <t>A) Communicate effectively, coordinate efforts, and support teammates</t>
  </si>
  <si>
    <t>How can a Dhol Khel team best utilize time-outs during a match?</t>
  </si>
  <si>
    <t>A) Use time-outs to regroup, discuss strategies, and address any issues, B) Ignore the time-out, C) Focus solely on individual tasks, D) Avoid using time-outs</t>
  </si>
  <si>
    <t>A) Use time-outs to regroup, discuss strategies, and address any issues</t>
  </si>
  <si>
    <t>What is an effective strategy for a Dhol Khel player to overcome a slump in performance?</t>
  </si>
  <si>
    <t>A) Analyze performance issues, seek feedback, and work on specific areas for improvement, B) Ignore the slump, C) Focus solely on physical training, D) Rely only on natural ability</t>
  </si>
  <si>
    <t>A) Analyze performance issues, seek feedback, and work on specific areas for improvement</t>
  </si>
  <si>
    <t>How should a Dhol Khel team adjust their tactics when facing a team with a high scoring rate?</t>
  </si>
  <si>
    <t>A) Focus on defensive strategies, increase pressure, and limit scoring opportunities, B) Stick to offensive tactics, C) Ignore the scoring rate, D) Avoid changing tactics</t>
  </si>
  <si>
    <t>A) Focus on defensive strategies, increase pressure, and limit scoring opportunities</t>
  </si>
  <si>
    <t>What is a critical aspect of a Dhol Khel player's warm-up routine before a match?</t>
  </si>
  <si>
    <t>A) Perform dynamic stretches, mental preparation, and skill drills, B) Focus solely on static stretching, C) Ignore warm-up, D) Rely only on physical conditioning</t>
  </si>
  <si>
    <t>A) Perform dynamic stretches, mental preparation, and skill drills</t>
  </si>
  <si>
    <t>How should a Dhol Khel team approach a match when playing against a team with a different playing style?</t>
  </si>
  <si>
    <t>A) Adapt strategies to counter the different style, analyze and adjust accordingly, B) Stick to their own style, C) Ignore the difference in styles, D) Avoid adjusting strategies</t>
  </si>
  <si>
    <t>A) Adapt strategies to counter the different style, analyze and adjust accordingly</t>
  </si>
  <si>
    <t>What is an important consideration for a Dhol Khel player when dealing with physical injuries during a match?</t>
  </si>
  <si>
    <t>A) Seek medical attention if necessary, and focus on managing the injury while contributing to the team, B) Ignore the injury, C) Focus solely on performance, D) Avoid seeking help</t>
  </si>
  <si>
    <t>A) Seek medical attention if necessary, and focus on managing the injury while contributing to the team</t>
  </si>
  <si>
    <t>How can a Dhol Khel team effectively use their training sessions to prepare for specific match situations?</t>
  </si>
  <si>
    <t>A) Incorporate scenario-based drills and simulations, and focus on realistic game scenarios, B) Focus solely on general skills, C) Ignore specific situations, D) Rely only on past experiences</t>
  </si>
  <si>
    <t>A) Incorporate scenario-based drills and simulations, and focus on realistic game scenarios</t>
  </si>
  <si>
    <t>What is an effective method for a Dhol Khel player to improve their decision-making skills during a match?</t>
  </si>
  <si>
    <t>A) Practice decision-making in various scenarios, review game footage, and seek feedback, B) Focus solely on physical skills, C) Ignore decision-making training, D) Rely only on instinct</t>
  </si>
  <si>
    <t>A) Practice decision-making in various scenarios, review game footage, and seek feedback</t>
  </si>
  <si>
    <t>How should a Dhol Khel team manage their strategy when facing a team with a strong counter-attacking style?</t>
  </si>
  <si>
    <t>A) Focus on maintaining possession, controlling the game pace, and minimizing counter-attacking opportunities, B) Stick to aggressive tactics, C) Ignore the counter-attacking style, D) Avoid adapting strategies</t>
  </si>
  <si>
    <t>A) Focus on maintaining possession, controlling the game pace, and minimizing counter-attacking opportunities</t>
  </si>
  <si>
    <t>What is a key factor in maintaining team cohesion during a high-pressure match?</t>
  </si>
  <si>
    <t>A) Support each other, maintain clear communication, and stay focused on the collective goal, B) Ignore team dynamics, C) Focus solely on individual performance, D) Avoid discussing pressure</t>
  </si>
  <si>
    <t>A) Support each other, maintain clear communication, and stay focused on the collective goal</t>
  </si>
  <si>
    <t>How should a Dhol Khel player approach a match after a long period of inactivity or injury?</t>
  </si>
  <si>
    <t>A) Start with a gradual reintroduction, focus on regaining fitness, and adapt to the match intensity, B) Jump into full intensity immediately, C) Ignore the period of inactivity, D) Focus solely on recovering</t>
  </si>
  <si>
    <t>A) Start with a gradual reintroduction, focus on regaining fitness, and adapt to the match intensity</t>
  </si>
  <si>
    <t>What is a recommended approach for a Dhol Khel team to handle a situation where a key strategy is not working during a match?</t>
  </si>
  <si>
    <t>A) Reevaluate and adjust the strategy based on the match dynamics, B) Stick rigidly to the strategy, C) Ignore the strategy, D) Focus solely on individual performance</t>
  </si>
  <si>
    <t>A) Reevaluate and adjust the strategy based on the match dynamics</t>
  </si>
  <si>
    <t>What is a crucial aspect of a Dhol Khel player's mental preparation before a match?</t>
  </si>
  <si>
    <t>A) Develop a positive mindset, visualize success, and focus on game strategies, B) Ignore mental preparation, C) Focus solely on physical readiness, D) Avoid mental exercises</t>
  </si>
  <si>
    <t>A) Develop a positive mindset, visualize success, and focus on game strategies</t>
  </si>
  <si>
    <t>How can a Dhol Khel team effectively address a situation where they are facing internal conflicts or disagreements?</t>
  </si>
  <si>
    <t>A) Facilitate open communication, mediate conflicts, and focus on team unity, B) Ignore the conflicts, C) Focus solely on individual roles, D) Avoid addressing the issues</t>
  </si>
  <si>
    <t>A) Facilitate open communication, mediate conflicts, and focus on team unity</t>
  </si>
  <si>
    <t>What is an effective way for a Dhol Khel player to improve their accuracy in goal-scoring situations?</t>
  </si>
  <si>
    <t>A) Practice precision shooting, analyze goal-scoring scenarios, and refine technique, B) Focus solely on power, C) Ignore accuracy training, D) Rely only on natural ability</t>
  </si>
  <si>
    <t>A) Practice precision shooting, analyze goal-scoring scenarios, and refine technique</t>
  </si>
  <si>
    <t>How should a Dhol Khel team adjust their approach when facing a team with a highly organized defense?</t>
  </si>
  <si>
    <t>A) Use creative attacking methods, focus on breaking through defenses, and exploit gaps, B) Rely solely on direct attacks, C) Ignore the defense, D) Avoid strategic adjustments</t>
  </si>
  <si>
    <t>A) Use creative attacking methods, focus on breaking through defenses, and exploit gaps</t>
  </si>
  <si>
    <t>What is a key consideration for a Dhol Khel player when preparing for a match against a rival team?</t>
  </si>
  <si>
    <t>A) Analyze the rival's playing style, develop targeted strategies, and stay focused, B) Ignore the rivalry, C) Focus solely on individual performance, D) Avoid preparation</t>
  </si>
  <si>
    <t>A) Analyze the rival's playing style, develop targeted strategies, and stay focused</t>
  </si>
  <si>
    <t>How should a Dhol Khel team approach a match where they are playing on an unfamiliar field?</t>
  </si>
  <si>
    <t>A) Adapt tactics to suit the field conditions, familiarize with the field layout, and adjust strategies, B) Stick to their usual tactics, C) Ignore field conditions, D) Avoid adjusting strategies</t>
  </si>
  <si>
    <t>A) Adapt tactics to suit the field conditions, familiarize with the field layout, and adjust strategies</t>
  </si>
  <si>
    <t>What is an effective way for a Dhol Khel player to handle criticism from teammates or coaches?</t>
  </si>
  <si>
    <t>A) Accept feedback constructively, focus on areas for improvement, and maintain a positive attitude, B) Ignore the feedback, C) Focus solely on personal performance, D) Avoid discussing criticism</t>
  </si>
  <si>
    <t>A) Accept feedback constructively, focus on areas for improvement, and maintain a positive attitude</t>
  </si>
  <si>
    <t>What is a crucial element of a Dhol Khel team's strategy when transitioning from defense to attack?</t>
  </si>
  <si>
    <t>A) Quickly transition with coordinated movements and effective passing, B) Focus solely on defense, C) Ignore the transition process, D) Avoid strategic planning</t>
  </si>
  <si>
    <t>A) Quickly transition with coordinated movements and effective passing</t>
  </si>
  <si>
    <t>How should a Dhol Khel player adjust their training regimen when preparing for an upcoming championship?</t>
  </si>
  <si>
    <t>A) Intensify training, focus on specific skills, and simulate match conditions, B) Maintain the usual training routine, C) Ignore the championship preparation, D) Focus solely on rest</t>
  </si>
  <si>
    <t>A) Intensify training, focus on specific skills, and simulate match conditions</t>
  </si>
  <si>
    <t>What is an effective method for a Dhol Khel team to maintain focus during a long and challenging match?</t>
  </si>
  <si>
    <t>A) Use mental techniques, stay hydrated, and maintain a positive attitude, B) Ignore fatigue, C) Focus solely on individual performance, D) Avoid mental exercises</t>
  </si>
  <si>
    <t>A) Use mental techniques, stay hydrated, and maintain a positive attitude</t>
  </si>
  <si>
    <t>How should a Dhol Khel team approach a match against an opponent with a high level of individual skill?</t>
  </si>
  <si>
    <t>A) Develop strategies to neutralize individual threats and focus on team play, B) Rely solely on physical skills, C) Ignore individual skill levels, D) Avoid adjusting strategies</t>
  </si>
  <si>
    <t>A) Develop strategies to neutralize individual threats and focus on team play</t>
  </si>
  <si>
    <t>What is a recommended approach for a Dhol Khel player to recover after an intense match?</t>
  </si>
  <si>
    <t>A) Focus on proper rest, hydration, and recovery exercises, B) Ignore recovery needs, C) Focus solely on physical conditioning, D) Avoid rest</t>
  </si>
  <si>
    <t>A) Focus on proper rest, hydration, and recovery exercises</t>
  </si>
  <si>
    <t>What is an effective strategy for a Dhol Khel team to use when playing against a team with a high defensive capability?</t>
  </si>
  <si>
    <t>A) Utilize creative plays, focus on ball movement, and exploit defensive gaps, B) Stick to direct attacks, C) Ignore defensive capabilities, D) Avoid adapting strategies</t>
  </si>
  <si>
    <t>A) Utilize creative plays, focus on ball movement, and exploit defensive gaps</t>
  </si>
  <si>
    <t>How can a Dhol Khel player best prepare for a match in a new location with unfamiliar conditions?</t>
  </si>
  <si>
    <t>A) Familiarize with the location, adapt training to simulate conditions, and develop flexible strategies, B) Stick to usual preparations, C) Ignore unfamiliar conditions, D) Avoid adapting to new conditions</t>
  </si>
  <si>
    <t>A) Familiarize with the location, adapt training to simulate conditions, and develop flexible strategies</t>
  </si>
  <si>
    <t>What is an important aspect of a Dhol Khel team's in-game strategy during a close match?</t>
  </si>
  <si>
    <t>A) Maintain composure, focus on executing key plays, and make timely adjustments, B) Ignore the close score, C) Focus solely on physical effort, D) Avoid making adjustments</t>
  </si>
  <si>
    <t>A) Maintain composure, focus on executing key plays, and make timely adjustments</t>
  </si>
  <si>
    <t>How should a Dhol Khel player approach their role when adapting to a new position on the field?</t>
  </si>
  <si>
    <t>A) Learn the responsibilities, adapt quickly, and communicate effectively with teammates, B) Stick to their usual role, C) Ignore position changes, D) Avoid learning new responsibilities</t>
  </si>
  <si>
    <t>A) Learn the responsibilities, adapt quickly, and communicate effectively with teammates</t>
  </si>
  <si>
    <t>What is a key consideration for a Dhol Khel team when planning for a series of matches in a tournament?</t>
  </si>
  <si>
    <t>A) Manage energy levels, adjust strategies based on opponents, and ensure proper recovery, B) Focus solely on individual matches, C) Ignore recovery needs, D) Avoid adjusting strategies</t>
  </si>
  <si>
    <t>A) Manage energy levels, adjust strategies based on opponents, and ensure proper recovery</t>
  </si>
  <si>
    <t>How can a Dhol Khel player enhance their performance during crucial moments of a match?</t>
  </si>
  <si>
    <t>A) Focus on key skills, stay mentally strong, and execute plays effectively, B) Ignore crucial moments, C) Focus solely on physical training, D) Avoid preparation for critical situations</t>
  </si>
  <si>
    <t>A) Focus on key skills, stay mentally strong, and execute plays effectively</t>
  </si>
  <si>
    <t>What is a recommended approach for a Dhol Khel team to analyze their performance after a series of matches?</t>
  </si>
  <si>
    <t>A) Review game footage, evaluate performance metrics, and identify areas for improvement, B) Ignore performance analysis, C) Focus solely on physical conditioning, D) Avoid reviewing past games</t>
  </si>
  <si>
    <t>A) Review game footage, evaluate performance metrics, and identify areas for improvement</t>
  </si>
  <si>
    <t>How should a Dhol Khel team handle unexpected changes in match refereeing or rules?</t>
  </si>
  <si>
    <t>A) Adapt quickly, focus on playing within the new framework, and maintain composure, B) Ignore the changes, C) Focus solely on their own tactics, D) Avoid addressing the changes</t>
  </si>
  <si>
    <t>A) Adapt quickly, focus on playing within the new framework, and maintain composure</t>
  </si>
  <si>
    <t>What is an effective way for a Dhol Khel player to improve their endurance for longer matches?</t>
  </si>
  <si>
    <t>A) Incorporate endurance training, improve stamina, and practice match simulations, B) Focus solely on strength, C) Ignore endurance training, D) Rely only on natural ability</t>
  </si>
  <si>
    <t>A) Incorporate endurance training, improve stamina, and practice match simulations</t>
  </si>
  <si>
    <t>How should a Dhol Khel team prepare for a match against a team with a high level of fitness?</t>
  </si>
  <si>
    <t>A) Focus on tactical play, improve team coordination, and enhance fitness levels, B) Ignore the fitness level, C) Rely solely on technical skills, D) Avoid improving fitness</t>
  </si>
  <si>
    <t>A) Focus on tactical play, improve team coordination, and enhance fitness levels</t>
  </si>
  <si>
    <t>What is a crucial consideration for a Dhol Khel player when participating in multiple matches within a short period?</t>
  </si>
  <si>
    <t>A) Manage recovery, maintain physical and mental readiness, and adjust strategies as needed, B) Ignore recovery, C) Focus solely on performance, D) Avoid managing recovery</t>
  </si>
  <si>
    <t>A) Manage recovery, maintain physical and mental readiness, and adjust strategies as needed</t>
  </si>
  <si>
    <t>How should a Dhol Khel team address a situation where key players are underperforming during a match?</t>
  </si>
  <si>
    <t>A) Provide support, adjust tactics, and focus on improving overall team performance, B) Ignore underperformance, C) Focus solely on individual players, D) Avoid making adjustments</t>
  </si>
  <si>
    <t>A) Provide support, adjust tactics, and focus on improving overall team performance</t>
  </si>
  <si>
    <t>What is an effective method for a Dhol Khel player to enhance their defensive skills?</t>
  </si>
  <si>
    <t>A) Practice defensive drills, improve positioning, and analyze opponent strategies, B) Focus solely on attacking skills, C) Ignore defensive training, D) Rely only on natural ability</t>
  </si>
  <si>
    <t>A) Practice defensive drills, improve positioning, and analyze opponent strategies</t>
  </si>
  <si>
    <t>How should a Dhol Khel team approach a match against a team with a strong home advantage?</t>
  </si>
  <si>
    <t>A) Focus on minimizing the impact of the home advantage, adjust strategies, and stay focused, B) Ignore the home advantage, C) Rely solely on away performance, D) Avoid making adjustments</t>
  </si>
  <si>
    <t>A) Focus on minimizing the impact of the home advantage, adjust strategies, and stay focused</t>
  </si>
  <si>
    <t>What is a key factor for a Dhol Khel player when dealing with the pressure of a high-stakes match?</t>
  </si>
  <si>
    <t>A) Maintain focus, manage stress effectively, and execute key plays, B) Ignore the pressure, C) Rely solely on physical skills, D) Avoid addressing pressure</t>
  </si>
  <si>
    <t>A) Maintain focus, manage stress effectively, and execute key plays</t>
  </si>
  <si>
    <t>How can a Dhol Khel team best utilize their time during a half-time break?</t>
  </si>
  <si>
    <t>A) Discuss strategies, make adjustments, and address any issues, B) Ignore the break, C) Focus solely on relaxation, D) Avoid discussing strategies</t>
  </si>
  <si>
    <t>A) Discuss strategies, make adjustments, and address any issues</t>
  </si>
  <si>
    <t>What is a recommended approach for a Dhol Khel player to develop their leadership skills on the field?</t>
  </si>
  <si>
    <t>A) Take initiative, communicate effectively, and support teammates, B) Focus solely on personal performance, C) Ignore leadership opportunities, D) Avoid taking responsibility</t>
  </si>
  <si>
    <t>A) Take initiative, communicate effectively, and support teammates</t>
  </si>
  <si>
    <t>How should a Dhol Khel team approach a match against an opponent with a strong set-piece strategy?</t>
  </si>
  <si>
    <t>A) Prepare specific defensive tactics, practice set-piece scenarios, and focus on execution, B) Ignore the set-piece strategy, C) Rely solely on general defense, D) Avoid preparing for set-pieces</t>
  </si>
  <si>
    <t>A) Prepare specific defensive tactics, practice set-piece scenarios, and focus on execution</t>
  </si>
  <si>
    <t>What is an effective method for a Dhol Khel player to improve their game awareness?</t>
  </si>
  <si>
    <t>A) Analyze game footage, study opponent tactics, and stay alert during matches, B) Focus solely on physical training, C) Ignore game analysis, D) Rely only on intuition</t>
  </si>
  <si>
    <t>A) Analyze game footage, study opponent tactics, and stay alert during matches</t>
  </si>
  <si>
    <t>How should a Dhol Khel team adapt their strategy when facing a team with a highly aggressive playing style?</t>
  </si>
  <si>
    <t>A) Focus on counter-attacks, maintain composure, and utilize effective ball control, B) Stick to aggressive tactics, C) Ignore the opponent's style, D) Avoid adapting strategies</t>
  </si>
  <si>
    <t>A) Focus on counter-attacks, maintain composure, and utilize effective ball control</t>
  </si>
  <si>
    <t>What is a key consideration for a Dhol Khel player when managing their performance during a long season?</t>
  </si>
  <si>
    <t>A) Maintain consistency, manage fatigue, and adjust training as needed, B) Ignore fatigue, C) Focus solely on peak performance, D) Avoid managing performance</t>
  </si>
  <si>
    <t>A) Maintain consistency, manage fatigue, and adjust training as needed</t>
  </si>
  <si>
    <t>How should a Dhol Khel team address a situation where a key player is unavailable for a match?</t>
  </si>
  <si>
    <t>A) Adjust strategies, utilize alternative players, and maintain team cohesion, B) Ignore the absence, C) Focus solely on the missing player, D) Avoid making adjustments</t>
  </si>
  <si>
    <t>A) Adjust strategies, utilize alternative players, and maintain team cohesion</t>
  </si>
  <si>
    <t>What is a recommended approach for a Dhol Khel player to improve their fitness levels during the off-season?</t>
  </si>
  <si>
    <t>A) Follow a structured fitness program, focus on conditioning, and gradually increase intensity, B) Ignore fitness, C) Focus solely on skill development, D) Avoid exercise</t>
  </si>
  <si>
    <t>A) Follow a structured fitness program, focus on conditioning, and gradually increase intensity</t>
  </si>
  <si>
    <t>How can a Dhol Khel team best prepare for a match in extreme weather conditions?</t>
  </si>
  <si>
    <t>A) Adapt strategies, ensure proper gear, and stay hydrated, B) Ignore weather conditions, C) Focus solely on performance, D) Avoid preparation</t>
  </si>
  <si>
    <t>A) Adapt strategies, ensure proper gear, and stay hydrated</t>
  </si>
  <si>
    <t>What is a crucial aspect of a Dhol Khel player's pre-match routine to ensure optimal performance?</t>
  </si>
  <si>
    <t>A) Follow a well-structured warm-up, focus on mental preparation, and review strategies, B) Ignore pre-match preparation, C) Focus solely on physical conditioning, D) Avoid routine</t>
  </si>
  <si>
    <t>A) Follow a well-structured warm-up, focus on mental preparation, and review strategies</t>
  </si>
  <si>
    <t>How should a Dhol Khel team handle a situation where they are being outplayed by an opponent in the first half?</t>
  </si>
  <si>
    <t>A) Reassess strategies, make tactical adjustments, and motivate the team, B) Ignore the situation, C) Focus solely on individual performance, D) Avoid making changes</t>
  </si>
  <si>
    <t>A) Reassess strategies, make tactical adjustments, and motivate the team</t>
  </si>
  <si>
    <t>During a Kanche tournament, Player A and Player B are competing in a best-of-three games match. Each game is played to 15 points. If Player A wins the first game 15-10 and Player B wins the second game 15-12, what must happen in the third game for Player A to win the match?</t>
  </si>
  <si>
    <t>A) Player A must win by at least 3 points. , B) Player A must win the third game. , C) Player A must win the third game by at least 3 points. , D) Player A must score at least 10 points in the third game.</t>
  </si>
  <si>
    <t>C) Player A must win the third game by at least 3 points.</t>
  </si>
  <si>
    <t>In a Kanche match, Player X scores 11 points, and Player Y scores 15 points in a game. What is the outcome of this game?</t>
  </si>
  <si>
    <t>A) Player X wins the game. , B) Player Y wins the game. , C) The game is a draw. , D) The game continues until one player reaches 20 points.</t>
  </si>
  <si>
    <t>B) Player Y wins the game.</t>
  </si>
  <si>
    <t>If a Kanche match is played with a set requirement of 21 points, and Player 1 wins the first set 21-19 and the second set 21-18, what is the result of the match?</t>
  </si>
  <si>
    <t>A) Player 1 wins the match 2-0. , B) Player 1 wins the match 2-1. , C) Player 2 wins the match 2-0. , D) The match is a draw.</t>
  </si>
  <si>
    <t>A) Player 1 wins the match 2-0.</t>
  </si>
  <si>
    <t>In a tournament, Player A won 3 sets while Player B won 2 sets. Each set is played to 15 points. What is the scoreline of the match?</t>
  </si>
  <si>
    <t>A) Player A won 3-2. , B) Player B won 3-2. , C) Player A won 3-1. , D) Player B won 3-1.</t>
  </si>
  <si>
    <t>A) Player A won 3-2.</t>
  </si>
  <si>
    <t>Player X and Player Y are playing a Kanche match with a rule that the first player to reach 25 points wins. If Player X scores 25 points and Player Y scores 20 points, who wins the match?</t>
  </si>
  <si>
    <t>A) Player X wins. , B) Player Y wins. , C) The match continues until one player scores 30 points. , D) The match is a draw.</t>
  </si>
  <si>
    <t>A) Player X wins.</t>
  </si>
  <si>
    <t>In a Kanche game, Player A scored 12 points, and Player B scored 15 points. What is the result?</t>
  </si>
  <si>
    <t>A) Player A wins the game. , B) Player B wins the game. , C) The game is a tie. , D) The game is postponed.</t>
  </si>
  <si>
    <t>B) Player B wins the game.</t>
  </si>
  <si>
    <t>During a Kanche match, Player A wins the first set 16-14 and the second set 15-13. What is the match scoreline?</t>
  </si>
  <si>
    <t>A) Player A wins 2-0. , B) Player B wins 2-0. , C) The match is tied 1-1. , D) The match is still ongoing.</t>
  </si>
  <si>
    <t>A) Player A wins 2-0.</t>
  </si>
  <si>
    <t>Player 1 won 4 sets while Player 2 won 3 sets in a Kanche tournament. How many sets were played in total?</t>
  </si>
  <si>
    <t>A) 6 sets. , B) 7 sets. , C) 8 sets. , D) 5 sets.</t>
  </si>
  <si>
    <t>B) 7 sets.</t>
  </si>
  <si>
    <t>In a Kanche tournament, Player X won the first two games 15-12 and 15-10, but lost the next game 14-15. What is required for Player X to win the match?</t>
  </si>
  <si>
    <t>A) Player X must win the next game. , B) Player X must win the next game by at least 3 points. , C) Player X must win the next two games. , D) Player X must win one more game.</t>
  </si>
  <si>
    <t>A) Player X must win the next game.</t>
  </si>
  <si>
    <t>Player A scored 10 points, and Player B scored 15 points in a Kanche game. If the game requires a minimum of 15 points to win, what is the result?</t>
  </si>
  <si>
    <t>A) Player A wins. , B) Player B wins. , C) The game is a tie. , D) The game continues until one player scores 20 points.</t>
  </si>
  <si>
    <t>B) Player B wins.</t>
  </si>
  <si>
    <t>If Player A wins two consecutive sets with scores of 20-18 and 21-19 in a Kanche match, what is the current match score?</t>
  </si>
  <si>
    <t>A) Player A leads 2-0. , B) Player B leads 2-0. , C) The match is tied 1-1. , D) Player A leads 1-0.</t>
  </si>
  <si>
    <t>A) Player A leads 2-0.</t>
  </si>
  <si>
    <t>In a Kanche match, Player A and Player B are playing a best-of-five sets game. If Player A wins 3 sets and Player B wins 1 set, what is the match scoreline?</t>
  </si>
  <si>
    <t>A) Player A wins 3-1. , B) Player B wins 3-1. , C) The match is tied 2-2. , D) The match is ongoing.</t>
  </si>
  <si>
    <t>A) Player A wins 3-1.</t>
  </si>
  <si>
    <t>Player X wins the first game of a Kanche match 15-13 and loses the second game 12-15. If Player X wins the third game 15-11, what is the match result?</t>
  </si>
  <si>
    <t>A) Player X wins 2-1. , B) Player X loses 1-2. , C) The match is a draw. , D) Player X wins 1-2.</t>
  </si>
  <si>
    <t>A) Player X wins 2-1.</t>
  </si>
  <si>
    <t>In a Kanche game where the winner must reach 20 points, Player A scores 18 points and Player B scores 20 points. What is the outcome?</t>
  </si>
  <si>
    <t>A) Player A wins. , B) Player B wins. , C) The game continues until one player scores 25 points. , D) The game is a tie.</t>
  </si>
  <si>
    <t>Player A won a Kanche match with scores of 15-10, 15-11, and 15-12. What is the total number of points Player A scored?</t>
  </si>
  <si>
    <t>A) 45 points. , B) 60 points. , C) 30 points. , D) 40 points.</t>
  </si>
  <si>
    <t>A) 45 points.</t>
  </si>
  <si>
    <t>During a Kanche match, if Player X and Player Y are tied 1-1 in games, and the next game determines the winner, how many games have been played?</t>
  </si>
  <si>
    <t>A) 3 games. , B) 4 games. , C) 2 games. , D) 5 games.</t>
  </si>
  <si>
    <t>A) 3 games.</t>
  </si>
  <si>
    <t>If Player A wins a Kanche match by scores of 15-13, 15-14, and 15-12, how many sets did Player A win?</t>
  </si>
  <si>
    <t>A) 3 sets. , B) 2 sets. , C) 1 set. , D) 4 sets.</t>
  </si>
  <si>
    <t>A) 3 sets.</t>
  </si>
  <si>
    <t>In a Kanche game, if Player A wins 15-14 and Player B wins 15-10 in two consecutive sets, what is the match score?</t>
  </si>
  <si>
    <t>A) Player A leads 1-0. , B) Player B leads 1-0. , C) The match is tied 1-1. , D) The match is still ongoing.</t>
  </si>
  <si>
    <t>C) The match is tied 1-1.</t>
  </si>
  <si>
    <t>Player A won a Kanche match with scores of 21-19 and 22-20. What is the minimum number of points Player A scored?</t>
  </si>
  <si>
    <t>A) 43 points. , B) 42 points. , C) 44 points. , D) 41 points.</t>
  </si>
  <si>
    <t>A) 43 points.</t>
  </si>
  <si>
    <t>If a Kanche game is played to 20 points and Player A scores 20 points while Player B scores 15 points, what is the result of the game?</t>
  </si>
  <si>
    <t>A) Player A wins. , B) Player B wins. , C) The game is a tie. , D) The game continues until one player scores 25 points.</t>
  </si>
  <si>
    <t>A) Player A wins.</t>
  </si>
  <si>
    <t>During a Kanche tournament, if Player A and Player B are playing a best-of-five match and Player A has won 2 sets while Player B has won 1 set, how many more sets must Player A win to secure the match?</t>
  </si>
  <si>
    <t>A) 1 more set. , B) 2 more sets. , C) 3 more sets. , D) The match is already won by Player A.</t>
  </si>
  <si>
    <t>A) 1 more set.</t>
  </si>
  <si>
    <t>In a Kanche match, Player A won the first set 15-12 and Player B won the second set 15-14. What must happen in the third set for Player A to win the match?</t>
  </si>
  <si>
    <t>A) Player A must win the third set. , B) Player A must win the third set by at least 2 points. , C) Player A must win the third set by 5 points. , D) Player A must score at least 10 points in the third set.</t>
  </si>
  <si>
    <t>A) Player A must win the third set.</t>
  </si>
  <si>
    <t>If Player X won a Kanche match with scores of 15-11, 15-14, and 15-12, what is the total number of sets won by Player X?</t>
  </si>
  <si>
    <t>Player A and Player B are playing a Kanche match with each set played to 20 points. If Player A won the first set 20-18 and Player B won the second set 20-19, what is the match score?</t>
  </si>
  <si>
    <t>A) 1-1. , B) 2-0. , C) 0-2. , D) 1-0.</t>
  </si>
  <si>
    <t>A) 1-1.</t>
  </si>
  <si>
    <t>In a Kanche game, if Player A scored 10 points and Player B scored 15 points, what is the result of the game?</t>
  </si>
  <si>
    <t>A) Player A wins. , B) Player B wins. , C) The game is a tie. , D) The game is postponed.</t>
  </si>
  <si>
    <t>During a Kanche match, if Player X wins two games 15-13 and 15-12 and loses one game 12-15, what is the match result?</t>
  </si>
  <si>
    <t>In a Kanche game, if Player A scored 14 points and Player B scored 15 points, what is the outcome?</t>
  </si>
  <si>
    <t>If a Kanche match has Player X winning 21-19 and Player Y winning 21-20, what is the match scoreline?</t>
  </si>
  <si>
    <t>Player A won a Kanche match with scores of 15-10, 15-11, and 15-12. What is the total number of points scored by Player A?</t>
  </si>
  <si>
    <t>A) 45 points. , B) 44 points. , C) 46 points. , D) 42 points.</t>
  </si>
  <si>
    <t>In a Kanche match, if Player A won 3 sets with scores of 15-13, 15-12, and 15-14, what is the total number of points Player A scored?</t>
  </si>
  <si>
    <t>A) 45 points. , B) 46 points. , C) 44 points. , D) 50 points.</t>
  </si>
  <si>
    <t>Player X won 3 out of 5 games in a Kanche match. What is the maximum number of games Player X could have won to be the match winner?</t>
  </si>
  <si>
    <t>B) 4 games.</t>
  </si>
  <si>
    <t>During a Kanche match, if Player A scored 18 points and Player B scored 15 points in a set, what is the result of that set?</t>
  </si>
  <si>
    <t>A) Player A wins the set. , B) Player B wins the set. , C) The set is a tie. , D) The set continues until one player scores 20 points.</t>
  </si>
  <si>
    <t>A) Player A wins the set.</t>
  </si>
  <si>
    <t>If Player A wins a Kanche match with scores of 15-14 and 15-12, what is the minimum number of sets Player A won?</t>
  </si>
  <si>
    <t>A) 2 sets. , B) 3 sets. , C) 1 set. , D) 4 sets.</t>
  </si>
  <si>
    <t>A) 2 sets.</t>
  </si>
  <si>
    <t>In a Kanche game played to 25 points, if Player A scores 25 points and Player B scores 20 points, what is the outcome?</t>
  </si>
  <si>
    <t>A) Player A wins the game. , B) Player B wins the game. , C) The game is a tie. , D) The game continues until one player scores 30 points.</t>
  </si>
  <si>
    <t>A) Player A wins the game.</t>
  </si>
  <si>
    <t>Player X wins a Kanche match with scores of 15-11, 15-13, and 15-10. What is the total number of sets won by Player X?</t>
  </si>
  <si>
    <t>If Player A won 2 out of 3 games in a Kanche match and each game is played to 15 points, what is the total number of games played?</t>
  </si>
  <si>
    <t>A) 3 games. , B) 2 games. , C) 4 games. , D) 5 games.</t>
  </si>
  <si>
    <t>During a Kanche match, if Player A won 15-14 and Player B won 15-13, what is the match score?</t>
  </si>
  <si>
    <t>Player A won the Kanche match with scores of 15-13 and 15-14. What is the minimum number of games Player A won?</t>
  </si>
  <si>
    <t>A) 2 games. , B) 1 game. , C) 3 games. , D) 4 games.</t>
  </si>
  <si>
    <t>A) 2 games.</t>
  </si>
  <si>
    <t>If Player X won the first game 15-13 and lost the second game 14-15, what must Player X do to win the match?</t>
  </si>
  <si>
    <t>A) Player X must win the next game. , B) Player X must win the next game by at least 2 points. , C) Player X must win the next two games. , D) Player X must win one more game.</t>
  </si>
  <si>
    <t>In a Kanche match, Player A won 3 out of 4 games. What is the maximum number of games Player A could have won?</t>
  </si>
  <si>
    <t>A) 3 games. , B) 4 games. , C) 2 games. , D) 1 game.</t>
  </si>
  <si>
    <t>Player A scored 16 points, and Player B scored 14 points in a Kanche game. What is the result of the game?</t>
  </si>
  <si>
    <t>During a Kanche match, if Player X won 3 sets and Player Y won 2 sets, what is the match scoreline?</t>
  </si>
  <si>
    <t>A) Player X wins 3-2. , B) Player Y wins 3-2. , C) The match is tied 2-2. , D) The match is still ongoing.</t>
  </si>
  <si>
    <t>A) Player X wins 3-2.</t>
  </si>
  <si>
    <t>If Player X and Player Y are playing a Kanche match where each game is played to 15 points, and Player X wins the first game 15-10, what is the current match scoreline?</t>
  </si>
  <si>
    <t>A) Player X leads 1-0. , B) Player Y leads 1-0. , C) The match is tied 0-0. , D) Player X leads 2-0.</t>
  </si>
  <si>
    <t>A) Player X leads 1-0.</t>
  </si>
  <si>
    <t>In a Kanche match, Player A won the first set 15-14 and lost the second set 15-13. What must Player A do to win the match?</t>
  </si>
  <si>
    <t>A) Player A must win the next set. , B) Player A must win the next set by at least 2 points. , C) Player A must win the next two sets. , D) Player A must win one more game.</t>
  </si>
  <si>
    <t>A) Player A must win the next set.</t>
  </si>
  <si>
    <t>Player X won a Kanche match with scores of 15-11 and 15-12. What is the minimum number of sets Player X won?</t>
  </si>
  <si>
    <t>During a Kanche match, Player A won 3 sets and Player B won 2 sets. If each set is played to 20 points, what is the total number of points Player A scored?</t>
  </si>
  <si>
    <t>A) 60 points. , B) 55 points. , C) 50 points. , D) 45 points.</t>
  </si>
  <si>
    <t>A) 60 points.</t>
  </si>
  <si>
    <t>In a Kanche game played to 30 points, if Player A scored 30 points and Player B scored 25 points, what is the outcome?</t>
  </si>
  <si>
    <t>A) Player A wins. , B) Player B wins. , C) The game is a tie. , D) The game continues until one player scores 35 points.</t>
  </si>
  <si>
    <t>Player X and Player Y are playing a Kanche match where each set is played to 21 points. If Player X wins the first set 21-19 and Player Y wins the second set 21-20, what is the match scoreline?</t>
  </si>
  <si>
    <t>If Player A won the Kanche match with scores of 15-12, 15-11, and 15-14, what is the total number of games won by Player A?</t>
  </si>
  <si>
    <t>A) 3 games. , B) 2 games. , C) 1 game. , D) 4 games.</t>
  </si>
  <si>
    <t>During a Kanche tournament, Player X and Player Y are tied 1-1 in games. What is the maximum number of games Player X can win to be the match winner?</t>
  </si>
  <si>
    <t>In a Kanche match, Player A scored 15 points, and Player B scored 14 points. If the game requires a minimum of 15 points to win, what is the result?</t>
  </si>
  <si>
    <t>Player X won a Kanche match with scores of 15-14 and 15-13. What is the minimum number of sets Player X won?</t>
  </si>
  <si>
    <t>During a Kanche game, if Player X scored 20 points and Player Y scored 19 points, what is the outcome?</t>
  </si>
  <si>
    <t>A) Player X wins the game. , B) Player Y wins the game. , C) The game is a tie. , D) The game continues until one player scores 25 points.</t>
  </si>
  <si>
    <t>A) Player X wins the game.</t>
  </si>
  <si>
    <t>In a Kanche match, Player A won the first set 15-12 and Player B won the second set 15-14. What must Player A do to win the match?</t>
  </si>
  <si>
    <t>Player X scored 17 points, and Player Y scored 15 points in a Kanche game. What is the result?</t>
  </si>
  <si>
    <t>A) Player X wins. , B) Player Y wins. , C) The game is a tie. , D) The game is postponed.</t>
  </si>
  <si>
    <t>In a Kanche match, if Player A won the first two games 15-10 and 15-12 and Player B won the third game 15-13, what is the match scoreline?</t>
  </si>
  <si>
    <t>A) Player A leads 2-1. , B) Player B leads 2-1. , C) The match is tied 1-1. , D) Player A leads 1-0.</t>
  </si>
  <si>
    <t>A) Player A leads 2-1.</t>
  </si>
  <si>
    <t>Player A scored 15 points and Player B scored 13 points in a Kanche game. What is the outcome of the game?</t>
  </si>
  <si>
    <t>A) Player A wins the game. , B) Player B wins the game. , C) The game is a tie. , D) The game continues until one player scores 20 points.</t>
  </si>
  <si>
    <t>During a Kanche match, Player A won the first set 15-14 and lost the second set 14-15. What must Player A do to win the match?</t>
  </si>
  <si>
    <t>In a Kanche game, if Player X won 2 sets with scores of 15-12 and 15-13 and Player Y won 1 set with a score of 15-10, what is the total number of games played?</t>
  </si>
  <si>
    <t>Player X and Player Y are playing a Kanche match. If Player X won 15-10 and Player Y won 15-13 in the first two games, what is the match score?</t>
  </si>
  <si>
    <t>If Player A won a Kanche match with scores of 15-11, 15-13, and 15-14, what is the minimum number of sets Player A won?</t>
  </si>
  <si>
    <t>During a Kanche match, Player X won the first game 15-13 and Player Y won the second game 15-14. If Player X wins the third game 15-10, what is the match scoreline?</t>
  </si>
  <si>
    <t>A) Player X wins 2-1. , B) Player Y wins 2-1. , C) The match is tied 1-1. , D) Player X wins 1-2.</t>
  </si>
  <si>
    <t>In a Kanche game, if Player A scored 12 points and Player B scored 15 points, what is the result?</t>
  </si>
  <si>
    <t>Player X scored 14 points, and Player Y scored 15 points in a Kanche game. What is the result?</t>
  </si>
  <si>
    <t>A) Player X wins. , B) Player Y wins. , C) The game is a tie. , D) The game continues until one player scores 20 points.</t>
  </si>
  <si>
    <t>B) Player Y wins.</t>
  </si>
  <si>
    <t>During a Kanche match, if Player X and Player Y are tied 2-2 in sets and each set is played to 20 points, what is the minimum number of sets Player X must win to secure the match?</t>
  </si>
  <si>
    <t>In a Kanche match, if Player A won 3 sets with scores of 15-12, 15-11, and 15-13, what is the total number of points scored by Player A?</t>
  </si>
  <si>
    <t>A) 45 points. , B) 50 points. , C) 46 points. , D) 55 points.</t>
  </si>
  <si>
    <t>If Player A won the first two sets with scores of 15-13 and 15-12, and Player B won the third set 15-14, what is the match scoreline?</t>
  </si>
  <si>
    <t>In a Kanche match, Player A wins the first set 15-8 and Player B wins the second set 15-14. If Player A wins the third set 15-9, what is the match scoreline?</t>
  </si>
  <si>
    <t>During a Kanche match, Player X won the first two sets with scores of 15-10 and 15-8. If Player Y wins the third set 15-13, what is the match scoreline?</t>
  </si>
  <si>
    <t>A) Player X leads 2-1. , B) Player Y leads 2-1. , C) The match is tied 1-1. , D) Player X leads 1-0.</t>
  </si>
  <si>
    <t>A) Player X leads 2-1.</t>
  </si>
  <si>
    <t>If Player A and Player B are playing a Kanche match and Player A wins the first set 15-12 and Player B wins the second set 15-14, what must Player A do to win the match?</t>
  </si>
  <si>
    <t>A) Player A must win the next set. , B) Player A must win the next set by at least 2 points. , C) Player A must win two more sets. , D) Player A must win one more game.</t>
  </si>
  <si>
    <t>In a Kanche game played to 20 points, if Player X scores 20 points and Player Y scores 18 points, what is the outcome?</t>
  </si>
  <si>
    <t>A) Player X wins. , B) Player Y wins. , C) The game is a tie. , D) The game continues until one player scores 25 points.</t>
  </si>
  <si>
    <t>During a Kanche match, Player X and Player Y are tied 1-1 in sets. If each set is played to 25 points, what is the maximum number of points Player X can win to secure the match?</t>
  </si>
  <si>
    <t>A) 25 points. , B) 30 points. , C) 40 points. , D) 50 points.</t>
  </si>
  <si>
    <t>B) 30 points.</t>
  </si>
  <si>
    <t>Player A won the first set 15-14, Player B won the second set 15-13, and Player A won the third set 15-12. What is the minimum number of sets Player A must win to win the match?</t>
  </si>
  <si>
    <t>A) 2 sets. , B) 3 sets. , C) 4 sets. , D) 1 set.</t>
  </si>
  <si>
    <t>B) 3 sets.</t>
  </si>
  <si>
    <t>In a Kanche match, Player X won the first game 15-12, Player Y won the second game 15-14, and Player X won the third game 15-10. What is the total number of games Player X won?</t>
  </si>
  <si>
    <t>During a Kanche tournament, Player A and Player B are tied 2-2 in sets. If Player A wins the fifth set with a score of 15-10, what is the match scoreline?</t>
  </si>
  <si>
    <t>A) Player A wins 3-2. , B) Player B wins 3-2. , C) The match is tied 2-2. , D) The match is still ongoing.</t>
  </si>
  <si>
    <t>A) Player A wins 3-2.</t>
  </si>
  <si>
    <t>If Player X won the first two sets of a Kanche match with scores of 15-9 and 15-11, and Player Y won the next set 15-13, what is the match scoreline?</t>
  </si>
  <si>
    <t>Player A won the first game 15-13, Player B won the second game 15-14, and Player A won the third game 15-12. What is the minimum number of games Player A won?</t>
  </si>
  <si>
    <t>In a Kanche game, if Player X scores 25 points and Player Y scores 20 points, what is the outcome of the game?</t>
  </si>
  <si>
    <t>A) Player X wins. , B) Player Y wins. , C) The game is a tie. , D) The game continues until one player scores 30 points.</t>
  </si>
  <si>
    <t>During a Kanche match, if Player A won the first set 15-12 and Player B won the second set 15-13, what is the maximum number of points Player A can win to ensure they win the match?</t>
  </si>
  <si>
    <t>A) 30 points. , B) 25 points. , C) 20 points. , D) 35 points.</t>
  </si>
  <si>
    <t>A) 30 points.</t>
  </si>
  <si>
    <t>Player X and Player Y are playing a Kanche match where each game is played to 15 points. If Player X wins the first game 15-12 and Player Y wins the second game 15-14, what is the match score?</t>
  </si>
  <si>
    <t>In a Kanche match, if Player A won the first two sets with scores of 15-10 and 15-11, and Player B won the third set 15-14, what must Player A do to win the match?</t>
  </si>
  <si>
    <t>A) Player A must win one more set. , B) Player A must win the next two sets. , C) Player A must win one more game. , D) Player A must win the next set by at least 2 points.</t>
  </si>
  <si>
    <t>A) Player A must win one more set.</t>
  </si>
  <si>
    <t>Player A won the first set 15-11, Player B won the second set 15-12, and Player A won the third set 15-13. If Player B wins the fourth set 15-10, what is the match scoreline?</t>
  </si>
  <si>
    <t>A) 2-2. , B) 3-1. , C) 2-1. , D) 1-3.</t>
  </si>
  <si>
    <t>A) 2-2.</t>
  </si>
  <si>
    <t>During a Kanche match, Player X scored 14 points and Player Y scored 15 points. If the game requires a minimum of 15 points to win, what is the result?</t>
  </si>
  <si>
    <t>A) Player Y wins. , B) Player X wins. , C) The game is a tie. , D) The game continues until one player scores 20 points.</t>
  </si>
  <si>
    <t>A) Player Y wins.</t>
  </si>
  <si>
    <t>In a Kanche match, Player X and Player Y are tied 2-2 in games. If Player X wins the final game 15-13, what is the match scoreline?</t>
  </si>
  <si>
    <t>Player A won a Kanche match with scores of 15-14, 15-13, and 15-12. What is the minimum number of sets Player A won?</t>
  </si>
  <si>
    <t>During a Kanche match, Player X won the first set 15-10, and Player Y won the second set 15-12. If Player X wins the third set 15-13, what is the match scoreline?</t>
  </si>
  <si>
    <t>In a Kanche game, if Player X scored 17 points and Player Y scored 20 points, what is the result?</t>
  </si>
  <si>
    <t>A) Player Y wins. , B) Player X wins. , C) The game is a tie. , D) The game continues until one player scores 25 points.</t>
  </si>
  <si>
    <t>Player A won the first set 15-14, Player B won the second set 15-13, and Player A won the third set 15-12. What is the minimum number of sets Player A needs to win to win the match?</t>
  </si>
  <si>
    <t>During a Kanche match, if Player X wins the first set 15-13 and Player Y wins the second set 15-14, what is the maximum number of points Player X needs to win to ensure a match win?</t>
  </si>
  <si>
    <t>A) 25 points. , B) 20 points. , C) 30 points. , D) 40 points.</t>
  </si>
  <si>
    <t>A) 25 points.</t>
  </si>
  <si>
    <t>Player A won the first two sets with scores of 15-11 and 15-13. Player B won the third set 15-12. What is the match scoreline?</t>
  </si>
  <si>
    <t>In a Kanche match, Player A and Player B are tied 1-1 in sets. If Player A wins the next set 15-10, what is the match scoreline?</t>
  </si>
  <si>
    <t>If Player X wins the first set 15-13 and Player Y wins the second set 15-14, what is the maximum number of points Player X needs to ensure winning the match?</t>
  </si>
  <si>
    <t>A) 30 points. , B) 25 points. , C) 40 points. , D) 35 points.</t>
  </si>
  <si>
    <t>B) 25 points.</t>
  </si>
  <si>
    <t>Player A won the first set 15-12, Player B won the second set 15-13, and Player A won the third set 15-14. What is the minimum number of sets Player A won?</t>
  </si>
  <si>
    <t>During a Kanche game, Player X scored 16 points and Player Y scored 20 points. If the game requires a minimum of 20 points to win, what is the result?</t>
  </si>
  <si>
    <t>In a Kanche match, if Player A wins the first set 15-10, Player B wins the second set 15-14, and Player A wins the third set 15-12, what is the match scoreline?</t>
  </si>
  <si>
    <t>Player X and Player Y are tied 1-1 in sets. If Player X wins the next set 15-12, what is the minimum number of sets Player X needs to win to secure the match?</t>
  </si>
  <si>
    <t>During a Kanche game, Player X won the first game 15-13 and Player Y won the second game 15-14. What is the match scoreline?</t>
  </si>
  <si>
    <t>In a Kanche match, if Player A won the first set 15-14 and Player B won the second set 15-13, what is the maximum number of points Player A needs to win to ensure they win the match?</t>
  </si>
  <si>
    <t>A) 30 points. , B) 25 points. , C) 20 points. , D) 40 points.</t>
  </si>
  <si>
    <t>Player A won the first two sets with scores of 15-14 and 15-13. Player B won the third set 15-12. What is the match scoreline?</t>
  </si>
  <si>
    <t>In a Kanche game, if Player X scored 18 points and Player Y scored 20 points, what is the result?</t>
  </si>
  <si>
    <t>During a Kanche match, if Player X won the first set 15-13 and Player Y won the second set 15-14, what must Player X do to win the match?</t>
  </si>
  <si>
    <t>A) Player X must win the next set. , B) Player X must win two more sets. , C) Player X must win one more game. , D) Player X must win the next set by at least 2 points.</t>
  </si>
  <si>
    <t>A) Player X must win the next set.</t>
  </si>
  <si>
    <t>If Player X won the first two games 15-11 and 15-12, and Player Y won the third game 15-13, what is the minimum number of games Player X needs to win to win the match?</t>
  </si>
  <si>
    <t>A) 2 games. , B) 3 games. , C) 4 games. , D) 1 game.</t>
  </si>
  <si>
    <t>B) 3 games.</t>
  </si>
  <si>
    <t>In a Kanche match, Player X and Player Y are tied 2-2 in sets. If Player X wins the final set 15-10, what is the match scoreline?</t>
  </si>
  <si>
    <t>Player A won the first set 15-12, Player B won the second set 15-14, and Player A won the third set 15-13. What is the match scoreline?</t>
  </si>
  <si>
    <t>In a Kanche game, if Player X scored 16 points and Player Y scored 20 points, what is the outcome?</t>
  </si>
  <si>
    <t>Player X won the first set 15-12, and Player Y won the second set 15-14. If Player X wins the third set 15-10, what is the match scoreline?</t>
  </si>
  <si>
    <t>In a Kanche match, if Player X wins the first two sets with scores of 15-10 and 15-12, and Player Y wins the third set 15-14, what is the match scoreline?</t>
  </si>
  <si>
    <t>Player A won the first two sets 15-11 and 15-13. Player B won the third set 15-12. What is the minimum number of sets Player A needs to win to win the match?</t>
  </si>
  <si>
    <t>During a Kanche game, Player X scored 18 points and Player Y scored 20 points. If the game requires a minimum of 20 points to win, what is the result?</t>
  </si>
  <si>
    <t>In a Kanche match, Player X won the first set 15-14 and Player Y won the second set 15-13. If Player X wins the third set 15-12, what is the match scoreline?</t>
  </si>
  <si>
    <t>During a Kanche match, Player X and Player Y are tied 2-2 in sets. If Player X wins the final set 15-11, what is the match scoreline?</t>
  </si>
  <si>
    <t>In a Kanche game, if Player X scored 17 points and Player Y scored 20 points, what is the outcome?</t>
  </si>
  <si>
    <t>Player X won the first set 15-12 and Player Y won the second set 15-14. If Player X wins the third set 15-13, what is the match scoreline?</t>
  </si>
  <si>
    <t>Player A won the first set 15-14 and Player B won the second set 15-13. If Player A wins the third set 15-12, what is the match scoreline?</t>
  </si>
  <si>
    <t>In a Kanche game, if Player X scored 25 points and Player Y scored 22 points, what is the outcome?</t>
  </si>
  <si>
    <t>During a Kanche match, if Player X wins the first set 15-13, Player Y wins the second set 15-12, and Player X wins the third set 15-14, what is the match scoreline?</t>
  </si>
  <si>
    <t>Player A won the first set 15-10 and Player B won the second set 15-14. If Player A wins the third set 15-13, what is the match scoreline?</t>
  </si>
  <si>
    <t>In a Kanche match, Player X won the first set 15-12 and Player Y won the second set 15-13. What must Player X do to win the match?</t>
  </si>
  <si>
    <t>A) Player X must win the next set. , B) Player X must win two more sets. , C) Player X must win the next game. , D) Player X must win the next set by at least 2 points.</t>
  </si>
  <si>
    <t>Player X won the first set 15-12, and Player Y won the second set 15-13. If Player X wins the third set 15-14, what is the match scoreline?</t>
  </si>
  <si>
    <t>During a Kanche match, Player A won the first set 15-14, Player B won the second set 15-13, and Player A won the third set 15-12. What is the match scoreline?</t>
  </si>
  <si>
    <t>Player X won the first set 15-13 and Player Y won the second set 15-14. If Player X wins the third set 15-12, what is the match scoreline?</t>
  </si>
  <si>
    <t>During a Kanche match, Player X scored 18 points and Player Y scored 20 points. If the game requires a minimum of 20 points to win, what is the result?</t>
  </si>
  <si>
    <t>In a Kanche match, Player A won the first set 15-13, Player B won the second set 15-14, and Player A won the third set 15-12. What is the current scoreline?</t>
  </si>
  <si>
    <t>Player X wins the first set 15-11 and Player Y wins the second set 15-14. If Player X wins the third set 15-13, what is the match scoreline?</t>
  </si>
  <si>
    <t>During a Kanche game, if Player X scored 14 points and Player Y scored 15 points, and the game requires 15 points to win, what is the result?</t>
  </si>
  <si>
    <t>Player A won the first set 15-12, Player B won the second set 15-10, and Player A won the third set 15-14. What is the match scoreline?</t>
  </si>
  <si>
    <t>In a Kanche match, Player X wins the first set 15-12, Player Y wins the second set 15-14, and Player X wins the third set 15-13. What does Player X need to do to win the match?</t>
  </si>
  <si>
    <t>A) Win the next set. , B) Win two more sets. , C) Win the next game. , D) Win by at least 2 points.</t>
  </si>
  <si>
    <t>A) Win the next set.</t>
  </si>
  <si>
    <t>Player X won the first set 15-14, Player Y won the second set 15-13, and Player X won the third set 15-12. What is the current match scoreline?</t>
  </si>
  <si>
    <t>During a Kanche match, Player X scored 16 points and Player Y scored 15 points. If the game requires 20 points to win, what is the result?</t>
  </si>
  <si>
    <t>In a Kanche game, if Player X wins the first set 15-10 and Player Y wins the second set 15-12, what must Player X do to win the match?</t>
  </si>
  <si>
    <t>During a Kanche match, if Player X scored 20 points and Player Y scored 22 points, and the game requires 25 points to win, what is the result?</t>
  </si>
  <si>
    <t>A) Player Y wins. , B) Player X wins. , C) The game is a tie. , D) The game continues until one player scores 30 points.</t>
  </si>
  <si>
    <t>Player A won the first set 15-10, Player B won the second set 15-12, and Player A won the third set 15-13. What is the current scoreline?</t>
  </si>
  <si>
    <t>In a Kanche game, if Player X scored 22 points and Player Y scored 20 points, what is the result?</t>
  </si>
  <si>
    <t>During a Kanche match, Player X won the first set 15-13 and Player Y won the second set 15-11. If Player X wins the third set 15-14, what is the match scoreline?</t>
  </si>
  <si>
    <t>Player A won the first set 15-12, Player B won the second set 15-13, and Player A won the third set 15-14. What is the match scoreline?</t>
  </si>
  <si>
    <t>In a Kanche game, if Player X scored 17 points and Player Y scored 19 points, and the game requires 20 points to win, what is the result?</t>
  </si>
  <si>
    <t>Player X won the first set 15-14 and Player Y won the second set 15-13. If Player X wins the third set 15-12, what is the match scoreline?</t>
  </si>
  <si>
    <t>During a Kanche match, Player X scored 18 points and Player Y scored 15 points. If the game requires 20 points to win, what is the result?</t>
  </si>
  <si>
    <t>Player A won the first set 15-11 and Player B won the second set 15-14. If Player A wins the third set 15-13, what is the match scoreline?</t>
  </si>
  <si>
    <t>In a Kanche game, if Player X scored 19 points and Player Y scored 21 points, and the game requires 25 points to win, what is the result?</t>
  </si>
  <si>
    <t>Player X won the first set 15-12 and Player Y won the second set 15-13. If Player X wins the third set 15-14, what is the current match scoreline?</t>
  </si>
  <si>
    <t>During a Kanche match, if Player X scored 21 points and Player Y scored 22 points, and the game requires 25 points to win, what is the result?</t>
  </si>
  <si>
    <t>Player A won the first set 15-14 and Player B won the second set 15-12. If Player A wins the third set 15-13, what is the match scoreline?</t>
  </si>
  <si>
    <t>In a Kanche game, if Player X scored 15 points and Player Y scored 14 points, and the game requires 20 points to win, what is the result?</t>
  </si>
  <si>
    <t>During a Kanche match, Player X scored 22 points and Player Y scored 24 points. If the game requires 25 points to win, what is the result?</t>
  </si>
  <si>
    <t>Player A won the first set 15-11 and Player B won the second set 15-12. If Player A wins the third set 15-14, what is the current match scoreline?</t>
  </si>
  <si>
    <t>In a Kanche game, if Player X scored 20 points and Player Y scored 18 points, and the game requires 25 points to win, what is the result?</t>
  </si>
  <si>
    <t>Player X won the first set 15-12 and Player Y won the second set 15-13. If Player X wins the third set 15-14, what is the match scoreline?</t>
  </si>
  <si>
    <t>During a Kanche match, if Player X scored 23 points and Player Y scored 25 points, and the game requires 30 points to win, what is the result?</t>
  </si>
  <si>
    <t>A) Player Y wins. , B) Player X wins. , C) The game is a tie. , D) The game continues until one player scores 35 points.</t>
  </si>
  <si>
    <t>Player A won the first set 15-10, Player B won the second set 15-14, and Player A won the third set 15-12. What is the current match scoreline?</t>
  </si>
  <si>
    <t>In a Kanche game, if Player X scored 24 points and Player Y scored 26 points, and the game requires 30 points to win, what is the result?</t>
  </si>
  <si>
    <t>Player X won the first set 15-14, Player Y won the second set 15-12, and Player X won the third set 15-13. What is the match scoreline?</t>
  </si>
  <si>
    <t>During a Kanche match, Player X scored 15 points and Player Y scored 17 points. If the game requires 20 points to win, what is the result?</t>
  </si>
  <si>
    <t>Player X won the first set 15-11 and Player Y won the second set 15-14. If Player X wins the third set 15-12, what is the match scoreline?</t>
  </si>
  <si>
    <t>In a Kanche game, if Player X scored 25 points and Player Y scored 22 points, and the game requires 30 points to win, what is the result?</t>
  </si>
  <si>
    <t>A) Player X wins. , B) Player Y wins. , C) The game is a tie. , D) The game continues until one player scores 35 points.</t>
  </si>
  <si>
    <t>Player A won the first set 15-12 and Player B won the second set 15-14. If Player A wins the third set 15-13, what is the match scoreline?</t>
  </si>
  <si>
    <t>During a Kanche match, Player X scored 22 points and Player Y scored 20 points. If the game requires 25 points to win, what is the result?</t>
  </si>
  <si>
    <t>Player X won the first set 15-13 and Player Y won the second set 15-11. If Player X wins the third set 15-14, what is the match scoreline?</t>
  </si>
  <si>
    <t>In a Kanche game, if Player X scored 30 points and Player Y scored 29 points, and the game requires 35 points to win, what is the result?</t>
  </si>
  <si>
    <t>A) Player X wins. , B) Player Y wins. , C) The game is a tie. , D) The game continues until one player scores 40 points.</t>
  </si>
  <si>
    <t>Player A won the first set 15-11 and Player B won the second set 15-13. If Player A wins the third set 15-12, what is the current match scoreline?</t>
  </si>
  <si>
    <t>During a Kanche match, Player X scored 28 points and Player Y scored 26 points. If the game requires 30 points to win, what is the result?</t>
  </si>
  <si>
    <t>Player X won the first set 15-10 and Player Y won the second set 15-14. If Player X wins the third set 15-12, what is the match scoreline?</t>
  </si>
  <si>
    <t>In a Kanche game, if Player X scored 25 points and Player Y scored 27 points, and the game requires 30 points to win, what is the result?</t>
  </si>
  <si>
    <t>Player A won the first set 15-12 and Player B won the second set 15-14. If Player A wins the third set 15-13, what is the current match scoreline?</t>
  </si>
  <si>
    <t>During a Kanche match, Player X scored 22 points and Player Y scored 23 points. If the game requires 25 points to win, what is the result?</t>
  </si>
  <si>
    <t>Player X won the first set 15-11 and Player Y won the second set 15-13. If Player X wins the third set 15-14, what is the match scoreline?</t>
  </si>
  <si>
    <t>In a Kanche game, if Player X scored 26 points and Player Y scored 25 points, and the game requires 30 points to win, what is the result?</t>
  </si>
  <si>
    <t>Player A won the first set 15-14 and Player B won the second set 15-11. If Player A wins the third set 15-13, what is the match scoreline?</t>
  </si>
  <si>
    <t>During a Kanche match, Player X scored 18 points and Player Y scored 19 points. If the game requires 20 points to win, what is the result?</t>
  </si>
  <si>
    <t>In a Kanche game, if Player X scored 27 points and Player Y scored 29 points, and the game requires 30 points to win, what is the result?</t>
  </si>
  <si>
    <t>Player A won the first set 15-10 and Player B won the second set 15-12. If Player A wins the third set 15-13, what is the current match scoreline?</t>
  </si>
  <si>
    <t>During a Kanche match, Player X scored 24 points and Player Y scored 25 points. If the game requires 30 points to win, what is the result?</t>
  </si>
  <si>
    <t>Player X won the first set 15-14 and Player Y won the second set 15-12. If Player X wins the third set 15-13, what is the match scoreline?</t>
  </si>
  <si>
    <t>In a Kanche game, if Player X scored 28 points and Player Y scored 29 points, and the game requires 30 points to win, what is the result?</t>
  </si>
  <si>
    <t>Player A won the first set 15-11 and Player B won the second set 15-14. If Player A wins the third set 15-12, what is the current match scoreline?</t>
  </si>
  <si>
    <t>During a Kanche match, Player X scored 30 points and Player Y scored 31 points. If the game requires 35 points to win, what is the result?</t>
  </si>
  <si>
    <t>A) Player Y wins. , B) Player X wins. , C) The game is a tie. , D) The game continues until one player scores 40 points.</t>
  </si>
  <si>
    <t>In a Kanche game, if Player X scored 23 points and Player Y scored 25 points, and the game requires 30 points to win, what is the result?</t>
  </si>
  <si>
    <t>Player X won the first set 15-10 and Player Y won the second set 15-14. If Player X wins the third set 15-11, what is the current match scoreline?</t>
  </si>
  <si>
    <t>Player A won the first set 15-13 and Player B won the second set 15-12. If Player A wins the third set 15-14, what is the match scoreline?</t>
  </si>
  <si>
    <t>In a Kanche game, if Player X scored 20 points and Player Y scored 22 points, and the game requires 25 points to win, what is the result?</t>
  </si>
  <si>
    <t>Player X won the first set 15-14 and Player Y won the second set 15-13. If Player X wins the third set 15-11, what is the current match scoreline?</t>
  </si>
  <si>
    <t>During a Kanche match, Player X scored 25 points and Player Y scored 27 points. If the game requires 30 points to win, what is the result?</t>
  </si>
  <si>
    <t>Player A won the first set 15-12 and Player B won the second set 15-13. If Player A wins the third set 15-10, what is the match scoreline?</t>
  </si>
  <si>
    <t>In a Kanche game, if Player X scored 26 points and Player Y scored 29 points, and the game requires 30 points to win, what is the result?</t>
  </si>
  <si>
    <t>Player X won the first set 15-11 and Player Y won the second set 15-10. If Player X wins the third set 15-14, what is the current match scoreline?</t>
  </si>
  <si>
    <t>In a Kanche game, if Player X scored 28 points and Player Y scored 30 points, and the game requires 35 points to win, what is the result?</t>
  </si>
  <si>
    <t>Player X won the first set 15-14 and Player Y won the second set 15-12. If Player X wins the third set 15-10, what is the current match scoreline?</t>
  </si>
  <si>
    <t>During a Kanche match, Player X scored 31 points and Player Y scored 29 points. If the game requires 35 points to win, what is the result?</t>
  </si>
  <si>
    <t>Player A won the first set 15-13 and Player B won the second set 15-14. If Player A wins the third set 15-12, what is the match scoreline?</t>
  </si>
  <si>
    <t>In a Kanche game, if Player X scored 24 points and Player Y scored 25 points, and the game requires 30 points to win, what is the result?</t>
  </si>
  <si>
    <t>Player X won the first set 15-10 and Player Y won the second set 15-12. If Player X wins the third set 15-13, what is the current match scoreline?</t>
  </si>
  <si>
    <t>During a Kanche match, Player X scored 27 points and Player Y scored 28 points. If the game requires 30 points to win, what is the result?</t>
  </si>
  <si>
    <t>Player A won the first set 15-13 and Player B won the second set 15-11. If Player A wins the third set 15-12, what is the match scoreline?</t>
  </si>
  <si>
    <t>In a Kanche game, if Player X scored 29 points and Player Y scored 31 points, and the game requires 35 points to win, what is the result?</t>
  </si>
  <si>
    <t>Player X won the first set 15-12 and Player Y won the second set 15-10. If Player X wins the third set 15-14, what is the current match scoreline?</t>
  </si>
  <si>
    <t>During a Kanche match, Player X scored 32 points and Player Y scored 30 points. If the game requires 35 points to win, what is the result?</t>
  </si>
  <si>
    <t>In a Kanche game, if Player X scored 23 points and Player Y scored 26 points, and the game requires 30 points to win, what is the result?</t>
  </si>
  <si>
    <t>Player X won the first set 15-13 and Player Y won the second set 15-14. If Player X wins the third set 15-11, what is the current match scoreline?</t>
  </si>
  <si>
    <t>During a Kanche match, Player X scored 25 points and Player Y scored 24 points. If the game requires 30 points to win, what is the result?</t>
  </si>
  <si>
    <t>In a Kanche game, if Player X scored 20 points and Player Y scored 23 points, and the game requires 25 points to win, what is the result?</t>
  </si>
  <si>
    <t>Player X won the first set 15-10 and Player Y won the second set 15-12. If Player X wins the third set 15-14, what is the current match scoreline?</t>
  </si>
  <si>
    <t>During a Kanche match, Player X scored 26 points and Player Y scored 28 points. If the game requires 30 points to win, what is the result?</t>
  </si>
  <si>
    <t>Player A won the first set 15-11 and Player B won the second set 15-13. If Player A wins the third set 15-14, what is the match scoreline?</t>
  </si>
  <si>
    <t>In a Kanche game, if Player X scored 29 points and Player Y scored 30 points, and the game requires 35 points to win, what is the result?</t>
  </si>
  <si>
    <t>Player X won the first set 15-13 and Player Y won the second set 15-12. If Player X wins the third set 15-10, what is the current match scoreline?</t>
  </si>
  <si>
    <t>During a Kanche match, Player X scored 30 points and Player Y scored 29 points. If the game requires 35 points to win, what is the result?</t>
  </si>
  <si>
    <t>Player A won the first set 15-14 and Player B won the second set 15-12. If Player A wins the third set 15-11, what is the match scoreline?</t>
  </si>
  <si>
    <t>In a Kanche game, if Player X scored 21 points and Player Y scored 22 points, and the game requires 25 points to win, what is the result?</t>
  </si>
  <si>
    <t>Player X won the first set 15-12 and Player Y won the second set 15-11. If Player X wins the third set 15-14, what is the current match scoreline?</t>
  </si>
  <si>
    <t>During a Kanche match, Player X scored 24 points and Player Y scored 26 points. If the game requires 30 points to win, what is the result?</t>
  </si>
  <si>
    <t>Player A won the first set 15-11 and Player B won the second set 15-12. If Player A wins the third set 15-14, what is the match scoreline?</t>
  </si>
  <si>
    <t>In a Kanche game, if Player X scored 27 points and Player Y scored 28 points, and the game requires 35 points to win, what is the result?</t>
  </si>
  <si>
    <t>During a Kanche match, Player X scored 23 points and Player Y scored 22 points. If the game requires 25 points to win, what is the result?</t>
  </si>
  <si>
    <t>Player A won the first set 15-14 and Player B won the second set 15-13. If Player A wins the third set 15-11, what is the match scoreline?</t>
  </si>
  <si>
    <t>Player A won the first set 15-12 and Player B won the second set 15-14. If Player A wins the third set 15-11, what is the match scoreline?</t>
  </si>
  <si>
    <t>In a Kanche game, if Player X scored 26 points and Player Y scored 27 points, and the game requires 30 points to win, what is the result?</t>
  </si>
  <si>
    <t>Player X won the first set 15-13 and Player Y won the second set 15-11. If Player X wins the third set 15-12, what is the current match scoreline?</t>
  </si>
  <si>
    <t>In a Kanche game, if Player X scored 25 points and Player Y scored 28 points, and the game requires 30 points to win, what is the result?</t>
  </si>
  <si>
    <t>Player X won the first set 15-11 and Player Y won the second set 15-14. If Player X wins the third set 15-12, what is the current match scoreline?</t>
  </si>
  <si>
    <t>During a Kanche match, Player X scored 31 points and Player Y scored 30 points. If the game requires 35 points to win, what is the result?</t>
  </si>
  <si>
    <t>Player A won the first set 15-12 and Player B won the second set 15-13. If Player A wins the third set 15-11, what is the match scoreline?</t>
  </si>
  <si>
    <t>Player X won the first set 15-13 and Player Y won the second set 15-11. If Player X wins the third set 15-14, what is the current match scoreline?</t>
  </si>
  <si>
    <t>During a Kanche match, Player X scored 20 points and Player Y scored 22 points. If the game requires 25 points to win, what is the result?</t>
  </si>
  <si>
    <t>In a Kanche game, Player X scores 30 points and Player Y scores 31 points. If the game requires 35 points to win, what is the result?</t>
  </si>
  <si>
    <t>During a Kanche match, Player X scores 25 points and Player Y scores 26 points. If the game requires 30 points to win, what is the result?</t>
  </si>
  <si>
    <t>During a Kanche match, Player X scores 24 points and Player Y scores 26 points. If the game requires 30 points to win, what is the result?</t>
  </si>
  <si>
    <t>During a Kanche match, Player X scores 27 points and Player Y scores 28 points. If the game requires 35 points to win, what is the result?</t>
  </si>
  <si>
    <t>In a Kanche game, if Player X scored 26 points and Player Y scored 28 points, and the game requires 30 points to win, what is the result?</t>
  </si>
  <si>
    <t>Player X won the first set 15-12 and Player Y won the second set 15-14. If Player X wins the third set 15-11, what is the match scoreline?</t>
  </si>
  <si>
    <t>During a Kanche match, Player X scores 25 points and Player Y scores 27 points. If the game requires 30 points to win, what is the result?</t>
  </si>
  <si>
    <t>Player X won the first set 15-11 and Player Y won the second set 15-12. If Player X wins the third set 15-14, what is the match scoreline?</t>
  </si>
  <si>
    <t>Player A won the first set 15-13 and Player B won the second set 15-12. If Player A wins the third set 15-11, what is the match scoreline?</t>
  </si>
  <si>
    <t>During a Kanche match, Player X scored 27 points and Player Y scored 29 points. If the game requires 35 points to win, what is the result?</t>
  </si>
  <si>
    <t>Player X won the first set 15-10 and Player Y won the second set 15-13. If Player X wins the third set 15-14, what is the match scoreline?</t>
  </si>
  <si>
    <t>In a Kanche game, if Player X scored 25 points and Player Y scored 26 points, and the game requires 30 points to win, what is the result?</t>
  </si>
  <si>
    <t>Player X won the first set 15-14 and Player Y won the second set 15-11. If Player X wins the third set 15-12, what is the match scoreline?</t>
  </si>
  <si>
    <t>Player X won the first set 15-13 and Player Y won the second set 15-11. If Player X wins the third set 15-12, what is the match scoreline?</t>
  </si>
  <si>
    <t>In a Kanche game, if Player X scored 30 points and Player Y scored 32 points, and the game requires 35 points to win, what is the result?</t>
  </si>
  <si>
    <t>During a Kanche match, Player X scored 29 points and Player Y scored 30 points. If the game requires 35 points to win, what is the result?</t>
  </si>
  <si>
    <t>During a Kanche match, Player X scored 31 points and Player Y scored 32 points. If the game requires 35 points to win, what is the result?</t>
  </si>
  <si>
    <t>Player X won the first set 15-12 and Player Y won the second set 15-13. If Player X wins the third set 15-11, what is the match scoreline?</t>
  </si>
  <si>
    <t>During a Kanche match, Player X scored 26 points and Player Y scored 27 points. If the game requires 30 points to win, what is the result?</t>
  </si>
  <si>
    <t>In a Kanche game, if Player X scored 31 points and Player Y scored 32 points, and the game requires 35 points to win, what is the result?</t>
  </si>
  <si>
    <t>In a Kanche game, if Player X scored 24 points and Player Y scored 27 points, and the game requires 30 points to win, what is the result?</t>
  </si>
  <si>
    <t>Player X won the first set 15-13 and Player Y won the second set 15-12. If Player X wins the third set 15-14, what is the match scoreline?</t>
  </si>
  <si>
    <t>In a Kanche game, Player X scored 25 points and Player Y scored 29 points. If the game requires 30 points to win, what is the result?</t>
  </si>
  <si>
    <t>Player X won the first set 15-14 and Player Y won the second set 15-13. If Player Y wins the third set 15-12, what is the match scoreline?</t>
  </si>
  <si>
    <t>A) Player Y leads 2-1. , B) Player X leads 2-1. , C) The match is tied 1-1. , D) Player Y leads 1-0.</t>
  </si>
  <si>
    <t>A) Player Y leads 2-1.</t>
  </si>
  <si>
    <t>During a Kanche match, Player X scored 27 points and Player Y scored 30 points. If the game requires 35 points to win, what is the result?</t>
  </si>
  <si>
    <t>In a Kanche game, Player X scored 30 points and Player Y scored 28 points. If the game requires 35 points to win, what is the result?</t>
  </si>
  <si>
    <t>During a Kanche match, Player X scored 29 points and Player Y scored 31 points. If the game requires 30 points to win, what is the result?</t>
  </si>
  <si>
    <t>Player X won the first set 15-12 and Player Y won the second set 15-14. If Player Y wins the third set 15-13, what is the match scoreline?</t>
  </si>
  <si>
    <t>During a Kanche match, Player X scored 25 points and Player Y scored 30 points. If the game requires 35 points to win, what is the result?</t>
  </si>
  <si>
    <t>Player X won the first set 15-12 and Player Y won the second set 15-11. If Player Y wins the third set 15-14, what is the match scoreline?</t>
  </si>
  <si>
    <t>During a Kanche match, Player X scored 29 points and Player Y scored 27 points. If the game requires 30 points to win, what is the result?</t>
  </si>
  <si>
    <t>Player X won the first set 15-13 and Player Y won the second set 15-11. If Player Y wins the third set 15-14, what is the match scoreline?</t>
  </si>
  <si>
    <t>In a Kanche game, if Player X scored 27 points and Player Y scored 30 points, and the game requires 35 points to win, what is the result?</t>
  </si>
  <si>
    <t>During a Kanche match, Player X scored 30 points and Player Y scored 25 points. If the game requires 35 points to win, what is the result?</t>
  </si>
  <si>
    <t>Player X won the first set 15-14 and Player Y won the second set 15-12. If Player Y wins the third set 15-13, what is the match scoreline?</t>
  </si>
  <si>
    <t>Player X won the first set 15-13 and Player Y won the second set 15-12. If Player Y wins the third set 15-14, what is the match scoreline?</t>
  </si>
  <si>
    <t>Player X won the first set 15-14 and Player Y won the second set 15-11. If Player X wins the third set 15-13, what is the match scoreline?</t>
  </si>
  <si>
    <t>In a Kanche game, if Player X scored 31 points and Player Y scored 30 points, and the game requires 35 points to win, what is the result?</t>
  </si>
  <si>
    <t>Player X won the first set 15-12 and Player Y won the second set 15-11. If Player Y wins the third set 15-13, what is the match scoreline?</t>
  </si>
  <si>
    <t>During a Kanche match, Player X scored 26 points and Player Y scored 29 points. If the game requires 30 points to win, what is the result?</t>
  </si>
  <si>
    <t>Player X won the first set 15-11 and Player Y won the second set 15-14. If Player Y wins the third set 15-12, what is the match scoreline?</t>
  </si>
  <si>
    <t>In a Kanche game, if Player X scored 30 points and Player Y scored 27 points, and the game requires 35 points to win, what is the result?</t>
  </si>
  <si>
    <t>During a Kanche match, Player X scored 28 points and Player Y scored 29 points. If the game requires 30 points to win, what is the result?</t>
  </si>
  <si>
    <t>Player X won the first set 15-11 and Player Y won the second set 15-12. If Player Y wins the third set 15-14, what is the match scoreline?</t>
  </si>
  <si>
    <t>Player X won the first set 15-13 and Player Y won the second set 15-14. If Player Y wins the third set 15-12, what is the match scoreline?</t>
  </si>
  <si>
    <t>During a Kanche match, Player X scored 25 points and Player Y scored 29 points. If the game requires 30 points to win, what is the result?</t>
  </si>
  <si>
    <t>Player X won the first set 15-12 and Player Y won the second set 15-13. If Player Y wins the third set 15-14, what is the match scoreline?</t>
  </si>
  <si>
    <t>In a Kanche game, if Player X scored 27 points and Player Y scored 28 points, and the game requires 30 points to win, what is the result?</t>
  </si>
  <si>
    <t>During a Kanche match, Player X scored 30 points and Player Y scored 27 points. If the game requires 35 points to win, what is the result?</t>
  </si>
  <si>
    <t>Player X won the first set 15-11 and Player Y won the second set 15-13. If Player Y wins the third set 15-12, what is the match scoreline?</t>
  </si>
  <si>
    <t>In a Kanche game, if Player X scored 28 points and Player Y scored 31 points, and the game requires 35 points to win, what is the result?</t>
  </si>
  <si>
    <t>Player X won the first set 15-11 and Player Y won the second set 15-13. If Player Y wins the third set 15-14, what is the match scoreline?</t>
  </si>
  <si>
    <t>Player X won the first set 15-11 and Player Y won the second set 15-14. If Player Y wins the third set 15-13, what is the match scoreline?</t>
  </si>
  <si>
    <t>Player X won the first set 15-12 and Player Y won the second set 15-11. If Player X wins the third set 15-14, what is the match scoreline?</t>
  </si>
  <si>
    <t>During a Kanche match, Player X scored 28 points and Player Y scored 30 points. If the game requires 35 points to win, what is the result?</t>
  </si>
  <si>
    <t>During a Kanche match, Player X scored 26 points and Player Y scored 30 points. If the game requires 35 points to win, what is the result?</t>
  </si>
  <si>
    <t>In a Kanche game, if Player X scored 30 points and Player Y scored 28 points, and the game requires 35 points to win, what is the result?</t>
  </si>
  <si>
    <t>During a Kanche match, Player X scored 24 points and Player Y scored 29 points. If the game requires 30 points to win, what is the result?</t>
  </si>
  <si>
    <t>Player X won the first game 21-19 and Player Y won the second game 21-20. If Player X wins the third game 21-18, what is the match scoreline?</t>
  </si>
  <si>
    <t>During a Kanche match, Player X scored 33 points and Player Y scored 35 points. If the game requires 40 points to win, what is the result?</t>
  </si>
  <si>
    <t>A) Player Y wins. , B) Player X wins. , C) The game is a tie. , D) The game continues until one player scores 45 points.</t>
  </si>
  <si>
    <t>Player X won the first set 18-16 and Player Y won the second set 21-19. If Player X wins the third set 22-20, what is the match scoreline?</t>
  </si>
  <si>
    <t>In a Kanche game, Player X scored 25 points and Player Y scored 30 points. If the game requires 30 points to win, what is the result?</t>
  </si>
  <si>
    <t>Player X won the first game 19-17 and Player Y won the second game 20-18. If Player X wins the third game 21-19, what is the match scoreline?</t>
  </si>
  <si>
    <t>During a Kanche match, Player X scored 40 points and Player Y scored 42 points. If the game requires 50 points to win, what is the result?</t>
  </si>
  <si>
    <t>A) Player Y wins. , B) Player X wins. , C) The game is a tie. , D) The game continues until one player scores 55 points.</t>
  </si>
  <si>
    <t>Player X won the first set 20-18 and Player Y won the second set 21-20. If Player Y wins the third set 21-19, what is the match scoreline?</t>
  </si>
  <si>
    <t>In a Kanche game, Player X scored 34 points and Player Y scored 31 points. If the game requires 35 points to win, what is the result?</t>
  </si>
  <si>
    <t>Player X won the first set 22-20 and Player Y won the second set 21-18. If Player Y wins the third set 21-19, what is the match scoreline?</t>
  </si>
  <si>
    <t>Player X won the first set 18-16 and Player Y won the second set 20-18. If Player X wins the third set 21-19, what is the match scoreline?</t>
  </si>
  <si>
    <t>In a Kanche game, if Player X scored 36 points and Player Y scored 35 points, and the game requires 40 points to win, what is the result?</t>
  </si>
  <si>
    <t>A) Player X wins. , B) Player Y wins. , C) The game is a tie. , D) The game continues until one player scores 45 points.</t>
  </si>
  <si>
    <t>Player X won the first set 19-17 and Player Y won the second set 21-19. If Player Y wins the third set 21-18, what is the match scoreline?</t>
  </si>
  <si>
    <t>During a Kanche match, Player X scored 28 points and Player Y scored 31 points. If the game requires 35 points to win, what is the result?</t>
  </si>
  <si>
    <t>Player X won the first set 20-18 and Player Y won the second set 21-19. If Player X wins the third set 22-20, what is the match scoreline?</t>
  </si>
  <si>
    <t>Player X won the first game 18-16 and Player Y won the second game 21-19. If Player X wins the third game 21-20, what is the match scoreline?</t>
  </si>
  <si>
    <t>During a Kanche match, Player X scored 37 points and Player Y scored 40 points. If the game requires 45 points to win, what is the result?</t>
  </si>
  <si>
    <t>A) Player Y wins. , B) Player X wins. , C) The game is a tie. , D) The game continues until one player scores 50 points.</t>
  </si>
  <si>
    <t>Player X won the first set 21-19 and Player Y won the second set 22-20. If Player X wins the third set 23-21, what is the match scoreline?</t>
  </si>
  <si>
    <t>In a Kanche game, if Player X scored 34 points and Player Y scored 36 points, and the game requires 40 points to win, what is the result?</t>
  </si>
  <si>
    <t>Player X won the first game 20-18 and Player Y won the second game 21-20. If Player X wins the third game 22-21, what is the match scoreline?</t>
  </si>
  <si>
    <t>Player X won the first set 19-17 and Player Y won the second set 21-19. If Player X wins the third set 22-20, what is the match scoreline?</t>
  </si>
  <si>
    <t>Player X won the first game 22-20 and Player Y won the second game 23-21. If Player X wins the third game 25-23, what is the match scoreline?</t>
  </si>
  <si>
    <t>During a Kanche match, Player X scored 30 points and Player Y scored 32 points. If the game requires 35 points to win, what is the result?</t>
  </si>
  <si>
    <t>Player X won the first set 20-18 and Player Y won the second set 21-19. If Player Y wins the third set 22-20, what is the match scoreline?</t>
  </si>
  <si>
    <t>In a Kanche game, if Player X scored 32 points and Player Y scored 35 points, and the game requires 40 points to win, what is the result?</t>
  </si>
  <si>
    <t>Player X won the first game 21-19 and Player Y won the second game 22-20. If Player X wins the third game 23-21, what is the match scoreline?</t>
  </si>
  <si>
    <t>Player X won the first set 19-17 and Player Y won the second set 22-20. If Player X wins the third set 21-19, what is the match scoreline?</t>
  </si>
  <si>
    <t>In a Kanche game, if Player X scored 27 points and Player Y scored 31 points, and the game requires 35 points to win, what is the result?</t>
  </si>
  <si>
    <t>Player X won the first set 21-19 and Player Y won the second set 21-20. If Player X wins the third set 22-21, what is the match scoreline?</t>
  </si>
  <si>
    <t>During a Kanche match, Player X scored 33 points and Player Y scored 36 points. If the game requires 40 points to win, what is the result?</t>
  </si>
  <si>
    <t>Player X won the first game 21-18 and Player Y won the second game 20-18. If Player X wins the third game 22-20, what is the match scoreline?</t>
  </si>
  <si>
    <t>In a Kanche game, if Player X scored 35 points and Player Y scored 34 points, and the game requires 40 points to win, what is the result?</t>
  </si>
  <si>
    <t>Player X won the first set 22-20 and Player Y won the second set 21-18. If Player X wins the third set 23-21, what is the match scoreline?</t>
  </si>
  <si>
    <t>Player X won the first set 18-16 and Player Y won the second set 21-20. If Player Y wins the third set 22-20, what is the match scoreline?</t>
  </si>
  <si>
    <t>Player X won the first set 21-18 and Player Y won the second set 20-18. If Player X wins the third set 22-20, what is the match scoreline?</t>
  </si>
  <si>
    <t>Player X won the first set 20-18 and Player Y won the second set 22-20. If Player X wins the third set 21-19, what is the match scoreline?</t>
  </si>
  <si>
    <t>Player X won the first set 21-20 and Player Y won the second set 22-20. If Player X wins the third set 23-21, what is the match scoreline?</t>
  </si>
  <si>
    <t>During a Kanche match, Player X scored 31 points and Player Y scored 34 points. If the game requires 40 points to win, what is the result?</t>
  </si>
  <si>
    <t>Player X won the first set 22-20 and Player Y won the second set 20-18. If Player X wins the third set 23-21, what is the match scoreline?</t>
  </si>
  <si>
    <t>In a Kanche game, if Player X scored 33 points and Player Y scored 35 points, and the game requires 40 points to win, what is the result?</t>
  </si>
  <si>
    <t>Player X won the first game 20-18 and Player Y won the second game 21-19. If Player X wins the third game 22-20, what is the match scoreline?</t>
  </si>
  <si>
    <t>During a Kanche match, Player X scored 27 points and Player Y scored 29 points. If the game requires 30 points to win, what is the result?</t>
  </si>
  <si>
    <t>Player X won the first set 18-16 and Player Y won the second set 22-20. If Player X wins the third set 21-20, what is the match scoreline?</t>
  </si>
  <si>
    <t>Player X won the first set 21-19 and Player Y won the second set 21-18. If Player X wins the third set 22-20, what is the match scoreline?</t>
  </si>
  <si>
    <t>During a Kanche match, Player X scored 28 points and Player Y scored 32 points. If the game requires 35 points to win, what is the result?</t>
  </si>
  <si>
    <t>In a Kanche game, if Player X scored 34 points and Player Y scored 32 points, and the game requires 35 points to win, what is the result?</t>
  </si>
  <si>
    <t>Player X won the first set 21-19 and Player Y won the second set 20-18. If Player X wins the third set 23-21, what is the match scoreline?</t>
  </si>
  <si>
    <t>During a Kanche match, Player X scored 30 points and Player Y scored 33 points. If the game requires 35 points to win, what is the result?</t>
  </si>
  <si>
    <t>In a Carrom game, Player A makes the first move and pockets 3 of their own pieces before their opponent has made a move. What is the next action Player B must take?</t>
  </si>
  <si>
    <t>A) Player B can now make a move without any restrictions. , B) Player B must pocket at least one piece before their move. , C) Player B must wait for Player A to pocket their queen. , D) Player B loses their turn as Player A has pocketed more pieces.</t>
  </si>
  <si>
    <t>A) Player B can now make a move without any restrictions.</t>
  </si>
  <si>
    <t>During a Carrom match, Player X commits a foul by pocketing the striker. What is the penalty for Player X?</t>
  </si>
  <si>
    <t>A) Player X loses their turn and must place one of their pieces back on the board. , B) Player X must forfeit their next turn. , C) Player X loses the game. , D) Player X must pocket an additional piece to continue.</t>
  </si>
  <si>
    <t>A) Player X loses their turn and must place one of their pieces back on the board.</t>
  </si>
  <si>
    <t>If a Carrom game reaches a situation where all the pieces are pocketed except the queen, what is the rule for pocketing the queen?</t>
  </si>
  <si>
    <t>A) The queen must be pocketed before the last piece. , B) The queen must be pocketed along with the last piece. , C) The queen must be pocketed before the game ends, but it can be the last piece. , D) The queen is not considered for the win if it is the last piece.</t>
  </si>
  <si>
    <t>B) The queen must be pocketed along with the last piece.</t>
  </si>
  <si>
    <t>Player A and Player B are playing a Carrom game. Player A has pocketed all their pieces but still has not pocketed the queen. Player B pockets the queen. What happens next?</t>
  </si>
  <si>
    <t>A) Player B wins the game immediately. , B) Player A wins the game as Player B pocketed the queen. , C) The game is a draw as the queen was pocketed after all pieces. , D) Player A must pocket the queen to win.</t>
  </si>
  <si>
    <t>D) Player A must pocket the queen to win.</t>
  </si>
  <si>
    <t>In Carrom, what is the consequence if a player pockets the queen but fails to pocket one of their own pieces in the subsequent turn?</t>
  </si>
  <si>
    <t>A) The player who pocketed the queen loses the queen and one piece. , B) The game is considered a draw. , C) The player loses their turn and the queen is returned to the center. , D) The player must forfeit the game.</t>
  </si>
  <si>
    <t>C) The player loses their turn and the queen is returned to the center.</t>
  </si>
  <si>
    <t>In a Carrom tournament, a match is played between two players where Player A pockets their last piece and Player B pockets the queen in the same turn. Who wins the game?</t>
  </si>
  <si>
    <t>A) Player A wins as they pocketed their last piece. , B) Player B wins as they pocketed the queen. , C) The game is a draw. , D) The game continues as both players need to pocket the queen and their last piece.</t>
  </si>
  <si>
    <t>B) Player B wins as they pocketed the queen.</t>
  </si>
  <si>
    <t>During a Carrom game, Player X's striker slips and hits only the center of the board without any effect on the pieces. What is the ruling?</t>
  </si>
  <si>
    <t>A) Player X loses their turn. , B) Player X must place one piece back on the board. , C) Player X can make another attempt. , D) Player X wins the game.</t>
  </si>
  <si>
    <t>A) Player X loses their turn.</t>
  </si>
  <si>
    <t>Player A is playing Carrom and makes a successful shot, but the striker also pockets one of Player B's pieces. What is the ruling?</t>
  </si>
  <si>
    <t>A) Player A wins the game. , B) Player A loses their turn and Player B gets a penalty. , C) Player A loses their turn and Player B’s piece is returned. , D) Player A continues their turn as normal.</t>
  </si>
  <si>
    <t>C) Player A loses their turn and Player B’s piece is returned.</t>
  </si>
  <si>
    <t>In a Carrom game, Player B accidentally pockets the striker but also pockets the queen on the same turn. What is the result?</t>
  </si>
  <si>
    <t>A) Player B loses their turn and the queen is returned to the board. , B) Player B wins the game as they pocketed the queen. , C) Player B loses the game. , D) The game continues with Player B's turn.</t>
  </si>
  <si>
    <t>A) Player B loses their turn and the queen is returned to the board.</t>
  </si>
  <si>
    <t>During a Carrom game, Player A pockets the queen but fails to pocket a piece in their next turn. What happens?</t>
  </si>
  <si>
    <t>A) Player A wins the game. , B) Player A loses the queen and Player B continues. , C) The game is a draw. , D) Player A must forfeit their turn.</t>
  </si>
  <si>
    <t>B) Player A loses the queen and Player B continues.</t>
  </si>
  <si>
    <t>In Carrom, if a player pockets the queen and then all their pieces in a single turn, what is the outcome?</t>
  </si>
  <si>
    <t>A) The player wins the game. , B) The game continues with the opponent’s turn. , C) The player must return all their pieces and the queen. , D) The game is a draw.</t>
  </si>
  <si>
    <t>A) The player wins the game.</t>
  </si>
  <si>
    <t>In a Carrom match, Player X makes a shot that hits one of Player Y's pieces and also the queen. What is the ruling?</t>
  </si>
  <si>
    <t>A) Player X wins the game. , B) Player X loses their turn and Player Y’s piece is returned. , C) Player X loses their turn and the queen is placed back. , D) Player X continues their turn.</t>
  </si>
  <si>
    <t>C) Player X loses their turn and the queen is placed back.</t>
  </si>
  <si>
    <t>Player A and Player B are playing Carrom. Player A has pocketed all their pieces except for the queen, while Player B still has their pieces on the board. What happens if Player A pockets the queen?</t>
  </si>
  <si>
    <t>A) Player A wins the game. , B) Player B wins the game. , C) The game is a draw. , D) Player A must still pocket one of their pieces to win.</t>
  </si>
  <si>
    <t>D) Player A must still pocket one of their pieces to win.</t>
  </si>
  <si>
    <t>In a Carrom game, Player X accidentally touches one of Player Y's pieces while making a shot. What is the ruling?</t>
  </si>
  <si>
    <t>A) Player X loses their turn and the touched piece is returned to the board. , B) Player X wins the game. , C) Player X must forfeit one of their own pieces. , D) Player X continues their turn.</t>
  </si>
  <si>
    <t>A) Player X loses their turn and the touched piece is returned to the board.</t>
  </si>
  <si>
    <t>During a Carrom game, if the striker goes off the board without hitting any pieces, what is the ruling?</t>
  </si>
  <si>
    <t>A) The player loses their turn and must place a piece back on the board. , B) The player wins the game. , C) The game is a draw. , D) The player continues their turn.</t>
  </si>
  <si>
    <t>A) The player loses their turn and must place a piece back on the board.</t>
  </si>
  <si>
    <t>In a Carrom match, Player X has pocketed all their pieces and the queen. However, Player Y pockets the queen in their next turn. What happens?</t>
  </si>
  <si>
    <t>A) Player X wins the game. , B) Player Y wins the game. , C) The queen is returned to the board. , D) Player X must pocket another piece.</t>
  </si>
  <si>
    <t>If a player pockets the striker but also manages to pocket a piece on the same turn, what is the penalty?</t>
  </si>
  <si>
    <t>A) The player loses their turn and the piece is returned. , B) The player wins the game. , C) The player must forfeit their next turn. , D) The player continues their turn.</t>
  </si>
  <si>
    <t>A) The player loses their turn and the piece is returned.</t>
  </si>
  <si>
    <t>During a Carrom game, if a player pockets all their pieces and the queen simultaneously, what is the result?</t>
  </si>
  <si>
    <t>A) The player wins the game. , B) The queen is returned to the board. , C) The game continues. , D) The player must return their last piece.</t>
  </si>
  <si>
    <t>In Carrom, if a player pockets the queen but then commits a foul, what is the ruling?</t>
  </si>
  <si>
    <t>A) The player loses the queen and their turn. , B) The player wins the game. , C) The player continues their turn with no penalties. , D) The game is a draw.</t>
  </si>
  <si>
    <t>A) The player loses the queen and their turn.</t>
  </si>
  <si>
    <t>Player X pockets a piece and the queen on the same shot, but the queen goes off the board. What is the result?</t>
  </si>
  <si>
    <t>A) Player X wins the game. , B) The queen is placed back on the board. , C) The game is a draw. , D) Player X loses their turn.</t>
  </si>
  <si>
    <t>B) The queen is placed back on the board.</t>
  </si>
  <si>
    <t>During a Carrom game, Player X pockets the queen but fails to pocket any piece in their next turn. What is the ruling?</t>
  </si>
  <si>
    <t>A) Player X loses the queen and their turn. , B) Player X wins the game. , C) The game is a draw. , D) Player X continues their turn with no penalties.</t>
  </si>
  <si>
    <t>A) Player X loses the queen and their turn.</t>
  </si>
  <si>
    <t>Player A and Player B are competing in Carrom. Player A pockets the queen but fails to pocket a piece in their next turn. What happens next?</t>
  </si>
  <si>
    <t>A) Player A loses the queen. , B) Player B wins the game. , C) The game is a draw. , D) Player A continues their turn.</t>
  </si>
  <si>
    <t>A) Player A loses the queen.</t>
  </si>
  <si>
    <t>In a Carrom game, Player X pockets their last piece but commits a foul on the next turn. What is the result?</t>
  </si>
  <si>
    <t>A) Player X loses the game. , B) The game continues with Player X’s turn. , C) Player X must return their last piece to the board. , D) Player X wins the game.</t>
  </si>
  <si>
    <t>C) Player X must return their last piece to the board.</t>
  </si>
  <si>
    <t>If Player X pockets all their pieces but accidentally pockets the striker on the same turn, what is the penalty?</t>
  </si>
  <si>
    <t>A) Player X loses their turn and must place a piece back on the board. , B) Player X wins the game. , C) Player X loses the game. , D) The game is a draw.</t>
  </si>
  <si>
    <t>A) Player X loses their turn and must place a piece back on the board.</t>
  </si>
  <si>
    <t>During a Carrom match, Player A pockets the queen but fails to pocket a piece in their subsequent turn. What is the ruling?</t>
  </si>
  <si>
    <t>A) Player A loses the queen and Player B continues. , B) Player A wins the game. , C) The game is a draw. , D) Player A must forfeit their next turn.</t>
  </si>
  <si>
    <t>A) Player A loses the queen and Player B continues.</t>
  </si>
  <si>
    <t>If Player X pockets the queen and all their pieces in a single shot, what happens next?</t>
  </si>
  <si>
    <t>A) Player X wins the game. , B) The game is considered a draw. , C) Player X must return the queen. , D) Player X continues their turn.</t>
  </si>
  <si>
    <t>In Carrom, if a player pockets the queen on their last turn but commits a foul on the same shot, what is the result?</t>
  </si>
  <si>
    <t>A) The player loses the queen and their turn. , B) The player wins the game. , C) The game is a draw. , D) The player continues their turn.</t>
  </si>
  <si>
    <t>Player A pockets the queen and all their pieces in a single turn. What is the ruling?</t>
  </si>
  <si>
    <t>A) Player A wins the game. , B) Player A must return the queen. , C) The game is a draw. , D) Player A loses their turn.</t>
  </si>
  <si>
    <t>During a Carrom match, Player A pockets their queen but also accidentally pockets the striker. What is the result?</t>
  </si>
  <si>
    <t>A) Player A loses their turn and the queen is returned to the board. , B) Player A wins the game. , C) Player A must forfeit their next turn. , D) Player A continues their turn.</t>
  </si>
  <si>
    <t>A) Player A loses their turn and the queen is returned to the board.</t>
  </si>
  <si>
    <t>Player X pockets the queen but also commits a foul by pocketing the striker. What happens next?</t>
  </si>
  <si>
    <t>A) Player X loses the queen and their turn. , B) Player X wins the game. , C) The game is a draw. , D) Player X must return their pieces to the board.</t>
  </si>
  <si>
    <t>In a Carrom game, if a player pockets the queen and all their pieces in the same shot, what is the ruling?</t>
  </si>
  <si>
    <t>A) The player wins the game. , B) The game is a draw. , C) The player must return their pieces. , D) The player continues their turn.</t>
  </si>
  <si>
    <t>If Player A pockets all their pieces but accidentally pockets the striker, what is the penalty?</t>
  </si>
  <si>
    <t>A) Player A loses their turn and must return a piece to the board. , B) Player A wins the game. , C) Player A loses the game. , D) Player A continues their turn.</t>
  </si>
  <si>
    <t>A) Player A loses their turn and must return a piece to the board.</t>
  </si>
  <si>
    <t>Player X pockets the queen on their last turn but does not pocket a piece in the subsequent turn. What happens?</t>
  </si>
  <si>
    <t>A) Player X loses the queen and Player Y continues. , B) Player X wins the game. , C) The game is a draw. , D) Player X must forfeit their turn.</t>
  </si>
  <si>
    <t>A) Player X loses the queen and Player Y continues.</t>
  </si>
  <si>
    <t>During a Carrom game, Player A pockets their last piece but commits a foul by hitting the striker off the board. What is the result?</t>
  </si>
  <si>
    <t>A) Player A loses the game. , B) Player A wins the game. , C) The game continues with Player B’s turn. , D) Player A must return their last piece.</t>
  </si>
  <si>
    <t>A) Player A loses the game.</t>
  </si>
  <si>
    <t>In a Carrom match, Player X pockets the queen and all their pieces in one shot. What is the ruling?</t>
  </si>
  <si>
    <t>A) Player X wins the game. , B) The queen is returned to the board. , C) The game is a draw. , D) Player X must return their pieces.</t>
  </si>
  <si>
    <t>If Player A pockets the queen but also pockets the striker in the same turn, what happens?</t>
  </si>
  <si>
    <t>A) Player A loses the queen and their turn. , B) Player A wins the game. , C) Player A must forfeit their next turn. , D) Player A continues their turn.</t>
  </si>
  <si>
    <t>A) Player A loses the queen and their turn.</t>
  </si>
  <si>
    <t>During a Carrom game, Player X pockets their last piece but commits a foul. What is the ruling?</t>
  </si>
  <si>
    <t>A) Player X loses their turn and must return a piece to the board. , B) Player X wins the game. , C) The game is a draw. , D) Player X must forfeit their next turn.</t>
  </si>
  <si>
    <t>A) Player X loses their turn and must return a piece to the board.</t>
  </si>
  <si>
    <t>In a Carrom game, if a player pockets the queen and all their pieces in one shot, what happens next?</t>
  </si>
  <si>
    <t>A) The player wins the game. , B) The queen is returned to the board. , C) The game is a draw. , D) The player continues their turn.</t>
  </si>
  <si>
    <t>Player A pockets the queen but fails to pocket a piece in their subsequent turn. What is the result?</t>
  </si>
  <si>
    <t>A) Player A loses the queen. , B) Player A wins the game. , C) The game is a draw. , D) Player A must forfeit their turn.</t>
  </si>
  <si>
    <t>If Player X pockets the queen and their last piece on the same shot, what happens?</t>
  </si>
  <si>
    <t>A) Player X wins the game. , B) The queen is returned to the board. , C) The game is a draw. , D) Player X must return their last piece.</t>
  </si>
  <si>
    <t>Player X pockets the queen and then makes a shot that hits the striker off the board. What happens next?</t>
  </si>
  <si>
    <t>A) Player X loses their turn and the queen is returned to the board. , B) Player X wins the game. , C) Player X continues their turn. , D) Player X must forfeit the game.</t>
  </si>
  <si>
    <t>A) Player X loses their turn and the queen is returned to the board.</t>
  </si>
  <si>
    <t>During a Carrom game, Player A pockets a piece but accidentally touches the queen. What is the ruling?</t>
  </si>
  <si>
    <t>A) Player A loses their turn and the queen is placed back on the board. , B) Player A wins the game. , C) Player A must forfeit a piece. , D) Player A continues their turn.</t>
  </si>
  <si>
    <t>A) Player A loses their turn and the queen is placed back on the board.</t>
  </si>
  <si>
    <t>Player A pockets all their pieces and the queen in a single turn. What is the ruling?</t>
  </si>
  <si>
    <t>A) Player A wins the game. , B) The queen is returned to the board. , C) The game is a draw. , D) Player A must return their pieces.</t>
  </si>
  <si>
    <t>In a Carrom match, Player X pockets their last piece but commits a foul by hitting the striker off the board. What happens?</t>
  </si>
  <si>
    <t>A) Player X loses the game. , B) Player X wins the game. , C) The game continues with Player Y’s turn. , D) Player X must return their last piece.</t>
  </si>
  <si>
    <t>A) Player X loses the game.</t>
  </si>
  <si>
    <t>Player X pockets the queen but fails to pocket a piece in their next turn. What is the result?</t>
  </si>
  <si>
    <t>During a Carrom game, Player X pockets all their pieces but accidentally pockets the queen as well. What is the ruling?</t>
  </si>
  <si>
    <t>A) Player X loses the queen and must return a piece. , B) Player X wins the game. , C) Player X must forfeit their next turn. , D) The queen is returned to the board.</t>
  </si>
  <si>
    <t>A) Player X loses the queen and must return a piece.</t>
  </si>
  <si>
    <t>If Player A pockets a piece and the queen on the same shot but the queen is not properly pocketed, what happens?</t>
  </si>
  <si>
    <t>A) Player A must return the queen to the board. , B) Player A wins the game. , C) Player A loses their turn. , D) The game is a draw.</t>
  </si>
  <si>
    <t>A) Player A must return the queen to the board.</t>
  </si>
  <si>
    <t>Player X pockets their last piece and the queen simultaneously. What is the ruling if Player X committed a foul on the same shot?</t>
  </si>
  <si>
    <t>A) Player X loses the queen and their turn. , B) Player X wins the game. , C) The game continues with Player Y’s turn. , D) Player X must return their last piece.</t>
  </si>
  <si>
    <t>In a Carrom game, Player A pockets their last piece and Player B pockets the queen in the next turn. What happens?</t>
  </si>
  <si>
    <t>A) Player A wins the game. , B) Player B wins the game. , C) The queen is returned to the board. , D) The game is a draw.</t>
  </si>
  <si>
    <t>Player X pockets all their pieces but accidentally pockets the striker. What is the result?</t>
  </si>
  <si>
    <t>A) Player X loses their turn and must place a piece back on the board. , B) Player X wins the game. , C) The game is a draw. , D) Player X must forfeit their next turn.</t>
  </si>
  <si>
    <t>During a Carrom match, if a player pockets the queen and their last piece in one shot but commits a foul, what happens?</t>
  </si>
  <si>
    <t>A) The player loses the queen and their turn. , B) The player wins the game. , C) The game is a draw. , D) The player must return their last piece.</t>
  </si>
  <si>
    <t>In Carrom, Player A pockets the queen but fails to pocket a piece in their next turn. What is the ruling?</t>
  </si>
  <si>
    <t>A) Player A loses the queen and Player B continues. , B) Player A wins the game. , C) The game is a draw. , D) Player A must forfeit their turn.</t>
  </si>
  <si>
    <t>Player X pockets the queen on their last turn but hits the striker off the board. What happens next?</t>
  </si>
  <si>
    <t>A) Player X loses their turn and the queen is returned to the board. , B) Player X wins the game. , C) The game is a draw. , D) Player X must forfeit their next turn.</t>
  </si>
  <si>
    <t>During a Carrom game, Player A pockets their last piece but accidentally hits the striker off the board. What is the result?</t>
  </si>
  <si>
    <t>A) Player A loses the game. , B) Player A continues their turn. , C) The game is a draw. , D) Player A must return their last piece.</t>
  </si>
  <si>
    <t>Player X pockets the queen but commits a foul by hitting the striker off the board. What happens next?</t>
  </si>
  <si>
    <t>A) Player X loses the queen and their turn. , B) Player X wins the game. , C) The game is a draw. , D) Player X must forfeit their next turn.</t>
  </si>
  <si>
    <t>In a Carrom game, Player A pockets all their pieces but hits the striker off the board. What is the ruling?</t>
  </si>
  <si>
    <t>A) Player A loses their turn and must return a piece to the board. , B) Player A wins the game. , C) The game is a draw. , D) Player A must forfeit their next turn.</t>
  </si>
  <si>
    <t>If Player X pockets the queen but does not pocket a piece in their next turn, what is the result?</t>
  </si>
  <si>
    <t>A) Player X loses the queen. , B) Player X wins the game. , C) The game is a draw. , D) Player X must forfeit their next turn.</t>
  </si>
  <si>
    <t>A) Player X loses the queen.</t>
  </si>
  <si>
    <t>Player X pockets their last piece and the queen in the same turn. What happens if Player X commits a foul?</t>
  </si>
  <si>
    <t>A) Player X loses the queen and their turn. , B) Player X wins the game. , C) The game is a draw. , D) Player X must return their last piece.</t>
  </si>
  <si>
    <t>During a Carrom match, Player X pockets their last piece but the striker hits off the board. What is the ruling?</t>
  </si>
  <si>
    <t>A) Player X loses the game. , B) Player X wins the game. , C) Player X must return their last piece to the board. , D) The game is a draw.</t>
  </si>
  <si>
    <t>Player X pockets all their pieces and the queen in one shot but also hits the striker off the board. What is the result?</t>
  </si>
  <si>
    <t>A) Player X loses the queen and their turn. , B) Player X wins the game. , C) The queen is returned to the board. , D) The game is a draw.</t>
  </si>
  <si>
    <t>In a Carrom game, Player X pockets the queen but commits a foul. What happens next?</t>
  </si>
  <si>
    <t>A) Player X loses the queen. , B) Player X wins the game. , C) The game is a draw. , D) Player X must return a piece to the board.</t>
  </si>
  <si>
    <t>During a Carrom match, Player X pockets all their pieces and the queen in the same turn. What happens if Player X commits a foul?</t>
  </si>
  <si>
    <t>A) Player X loses the queen and their turn. , B) Player X wins the game. , C) The queen is returned to the board. , D) Player X must return their last piece.</t>
  </si>
  <si>
    <t>If Player X pockets the queen but also pockets the striker, what is the penalty?</t>
  </si>
  <si>
    <t>During a Carrom game, Player X pockets their last piece but commits a foul by hitting the striker off the board. What happens next?</t>
  </si>
  <si>
    <t>A) Player X loses the game. , B) Player X wins the game. , C) The game continues with Player Y’s turn. , D) Player X must return their last piece to the board.</t>
  </si>
  <si>
    <t>Player X pockets all their pieces and the queen in a single shot but the queen is not properly pocketed. What happens?</t>
  </si>
  <si>
    <t>A) Player X must return the queen to the board. , B) Player X wins the game. , C) The game is a draw. , D) Player X must forfeit their next turn.</t>
  </si>
  <si>
    <t>A) Player X must return the queen to the board.</t>
  </si>
  <si>
    <t>In a Carrom match, Player X pockets their last piece but accidentally pockets the striker. What is the ruling?</t>
  </si>
  <si>
    <t>Player X pockets the queen and all their pieces in the same turn. What happens if Player X commits a foul?</t>
  </si>
  <si>
    <t>If Player X pockets the queen but also pockets the striker, what is the result?</t>
  </si>
  <si>
    <t>A) Player X loses the queen and their turn. , B) Player X wins the game. , C) The game is a draw. , D) The queen is returned to the board.</t>
  </si>
  <si>
    <t>During a Carrom game, Player X pockets all their pieces but commits a foul. What is the ruling?</t>
  </si>
  <si>
    <t>Player X pockets the queen but does not pocket any pieces in their next turn. What is the result?</t>
  </si>
  <si>
    <t>In a Carrom game, Player X pockets their last piece but the queen goes off the board. What is the ruling?</t>
  </si>
  <si>
    <t>A) Player X loses their turn and the queen is returned to the board. , B) Player X wins the game. , C) The game is a draw. , D) Player X must return their last piece.</t>
  </si>
  <si>
    <t>During a Carrom match, if Player A pockets the queen and their last piece in one turn but commits a foul, what is the result?</t>
  </si>
  <si>
    <t>A) Player A loses the queen and their turn. , B) Player A wins the game. , C) The queen is returned to the board. , D) The game is a draw.</t>
  </si>
  <si>
    <t>Player X pockets the queen but the queen is not properly pocketed and is placed back on the board. What is the ruling if Player X commits a foul?</t>
  </si>
  <si>
    <t>In Carrom, if Player X pockets the queen but also pockets the striker, what happens?</t>
  </si>
  <si>
    <t>Player A pockets all their pieces and the queen in a single shot. What is the ruling if Player A commits a foul?</t>
  </si>
  <si>
    <t>A) Player A loses the queen and their turn. , B) Player A wins the game. , C) The game is a draw. , D) Player A must return their last piece.</t>
  </si>
  <si>
    <t>During a Carrom game, if Player X pockets their last piece but commits a foul, what happens next?</t>
  </si>
  <si>
    <t>A) Player X loses the queen and Player Y continues. , B) Player X wins the game. , C) The game is a draw. , D) Player X must forfeit their next turn.</t>
  </si>
  <si>
    <t>If Player X pockets the queen and their last piece in one shot but the queen is not properly pocketed, what is the result?</t>
  </si>
  <si>
    <t>A) Player X must return the queen to the board. , B) Player X wins the game. , C) The game is a draw. , D) Player X must return their last piece.</t>
  </si>
  <si>
    <t>In a Carrom game, Player X pockets all their pieces and the queen in one shot. What happens if Player X commits a foul?</t>
  </si>
  <si>
    <t>During a Carrom match, if Player A pockets their last piece and the queen in one shot but also commits a foul, what is the ruling?</t>
  </si>
  <si>
    <t>A) Player A loses the queen and their turn. , B) Player A wins the game. , C) The game is a draw. , D) The queen is returned to the board.</t>
  </si>
  <si>
    <t>Player X pockets all their pieces and the queen in a single turn. What happens if Player X hits the striker off the board?</t>
  </si>
  <si>
    <t>If Player X pockets the queen but also hits the striker off the board, what is the result?</t>
  </si>
  <si>
    <t>During a Carrom game, Player X pockets their last piece and the queen in one shot but commits a foul. What is the ruling?</t>
  </si>
  <si>
    <t>Player X pockets all their pieces and the queen in one turn. What is the ruling if Player X accidentally pockets the striker?</t>
  </si>
  <si>
    <t>In Carrom, if Player X pockets the queen but does not pocket a piece in their next turn, what happens?</t>
  </si>
  <si>
    <t>A) Player X loses the queen and Player Y continues. , B) Player X wins the game. , C) The game is a draw. , D) Player X must return a piece to the board.</t>
  </si>
  <si>
    <t>Player X pockets their last piece and the queen in one shot. What is the ruling if Player X commits a foul?</t>
  </si>
  <si>
    <t>During a Carrom match, Player X pockets their last piece but the queen goes off the board. What happens next?</t>
  </si>
  <si>
    <t>Player X pockets all their pieces and the queen in one turn. What happens if Player X also hits the striker off the board?</t>
  </si>
  <si>
    <t>In Carrom, if Player X pockets the queen and their last piece in one turn but the queen is not properly pocketed, what is the result?</t>
  </si>
  <si>
    <t>During a Carrom game, Player X pockets their last piece and the queen but commits a foul. What is the ruling?</t>
  </si>
  <si>
    <t>Player X pockets the queen but also pockets the striker. What is the result?</t>
  </si>
  <si>
    <t>If Player X pockets all their pieces and the queen in one shot but commits a foul, what happens?</t>
  </si>
  <si>
    <t>In a Carrom game, if Player X pockets their last piece and the queen but the queen is not properly pocketed, what is the ruling?</t>
  </si>
  <si>
    <t>During a Carrom match, Player X pockets their last piece but the queen is placed back on the board. What is the result?</t>
  </si>
  <si>
    <t>Player X pockets all their pieces and the queen in one turn but accidentally hits the striker off the board. What is the ruling?</t>
  </si>
  <si>
    <t>If Player X pockets the queen and their last piece in one turn but the queen is not properly pocketed, what happens?</t>
  </si>
  <si>
    <t>During a Carrom match, Player X pockets their last piece and the queen but hits the striker off the board. What is the ruling?</t>
  </si>
  <si>
    <t>Player X pockets all their pieces and the queen in one turn. What happens if Player X also pockets the striker?</t>
  </si>
  <si>
    <t>In Carrom, if Player X pockets the queen but does not pocket a piece in their next turn, what is the result?</t>
  </si>
  <si>
    <t>During a Carrom match, Player X pockets their last piece but the queen goes off the board. What is the result?</t>
  </si>
  <si>
    <t>Player X pockets the queen but commits a foul by striking the board edge. What happens next?</t>
  </si>
  <si>
    <t>A) Player X loses the queen. , B) Player X must return a piece. , C) Player X wins the game. , D) The queen is placed back on the board.</t>
  </si>
  <si>
    <t>In a game of Carrom, Player Y pockets the queen, but their turn ends without pocketing another piece. What is the result?</t>
  </si>
  <si>
    <t>A) Player Y loses the queen. , B) Player Y wins the game. , C) Player Y gets another chance. , D) The game is a draw.</t>
  </si>
  <si>
    <t>A) Player Y loses the queen.</t>
  </si>
  <si>
    <t>Player X pockets the striker after pocketing the queen. What happens next?</t>
  </si>
  <si>
    <t>A) Player X loses the queen and their turn. , B) Player X wins the game. , C) Player X gets another chance. , D) Player X only loses the queen.</t>
  </si>
  <si>
    <t>Player X pockets the last piece and queen in the same shot, but also knocks off a corner coin. What is the ruling?</t>
  </si>
  <si>
    <t>A) Player X must return the last piece and queen to the board. , B) Player X wins the game. , C) Player X loses the game. , D) The queen is returned, and Player Y continues.</t>
  </si>
  <si>
    <t>A) Player X must return the last piece and queen to the board.</t>
  </si>
  <si>
    <t>During a Carrom game, Player Y fouls after pocketing the queen. What is the correct outcome?</t>
  </si>
  <si>
    <t>A) Player Y loses the queen and their turn. , B) Player Y must return a piece. , C) Player Y wins the game. , D) Player Y gets another chance.</t>
  </si>
  <si>
    <t>A) Player Y loses the queen and their turn.</t>
  </si>
  <si>
    <t>Player X pocketed the last piece and the queen, but a foul occurred. What is the result?</t>
  </si>
  <si>
    <t>A) Player X loses the queen and their turn. , B) Player X wins the game. , C) Player X must return all pocketed pieces. , D) Player X only loses the queen.</t>
  </si>
  <si>
    <t>Player Y hits the queen off the board after pocketing their last piece. What happens?</t>
  </si>
  <si>
    <t>A) Player Y loses the queen and the turn. , B) Player Y wins the game. , C) Player Y must return the queen to the board. , D) Player Y continues.</t>
  </si>
  <si>
    <t>A) Player Y loses the queen and the turn.</t>
  </si>
  <si>
    <t>Player X pockets the queen but fails to cover it with another piece. What happens?</t>
  </si>
  <si>
    <t>A) Player X loses the queen. , B) Player X wins the game. , C) The queen stays pocketed. , D) Player X must cover the queen in the next turn.</t>
  </si>
  <si>
    <t>In Carrom, Player X pockets the queen and their last piece in one shot, but the striker also gets pocketed. What happens?</t>
  </si>
  <si>
    <t>A) Player X loses the queen and must return a piece. , B) Player X wins the game. , C) Player X gets another chance. , D) The game continues without a foul.</t>
  </si>
  <si>
    <t>During a Carrom match, Player Y pockets the queen and a piece but hits another piece off the board. What is the ruling?</t>
  </si>
  <si>
    <t>A) Player Y loses the queen and must return the piece. , B) Player Y wins the game. , C) Player Y only loses the queen. , D) Player Y must continue without penalty.</t>
  </si>
  <si>
    <t>A) Player Y loses the queen and must return the piece.</t>
  </si>
  <si>
    <t>Player X accidentally pockets the striker while pocketing the queen. What is the next course of action?</t>
  </si>
  <si>
    <t>A) Player X loses the queen and their turn. , B) Player X wins the game. , C) Player X loses the game. , D) The queen remains pocketed.</t>
  </si>
  <si>
    <t>In a Carrom game, Player X pockets the queen but then the striker goes off the board. What is the result?</t>
  </si>
  <si>
    <t>A) Player X loses the queen and must forfeit their turn. , B) Player X wins the game. , C) The queen remains pocketed. , D) The queen is returned to the board.</t>
  </si>
  <si>
    <t>A) Player X loses the queen and must forfeit their turn.</t>
  </si>
  <si>
    <t>Player Y commits a foul after pocketing their last piece. What is the ruling?</t>
  </si>
  <si>
    <t>A) Player Y loses the queen and must return the last piece. , B) Player Y wins the game. , C) Player Y continues without penalty. , D) Player Y must forfeit the game.</t>
  </si>
  <si>
    <t>A) Player Y loses the queen and must return the last piece.</t>
  </si>
  <si>
    <t>During a Carrom game, Player X pockets the queen, but the striker knocks the queen back onto the board. What is the result?</t>
  </si>
  <si>
    <t>A) The queen is returned to its original position and Player X loses the queen. , B) Player X wins the game. , C) The game is a draw. , D) The queen remains on the board and Player X continues.</t>
  </si>
  <si>
    <t>A) The queen is returned to its original position and Player X loses the queen.</t>
  </si>
  <si>
    <t>Player Y pockets the last piece and the queen in one shot, but the queen bounces out of the pocket. What happens next?</t>
  </si>
  <si>
    <t>A) Player Y must return the queen and the last piece to the board. , B) Player Y wins the game. , C) Player Y loses the game. , D) The game continues.</t>
  </si>
  <si>
    <t>A) Player Y must return the queen and the last piece to the board.</t>
  </si>
  <si>
    <t>Player X pockets the queen but then knocks the striker off the board. What is the ruling?</t>
  </si>
  <si>
    <t>A) Player X loses the queen and the striker. , B) Player X wins the game. , C) The striker is placed back, and Player X continues. , D) The game is declared a draw.</t>
  </si>
  <si>
    <t>A) Player X loses the queen and the striker.</t>
  </si>
  <si>
    <t>During a Carrom match, Player X pockets their last piece, but the queen is not covered. What happens?</t>
  </si>
  <si>
    <t>A) Player X loses the queen. , B) Player X wins the game. , C) Player X must return the last piece to the board. , D) Player X gets another turn to cover the queen.</t>
  </si>
  <si>
    <t>Player Y pockets the queen, but the striker goes off the board. What is the correct ruling?</t>
  </si>
  <si>
    <t>A) Player Y loses the queen and the striker. , B) Player Y wins the game. , C) The striker is returned to the board. , D) Player Y must return all pocketed pieces.</t>
  </si>
  <si>
    <t>A) Player Y loses the queen and the striker.</t>
  </si>
  <si>
    <t>In a Carrom game, Player X knocks the striker off the board after pocketing the queen. What happens?</t>
  </si>
  <si>
    <t>A) Player X loses the queen and their turn. , B) Player X wins the game. , C) The striker is placed back, and Player X continues. , D) The game is declared a draw.</t>
  </si>
  <si>
    <t>Player X pockets the queen, but Player Y contests the shot. What happens next?</t>
  </si>
  <si>
    <t>A) The queen is placed back, and Player X loses the queen. , B) Player X wins the game. , C) The game is a draw. , D) The referee decides.</t>
  </si>
  <si>
    <t>A) The queen is placed back, and Player X loses the queen.</t>
  </si>
  <si>
    <t>During a Carrom match, Player Y pockets the queen but fouls by hitting another piece off the board. What happens?</t>
  </si>
  <si>
    <t>A) Player Y loses the queen and the foul piece is returned. , B) Player Y wins the game. , C) Player Y must continue without penalty. , D) The game is a draw.</t>
  </si>
  <si>
    <t>A) Player Y loses the queen and the foul piece is returned.</t>
  </si>
  <si>
    <t>Player A strikes and pockets the queen, but the striker also falls into the pocket. What is the ruling?</t>
  </si>
  <si>
    <t>A) Player A loses the queen. , B) Player A wins the game. , C) Player A must return the striker to the board. , D) Player A gets to strike again.</t>
  </si>
  <si>
    <t>During a Carrom match, Player B successfully pockets the queen and a white piece in the same strike. What is the correct outcome?</t>
  </si>
  <si>
    <t>A) Player B wins the game. , B) Player B has to strike again. , C) Player B must cover the queen in the next turn. , D) Player B has pocketed illegally.</t>
  </si>
  <si>
    <t>A) Player B wins the game.</t>
  </si>
  <si>
    <t>Player A pockets a piece but knocks the queen off the board. What should happen next?</t>
  </si>
  <si>
    <t>A) The queen is placed at the center of the board. , B) Player A loses their turn. , C) Player A wins the game. , D) Player A loses a point.</t>
  </si>
  <si>
    <t>A) The queen is placed at the center of the board.</t>
  </si>
  <si>
    <t>Player A pockets the last piece without covering the queen. What is the ruling?</t>
  </si>
  <si>
    <t>A) Player A loses the game. , B) The queen is placed back, and Player A must try again. , C) Player A must return the last piece to the board. , D) The game continues with the queen still in play.</t>
  </si>
  <si>
    <t>B) The queen is placed back, and Player A must try again.</t>
  </si>
  <si>
    <t>In a Carrom game, Player B pockets the queen but hits another piece off the board. What should happen?</t>
  </si>
  <si>
    <t>A) Player B loses the queen. , B) Player B wins the game. , C) Player B must place the piece back on the board. , D) The game continues without penalty.</t>
  </si>
  <si>
    <t>A) Player B loses the queen.</t>
  </si>
  <si>
    <t>Player A pockets both the queen and striker in a single shot. What is the outcome?</t>
  </si>
  <si>
    <t>A) Player A loses the queen and the striker. , B) Player A wins the game. , C) Player A must return the striker to the board. , D) Player A must return both pieces to the board.</t>
  </si>
  <si>
    <t>A) Player A loses the queen and the striker.</t>
  </si>
  <si>
    <t>In a Carrom match, Player B pockets the queen but also pockets their opponent's piece. What is the ruling?</t>
  </si>
  <si>
    <t>A) Player B loses the queen. , B) Player B wins the game. , C) Player B must return the opponent's piece to the board. , D) Player B continues without penalty.</t>
  </si>
  <si>
    <t>Player A strikes and the striker goes off the board after pocketing a piece. What should happen?</t>
  </si>
  <si>
    <t>A) Player A loses their turn. , B) Player A wins the game. , C) Player A must return the striker to the board. , D) Player A can strike again.</t>
  </si>
  <si>
    <t>A) Player A loses their turn.</t>
  </si>
  <si>
    <t>Player B pockets their last piece but fails to cover the queen. What is the outcome?</t>
  </si>
  <si>
    <t>A) Player B loses the game. , B) Player B must return the piece to the board. , C) The queen is placed back on the board. , D) The game continues with the queen in play.</t>
  </si>
  <si>
    <t>C) The queen is placed back on the board.</t>
  </si>
  <si>
    <t>In a Carrom game, Player A commits a foul by pocketing the striker after pocketing the queen. What happens?</t>
  </si>
  <si>
    <t>A) Player A loses the queen and their turn. , B) Player A wins the game. , C) The striker is returned, and Player A continues. , D) Player A only loses the striker.</t>
  </si>
  <si>
    <t>Player A accidentally pockets an opponent's piece while trying to pocket the queen. What happens next?</t>
  </si>
  <si>
    <t>A) Player A loses their turn and the queen. , B) Player A wins the game. , C) Player A must return the opponent's piece to the board. , D) Player A can continue their turn.</t>
  </si>
  <si>
    <t>A) Player A loses their turn and the queen.</t>
  </si>
  <si>
    <t>Player B knocks the queen off the board while pocketing the striker. What is the ruling?</t>
  </si>
  <si>
    <t>A) Player B loses the queen and the striker. , B) Player B wins the game. , C) The striker is placed back, and Player B continues. , D) The queen remains off the board.</t>
  </si>
  <si>
    <t>A) Player B loses the queen and the striker.</t>
  </si>
  <si>
    <t>Player A pockets the queen and the last piece but commits a foul by touching the striker with their hand. What happens?</t>
  </si>
  <si>
    <t>A) Player A loses the queen and must return the last piece. , B) Player A wins the game. , C) Player A gets a warning and continues. , D) Player A only loses the queen.</t>
  </si>
  <si>
    <t>A) Player A loses the queen and must return the last piece.</t>
  </si>
  <si>
    <t>During a Carrom match, Player B pockets the last black piece but fails to pocket the queen. What happens?</t>
  </si>
  <si>
    <t>A) Player B must return the last black piece to the board. , B) Player B wins the game. , C) The game continues without the queen. , D) Player B gets another chance to pocket the queen.</t>
  </si>
  <si>
    <t>A) Player B must return the last black piece to the board.</t>
  </si>
  <si>
    <t>Player A knocks the queen into the opponent's pocket accidentally. What is the ruling?</t>
  </si>
  <si>
    <t>A) The queen is placed back on the board. , B) Player A loses the queen. , C) Player A wins the game. , D) Player A must return one of their pieces to the board.</t>
  </si>
  <si>
    <t>A) The queen is placed back on the board.</t>
  </si>
  <si>
    <t>Player B strikes, and the queen falls off the board after hitting the striker. What should happen?</t>
  </si>
  <si>
    <t>A) The queen is placed back in the center. , B) Player B loses the queen. , C) Player B wins the game. , D) Player B loses their turn.</t>
  </si>
  <si>
    <t>A) The queen is placed back in the center.</t>
  </si>
  <si>
    <t>In a Carrom match, Player A pockets their last piece without covering the queen. What is the outcome?</t>
  </si>
  <si>
    <t>Player A pockets the striker but manages to cover the queen in the same turn. What happens?</t>
  </si>
  <si>
    <t>A) Player A loses both the striker and queen. , B) Player A wins the game. , C) Player A must replay the turn. , D) Player A gets another chance.</t>
  </si>
  <si>
    <t>A) Player A loses both the striker and queen.</t>
  </si>
  <si>
    <t>Player B pockets the queen, but the striker goes off the board in the same shot. What is the outcome?</t>
  </si>
  <si>
    <t>A) Player B loses the queen and the striker. , B) Player B wins the game. , C) The striker is returned, and Player B continues. , D) Player B only loses the striker.</t>
  </si>
  <si>
    <t>During a Carrom game, Player A commits a foul by striking before their turn, pocketing a piece. What happens?</t>
  </si>
  <si>
    <t>A) Player A loses their turn and the pocketed piece. , B) Player A wins the game. , C) Player A must return the piece to the board. , D) Player A continues without penalty.</t>
  </si>
  <si>
    <t>A) Player A loses their turn and the pocketed piece.</t>
  </si>
  <si>
    <t>Player A pockets the queen but accidentally knocks another piece off the board. What is the ruling?</t>
  </si>
  <si>
    <t>A) Player A loses the queen and the knocked piece is returned. , B) Player A wins the game. , C) Player A must return the piece but keeps the queen. , D) Player A gets another chance to pocket the piece.</t>
  </si>
  <si>
    <t>A) Player A loses the queen and the knocked piece is returned.</t>
  </si>
  <si>
    <t>In a Carrom game, Player B pockets a white piece but also strikes the striker off the board. What happens?</t>
  </si>
  <si>
    <t>A) Player B loses their turn and the white piece. , B) Player B wins the game. , C) Player B must return the striker to the board. , D) Player B continues without penalty.</t>
  </si>
  <si>
    <t>A) Player B loses their turn and the white piece.</t>
  </si>
  <si>
    <t>Player A pockets the queen but forgets to declare before the shot. What is the outcome?</t>
  </si>
  <si>
    <t>A) Player A loses the queen. , B) Player A wins the game. , C) Player A must declare and strike again. , D) The queen is placed back on the board.</t>
  </si>
  <si>
    <t>During a Carrom match, Player B pockets the last piece but does not cover the queen. What should happen?</t>
  </si>
  <si>
    <t>A) Player B loses the game. , B) The queen is placed back on the board. , C) Player B must return the last piece to the board. , D) The match continues.</t>
  </si>
  <si>
    <t>Player A knocks the striker into the pocket while pocketing the queen. What is the ruling?</t>
  </si>
  <si>
    <t>A) Player A loses the queen. , B) Player A wins the game. , C) Player A continues without penalty. , D) The striker is placed back on the board.</t>
  </si>
  <si>
    <t>Player B pockets an opponent’s piece but also covers the queen. What is the result?</t>
  </si>
  <si>
    <t>In a game of Carrom, Player A pockets the queen and then immediately pockets a black piece. What is the outcome?</t>
  </si>
  <si>
    <t>A) Player A wins the game. , B) Player A loses the queen. , C) Player A must pocket another black piece. , D) Player A's turn continues.</t>
  </si>
  <si>
    <t>During a Carrom match, Player A pockets a piece but knocks the queen off the board. What is the correct ruling?</t>
  </si>
  <si>
    <t>A) Player A loses their turn. , B) The queen is placed back in the center. , C) Player A wins the game. , D) Player A is penalized one point.</t>
  </si>
  <si>
    <t>B) The queen is placed back in the center.</t>
  </si>
  <si>
    <t>Player B successfully pockets the queen but their striker goes into the pocket. What happens next?</t>
  </si>
  <si>
    <t>A) Player B loses the queen. , B) Player B wins the game. , C) Player B must replay the shot. , D) Player B must cover the queen in the next turn.</t>
  </si>
  <si>
    <t>Player A accidentally knocks over an opponent’s piece while pocketing the queen. What is the ruling?</t>
  </si>
  <si>
    <t>A) Player A loses the queen and must return the opponent’s piece. , B) Player A wins the game. , C) The opponent's piece remains off the board. , D) Player A must replay the shot.</t>
  </si>
  <si>
    <t>A) Player A loses the queen and must return the opponent’s piece.</t>
  </si>
  <si>
    <t>Player B pockets a piece, but the striker also falls into the pocket. What is the correct ruling?</t>
  </si>
  <si>
    <t>A) Player B loses their turn. , B) Player B loses a point. , C) Player B continues without penalty. , D) Player B must replace the striker on the board.</t>
  </si>
  <si>
    <t>A) Player B loses their turn.</t>
  </si>
  <si>
    <t>During a Carrom match, Player A pockets all of their pieces but the queen remains on the board. What happens?</t>
  </si>
  <si>
    <t>A) Player A loses the game. , B) The queen is placed back on the board. , C) Player A must wait for the opponent to cover the queen. , D) Player A must return one of their pieces to the board.</t>
  </si>
  <si>
    <t>D) Player A must return one of their pieces to the board.</t>
  </si>
  <si>
    <t>Player A declares and pockets the queen, but also pockets one of the opponent's pieces. What is the outcome?</t>
  </si>
  <si>
    <t>A) Player A loses the queen. , B) Player A wins the game. , C) Player A gets to continue. , D) Player A must replace the opponent's piece on the board.</t>
  </si>
  <si>
    <t>In a Carrom game, Player B pockets two pieces in one shot, but the striker goes into the pocket. What is the ruling?</t>
  </si>
  <si>
    <t>A) Player B loses their turn. , B) Player B loses the two pieces. , C) Player B continues without penalty. , D) Player B must replay the shot.</t>
  </si>
  <si>
    <t>Player A strikes the queen and another piece simultaneously into the pocket. What happens?</t>
  </si>
  <si>
    <t>A) Player A wins the game. , B) Player A must replace the other piece. , C) Player A loses the queen. , D) Player A continues without penalty.</t>
  </si>
  <si>
    <t>Player B accidentally knocks the queen off the board while attempting to strike a piece. What is the ruling?</t>
  </si>
  <si>
    <t>A) The queen is placed back in the center. , B) Player B loses their turn. , C) Player B loses a point. , D) Player B is penalized two points.</t>
  </si>
  <si>
    <t>During a Carrom game, Player A pockets the last piece but fails to cover the queen. What happens next?</t>
  </si>
  <si>
    <t>A) Player A wins the game. , B) Player A must replace the last piece. , C) The queen remains in play. , D) The match continues with Player A's opponent covering the queen.</t>
  </si>
  <si>
    <t>B) Player A must replace the last piece.</t>
  </si>
  <si>
    <t>Player B covers the queen and then accidentally knocks another piece off the board. What is the correct ruling?</t>
  </si>
  <si>
    <t>A) Player B wins the game. , B) Player B loses the queen. , C) Player B loses their turn. , D) Player B is penalized a point.</t>
  </si>
  <si>
    <t>B) Player B loses the queen.</t>
  </si>
  <si>
    <t>Player A pockets the queen but does not cover it in the next turn. What happens?</t>
  </si>
  <si>
    <t>A) The queen remains pocketed. , B) The queen is placed back on the board. , C) Player A loses the game. , D) Player A must replay the shot.</t>
  </si>
  <si>
    <t>Player A strikes and pockets the striker and an opponent's piece. What happens next?</t>
  </si>
  <si>
    <t>A) Player A loses their turn. , B) Player A loses a point. , C) Player A continues without penalty. , D) Player A must return the opponent's piece to the board.</t>
  </si>
  <si>
    <t>Player B successfully pockets the queen but also pockets the striker. What is the ruling?</t>
  </si>
  <si>
    <t>A) Player B wins the game. , B) Player B loses the queen. , C) Player B must replay the shot. , D) Player B continues without penalty.</t>
  </si>
  <si>
    <t>During a Carrom match, Player A strikes and the striker goes off the board after pocketing the queen. What is the outcome?</t>
  </si>
  <si>
    <t>A) Player A loses the queen. , B) The queen is placed back on the board. , C) Player A wins the game. , D) Player A continues without penalty.</t>
  </si>
  <si>
    <t>Player B pockets their last piece but fails to cover the queen. What happens next?</t>
  </si>
  <si>
    <t>A) Player B wins the game. , B) Player B must return the last piece to the board. , C) The game continues with the queen in play. , D) Player B must replay the shot.</t>
  </si>
  <si>
    <t>B) Player B must return the last piece to the board.</t>
  </si>
  <si>
    <t>Player A pockets the queen, but their striker falls into the pocket as well. What is the ruling?</t>
  </si>
  <si>
    <t>A) Player A wins the game. , B) Player A loses the queen. , C) Player A continues without penalty. , D) Player A must replay the shot.</t>
  </si>
  <si>
    <t>B) Player A loses the queen.</t>
  </si>
  <si>
    <t>Player B strikes and pockets the striker after successfully covering the queen. What is the correct ruling?</t>
  </si>
  <si>
    <t>A) Player B loses the queen. , B) Player B wins the game. , C) Player B must return the striker to the board. , D) Player B continues without penalty.</t>
  </si>
  <si>
    <t>Player A pockets the last black piece but fails to pocket the queen. What is the outcome?</t>
  </si>
  <si>
    <t>A) Player A wins the game. , B) Player A loses one piece. , C) The queen is placed back on the board. , D) Player A must return the last black piece.</t>
  </si>
  <si>
    <t>D) Player A must return the last black piece.</t>
  </si>
  <si>
    <t>During a Carrom match, Player B pockets the queen without declaring. What is the ruling?</t>
  </si>
  <si>
    <t>A) Player B loses the queen. , B) Player B wins the game. , C) The queen remains pocketed. , D) Player B continues with no penalty.</t>
  </si>
  <si>
    <t>Player A hits the striker, which knocks over the queen but does not pocket any piece. What happens next?</t>
  </si>
  <si>
    <t>A) The queen is placed back in the center. , B) Player A is penalized a point. , C) Player A loses their turn. , D) Player A must replace one of their pieces.</t>
  </si>
  <si>
    <t>Player B covers the queen but pockets an opponent’s piece in the same shot. What is the correct ruling?</t>
  </si>
  <si>
    <t>A) Player B loses the queen. , B) Player B wins the game. , C) Player B continues without penalty. , D) Player B must return the opponent’s piece to the board.</t>
  </si>
  <si>
    <t>In a Carrom game, Player A knocks the queen and the striker into the pocket. What is the outcome?</t>
  </si>
  <si>
    <t>A) Player A wins the game. , B) Player A loses the queen. , C) Player A must replay the shot. , D) Player A continues without penalty.</t>
  </si>
  <si>
    <t>During a Carrom match, Player A pockets the last piece but does not cover the queen. What happens?</t>
  </si>
  <si>
    <t>A) Player A wins the game. , B) Player A must return the last piece. , C) The queen is placed back on the board. , D) Player A is penalized a point.</t>
  </si>
  <si>
    <t>B) Player A must return the last piece.</t>
  </si>
  <si>
    <t>Player B pockets the striker while attempting to pocket the queen. What is the ruling?</t>
  </si>
  <si>
    <t>A) Player B wins the game. , B) Player B loses the queen. , C) Player B is penalized one piece. , D) Player B must replay the shot.</t>
  </si>
  <si>
    <t>Player A successfully pockets the queen and the final black piece in one shot. What is the outcome?</t>
  </si>
  <si>
    <t>A) Player A wins the game. , B) The shot is invalid. , C) Player A must return the black piece. , D) Player A continues the game.</t>
  </si>
  <si>
    <t>Player B accidentally moves an opponent’s piece off the board while pocketing the queen. What is the ruling?</t>
  </si>
  <si>
    <t>A) Player B loses the queen and their turn. , B) Player B wins the game. , C) Player B is penalized two points. , D) Player B continues without penalty.</t>
  </si>
  <si>
    <t>A) Player B loses the queen and their turn.</t>
  </si>
  <si>
    <t>In a Carrom match, Player A pockets the queen but also pockets the striker. What is the result?</t>
  </si>
  <si>
    <t>A) Player A wins the game. , B) Player A loses the queen. , C) Player A must replay the shot. , D) Player A continues with their turn.</t>
  </si>
  <si>
    <t>Player A strikes and the striker knocks the queen and a white piece off the board. What happens next?</t>
  </si>
  <si>
    <t>A) Player A loses the white piece. , B) The queen and white piece are placed back on the board. , C) Player A loses their turn. , D) Player A must replace both pieces.</t>
  </si>
  <si>
    <t>B) The queen and white piece are placed back on the board.</t>
  </si>
  <si>
    <t>Player B pockets the queen and declares it, but the queen is not covered in the next shot. What is the outcome?</t>
  </si>
  <si>
    <t>A) Player B loses the queen. , B) The queen is placed back on the board. , C) Player B continues without penalty. , D) Player B is penalized two points.</t>
  </si>
  <si>
    <t>During a Carrom match, Player A pockets two of their pieces but also pockets the striker. What is the correct ruling?</t>
  </si>
  <si>
    <t>A) Player A loses their turn. , B) Player A loses one piece. , C) Player A is penalized a point. , D) Player A must return both pieces.</t>
  </si>
  <si>
    <t>Player A accidentally moves their striker off the board after pocketing the queen. What is the outcome?</t>
  </si>
  <si>
    <t>A) Player A wins the game. , B) Player A loses the queen. , C) Player A continues without penalty. , D) Player A must return the striker to the board.</t>
  </si>
  <si>
    <t>Player B pockets all their pieces but fails to pocket the queen. What should happen?</t>
  </si>
  <si>
    <t>A) Player B wins the game. , B) Player B must return one piece to the board. , C) The game continues until the queen is pocketed. , D) Player B is penalized one point.</t>
  </si>
  <si>
    <t>B) Player B must return one piece to the board.</t>
  </si>
  <si>
    <t>Player A knocks over the queen while striking but fails to pocket any piece. What happens next?</t>
  </si>
  <si>
    <t>A) The queen is placed back in the center. , B) Player A loses their turn. , C) Player A loses one piece. , D) Player A must return the striker to the board.</t>
  </si>
  <si>
    <t>Player B declares and pockets the queen but pockets an opponent’s piece in the same shot. What is the ruling?</t>
  </si>
  <si>
    <t>A) Player B wins the game. , B) Player B loses the queen. , C) Player B must return the opponent’s piece. , D) Player B is penalized a point.</t>
  </si>
  <si>
    <t>In a Carrom match, Player A pockets the striker after covering the queen. What is the result?</t>
  </si>
  <si>
    <t>A) Player A wins the game. , B) Player A loses the queen. , C) Player A continues without penalty. , D) Player A must replace the striker on the board.</t>
  </si>
  <si>
    <t>Player B pockets the last piece but fails to pocket the queen. What happens?</t>
  </si>
  <si>
    <t>A) Player B wins the game. , B) Player B must return the last piece. , C) The queen remains in play. , D) Player B is penalized one point.</t>
  </si>
  <si>
    <t>B) Player B must return the last piece.</t>
  </si>
  <si>
    <t>Player A pockets an opponent’s piece while attempting to cover the queen. What is the outcome?</t>
  </si>
  <si>
    <t>A) Player A loses the queen. , B) Player A wins the game. , C) Player A continues without penalty. , D) Player A must replay the shot.</t>
  </si>
  <si>
    <t>During a Carrom game, Player A pockets the queen but also pockets the striker. What is the ruling?</t>
  </si>
  <si>
    <t>Player B knocks over the striker and the queen off the board. What happens next?</t>
  </si>
  <si>
    <t>A) Player B loses the queen. , B) The queen and striker are placed back in the center. , C) Player B loses their turn. , D) Player B must return both to the board.</t>
  </si>
  <si>
    <t>B) The queen and striker are placed back in the center.</t>
  </si>
  <si>
    <t>Player A declares and pockets the queen but pockets their striker in the same shot. What is the outcome?</t>
  </si>
  <si>
    <t>A) Player A wins the game. , B) Player A loses the queen. , C) Player A must replay the shot. , D) Player A continues with no penalty.</t>
  </si>
  <si>
    <t>Player B accidentally pockets two of their own pieces while trying to cover the queen. What is the ruling?</t>
  </si>
  <si>
    <t>A) Player B loses one piece. , B) Player B loses the queen. , C) Player B continues without penalty. , D) Player B is penalized two points.</t>
  </si>
  <si>
    <t>Player A pockets their last piece before covering the queen. What should happen?</t>
  </si>
  <si>
    <t>A) Player A wins the game. , B) Player A loses their last piece. , C) Player A must return the last piece. , D) Player A is penalized a point.</t>
  </si>
  <si>
    <t>C) Player A must return the last piece.</t>
  </si>
  <si>
    <t>Player A pockets the queen but fails to cover it before the next turn. What happens?</t>
  </si>
  <si>
    <t>A) Player A wins the game. , B) The queen is placed back on the board. , C) Player A is penalized one point. , D) Player A gets another chance to cover it.</t>
  </si>
  <si>
    <t>During a Carrom match, Player B accidentally knocks the queen off the board. What is the ruling?</t>
  </si>
  <si>
    <t>A) Player B loses the queen. , B) The queen is placed back in the center. , C) Player B is penalized two points. , D) Player B loses their turn.</t>
  </si>
  <si>
    <t>Player A strikes and the queen is pocketed along with one of Player B's pieces. What happens?</t>
  </si>
  <si>
    <t>A) Player A wins the game. , B) Player A loses the queen. , C) The queen is returned to the board. , D) Player B gains an extra turn.</t>
  </si>
  <si>
    <t>Player B pockets the striker while attempting to cover the queen. What is the outcome?</t>
  </si>
  <si>
    <t>A) Player B loses the queen. , B) Player B is penalized one piece. , C) Player B loses their turn. , D) Player B must replace the striker.</t>
  </si>
  <si>
    <t>Player A pockets the last black piece but has not covered the queen. What is the result?</t>
  </si>
  <si>
    <t>A) Player A wins the game. , B) Player A must return the black piece. , C) Player A is penalized a point. , D) The game continues with Player A needing to pocket the queen.</t>
  </si>
  <si>
    <t>B) Player A must return the black piece.</t>
  </si>
  <si>
    <t>In a Carrom match, Player B pockets their last piece and covers the queen in one shot. What happens?</t>
  </si>
  <si>
    <t>A) Player B wins the game. , B) The shot is invalid. , C) Player B must replay the shot. , D) Player B is penalized for not declaring the queen.</t>
  </si>
  <si>
    <t>Player A accidentally moves the queen while trying to pocket a piece but does not pocket it. What is the correct ruling?</t>
  </si>
  <si>
    <t>A) Player A loses their turn. , B) The queen is placed back in the center. , C) Player A is penalized one point. , D) The queen is placed in the nearest available spot.</t>
  </si>
  <si>
    <t>Player B covers the queen but pockets the striker in the same shot. What happens?</t>
  </si>
  <si>
    <t>A) Player B wins the game. , B) Player B loses the queen. , C) Player B must replay the shot. , D) Player B loses their turn.</t>
  </si>
  <si>
    <t>During a Carrom game, Player A knocks one of their pieces off the board while attempting to cover the queen. What is the outcome?</t>
  </si>
  <si>
    <t>A) Player A loses the queen. , B) Player A loses their piece. , C) Player A loses their turn. , D) Player A is penalized two points.</t>
  </si>
  <si>
    <t>B) Player A loses their piece.</t>
  </si>
  <si>
    <t>Player A pockets the striker twice in a row. What is the ruling?</t>
  </si>
  <si>
    <t>A) Player A is penalized one point. , B) Player A loses their turn. , C) Player A must return one piece to the board. , D) Player A continues without penalty.</t>
  </si>
  <si>
    <t>C) Player A must return one piece to the board.</t>
  </si>
  <si>
    <t>Player B pockets the queen and the last white piece in one shot. What is the result?</t>
  </si>
  <si>
    <t>A) Player B wins the game. , B) Player B loses the queen. , C) Player B must replay the shot. , D) The queen is placed back on the board.</t>
  </si>
  <si>
    <t>Player A strikes the queen, but it touches the striker and returns to the center. What is the ruling?</t>
  </si>
  <si>
    <t>A) The queen is placed back in the center. , B) Player A loses their turn. , C) Player A is penalized one point. , D) The queen remains in play.</t>
  </si>
  <si>
    <t>D) The queen remains in play.</t>
  </si>
  <si>
    <t>Player B knocks the striker off the board while trying to pocket a piece. What happens?</t>
  </si>
  <si>
    <t>A) Player B loses their turn. , B) Player B is penalized two points. , C) Player B continues without penalty. , D) Player B must return one piece.</t>
  </si>
  <si>
    <t>Player A accidentally knocks both the queen and one of their pieces off the board. What is the result?</t>
  </si>
  <si>
    <t>A) Player A loses the queen. , B) Player A loses their piece. , C) Both are placed back on the board. , D) Player A is penalized one point.</t>
  </si>
  <si>
    <t>C) Both are placed back on the board.</t>
  </si>
  <si>
    <t>Player B pockets their last piece but has not declared the queen. What happens next?</t>
  </si>
  <si>
    <t>A) Player B wins the game. , B) Player B must return the last piece. , C) The queen is placed back on the board. , D) Player B is penalized a point.</t>
  </si>
  <si>
    <t>Player A strikes the striker and pockets two black pieces but also pockets the striker. What happens?</t>
  </si>
  <si>
    <t>A) Player A loses their turn. , B) Player A must return one black piece. , C) Player A is penalized one point. , D) Player A must return both black pieces.</t>
  </si>
  <si>
    <t>B) Player A must return one black piece.</t>
  </si>
  <si>
    <t>Player B pockets the queen but also pockets an opponent’s piece in the same shot. What is the ruling?</t>
  </si>
  <si>
    <t>A) Player B wins the game. , B) Player B loses the queen. , C) Player B continues without penalty. , D) Player B must return the opponent’s piece.</t>
  </si>
  <si>
    <t>Player A accidentally strikes the queen and another piece off the board. What is the outcome?</t>
  </si>
  <si>
    <t>A) Player A loses their turn. , B) Both pieces are placed back on the board. , C) Player A is penalized one point. , D) Player A must return one piece to the board.</t>
  </si>
  <si>
    <t>B) Both pieces are placed back on the board.</t>
  </si>
  <si>
    <t>Player B pockets the queen but fails to pocket any other piece. What is the correct ruling?</t>
  </si>
  <si>
    <t>A) Player B wins the game. , B) Player B must return the queen. , C) Player B loses their turn. , D) Player B continues without penalty.</t>
  </si>
  <si>
    <t>B) Player B must return the queen.</t>
  </si>
  <si>
    <t>During a Carrom match, Player A pockets the striker and the queen at the same time. What is the ruling?</t>
  </si>
  <si>
    <t>A) Player A loses the queen. , B) Player A is penalized two points. , C) Player A must replay the shot. , D) Player A wins the game.</t>
  </si>
  <si>
    <t>Player B strikes the queen and a black piece into the pocket. What is the correct outcome?</t>
  </si>
  <si>
    <t>A) Player B wins the game. , B) Player B loses the queen. , C) Player B must return the black piece. , D) Player B continues without penalty.</t>
  </si>
  <si>
    <t>Player A pockets the last black piece but also pockets the striker. What is the ruling?</t>
  </si>
  <si>
    <t>A) Player A wins the game. , B) Player A must return the black piece. , C) Player A is penalized one point. , D) Player A must replay the shot.</t>
  </si>
  <si>
    <t>Player B pockets the queen but pockets an opponent’s piece in the next shot. What happens?</t>
  </si>
  <si>
    <t>A) Player B wins the game. , B) Player B loses the queen. , C) The opponent's piece is returned to the board. , D) Player B is penalized a point.</t>
  </si>
  <si>
    <t>Player A successfully covers the queen but accidentally knocks a white piece into the pocket in the next shot. What is the ruling?</t>
  </si>
  <si>
    <t>A) Player A wins the game. , B) Player A loses the queen. , C) Player A continues without penalty. , D) Player A must return the white piece.</t>
  </si>
  <si>
    <t>C) Player A continues without penalty.</t>
  </si>
  <si>
    <t>During a critical game, Player A covers the queen but mistakenly pockets an opponent's piece in the next shot. What happens?</t>
  </si>
  <si>
    <t>A) Player A wins the game. , B) Player A loses the queen. , C) The opponent's piece is returned. , D) Player A is penalized a point.</t>
  </si>
  <si>
    <t>Player B successfully pockets all of their pieces but misses covering the queen. What is the ruling?</t>
  </si>
  <si>
    <t>A) Player B wins the game. , B) Player B must return one piece. , C) Player B loses their last turn. , D) Player B must continue playing to cover the queen.</t>
  </si>
  <si>
    <t>D) Player B must continue playing to cover the queen.</t>
  </si>
  <si>
    <t>Player A pockets the queen but fails to announce it before the shot. What is the outcome?</t>
  </si>
  <si>
    <t>A) Player A wins the game. , B) The queen is returned to the center. , C) Player A loses their turn. , D) Player A continues without penalty.</t>
  </si>
  <si>
    <t>B) The queen is returned to the center.</t>
  </si>
  <si>
    <t>Player B accidentally knocks the striker into the pocket while attempting to cover the queen. What happens?</t>
  </si>
  <si>
    <t>A) Player B loses the queen. , B) Player B is penalized one point. , C) Player B loses their turn. , D) Player B must replace one piece on the board.</t>
  </si>
  <si>
    <t>Player A attempts to pocket their final piece but misses and the striker goes off the board. What is the ruling?</t>
  </si>
  <si>
    <t>A) Player A is penalized one point. , B) Player A loses their turn. , C) Player A must place a piece back on the board. , D) Player A must replace the striker only.</t>
  </si>
  <si>
    <t>B) Player A loses their turn.</t>
  </si>
  <si>
    <t>Player B successfully pockets the queen but commits a foul by pocketing the striker afterward. What happens?</t>
  </si>
  <si>
    <t>A) Player B wins the game. , B) Player B loses the queen. , C) Player B is penalized a point. , D) Player B gets another chance to cover the queen.</t>
  </si>
  <si>
    <t>Player A accidentally pockets both the queen and their own piece in one shot. What is the ruling?</t>
  </si>
  <si>
    <t>A) Player A wins the game. , B) Player A loses the queen. , C) The queen is returned to the board. , D) Player A is penalized a point.</t>
  </si>
  <si>
    <t>Player B strikes the queen into the pocket but also knocks one of Player A's pieces in. What happens?</t>
  </si>
  <si>
    <t>A) Player B wins the game. , B) Player B loses the queen. , C) The game continues with Player B having to cover the queen. , D) Player A gets the piece returned to the board.</t>
  </si>
  <si>
    <t>Player A strikes the last remaining piece of Player B into the pocket while trying to cover the queen. What is the ruling?</t>
  </si>
  <si>
    <t>A) Player B is penalized. , B) Player A loses the queen. , C) Player A must replay the shot. , D) Player A continues without penalty.</t>
  </si>
  <si>
    <t>Player B pockets two of their own pieces but fails to cover the queen in a single turn. What happens?</t>
  </si>
  <si>
    <t>A) Player B wins the game. , B) Player B loses both pieces. , C) Player B must return the queen to the board. , D) Player B must return one of the pieces.</t>
  </si>
  <si>
    <t>D) Player B must return one of the pieces.</t>
  </si>
  <si>
    <t>Player A covers the queen and pockets the last black piece in one shot. What is the outcome?</t>
  </si>
  <si>
    <t>A) Player A wins the game. , B) Player A must return the black piece. , C) The shot is invalid. , D) Player A is penalized one point.</t>
  </si>
  <si>
    <t>Player B pockets the queen but knocks the striker into the pocket as well. What is the correct ruling?</t>
  </si>
  <si>
    <t>A) Player B wins the game. , B) Player B loses the queen. , C) Player B is penalized two points. , D) Player B must replace one piece on the board.</t>
  </si>
  <si>
    <t>Player A successfully covers the queen, but Player B pockets the striker immediately afterward. What happens?</t>
  </si>
  <si>
    <t>A) Player B is penalized one point. , B) Player A wins the game. , C) The game continues. , D) Player B must replay their turn.</t>
  </si>
  <si>
    <t>C) The game continues.</t>
  </si>
  <si>
    <t>Player B covers the queen but accidentally pockets an opponent’s piece in the next shot. What is the outcome?</t>
  </si>
  <si>
    <t>A) Player B wins the game. , B) Player B loses the queen. , C) Player B must return one of their pieces. , D) Player B must replay the shot.</t>
  </si>
  <si>
    <t>Player A strikes and the queen goes off the board. What is the ruling?</t>
  </si>
  <si>
    <t>A) The queen is placed back at the center. , B) Player A loses the queen. , C) Player A is penalized one point. , D) Player A loses their turn.</t>
  </si>
  <si>
    <t>A) The queen is placed back at the center.</t>
  </si>
  <si>
    <t>During a Carrom match, Player B accidentally knocks two of Player A’s pieces into the pocket. What happens?</t>
  </si>
  <si>
    <t>A) Player B loses two points. , B) Player A gets both pieces back. , C) Player A gains a bonus turn. , D) Player B must return one piece to the board.</t>
  </si>
  <si>
    <t>C) Player A gains a bonus turn.</t>
  </si>
  <si>
    <t>Player A successfully pockets their last black piece, but Player B immediately pockets the striker. What is the correct action?</t>
  </si>
  <si>
    <t>A) Player A wins the game. , B) Player A must return the black piece. , C) Player B loses their turn. , D) Player B must replay their turn.</t>
  </si>
  <si>
    <t>Player B accidentally pockets the queen during Player A’s turn. What is the correct ruling?</t>
  </si>
  <si>
    <t>A) The queen is returned to the center. , B) Player A wins the game. , C) Player B is penalized one point. , D) Player B loses their turn.</t>
  </si>
  <si>
    <t>A) The queen is returned to the center.</t>
  </si>
  <si>
    <t>Player A pockets all their pieces and attempts to pocket the queen. The queen doesn't go in. What happens next?</t>
  </si>
  <si>
    <t>A) Player A wins the game. , B) Player A loses a piece. , C) Player A must continue to pocket the queen. , D) The queen is placed back at the center.</t>
  </si>
  <si>
    <t>C) Player A must continue to pocket the queen.</t>
  </si>
  <si>
    <t>Player B accidentally knocks one of Player A’s pieces and the queen into the pocket in the same shot. What happens?</t>
  </si>
  <si>
    <t>A) Player B wins the game. , B) Player B loses the queen. , C) The game continues. , D) Player A gets the piece returned to the board.</t>
  </si>
  <si>
    <t>Player A attempts to pocket the queen but ends up pocketing their striker instead. What happens?</t>
  </si>
  <si>
    <t>A) Player A loses the queen. , B) Player A is penalized one point. , C) Player A loses their turn. , D) Player A must return one piece to the board.</t>
  </si>
  <si>
    <t>During a Carrom game, Player A successfully pockets the queen but also knocks Player B’s piece into the pocket. What happens?</t>
  </si>
  <si>
    <t>A) Player A wins the game. , B) Player A loses the queen. , C) Player B gets another turn. , D) Player B must return their piece to the board.</t>
  </si>
  <si>
    <t>Player A successfully pockets the queen but accidentally knocks one of their own pieces into the pocket afterward. What is the ruling?</t>
  </si>
  <si>
    <t>A) Player A wins the game. , B) Player A loses the queen. , C) Player A continues playing. , D) Player A gets another chance to pocket the queen.</t>
  </si>
  <si>
    <t>Player B pockets the striker right after covering the queen. What happens?</t>
  </si>
  <si>
    <t>A) Player B loses the queen. , B) Player B is penalized 2 points. , C) Player B must return one of their pieces. , D) Player B continues without penalty.</t>
  </si>
  <si>
    <t>Player A pockets an opponent’s piece while covering the queen. What is the ruling?</t>
  </si>
  <si>
    <t>A) Player A wins the game. , B) The queen is returned to the center. , C) Player A must return one of their own pieces. , D) Player A loses their next turn.</t>
  </si>
  <si>
    <t>Player B accidentally pockets the striker while attempting to hit their last piece. What is the result?</t>
  </si>
  <si>
    <t>A) Player B wins the game. , B) Player B loses a turn. , C) Player B is penalized one point. , D) Player B must place the last piece back on the board.</t>
  </si>
  <si>
    <t>C) Player B is penalized one point.</t>
  </si>
  <si>
    <t>During the game, Player A pockets the striker while attempting to hit an opponent’s piece. What is the ruling?</t>
  </si>
  <si>
    <t>A) Player A is penalized one point. , B) Player A loses their turn. , C) Player A continues without penalty. , D) Player A must replace the striker.</t>
  </si>
  <si>
    <t>Player B has pocketed all their pieces but misses the queen. What happens next?</t>
  </si>
  <si>
    <t>A) Player B wins the game. , B) Player B must pocket the queen before winning. , C) Player B must place one piece back on the board. , D) Player B is penalized one point.</t>
  </si>
  <si>
    <t>B) Player B must pocket the queen before winning.</t>
  </si>
  <si>
    <t>Player A pockets the queen but also pockets an opponent's piece in the next turn. What happens?</t>
  </si>
  <si>
    <t>A) Player A wins the game. , B) Player A loses the queen. , C) Player A is penalized two points. , D) The game continues as normal.</t>
  </si>
  <si>
    <t>Player A pockets their final piece but the queen is still in play. What is the ruling?</t>
  </si>
  <si>
    <t>A) Player A wins the game. , B) Player A must pocket the queen before winning. , C) Player A loses one point. , D) Player A has to return one of their pieces to the board.</t>
  </si>
  <si>
    <t>B) Player A must pocket the queen before winning.</t>
  </si>
  <si>
    <t>Player B covers the queen but knocks the striker into the pocket afterward. What is the ruling?</t>
  </si>
  <si>
    <t>A) Player B wins the game. , B) Player B is penalized two points. , C) Player B loses the queen. , D) Player B continues without penalty.</t>
  </si>
  <si>
    <t>C) Player B loses the queen.</t>
  </si>
  <si>
    <t>Player A pockets two of their own pieces in one turn but fails to cover the queen. What happens next?</t>
  </si>
  <si>
    <t>A) Player A wins the game. , B) Player A loses one of the pocketed pieces. , C) Player A continues playing. , D) Player A must return one of the pieces to the board.</t>
  </si>
  <si>
    <t>D) Player A must return one of the pieces to the board.</t>
  </si>
  <si>
    <t>Player A knocks the queen off the board while attempting to cover it. What happens?</t>
  </si>
  <si>
    <t>A) The queen is placed back at the center. , B) Player A loses the queen. , C) Player A is penalized one point. , D) Player A must take another shot.</t>
  </si>
  <si>
    <t>Player B pockets the queen, but Player A immediately pockets the striker. What is the ruling?</t>
  </si>
  <si>
    <t>A) Player B wins the game. , B) Player A is penalized two points. , C) Player A loses their turn. , D) The game continues as normal.</t>
  </si>
  <si>
    <t>D) The game continues as normal.</t>
  </si>
  <si>
    <t>Player A successfully covers the queen but pockets the striker afterward. What happens?</t>
  </si>
  <si>
    <t>A) Player A wins the game. , B) Player A loses the queen. , C) Player A is penalized two points. , D) Player A continues playing.</t>
  </si>
  <si>
    <t>Player B pockets the queen without covering it first. What is the outcome?</t>
  </si>
  <si>
    <t>A) Player B wins the game. , B) Player B loses a point. , C) The queen is returned to the center. , D) Player B is penalized two points.</t>
  </si>
  <si>
    <t>C) The queen is returned to the center.</t>
  </si>
  <si>
    <t>Player A covers the queen but knocks an opponent’s piece into the pocket afterward. What happens?</t>
  </si>
  <si>
    <t>A) Player A wins the game. , B) Player A loses the queen. , C) Player A must return one of their pieces to the board. , D) Player A is penalized two points.</t>
  </si>
  <si>
    <t>Player B accidentally pockets the striker while trying to hit the queen. What is the ruling?</t>
  </si>
  <si>
    <t>A) Player B loses their turn. , B) Player B is penalized one point. , C) Player B continues without penalty. , D) Player B must return a piece to the board.</t>
  </si>
  <si>
    <t>B) Player B is penalized one point.</t>
  </si>
  <si>
    <t>Player A successfully pockets the queen but Player B protests that Player A did not announce their intention. What is the ruling?</t>
  </si>
  <si>
    <t>A) Player A wins the game. , B) The queen is returned to the center. , C) Player A is penalized two points. , D) Player A loses their next turn.</t>
  </si>
  <si>
    <t>Player B covers the queen but knocks an opponent's piece into the pocket during their next shot. What happens?</t>
  </si>
  <si>
    <t>A) Player B wins the game. , B) Player B loses the queen. , C) Player B is penalized two points. , D) Player B continues without penalty.</t>
  </si>
  <si>
    <t>Player A pockets their final piece but leaves the queen on the board. What is the ruling?</t>
  </si>
  <si>
    <t>A) Player A wins the game. , B) Player A must pocket the queen before winning. , C) Player A is penalized two points. , D) Player A loses their turn.</t>
  </si>
  <si>
    <t>Player B accidentally knocks the striker into the pocket while attempting to hit the queen. What happens?</t>
  </si>
  <si>
    <t>A) Player B loses the queen. , B) Player B is penalized one point. , C) Player B continues without penalty. , D) Player B must return a piece to the board.</t>
  </si>
  <si>
    <t>Player A covers the queen but accidentally pockets the striker immediately afterward. What happens?</t>
  </si>
  <si>
    <t>A) Player A wins the game. , B) Player A loses the queen. , C) Player A is penalized one point. , D) Player A must return one of their pieces to the board.</t>
  </si>
  <si>
    <t>Player B strikes and the queen goes off the board. What happens next?</t>
  </si>
  <si>
    <t>A) Player B wins the game. , B) The queen is returned to the center. , C) Player B is penalized two points. , D) Player B loses their turn.</t>
  </si>
  <si>
    <t>Player A knocks the striker off the board while attempting to hit the queen. What is the ruling?</t>
  </si>
  <si>
    <t>A) Player A is penalized one point. , B) Player A loses their turn. , C) Player A must replace the striker. , D) Player A continues playing.</t>
  </si>
  <si>
    <t>A) Player A is penalized one point.</t>
  </si>
  <si>
    <t>Player B successfully covers the queen but accidentally pockets Player A’s piece. What happens?</t>
  </si>
  <si>
    <t>A) Player B wins the game. , B) Player B loses the queen. , C) Player A’s piece is returned. , D) The game continues as normal.</t>
  </si>
  <si>
    <t>Player A pockets the queen and all their pieces. What is the outcome?</t>
  </si>
  <si>
    <t>A) Player A wins the game. , B) Player A must return one piece. , C) Player A is penalized one point. , D) Player A must replay the shot.</t>
  </si>
  <si>
    <t>Player B pockets the queen but misses covering it. What is the ruling?</t>
  </si>
  <si>
    <t>A) Player B wins the game. , B) The queen is returned to the center. , C) Player B loses their turn. , D) Player B is penalized one point.</t>
  </si>
  <si>
    <t>Player A accidentally pockets the queen and their striker in the same turn. What happens?</t>
  </si>
  <si>
    <t>A) Player A loses the queen. , B) Player A wins the game. , C) Player A is penalized one point. , D) Player A must return one piece.</t>
  </si>
  <si>
    <t>Player B successfully pockets all their pieces but leaves the queen unpocketed. What is the outcome?</t>
  </si>
  <si>
    <t>A) Player B wins the game. , B) Player B must pocket the queen before winning. , C) Player B is penalized two points. , D) Player B must return a piece to the board.</t>
  </si>
  <si>
    <t>Player A covers the queen but accidentally pockets the striker. What happens?</t>
  </si>
  <si>
    <t>A) Player A wins the game. , B) Player A loses the queen. , C) Player A is penalized two points. , D) Player A must return one piece to the board.</t>
  </si>
  <si>
    <t>Player B pockets the queen and then accidentally pockets one of their own pieces. What is the ruling?</t>
  </si>
  <si>
    <t>A) Player B wins the game. , B) Player B loses the queen. , C) Player B is penalized one point. , D) Player B continues playing.</t>
  </si>
  <si>
    <t>Player A pockets the queen in one shot and all their pieces in another. What happens?</t>
  </si>
  <si>
    <t>Player B successfully pockets their last piece but fails to cover the queen. What is the ruling?</t>
  </si>
  <si>
    <t>A) Player B wins the game. , B) Player B must pocket the queen before winning. , C) Player B is penalized one point. , D) The game ends in a draw.</t>
  </si>
  <si>
    <t>Player A covers the queen but also knocks the striker off the board. What is the outcome?</t>
  </si>
  <si>
    <t>A) Player A wins the game. , B) Player A loses the queen. , C) Player A is penalized two points. , D) Player A must replace the striker.</t>
  </si>
  <si>
    <t>Player B pockets the queen and then Player A’s piece. What happens?</t>
  </si>
  <si>
    <t>A) Player B wins the game. , B) Player B loses the queen. , C) Player A’s piece is returned. , D) Player B continues playing.</t>
  </si>
  <si>
    <t>Player A pockets the queen and all their pieces but fails to cover the queen. What is the ruling?</t>
  </si>
  <si>
    <t>A) Player A wins the game. , B) Player A must pocket the queen before winning. , C) Player A is penalized one point. , D) Player A loses their turn.</t>
  </si>
  <si>
    <t>Player B covers the queen but knocks the striker into the pocket. What happens?</t>
  </si>
  <si>
    <t>A) Player B wins the game. , B) Player B loses the queen. , C) Player B is penalized two points. , D) Player B continues playing.</t>
  </si>
  <si>
    <t>Player A pockets their last piece but leaves the queen unpocketed. What is the ruling?</t>
  </si>
  <si>
    <t>Player B covers the queen but then pockets the striker. What is the ruling?</t>
  </si>
  <si>
    <t>A) Player B wins the game. , B) Player B loses the queen. , C) Player B is penalized two points. , D) Player B must replace the striker.</t>
  </si>
  <si>
    <t>Player A pockets their final piece and then covers the queen in the same turn. What happens?</t>
  </si>
  <si>
    <t>A) Player A wins the game. , B) Player A must return a piece. , C) Player A is penalized one point. , D) Player A must replay the shot.</t>
  </si>
  <si>
    <t>Player B pockets the queen but then knocks one of their own pieces into the pocket. What is the ruling?</t>
  </si>
  <si>
    <t>A) Player B wins the game. , B) Player B loses the queen. , C) Player B must return the piece to the board. , D) Player B is penalized one point.</t>
  </si>
  <si>
    <t>Player A pockets the queen and all their pieces in separate turns. What is the ruling?</t>
  </si>
  <si>
    <t>Player B covers the queen but then pockets an opponent’s piece. What is the outcome?</t>
  </si>
  <si>
    <t>Player A pockets the queen but the striker goes off the board immediately afterward. What is the ruling?</t>
  </si>
  <si>
    <t>A) Player A wins the game. , B) Player A loses the queen. , C) Player A must replace the striker. , D) Player A continues playing.</t>
  </si>
  <si>
    <t>Player B pockets the queen but misses covering it. What is the outcome?</t>
  </si>
  <si>
    <t>A) Player B wins the game. , B) The queen is returned to the center. , C) Player B loses a point. , D) Player B must replay the shot.</t>
  </si>
  <si>
    <t>Player A successfully covers the queen but knocks their striker into the pocket. What happens?</t>
  </si>
  <si>
    <t>A) Player A wins the game. , B) Player A loses the queen. , C) Player A is penalized two points. , D) Player A must return a piece to the board.</t>
  </si>
  <si>
    <t>Player B pockets their last piece but fails to cover the queen. What is the ruling?</t>
  </si>
  <si>
    <t>Player A pockets the queen and all their pieces but fails to cover the queen in the final turn. What happens?</t>
  </si>
  <si>
    <t>Player A pockets the queen and then Player B’s piece. What happens?</t>
  </si>
  <si>
    <t>A) Player A wins the game. , B) Player A loses the queen. , C) Player B’s piece is returned. , D) Player A continues playing.</t>
  </si>
  <si>
    <t>Player B successfully pockets their final piece but does not cover the queen. What is the outcome?</t>
  </si>
  <si>
    <t>A) Player B wins the game. , B) Player B must pocket the queen before winning. , C) Player B is penalized one point. , D) Player B loses their turn.</t>
  </si>
  <si>
    <t>Player A pockets the queen but also pockets the striker. What is the ruling?</t>
  </si>
  <si>
    <t>A) Player A wins the game. , B) Player A loses the queen. , C) Player A must replace the striker. , D) Player A is penalized one point.</t>
  </si>
  <si>
    <t>Player B covers the queen but accidentally pockets their own piece immediately afterward. What happens?</t>
  </si>
  <si>
    <t>A) Player B wins the game. , B) Player B loses the queen. , C) Player B is penalized two points. , D) Player B must return a piece to the board.</t>
  </si>
  <si>
    <t>Player A pockets all their pieces but fails to cover the queen. What is the outcome?</t>
  </si>
  <si>
    <t>A) Player A wins the game. , B) Player A must pocket the queen before winning. , C) Player A is penalized one point. , D) Player A must replay the turn.</t>
  </si>
  <si>
    <t>Player B covers the queen and then pockets an opponent’s piece. What is the ruling?</t>
  </si>
  <si>
    <t>A) Player B wins the game. , B) Player B loses the queen. , C) Player B must return a piece. , D) Player B continues playing.</t>
  </si>
  <si>
    <t>Player A pockets the queen and all their pieces in separate turns but fails to cover the queen. What happens?</t>
  </si>
  <si>
    <t>A) Player A wins the game. , B) Player A must pocket the queen before winning. , C) Player A is penalized one point. , D) Player A must return a piece.</t>
  </si>
  <si>
    <t>Player B pockets their last piece and the queen in the same turn. What is the ruling?</t>
  </si>
  <si>
    <t>A) Player B wins the game. , B) Player B must return one piece. , C) Player B is penalized two points. , D) Player B must replay the shot.</t>
  </si>
  <si>
    <t>Player A successfully covers the queen but accidentally pockets the striker. What happens?</t>
  </si>
  <si>
    <t>A) Player A wins the game. , B) Player A loses the queen. , C) Player A is penalized one point. , D) Player A must replace the striker.</t>
  </si>
  <si>
    <t>A) Player B wins the game. , B) The queen is returned to the center. , C) Player B is penalized one point. , D) Player B must replay the turn.</t>
  </si>
  <si>
    <t>Player A pockets their final piece but leaves the queen unpocketed. What is the ruling?</t>
  </si>
  <si>
    <t>A) Player B wins the game. , B) Player B loses the queen. , C) Player B must return the striker. , D) Player B is penalized one point.</t>
  </si>
  <si>
    <t>Player A pockets the queen and all their pieces but does not cover the queen. What is the outcome?</t>
  </si>
  <si>
    <t>Player B successfully pockets their last piece and covers the queen. What happens next?</t>
  </si>
  <si>
    <t>A) Player B wins the game. , B) Player B must return one piece. , C) Player B is penalized one point. , D) Player B continues playing.</t>
  </si>
  <si>
    <t>Player A pockets a piece and then the queen. What is the outcome?</t>
  </si>
  <si>
    <t>A) Player A wins the game. , B) Player A loses the queen. , C) Player A must return the queen. , D) Player A continues playing.</t>
  </si>
  <si>
    <t>Player B covers the queen and then pockets one of their own pieces. What happens?</t>
  </si>
  <si>
    <t>A) Player B wins the game. , B) Player B loses the queen. , C) Player B continues playing. , D) Player B is penalized one point.</t>
  </si>
  <si>
    <t>Player A pockets all their pieces and then covers the queen. What is the outcome?</t>
  </si>
  <si>
    <t>A) Player A wins the game. , B) Player A must return one piece. , C) Player A loses the queen. , D) Player A must replay the turn.</t>
  </si>
  <si>
    <t>A) Player B wins the game. , B) Player B must pocket the queen before winning. , C) Player B is penalized one point. , D) The game is a draw.</t>
  </si>
  <si>
    <t>Player A covers the queen but then accidentally pockets the striker. What happens?</t>
  </si>
  <si>
    <t>A) Player A wins the game. , B) Player A loses the queen. , C) Player A is penalized two points. , D) Player A must return a piece.</t>
  </si>
  <si>
    <t>Player B pockets the queen but then the queen is accidentally knocked off the board. What is the outcome?</t>
  </si>
  <si>
    <t>A) Player B wins the game. , B) The queen is returned to the center. , C) Player B loses the queen. , D) Player B is penalized one point.</t>
  </si>
  <si>
    <t>Player A successfully pockets the queen but then fails to cover it on the next turn. What happens?</t>
  </si>
  <si>
    <t>A) Player A wins the game. , B) The queen is returned to the center. , C) Player A loses the queen. , D) Player A is penalized one point.</t>
  </si>
  <si>
    <t>C) Player A loses the queen.</t>
  </si>
  <si>
    <t>Player B pockets all their pieces and the queen in the same turn. What is the ruling?</t>
  </si>
  <si>
    <t>A) Player B wins the game. , B) Player B must return a piece. , C) Player B loses the queen. , D) Player B must replay the turn.</t>
  </si>
  <si>
    <t>Player A pockets the queen and then their striker. What is the outcome?</t>
  </si>
  <si>
    <t>Player B covers the queen but accidentally pockets one of their own pieces immediately afterward. What happens?</t>
  </si>
  <si>
    <t>Player A pockets the queen but then their opponent’s piece. What is the ruling?</t>
  </si>
  <si>
    <t>Player B pockets their last piece but fails to cover the queen. What happens?</t>
  </si>
  <si>
    <t>Player A pockets the queen and all their pieces, but fails to cover the queen. What is the outcome?</t>
  </si>
  <si>
    <t>Player B successfully covers the queen but then pockets the striker. What happens?</t>
  </si>
  <si>
    <t>A) Player B wins the game. , B) Player B loses the queen. , C) Player B must return the striker. , D) Player B continues playing.</t>
  </si>
  <si>
    <t>Player A pockets the queen and then Player B’s piece. What is the ruling?</t>
  </si>
  <si>
    <t>Player B pockets their last piece and the queen in the same turn. What happens?</t>
  </si>
  <si>
    <t>Player A successfully covers the queen but accidentally pockets the striker. What is the outcome?</t>
  </si>
  <si>
    <t>A) Player B wins the game. , B) Player B loses the queen. , C) Player B must replace the striker. , D) Player B is penalized one point.</t>
  </si>
  <si>
    <t>Player A pockets the queen and all their pieces but fails to cover the queen. What is the outcome?</t>
  </si>
  <si>
    <t>Player A pockets a piece and then the queen but fails to cover it on the next turn. What is the ruling?</t>
  </si>
  <si>
    <t>Player B pockets their final piece but accidentally pockets the queen in the same turn. What is the outcome?</t>
  </si>
  <si>
    <t>A) Player B wins the game. , B) Player B loses the queen. , C) Player B must return one piece. , D) Player B is penalized two points.</t>
  </si>
  <si>
    <t>Player A pockets the queen but misses covering it. What is the ruling?</t>
  </si>
  <si>
    <t>Player B pockets all their pieces but fails to cover the queen. What is the ruling?</t>
  </si>
  <si>
    <t>Player A successfully covers the queen but then accidentally pockets the striker. What happens?</t>
  </si>
  <si>
    <t>Player B covers the queen and then pockets an opponent’s piece. What is the outcome?</t>
  </si>
  <si>
    <t>A) Player B wins the game. , B) Player B loses the queen. , C) Player B must return the opponent’s piece. , D) Player B continues playing.</t>
  </si>
  <si>
    <t>Player A pockets the queen and their last piece in the same turn. What is the ruling?</t>
  </si>
  <si>
    <t>A) Player A wins the game. , B) Player A must return one piece. , C) Player A is penalized two points. , D) Player A must replay the turn.</t>
  </si>
  <si>
    <t>Player B pockets their final piece but leaves the queen unpocketed. What is the outcome?</t>
  </si>
  <si>
    <t>Player A covers the queen but then pockets the striker. What is the ruling?</t>
  </si>
  <si>
    <t>Player A pockets their final piece but leaves the queen unpocketed. What is the outcome?</t>
  </si>
  <si>
    <t>Player B covers the queen but then pockets one of their own pieces. What happens next?</t>
  </si>
  <si>
    <t>Player A pockets all their pieces and the queen in separate turns but fails to cover the queen. What is the outcome?</t>
  </si>
  <si>
    <t>Player B pockets their last piece and then the queen in the same turn. What happens?</t>
  </si>
  <si>
    <t>A) Player B wins the game. , B) Player B must return one piece. , C) Player B is penalized two points. , D) Player B must replay the turn.</t>
  </si>
  <si>
    <t>Player A covers the queen but accidentally pockets the striker. What is the outcome?</t>
  </si>
  <si>
    <t>Player B pockets the queen but fails to cover it. What is the ruling?</t>
  </si>
  <si>
    <t>Player A pockets a piece and then the queen but fails to cover the queen on the next turn. What is the ruling?</t>
  </si>
  <si>
    <t>Player A pockets all their pieces and the queen, but accidentally pockets the striker on the same turn. What is the ruling?</t>
  </si>
  <si>
    <t>A) Player A wins the game. , B) Player A loses the queen. , C) Player A is penalized one point. , D) Player A must replay the turn.</t>
  </si>
  <si>
    <t>Player B pockets their last piece but misses covering the queen. What happens next?</t>
  </si>
  <si>
    <t>A) Player B wins the game. , B) Player B must pocket the queen to win. , C) Player B is penalized one point. , D) The game is a draw.</t>
  </si>
  <si>
    <t>B) Player B must pocket the queen to win.</t>
  </si>
  <si>
    <t>A) Player A wins the game. , B) Player A must cover the queen to win. , C) Player A is penalized two points. , D) The game is a draw.</t>
  </si>
  <si>
    <t>B) Player A must cover the queen to win.</t>
  </si>
  <si>
    <t>Player B covers the queen but then pockets an opponent’s piece. What is the ruling?</t>
  </si>
  <si>
    <t>Player A pockets their final piece and then the queen in the same turn. What is the outcome?</t>
  </si>
  <si>
    <t>A) Player A wins the game. , B) Player A must replay the turn. , C) Player A is penalized one point. , D) Player A loses the queen.</t>
  </si>
  <si>
    <t>Player B pockets their last piece but does not cover the queen. What is the ruling?</t>
  </si>
  <si>
    <t>A) Player B wins the game. , B) Player B must cover the queen to win. , C) Player B is penalized one point. , D) The game is a draw.</t>
  </si>
  <si>
    <t>B) Player B must cover the queen to win.</t>
  </si>
  <si>
    <t>Player A covers the queen but then pockets the striker. What is the outcome?</t>
  </si>
  <si>
    <t>Player A pockets all their pieces and the queen but does not cover the queen. What is the ruling?</t>
  </si>
  <si>
    <t>A) Player A wins the game. , B) Player A must cover the queen to win. , C) Player A is penalized one point. , D) Player A must replay the turn.</t>
  </si>
  <si>
    <t>Player B successfully covers the queen and pockets their last piece in the same turn. What happens?</t>
  </si>
  <si>
    <t>Player A covers the queen but then pockets an opponent’s piece. What is the ruling?</t>
  </si>
  <si>
    <t>A) Player A wins the game. , B) Player A loses the queen. , C) Player A must return the opponent’s piece. , D) Player A continues playing.</t>
  </si>
  <si>
    <t>Player B pockets their final piece but does not cover the queen. What happens?</t>
  </si>
  <si>
    <t>Player A pockets the queen but does not cover it on the next turn. What is the ruling?</t>
  </si>
  <si>
    <t>Player B pockets their last piece and the queen in separate turns but does not cover the queen. What is the outcome?</t>
  </si>
  <si>
    <t>Player A pockets their final piece but does not cover the queen. What is the outcome?</t>
  </si>
  <si>
    <t>A) Player A wins the game. , B) Player A must cover the queen to win. , C) Player A is penalized one point. , D) Player A loses their turn.</t>
  </si>
  <si>
    <t>Player A pockets the queen and all their pieces but does not cover the queen. What is the ruling?</t>
  </si>
  <si>
    <t>Player A pockets the queen but does not cover it. What is the ruling?</t>
  </si>
  <si>
    <t>A) Player B wins the game. , B) Player B must cover the queen to win. , C) Player B is penalized one point. , D) Player B loses their turn.</t>
  </si>
  <si>
    <t>Player A pockets all their pieces and the queen but fails to cover the queen. What is the outcome?</t>
  </si>
  <si>
    <t>Player B pockets their last piece and the queen in the same turn but does not cover the queen. What happens?</t>
  </si>
  <si>
    <t>A) Player B wins the game. , B) Player B must cover the queen to win. , C) Player B is penalized one point. , D) Player B must replay the turn.</t>
  </si>
  <si>
    <t>Player A pockets the queen and their last piece but does not cover the queen. What is the ruling?</t>
  </si>
  <si>
    <t>Player A pockets all their pieces and the queen but fails to cover the queen. What is the ruling?</t>
  </si>
  <si>
    <t>Player A pockets the queen and their last piece but fails to cover the queen. What happens?</t>
  </si>
  <si>
    <t>Player B pockets the queen but does not cover it. What is the ruling?</t>
  </si>
  <si>
    <t>Player A covers the queen but then pockets an opponent’s piece. What is the outcome?</t>
  </si>
  <si>
    <t>Player A pockets the queen but does not cover it on the next turn. What is the outcome?</t>
  </si>
  <si>
    <t>Player B pockets their last piece and the queen in the same turn but fails to cover the queen. What happens next?</t>
  </si>
  <si>
    <t>Player A pockets their last piece and then the queen in separate turns but does not cover the queen. What is the ruling?</t>
  </si>
  <si>
    <t>Player B pockets their last piece but does not cover the queen. What is the outcome?</t>
  </si>
  <si>
    <t>Player B pockets the queen but does not cover it on the next turn. What is the ruling?</t>
  </si>
  <si>
    <t>Player A pockets their final piece and the queen but does not cover the queen. What happens next?</t>
  </si>
  <si>
    <t>Player B pockets the queen but then pockets the striker. What is the ruling?</t>
  </si>
  <si>
    <t>Player B pockets their last piece and the queen but fails to cover the queen. What is the ruling?</t>
  </si>
  <si>
    <t>Player A successfully covers the queen but then pockets the striker. What happens?</t>
  </si>
  <si>
    <t>Player A pockets the queen and all their pieces but does not cover the queen. What happens?</t>
  </si>
  <si>
    <t>Player A successfully covers the queen but then pockets the striker. What is the outcome?</t>
  </si>
  <si>
    <t>Player B pockets their final piece but fails to cover the queen. What happens next?</t>
  </si>
  <si>
    <t>Player B pockets their last piece and the queen but fails to cover the queen. What is the outcome?</t>
  </si>
  <si>
    <t>Player A successfully covers the queen but then pockets the striker. What is the ruling?</t>
  </si>
  <si>
    <t>Player B pockets their final piece and the queen but fails to cover the queen. What is the ruling?</t>
  </si>
  <si>
    <t>Player A pockets all their pieces and the queen but accidentally pockets the striker. What happens?</t>
  </si>
  <si>
    <t>Player B covers the queen and pockets all their pieces in the same turn. What is the ruling?</t>
  </si>
  <si>
    <t>A) Player B wins the game. , B) Player B must cover the queen again. , C) Player B is penalized one point. , D) Player B loses their turn.</t>
  </si>
  <si>
    <t>Player A pockets the queen and their last piece in the same turn but fails to cover the queen. What happens?</t>
  </si>
  <si>
    <t>A) Player A wins the game. , B) Player A must cover the queen to win. , C) Player A loses their turn. , D) Player A is penalized one point.</t>
  </si>
  <si>
    <t>Player B pockets their last piece and the queen but does not cover the queen. What is the ruling?</t>
  </si>
  <si>
    <t>Player A pockets the queen but then pockets the striker on the next turn. What happens?</t>
  </si>
  <si>
    <t>Player B pockets the queen and all their pieces but fails to cover the queen. What is the ruling?</t>
  </si>
  <si>
    <t>Player A successfully covers the queen but then pockets an opponent’s piece. What happens?</t>
  </si>
  <si>
    <t>Player A pockets all their pieces and the queen but fails to cover the queen. What happens?</t>
  </si>
  <si>
    <t>Player B pockets the queen and their last piece in the same turn but does not cover the queen. What is the outcome?</t>
  </si>
  <si>
    <t>Player B pockets their final piece and the queen but does not cover the queen. What is the ruling?</t>
  </si>
  <si>
    <t>Player A pockets the queen but does not cover it on the next turn. What happens?</t>
  </si>
  <si>
    <t>A) Player A wins the game. , B) The queen is returned to the center. , C) Player A is penalized one point. , D) Player A must replay the turn.</t>
  </si>
  <si>
    <t>Player B successfully covers the queen but then pockets the striker. What is the outcome?</t>
  </si>
  <si>
    <t>Player A pockets their final piece and then the queen in separate turns but does not cover the queen. What is the ruling?</t>
  </si>
  <si>
    <t>Player B pockets the queen and their last piece but does not cover the queen. What happens?</t>
  </si>
  <si>
    <t>Player A covers the queen but then pockets the striker. What happens?</t>
  </si>
  <si>
    <t>Player B pockets their final piece but does not cover the queen. What is the ruling?</t>
  </si>
  <si>
    <t>Player B pockets their final piece but fails to cover the queen. What happens?</t>
  </si>
  <si>
    <t>Player B pockets their last piece but does not cover the queen. What happens next?</t>
  </si>
  <si>
    <t>Player A pockets all their pieces and the queen but does not cover the queen. What happens?</t>
  </si>
  <si>
    <t>Player B pockets their final piece and the queen but does not cover the queen. What happens next?</t>
  </si>
  <si>
    <t>Player A pockets all their pieces and the queen but does not cover the queen. What is the outcome?</t>
  </si>
  <si>
    <t>Player B pockets their final piece but fails to cover the queen. What is the ruling?</t>
  </si>
  <si>
    <t>Player A accidentally pockets their opponent's piece while trying to pocket their own. What is the ruling?</t>
  </si>
  <si>
    <t>A) Player A loses their turn. , B) Player A is penalized one point. , C) Player A's opponent gets the piece back. , D) Player A wins the game.</t>
  </si>
  <si>
    <t>Player B pockets the queen and their last piece but pockets the striker on the next turn. What is the outcome?</t>
  </si>
  <si>
    <t>A) Player B wins the game. , B) Player B loses the queen. , C) Player B must cover the queen to win. , D) Player B is penalized one point.</t>
  </si>
  <si>
    <t>Player A pockets the queen but the striker goes into a pocket in the same turn. What happens?</t>
  </si>
  <si>
    <t>Player B covers the queen and pockets their last piece, but the queen is not covered on the next turn. What is the ruling?</t>
  </si>
  <si>
    <t>Player A pockets the queen and all their pieces in separate turns but does not cover the queen. What happens?</t>
  </si>
  <si>
    <t>A) Player B wins the game. , B) Player B must cover the queen to win. , C) Player B loses their turn. , D) The game is a draw.</t>
  </si>
  <si>
    <t>Player B pockets all their pieces and the queen but does not cover the queen. What is the outcome?</t>
  </si>
  <si>
    <t>Player A pockets the queen but their opponent's piece lands in a pocket during the same turn. What happens?</t>
  </si>
  <si>
    <t>A) Player A wins the game. , B) Player A loses the queen. , C) Player A must return the opponent's piece. , D) Player A is penalized one point.</t>
  </si>
  <si>
    <t>Player B covers the queen and pockets their last piece in the same turn. What is the ruling?</t>
  </si>
  <si>
    <t>Player A pockets their last piece and the queen but fails to cover the queen. What is the ruling?</t>
  </si>
  <si>
    <t>Player B covers the queen but pockets the striker in the same turn. What happens?</t>
  </si>
  <si>
    <t>Player B pockets their last piece and the queen but does not cover the queen. What happens?</t>
  </si>
  <si>
    <t>Player A pockets the queen but then pockets the striker on the next turn. What is the ruling?</t>
  </si>
  <si>
    <t>Player B pockets their final piece but fails to cover the queen. What is the outcome?</t>
  </si>
  <si>
    <t>Player A pockets the queen on their first turn but then pockets the striker on their next shot. What is the outcome?</t>
  </si>
  <si>
    <t>A) Player A wins the game. , B) Player A loses the queen. , C) Player A is penalized one point. , D) Player A must replay their turn.</t>
  </si>
  <si>
    <t>Player B has only the queen and their last piece remaining. They pocket the queen but the striker falls into a pocket. What happens?</t>
  </si>
  <si>
    <t>A) Player B wins the game. , B) Player B loses the queen and the game. , C) Player B is penalized one point. , D) Player B must cover the queen to win.</t>
  </si>
  <si>
    <t>B) Player B loses the queen and the game.</t>
  </si>
  <si>
    <t>Player A pockets the queen but fails to cover it before pocketing their last piece. What is the ruling?</t>
  </si>
  <si>
    <t>A) Player A wins the game. , B) Player A must cover the queen to win. , C) Player A loses the queen and their turn. , D) Player A is penalized one point.</t>
  </si>
  <si>
    <t>Player B pockets their last piece and the queen, but the queen is not covered. What is the outcome?</t>
  </si>
  <si>
    <t>Player A pockets the queen but then pockets the striker on their next turn. What happens?</t>
  </si>
  <si>
    <t>Player B pockets all their pieces and the queen but does not cover the queen. What is the ruling?</t>
  </si>
  <si>
    <t>Player A pockets the queen and all their pieces but then pockets the striker. What is the outcome?</t>
  </si>
  <si>
    <t>Player B covers the queen and pockets their last piece. What is the ruling?</t>
  </si>
  <si>
    <t>A) Player B wins the game. , B) Player B must cover the queen to win. , C) Player B is penalized one point. , D) Player B must replay their turn.</t>
  </si>
  <si>
    <t>A) Player A wins the game. , B) Player A must cover the queen to win. , C) Player A is penalized one point. , D) The game is a draw.</t>
  </si>
  <si>
    <t>Player B pockets the queen and their last piece but fails to cover the queen. What is the ruling?</t>
  </si>
  <si>
    <t>Player A covers the queen but pockets the striker on the next turn. What is the outcome?</t>
  </si>
  <si>
    <t>Player A pockets the queen but pockets the striker on the same turn. What happens?</t>
  </si>
  <si>
    <t>Player A successfully covers the queen but pockets the striker. What is the outcome?</t>
  </si>
  <si>
    <t>Player A strikes the queen and a piece belonging to Player B into a pocket in one shot. What is the ruling?</t>
  </si>
  <si>
    <t>A) Player A earns the queen and a point, B) Player A must return both pieces to the center, C) Player B earns a point, D) Player A is penalized a point</t>
  </si>
  <si>
    <t>C) Player B earns a point</t>
  </si>
  <si>
    <t>Player B knocks the striker off the board. What happens next?</t>
  </si>
  <si>
    <t>A) Player B loses their turn, B) Player B is penalized a point, C) Player B must play again, D) Player B can re-strike</t>
  </si>
  <si>
    <t>A) Player B loses their turn</t>
  </si>
  <si>
    <t>Player A pockets all of their pieces but misses the queen on their final strike. What happens?</t>
  </si>
  <si>
    <t>A) Player A wins, B) Player A must wait until the next round to claim the win, C) Player B gets an extra turn, D) Player A must pocket the queen to win</t>
  </si>
  <si>
    <t>D) Player A must pocket the queen to win</t>
  </si>
  <si>
    <t>The queen is pocketed by Player B before they have pocketed any other pieces. What happens?</t>
  </si>
  <si>
    <t>A) Player B must return the queen to the center, B) Player B loses their turn, C) Player B gets to keep the queen, D) Player A gets an extra turn</t>
  </si>
  <si>
    <t>A) Player B must return the queen to the center</t>
  </si>
  <si>
    <t>Player A hits the striker but misses all pieces on the board. What is the consequence?</t>
  </si>
  <si>
    <t>A) Player A must forfeit a point, B) Player A loses their turn, C) Player A can strike again, D) Player A must reposition the striker</t>
  </si>
  <si>
    <t>B) Player A loses their turn</t>
  </si>
  <si>
    <t>Player B pockets two pieces but accidentally hits the queen into the opponent's pocket. What happens?</t>
  </si>
  <si>
    <t>A) Player B wins the queen, B) Player A wins the queen, C) Player B must return the queen to the center, D) The game is reset</t>
  </si>
  <si>
    <t>B) Player A wins the queen</t>
  </si>
  <si>
    <t>The striker lands directly on top of the queen but does not pocket it. What is the ruling?</t>
  </si>
  <si>
    <t>A) Player continues their turn, B) Player is penalized a point, C) Queen is moved back to the center, D) Player loses their turn</t>
  </si>
  <si>
    <t>A) Player continues their turn</t>
  </si>
  <si>
    <t>Player A strikes a piece which rebounds and knocks the queen into the pocket. Is the queen valid?</t>
  </si>
  <si>
    <t>A) Yes, Player A keeps the queen, B) No, the queen is returned to the center, C) Player A is penalized, D) Player A loses their next turn</t>
  </si>
  <si>
    <t>B) No, the queen is returned to the center</t>
  </si>
  <si>
    <t>Player B covers the queen but knocks an opponent’s piece into a pocket in the same turn. What is the outcome?</t>
  </si>
  <si>
    <t>A) Player B keeps the queen, B) Player B loses the queen, C) Player A is awarded a point, D) The queen is returned to the center</t>
  </si>
  <si>
    <t>B) Player B loses the queen</t>
  </si>
  <si>
    <t>Player A pockets an opponent’s piece while attempting to pocket the queen. What happens next?</t>
  </si>
  <si>
    <t>A) Player A is penalized a point, B) Player B gains a point, C) Player A must return both pieces, D) Player A loses their turn</t>
  </si>
  <si>
    <t>D) Player A loses their turn</t>
  </si>
  <si>
    <t>Player B pockets the queen but fails to cover it in the same turn. What is the ruling?</t>
  </si>
  <si>
    <t>A) Player B keeps the queen, B) Player A gets the queen, C) The queen is returned to the center, D) Player B is penalized a point</t>
  </si>
  <si>
    <t>C) The queen is returned to the center</t>
  </si>
  <si>
    <t>Player A strikes the striker off the board twice in a row. What happens?</t>
  </si>
  <si>
    <t>A) Player A loses a point, B) Player A is penalized two points, C) Player A continues, D) Player A loses their turn</t>
  </si>
  <si>
    <t>B) Player A is penalized two points</t>
  </si>
  <si>
    <t>Player B pockets all of their pieces but leaves the queen on the board. What must happen for Player B to win?</t>
  </si>
  <si>
    <t>A) Player B must pocket the queen, B) Player B wins without pocketing the queen, C) Player B must wait for the next round, D) The queen is not necessary to win</t>
  </si>
  <si>
    <t>A) Player B must pocket the queen</t>
  </si>
  <si>
    <t>Player A accidentally pockets an opponent’s striker along with their own piece. What is the consequence?</t>
  </si>
  <si>
    <t>A) Player A must forfeit their piece, B) Player A gains two points, C) Player A loses their turn, D) Player A is disqualified</t>
  </si>
  <si>
    <t>C) Player A loses their turn</t>
  </si>
  <si>
    <t>Player B pockets the queen but fails to pocket any other piece afterward. What happens?</t>
  </si>
  <si>
    <t>A) Player B wins, B) Player B loses the queen, C) Player B must replace the queen, D) Player B is penalized one point</t>
  </si>
  <si>
    <t>The queen is knocked into a pocket but Player A’s final piece remains on the board. What is the ruling?</t>
  </si>
  <si>
    <t>A) Player A wins the game, B) Player A must pocket their piece and cover the queen, C) Player A is penalized one point, D) The queen is invalidated</t>
  </si>
  <si>
    <t>B) Player A must pocket their piece and cover the queen</t>
  </si>
  <si>
    <t>Player A strikes the striker but it bounces back and hits their own finger. What happens?</t>
  </si>
  <si>
    <t>A) Player A must play again, B) Player A loses their turn, C) Player A is penalized a point, D) Player A continues their turn</t>
  </si>
  <si>
    <t>Player B pockets the queen but then accidentally pockets the striker on the next turn. What is the ruling?</t>
  </si>
  <si>
    <t>A) Player B keeps the queen, B) Player B loses the queen, C) Player B is penalized one point, D) The game is reset</t>
  </si>
  <si>
    <t>The striker is pocketed by Player A three times in a single game. What happens?</t>
  </si>
  <si>
    <t>A) Player A loses three points, B) Player A continues, C) Player A forfeits the game, D) Player A is penalized only once</t>
  </si>
  <si>
    <t>A) Player A loses three points</t>
  </si>
  <si>
    <t>Player A’s turn is interrupted due to a misplaced piece on the board. What is the correct action?</t>
  </si>
  <si>
    <t>A) Player A continues play, B) The piece is repositioned and Player A plays again, C) Player B is awarded a point, D) The game is restarted</t>
  </si>
  <si>
    <t>B) The piece is repositioned and Player A plays again</t>
  </si>
  <si>
    <t>Player B strikes but the striker spins off the board and hits an object. What happens next?</t>
  </si>
  <si>
    <t>A) Player B continues their turn, B) Player B loses their turn, C) Player B is penalized a point, D) Player B gets to strike again</t>
  </si>
  <si>
    <t>B) Player B loses their turn</t>
  </si>
  <si>
    <t>Player A knocks a piece off the board. What should happen?</t>
  </si>
  <si>
    <t>A) The piece is replaced in the center, B) Player A loses their turn, C) Player A is penalized two points, D) The piece is removed from play</t>
  </si>
  <si>
    <t>A) The piece is replaced in the center</t>
  </si>
  <si>
    <t>Player B pockets the queen but one of their pieces is left on the board. What is the outcome?</t>
  </si>
  <si>
    <t>A) Player B wins the game, B) Player B must pocket the remaining piece, C) Player A is awarded a point, D) The queen is invalid</t>
  </si>
  <si>
    <t>B) Player B must pocket the remaining piece</t>
  </si>
  <si>
    <t>Player A hits the queen but it does not go into a pocket. What happens?</t>
  </si>
  <si>
    <t>A) Player A continues their turn, B) Player A loses their turn, C) The queen is repositioned, D) Player A can reposition the striker</t>
  </si>
  <si>
    <t>Player B strikes with the striker and pockets both the queen and their last piece in one shot. What happens?</t>
  </si>
  <si>
    <t>A) Player B wins, B) The shot is invalid, C) Player B must replay the shot, D) Player A is awarded a point</t>
  </si>
  <si>
    <t>A) Player B wins</t>
  </si>
  <si>
    <t>Player A strikes and the queen rebounds off the board. What is the ruling?</t>
  </si>
  <si>
    <t>A) The queen is returned to the center, B) Player A loses a point, C) Player B gains a point, D) Player A must reposition their striker</t>
  </si>
  <si>
    <t>A) The queen is returned to the center</t>
  </si>
  <si>
    <t>Player B strikes but the striker lands on the edge of the board without falling into a pocket. What is the ruling?</t>
  </si>
  <si>
    <t>A) Player B continues, B) Player B must replay their turn, C) Player B loses their turn, D) Player A is awarded a point</t>
  </si>
  <si>
    <t>C) Player B loses their turn</t>
  </si>
  <si>
    <t>Player A strikes the striker and it touches an opponent’s piece before hitting their own piece into the pocket. What happens?</t>
  </si>
  <si>
    <t>A) Player A is penalized one point, B) Player A loses their turn, C) Player A’s piece is removed from play, D) The shot is valid</t>
  </si>
  <si>
    <t>D) The shot is valid</t>
  </si>
  <si>
    <t>During a crucial match, Player A pockets the queen but then accidentally knocks an opponent's piece into a pocket. What happens?</t>
  </si>
  <si>
    <t>A) Player A keeps the queen, B) Player A loses the queen and a point, C) Player A loses the queen but gains a point, D) The queen is returned to the center</t>
  </si>
  <si>
    <t>B) Player A loses the queen and a point</t>
  </si>
  <si>
    <t>In the middle of the game, Player B pockets the striker without touching any pieces. What is the penalty?</t>
  </si>
  <si>
    <t>A) Player B loses a point, B) Player B loses a point and turn, C) No penalty, D) Player B continues their turn</t>
  </si>
  <si>
    <t>B) Player B loses a point and turn</t>
  </si>
  <si>
    <t>Player A successfully pockets all their carrom men but fails to pocket the queen. What must happen?</t>
  </si>
  <si>
    <t>A) Player A wins the game, B) Player A must wait for the next round, C) Player A must pocket the queen to win, D) Player B gets an extra turn</t>
  </si>
  <si>
    <t>C) Player A must pocket the queen to win</t>
  </si>
  <si>
    <t>During a tournament, Player B pockets the queen and a carrom man in the same shot but then pockets the striker. What happens?</t>
  </si>
  <si>
    <t>A) Player B loses the queen, B) Player B gains the queen but loses a point, C) Player B keeps the queen but must forfeit their next turn, D) Player B loses the queen and their turn</t>
  </si>
  <si>
    <t>D) Player B loses the queen and their turn</t>
  </si>
  <si>
    <t>Player A strikes the queen into the pocket but misses all other pieces. What is the next step?</t>
  </si>
  <si>
    <t>A) Player A keeps the queen, B) The queen is returned to the center, C) Player A loses a point, D) Player A can try again to pocket a carrom man</t>
  </si>
  <si>
    <t>B) The queen is returned to the center</t>
  </si>
  <si>
    <t>Player B knocks a carrom man off the board during their turn. What is the penalty?</t>
  </si>
  <si>
    <t>A) No penalty, the piece is placed in the center, B) Player B loses a point, C) Player B forfeits their turn, D) Player A gains a point</t>
  </si>
  <si>
    <t>A) No penalty, the piece is placed in the center</t>
  </si>
  <si>
    <t>Player A strikes the striker into a pocket without pocketing any pieces. What happens next?</t>
  </si>
  <si>
    <t>A) Player A loses a point, B) Player A gains an extra turn, C) Player A loses a point and a turn, D) Player A must reposition the striker</t>
  </si>
  <si>
    <t>C) Player A loses a point and a turn</t>
  </si>
  <si>
    <t>During a high-stakes match, Player B pockets the last carrom man and the queen in the same shot. What is the outcome?</t>
  </si>
  <si>
    <t>A) Player B wins the game, B) The shot is invalid, C) Player B must pocket the queen separately, D) Player A gets an extra turn</t>
  </si>
  <si>
    <t>A) Player B wins the game</t>
  </si>
  <si>
    <t>Player A pockets an opponent's carrom man while trying to pocket their own. What is the consequence?</t>
  </si>
  <si>
    <t>A) Player A gains a point, B) Player A loses a point, C) Player A forfeits their turn, D) Player B gains a point</t>
  </si>
  <si>
    <t>C) Player A forfeits their turn</t>
  </si>
  <si>
    <t>In a doubles match, Player A and Player B are teammates. Player A accidentally knocks a carrom man into the wrong pocket. What happens?</t>
  </si>
  <si>
    <t>A) Player A's team loses a point, B) Player A’s turn is over, C) Player A's teammate takes the next turn, D) The piece is placed back on the board</t>
  </si>
  <si>
    <t>B) Player A’s turn is over</t>
  </si>
  <si>
    <t>Player B accidentally pockets their opponent’s last carrom man but hasn’t pocketed the queen. What is the ruling?</t>
  </si>
  <si>
    <t>A) Player B loses a point, B) Player B must return the opponent’s carrom man to the center, C) Player A wins, D) Player B loses their next turn</t>
  </si>
  <si>
    <t>B) Player B must return the opponent’s carrom man to the center</t>
  </si>
  <si>
    <t>During a crucial moment, Player A successfully pockets the queen but fails to cover it in the next shot. What is the result?</t>
  </si>
  <si>
    <t>A) Player A wins the game, B) The queen is returned to the center, C) Player A gets an extra turn, D) Player A is penalized a point</t>
  </si>
  <si>
    <t>Player B strikes, and their carrom man rebounds off the side of the board and pockets an opponent’s piece. What happens?</t>
  </si>
  <si>
    <t>A) Player B gains a point, B) Player B loses a point, C) Player A gains a point, D) The shot is invalid</t>
  </si>
  <si>
    <t>C) Player A gains a point</t>
  </si>
  <si>
    <t>Player A pockets the striker and a carrom man in the same shot. What is the ruling?</t>
  </si>
  <si>
    <t>A) Player A loses their turn and a point, B) Player A loses their turn only, C) Player A gains a point, D) Player A can replay the shot</t>
  </si>
  <si>
    <t>A) Player A loses their turn and a point</t>
  </si>
  <si>
    <t>During the final round of a championship, Player B strikes the queen but the striker falls into the pocket. What happens?</t>
  </si>
  <si>
    <t>A) Player B loses the queen, B) Player B keeps the queen but loses a point, C) Player B loses their turn, D) Player A gains a point</t>
  </si>
  <si>
    <t>A) Player B loses the queen</t>
  </si>
  <si>
    <t>Player A covers the queen successfully but accidentally pockets the striker in the next turn. What happens?</t>
  </si>
  <si>
    <t>A) Player A keeps the queen but loses a point, B) Player A loses the queen, C) Player A gains a point, D) Player A must replay the turn</t>
  </si>
  <si>
    <t>B) Player A loses the queen</t>
  </si>
  <si>
    <t>Player B pockets the queen but fails to pocket any other carrom men in the same turn. What is the outcome?</t>
  </si>
  <si>
    <t>A) Player B keeps the queen, B) The queen is returned to the center, C) Player A gains a point, D) Player B gets another attempt to pocket a carrom man</t>
  </si>
  <si>
    <t>Player A strikes and pockets the queen but then commits a foul by knocking the striker into the pocket. What happens?</t>
  </si>
  <si>
    <t>A) Player A keeps the queen, B) The queen is returned to the center, C) Player A loses a point, D) Player B gains a point</t>
  </si>
  <si>
    <t>Player B is about to win but accidentally knocks one of Player A’s carrom men into a pocket. What is the ruling?</t>
  </si>
  <si>
    <t>A) Player B forfeits the game, B) Player B loses a point, C) Player A gains a point, D) Player B continues</t>
  </si>
  <si>
    <t>During a tense moment, Player A accidentally pockets their striker twice in a row. What is the penalty?</t>
  </si>
  <si>
    <t>A) Player A loses a point for each foul, B) Player A forfeits the game, C) Player A loses a point only once, D) Player A continues</t>
  </si>
  <si>
    <t>A) Player A loses a point for each foul</t>
  </si>
  <si>
    <t>Player B knocks the queen into a pocket but fails to pocket any carrom men after that. What happens?</t>
  </si>
  <si>
    <t>A) Player B keeps the queen, B) The queen is returned to the center, C) Player B loses a point, D) Player A gains a point</t>
  </si>
  <si>
    <t>During a doubles match, Player A pockets the last carrom man but not the queen. What must happen for their team to win?</t>
  </si>
  <si>
    <t>A) Player A must pocket the queen in the next turn, B) Player A wins the game, C) Player A’s teammate must pocket the queen, D) Player B gets an extra turn</t>
  </si>
  <si>
    <t>A) Player A must pocket the queen in the next turn</t>
  </si>
  <si>
    <t>Player B pockets two carrom men but the striker also falls into the pocket. What is the ruling?</t>
  </si>
  <si>
    <t>A) Player B gains two points, B) Player B loses one point, C) Player B loses both points, D) Player A gains a point</t>
  </si>
  <si>
    <t>B) Player B loses one point</t>
  </si>
  <si>
    <t>In the final shot, Player A pockets both the queen and the last carrom man in the same turn. What is the outcome?</t>
  </si>
  <si>
    <t>A) Player A wins the game, B) The shot is invalid, C) Player A must pocket the queen separately, D) Player B gets an extra turn</t>
  </si>
  <si>
    <t>A) Player A wins the game</t>
  </si>
  <si>
    <t>What is Silambam primarily known for in traditional Indian martial arts?</t>
  </si>
  <si>
    <t>A) Sword fighting, B) Stick fighting, C) Hand-to-hand combat, D) Archery</t>
  </si>
  <si>
    <t>B) Stick fighting</t>
  </si>
  <si>
    <t>Which region is considered the origin of Silambam?</t>
  </si>
  <si>
    <t>A) Kerala, B) Maharashtra, C) Tamil Nadu, D) Karnataka</t>
  </si>
  <si>
    <t>C) Tamil Nadu</t>
  </si>
  <si>
    <t>What is the standard length of a Silambam stick?</t>
  </si>
  <si>
    <t>A) 3 feet, B) 5 feet, C) 7 feet, D) 9 feet</t>
  </si>
  <si>
    <t>B) 5 feet</t>
  </si>
  <si>
    <t>Which of the following materials is traditionally used to make Silambam sticks?</t>
  </si>
  <si>
    <t>A) Bamboo, B) Oak, C) Iron, D) Teakwood</t>
  </si>
  <si>
    <t>A) Bamboo</t>
  </si>
  <si>
    <t>Silambam primarily focuses on which aspect of martial arts?</t>
  </si>
  <si>
    <t>A) Grappling, B) Striking, C) Defensive moves, D) Flexibility</t>
  </si>
  <si>
    <t>C) Defensive moves</t>
  </si>
  <si>
    <t>What is the main goal of Silambam practitioners during combat?</t>
  </si>
  <si>
    <t>A) To defeat the opponent, B) To display strength, C) To disable the opponent, D) To disarm the opponent</t>
  </si>
  <si>
    <t>D) To disarm the opponent</t>
  </si>
  <si>
    <t>In Silambam, which body part is most protected during combat?</t>
  </si>
  <si>
    <t>A) Head, B) Chest, C) Legs, D) Arms</t>
  </si>
  <si>
    <t>C) Legs</t>
  </si>
  <si>
    <t>What is the traditional attire worn during Silambam practice?</t>
  </si>
  <si>
    <t>A) Dhoti, B) Gi, C) Lungi, D) Tracksuit</t>
  </si>
  <si>
    <t>A) Dhoti</t>
  </si>
  <si>
    <t>Silambam incorporates which of the following elements in its training?</t>
  </si>
  <si>
    <t>A) Yoga, B) Meditation, C) Dance, D) All of the above</t>
  </si>
  <si>
    <t>Which skill is most emphasized in Silambam training?</t>
  </si>
  <si>
    <t>A) Speed, B) Strength, C) Balance, D) Endurance</t>
  </si>
  <si>
    <t>A) Speed</t>
  </si>
  <si>
    <t>What is the primary weapon used in Silambam?</t>
  </si>
  <si>
    <t>A) Sword, B) Spear, C) Staff, D) Shield</t>
  </si>
  <si>
    <t>C) Staff</t>
  </si>
  <si>
    <t>Silambam is often used in traditional performances during which festival?</t>
  </si>
  <si>
    <t>A) Pongal, B) Diwali, C) Holi, D) Onam</t>
  </si>
  <si>
    <t>A) Pongal</t>
  </si>
  <si>
    <t>Which of the following is a key technique in Silambam?</t>
  </si>
  <si>
    <t>A) Vettaru (cutting), B) Thadavu (twisting), C) Adavu (step), D) A&amp;B</t>
  </si>
  <si>
    <t>D) A&amp;B</t>
  </si>
  <si>
    <t>The movements in Silambam are inspired by which of the following?</t>
  </si>
  <si>
    <t>A) Nature, B) Animals, C) Elements, D) All of the above</t>
  </si>
  <si>
    <t>Silambam also includes which type of weaponry training?</t>
  </si>
  <si>
    <t>A) Knife, B) Chain, C) Spear, D) All of the above</t>
  </si>
  <si>
    <t>Silambam is believed to date back to which period in history?</t>
  </si>
  <si>
    <t>A) 1st century BCE, B) 3rd century BCE, C) 2nd century CE, D) 5th century CE</t>
  </si>
  <si>
    <t>B) 3rd century BCE</t>
  </si>
  <si>
    <t>Which aspect of Silambam is considered most beneficial for practitioners?</t>
  </si>
  <si>
    <t>A) Physical fitness, B) Mental discipline, C) Flexibility, D) All of the above</t>
  </si>
  <si>
    <t>In Silambam, what does the term 'Veetu' refer to?</t>
  </si>
  <si>
    <t>A) Attack, B) Defense, C) Stance, D) Block</t>
  </si>
  <si>
    <t>B) Defense</t>
  </si>
  <si>
    <t>What is the importance of footwork in Silambam?</t>
  </si>
  <si>
    <t>A) To increase strength, B) To maintain balance, C) To confuse the opponent, D) To dodge attacks</t>
  </si>
  <si>
    <t>B) To maintain balance</t>
  </si>
  <si>
    <t>Which deity is commonly associated with the practice of Silambam?</t>
  </si>
  <si>
    <t>A) Shiva, B) Vishnu, C) Murugan, D) Ganesha</t>
  </si>
  <si>
    <t>C) Murugan</t>
  </si>
  <si>
    <t>The art of Silambam was historically used by which group in ancient times?</t>
  </si>
  <si>
    <t>A) Soldiers, B) Farmers, C) Traders, D) Priests</t>
  </si>
  <si>
    <t>A) Soldiers</t>
  </si>
  <si>
    <t>Which of the following forms part of Silambam's training regimen?</t>
  </si>
  <si>
    <t>A) Strength training, B) Flexibility exercises, C) Breathing techniques, D) All of the above</t>
  </si>
  <si>
    <t>What is the focus of Silambam's 'Adimurai'?</t>
  </si>
  <si>
    <t>A) Hand-to-hand combat, B) Weapon training, C) Meditation, D) Healing techniques</t>
  </si>
  <si>
    <t>A) Hand-to-hand combat</t>
  </si>
  <si>
    <t>Silambam includes the use of which secondary weapon?</t>
  </si>
  <si>
    <t>A) Maru, B) Knife, C) Shield, D) All of the above</t>
  </si>
  <si>
    <t>What is the purpose of 'Oodivarma' in Silambam?</t>
  </si>
  <si>
    <t>A) To attack, B) To block, C) To retreat, D) To confuse the opponent</t>
  </si>
  <si>
    <t>C) To retreat</t>
  </si>
  <si>
    <t>Silambam's fighting stance is known for being?</t>
  </si>
  <si>
    <t>A) Aggressive, B) Defensive, C) Dynamic, D) Static</t>
  </si>
  <si>
    <t>C) Dynamic</t>
  </si>
  <si>
    <t>Which of the following is a characteristic feature of Silambam?</t>
  </si>
  <si>
    <t>A) Circular movements, B) Direct attacks, C) Ground fighting, D) Joint locks</t>
  </si>
  <si>
    <t>A) Circular movements</t>
  </si>
  <si>
    <t>In Silambam, what does the term 'Sarpa Nadai' refer to?</t>
  </si>
  <si>
    <t>A) Snake movement, B) Tiger stance, C) Elephant block, D) Peacock kick</t>
  </si>
  <si>
    <t>A) Snake movement</t>
  </si>
  <si>
    <t>Silambam's stick techniques can be adapted for which of the following?</t>
  </si>
  <si>
    <t>A) Sword fighting, B) Spear combat, C) Archery, D) All of the above</t>
  </si>
  <si>
    <t>What does the 'Muthu Marmam' target in Silambam?</t>
  </si>
  <si>
    <t>A) Pressure points, B) Joints, C) Nerves, D) Muscles</t>
  </si>
  <si>
    <t>A) Pressure points</t>
  </si>
  <si>
    <t>Silambam training often includes which of the following?</t>
  </si>
  <si>
    <t>A) Acrobatic movements, B) Breathing techniques, C) Meditation, D) All of the above</t>
  </si>
  <si>
    <t>The grip on the Silambam stick is crucial for?</t>
  </si>
  <si>
    <t>A) Power, B) Speed, C) Control, D) Flexibility</t>
  </si>
  <si>
    <t>C) Control</t>
  </si>
  <si>
    <t>Which principle is most important in Silambam's combat strategy?</t>
  </si>
  <si>
    <t>A) Speed over strength, B) Defense before offense, C) Precision over power, D) Flexibility over rigidity</t>
  </si>
  <si>
    <t>B) Defense before offense</t>
  </si>
  <si>
    <t>Which type of movement is least emphasized in Silambam?</t>
  </si>
  <si>
    <t>A) Linear, B) Circular, C) Diagonal, D) Stationary</t>
  </si>
  <si>
    <t>D) Stationary</t>
  </si>
  <si>
    <t>During a Silambam demonstration, the practitioner uses a spinning motion with the stick to deflect multiple attacks from different angles. What technique is the practitioner most likely using?</t>
  </si>
  <si>
    <t>A) Sarpa Nadai, B) Vettu Murai, C) Veetu, D) Thadavu</t>
  </si>
  <si>
    <t>D) Thadavu</t>
  </si>
  <si>
    <t>In a Silambam match, one practitioner uses rapid footwork to move around the opponent while making quick strikes. What advantage does this provide?</t>
  </si>
  <si>
    <t>A) Increases striking power, B) Confuses the opponent, C) Improves defense, D) Makes the practitioner look more skilled</t>
  </si>
  <si>
    <t>B) Confuses the opponent</t>
  </si>
  <si>
    <t>A Silambam practitioner is surrounded by multiple opponents. Which technique should they use to maintain a defensive stance while preparing for a counterattack?</t>
  </si>
  <si>
    <t>A) Oodivarma, B) Vettaru, C) Kuthu Varisai, D) Sarpa Nadai</t>
  </si>
  <si>
    <t>A) Oodivarma</t>
  </si>
  <si>
    <t>During a Silambam performance, the practitioner uses the stick to sweep low towards the opponent's legs. What is the goal of this move?</t>
  </si>
  <si>
    <t>A) To knock the opponent off balance, B) To injure the opponent's legs, C) To distract the opponent, D) To demonstrate skill</t>
  </si>
  <si>
    <t>A) To knock the opponent off balance</t>
  </si>
  <si>
    <t>A Silambam instructor tells their students to practice 'Thattadavu' as part of their warm-up routine. What are they focusing on?</t>
  </si>
  <si>
    <t>A) Offensive moves, B) Footwork, C) Blocking techniques, D) Stance transitions</t>
  </si>
  <si>
    <t>C) Blocking techniques</t>
  </si>
  <si>
    <t>In a Silambam combat situation, a practitioner uses the 'Veetu' technique. What is their primary objective in this scenario?</t>
  </si>
  <si>
    <t>A) To strike the opponent, B) To disarm the opponent, C) To defend against an attack, D) To showcase their skill</t>
  </si>
  <si>
    <t>C) To defend against an attack</t>
  </si>
  <si>
    <t>During a Silambam competition, one of the competitors uses a high sweeping motion to target the opponent's upper body. What is the likely purpose of this move?</t>
  </si>
  <si>
    <t>A) To distract the opponent, B) To test the opponent's defense, C) To create an opening for a lower attack, D) To score points</t>
  </si>
  <si>
    <t>C) To create an opening for a lower attack</t>
  </si>
  <si>
    <t>A Silambam practitioner is up against an opponent who uses a shield. Which technique would be most effective for them to use in this scenario?</t>
  </si>
  <si>
    <t>A) Sarpa Nadai, B) Vettu Murai, C) Adimurai, D) Veetu</t>
  </si>
  <si>
    <t>B) Vettu Murai</t>
  </si>
  <si>
    <t>In a Silambam training session, the practitioner practices with two sticks of different lengths. What is the primary goal of this exercise?</t>
  </si>
  <si>
    <t>A) To increase strength, B) To improve coordination, C) To enhance flexibility, D) To showcase skill</t>
  </si>
  <si>
    <t>B) To improve coordination</t>
  </si>
  <si>
    <t>A practitioner in Silambam uses a downward strike followed by a quick upward motion. What is this combination aimed at achieving?</t>
  </si>
  <si>
    <t>A) To increase power, B) To confuse the opponent, C) To defend and attack simultaneously, D) To show off</t>
  </si>
  <si>
    <t>C) To defend and attack simultaneously</t>
  </si>
  <si>
    <t>In a Silambam match, the practitioner uses a series of circular motions with the stick. What is the primary reason for using this technique?</t>
  </si>
  <si>
    <t>A) To intimidate the opponent, B) To maintain a defensive barrier, C) To look impressive, D) To tire out the opponent</t>
  </si>
  <si>
    <t>B) To maintain a defensive barrier</t>
  </si>
  <si>
    <t>During a Silambam demonstration, the practitioner performs a series of intricate footwork patterns while keeping the stick in constant motion. What is this exercise meant to improve?</t>
  </si>
  <si>
    <t>A) Strength, B) Flexibility, C) Coordination, D) Speed</t>
  </si>
  <si>
    <t>C) Coordination</t>
  </si>
  <si>
    <t>A Silambam practitioner faces an opponent with a longer weapon. Which strategy should they employ to counter this disadvantage?</t>
  </si>
  <si>
    <t>A) Close the distance quickly, B) Use longer strikes, C) Focus on defense, D) Retreat and wait for an opening</t>
  </si>
  <si>
    <t>A) Close the distance quickly</t>
  </si>
  <si>
    <t>In a Silambam sparring session, one practitioner uses a short stick to deflect the opponent's strikes. What is this technique known as?</t>
  </si>
  <si>
    <t>A) Thadavu, B) Vettaru, C) Veetu, D) Oodivarma</t>
  </si>
  <si>
    <t>A) Thadavu</t>
  </si>
  <si>
    <t>During a Silambam performance, the practitioner mimics the movements of a snake with the stick. What is the purpose of incorporating this animal movement?</t>
  </si>
  <si>
    <t>A) To intimidate the opponent, B) To increase agility, C) To create unpredictable movements, D) To show off skill</t>
  </si>
  <si>
    <t>C) To create unpredictable movements</t>
  </si>
  <si>
    <t>In a Silambam combat scenario, the practitioner uses a quick succession of strikes aimed at the opponent's hands. What is the main objective of this move?</t>
  </si>
  <si>
    <t>A) To disarm the opponent, B) To injure the opponent, C) To distract the opponent, D) To display skill</t>
  </si>
  <si>
    <t>A) To disarm the opponent</t>
  </si>
  <si>
    <t>A Silambam practitioner uses rapid stick twirling as they approach the opponent. What advantage does this provide?</t>
  </si>
  <si>
    <t>A) Confuses the opponent, B) Increases striking power, C) Enhances defense, D) Improves balance</t>
  </si>
  <si>
    <t>A) Confuses the opponent</t>
  </si>
  <si>
    <t>During a Silambam training drill, students practice striking at various angles and heights. What is the purpose of this exercise?</t>
  </si>
  <si>
    <t>A) To develop power, B) To increase speed, C) To improve precision, D) To demonstrate skill</t>
  </si>
  <si>
    <t>C) To improve precision</t>
  </si>
  <si>
    <t>In a Silambam demonstration, the practitioner executes a spinning move to evade an incoming attack. What skill does this showcase?</t>
  </si>
  <si>
    <t>A) Strength, B) Speed, C) Flexibility, D) Evasion</t>
  </si>
  <si>
    <t>D) Evasion</t>
  </si>
  <si>
    <t>A Silambam practitioner faces an opponent who uses unpredictable movements. Which technique should they use to counter this unpredictability?</t>
  </si>
  <si>
    <t>A) Stay defensive, B) Match the opponent's movements, C) Use circular attacks, D) Employ feints</t>
  </si>
  <si>
    <t>C) Use circular attacks</t>
  </si>
  <si>
    <t>During a Silambam competition, a practitioner uses the 'Vettu Murai' technique. What is the goal of this technique?</t>
  </si>
  <si>
    <t>A) To defend against attacks, B) To deliver a powerful strike, C) To confuse the opponent, D) To disarm the opponent</t>
  </si>
  <si>
    <t>B) To deliver a powerful strike</t>
  </si>
  <si>
    <t>In a Silambam sparring match, one practitioner repeatedly changes stances and positions while keeping the stick in motion. What is this tactic aiming to achieve?</t>
  </si>
  <si>
    <t>A) To maintain balance, B) To confuse the opponent, C) To increase striking power, D) To display skill</t>
  </si>
  <si>
    <t>B) To confuse the opponent</t>
  </si>
  <si>
    <t>A practitioner demonstrates Silambam by attacking with a series of quick, low strikes. What is the primary target in this technique?</t>
  </si>
  <si>
    <t>A) Head, B) Chest, C) Arms, D) Legs</t>
  </si>
  <si>
    <t>D) Legs</t>
  </si>
  <si>
    <t>During a Silambam routine, the practitioner uses a move that involves a high jump followed by a downward strike. What is the primary purpose of this move?</t>
  </si>
  <si>
    <t>A) To display athleticism, B) To surprise the opponent, C) To increase power, D) To cover more distance</t>
  </si>
  <si>
    <t>B) To surprise the opponent</t>
  </si>
  <si>
    <t>A Silambam practitioner is in a defensive stance while the opponent circles around them. Which technique should they use to maintain their defense while preparing for a counterattack?</t>
  </si>
  <si>
    <t>A) Thattadavu, B) Vettaru, C) Veetu, D) Sarpa Nadai</t>
  </si>
  <si>
    <t>C) Veetu</t>
  </si>
  <si>
    <t>In a Silambam demonstration, the practitioner uses a rapid, spinning motion with the stick while advancing towards the opponent. What is the intended effect of this technique?</t>
  </si>
  <si>
    <t>A) To intimidate the opponent, B) To confuse the opponent, C) To defend against attacks, D) To showcase skill</t>
  </si>
  <si>
    <t>A Silambam practitioner demonstrates the 'Oodivarma' technique. What is the primary purpose of this technique?</t>
  </si>
  <si>
    <t>A) Offensive strikes, B) Defensive maneuvers, C) Evading attacks, D) Improving agility</t>
  </si>
  <si>
    <t>C) Evading attacks</t>
  </si>
  <si>
    <t>In a Silambam training session, students practice the 'Thadavu' technique. What skill are they focusing on?</t>
  </si>
  <si>
    <t>A) Speed, B) Strength, C) Flexibility, D) Blocking</t>
  </si>
  <si>
    <t>D) Blocking</t>
  </si>
  <si>
    <t>During a Silambam match, one practitioner uses a series of rapid strikes followed by a defensive stance. What is the main goal of this sequence?</t>
  </si>
  <si>
    <t>A) To confuse the opponent, B) To exhaust the opponent, C) To test the opponent's defense, D) To demonstrate skill</t>
  </si>
  <si>
    <t>C) To test the opponent's defense</t>
  </si>
  <si>
    <t>A Silambam practitioner faces an opponent who is taller and has a longer reach. Which strategy should they use to overcome this disadvantage?</t>
  </si>
  <si>
    <t>A) Attack from a distance, B) Focus on low strikes, C) Close the gap quickly, D) Use circular movements</t>
  </si>
  <si>
    <t>C) Close the gap quickly</t>
  </si>
  <si>
    <t>In a Silambam performance, the practitioner uses a technique that mimics the movement of waves. What is the primary purpose of incorporating this movement?</t>
  </si>
  <si>
    <t>A) To look impressive, B) To increase agility, C) To create fluid movements, D) To confuse the opponent</t>
  </si>
  <si>
    <t>C) To create fluid movements</t>
  </si>
  <si>
    <t>A practitioner demonstrates a Silambam move that involves striking at multiple points in quick succession. What is the main objective of this technique?</t>
  </si>
  <si>
    <t>A) To showcase speed, B) To overwhelm the opponent, C) To defend against attacks, D) To display skill</t>
  </si>
  <si>
    <t>B) To overwhelm the opponent</t>
  </si>
  <si>
    <t>During a Silambam match, one practitioner uses a defensive technique to absorb the impact of the opponent's strikes. What is this technique called?</t>
  </si>
  <si>
    <t>A) Thadavu, B) Veetu, C) Oodivarma, D) Vettaru</t>
  </si>
  <si>
    <t>In a Silambam training session, students are taught to focus on 'Sarpa Nadai' movements. What is the primary goal of these movements?</t>
  </si>
  <si>
    <t>A) To intimidate the opponent, B) To increase flexibility, C) To enhance unpredictability, D) To demonstrate skill</t>
  </si>
  <si>
    <t>C) To enhance unpredictability</t>
  </si>
  <si>
    <t>A Silambam practitioner uses a sweeping motion to target the opponent's feet during a sparring match. What is the intention behind this move?</t>
  </si>
  <si>
    <t>A) To injure the opponent, B) To knock the opponent off balance, C) To distract the opponent, D) To display skill</t>
  </si>
  <si>
    <t>B) To knock the opponent off balance</t>
  </si>
  <si>
    <t>During a Silambam demonstration, the practitioner uses a high, spinning motion with the stick. What is the purpose of this technique?</t>
  </si>
  <si>
    <t>A) To show off, B) To confuse the opponent, C) To defend against high attacks, D) To increase striking power</t>
  </si>
  <si>
    <t>C) To defend against high attacks</t>
  </si>
  <si>
    <t>In a Silambam match, the practitioner uses a series of quick, low strikes followed by a high feint. What is the goal of this sequence?</t>
  </si>
  <si>
    <t>A) To distract the opponent, B) To increase power, C) To create an opening for a main attack, D) To score points</t>
  </si>
  <si>
    <t>C) To create an opening for a main attack</t>
  </si>
  <si>
    <t>A Silambam practitioner performs a series of strikes aimed at the opponent's upper body. What is the primary target in this technique?</t>
  </si>
  <si>
    <t>A) Head, B) Chest, C) Arms, D) Shoulders</t>
  </si>
  <si>
    <t>B) Chest</t>
  </si>
  <si>
    <t>During a Silambam performance, the practitioner demonstrates a combination of high and low strikes. What is the purpose of alternating between these levels?</t>
  </si>
  <si>
    <t>A) To confuse the opponent, B) To increase striking power, C) To show off skill, D) To maintain balance</t>
  </si>
  <si>
    <t>A) To confuse the opponent</t>
  </si>
  <si>
    <t>In a Silambam training session, students practice the 'Vettaru' technique. What is the primary focus of this technique?</t>
  </si>
  <si>
    <t>A) Offense, B) Defense, C) Evasion, D) Striking power</t>
  </si>
  <si>
    <t>A) Offense</t>
  </si>
  <si>
    <t>A Silambam practitioner is up against an opponent with a shield. Which strategy should they use to effectively land a strike?</t>
  </si>
  <si>
    <t>A) Aim for the legs, B) Use feints, C) Strike at the shield directly, D) Move to the opponent's side</t>
  </si>
  <si>
    <t>B) Use feints</t>
  </si>
  <si>
    <t>During a Silambam match, one practitioner uses a rapid succession of spinning attacks. What is the primary purpose of this tactic?</t>
  </si>
  <si>
    <t>A) To confuse the opponent, B) To demonstrate skill, C) To increase power, D) To defend against attacks</t>
  </si>
  <si>
    <t>In a Silambam demonstration, the practitioner uses a move that involves a quick, upward strike. What is the intended target of this move?</t>
  </si>
  <si>
    <t>A) Head, B) Arms, C) Chest, D) Legs</t>
  </si>
  <si>
    <t>A) Head</t>
  </si>
  <si>
    <t>A Silambam practitioner faces an opponent who is using erratic movements. Which technique should they use to maintain their defensive position?</t>
  </si>
  <si>
    <t>A) Sarpa Nadai, B) Thattadavu, C) Oodivarma, D) Vettaru</t>
  </si>
  <si>
    <t>C) Oodivarma</t>
  </si>
  <si>
    <t>During a Silambam sparring match, a practitioner uses a combination of low and mid-level strikes. What is the purpose of this combination?</t>
  </si>
  <si>
    <t>A) To show off, B) To increase power, C) To create openings in the opponent's defense, D) To confuse the opponent</t>
  </si>
  <si>
    <t>C) To create openings in the opponent's defense</t>
  </si>
  <si>
    <t>In a Silambam training session, students are instructed to practice 'Veetu' movements. What is the primary goal of this exercise?</t>
  </si>
  <si>
    <t>A) To improve balance, B) To develop offensive skills, C) To enhance defense, D) To increase speed</t>
  </si>
  <si>
    <t>C) To enhance defense</t>
  </si>
  <si>
    <t>A Silambam practitioner is facing multiple opponents. Which technique should they use to defend against attacks from different directions?</t>
  </si>
  <si>
    <t>A) Thadavu, B) Oodivarma, C) Sarpa Nadai, D) Veetu</t>
  </si>
  <si>
    <t>C) Sarpa Nadai</t>
  </si>
  <si>
    <t>During a Silambam performance, the practitioner uses a move that involves jumping and striking simultaneously. What is the primary goal of this move?</t>
  </si>
  <si>
    <t>A) To intimidate the opponent, B) To increase the reach of the attack, C) To confuse the opponent, D) To display agility</t>
  </si>
  <si>
    <t>B) To increase the reach of the attack</t>
  </si>
  <si>
    <t>In a Silambam match, the practitioner uses a low, sweeping motion to target the opponent's legs. What is the likely outcome of this technique?</t>
  </si>
  <si>
    <t>A) To distract the opponent, B) To cause the opponent to fall, C) To increase striking power, D) To demonstrate skill</t>
  </si>
  <si>
    <t>B) To cause the opponent to fall</t>
  </si>
  <si>
    <t>A practitioner uses the 'Vazhivu' technique to advance towards their opponent. What is the purpose of this approach?</t>
  </si>
  <si>
    <t>A) To close the distance, B) To retreat safely, C) To defend against strikes, D) To create an opening</t>
  </si>
  <si>
    <t>A) To close the distance</t>
  </si>
  <si>
    <t>During a Silambam training session, students practice a series of quick, upward strikes. What is the primary target area for these strikes?</t>
  </si>
  <si>
    <t>A) Legs, B) Chest, C) Head, D) Arms</t>
  </si>
  <si>
    <t>C) Head</t>
  </si>
  <si>
    <t>A Silambam practitioner demonstrates the 'Kuthu Varisai' technique. What skill are they primarily focusing on?</t>
  </si>
  <si>
    <t>A) Flexibility, B) Offensive combinations, C) Defensive maneuvers, D) Footwork</t>
  </si>
  <si>
    <t>B) Offensive combinations</t>
  </si>
  <si>
    <t>In a Silambam performance, the practitioner uses a circular motion with the stick to fend off attacks. What is the main objective of this technique?</t>
  </si>
  <si>
    <t>A) To confuse the opponent, B) To block multiple strikes, C) To show off skill, D) To increase striking power</t>
  </si>
  <si>
    <t>B) To block multiple strikes</t>
  </si>
  <si>
    <t>During a Silambam match, the practitioner uses a sudden, downward strike. What is the intended target of this move?</t>
  </si>
  <si>
    <t>A) Arms, B) Head, C) Chest, D) Shoulders</t>
  </si>
  <si>
    <t>A) Arms</t>
  </si>
  <si>
    <t>A practitioner employs the 'Neduvadi' technique while advancing towards their opponent. What is the purpose of this technique?</t>
  </si>
  <si>
    <t>A) To intimidate the opponent, B) To create a defensive barrier, C) To increase speed, D) To strike from a distance</t>
  </si>
  <si>
    <t>D) To strike from a distance</t>
  </si>
  <si>
    <t>In a Silambam demonstration, the practitioner performs a move that involves spinning the stick above their head. What is the primary purpose of this move?</t>
  </si>
  <si>
    <t>A) To confuse the opponent, B) To create a defensive shield, C) To showcase skill, D) To prepare for an attack</t>
  </si>
  <si>
    <t>B) To create a defensive shield</t>
  </si>
  <si>
    <t>During a Silambam match, a practitioner uses a feint to mislead the opponent. What is the intended outcome of this tactic?</t>
  </si>
  <si>
    <t>A) To showcase skill, B) To create an opening, C) To defend against an attack, D) To increase striking power</t>
  </si>
  <si>
    <t>B) To create an opening</t>
  </si>
  <si>
    <t>A Silambam practitioner faces an opponent with a longer weapon. Which strategy should they use to counter this disadvantage?</t>
  </si>
  <si>
    <t>A) Close the distance, B) Use feints, C) Attack from a distance, D) Focus on defense</t>
  </si>
  <si>
    <t>A) Close the distance</t>
  </si>
  <si>
    <t>In a Silambam training session, students are practicing movements that involve quick changes in direction. What is the primary goal of these exercises?</t>
  </si>
  <si>
    <t>A) To demonstrate skill, B) To confuse the opponent, C) To increase agility, D) To improve defense</t>
  </si>
  <si>
    <t>C) To increase agility</t>
  </si>
  <si>
    <t>A Silambam practitioner uses the 'Moola Veesi' technique during a match. What is the primary purpose of this technique?</t>
  </si>
  <si>
    <t>A) To confuse the opponent, B) To defend against attacks, C) To create a distraction, D) To increase power</t>
  </si>
  <si>
    <t>B) To defend against attacks</t>
  </si>
  <si>
    <t>During a Silambam performance, the practitioner uses a series of rapid, alternating strikes. What is the intended effect of this sequence?</t>
  </si>
  <si>
    <t>A) To show off skill, B) To overwhelm the opponent, C) To increase power, D) To defend against attacks</t>
  </si>
  <si>
    <t>In a Silambam match, the practitioner uses a sweeping motion to deflect an incoming strike. What is the main objective of this technique?</t>
  </si>
  <si>
    <t>A) To confuse the opponent, B) To counter-attack, C) To defend, D) To create an opening</t>
  </si>
  <si>
    <t>C) To defend</t>
  </si>
  <si>
    <t>A practitioner uses the 'Adukku Muri' technique during a sparring session. What skill are they primarily focusing on?</t>
  </si>
  <si>
    <t>A) Offensive strikes, B) Defensive blocks, C) Evasion, D) Footwork</t>
  </si>
  <si>
    <t>B) Defensive blocks</t>
  </si>
  <si>
    <t>During a Silambam match, a practitioner performs a sudden, low strike aimed at the opponent's legs. What is the intended outcome of this move?</t>
  </si>
  <si>
    <t>A) To knock the opponent off balance, B) To injure the opponent, C) To distract the opponent, D) To demonstrate skill</t>
  </si>
  <si>
    <t>In a Silambam performance, the practitioner incorporates 'Sarpa Nadai' movements. What is the primary purpose of these movements?</t>
  </si>
  <si>
    <t>A) To confuse the opponent, B) To increase unpredictability, C) To enhance agility, D) To demonstrate skill</t>
  </si>
  <si>
    <t>B) To increase unpredictability</t>
  </si>
  <si>
    <t>A Silambam practitioner uses a technique that involves spinning the stick rapidly around their body. What is the intended effect of this technique?</t>
  </si>
  <si>
    <t>A) To intimidate the opponent, B) To create a defensive barrier, C) To confuse the opponent, D) To show off skill</t>
  </si>
  <si>
    <t>B) To create a defensive barrier</t>
  </si>
  <si>
    <t>During a Silambam sparring match, a practitioner uses a rapid sequence of high strikes. What is the primary goal of this tactic?</t>
  </si>
  <si>
    <t>A) To showcase skill, B) To exhaust the opponent, C) To test the opponent's defense, D) To create an opening</t>
  </si>
  <si>
    <t>In a Silambam training session, students practice the 'Kuthu Varisai' technique. What aspect of Silambam does this technique focus on?</t>
  </si>
  <si>
    <t>A) Flexibility, B) Offense, C) Defense, D) Balance</t>
  </si>
  <si>
    <t>B) Offense</t>
  </si>
  <si>
    <t>A practitioner demonstrates a Silambam move that involves striking with the tip of the stick. What is the main objective of this technique?</t>
  </si>
  <si>
    <t>A) To injure the opponent, B) To increase speed, C) To target specific points, D) To showcase skill</t>
  </si>
  <si>
    <t>C) To target specific points</t>
  </si>
  <si>
    <t>During a Silambam match, one practitioner uses a high, spinning strike. What is the primary purpose of this technique?</t>
  </si>
  <si>
    <t>A) To confuse the opponent, B) To create an opening, C) To increase power, D) To demonstrate skill</t>
  </si>
  <si>
    <t>In a Silambam performance, the practitioner uses a series of fluid movements while advancing towards the opponent. What is the main goal of this approach?</t>
  </si>
  <si>
    <t>A) To confuse the opponent, B) To show off skill, C) To maintain balance, D) To close the distance</t>
  </si>
  <si>
    <t>D) To close the distance</t>
  </si>
  <si>
    <t>A Silambam practitioner uses the 'Odu Kambu' technique during a match. What is the primary purpose of this technique?</t>
  </si>
  <si>
    <t>A) To evade attacks, B) To block strikes, C) To create a distraction, D) To increase striking power</t>
  </si>
  <si>
    <t>A) To evade attacks</t>
  </si>
  <si>
    <t>During a Silambam match, a practitioner uses a sudden upward strike. What is the intended target of this move?</t>
  </si>
  <si>
    <t>A) Legs, B) Arms, C) Head, D) Torso</t>
  </si>
  <si>
    <t>In a Silambam training session, students practice a technique that involves spinning the stick around the body. What is the primary goal of this exercise?</t>
  </si>
  <si>
    <t>A) To increase speed, B) To create a defensive shield, C) To show off skill, D) To improve flexibility</t>
  </si>
  <si>
    <t>A practitioner uses the 'Sarpu Nadai' technique while retreating from an opponent. What is the purpose of this movement?</t>
  </si>
  <si>
    <t>A) To confuse the opponent, B) To increase agility, C) To maintain distance, D) To prepare for a counterattack</t>
  </si>
  <si>
    <t>C) To maintain distance</t>
  </si>
  <si>
    <t>During a Silambam performance, the practitioner uses a series of circular motions with the stick. What is the primary objective of these movements?</t>
  </si>
  <si>
    <t>A) To confuse the opponent, B) To create a defensive barrier, C) To show off skill, D) To increase striking power</t>
  </si>
  <si>
    <t>A Silambam practitioner performs a move that involves a sudden, high strike followed by a low sweep. What is the intended effect of this combination?</t>
  </si>
  <si>
    <t>A) To intimidate the opponent, B) To create an opening, C) To demonstrate skill, D) To knock the opponent off balance</t>
  </si>
  <si>
    <t>D) To knock the opponent off balance</t>
  </si>
  <si>
    <t>In a Silambam match, a practitioner uses a technique that involves rapidly switching between high and low strikes. What is the main goal of this approach?</t>
  </si>
  <si>
    <t>A) To confuse the opponent, B) To showcase skill, C) To test the opponent's defense, D) To increase power</t>
  </si>
  <si>
    <t>A Silambam practitioner faces an opponent with a heavy weapon. Which technique should they use to counter this advantage?</t>
  </si>
  <si>
    <t>A) Speed and agility, B) Power strikes, C) Defensive blocks, D) Feints</t>
  </si>
  <si>
    <t>A) Speed and agility</t>
  </si>
  <si>
    <t>During a Silambam training session, students practice a series of movements that involve jumping and striking. What is the primary goal of these exercises?</t>
  </si>
  <si>
    <t>A) To demonstrate skill, B) To increase reach, C) To show off agility, D) To confuse the opponent</t>
  </si>
  <si>
    <t>B) To increase reach</t>
  </si>
  <si>
    <t>A practitioner uses the 'Kuthu Varisai' technique during a sparring match. What aspect of Silambam does this technique emphasize?</t>
  </si>
  <si>
    <t>A) Offense, B) Defense, C) Flexibility, D) Balance</t>
  </si>
  <si>
    <t>In a Silambam performance, the practitioner incorporates 'Moola Veesi' movements. What is the primary purpose of these movements?</t>
  </si>
  <si>
    <t>A) To confuse the opponent, B) To show off skill, C) To create a defensive shield, D) To demonstrate agility</t>
  </si>
  <si>
    <t>C) To create a defensive shield</t>
  </si>
  <si>
    <t>During a Silambam match, a practitioner uses a series of rapid, downward strikes. What is the intended effect of this tactic?</t>
  </si>
  <si>
    <t>A) To overwhelm the opponent, B) To demonstrate skill, C) To increase power, D) To create an opening</t>
  </si>
  <si>
    <t>A) To overwhelm the opponent</t>
  </si>
  <si>
    <t>A Silambam practitioner uses a technique that involves spinning the stick around their head. What is the primary purpose of this technique?</t>
  </si>
  <si>
    <t>A) To confuse the opponent, B) To create a defensive barrier, C) To intimidate the opponent, D) To show off skill</t>
  </si>
  <si>
    <t>In a Silambam training session, students practice the 'Neduvadi' technique. What is the primary focus of this technique?</t>
  </si>
  <si>
    <t>A) Long-range strikes, B) Close-quarters combat, C) Defense, D) Evasion</t>
  </si>
  <si>
    <t>A) Long-range strikes</t>
  </si>
  <si>
    <t>A practitioner demonstrates a Silambam move that involves a sweeping strike aimed at the opponent's midsection. What is the intended effect of this technique?</t>
  </si>
  <si>
    <t>A) To knock the opponent off balance, B) To demonstrate skill, C) To create an opening, D) To confuse the opponent</t>
  </si>
  <si>
    <t>During a Silambam match, a practitioner performs a rapid series of upward strikes. What is the primary goal of this sequence?</t>
  </si>
  <si>
    <t>In a Silambam performance, the practitioner uses the 'Odu Kambu' technique. What skill are they primarily focusing on?</t>
  </si>
  <si>
    <t>A) Evasion, B) Defense, C) Offense, D) Balance</t>
  </si>
  <si>
    <t>A) Evasion</t>
  </si>
  <si>
    <t>A Silambam practitioner uses a technique that involves a rapid, downward strike followed by an upward sweep. What is the intended effect of this combination?</t>
  </si>
  <si>
    <t>A) To create an opening, B) To confuse the opponent, C) To demonstrate skill, D) To knock the opponent off balance</t>
  </si>
  <si>
    <t>During a Silambam sparring match, a practitioner uses a series of feints to mislead the opponent. What is the main goal of this tactic?</t>
  </si>
  <si>
    <t>A) To create an opening, B) To intimidate the opponent, C) To increase striking power, D) To demonstrate skill</t>
  </si>
  <si>
    <t>A) To create an opening</t>
  </si>
  <si>
    <t>In a Silambam training session, students practice movements that involve spinning the stick around their body. What is the primary goal of these exercises?</t>
  </si>
  <si>
    <t>A) To create a defensive barrier, B) To show off skill, C) To increase agility, D) To improve flexibility</t>
  </si>
  <si>
    <t>A) To create a defensive barrier</t>
  </si>
  <si>
    <t>A Silambam practitioner uses the 'Vazhivu' technique during a match. What is the primary purpose of this technique?</t>
  </si>
  <si>
    <t>A) To close the distance, B) To create a distraction, C) To defend against strikes, D) To increase power</t>
  </si>
  <si>
    <t>During a Silambam practice session, a practitioner executes a series of swift, diagonal strikes. What is the primary purpose of this technique?</t>
  </si>
  <si>
    <t>A) To cut through the opponent's defense, B) To show off skill, C) To demonstrate speed, D) To create a distraction</t>
  </si>
  <si>
    <t>A) To cut through the opponent's defense</t>
  </si>
  <si>
    <t>A Silambam student is learning the 'Kundam' move. What is the primary focus of this technique?</t>
  </si>
  <si>
    <t>A) Offense, B) Defense, C) Evasion, D) Balance</t>
  </si>
  <si>
    <t>In a Silambam demonstration, the practitioner performs a high spinning strike followed by a low sweep. What is the intended effect of this combination?</t>
  </si>
  <si>
    <t>A) To confuse the opponent, B) To knock the opponent off balance, C) To showcase skill, D) To create a defensive barrier</t>
  </si>
  <si>
    <t>During a Silambam match, a practitioner uses a quick feint before executing a powerful forward thrust. What is the main goal of this maneuver?</t>
  </si>
  <si>
    <t>A) To demonstrate agility, B) To create an opening, C) To distract the opponent, D) To increase power</t>
  </si>
  <si>
    <t>A Silambam practitioner utilizes the 'Azhukku Nadai' technique during a sparring session. What is the purpose of this movement?</t>
  </si>
  <si>
    <t>A) To evade attacks, B) To maintain balance, C) To confuse the opponent, D) To increase speed</t>
  </si>
  <si>
    <t>In Silambam, a practitioner is practicing the 'Soothu Veechu' technique. What is the main focus of this technique?</t>
  </si>
  <si>
    <t>A) Offensive strikes, B) Defensive maneuvers, C) Spinning the staff, D) Increasing reach</t>
  </si>
  <si>
    <t>C) Spinning the staff</t>
  </si>
  <si>
    <t>During a Silambam match, a practitioner performs a series of rapid strikes to the opponent's lower body. What is the intended goal of this strategy?</t>
  </si>
  <si>
    <t>A) To distract the opponent, B) To weaken the opponent's stance, C) To increase speed, D) To demonstrate skill</t>
  </si>
  <si>
    <t>B) To weaken the opponent's stance</t>
  </si>
  <si>
    <t>A practitioner demonstrates a Silambam move that involves a sudden, backward spin while striking. What is the main purpose of this maneuver?</t>
  </si>
  <si>
    <t>A) To evade an attack, B) To confuse the opponent, C) To showcase skill, D) To increase power</t>
  </si>
  <si>
    <t>A) To evade an attack</t>
  </si>
  <si>
    <t>In Silambam, what is the primary goal of the 'Thodu Veechu' technique?</t>
  </si>
  <si>
    <t>A) To make a direct strike, B) To confuse the opponent, C) To defend, D) To create distance</t>
  </si>
  <si>
    <t>A) To make a direct strike</t>
  </si>
  <si>
    <t>During a Silambam performance, the practitioner uses a move that involves a rapid downward strike followed by an immediate upward thrust. What is the primary goal of this combination?</t>
  </si>
  <si>
    <t>A) To overwhelm the opponent, B) To create a defensive barrier, C) To increase power, D) To showcase skill</t>
  </si>
  <si>
    <t>A Silambam student practices a technique that involves stepping to the side while delivering a strike. What is the intended purpose of this movement?</t>
  </si>
  <si>
    <t>A) To confuse the opponent, B) To evade an attack, C) To showcase agility, D) To increase power</t>
  </si>
  <si>
    <t>B) To evade an attack</t>
  </si>
  <si>
    <t>In a Silambam training session, students practice the 'Vettu' technique. What aspect of combat does this technique emphasize?</t>
  </si>
  <si>
    <t>A) Offense, B) Defense, C) Evasion, D) Flexibility</t>
  </si>
  <si>
    <t>During a Silambam sparring match, a practitioner uses a move that involves a quick upward strike followed by a lateral sweep. What is the primary purpose of this combination?</t>
  </si>
  <si>
    <t>A) To knock the opponent off balance, B) To create a distraction, C) To showcase skill, D) To increase power</t>
  </si>
  <si>
    <t>A Silambam practitioner is training with the 'Otrai Veechu' technique. What is the main focus of this technique?</t>
  </si>
  <si>
    <t>A) Delivering a single powerful strike, B) Evasion, C) Defense, D) Balance</t>
  </si>
  <si>
    <t>A) Delivering a single powerful strike</t>
  </si>
  <si>
    <t>In a Silambam match, a practitioner uses the 'Thattu Veechu' move. What is the primary goal of this technique?</t>
  </si>
  <si>
    <t>A) To deflect an attack, B) To confuse the opponent, C) To demonstrate skill, D) To increase striking speed</t>
  </si>
  <si>
    <t>A) To deflect an attack</t>
  </si>
  <si>
    <t>During a Silambam training session, students practice movements that involve jumping and delivering a high strike. What is the main objective of these exercises?</t>
  </si>
  <si>
    <t>A) To showcase agility, B) To increase striking power, C) To create distance, D) To evade attacks</t>
  </si>
  <si>
    <t>A) To showcase agility</t>
  </si>
  <si>
    <t>A practitioner uses the 'Maan Kombu' technique in Silambam. What does this move focus on?</t>
  </si>
  <si>
    <t>A) Offensive strikes, B) Defensive postures, C) Balance, D) Evasion</t>
  </si>
  <si>
    <t>C) Balance</t>
  </si>
  <si>
    <t>In Silambam, a practitioner is demonstrating the 'Mettu' technique. What is the primary purpose of this movement?</t>
  </si>
  <si>
    <t>A) To increase striking speed, B) To defend against a low attack, C) To create a distraction, D) To demonstrate skill</t>
  </si>
  <si>
    <t>B) To defend against a low attack</t>
  </si>
  <si>
    <t>During a Silambam performance, the practitioner incorporates 'Ner Veechu' movements. What is the main objective of these strikes?</t>
  </si>
  <si>
    <t>A) To increase reach, B) To create a defensive barrier, C) To make direct hits, D) To confuse the opponent</t>
  </si>
  <si>
    <t>C) To make direct hits</t>
  </si>
  <si>
    <t>A Silambam student is practicing a technique that involves a circular motion with the staff. What is the primary focus of this exercise?</t>
  </si>
  <si>
    <t>A) Defense, B) Offense, C) Balance, D) Evasion</t>
  </si>
  <si>
    <t>A) Defense</t>
  </si>
  <si>
    <t>In a Silambam training session, the practitioner uses the 'Thirupali' technique. What is the primary goal of this move?</t>
  </si>
  <si>
    <t>A) To show off skill, B) To create a defensive barrier, C) To confuse the opponent, D) To increase speed</t>
  </si>
  <si>
    <t>A practitioner uses the 'Pootu Veechu' technique during a match. What is the primary focus of this move?</t>
  </si>
  <si>
    <t>A) Evasion, B) Offense, C) Defense, D) Balance</t>
  </si>
  <si>
    <t>During a Silambam sparring session, a practitioner employs a technique that involves alternating high and low strikes. What is the intended effect of this strategy?</t>
  </si>
  <si>
    <t>A) To confuse the opponent, B) To increase power, C) To showcase skill, D) To create a defensive barrier</t>
  </si>
  <si>
    <t>In Silambam, the practitioner uses the 'Muthu Veechu' technique. What aspect of combat does this technique emphasize?</t>
  </si>
  <si>
    <t>A) Precision strikes, B) Defense, C) Evasion, D) Balance</t>
  </si>
  <si>
    <t>A) Precision strikes</t>
  </si>
  <si>
    <t>A Silambam student is practicing a move that involves a rapid, upward strike followed by a forward thrust. What is the main purpose of this combination?</t>
  </si>
  <si>
    <t>A) To overwhelm the opponent, B) To demonstrate skill, C) To increase speed, D) To create an opening</t>
  </si>
  <si>
    <t>During a Silambam match, the practitioner uses a series of quick, lateral movements while striking. What is the primary goal of this technique?</t>
  </si>
  <si>
    <t>A) To confuse the opponent, B) To evade attacks, C) To increase power, D) To create distance</t>
  </si>
  <si>
    <t>In Silambam, a practitioner demonstrates the 'Pinnal' technique. What is the focus of this movement?</t>
  </si>
  <si>
    <t>A) Offensive strikes, B) Defense, C) Evasion, D) Spinning the staff</t>
  </si>
  <si>
    <t>D) Spinning the staff</t>
  </si>
  <si>
    <t>A practitioner uses the 'Pidi' technique during a training session. What is the main focus of this move?</t>
  </si>
  <si>
    <t>A) Grabbing the opponent's weapon, B) Striking with precision, C) Creating a defensive barrier, D) Demonstrating skill</t>
  </si>
  <si>
    <t>A) Grabbing the opponent's weapon</t>
  </si>
  <si>
    <t>During a Silambam demonstration, the practitioner performs a rapid series of strikes aimed at the opponent's upper body. What is the primary goal of this technique?</t>
  </si>
  <si>
    <t>A) To overwhelm the opponent, B) To create a distraction, C) To increase power, D) To demonstrate skill</t>
  </si>
  <si>
    <t>In Silambam, the practitioner is practicing the 'Kai Veechu' technique. What is the primary objective of this movement?</t>
  </si>
  <si>
    <t>A) To create a distraction, B) To demonstrate skill, C) To make precise strikes, D) To evade an attack</t>
  </si>
  <si>
    <t>C) To make precise strikes</t>
  </si>
  <si>
    <t>A Silambam student is learning a technique that involves stepping forward while delivering a low sweep. What is the intended effect of this move?</t>
  </si>
  <si>
    <t>A) To increase speed, B) To knock the opponent off balance, C) To showcase skill, D) To confuse the opponent</t>
  </si>
  <si>
    <t>During a Silambam sparring session, the practitioner employs a move that involves spinning the staff behind their back before striking. What is the primary purpose of this maneuver?</t>
  </si>
  <si>
    <t>A) To confuse the opponent, B) To create a defensive barrier, C) To increase striking power, D) To demonstrate skill</t>
  </si>
  <si>
    <t>In a Silambam match, a practitioner uses the 'Virukku Veechu' technique. What aspect of combat does this technique emphasize?</t>
  </si>
  <si>
    <t>A practitioner demonstrates a Silambam move that involves a downward strike followed by a quick upward block. What is the main purpose of this combination?</t>
  </si>
  <si>
    <t>A) To defend against a counterattack, B) To increase power, C) To create a distraction, D) To showcase skill</t>
  </si>
  <si>
    <t>A) To defend against a counterattack</t>
  </si>
  <si>
    <t>During a Silambam performance, the practitioner performs a move that involves spinning the staff in front of their body while advancing. What is the primary goal of this movement?</t>
  </si>
  <si>
    <t>A) To create a defensive barrier, B) To confuse the opponent, C) To demonstrate skill, D) To increase striking power</t>
  </si>
  <si>
    <t>In Silambam, a practitioner is practicing the 'Uppu Veechu' technique. What is the main focus of this move?</t>
  </si>
  <si>
    <t>A) Delivering an upward strike, B) Defense, C) Evasion, D) Balance</t>
  </si>
  <si>
    <t>A) Delivering an upward strike</t>
  </si>
  <si>
    <t>A Silambam student practices a technique that involves a series of quick, alternating strikes to the opponent's sides. What is the intended purpose of this strategy?</t>
  </si>
  <si>
    <t>A) To create an opening, B) To overwhelm the opponent, C) To showcase skill, D) To confuse the opponent</t>
  </si>
  <si>
    <t>During a Silambam training session, the practitioner uses the 'Thadavara' technique. What is the primary goal of this move?</t>
  </si>
  <si>
    <t>A) To increase reach, B) To create a defensive barrier, C) To make precise strikes, D) To confuse the opponent</t>
  </si>
  <si>
    <t>In a Silambam match, the practitioner uses a technique that involves spinning the staff overhead before delivering a downward strike. What is the primary purpose of this maneuver?</t>
  </si>
  <si>
    <t>A) To increase striking power, B) To create a defensive barrier, C) To demonstrate skill, D) To confuse the opponent</t>
  </si>
  <si>
    <t>A) To increase striking power</t>
  </si>
  <si>
    <t>A practitioner uses the 'Mudal Veechu' technique during a demonstration. What is the main focus of this move?</t>
  </si>
  <si>
    <t>A) Making a direct strike, B) Evasion, C) Defense, D) Balance</t>
  </si>
  <si>
    <t>A) Making a direct strike</t>
  </si>
  <si>
    <t>During a Silambam sparring session, the practitioner performs a move that involves a quick spin followed by a low sweep. What is the intended effect of this combination?</t>
  </si>
  <si>
    <t>A) To confuse the opponent, B) To knock the opponent off balance, C) To demonstrate skill, D) To increase power</t>
  </si>
  <si>
    <t>In Silambam, the practitioner is demonstrating the 'Thuli Veechu' technique. What is the primary objective of this movement?</t>
  </si>
  <si>
    <t>A) To make a precise strike, B) To evade an attack, C) To create a distraction, D) To demonstrate skill</t>
  </si>
  <si>
    <t>A) To make a precise strike</t>
  </si>
  <si>
    <t>A Silambam student is learning a technique that involves stepping back while delivering a defensive block. What is the intended purpose of this move?</t>
  </si>
  <si>
    <t>During a Silambam performance, the practitioner uses a move that involves a quick, downward strike followed by a spinning lateral strike. What is the primary goal of this combination?</t>
  </si>
  <si>
    <t>A) To overwhelm the opponent, B) To create a defensive barrier, C) To increase power, D) To demonstrate skill</t>
  </si>
  <si>
    <t>In Silambam, a practitioner is practicing the 'Thattu Nadai' technique. What is the main focus of this move?</t>
  </si>
  <si>
    <t>A) Defense, B) Offense, C) Evasion, D) Balance</t>
  </si>
  <si>
    <t>A practitioner uses the 'Pidi Veechu' technique during a match. What is the main focus of this move?</t>
  </si>
  <si>
    <t>During a Silambam sparring session, the practitioner employs a move that involves a high, spinning strike followed by a forward thrust. What is the intended effect of this combination?</t>
  </si>
  <si>
    <t>During a Silambam duel, the opponent lunges forward with a high strike. What technique should a practitioner use to effectively counter this attack?</t>
  </si>
  <si>
    <t>A) Side step and sweep, B) Block and strike, C) Leap and thrust, D) Spin and evade</t>
  </si>
  <si>
    <t>B) Block and strike</t>
  </si>
  <si>
    <t>A practitioner is facing an opponent with an aggressive attack style. Which Silambam technique would be most effective in creating distance and keeping the opponent at bay?</t>
  </si>
  <si>
    <t>A) Thattu Veechu, B) Pinnal Veechu, C) Virukku Veechu, D) Kai Veechu</t>
  </si>
  <si>
    <t>B) Pinnal Veechu</t>
  </si>
  <si>
    <t>In a sparring session, the opponent uses a low sweeping strike. How should the practitioner respond to avoid getting hit while maintaining an offensive stance?</t>
  </si>
  <si>
    <t>A) Jump and strike, B) Block low and counter, C) Side step and thrust, D) Spin and sweep</t>
  </si>
  <si>
    <t>B) Block low and counter</t>
  </si>
  <si>
    <t>During a Silambam performance, the practitioner encounters multiple opponents attacking simultaneously. What strategy should they use to handle this situation?</t>
  </si>
  <si>
    <t>A) Direct strikes, B) Defensive maneuvers, C) Circular movements, D) Evasion</t>
  </si>
  <si>
    <t>C) Circular movements</t>
  </si>
  <si>
    <t>A practitioner needs to disarm an opponent holding a weapon. Which technique in Silambam focuses on effectively disarming the opponent?</t>
  </si>
  <si>
    <t>A) Pidi Veechu, B) Uppu Veechu, C) Mudal Veechu, D) Thattu Nadai</t>
  </si>
  <si>
    <t>A) Pidi Veechu</t>
  </si>
  <si>
    <t>In a demonstration, the practitioner showcases the 'Adi Murai' technique. What is the primary focus of this technique in Silambam?</t>
  </si>
  <si>
    <t>A) Offensive strikes, B) Defense, C) Joint locks, D) Weapon handling</t>
  </si>
  <si>
    <t>C) Joint locks</t>
  </si>
  <si>
    <t>During a training session, the opponent aims for a quick jab at the practitioner's torso. What is the best immediate response using Silambam techniques?</t>
  </si>
  <si>
    <t>A) Parry and strike, B) Duck and sweep, C) Block and thrust, D) Spin and evade</t>
  </si>
  <si>
    <t>C) Block and thrust</t>
  </si>
  <si>
    <t>A Silambam practitioner faces an opponent who is attempting to deliver a series of overhead strikes. What technique should be employed to neutralize this attack?</t>
  </si>
  <si>
    <t>A) Thattu Veechu, B) Uppu Veechu, C) Kai Veechu, D) Thadavara</t>
  </si>
  <si>
    <t>A) Thattu Veechu</t>
  </si>
  <si>
    <t>During a Silambam match, the practitioner is caught in close quarters combat. Which movement should be used to gain space for a counter-attack?</t>
  </si>
  <si>
    <t>A) Pinnal Veechu, B) Virukku Veechu, C) Thuli Veechu, D) Mudal Veechu</t>
  </si>
  <si>
    <t>A) Pinnal Veechu</t>
  </si>
  <si>
    <t>An opponent is using fast, unpredictable movements. How should a practitioner adjust their strategy to maintain control of the match?</t>
  </si>
  <si>
    <t>A) Increase speed, B) Use defensive blocks, C) Focus on footwork, D) Execute rapid strikes</t>
  </si>
  <si>
    <t>C) Focus on footwork</t>
  </si>
  <si>
    <t>A practitioner is demonstrating the 'Adi Kootam' technique. What is the primary objective of this technique in Silambam?</t>
  </si>
  <si>
    <t>A) To strike vital points, B) To create a distraction, C) To perform a defensive block, D) To showcase skill</t>
  </si>
  <si>
    <t>A) To strike vital points</t>
  </si>
  <si>
    <t>During a Silambam sparring session, the practitioner encounters an opponent who primarily focuses on leg strikes. What technique should be used to counter this style?</t>
  </si>
  <si>
    <t>A) Leap and thrust, B) Block low and counter, C) Spin and evade, D) Defensive barrier</t>
  </si>
  <si>
    <t>An opponent tries to sweep the practitioner's legs to bring them down. How should the practitioner defend against this maneuver?</t>
  </si>
  <si>
    <t>A) Jump and counter, B) Side step, C) Block and strike, D) Leap and sweep</t>
  </si>
  <si>
    <t>A) Jump and counter</t>
  </si>
  <si>
    <t>During a demonstration, a practitioner showcases a combination of high and low strikes. What is the intended effect of this technique?</t>
  </si>
  <si>
    <t>A) To overwhelm the opponent, B) To confuse the opponent, C) To create a defensive barrier, D) To showcase skill</t>
  </si>
  <si>
    <t>In a Silambam match, the practitioner uses the 'Thuli Veechu' technique to break through an opponent's defense. What is the focus of this move?</t>
  </si>
  <si>
    <t>A) Offense, B) Defense, C) Evasion, D) Precision</t>
  </si>
  <si>
    <t>A practitioner faces an opponent using a dual weapon style. What strategy should they use to effectively counter this type of attack?</t>
  </si>
  <si>
    <t>A) Direct strikes, B) Defensive blocks, C) Evasive maneuvers, D) Create distance</t>
  </si>
  <si>
    <t>D) Create distance</t>
  </si>
  <si>
    <t>During a Silambam duel, the opponent attempts to disarm the practitioner. Which technique can be used to maintain grip on the weapon while countering the disarm attempt?</t>
  </si>
  <si>
    <t>A) Pidi Nadai, B) Thattu Nadai, C) Kai Veechu, D) Thadavara</t>
  </si>
  <si>
    <t>A) Pidi Nadai</t>
  </si>
  <si>
    <t>In a demonstration, a practitioner uses the 'Mudal Veechu' technique to initiate combat. What is the primary goal of this move?</t>
  </si>
  <si>
    <t>A) To confuse the opponent, B) To make a direct strike, C) To create a defensive barrier, D) To demonstrate skill</t>
  </si>
  <si>
    <t>B) To make a direct strike</t>
  </si>
  <si>
    <t>A practitioner is demonstrating a series of rapid, spinning strikes. What is the intended purpose of these movements in a combat scenario?</t>
  </si>
  <si>
    <t>A) To create distance, B) To confuse the opponent, C) To increase power, D) To demonstrate skill</t>
  </si>
  <si>
    <t>During a Silambam performance, the practitioner uses a move that involves alternating high and low thrusts while advancing. What is the primary objective of this technique?</t>
  </si>
  <si>
    <t>A) To create a defensive barrier, B) To overwhelm the opponent, C) To increase speed, D) To confuse the opponent</t>
  </si>
  <si>
    <t>In Silambam, a practitioner is facing an opponent with a shield. What strategy should they use to effectively strike while avoiding the shield?</t>
  </si>
  <si>
    <t>A) Direct strikes, B) Feints and side strikes, C) Overhead strikes, D) Low sweeps</t>
  </si>
  <si>
    <t>B) Feints and side strikes</t>
  </si>
  <si>
    <t>A Silambam student is practicing a technique that involves spinning the staff behind their back before delivering a lateral strike. What is the primary focus of this movement?</t>
  </si>
  <si>
    <t>A) Defense, B) Precision, C) Power, D) Distraction</t>
  </si>
  <si>
    <t>D) Distraction</t>
  </si>
  <si>
    <t>During a sparring session, the practitioner encounters an opponent who uses unpredictable, feinting movements. What should the practitioner focus on to maintain control of the match?</t>
  </si>
  <si>
    <t>A) Speed, B) Footwork and distance, C) Offensive strikes, D) Defensive maneuvers</t>
  </si>
  <si>
    <t>B) Footwork and distance</t>
  </si>
  <si>
    <t>An opponent delivers a rapid downward strike towards the practitioner's head. How should the practitioner defend against this using Silambam techniques?</t>
  </si>
  <si>
    <t>A) Duck and sweep, B) Block high and counter, C) Side step and thrust, D) Spin and evade</t>
  </si>
  <si>
    <t>B) Block high and counter</t>
  </si>
  <si>
    <t>In a Silambam demonstration, the practitioner performs a series of strikes aimed at the opponent's lower body. What is the intended effect of this technique?</t>
  </si>
  <si>
    <t>A) To knock the opponent off balance, B) To increase power, C) To confuse the opponent, D) To showcase skill</t>
  </si>
  <si>
    <t>A practitioner uses the 'Thattu Nadai' technique in response to an opponent's aggressive approach. What is the main goal of this defensive move?</t>
  </si>
  <si>
    <t>A) To block and counter, B) To create a distraction, C) To gain distance, D) To confuse the opponent</t>
  </si>
  <si>
    <t>A) To block and counter</t>
  </si>
  <si>
    <t>During a match, the practitioner uses a quick upward strike aimed at the opponent's weapon hand. What is the intended purpose of this technique in Silambam?</t>
  </si>
  <si>
    <t>A) To disarm the opponent, B) To create an opening, C) To demonstrate skill, D) To confuse the opponent</t>
  </si>
  <si>
    <t>An opponent attempts a series of thrusts at the practitioner's torso. How should the practitioner counter this attack while staying on the offensive?</t>
  </si>
  <si>
    <t>A) Block and counter, B) Leap and thrust, C) Side step and strike, D) Spin and evade</t>
  </si>
  <si>
    <t>C) Side step and strike</t>
  </si>
  <si>
    <t>A practitioner is showcasing a Silambam technique that involves spinning the staff around the body before delivering a rapid strike. What is the main objective of this movement?</t>
  </si>
  <si>
    <t>A) To increase speed, B) To confuse the opponent, C) To create a defensive barrier, D) To demonstrate skill</t>
  </si>
  <si>
    <t>In a sparring session, the opponent uses a series of lateral strikes. What defensive move should the practitioner use to counter this type of attack in Silambam?</t>
  </si>
  <si>
    <t>A) Block high, B) Side step and thrust, C) Spin and evade, D) Block and counter</t>
  </si>
  <si>
    <t>D) Block and counter</t>
  </si>
  <si>
    <t>During a Silambam match, the practitioner encounters an opponent with a high guard stance. What is the best strategy to penetrate this defense?</t>
  </si>
  <si>
    <t>A) Low strikes, B) Overhead strikes, C) Feints and thrusts, D) Circular movements</t>
  </si>
  <si>
    <t>C) Feints and thrusts</t>
  </si>
  <si>
    <t>A practitioner is facing an opponent with a shorter staff. How should they use their reach advantage in Silambam to maintain control of the match?</t>
  </si>
  <si>
    <t>A) Direct strikes, B) Create distance and thrust, C) Defensive blocks, D) Evasive maneuvers</t>
  </si>
  <si>
    <t>B) Create distance and thrust</t>
  </si>
  <si>
    <t>An opponent uses a rapid spinning technique to disorient the practitioner. How should the practitioner counter this tactic while maintaining balance?</t>
  </si>
  <si>
    <t>A) Evasion, B) Direct strike to the center, C) Side step and strike, D) Defensive barrier</t>
  </si>
  <si>
    <t>B) Direct strike to the center</t>
  </si>
  <si>
    <t>During a demonstration, a practitioner performs a move that involves spinning the staff horizontally around their body. What is the intended purpose of this technique in Silambam?</t>
  </si>
  <si>
    <t>A) To create a defensive barrier, B) To increase speed, C) To showcase skill, D) To confuse the opponent</t>
  </si>
  <si>
    <t>A practitioner faces an opponent who frequently changes their stance. What should the practitioner focus on to effectively counter this strategy?</t>
  </si>
  <si>
    <t>An opponent attempts a sweeping strike at the practitioner's legs. What is the best defensive move to counter this attack using Silambam techniques?</t>
  </si>
  <si>
    <t>A) Jump and counter, B) Block low and strike, C) Side step, D) Spin and evade</t>
  </si>
  <si>
    <t>During a Silambam performance, the practitioner uses a series of rapid strikes while advancing towards the opponent. What is the primary goal of this technique?</t>
  </si>
  <si>
    <t>A) To overwhelm the opponent, B) To create distance, C) To showcase skill, D) To confuse the opponent</t>
  </si>
  <si>
    <t>In a sparring session, the opponent holds a high guard. What should the practitioner do to create an opening in the opponent's defense?</t>
  </si>
  <si>
    <t>A) Feint low and strike high, B) Direct thrusts, C) Circular movements, D) Leap and strike</t>
  </si>
  <si>
    <t>A) Feint low and strike high</t>
  </si>
  <si>
    <t>A practitioner demonstrates a move that involves rotating the staff around the wrist before delivering a thrust. What is the main objective of this technique?</t>
  </si>
  <si>
    <t>A) To increase speed, B) To confuse the opponent, C) To showcase skill, D) To create a defensive barrier</t>
  </si>
  <si>
    <t>During a Silambam match, the practitioner uses a move that involves a high feint followed by a low strike. What is the intended effect of this technique?</t>
  </si>
  <si>
    <t>A) To confuse the opponent, B) To demonstrate skill, C) To create a defensive barrier, D) To increase power</t>
  </si>
  <si>
    <t>An opponent attempts a rapid thrust towards the practitioner's torso. How should the practitioner respond to counter this attack effectively?</t>
  </si>
  <si>
    <t>A) Parry and strike, B) Duck and sweep, C) Block high and counter, D) Spin and evade</t>
  </si>
  <si>
    <t>A) Parry and strike</t>
  </si>
  <si>
    <t>A practitioner is performing a demonstration that includes a series of spinning strikes. What is the primary focus of these movements in a combat scenario?</t>
  </si>
  <si>
    <t>A) To create distance, B) To confuse the opponent, C) To increase power, D) To showcase skill</t>
  </si>
  <si>
    <t>In a Silambam demonstration, the practitioner uses the 'Uppu Veechu' technique to disarm an opponent. What is the focus of this move?</t>
  </si>
  <si>
    <t>A) Precision, B) Power, C) Speed, D) Distraction</t>
  </si>
  <si>
    <t>A) Precision</t>
  </si>
  <si>
    <t>A practitioner is facing an opponent who primarily uses low strikes. Which technique should be employed to counter this style while maintaining an offensive stance?</t>
  </si>
  <si>
    <t>An opponent tries to deliver a quick jab at the practitioner's head. What is the most effective immediate response using Silambam techniques?</t>
  </si>
  <si>
    <t>C) Block high and counter</t>
  </si>
  <si>
    <t>During a Silambam duel, the practitioner is caught in a situation where the opponent is using a high guard stance. What technique should be used to break through this defense?</t>
  </si>
  <si>
    <t>A) Low strikes, B) Feints and thrusts, C) Overhead strikes, D) Circular movements</t>
  </si>
  <si>
    <t>B) Feints and thrusts</t>
  </si>
  <si>
    <t>A practitioner is demonstrating a Silambam technique that involves alternating high and low strikes while advancing. What is the main purpose of this technique?</t>
  </si>
  <si>
    <t>An opponent uses a sweeping strike at the practitioner's legs. How should the practitioner counter this attack while maintaining balance?</t>
  </si>
  <si>
    <t>During a sparring session, the practitioner encounters an opponent who uses rapid, unpredictable movements. What should the practitioner focus on to maintain control of the match?</t>
  </si>
  <si>
    <t>An opponent delivers a series of rapid thrusts at the practitioner's torso. How should the practitioner respond to effectively counter this attack?</t>
  </si>
  <si>
    <t>During a Silambam match, the opponent executes a low sweeping attack. How should the practitioner respond to maintain control of the duel?</t>
  </si>
  <si>
    <t>A) Jump and counter, B) Block low and strike, C) Side step and sweep, D) Spin and evade</t>
  </si>
  <si>
    <t>B) Block low and strike</t>
  </si>
  <si>
    <t>In a Silambam performance, the practitioner uses a move that involves spinning the staff rapidly before delivering a high strike. What is the primary goal of this technique?</t>
  </si>
  <si>
    <t>A) To increase power, B) To confuse the opponent, C) To create a defensive barrier, D) To showcase skill</t>
  </si>
  <si>
    <t>A practitioner encounters an opponent who frequently uses overhead strikes. What technique should be employed to effectively counter these attacks?</t>
  </si>
  <si>
    <t>A) Block and strike, B) Duck and counter, C) Side step and sweep, D) Spin and evade</t>
  </si>
  <si>
    <t>A) Block and strike</t>
  </si>
  <si>
    <t>During a sparring session, the opponent is using quick, erratic movements. What should the practitioner focus on to effectively respond to this style?</t>
  </si>
  <si>
    <t>A) Speed, B) Footwork and distance, C) Defensive blocks, D) Offensive strikes</t>
  </si>
  <si>
    <t>A Silambam practitioner is performing a series of strikes that involve alternating between high and low attacks. What is the purpose of this technique?</t>
  </si>
  <si>
    <t>A) To overwhelm the opponent, B) To confuse the opponent, C) To increase power, D) To showcase skill</t>
  </si>
  <si>
    <t>An opponent delivers a rapid series of jabs aimed at the practitioner’s torso. How should the practitioner respond to these attacks using Silambam techniques?</t>
  </si>
  <si>
    <t>A) Block and counter, B) Duck and strike, C) Side step and counter, D) Spin and evade</t>
  </si>
  <si>
    <t>A) Block and counter</t>
  </si>
  <si>
    <t>During a Silambam demonstration, the practitioner showcases a move that involves rotating the staff around their body before executing a thrust. What is the main objective of this movement?</t>
  </si>
  <si>
    <t>A) To increase speed, B) To create a defensive barrier, C) To confuse the opponent, D) To showcase skill</t>
  </si>
  <si>
    <t>C) To confuse the opponent</t>
  </si>
  <si>
    <t>In a Silambam match, the opponent frequently uses low strikes. What technique should the practitioner use to effectively counter this style?</t>
  </si>
  <si>
    <t>A) High strikes, B) Side step and strike, C) Block low and counter, D) Defensive maneuvers</t>
  </si>
  <si>
    <t>C) Block low and counter</t>
  </si>
  <si>
    <t>A practitioner faces an opponent who utilizes a dual weapon style. What strategy should they use to gain the upper hand in the match?</t>
  </si>
  <si>
    <t>A) Direct strikes, B) Create distance and strike, C) Defensive blocks, D) Evasion</t>
  </si>
  <si>
    <t>B) Create distance and strike</t>
  </si>
  <si>
    <t>During a Silambam performance, the practitioner demonstrates a move that includes a spinning attack aimed at the opponent's head. What is the intended effect of this technique?</t>
  </si>
  <si>
    <t>An opponent attempts a quick jab at the practitioner’s legs. What is the best defensive move to counter this attack while maintaining balance?</t>
  </si>
  <si>
    <t>A) Jump and strike, B) Block low and counter, C) Side step and sweep, D) Spin and evade</t>
  </si>
  <si>
    <t>In a Silambam duel, the practitioner is facing an opponent who uses rapid, unpredictable strikes. How should the practitioner adjust their strategy?</t>
  </si>
  <si>
    <t>A) Increase speed, B) Focus on footwork and distance, C) Use defensive blocks, D) Execute rapid strikes</t>
  </si>
  <si>
    <t>B) Focus on footwork and distance</t>
  </si>
  <si>
    <t>A practitioner is demonstrating a technique involving a high feint followed by a low strike. What is the purpose of this maneuver in Silambam?</t>
  </si>
  <si>
    <t>A) To confuse the opponent, B) To increase power, C) To create a defensive barrier, D) To showcase skill</t>
  </si>
  <si>
    <t>During a Silambam match, the opponent uses a defensive stance that covers their torso. What should the practitioner do to penetrate this defense?</t>
  </si>
  <si>
    <t>A) High strikes, B) Low strikes, C) Feints and thrusts, D) Circular movements</t>
  </si>
  <si>
    <t>A practitioner encounters an opponent who is adept at using fast lateral strikes. What technique should be used to counter this attack?</t>
  </si>
  <si>
    <t>A) Block and counter, B) Evasion and counter, C) Side step and strike, D) Spin and evade</t>
  </si>
  <si>
    <t>During a Silambam duel, the opponent attempts a series of overhead strikes. What technique should the practitioner use to counter these attacks?</t>
  </si>
  <si>
    <t>In a sparring session, the opponent uses a high guard stance. How should the practitioner approach this type of defense?</t>
  </si>
  <si>
    <t>A) Low strikes, B) Feints and high strikes, C) Overhead strikes, D) Circular movements</t>
  </si>
  <si>
    <t>B) Feints and high strikes</t>
  </si>
  <si>
    <t>A practitioner is performing a Silambam technique involving a spinning strike aimed at the opponent’s legs. What is the primary goal of this move?</t>
  </si>
  <si>
    <t>A) To create distance, B) To knock the opponent off balance, C) To confuse the opponent, D) To showcase skill</t>
  </si>
  <si>
    <t>During a demonstration, the practitioner uses the 'Pidi Veechu' technique to disarm an opponent. What is the focus of this move?</t>
  </si>
  <si>
    <t>An opponent is using a rapid, unpredictable attack style. What should the practitioner focus on to effectively counter this approach?</t>
  </si>
  <si>
    <t>A Silambam practitioner faces an opponent using a low sweeping technique. What is the best defensive move to counter this attack?</t>
  </si>
  <si>
    <t>A) Block low and strike, B) Jump and counter, C) Side step and strike, D) Spin and evade</t>
  </si>
  <si>
    <t>A) Block low and strike</t>
  </si>
  <si>
    <t>During a Silambam match, the practitioner uses a combination of high and low strikes to break through the opponent’s defense. What is the main goal of this technique?</t>
  </si>
  <si>
    <t>In a Silambam duel, the practitioner encounters an opponent who uses a dual weapon style. What strategy should be employed to effectively counter this approach?</t>
  </si>
  <si>
    <t>A practitioner uses the 'Kai Veechu' technique to respond to an opponent's attack. What is the primary focus of this maneuver?</t>
  </si>
  <si>
    <t>During a performance, a practitioner demonstrates a technique that involves spinning the staff around their body before executing a strike. What is the intended purpose of this move?</t>
  </si>
  <si>
    <t>In a sparring session, the practitioner encounters an opponent who frequently uses high strikes. What is the best technique to counter this attack?</t>
  </si>
  <si>
    <t>A) Block and counter, B) Duck and sweep, C) Side step and strike, D) Spin and evade</t>
  </si>
  <si>
    <t>A Silambam practitioner demonstrates a move that involves alternating between high and low strikes while advancing. What is the primary goal of this technique?</t>
  </si>
  <si>
    <t>During a Silambam duel, the practitioner is facing an opponent who uses rapid lateral strikes. How should the practitioner respond to this style?</t>
  </si>
  <si>
    <t>A practitioner encounters an opponent who primarily uses low strikes. What technique should be employed to effectively counter this style?</t>
  </si>
  <si>
    <t>A) High strikes, B) Block low and counter, C) Spin and evade, D) Defensive maneuvers</t>
  </si>
  <si>
    <t>During a Silambam match, the opponent uses a defensive stance that covers their torso. What should the practitioner do to break through this defense?</t>
  </si>
  <si>
    <t>A practitioner is demonstrating a technique that involves rotating the staff around their body before delivering a thrust. What is the main objective of this movement?</t>
  </si>
  <si>
    <t>In a Silambam duel, the opponent attempts a series of rapid thrusts at the practitioner. How should the practitioner effectively counter this attack?</t>
  </si>
  <si>
    <t>A practitioner is using the 'Uppu Veechu' technique during a Silambam demonstration. What is the focus of this move?</t>
  </si>
  <si>
    <t>During a sparring session, the practitioner encounters an opponent who uses a high guard stance. What technique should be used to penetrate this defense?</t>
  </si>
  <si>
    <t>A practitioner is facing an opponent who uses quick, erratic movements. What strategy should the practitioner adopt to effectively counter this approach?</t>
  </si>
  <si>
    <t>During a Silambam match, the practitioner uses a technique that includes a high feint followed by a low strike. What is the intended effect of this maneuver?</t>
  </si>
  <si>
    <t>In a Silambam duel, the practitioner encounters an opponent who uses a low sweeping technique. How should the practitioner respond?</t>
  </si>
  <si>
    <t>A) Block low and counter, B) Jump and counter, C) Side step and strike, D) Spin and evade</t>
  </si>
  <si>
    <t>A) Block low and counter</t>
  </si>
  <si>
    <t>A practitioner is demonstrating a technique involving alternating high and low strikes. What is the purpose of this maneuver?</t>
  </si>
  <si>
    <t>During a performance, the practitioner uses the 'Kai Veechu' technique to respond to an opponent’s attack. What is the primary focus of this maneuver?</t>
  </si>
  <si>
    <t>In a Silambam match, the practitioner uses a combination of rapid strikes while advancing towards the opponent. What is the primary goal of this technique?</t>
  </si>
  <si>
    <t>An opponent uses a high guard stance during a Silambam duel. What should the practitioner focus on to effectively counter this defense?</t>
  </si>
  <si>
    <t>A practitioner uses a spinning technique to counter an opponent’s attack. What is the intended purpose of this maneuver?</t>
  </si>
  <si>
    <t>During a Silambam duel, the opponent attempts a quick jab at the practitioner’s head. What is the most effective immediate response?</t>
  </si>
  <si>
    <t>A practitioner is demonstrating a Silambam technique that includes a spinning strike aimed at the opponent’s legs. What is the main goal of this move?</t>
  </si>
  <si>
    <t>A) To knock the opponent off balance, B) To confuse the opponent, C) To create distance, D) To showcase skill</t>
  </si>
  <si>
    <t>In a Silambam match, the practitioner faces an opponent using rapid lateral strikes. What should be the practitioner’s primary focus to counter this approach?</t>
  </si>
  <si>
    <t>A) Speed, B) Footwork and distance, C) Defensive maneuvers, D) Offensive strikes</t>
  </si>
  <si>
    <t>An opponent delivers a series of rapid thrusts at the practitioner’s torso. How should the practitioner counter this attack while staying on the offensive?</t>
  </si>
  <si>
    <t>A practitioner uses the 'Uppu Veechu' technique during a Silambam demonstration. What is the focus of this move?</t>
  </si>
  <si>
    <t>During a Silambam duel, the practitioner encounters an opponent who uses a high guard stance. What technique should be used to break through this defense?</t>
  </si>
  <si>
    <t>In a Silambam performance, the practitioner uses a spinning attack to respond to an opponent’s move. What is the primary objective of this technique?</t>
  </si>
  <si>
    <t>An opponent uses a low sweeping strike during a Silambam match. How should the practitioner respond to this attack while maintaining balance?</t>
  </si>
  <si>
    <t>During a Silambam match, the opponent frequently uses high strikes. What technique should the practitioner employ to counter this style effectively?</t>
  </si>
  <si>
    <t>A) Block and counter, B) Duck and strike, C) Side step and strike, D) Spin and evade</t>
  </si>
  <si>
    <t>A practitioner is demonstrating a technique involving alternating high and low strikes while advancing. What is the primary goal of this maneuver?</t>
  </si>
  <si>
    <t>During a Silambam performance, the practitioner demonstrates a move that involves rotating the staff around their body before executing a strike. What is the main objective of this technique?</t>
  </si>
  <si>
    <t>In a Silambam duel, the practitioner encounters an opponent using rapid lateral strikes. What is the best technique to counter this approach?</t>
  </si>
  <si>
    <t>A practitioner is facing an opponent who frequently uses low strikes. What technique should be used to effectively counter this style?</t>
  </si>
  <si>
    <t>During a Silambam duel, the opponent uses a high guard stance. What technique should the practitioner employ to effectively break through this defense?</t>
  </si>
  <si>
    <t>A practitioner uses the 'Kai Veechu' technique during a Silambam demonstration. What is the focus of this move?</t>
  </si>
  <si>
    <t>In a Silambam match, the practitioner faces an opponent who uses rapid lateral strikes. What should be the practitioner’s primary focus to counter this approach?</t>
  </si>
  <si>
    <t>In a Silambam performance, the practitioner uses the 'Uppu Veechu' technique to respond to an opponent’s attack. What is the focus of this move?</t>
  </si>
  <si>
    <t>During a Silambam duel, the opponent uses a high guard stance. What technique should be used to break through this defense?</t>
  </si>
  <si>
    <t>In a Silambam demonstration, the practitioner uses a technique involving alternating high and low strikes while advancing towards the opponent. What is the primary goal of this maneuver?</t>
  </si>
  <si>
    <t>A practitioner encounters an opponent who uses quick, erratic movements. What strategy should the practitioner adopt to effectively counter this approach?</t>
  </si>
  <si>
    <t>During a Silambam duel, the practitioner encounters an opponent who uses a high guard stance. How should the practitioner approach this type of defense?</t>
  </si>
  <si>
    <t>A practitioner demonstrates a technique involving a spinning attack aimed at the opponent’s legs. What is the primary goal of this move?</t>
  </si>
  <si>
    <t>A) To confuse the opponent, B) To increase power, C) To create distance, D) To knock the opponent off balance</t>
  </si>
  <si>
    <t>In a Silambam performance, the practitioner uses a move that involves rotating the staff around their body before executing a strike. What is the primary objective of this technique?</t>
  </si>
  <si>
    <t>During a Silambam match, the opponent uses rapid lateral strikes. What is the best technique for the practitioner to counter this style?</t>
  </si>
  <si>
    <t>A practitioner is facing an opponent who frequently uses low strikes. What technique should be employed to effectively counter this style?</t>
  </si>
  <si>
    <t>In a Silambam duel, the opponent uses a high guard stance. What technique should the practitioner use to break through this defense?</t>
  </si>
  <si>
    <t>A practitioner demonstrates a move that involves spinning the staff rapidly before delivering a high strike. What is the primary goal of this technique?</t>
  </si>
  <si>
    <t>During a Silambam match, the opponent frequently uses overhead strikes. What technique should be employed to counter these attacks?</t>
  </si>
  <si>
    <t>A practitioner faces an opponent who utilizes a dual weapon style. What strategy should be used to gain the upper hand in the match?</t>
  </si>
  <si>
    <t>During a Silambam performance, the practitioner demonstrates a technique that includes a high feint followed by a low strike. What is the purpose of this maneuver?</t>
  </si>
  <si>
    <t>An opponent uses a series of rapid thrusts during a Silambam duel. How should the practitioner respond to these attacks?</t>
  </si>
  <si>
    <t>During a Silambam match, the opponent frequently uses diagonal strikes. What technique should the practitioner employ to counter this approach?</t>
  </si>
  <si>
    <t>A practitioner encounters an opponent who utilizes a circular staff movement. What is the best strategy to deal with this type of attack?</t>
  </si>
  <si>
    <t>A) Direct strikes, B) Evasion and counter, C) Block and strike, D) Spin and evade</t>
  </si>
  <si>
    <t>B) Evasion and counter</t>
  </si>
  <si>
    <t>In a Silambam duel, the opponent employs a high spinning strike. What is the most effective counter technique?</t>
  </si>
  <si>
    <t>A) Duck and strike, B) Block and counter, C) Side step and sweep, D) Spin and evade</t>
  </si>
  <si>
    <t>B) Block and counter</t>
  </si>
  <si>
    <t>During a Silambam demonstration, the practitioner uses a technique that involves a quick thrust followed by a sweeping motion. What is the primary purpose of this maneuver?</t>
  </si>
  <si>
    <t>An opponent frequently uses low sweeping strikes. How should the practitioner effectively counter this style?</t>
  </si>
  <si>
    <t>A practitioner faces an opponent who uses rapid thrusts. What technique should be employed to effectively counter this attack?</t>
  </si>
  <si>
    <t>In a Silambam duel, the opponent uses a series of rapid horizontal strikes. What is the best response to this type of attack?</t>
  </si>
  <si>
    <t>A practitioner is demonstrating a technique that involves alternating high and low strikes while advancing. What is the primary goal of this technique?</t>
  </si>
  <si>
    <t>A) To overwhelm the opponent, B) To create a defensive barrier, C) To confuse the opponent, D) To showcase skill</t>
  </si>
  <si>
    <t>During a Silambam match, the opponent frequently employs defensive maneuvers. What technique should be used to break through this defense?</t>
  </si>
  <si>
    <t>A) High strikes, B) Feints and thrusts, C) Overhead strikes, D) Circular movements</t>
  </si>
  <si>
    <t>A practitioner encounters an opponent who uses rapid vertical strikes. How should the practitioner counter this approach?</t>
  </si>
  <si>
    <t>In a Silambam duel, the practitioner uses a spinning technique to counter an opponent’s attack. What is the main objective of this maneuver?</t>
  </si>
  <si>
    <t>A) To confuse the opponent, B) To increase power, C) To create distance, D) To showcase skill</t>
  </si>
  <si>
    <t>During a Silambam performance, the practitioner demonstrates a technique involving rapid low and high strikes. What is the intended effect of this maneuver?</t>
  </si>
  <si>
    <t>A) To overwhelm the opponent, B) To increase power, C) To create a defensive barrier, D) To confuse the opponent</t>
  </si>
  <si>
    <t>An opponent uses a high guard stance during a Silambam match. How should the practitioner approach this defense?</t>
  </si>
  <si>
    <t>A practitioner demonstrates a technique that involves rotating the staff around their body before executing a strike. What is the primary purpose of this move?</t>
  </si>
  <si>
    <t>In a Silambam match, the opponent uses a series of rapid thrusts. What technique should the practitioner use to effectively counter this attack?</t>
  </si>
  <si>
    <t>A practitioner faces an opponent who uses quick lateral strikes. What should be the practitioner’s primary focus to counter this approach?</t>
  </si>
  <si>
    <t>During a Silambam duel, the opponent frequently uses high strikes. What technique should be employed to counter these attacks effectively?</t>
  </si>
  <si>
    <t>A) Block and counter, B) Duck and strike, C) Side step and sweep, D) Spin and evade</t>
  </si>
  <si>
    <t>A practitioner is demonstrating a technique involving alternating high and low strikes. What is the primary goal of this maneuver?</t>
  </si>
  <si>
    <t>In a Silambam duel, the opponent uses a low sweeping strike. How should the practitioner respond while maintaining balance?</t>
  </si>
  <si>
    <t>A) Block low and strike, B) Jump and counter, C) Side step and sweep, D) Spin and evade</t>
  </si>
  <si>
    <t>A practitioner uses a technique that involves a high feint followed by a low strike. What is the intended effect of this maneuver?</t>
  </si>
  <si>
    <t>During a Silambam performance, the practitioner uses a spinning strike aimed at the opponent’s legs. What is the primary goal of this move?</t>
  </si>
  <si>
    <t>A practitioner is demonstrating the 'Kai Veechu' technique. What is the focus of this maneuver?</t>
  </si>
  <si>
    <t>In a Silambam duel, the opponent uses rapid lateral strikes. What is the best technique for the practitioner to counter this style?</t>
  </si>
  <si>
    <t>During a Silambam demonstration, the practitioner uses a spinning technique to respond to an opponent’s attack. What is the primary objective of this maneuver?</t>
  </si>
  <si>
    <t>A practitioner faces an opponent who frequently uses low strikes. What technique should be employed to effectively counter this style?</t>
  </si>
  <si>
    <t>During a Silambam duel, the opponent frequently uses a high guard stance. How should the practitioner approach this defense?</t>
  </si>
  <si>
    <t>A practitioner uses a technique involving a spinning strike aimed at the opponent’s legs. What is the primary goal of this maneuver?</t>
  </si>
  <si>
    <t>In a Silambam duel, the opponent uses a series of rapid strikes. What technique should be used to effectively counter this approach?</t>
  </si>
  <si>
    <t>During a Silambam match, the practitioner encounters an opponent who utilizes a dual weapon style. What strategy should be employed to gain an advantage?</t>
  </si>
  <si>
    <t>A practitioner demonstrates a technique that involves alternating high and low strikes while advancing. What is the primary objective of this maneuver?</t>
  </si>
  <si>
    <t>In a Silambam performance, the practitioner uses a technique involving a high feint followed by a low strike. What is the intended effect of this move?</t>
  </si>
  <si>
    <t>During a Silambam match, the opponent uses rapid low strikes. What technique should be used to effectively counter this style?</t>
  </si>
  <si>
    <t>A practitioner is demonstrating a technique involving spinning the staff rapidly before delivering a strike. What is the primary goal of this maneuver?</t>
  </si>
  <si>
    <t>During a Silambam match, the opponent uses rapid diagonal strikes. How should the practitioner respond to this approach?</t>
  </si>
  <si>
    <t>A practitioner faces an opponent who employs quick lateral movements. What strategy should the practitioner adopt to counter this style?</t>
  </si>
  <si>
    <t>In a Silambam duel, the opponent uses rapid vertical strikes. What technique should the practitioner use to effectively counter this attack?</t>
  </si>
  <si>
    <t>During a Silambam performance, the practitioner uses a technique that includes alternating high and low strikes while advancing. What is the primary goal of this maneuver?</t>
  </si>
  <si>
    <t>A) To overwhelm the opponent, B) To create distance, C) To confuse the opponent, D) To showcase skill</t>
  </si>
  <si>
    <t>In a Silambam match, the practitioner encounters an opponent who frequently uses high strikes. How should the practitioner approach this type of defense?</t>
  </si>
  <si>
    <t>During a Silambam duel, the opponent uses rapid horizontal strikes. What is the most effective counter technique?</t>
  </si>
  <si>
    <t>A practitioner encounters an opponent who utilizes a dual weapon style. What strategy should be used to gain the upper hand in the match?</t>
  </si>
  <si>
    <t>During a Silambam match, the practitioner uses a technique that involves a high feint followed by a low strike. What is the intended effect of this maneuver?</t>
  </si>
  <si>
    <t>An opponent uses a series of rapid thrusts during a Silambam duel. How should the practitioner respond while staying on the offensive?</t>
  </si>
  <si>
    <t>A practitioner is demonstrating a technique that involves spinning the staff before delivering a strike. What is the primary goal of this maneuver?</t>
  </si>
  <si>
    <t>During a Silambam duel, the opponent frequently uses a high guard stance. What technique should the practitioner employ to break through this defense?</t>
  </si>
  <si>
    <t>A practitioner encounters an opponent who uses rapid vertical strikes. What technique should be used to counter these attacks?</t>
  </si>
  <si>
    <t>In a Silambam performance, the practitioner uses a technique involving alternating high and low strikes while advancing. What is the intended effect of this maneuver?</t>
  </si>
  <si>
    <t>During a Silambam match, the opponent uses a series of low strikes. How should the practitioner effectively counter this approach?</t>
  </si>
  <si>
    <t>A practitioner faces an opponent who employs rapid lateral movements. What strategy should be used to counter this style effectively?</t>
  </si>
  <si>
    <t>In a Silambam duel, the opponent uses a high guard stance. What technique should be used to break through this defense?</t>
  </si>
  <si>
    <t>During a Silambam performance, the practitioner uses a spinning attack aimed at the opponent’s legs. What is the primary goal of this move?</t>
  </si>
  <si>
    <t>A practitioner is demonstrating a technique that includes alternating high and low strikes while advancing. What is the primary objective of this maneuver?</t>
  </si>
  <si>
    <t>In a Silambam duel, the opponent frequently uses low sweeping strikes. How should the practitioner effectively counter this approach?</t>
  </si>
  <si>
    <t>A practitioner demonstrates a technique involving a high feint followed by a low strike. What is the intended effect of this maneuver?</t>
  </si>
  <si>
    <t>During a Silambam match, the opponent uses rapid diagonal strikes. How should the practitioner respond effectively?</t>
  </si>
  <si>
    <t>In a Silambam duel, the practitioner uses a spinning strike aimed at the opponent’s legs. What is the primary goal of this maneuver?</t>
  </si>
  <si>
    <t>A practitioner encounters an opponent who frequently uses high strikes. What is the best technique to counter this approach?</t>
  </si>
  <si>
    <t>During a Silambam performance, the practitioner uses a technique that involves a high feint followed by a low strike. What is the primary objective of this maneuver?</t>
  </si>
  <si>
    <t>In a Silambam match, the opponent uses rapid lateral strikes. How should the practitioner counter this approach while maintaining balance?</t>
  </si>
  <si>
    <t>A practitioner faces an opponent who employs quick lateral movements. What strategy should be adopted to counter this style?</t>
  </si>
  <si>
    <t>During a Silambam match, the practitioner uses a spinning technique to respond to an opponent’s attack. What is the primary goal of this maneuver?</t>
  </si>
  <si>
    <t>A practitioner encounters an opponent who utilizes rapid diagonal strikes. How should the practitioner effectively counter this style?</t>
  </si>
  <si>
    <t>In a Silambam performance, the practitioner uses a technique involving spinning the staff rapidly before delivering a strike. What is the intended effect of this move?</t>
  </si>
  <si>
    <t>During a Silambam match, the opponent uses a high guard stance. How should the practitioner effectively counter this defense?</t>
  </si>
  <si>
    <t>A practitioner demonstrates a technique that includes alternating high and low strikes while advancing. What is the primary goal of this maneuver?</t>
  </si>
  <si>
    <t>In a Silambam duel, the opponent frequently uses low sweeping strikes. How should the practitioner effectively counter this style?</t>
  </si>
  <si>
    <t>During a Silambam match, the practitioner encounters an opponent who utilizes rapid thrusts. How should the practitioner respond to these attacks?</t>
  </si>
  <si>
    <t>A practitioner uses a spinning technique in response to an opponent’s attack. What is the primary purpose of this maneuver?</t>
  </si>
  <si>
    <t>During a Silambam duel, the opponent uses a series of rapid horizontal strikes. What is the most effective counter technique?</t>
  </si>
  <si>
    <t>A practitioner encounters an opponent who uses rapid vertical strikes. What technique should be used to effectively counter this attack?</t>
  </si>
  <si>
    <t>In a Silambam match, the practitioner uses a technique that involves a high feint followed by a low strike. What is the intended effect of this maneuver?</t>
  </si>
  <si>
    <t>During a Silambam performance, the practitioner uses a spinning attack aimed at the opponent’s legs. What is the primary goal of this maneuver?</t>
  </si>
  <si>
    <t>A practitioner demonstrates a technique involving alternating high and low strikes while advancing. What is the primary objective of this maneuver?</t>
  </si>
  <si>
    <t>In a Silambam duel, the opponent frequently uses rapid low strikes. How should the practitioner effectively counter this style?</t>
  </si>
  <si>
    <t>During a Silambam match, the practitioner encounters an opponent who utilizes rapid thrusts. How should the practitioner respond while staying on the offensive?</t>
  </si>
  <si>
    <t>A practitioner faces an opponent who employs quick lateral movements. What strategy should be used to counter this style effectively?</t>
  </si>
  <si>
    <t>During a Silambam performance, the practitioner uses a spinning technique to respond to an opponent’s attack. What is the primary goal of this maneuver?</t>
  </si>
  <si>
    <t>A practitioner demonstrates a technique that includes alternating high and low strikes while advancing. What is the primary objective of this maneuver?</t>
  </si>
  <si>
    <t>In a Silambam match, the opponent uses rapid diagonal strikes. How should the practitioner counter this approach effectively?</t>
  </si>
  <si>
    <t>A practitioner faces an opponent who frequently uses high strikes. What is the best technique to counter this approach?</t>
  </si>
  <si>
    <t>During a Silambam duel, an opponent uses continuous circular strikes. How should the practitioner respond?</t>
  </si>
  <si>
    <t>A) Counter with straight strikes, B) Use diagonal strikes, C) Perform evasive maneuvers, D) Block and wait</t>
  </si>
  <si>
    <t>A) Counter with straight strikes</t>
  </si>
  <si>
    <t>A practitioner faces an opponent who is constantly switching between offensive and defensive stances. What is the best strategy to deal with this opponent?</t>
  </si>
  <si>
    <t>A) Predict the switches and attack, B) Maintain a defensive stance, C) Use continuous strikes, D) Focus on footwork</t>
  </si>
  <si>
    <t>A) Predict the switches and attack</t>
  </si>
  <si>
    <t>In a Silambam match, the practitioner encounters an opponent who frequently performs low sweeps. What is the most effective counter technique?</t>
  </si>
  <si>
    <t>A) High guard and counter, B) Low guard and counter, C) Evasive maneuvers, D) Spinning strikes</t>
  </si>
  <si>
    <t>A) High guard and counter</t>
  </si>
  <si>
    <t>During a Silambam performance, the practitioner uses a technique involving quick alternating strikes. What is the primary purpose of this maneuver?</t>
  </si>
  <si>
    <t>A) To confuse the opponent, B) To increase power, C) To maintain rhythm, D) To showcase skill</t>
  </si>
  <si>
    <t>C) To maintain rhythm</t>
  </si>
  <si>
    <t>A practitioner encounters an opponent who uses rapid thrusts. What is the best way to defend against this style while maintaining control?</t>
  </si>
  <si>
    <t>A) Use defensive blocks and counters, B) Evasion and counter, C) Rapid strikes and pressure, D) Defensive maneuvers</t>
  </si>
  <si>
    <t>A) Use defensive blocks and counters</t>
  </si>
  <si>
    <t>In a Silambam duel, the opponent consistently employs high strikes. How should the practitioner effectively counter this approach?</t>
  </si>
  <si>
    <t>A) Low strikes, B) Circular movements, C) High guard and counter, D) Feints and high strikes</t>
  </si>
  <si>
    <t>A) Low strikes</t>
  </si>
  <si>
    <t>During a Silambam match, the practitioner faces an opponent who uses alternating high and low strikes. What is the best way to handle this style?</t>
  </si>
  <si>
    <t>A) Block and counter, B) Evasion and counter, C) Side step and strike, D) High guard and defensive maneuvers</t>
  </si>
  <si>
    <t>A practitioner uses a spinning technique to evade an opponent’s attack. What is the primary goal of this maneuver?</t>
  </si>
  <si>
    <t>A) To create distance, B) To confuse the opponent, C) To gain a better angle, D) To showcase skill</t>
  </si>
  <si>
    <t>In a Silambam duel, the opponent frequently employs quick lateral movements. How should the practitioner adjust their strategy to counter this approach?</t>
  </si>
  <si>
    <t>A) Focus on footwork and distance, B) Increase speed, C) Use defensive blocks, D) Execute rapid strikes</t>
  </si>
  <si>
    <t>A) Focus on footwork and distance</t>
  </si>
  <si>
    <t>During a Silambam performance, the practitioner uses a high feint followed by a low strike. What is the intended effect of this maneuver?</t>
  </si>
  <si>
    <t>A practitioner encounters an opponent who frequently uses rapid diagonal strikes. What is the best counter technique?</t>
  </si>
  <si>
    <t>In a Silambam match, the practitioner uses a spinning strike aimed at the opponent’s legs. What is the primary goal of this maneuver?</t>
  </si>
  <si>
    <t>During a Silambam duel, the opponent uses a high guard stance. How should the practitioner effectively counter this defense?</t>
  </si>
  <si>
    <t>A practitioner demonstrates a technique involving quick spinning strikes. What is the primary objective of this maneuver?</t>
  </si>
  <si>
    <t>In a Silambam match, the opponent uses rapid vertical strikes. What technique should be used to effectively counter this attack?</t>
  </si>
  <si>
    <t>During a Silambam performance, the practitioner uses a technique that involves alternating high and low strikes while advancing. What is the primary goal of this maneuver?</t>
  </si>
  <si>
    <t>A practitioner faces an opponent who uses rapid low strikes. What is the best technique to counter this approach?</t>
  </si>
  <si>
    <t>In a Silambam duel, the opponent frequently uses quick lateral strikes. How should the practitioner effectively counter this style?</t>
  </si>
  <si>
    <t>During a Silambam performance, the practitioner uses a technique involving a high feint followed by a low strike. What is the intended effect of this maneuver?</t>
  </si>
  <si>
    <t>In a Silambam duel, the opponent consistently employs rapid thrusts. How should the practitioner maintain control of the match?</t>
  </si>
  <si>
    <t>During a Silambam performance, the practitioner uses a spinning strike aimed at the opponent’s legs. What is the primary goal of this maneuver?</t>
  </si>
  <si>
    <t>A practitioner encounters an opponent who frequently performs low sweeps. What is the most effective counter technique?</t>
  </si>
  <si>
    <t>In a Silambam match, the opponent frequently uses quick lateral movements. What should the practitioner focus on to counter this approach?</t>
  </si>
  <si>
    <t>A) Footwork and distance, B) Speed and power, C) Defensive blocks, D) Rapid strikes</t>
  </si>
  <si>
    <t>A) Footwork and distance</t>
  </si>
  <si>
    <t>A practitioner uses a technique involving quick spinning strikes. What is the primary objective of this maneuver?</t>
  </si>
  <si>
    <t>During a Silambam duel, the opponent uses rapid vertical strikes. What technique should be used to effectively counter this attack?</t>
  </si>
  <si>
    <t>A practitioner uses a high feint followed by a low strike. What is the primary goal of this technique?</t>
  </si>
  <si>
    <t>In a Silambam performance, the practitioner uses alternating high and low strikes while advancing. What is the intended effect of this maneuver?</t>
  </si>
  <si>
    <t>A practitioner faces an opponent who uses rapid diagonal strikes. How should the practitioner respond to counter this approach?</t>
  </si>
  <si>
    <t>During a Silambam duel, the opponent frequently performs high strikes. What is the best technique to counter this style?</t>
  </si>
  <si>
    <t>In a Silambam match, the practitioner encounters an opponent who utilizes rapid thrusts. How should the practitioner maintain control while staying on the offensive?</t>
  </si>
  <si>
    <t>A) Use defensive blocks and counters, B) Leap and thrust, C) Side step and strike, D) Spin and evade</t>
  </si>
  <si>
    <t>In a Silambam match, the opponent frequently uses rapid diagonal strikes. What technique should the practitioner use to effectively counter this approach?</t>
  </si>
  <si>
    <t>During a Silambam duel, the opponent consistently employs rapid thrusts. How should the practitioner maintain control of the match?</t>
  </si>
  <si>
    <t>A practitioner uses a spinning strike aimed at the opponent’s legs. What is the primary goal of this maneuver?</t>
  </si>
  <si>
    <t>In a Silambam match, the opponent frequently performs low sweeps. What is the most effective counter technique?</t>
  </si>
  <si>
    <t>During a Silambam duel, the opponent uses quick lateral movements. How should the practitioner effectively counter this style?</t>
  </si>
  <si>
    <t>In a Silambam match, the opponent frequently uses rapid diagonal strikes. What technique should be used to effectively counter this approach?</t>
  </si>
  <si>
    <t>During a Silambam duel, the opponent consistently performs high strikes. What is the best technique to counter this approach?</t>
  </si>
  <si>
    <t>In a Silambam match, the practitioner encounters an opponent who uses rapid thrusts. How should the practitioner maintain control while staying on the offensive?</t>
  </si>
  <si>
    <t>In a Malkhamb competition, a performer executes a series of six poses. Each pose is held for 15 seconds, and there are a total of 3 judges. Each judge scores the performance on a scale from 1 to 10, with the highest and lowest scores being dropped. If the scores given by the judges are 8, 9, and 7, what is the average score for the performance?</t>
  </si>
  <si>
    <t>A) 8.0, B) 8.5, C) 9.0, D) 8.3</t>
  </si>
  <si>
    <t>D) 8.3</t>
  </si>
  <si>
    <t>A Malkhamb event has 4 rounds, with each round consisting of 5 performances. If each performer has an equal chance of scoring in any given round, and a performer is scheduled to perform in 3 of the 4 rounds, what is the probability that this performer will be in the final round?</t>
  </si>
  <si>
    <t>A) 1/4, B) 3/4, C) 1/3, D) 1/2</t>
  </si>
  <si>
    <t>A) 1/4</t>
  </si>
  <si>
    <t>During a Malkhamb competition, a performer completes a routine with 8 different poses. If the routine needs to include a specific pose in exactly 3 different positions, how many different ways can the performer arrange the remaining poses in the routine?</t>
  </si>
  <si>
    <t>A) 3360, B) 5040, C) 720, D) 1440</t>
  </si>
  <si>
    <t>D) 1440</t>
  </si>
  <si>
    <t>In a team Malkhamb event, a team consists of 5 performers, and each performer must execute exactly 2 poses. If each pose can be performed in 3 different ways, how many total combinations of poses can the team perform?</t>
  </si>
  <si>
    <t>A) 24300, B) 7290, C) 1080, D) 2700</t>
  </si>
  <si>
    <t>B) 7290</t>
  </si>
  <si>
    <t>A Malkhamb performer is evaluated based on their execution of 4 different routines. If the score for each routine is given by multiplying the number of successful poses by 2, and the performer successfully completes 7 poses out of 10 in each routine, what is the total score for the performer?</t>
  </si>
  <si>
    <t>A) 56, B) 84, C) 70, D) 72</t>
  </si>
  <si>
    <t>C) 70</t>
  </si>
  <si>
    <t>In a Malkhamb tournament, there are 6 competitors, and each competitor performs 3 routines. If the total score for each routine is a combination of 4 judges' scores, and the maximum possible score for each routine is 40, what is the maximum possible total score for a competitor?</t>
  </si>
  <si>
    <t>A) 240, B) 360, C) 480, D) 600</t>
  </si>
  <si>
    <t>B) 360</t>
  </si>
  <si>
    <t>During a Malkhamb performance, a competitor executes 10 poses, each pose having a difficulty rating from 1 to 5. If the average difficulty rating of the poses is 3.5, what is the total difficulty rating score for the performance?</t>
  </si>
  <si>
    <t>A) 35, B) 30, C) 40, D) 25</t>
  </si>
  <si>
    <t>A) 35</t>
  </si>
  <si>
    <t>In a Malkhamb performance, a performer must complete a routine in 90 seconds. If each pose takes an average of 8 seconds and the routine includes 8 poses, how much time is left after completing all poses?</t>
  </si>
  <si>
    <t>A) 2 seconds, B) 10 seconds, C) 6 seconds, D) 12 seconds</t>
  </si>
  <si>
    <t>B) 10 seconds</t>
  </si>
  <si>
    <t>A Malkhamb event consists of 3 rounds, with each round containing 4 performances. If a performer is ranked based on the average of their scores from all rounds, and they scored 18, 20, and 22 points in the three rounds respectively, what is their average score?</t>
  </si>
  <si>
    <t>A) 19.5, B) 20.0, C) 21.0, D) 20.5</t>
  </si>
  <si>
    <t>D) 20.5</t>
  </si>
  <si>
    <t>During a Malkhamb competition, a performer executes a complex pose that has a success rate of 70%. If the performer attempts this pose 10 times, how many successful attempts can be expected on average?</t>
  </si>
  <si>
    <t>A) 6, B) 7, C) 8, D) 5</t>
  </si>
  <si>
    <t>In a Malkhamb tournament, the top 3 performers are awarded medals. If there are 12 competitors and the probability of a specific performer winning a medal is 1/4, what is the probability that this performer will not win a medal?</t>
  </si>
  <si>
    <t>A) 1/4, B) 3/4, C) 2/3, D) 1/2</t>
  </si>
  <si>
    <t>B) 3/4</t>
  </si>
  <si>
    <t>In a Malkhamb competition, a performer executes 12 poses in a routine. If each pose must be held for 20 seconds and there is a 10-second transition between each pose, how long is the entire routine?</t>
  </si>
  <si>
    <t>A) 290 seconds, B) 340 seconds, C) 260 seconds, D) 320 seconds</t>
  </si>
  <si>
    <t>A) 290 seconds</t>
  </si>
  <si>
    <t>During a Malkhamb event, a competitor performs 5 routines. Each routine is judged by 4 judges, each giving a score between 1 and 10. If the highest and lowest scores are dropped, what is the maximum possible score a routine can receive?</t>
  </si>
  <si>
    <t>A) 40, B) 30, C) 35, D) 45</t>
  </si>
  <si>
    <t>A) 40</t>
  </si>
  <si>
    <t>A Malkhamb performer is evaluated on 6 different poses, each pose having a difficulty rating from 1 to 5. If the average difficulty rating is 4, what is the total difficulty score for the 6 poses?</t>
  </si>
  <si>
    <t>A) 24, B) 30, C) 28, D) 22</t>
  </si>
  <si>
    <t>C) 28</t>
  </si>
  <si>
    <t>In a team Malkhamb competition with 8 teams, if each team performs 3 routines, and the top 3 teams are awarded medals, what fraction of teams are awarded medals?</t>
  </si>
  <si>
    <t>A) 1/4, B) 1/3, C) 1/2, D) 1/8</t>
  </si>
  <si>
    <t>During a Malkhamb performance, a performer executes 15 different poses. If each pose has a time limit of 30 seconds and the performer utilizes 5 seconds per pose for adjustment, how much time is used for adjustments alone?</t>
  </si>
  <si>
    <t>A) 50 seconds, B) 75 seconds, C) 60 seconds, D) 100 seconds</t>
  </si>
  <si>
    <t>B) 75 seconds</t>
  </si>
  <si>
    <t>In a Malkhamb competition, a performer needs to complete 3 routines. If each routine is judged out of a maximum of 50 points and the performer scores 45, 48, and 43 respectively, what is their total score?</t>
  </si>
  <si>
    <t>A) 136, B) 140, C) 135, D) 150</t>
  </si>
  <si>
    <t>A) 136</t>
  </si>
  <si>
    <t>During a Malkhamb event, each competitor performs a series of 10 poses. If each pose takes an average of 15 seconds, and there is a 5-second pause between poses, what is the total duration of the performance?</t>
  </si>
  <si>
    <t>A) 200 seconds, B) 180 seconds, C) 150 seconds, D) 170 seconds</t>
  </si>
  <si>
    <t>D) 170 seconds</t>
  </si>
  <si>
    <t>A Malkhamb performance involves 5 poses, each with a success rate of 80%. If a performer attempts each pose twice, how many successful attempts can be expected on average?</t>
  </si>
  <si>
    <t>A) 8, B) 7, C) 9, D) 6</t>
  </si>
  <si>
    <t>A) 8</t>
  </si>
  <si>
    <t>In a Malkhamb competition, a performer has 20 minutes to practice before their routine. If each practice session is 4 minutes long and there is a 1-minute break between sessions, how many practice sessions can the performer complete?</t>
  </si>
  <si>
    <t>A) 4, B) 5, C) 3, D) 6</t>
  </si>
  <si>
    <t>During a Malkhamb event, a performer is scored based on 3 criteria: difficulty, execution, and presentation. Each criterion is rated from 1 to 10. If the performer scores 9 in difficulty, 8 in execution, and 7 in presentation, what is their average score?</t>
  </si>
  <si>
    <t>A) 8, B) 8.5, C) 7.5, D) 7</t>
  </si>
  <si>
    <t>A Malkhamb performer has 4 different routines to perform. If each routine is scored out of a maximum of 25 points, and the performer scores 20, 22, 18, and 23 points in the 4 routines, what is their average score per routine?</t>
  </si>
  <si>
    <t>A) 20.75, B) 21.0, C) 21.5, D) 22.0</t>
  </si>
  <si>
    <t>A) 20.75</t>
  </si>
  <si>
    <t>During a Malkhamb competition, if a performer successfully completes 7 poses out of 10 attempts, what is their success rate percentage?</t>
  </si>
  <si>
    <t>A) 60%, B) 70%, C) 75%, D) 80%</t>
  </si>
  <si>
    <t>D) 70%</t>
  </si>
  <si>
    <t>In a Malkhamb event, a performer executes 6 routines, each routine consisting of 5 poses. If each pose is held for 25 seconds, what is the total time spent on poses for one routine?</t>
  </si>
  <si>
    <t>A) 125 seconds, B) 150 seconds, C) 100 seconds, D) 200 seconds</t>
  </si>
  <si>
    <t>A) 125 seconds</t>
  </si>
  <si>
    <t>A Malkhamb competition has 10 judges. If each judge scores a performance out of 10 points and the highest and lowest scores are dropped, how many judges' scores are used to calculate the final score?</t>
  </si>
  <si>
    <t>A) 8, B) 9, C) 7, D) 10</t>
  </si>
  <si>
    <t>In a Malkhamb event, a performer is judged based on 5 different poses. If each pose is rated on a scale from 1 to 10 and the maximum possible total score for the 5 poses is 50, what is the highest possible average score per pose?</t>
  </si>
  <si>
    <t>A) 10, B) 9, C) 8, D) 7</t>
  </si>
  <si>
    <t>A) 10</t>
  </si>
  <si>
    <t>During a Malkhamb routine, a performer includes 4 poses. If each pose must be held for at least 15 seconds and the total routine time is 1 minute, how many seconds are allocated for transitions between poses?</t>
  </si>
  <si>
    <t>A) 15 seconds, B) 20 seconds, C) 10 seconds, D) 25 seconds</t>
  </si>
  <si>
    <t>A) 15 seconds</t>
  </si>
  <si>
    <t>A Malkhamb performer competes in 5 events. Each event is judged out of a maximum of 30 points. If the performer scores 28, 25, 30, 27, and 29 points, what is their total score?</t>
  </si>
  <si>
    <t>A) 139, B) 130, C) 145, D) 140</t>
  </si>
  <si>
    <t>D) 140</t>
  </si>
  <si>
    <t>In a Malkhamb competition, a performer must execute 8 poses, and each pose has a success probability of 85%. If the performer attempts each pose 5 times, how many successful poses are expected on average?</t>
  </si>
  <si>
    <t>A) 34, B) 30, C) 32, D) 28</t>
  </si>
  <si>
    <t>C) 32</t>
  </si>
  <si>
    <t>During a Malkhamb routine, a performer is scored on a scale of 1 to 20 for each of 3 criteria: difficulty, execution, and presentation. If the performer scores 15 in difficulty, 18 in execution, and 17 in presentation, what is their total score?</t>
  </si>
  <si>
    <t>A) 50, B) 48, C) 49, D) 45</t>
  </si>
  <si>
    <t>B) 50</t>
  </si>
  <si>
    <t>A Malkhamb performer has 6 poses to complete in a routine, and each pose is held for 20 seconds. If there are 3 pauses of 5 seconds each, what is the total duration of the routine?</t>
  </si>
  <si>
    <t>A) 140 seconds, B) 120 seconds, C) 130 seconds, D) 110 seconds</t>
  </si>
  <si>
    <t>A) 140 seconds</t>
  </si>
  <si>
    <t>In a Malkhamb event, a performer is given a score out of 50 points. If the performer receives 40, 42, and 38 points in three different routines, what is the average score?</t>
  </si>
  <si>
    <t>A) 40, B) 41, C) 42, D) 39</t>
  </si>
  <si>
    <t>B) 40</t>
  </si>
  <si>
    <t>During a Malkhamb performance, a performer executes a routine with 7 poses. If each pose takes an average of 12 seconds and there is a 3-second transition between poses, what is the total time for the routine?</t>
  </si>
  <si>
    <t>A) 90 seconds, B) 100 seconds, C) 84 seconds, D) 96 seconds</t>
  </si>
  <si>
    <t>D) 96 seconds</t>
  </si>
  <si>
    <t>In a Malkhamb competition, a performer attempts 12 poses. If each pose has a success rate of 75%, what is the expected number of successful poses?</t>
  </si>
  <si>
    <t>A) 9, B) 10, C) 8, D) 11</t>
  </si>
  <si>
    <t>A) 9</t>
  </si>
  <si>
    <t>A Malkhamb routine involves 9 poses, each lasting 10 seconds, with a 5-second break between each pose. What is the total time required to complete the routine?</t>
  </si>
  <si>
    <t>A) 95 seconds, B) 90 seconds, C) 85 seconds, D) 100 seconds</t>
  </si>
  <si>
    <t>A) 95 seconds</t>
  </si>
  <si>
    <t>In a Malkhamb event, a performer scores 6, 7, 8, 9, and 10 in difficulty, execution, and presentation. If the lowest and highest scores are dropped, what is the average of the remaining scores?</t>
  </si>
  <si>
    <t>A) 7.5, B) 8, C) 8.5, D) 9</t>
  </si>
  <si>
    <t>B) 8</t>
  </si>
  <si>
    <t>A Malkhamb performer executes a series of 4 routines. If each routine is scored out of 40 points and the performer scores 35, 38, 33, and 40 respectively, what is their average score per routine?</t>
  </si>
  <si>
    <t>A) 36.5, B) 37, C) 35.5, D) 34</t>
  </si>
  <si>
    <t>A) 36.5</t>
  </si>
  <si>
    <t>During a Malkhamb competition, a performer successfully completes 5 out of 8 attempts. What is their success rate in percentage?</t>
  </si>
  <si>
    <t>A) 62.5%, B) 65%, C) 70%, D) 60%</t>
  </si>
  <si>
    <t>A) 62.5%</t>
  </si>
  <si>
    <t>In a Malkhamb event, there are 5 competitors and each competitor performs 4 routines. If each routine is scored out of 30 points, and the top 2 scores are averaged, what is the highest possible average score a competitor can receive?</t>
  </si>
  <si>
    <t>A) 30, B) 25, C) 28, D) 20</t>
  </si>
  <si>
    <t>A) 30</t>
  </si>
  <si>
    <t>A Malkhamb performer has a routine with 5 poses, each taking 15 seconds. If the routine allows for 10 seconds of rest between poses, what is the total time allocated for the routine?</t>
  </si>
  <si>
    <t>A) 85 seconds, B) 75 seconds, C) 70 seconds, D) 80 seconds</t>
  </si>
  <si>
    <t>A) 85 seconds</t>
  </si>
  <si>
    <t>In a Malkhamb competition, a performer has a chance to perform 4 different routines. If each routine has a maximum score of 25 points and the performer scores 22, 20, 24, and 23, what is their total score?</t>
  </si>
  <si>
    <t>A) 89, B) 90, C) 91, D) 92</t>
  </si>
  <si>
    <t>A) 89</t>
  </si>
  <si>
    <t>During a Malkhamb event, a performer scores 7, 8, 9, and 10 in difficulty, execution, and presentation. What is the maximum possible score they can achieve?</t>
  </si>
  <si>
    <t>A) 30, B) 25, C) 28, D) 24</t>
  </si>
  <si>
    <t>A Malkhamb performer executes 6 different poses. If each pose has an average success probability of 90% and the performer attempts each pose twice, how many successful poses are expected?</t>
  </si>
  <si>
    <t>A) 11, B) 12, C) 10, D) 9</t>
  </si>
  <si>
    <t>A) 11</t>
  </si>
  <si>
    <t>In a Malkhamb routine, a performer must complete 4 poses, each held for 25 seconds, with a 10-second transition between poses. What is the total time for the routine?</t>
  </si>
  <si>
    <t>A) 110 seconds, B) 120 seconds, C) 100 seconds, D) 90 seconds</t>
  </si>
  <si>
    <t>A) 110 seconds</t>
  </si>
  <si>
    <t>During a Malkhamb competition, a performer is judged on 5 different criteria, each scored from 1 to 10. If the highest and lowest scores are dropped, what is the highest possible total score?</t>
  </si>
  <si>
    <t>A) 40, B) 45, C) 50, D) 35</t>
  </si>
  <si>
    <t>A Malkhamb performer is evaluated based on 6 different poses. If each pose has a success probability of 80% and the performer attempts 3 poses each, how many successful poses can be expected?</t>
  </si>
  <si>
    <t>A) 14, B) 12, C) 16, D) 10</t>
  </si>
  <si>
    <t>A) 14</t>
  </si>
  <si>
    <t>In a Malkhamb event, a performer has 3 different routines. If each routine is scored out of a maximum of 35 points, and the performer scores 30, 32, and 29, what is their average score per routine?</t>
  </si>
  <si>
    <t>A) 30.5, B) 31, C) 32, D) 29.5</t>
  </si>
  <si>
    <t>A) 30.5</t>
  </si>
  <si>
    <t>During a Malkhamb performance, if a performer completes 8 poses, and each pose has a difficulty rating of 4, what is the total difficulty score for the performance?</t>
  </si>
  <si>
    <t>A) 32, B) 28, C) 36, D) 40</t>
  </si>
  <si>
    <t>A) 32</t>
  </si>
  <si>
    <t>In a Malkhamb competition, a performer attempts 10 poses. If the success rate for each pose is 70%, how many successful poses can be expected on average?</t>
  </si>
  <si>
    <t>A Malkhamb event has 12 competitors. If each competitor performs 4 routines and the highest scoring routine for each competitor is taken for the final ranking, what is the maximum number of routines considered for ranking?</t>
  </si>
  <si>
    <t>A) 12, B) 48, C) 4, D) 36</t>
  </si>
  <si>
    <t>B) 48</t>
  </si>
  <si>
    <t>During a Malkhamb competition, a performer executes 7 poses, each pose has a time limit of 15 seconds, with a 5-second pause between poses. What is the total time for the routine?</t>
  </si>
  <si>
    <t>A) 125 seconds, B) 120 seconds, C) 130 seconds, D) 115 seconds</t>
  </si>
  <si>
    <t>A Malkhamb performer has 5 different routines, each with a maximum score of 50 points. If the performer scores 45, 47, 50, 42, and 48 points, what is their average score?</t>
  </si>
  <si>
    <t>A) 46.4, B) 46, C) 47, D) 45.5</t>
  </si>
  <si>
    <t>A) 46.4</t>
  </si>
  <si>
    <t>In a Malkhamb performance, a performer must complete 4 poses, each held for 20 seconds. If the performer rests for 10 seconds between poses, how much total time is allocated for the performance including rests?</t>
  </si>
  <si>
    <t>A) 90 seconds, B) 80 seconds, C) 70 seconds, D) 60 seconds</t>
  </si>
  <si>
    <t>A) 90 seconds</t>
  </si>
  <si>
    <t>During a Malkhamb event, each pose in a routine is scored from 1 to 10. If a performer completes 8 poses and receives scores of 7, 8, 9, 10, 6, 7, 8, and 9, what is the total score for the routine?</t>
  </si>
  <si>
    <t>A) 74, B) 76, C) 72, D) 78</t>
  </si>
  <si>
    <t>B) 76</t>
  </si>
  <si>
    <t>In a Malkhamb competition, a performer has 5 poses to complete. If each pose has a success probability of 85% and the performer attempts each pose twice, how many successful attempts can be expected?</t>
  </si>
  <si>
    <t>A) 9, B) 8, C) 10, D) 7</t>
  </si>
  <si>
    <t>A Malkhamb performer executes a routine consisting of 6 poses. If each pose must be held for 20 seconds and there is a 5-second break between each pose, what is the total duration of the routine?</t>
  </si>
  <si>
    <t>A) 125 seconds, B) 130 seconds, C) 140 seconds, D) 120 seconds</t>
  </si>
  <si>
    <t>In a Malkhamb event, if a performer receives scores of 28, 30, 32, and 29 out of 35 points in 4 different routines, what is their average score per routine?</t>
  </si>
  <si>
    <t>A) 29.75, B) 30, C) 30.5, D) 31</t>
  </si>
  <si>
    <t>A) 29.75</t>
  </si>
  <si>
    <t>During a Malkhamb competition, a performer is judged based on 4 criteria, each scored out of 10 points. If the performer scores 9 in difficulty, 8 in execution, 7 in presentation, and 10 in creativity, what is their total score?</t>
  </si>
  <si>
    <t>A) 34, B) 32, C) 30, D) 36</t>
  </si>
  <si>
    <t>A) 34</t>
  </si>
  <si>
    <t>A Malkhamb performer completes 8 poses in a routine. If each pose takes 12 seconds and there is a 4-second transition between poses, what is the total time spent on transitions alone?</t>
  </si>
  <si>
    <t>A) 28 seconds, B) 32 seconds, C) 24 seconds, D) 36 seconds</t>
  </si>
  <si>
    <t>A) 28 seconds</t>
  </si>
  <si>
    <t>In a Malkhamb event, if a performer is scored out of 40 points in each of 5 routines, and the scores are 35, 38, 32, 30, and 37, what is the highest possible average score?</t>
  </si>
  <si>
    <t>A) 35.4, B) 36, C) 34, D) 37</t>
  </si>
  <si>
    <t>A) 35.4</t>
  </si>
  <si>
    <t>During a Malkhamb performance, a performer has 4 poses, each pose must be held for 18 seconds. If the total performance time is 1 minute, how many seconds are allocated for transitions between poses?</t>
  </si>
  <si>
    <t>A) 16 seconds, B) 12 seconds, C) 20 seconds, D) 22 seconds</t>
  </si>
  <si>
    <t>A) 16 seconds</t>
  </si>
  <si>
    <t>A Malkhamb performer participates in 3 events. If each event is scored out of 30 points and the performer scores 27, 29, and 25, what is their average score across all events?</t>
  </si>
  <si>
    <t>A) 27, B) 26.5, C) 28, D) 25.5</t>
  </si>
  <si>
    <t>A) 27</t>
  </si>
  <si>
    <t>In a Malkhamb competition, a performer must complete 9 poses. If each pose takes 20 seconds and there is a 10-second break between each pose, what is the total time required for the performance?</t>
  </si>
  <si>
    <t>A) 210 seconds, B) 200 seconds, C) 220 seconds, D) 230 seconds</t>
  </si>
  <si>
    <t>A) 210 seconds</t>
  </si>
  <si>
    <t>During a Malkhamb event, a performer is scored based on 5 criteria: technique, balance, difficulty, execution, and presentation. If each criterion is scored out of 10 points, what is the highest possible total score a performer can achieve?</t>
  </si>
  <si>
    <t>A) 50, B) 40, C) 45, D) 55</t>
  </si>
  <si>
    <t>A) 50</t>
  </si>
  <si>
    <t>A Malkhamb performer scores 25, 28, 30, 27, and 29 points in their routines. If the highest and lowest scores are dropped, what is the average of the remaining scores?</t>
  </si>
  <si>
    <t>A) 27.5, B) 28, C) 29, D) 30</t>
  </si>
  <si>
    <t>A) 27.5</t>
  </si>
  <si>
    <t>In a Malkhamb event, a performer is judged on 4 different criteria with scores of 9, 8, 7, and 10 out of 10. What is their total score if the maximum score for each criterion is 10?</t>
  </si>
  <si>
    <t>A) 34, B) 32, C) 36, D) 30</t>
  </si>
  <si>
    <t>During a Malkhamb performance, a performer completes 7 poses. If each pose has a time limit of 15 seconds and the performer rests for 5 seconds between each pose, what is the total duration of the performance?</t>
  </si>
  <si>
    <t>A) 120 seconds, B) 125 seconds, C) 130 seconds, D) 115 seconds</t>
  </si>
  <si>
    <t>A) 120 seconds</t>
  </si>
  <si>
    <t>A Malkhamb performer participates in 4 routines. If each routine is scored out of 20 points and the performer receives 18, 15, 17, and 19 points respectively, what is their average score per routine?</t>
  </si>
  <si>
    <t>A) 17.25, B) 17.5, C) 18, D) 16.5</t>
  </si>
  <si>
    <t>A) 17.25</t>
  </si>
  <si>
    <t>In a Malkhamb competition, a performer completes 5 poses. If each pose is held for 30 seconds and the total performance time is 2 minutes, how many seconds are allocated for transitions between poses?</t>
  </si>
  <si>
    <t>A) 30 seconds, B) 40 seconds, C) 20 seconds, D) 25 seconds</t>
  </si>
  <si>
    <t>During a Malkhamb event, a performer scores 8, 9, 7, 10, and 6 in different criteria. If the lowest and highest scores are dropped, what is the average of the remaining scores?</t>
  </si>
  <si>
    <t>A) 8, B) 7.5, C) 9, D) 8.5</t>
  </si>
  <si>
    <t>A Malkhamb performer must complete 6 poses in a routine. If each pose has a success rate of 85% and the performer attempts each pose twice, how many successful attempts are expected?</t>
  </si>
  <si>
    <t>A) 10, B) 11, C) 12, D) 9</t>
  </si>
  <si>
    <t>B) 11</t>
  </si>
  <si>
    <t>In a Malkhamb competition, a performer executes 8 poses. If each pose takes 10 seconds and there is a 4-second transition between poses, what is the total time for the routine including transitions?</t>
  </si>
  <si>
    <t>A) 92 seconds, B) 88 seconds, C) 90 seconds, D) 85 seconds</t>
  </si>
  <si>
    <t>A) 92 seconds</t>
  </si>
  <si>
    <t>During a Malkhamb event, a performer is judged based on 5 criteria: difficulty, execution, presentation, creativity, and technique. If each criterion is rated from 1 to 10, what is the highest possible score a performer can achieve?</t>
  </si>
  <si>
    <t>A) 50, B) 40, C) 45, D) 60</t>
  </si>
  <si>
    <t>A Malkhamb performer scores 32, 35, 30, and 28 out of a maximum of 40 points in 4 routines. What is their average score?</t>
  </si>
  <si>
    <t>A) 31.25, B) 32, C) 30.5, D) 31.5</t>
  </si>
  <si>
    <t>A) 31.25</t>
  </si>
  <si>
    <t>In a Malkhamb performance, a performer executes 10 poses. If each pose is held for 12 seconds and there is a 5-second break between poses, what is the total duration of the performance including breaks?</t>
  </si>
  <si>
    <t>A) 125 seconds, B) 130 seconds, C) 140 seconds, D) 115 seconds</t>
  </si>
  <si>
    <t>During a Malkhamb competition, if a performer is judged on 4 criteria and receives scores of 7, 8, 9, and 10 out of 10 points, what is their total score if the lowest and highest scores are dropped?</t>
  </si>
  <si>
    <t>A) 15, B) 16, C) 17, D) 14</t>
  </si>
  <si>
    <t>A) 15</t>
  </si>
  <si>
    <t>A Malkhamb performer has 6 different routines. If each routine is scored out of 35 points, and the performer scores 30, 32, 28, 29, 34, and 31 points, what is their highest possible average score?</t>
  </si>
  <si>
    <t>A) 31.5, B) 32, C) 30, D) 29.5</t>
  </si>
  <si>
    <t>A) 31.5</t>
  </si>
  <si>
    <t>In a Malkhamb event, a performer completes 7 poses with an average success rate of 80%. If each pose is attempted twice, how many successful poses can be expected?</t>
  </si>
  <si>
    <t>A) 11, B) 10, C) 12, D) 9</t>
  </si>
  <si>
    <t>A Malkhamb performer has to complete a series of poses under a strict time limit. If they are performing well but miss a few poses, what should they focus on to improve their performance in future routines?</t>
  </si>
  <si>
    <t>A) Time management, B) Pose accuracy, C) Presentation skills, D) Audience engagement</t>
  </si>
  <si>
    <t>B) Pose accuracy</t>
  </si>
  <si>
    <t>During a Malkhamb competition, if a performer is penalized for improper technique, how might this affect their final score?</t>
  </si>
  <si>
    <t>A) It will increase their score, B) It will have no effect on their score, C) It will decrease their score, D) It will only affect their presentation score</t>
  </si>
  <si>
    <t>C) It will decrease their score</t>
  </si>
  <si>
    <t>In a Malkhamb performance, if a performer encounters unexpected difficulties during a routine, how should they adapt to maintain their performance quality?</t>
  </si>
  <si>
    <t>A) Rush through the routine, B) Maintain composure and adapt the routine, C) Stop and restart the routine, D) Ignore the difficulties and continue as planned</t>
  </si>
  <si>
    <t>B) Maintain composure and adapt the routine</t>
  </si>
  <si>
    <t>During a Malkhamb event, a performer receives high scores for creativity but lower scores for execution. What should they focus on improving for their next performance?</t>
  </si>
  <si>
    <t>A) Creativity, B) Presentation, C) Execution, D) Time management</t>
  </si>
  <si>
    <t>C) Execution</t>
  </si>
  <si>
    <t>A Malkhamb performer is preparing for a competition where the judging criteria include technique, balance, and difficulty. What should they prioritize in their practice sessions?</t>
  </si>
  <si>
    <t>A) Balance and technique, B) Difficulty and creativity, C) Presentation and technique, D) Technique and difficulty</t>
  </si>
  <si>
    <t>D) Technique and difficulty</t>
  </si>
  <si>
    <t>If a Malkhamb performer is judged based on their ability to transition smoothly between poses, how can they enhance their performance in this area?</t>
  </si>
  <si>
    <t>A) Practice the routine more frequently, B) Focus on the overall performance time, C) Increase the number of poses, D) Pay attention to the transitions between poses</t>
  </si>
  <si>
    <t>D) Pay attention to the transitions between poses</t>
  </si>
  <si>
    <t>During a Malkhamb competition, if a performer receives feedback about improving their presentation, what specific aspect should they work on?</t>
  </si>
  <si>
    <t>A) Pose accuracy, B) Audience interaction, C) Routine complexity, D) Pose duration</t>
  </si>
  <si>
    <t>B) Audience interaction</t>
  </si>
  <si>
    <t>In a Malkhamb performance, if a performer demonstrates excellent difficulty but poor technique, how might this impact their overall impression?</t>
  </si>
  <si>
    <t>A) It will have no impact, B) It may decrease their overall impression, C) It will increase their overall impression, D) It will only affect their difficulty score</t>
  </si>
  <si>
    <t>B) It may decrease their overall impression</t>
  </si>
  <si>
    <t>A Malkhamb performer is asked to perform a routine that emphasizes balance and technique. What should be their primary focus during preparation?</t>
  </si>
  <si>
    <t>A) Difficulty, B) Balance, C) Presentation, D) Routine length</t>
  </si>
  <si>
    <t>B) Balance</t>
  </si>
  <si>
    <t>During a Malkhamb event, if a performer fails to meet the required number of poses, how will this affect their final score?</t>
  </si>
  <si>
    <t>A) Their score will be unaffected, B) Their score may be reduced, C) They will be disqualified, D) Their score will be increased</t>
  </si>
  <si>
    <t>B) Their score may be reduced</t>
  </si>
  <si>
    <t>If a Malkhamb performer receives a low score for creativity, what can they do to enhance this aspect in future performances?</t>
  </si>
  <si>
    <t>A) Practice more poses, B) Work on unique and original poses, C) Improve technique, D) Increase performance speed</t>
  </si>
  <si>
    <t>B) Work on unique and original poses</t>
  </si>
  <si>
    <t>During a Malkhamb routine, a performer is judged on both difficulty and execution. If they excel in difficulty but struggle with execution, what should they focus on improving?</t>
  </si>
  <si>
    <t>A) Difficulty, B) Execution, C) Presentation, D) Timing</t>
  </si>
  <si>
    <t>B) Execution</t>
  </si>
  <si>
    <t>A Malkhamb performer is criticized for poor presentation during their routine. What should they work on to address this issue?</t>
  </si>
  <si>
    <t>A) Increase the number of poses, B) Enhance their audience engagement and expression, C) Practice more complex poses, D) Reduce the routine length</t>
  </si>
  <si>
    <t>B) Enhance their audience engagement and expression</t>
  </si>
  <si>
    <t>If a Malkhamb performer is given feedback on their balance, what aspect of their routine should they focus on?</t>
  </si>
  <si>
    <t>A) Pose complexity, B) Pose duration, C) Stability during poses, D) Routine transitions</t>
  </si>
  <si>
    <t>C) Stability during poses</t>
  </si>
  <si>
    <t>In a Malkhamb competition, if a performer fails to execute a specific pose but performs well in others, how might this affect their total score?</t>
  </si>
  <si>
    <t>A) Their score will be unaffected, B) Their score will only be slightly affected, C) Their score will be significantly impacted, D) Their score will be increased</t>
  </si>
  <si>
    <t>C) Their score will be significantly impacted</t>
  </si>
  <si>
    <t>During a Malkhamb event, a performer is praised for their technical skills but receives lower marks for creativity. What should they do to address this in their next performance?</t>
  </si>
  <si>
    <t>A) Focus on perfecting technical skills, B) Incorporate more unique elements into their routine, C) Increase the number of poses, D) Improve their presentation</t>
  </si>
  <si>
    <t>B) Incorporate more unique elements into their routine</t>
  </si>
  <si>
    <t>A Malkhamb performer is noted for having excellent audience interaction but needs to improve their technical execution. What should be their primary focus in practice?</t>
  </si>
  <si>
    <t>A) Audience engagement, B) Technical execution, C) Routine complexity, D) Pose duration</t>
  </si>
  <si>
    <t>B) Technical execution</t>
  </si>
  <si>
    <t>If a Malkhamb performer is preparing for a competition where the judges are focusing on execution and difficulty, what should be their main focus during practice sessions?</t>
  </si>
  <si>
    <t>A) Technique and presentation, B) Execution and difficulty, C) Creativity and balance, D) Routine length and transitions</t>
  </si>
  <si>
    <t>B) Execution and difficulty</t>
  </si>
  <si>
    <t>In a Malkhamb competition, if a performer is told they need to improve their routine transitions, what specific aspect of their routine should they practice more?</t>
  </si>
  <si>
    <t>A) Pose accuracy, B) Smoothness of transitions between poses, C) Pose duration, D) Audience engagement</t>
  </si>
  <si>
    <t>B) Smoothness of transitions between poses</t>
  </si>
  <si>
    <t>During a Malkhamb performance, if a performer receives feedback on their overall presentation, what might this feedback include?</t>
  </si>
  <si>
    <t>A) Pose accuracy, B) Audience engagement and expression, C) Routine length, D) Pose complexity</t>
  </si>
  <si>
    <t>B) Audience engagement and expression</t>
  </si>
  <si>
    <t>A Malkhamb performer is participating in a competition where the emphasis is on creativity. What should they focus on to stand out in this area?</t>
  </si>
  <si>
    <t>A) Practice more poses, B) Develop unique and innovative routines, C) Improve technical skills, D) Enhance their presentation skills</t>
  </si>
  <si>
    <t>B) Develop unique and innovative routines</t>
  </si>
  <si>
    <t>If a Malkhamb performer receives a lower score for technique but high scores for creativity, what might be a good strategy for improvement?</t>
  </si>
  <si>
    <t>A) Focus more on creative elements, B) Work on refining their technical execution, C) Increase the number of poses, D) Practice routine transitions</t>
  </si>
  <si>
    <t>B) Work on refining their technical execution</t>
  </si>
  <si>
    <t>During a Malkhamb event, a performer struggles with maintaining balance in their poses. What should they prioritize in their practice to address this issue?</t>
  </si>
  <si>
    <t>A) Increasing pose complexity, B) Enhancing balance and stability, C) Working on presentation, D) Reducing routine time</t>
  </si>
  <si>
    <t>B) Enhancing balance and stability</t>
  </si>
  <si>
    <t>In a Malkhamb competition, if a performer is noted for having excellent routine duration but poor execution, what aspect should they focus on improving?</t>
  </si>
  <si>
    <t>A) Routine duration, B) Execution, C) Pose complexity, D) Audience interaction</t>
  </si>
  <si>
    <t>A Malkhamb performer is preparing for a competition where technique is highly valued. What should they emphasize in their preparation?</t>
  </si>
  <si>
    <t>A) Routine creativity, B) Pose accuracy and technique, C) Audience engagement, D) Routine length</t>
  </si>
  <si>
    <t>B) Pose accuracy and technique</t>
  </si>
  <si>
    <t>During a Malkhamb routine, if a performer is noted for their strong audience connection but weak pose transitions, what should they work on for future performances?</t>
  </si>
  <si>
    <t>A) Audience connection, B) Pose transitions, C) Pose complexity, D) Routine length</t>
  </si>
  <si>
    <t>B) Pose transitions</t>
  </si>
  <si>
    <t>If a Malkhamb performer receives feedback about improving their balance during poses, how should they adjust their practice routine?</t>
  </si>
  <si>
    <t>A) Practice more complex poses, B) Focus on balance exercises and techniques, C) Increase routine speed, D) Enhance presentation skills</t>
  </si>
  <si>
    <t>B) Focus on balance exercises and techniques</t>
  </si>
  <si>
    <t>In a Malkhamb competition, if a performer is praised for their routine creativity but receives lower scores for execution, what should their practice sessions include?</t>
  </si>
  <si>
    <t>A) More creative poses, B) Improved execution techniques, C) Better presentation, D) Increased routine length</t>
  </si>
  <si>
    <t>B) Improved execution techniques</t>
  </si>
  <si>
    <t>A Malkhamb performer is participating in a competition where judges are focusing on overall performance quality. What should they ensure to enhance their overall score?</t>
  </si>
  <si>
    <t>A) High creativity, B) Smooth transitions and technical execution, C) Routine length, D) Audience interaction</t>
  </si>
  <si>
    <t>B) Smooth transitions and technical execution</t>
  </si>
  <si>
    <t>During a Malkhamb event, if a performer is noted for their strong execution but weak presentation, how should they prepare for future performances?</t>
  </si>
  <si>
    <t>A) Enhance execution, B) Improve presentation and audience interaction, C) Increase pose complexity, D) Reduce routine length</t>
  </si>
  <si>
    <t>B) Improve presentation and audience interaction</t>
  </si>
  <si>
    <t>If a Malkhamb performer receives feedback about improving their difficulty level, what should they do in their next practice session?</t>
  </si>
  <si>
    <t>A) Practice simpler poses, B) Incorporate more challenging and intricate poses, C) Work on presentation skills, D) Reduce routine time</t>
  </si>
  <si>
    <t>B) Incorporate more challenging and intricate poses</t>
  </si>
  <si>
    <t>In a Malkhamb competition, if a performer is praised for their balance but receives lower marks for creativity, what aspect should they focus on?</t>
  </si>
  <si>
    <t>A) Balance, B) Creativity and originality, C) Pose execution, D) Audience engagement</t>
  </si>
  <si>
    <t>B) Creativity and originality</t>
  </si>
  <si>
    <t>A Malkhamb performer is noted for their strong technical skills but needs to improve their overall presentation. What should they work on?</t>
  </si>
  <si>
    <t>A) Technical skills, B) Audience interaction and expression, C) Pose complexity, D) Routine length</t>
  </si>
  <si>
    <t>B) Audience interaction and expression</t>
  </si>
  <si>
    <t>During a Malkhamb event, if a performer is criticized for not adhering to the time limit, how can they adjust their performance to comply with the rules?</t>
  </si>
  <si>
    <t>A) Extend routine length, B) Practice to ensure they complete within the time limit, C) Focus on fewer poses, D) Speed up the routine</t>
  </si>
  <si>
    <t>B) Practice to ensure they complete within the time limit</t>
  </si>
  <si>
    <t>If a Malkhamb performer is preparing for a competition with a focus on technique, what should be their primary focus in training?</t>
  </si>
  <si>
    <t>A) Routine creativity, B) Technical accuracy and execution, C) Audience engagement, D) Pose duration</t>
  </si>
  <si>
    <t>B) Technical accuracy and execution</t>
  </si>
  <si>
    <t>During a Malkhamb performance, if a performer is given feedback about their routine's difficulty level, what should they prioritize in their practice?</t>
  </si>
  <si>
    <t>A) Increasing routine complexity, B) Enhancing balance and stability, C) Working on presentation skills, D) Improving pose transitions</t>
  </si>
  <si>
    <t>A) Increasing routine complexity</t>
  </si>
  <si>
    <t>A Malkhamb performer is receiving high scores for their creativity but needs to improve their technique. What should they work on for their next performance?</t>
  </si>
  <si>
    <t>A) Creativity, B) Technical execution and accuracy, C) Audience engagement, D) Pose duration</t>
  </si>
  <si>
    <t>B) Technical execution and accuracy</t>
  </si>
  <si>
    <t>If a Malkhamb performer receives feedback about improving their routine transitions, what should they focus on during practice?</t>
  </si>
  <si>
    <t>A) Enhancing individual poses, B) Smooth transitions between poses, C) Increasing pose difficulty, D) Improving audience interaction</t>
  </si>
  <si>
    <t>B) Smooth transitions between poses</t>
  </si>
  <si>
    <t>During a Malkhamb competition, if a performer excels in audience engagement but struggles with technical execution, what should they focus on in their preparation?</t>
  </si>
  <si>
    <t>A) Audience engagement, B) Technical execution and accuracy, C) Pose creativity, D) Routine length</t>
  </si>
  <si>
    <t>A Malkhamb performer is noted for their strong balance but receives feedback on improving their routine complexity. What should they focus on?</t>
  </si>
  <si>
    <t>A) Balance, B) Increasing the difficulty of poses, C) Presentation skills, D) Routine duration</t>
  </si>
  <si>
    <t>B) Increasing the difficulty of poses</t>
  </si>
  <si>
    <t>If a Malkhamb performer is praised for their presentation but needs to improve their technical skills, what should be their focus?</t>
  </si>
  <si>
    <t>A) Presentation, B) Technical skills and execution, C) Pose creativity, D) Routine length</t>
  </si>
  <si>
    <t>B) Technical skills and execution</t>
  </si>
  <si>
    <t>During a Malkhamb event, if a performer struggles with maintaining composure under pressure, what can they do to improve their performance?</t>
  </si>
  <si>
    <t>A) Practice more frequently, B) Work on relaxation techniques and mental preparation, C) Increase pose difficulty, D) Focus on audience interaction</t>
  </si>
  <si>
    <t>B) Work on relaxation techniques and mental preparation</t>
  </si>
  <si>
    <t>A Malkhamb performer receives feedback that their routine lacks originality. What should they focus on to enhance their performance?</t>
  </si>
  <si>
    <t>A) Adding more unique poses, B) Improving execution, C) Enhancing balance, D) Increasing routine duration</t>
  </si>
  <si>
    <t>A) Adding more unique poses</t>
  </si>
  <si>
    <t>In a Malkhamb competition, if a performer is noted for their excellent execution but needs to improve their presentation, what aspect should they work on?</t>
  </si>
  <si>
    <t>A) Execution, B) Audience interaction and expression, C) Pose difficulty, D) Routine length</t>
  </si>
  <si>
    <t>If a Malkhamb performer is criticized for a lack of smooth transitions between poses, how should they address this in their practice sessions?</t>
  </si>
  <si>
    <t>A) Increase the number of poses, B) Focus on practicing transitions between poses, C) Enhance audience engagement, D) Reduce routine time</t>
  </si>
  <si>
    <t>B) Focus on practicing transitions between poses</t>
  </si>
  <si>
    <t>A Malkhamb performer is participating in a competition with a focus on difficulty and balance. What should be their primary focus during practice?</t>
  </si>
  <si>
    <t>A) Routine length, B) Pose difficulty and balance, C) Audience interaction, D) Presentation skills</t>
  </si>
  <si>
    <t>B) Pose difficulty and balance</t>
  </si>
  <si>
    <t>During a Malkhamb event, if a performer is noted for their strong audience connection but struggles with technical execution, what should they prioritize in their preparation?</t>
  </si>
  <si>
    <t>A) Audience connection, B) Technical execution and technique, C) Pose creativity, D) Routine length</t>
  </si>
  <si>
    <t>B) Technical execution and technique</t>
  </si>
  <si>
    <t>If a Malkhamb performer receives feedback about needing to improve their routine complexity, what should they focus on?</t>
  </si>
  <si>
    <t>A) Increasing the number of poses, B) Adding more challenging elements to their routine, C) Improving presentation skills, D) Enhancing balance</t>
  </si>
  <si>
    <t>B) Adding more challenging elements to their routine</t>
  </si>
  <si>
    <t>A Malkhamb performer is preparing for a competition where creativity is heavily emphasized. What should they focus on to excel in this aspect?</t>
  </si>
  <si>
    <t>A) Enhancing technical skills, B) Developing unique and creative routines, C) Increasing pose difficulty, D) Improving audience interaction</t>
  </si>
  <si>
    <t>B) Developing unique and creative routines</t>
  </si>
  <si>
    <t>During a Malkhamb performance, if a performer receives high marks for their technical execution but lower marks for creativity, what should they do to improve their overall score?</t>
  </si>
  <si>
    <t>A) Focus on technical execution, B) Increase the creativity of their poses, C) Work on balance, D) Enhance presentation skills</t>
  </si>
  <si>
    <t>B) Increase the creativity of their poses</t>
  </si>
  <si>
    <t>A Malkhamb performer receives feedback that their routine lacks smooth transitions. What should be their focus to address this feedback?</t>
  </si>
  <si>
    <t>A) Practice more poses, B) Work on improving transitions between poses, C) Enhance technical execution, D) Increase routine length</t>
  </si>
  <si>
    <t>B) Work on improving transitions between poses</t>
  </si>
  <si>
    <t>During a Malkhamb competition, a performer completes an impressive set of aerial poses but struggles with timing. What should they focus on to improve?</t>
  </si>
  <si>
    <t>A) Increasing aerial difficulty, B) Improving timing and coordination, C) Adding more poses, D) Extending routine length</t>
  </si>
  <si>
    <t>B) Improving timing and coordination</t>
  </si>
  <si>
    <t>A Malkhamb performer is noted for strong flexibility but lacks stamina towards the end of their routine. What should they work on?</t>
  </si>
  <si>
    <t>A) Flexibility, B) Stamina and endurance, C) Pose difficulty, D) Routine creativity</t>
  </si>
  <si>
    <t>B) Stamina and endurance</t>
  </si>
  <si>
    <t>During a Malkhamb event, a performer is praised for their poses but receives feedback to improve audience interaction. What should they prioritize?</t>
  </si>
  <si>
    <t>A) Pose complexity, B) Audience engagement and expression, C) Increasing routine speed, D) Reducing pose duration</t>
  </si>
  <si>
    <t>A Malkhamb performer receives high marks for their upper body strength but lower scores for creativity. What should they focus on in future practice?</t>
  </si>
  <si>
    <t>A) Creativity and originality, B) Strength, C) Increasing pose duration, D) Improving balance</t>
  </si>
  <si>
    <t>A) Creativity and originality</t>
  </si>
  <si>
    <t>During a Malkhamb performance, a performer executes difficult poses but struggles with smooth transitions. What should they work on?</t>
  </si>
  <si>
    <t>A) Pose complexity, B) Transitions between poses, C) Audience interaction, D) Strength training</t>
  </si>
  <si>
    <t>B) Transitions between poses</t>
  </si>
  <si>
    <t>A performer is noted for their strong grip on the Malkhamb pole but lacks finesse in their leg movements. What area should they focus on?</t>
  </si>
  <si>
    <t>A) Leg coordination, B) Grip strength, C) Upper body strength, D) Pose variety</t>
  </si>
  <si>
    <t>A) Leg coordination</t>
  </si>
  <si>
    <t>In a Malkhamb competition, a performer executes precise movements but lacks engagement with the audience. What should they improve?</t>
  </si>
  <si>
    <t>A) Pose transitions, B) Audience interaction, C) Movement precision, D) Increasing routine speed</t>
  </si>
  <si>
    <t>A Malkhamb performer receives feedback on improving their posture during certain poses. What should their next practice session focus on?</t>
  </si>
  <si>
    <t>A) Increasing pose difficulty, B) Improving posture and alignment, C) Routine length, D) Strength training</t>
  </si>
  <si>
    <t>B) Improving posture and alignment</t>
  </si>
  <si>
    <t>During a Malkhamb competition, a performer is praised for their speed but struggles with balance. What should they focus on in training?</t>
  </si>
  <si>
    <t>A) Speed, B) Balance and stability, C) Increasing pose complexity, D) Routine length</t>
  </si>
  <si>
    <t>B) Balance and stability</t>
  </si>
  <si>
    <t>A performer struggles to maintain energy throughout their Malkhamb routine. What should they improve?</t>
  </si>
  <si>
    <t>A) Stamina and endurance, B) Pose creativity, C) Routine timing, D) Balance</t>
  </si>
  <si>
    <t>A) Stamina and endurance</t>
  </si>
  <si>
    <t>During a Malkhamb performance, a performer’s execution of difficult poses is strong, but their transitions are abrupt. What should they work on?</t>
  </si>
  <si>
    <t>A) Pose difficulty, B) Smooth transitions, C) Audience interaction, D) Upper body strength</t>
  </si>
  <si>
    <t>B) Smooth transitions</t>
  </si>
  <si>
    <t>A Malkhamb performer’s routine is noted for its creativity but lacks technical precision. What should they prioritize?</t>
  </si>
  <si>
    <t>A) Creativity, B) Technical precision, C) Speed, D) Audience engagement</t>
  </si>
  <si>
    <t>B) Technical precision</t>
  </si>
  <si>
    <t>A performer receives praise for their strength during a Malkhamb event but needs to improve their flexibility. What should they include in their training?</t>
  </si>
  <si>
    <t>A) Strengthening exercises, B) Flexibility training, C) Speed drills, D) Pose duration</t>
  </si>
  <si>
    <t>B) Flexibility training</t>
  </si>
  <si>
    <t>During a Malkhamb performance, a performer excels in balance but receives feedback to add more dynamic movements. What should they work on?</t>
  </si>
  <si>
    <t>A) Balance, B) Dynamic and fluid movements, C) Audience interaction, D) Routine timing</t>
  </si>
  <si>
    <t>B) Dynamic and fluid movements</t>
  </si>
  <si>
    <t>A Malkhamb performer is noted for their graceful execution but needs to improve their routine's intensity. What should they focus on?</t>
  </si>
  <si>
    <t>A) Increasing routine complexity, B) Enhancing intensity and energy, C) Routine length, D) Audience interaction</t>
  </si>
  <si>
    <t>B) Enhancing intensity and energy</t>
  </si>
  <si>
    <t>During a Malkhamb event, a performer is praised for their technique but is asked to improve their audience connection. What should they work on?</t>
  </si>
  <si>
    <t>A) Technique, B) Audience connection and expression, C) Strength, D) Pose difficulty</t>
  </si>
  <si>
    <t>B) Audience connection and expression</t>
  </si>
  <si>
    <t>A Malkhamb performer receives feedback to improve their use of space during the routine. What should they focus on?</t>
  </si>
  <si>
    <t>A) Increasing pose difficulty, B) Utilizing the performance space better, C) Audience engagement, D) Strength training</t>
  </si>
  <si>
    <t>B) Utilizing the performance space better</t>
  </si>
  <si>
    <t>During a Malkhamb competition, a performer struggles with consistency in their poses. What should they prioritize in practice?</t>
  </si>
  <si>
    <t>A) Consistency in pose execution, B) Speed, C) Audience interaction, D) Routine length</t>
  </si>
  <si>
    <t>A) Consistency in pose execution</t>
  </si>
  <si>
    <t>A Malkhamb performer is praised for their stamina but needs to work on their technique. What should their next practice focus on?</t>
  </si>
  <si>
    <t>A) Stamina, B) Technical accuracy, C) Routine length, D) Audience engagement</t>
  </si>
  <si>
    <t>B) Technical accuracy</t>
  </si>
  <si>
    <t>During a Malkhamb event, a performer executes difficult poses well but has trouble maintaining focus. What should they improve?</t>
  </si>
  <si>
    <t>A) Focus and concentration, B) Pose difficulty, C) Strength, D) Audience interaction</t>
  </si>
  <si>
    <t>A) Focus and concentration</t>
  </si>
  <si>
    <t>A Malkhamb performer struggles with endurance during long routines. What should they incorporate into their training?</t>
  </si>
  <si>
    <t>A) Endurance exercises, B) Shorter routines, C) Pose creativity, D) Audience engagement</t>
  </si>
  <si>
    <t>A) Endurance exercises</t>
  </si>
  <si>
    <t>During a Malkhamb event, a performer receives feedback about their balance being inconsistent. What should their training prioritize?</t>
  </si>
  <si>
    <t>A) Speed, B) Balance and stability, C) Pose difficulty, D) Routine creativity</t>
  </si>
  <si>
    <t>A performer excels in creative poses but receives feedback about needing better timing. What should they work on?</t>
  </si>
  <si>
    <t>A) Creativity, B) Timing and coordination, C) Strength, D) Pose transitions</t>
  </si>
  <si>
    <t>B) Timing and coordination</t>
  </si>
  <si>
    <t>During a Malkhamb competition, a performer is praised for their use of the Malkhamb apparatus but needs to improve their footwork. What should they practice?</t>
  </si>
  <si>
    <t>A) Footwork and lower body coordination, B) Grip strength, C) Upper body flexibility, D) Audience interaction</t>
  </si>
  <si>
    <t>A) Footwork and lower body coordination</t>
  </si>
  <si>
    <t>A performer is noted for their strong grip on the Malkhamb rope but lacks fluidity in movements. What should they work on?</t>
  </si>
  <si>
    <t>A) Grip strength, B) Fluidity in movements, C) Pose complexity, D) Routine timing</t>
  </si>
  <si>
    <t>B) Fluidity in movements</t>
  </si>
  <si>
    <t>In a Malkhamb event, a performer’s poses are well-executed but feedback suggests improving creativity. What should they focus on?</t>
  </si>
  <si>
    <t>A) Increasing pose difficulty, B) Creativity and uniqueness of routine, C) Audience engagement, D) Timing and coordination</t>
  </si>
  <si>
    <t>B) Creativity and uniqueness of routine</t>
  </si>
  <si>
    <t>During a Malkhamb competition, a performer excels in power moves but struggles with flexibility. What should they incorporate into their training?</t>
  </si>
  <si>
    <t>A) Power moves, B) Flexibility exercises, C) Strength training, D) Routine length</t>
  </si>
  <si>
    <t>B) Flexibility exercises</t>
  </si>
  <si>
    <t>A Malkhamb performer receives praise for their execution but needs to improve their endurance. What should they focus on?</t>
  </si>
  <si>
    <t>A) Endurance training, B) Pose complexity, C) Audience engagement, D) Grip strength</t>
  </si>
  <si>
    <t>A) Endurance training</t>
  </si>
  <si>
    <t>During a Malkhamb event, a performer receives feedback to work on the timing of their transitions. What should their next practice focus on?</t>
  </si>
  <si>
    <t>A) Timing and fluidity of transitions, B) Pose difficulty, C) Audience engagement, D) Strength training</t>
  </si>
  <si>
    <t>A) Timing and fluidity of transitions</t>
  </si>
  <si>
    <t>A performer is noted for their strong upper body strength but needs to improve lower body coordination. What should their training focus on?</t>
  </si>
  <si>
    <t>A) Upper body strength, B) Lower body coordination, C) Pose difficulty, D) Timing</t>
  </si>
  <si>
    <t>B) Lower body coordination</t>
  </si>
  <si>
    <t>In a Malkhamb event, a performer struggles with maintaining focus during their routine. What should they work on?</t>
  </si>
  <si>
    <t>A) Focus and mental discipline, B) Pose complexity, C) Audience engagement, D) Routine creativity</t>
  </si>
  <si>
    <t>A) Focus and mental discipline</t>
  </si>
  <si>
    <t>During a Malkhamb performance, a performer is praised for their use of space but needs to work on transitions. What should they prioritize in practice?</t>
  </si>
  <si>
    <t>A) Pose transitions, B) Use of space, C) Routine speed, D) Strength training</t>
  </si>
  <si>
    <t>A) Pose transitions</t>
  </si>
  <si>
    <t>A Malkhamb performer struggles with balancing between static and dynamic movements. What should their practice focus on?</t>
  </si>
  <si>
    <t>A) Balance between static and dynamic poses, B) Pose difficulty, C) Speed, D) Routine length</t>
  </si>
  <si>
    <t>A) Balance between static and dynamic poses</t>
  </si>
  <si>
    <t>During a Malkhamb competition, a performer is praised for their balance but needs to improve their creativity. What should they work on?</t>
  </si>
  <si>
    <t>A) Balance, B) Creativity and originality, C) Audience interaction, D) Routine length</t>
  </si>
  <si>
    <t>A performer’s routine is noted for its complexity but lacks smooth execution. What should they prioritize?</t>
  </si>
  <si>
    <t>A) Smooth execution of poses, B) Increasing complexity, C) Audience engagement, D) Routine speed</t>
  </si>
  <si>
    <t>A) Smooth execution of poses</t>
  </si>
  <si>
    <t>During a Malkhamb event, a performer excels in static poses but needs to work on fluid movements. What should they focus on?</t>
  </si>
  <si>
    <t>A) Fluidity in movements, B) Static pose strength, C) Routine length, D) Speed</t>
  </si>
  <si>
    <t>A) Fluidity in movements</t>
  </si>
  <si>
    <t>A performer is praised for their strong finish in a Malkhamb routine but receives feedback to improve the opening. What should they work on?</t>
  </si>
  <si>
    <t>A) Opening pose and introduction, B) Routine ending, C) Pose transitions, D) Audience interaction</t>
  </si>
  <si>
    <t>A) Opening pose and introduction</t>
  </si>
  <si>
    <t>During a Malkhamb competition, a performer’s timing is off during quick transitions. What should they work on?</t>
  </si>
  <si>
    <t>A) Timing during transitions, B) Pose difficulty, C) Routine speed, D) Audience engagement</t>
  </si>
  <si>
    <t>A) Timing during transitions</t>
  </si>
  <si>
    <t>A Malkhamb performer receives feedback to enhance the complexity of their poses. What should they focus on?</t>
  </si>
  <si>
    <t>A) Increasing pose complexity, B) Speed, C) Strength, D) Routine length</t>
  </si>
  <si>
    <t>A) Increasing pose complexity</t>
  </si>
  <si>
    <t>During a Malkhamb event, a performer excels in strength-based poses but needs to improve their agility. What should they incorporate into their practice?</t>
  </si>
  <si>
    <t>A) Agility drills, B) Strengthening exercises, C) Pose transitions, D) Balance training</t>
  </si>
  <si>
    <t>A) Agility drills</t>
  </si>
  <si>
    <t>A Malkhamb performer receives high marks for their flexibility but struggles with strength in certain poses. What should they prioritize in training?</t>
  </si>
  <si>
    <t>A) Strength training, B) Flexibility, C) Pose difficulty, D) Routine speed</t>
  </si>
  <si>
    <t>A) Strength training</t>
  </si>
  <si>
    <t>During a Malkhamb competition, a performer excels in technique but is advised to work on audience connection. What should they focus on?</t>
  </si>
  <si>
    <t>A) Technique, B) Audience connection and engagement, C) Speed, D) Pose complexity</t>
  </si>
  <si>
    <t>B) Audience connection and engagement</t>
  </si>
  <si>
    <t>A performer struggles with maintaining rhythm during a Malkhamb routine. What should they improve?</t>
  </si>
  <si>
    <t>A) Rhythm and coordination, B) Pose difficulty, C) Flexibility, D) Strength</t>
  </si>
  <si>
    <t>A) Rhythm and coordination</t>
  </si>
  <si>
    <t>During a Malkhamb performance, a participant loses grip during a complex routine. What could help them maintain a better grip next time?</t>
  </si>
  <si>
    <t>A) Strengthening forearm muscles, B) Shortening the routine, C) Adding more poses, D) Changing attire</t>
  </si>
  <si>
    <t>A) Strengthening forearm muscles</t>
  </si>
  <si>
    <t>A Malkhamb athlete is consistently losing balance when transitioning between poses. What could improve their transitions?</t>
  </si>
  <si>
    <t>A) Improving core strength, B) Increasing routine speed, C) Practicing static poses, D) Using chalk for grip</t>
  </si>
  <si>
    <t>A) Improving core strength</t>
  </si>
  <si>
    <t>During a national Malkhamb competition, a performer executes difficult moves but struggles with flexibility in their back. What should they focus on improving?</t>
  </si>
  <si>
    <t>A) Back flexibility exercises, B) Shortening the routine, C) Speeding up transitions, D) Strengthening arms</t>
  </si>
  <si>
    <t>A) Back flexibility exercises</t>
  </si>
  <si>
    <t>A Malkhamb athlete has excellent strength but often misses the mark on elegance during routines. What aspect could they improve?</t>
  </si>
  <si>
    <t>A) Focus on fluidity and grace, B) Adding more strength-based moves, C) Lengthening the routine, D) Performing faster</t>
  </si>
  <si>
    <t>A) Focus on fluidity and grace</t>
  </si>
  <si>
    <t>During a high-stakes Malkhamb performance, an athlete excels at strength-based holds but struggles with incorporating dynamic movements. What should they practice?</t>
  </si>
  <si>
    <t>A) Dynamic and flowing transitions, B) More strength-based poses, C) Decreasing routine complexity, D) Flexibility exercises</t>
  </si>
  <si>
    <t>A) Dynamic and flowing transitions</t>
  </si>
  <si>
    <t>An athlete feels that their performances are too predictable because they rely on the same movements. What can they do to stand out in their next Malkhamb performance?</t>
  </si>
  <si>
    <t>A) Incorporate innovative and creative moves, B) Increase strength training, C) Reduce number of moves, D) Decrease routine speed</t>
  </si>
  <si>
    <t>A) Incorporate innovative and creative moves</t>
  </si>
  <si>
    <t>A Malkhamb competitor is great at quick movements but struggles with holding static poses for long. What should they focus on?</t>
  </si>
  <si>
    <t>A) Holding static poses for longer durations, B) Adding more speed, C) Improving flexibility, D) Adding more difficult transitions</t>
  </si>
  <si>
    <t>A) Holding static poses for longer durations</t>
  </si>
  <si>
    <t>A Malkhamb performer excels in transitions but is weak in their overall balance. What should their next training focus on?</t>
  </si>
  <si>
    <t>A) Balance and stability, B) Faster movements, C) Increasing routine complexity, D) Adding new poses</t>
  </si>
  <si>
    <t>A) Balance and stability</t>
  </si>
  <si>
    <t>A performer receives feedback about being too stiff during their Malkhamb routine. What area should they work on improving?</t>
  </si>
  <si>
    <t>A) Flexibility and fluidity, B) Strength, C) Routine speed, D) Grip strength</t>
  </si>
  <si>
    <t>A) Flexibility and fluidity</t>
  </si>
  <si>
    <t>During a Malkhamb performance, the athlete’s execution is nearly flawless, but the routine lacks audience engagement. What can be improved?</t>
  </si>
  <si>
    <t>A) Audience interaction, B) Adding more difficult moves, C) Strengthening the core, D) Faster pose transitions</t>
  </si>
  <si>
    <t>A) Audience interaction</t>
  </si>
  <si>
    <t>A Malkhamb athlete excels at the rope but struggles when performing on the pole. What should they focus on?</t>
  </si>
  <si>
    <t>A) Pole-specific techniques, B) Rope-specific drills, C) Strengthening arms, D) Improving flexibility</t>
  </si>
  <si>
    <t>A) Pole-specific techniques</t>
  </si>
  <si>
    <t>In a Malkhamb competition, a performer is excellent at maintaining poses but struggles with timing. What should be improved?</t>
  </si>
  <si>
    <t>A) Timing and coordination, B) Strength, C) Pose difficulty, D) Flexibility</t>
  </si>
  <si>
    <t>A) Timing and coordination</t>
  </si>
  <si>
    <t>A performer is struggling with transitions between aerial poses on Malkhamb. What should they work on to improve fluidity?</t>
  </si>
  <si>
    <t>A) Flexibility and agility, B) Strength training, C) Routine length, D) Static holds</t>
  </si>
  <si>
    <t>A) Flexibility and agility</t>
  </si>
  <si>
    <t>A Malkhamb performer has strong upper body strength but struggles with leg coordination. What should be their focus during training?</t>
  </si>
  <si>
    <t>A) Lower body coordination and strength, B) Increasing upper body exercises, C) Reducing routine length, D) Static poses</t>
  </si>
  <si>
    <t>A) Lower body coordination and strength</t>
  </si>
  <si>
    <t>During a Malkhamb routine, a performer lacks consistency in the fluidity of their movements. What should they work on?</t>
  </si>
  <si>
    <t>A) Consistent transitions and fluid movements, B) Static holds, C) Strength, D) Reducing complexity</t>
  </si>
  <si>
    <t>A) Consistent transitions and fluid movements</t>
  </si>
  <si>
    <t>A Malkhamb performer has excellent strength but faces difficulty in balancing during complex routines. What should they improve?</t>
  </si>
  <si>
    <t>A) Balance and control, B) Increasing routine length, C) Strengthening arms, D) Reducing routine complexity</t>
  </si>
  <si>
    <t>A) Balance and control</t>
  </si>
  <si>
    <t>An athlete loses their momentum during dynamic movements in their Malkhamb routine. What should they improve?</t>
  </si>
  <si>
    <t>A) Maintain consistent momentum, B) Strength training, C) Focus on static holds, D) Reduce the number of movements</t>
  </si>
  <si>
    <t>A) Maintain consistent momentum</t>
  </si>
  <si>
    <t>A performer’s routine is precise but lacks innovation. What can they do to make their Malkhamb routine more unique?</t>
  </si>
  <si>
    <t>A) Add creative and unique moves, B) Increase the complexity of current poses, C) Focus on speed, D) Perform longer routines</t>
  </si>
  <si>
    <t>A) Add creative and unique moves</t>
  </si>
  <si>
    <t>During a Malkhamb competition, a performer excels at complex moves but is unable to maintain stamina towards the end of the routine. What should they focus on?</t>
  </si>
  <si>
    <t>A) Stamina and endurance training, B) Adding more dynamic movements, C) Increasing routine complexity, D) Strengthening arms</t>
  </si>
  <si>
    <t>A) Stamina and endurance training</t>
  </si>
  <si>
    <t>A Malkhamb athlete is struggling to synchronize their movements with the music. What should they practice?</t>
  </si>
  <si>
    <t>A) Synchronizing movements with rhythm, B) Adding more difficult moves, C) Increasing routine speed, D) Using a different apparatus</t>
  </si>
  <si>
    <t>A) Synchronizing movements with rhythm</t>
  </si>
  <si>
    <t>An athlete’s Malkhamb routine is strong, but they struggle with dynamic transitions between poses. What could improve their routine?</t>
  </si>
  <si>
    <t>A) Focus on dynamic transitions, B) Add more static holds, C) Reduce routine length, D) Increase pose complexity</t>
  </si>
  <si>
    <t>A) Focus on dynamic transitions</t>
  </si>
  <si>
    <t>A Malkhamb athlete struggles with maintaining grace in poses. What could they work on to add elegance to their routine?</t>
  </si>
  <si>
    <t>A) Practice graceful poses and fluid movements, B) Increase strength training, C) Add more strength-based moves, D) Perform quicker transitions</t>
  </si>
  <si>
    <t>A) Practice graceful poses and fluid movements</t>
  </si>
  <si>
    <t>During a Malkhamb event, a performer misses the rhythm of their transitions. What aspect should they improve?</t>
  </si>
  <si>
    <t>A) Rhythm and coordination of transitions, B) Increasing speed, C) Adding more static poses, D) Strengthening the core</t>
  </si>
  <si>
    <t>A) Rhythm and coordination of transitions</t>
  </si>
  <si>
    <t>A Malkhamb competitor is noted for their impressive strength, but they struggle with precision. What should they focus on?</t>
  </si>
  <si>
    <t>A) Improving precision and accuracy, B) Adding more strength-based moves, C) Reducing routine length, D) Adding faster transitions</t>
  </si>
  <si>
    <t>A) Improving precision and accuracy</t>
  </si>
  <si>
    <t>A Malkhamb performer executes complex poses well but lacks consistency. What can they work on to improve their overall performance?</t>
  </si>
  <si>
    <t>A) Consistency and fluidity, B) Pose difficulty, C) Routine length, D) Strengthening the arms</t>
  </si>
  <si>
    <t>A) Consistency and fluidity</t>
  </si>
  <si>
    <t>During a Malkhamb event, an athlete’s movements are slow, and they lose points for timing. What should they improve?</t>
  </si>
  <si>
    <t>A) Timing and speed, B) Pose complexity, C) Strength training, D) Increase routine length</t>
  </si>
  <si>
    <t>A) Timing and speed</t>
  </si>
  <si>
    <t>A performer is praised for their creativity in Malkhamb but struggles with balance during transitions. What should they focus on?</t>
  </si>
  <si>
    <t>A) Balance and control during transitions, B) Increasing creativity, C) Reducing routine complexity, D) Speeding up movements</t>
  </si>
  <si>
    <t>A) Balance and control during transitions</t>
  </si>
  <si>
    <t>A Malkhamb athlete’s routine is well-rehearsed but lacks fluidity in their transitions. What should they work on to improve this?</t>
  </si>
  <si>
    <t>A) Focus on smoother transitions, B) Increase routine difficulty, C) Reduce routine length, D) Increase strength training</t>
  </si>
  <si>
    <t>A) Focus on smoother transitions</t>
  </si>
  <si>
    <t>An athlete in Malkhamb is having trouble transitioning smoothly between dynamic movements. What should they focus on?</t>
  </si>
  <si>
    <t>A) Improve dynamic movement transitions, B) Hold static poses longer, C) Perform faster, D) Increase routine complexity</t>
  </si>
  <si>
    <t>A) Improve dynamic movement transitions</t>
  </si>
  <si>
    <t>During a Malkhamb event, a performer is praised for their strength but lacks focus in flexibility. What should they prioritize in their training?</t>
  </si>
  <si>
    <t>A) Flexibility exercises, B) More strength training, C) Reduce routine speed, D) Focus on balance</t>
  </si>
  <si>
    <t>A) Flexibility exercises</t>
  </si>
  <si>
    <t>A performer receives feedback that their Malkhamb routine is strong but lacks diversity in poses. What should they work on?</t>
  </si>
  <si>
    <t>A) Add a variety of poses, B) Increase routine length, C) Increase strength-based moves, D) Reduce routine complexity</t>
  </si>
  <si>
    <t>A) Add a variety of poses</t>
  </si>
  <si>
    <t>An athlete’s Malkhamb routine is flawless, but they are advised to improve their endurance for longer performances. What should they do?</t>
  </si>
  <si>
    <t>A) Focus on endurance and stamina training, B) Shorten the routine, C) Add more strength exercises, D) Increase flexibility training</t>
  </si>
  <si>
    <t>A) Focus on endurance and stamina training</t>
  </si>
  <si>
    <t>A performer is strong in executing the initial part of their Malkhamb routine but struggles toward the end. What could improve their performance?</t>
  </si>
  <si>
    <t>A) Stamina and endurance, B) Increasing pose difficulty, C) Speed, D) Routine creativity</t>
  </si>
  <si>
    <t>During a Malkhamb competition, a performer is noted for having great upper body strength but weak coordination in their lower body. What should they focus on?</t>
  </si>
  <si>
    <t>A) Lower body coordination, B) Increasing upper body strength, C) Faster transitions, D) Improving balance</t>
  </si>
  <si>
    <t>A) Lower body coordination</t>
  </si>
  <si>
    <t>A Malkhamb performer is having difficulty creating unique poses that stand out. What can they work on to bring more originality to their routine?</t>
  </si>
  <si>
    <t>A) Adding creative and original poses, B) Increasing strength exercises, C) Reducing pose difficulty, D) Reducing routine length</t>
  </si>
  <si>
    <t>A) Adding creative and original poses</t>
  </si>
  <si>
    <t>An athlete is excelling in their strength-based Malkhamb performance but is advised to focus more on creativity. What should they incorporate into their routine?</t>
  </si>
  <si>
    <t>A) More creative and unique moves, B) Increasing routine speed, C) More strength-based exercises, D) Adding more static holds</t>
  </si>
  <si>
    <t>A) More creative and unique moves</t>
  </si>
  <si>
    <t>During a Malkhamb event, a performer receives feedback to improve the overall speed of their routine. What could they work on to address this?</t>
  </si>
  <si>
    <t>A) Speeding up pose transitions, B) Increasing routine length, C) Reducing complexity, D) Adding more difficult poses</t>
  </si>
  <si>
    <t>A) Speeding up pose transitions</t>
  </si>
  <si>
    <t>A Malkhamb athlete is praised for their strength but struggles with the complexity of their routine. What should they work on?</t>
  </si>
  <si>
    <t>A) Simplifying the routine, B) Adding more strength exercises, C) Increasing flexibility, D) Improving pose transitions</t>
  </si>
  <si>
    <t>A) Simplifying the routine</t>
  </si>
  <si>
    <t>A performer’s Malkhamb routine is technically strong but lacks emotional engagement. What could enhance their performance?</t>
  </si>
  <si>
    <t>A) Focus on emotional expression during the routine, B) Increase speed, C) Add more difficult poses, D) Increase strength exercises</t>
  </si>
  <si>
    <t>A) Focus on emotional expression during the routine</t>
  </si>
  <si>
    <t>A Malkhamb athlete struggles with transitions but has strong static poses. What should they prioritize?</t>
  </si>
  <si>
    <t>A) Smoother transitions, B) Static pose strength, C) Reducing routine complexity, D) Increasing routine length</t>
  </si>
  <si>
    <t>A) Smoother transitions</t>
  </si>
  <si>
    <t>A performer is noted for their excellent use of the apparatus but struggles with their footwork. What should they focus on?</t>
  </si>
  <si>
    <t>A) Improving footwork, B) Strengthening the core, C) Adding more difficult moves, D) Reducing routine length</t>
  </si>
  <si>
    <t>A) Improving footwork</t>
  </si>
  <si>
    <t>An athlete excels in strength-based moves but struggles with flexibility during a Malkhamb routine. What should they incorporate into their training?</t>
  </si>
  <si>
    <t>A) Flexibility training, B) Increasing strength training, C) Reducing routine speed, D) Adding more static holds</t>
  </si>
  <si>
    <t>A) Flexibility training</t>
  </si>
  <si>
    <t>During a Malkhamb performance, a performer excels in strength but is advised to work on engaging the audience. What could they improve?</t>
  </si>
  <si>
    <t>A) Audience interaction and engagement, B) Adding more strength-based moves, C) Increasing routine speed, D) Shortening the routine</t>
  </si>
  <si>
    <t>A) Audience interaction and engagement</t>
  </si>
  <si>
    <t>A Malkhamb performer has been consistently praised for their agility, but they struggle with holding static poses. What should they focus on improving?</t>
  </si>
  <si>
    <t>A) Increase static pose endurance, B) Add more dynamic moves, C) Reduce pose difficulty, D) Shorten routine duration</t>
  </si>
  <si>
    <t>A) Increase static pose endurance</t>
  </si>
  <si>
    <t>During practice, a Malkhamb athlete consistently loses grip on the rope when performing high-intensity moves. What should they work on?</t>
  </si>
  <si>
    <t>A) Strengthening grip, B) Shortening the routine, C) Adding easier moves, D) Increasing flexibility</t>
  </si>
  <si>
    <t>A) Strengthening grip</t>
  </si>
  <si>
    <t>An athlete is executing flawless moves but is advised to slow down their routine for better control. What should they work on?</t>
  </si>
  <si>
    <t>A) Improve control during transitions, B) Increase routine speed, C) Add more strength-based moves, D) Lengthen routine duration</t>
  </si>
  <si>
    <t>A) Improve control during transitions</t>
  </si>
  <si>
    <t>A Malkhamb performer is praised for their high-level flexibility but struggles with coordination during aerial moves. What should they focus on?</t>
  </si>
  <si>
    <t>A) Improve coordination during aerial moves, B) Increase flexibility training, C) Add more static holds, D) Shorten aerial sections</t>
  </si>
  <si>
    <t>A) Improve coordination during aerial moves</t>
  </si>
  <si>
    <t>A performer’s routine features creative and difficult poses, but they are critiqued for inconsistency in flow. What should they prioritize?</t>
  </si>
  <si>
    <t>A) Improve flow between poses, B) Increase pose difficulty, C) Add more strength exercises, D) Reduce routine length</t>
  </si>
  <si>
    <t>A) Improve flow between poses</t>
  </si>
  <si>
    <t>An athlete excels in power-based Malkhamb but often fumbles when transitioning between moves. What should they focus on?</t>
  </si>
  <si>
    <t>A) Smoother transitions between moves, B) Increase power moves, C) Add more static holds, D) Reduce pose difficulty</t>
  </si>
  <si>
    <t>A) Smoother transitions between moves</t>
  </si>
  <si>
    <t>A performer receives feedback that their routine is technically perfect but lacks audience engagement. What could improve their performance?</t>
  </si>
  <si>
    <t>A) Focus on adding performance charisma, B) Increase pose difficulty, C) Shorten the routine, D) Increase flexibility</t>
  </si>
  <si>
    <t>A) Focus on adding performance charisma</t>
  </si>
  <si>
    <t>During a Malkhamb event, a performer is noted for their balance, but their transitions appear slow. What should they work on?</t>
  </si>
  <si>
    <t>A) Speed up transitions, B) Focus on increasing balance, C) Add more difficult poses, D) Increase routine length</t>
  </si>
  <si>
    <t>A) Speed up transitions</t>
  </si>
  <si>
    <t>A Malkhamb athlete’s routine is well-rounded, but their footwork is weak during dynamic sequences. What should they prioritize in their training?</t>
  </si>
  <si>
    <t>A) Improve footwork, B) Add more static holds, C) Reduce pose complexity, D) Increase routine speed</t>
  </si>
  <si>
    <t>A) Improve footwork</t>
  </si>
  <si>
    <t>An athlete is told their routine lacks synchronization with the Malkhamb apparatus. What can they focus on to improve this?</t>
  </si>
  <si>
    <t>A) Better synchronization with the apparatus, B) Add more strength-based moves, C) Increase routine complexity, D) Reduce routine speed</t>
  </si>
  <si>
    <t>A) Better synchronization with the apparatus</t>
  </si>
  <si>
    <t>During a Malkhamb competition, a performer is praised for their strong upper body but lacks lower body strength. What should they work on?</t>
  </si>
  <si>
    <t>A) Strengthen lower body coordination, B) Add more upper body moves, C) Shorten the routine, D) Increase flexibility</t>
  </si>
  <si>
    <t>A) Strengthen lower body coordination</t>
  </si>
  <si>
    <t>A Malkhamb performer is strong with static poses but struggles with executing fast transitions. What should they prioritize?</t>
  </si>
  <si>
    <t>A) Focus on faster transitions, B) Add more static holds, C) Increase strength exercises, D) Reduce routine length</t>
  </si>
  <si>
    <t>A) Focus on faster transitions</t>
  </si>
  <si>
    <t>A performer’s routine is strong but lacks originality in poses. What should they focus on to stand out?</t>
  </si>
  <si>
    <t>A) Introduce more unique and creative poses, B) Increase strength exercises, C) Reduce pose difficulty, D) Shorten routine duration</t>
  </si>
  <si>
    <t>A) Introduce more unique and creative poses</t>
  </si>
  <si>
    <t>An athlete is performing advanced poses but struggles with balance during high-intensity moves. What can improve their performance?</t>
  </si>
  <si>
    <t>A) Focus on balance during high-intensity moves, B) Add easier poses, C) Reduce routine length, D) Increase flexibility</t>
  </si>
  <si>
    <t>A) Focus on balance during high-intensity moves</t>
  </si>
  <si>
    <t>During a Malkhamb event, a performer has a strong routine but lacks fluidity in their aerial transitions. What should they prioritize?</t>
  </si>
  <si>
    <t>A) Improve aerial transitions, B) Increase routine complexity, C) Focus on strength-based moves, D) Add more static holds</t>
  </si>
  <si>
    <t>A) Improve aerial transitions</t>
  </si>
  <si>
    <t>A Malkhamb athlete struggles with the precision of their movements but is praised for their strength. What should they focus on?</t>
  </si>
  <si>
    <t>A) Improve movement precision, B) Add more strength exercises, C) Increase routine speed, D) Reduce routine complexity</t>
  </si>
  <si>
    <t>A) Improve movement precision</t>
  </si>
  <si>
    <t>A performer is strong in executing complex movements but struggles with holding balance during transitions. What should they work on?</t>
  </si>
  <si>
    <t>A) Improve balance during transitions, B) Add more dynamic moves, C) Reduce routine difficulty, D) Increase routine speed</t>
  </si>
  <si>
    <t>A) Improve balance during transitions</t>
  </si>
  <si>
    <t>An athlete is performing a flawless routine but is advised to increase their flexibility for better execution of certain moves. What should they do?</t>
  </si>
  <si>
    <t>A) Increase flexibility training, B) Shorten routine duration, C) Add more strength exercises, D) Increase routine speed</t>
  </si>
  <si>
    <t>A) Increase flexibility training</t>
  </si>
  <si>
    <t>During practice, a performer frequently struggles with executing poses that require upper body strength. What should they focus on?</t>
  </si>
  <si>
    <t>A) Strengthen upper body, B) Reduce pose difficulty, C) Increase flexibility, D) Shorten routine duration</t>
  </si>
  <si>
    <t>A) Strengthen upper body</t>
  </si>
  <si>
    <t>A Malkhamb athlete performs creative poses but lacks control during dynamic sequences. What can they work on?</t>
  </si>
  <si>
    <t>A) Improve control during dynamic sequences, B) Add more static poses, C) Reduce routine complexity, D) Increase routine speed</t>
  </si>
  <si>
    <t>A) Improve control during dynamic sequences</t>
  </si>
  <si>
    <t>A performer’s routine is strong but they are advised to work on their core strength for better stability. What should they focus on?</t>
  </si>
  <si>
    <t>A) Core strength exercises, B) Reduce routine complexity, C) Add more dynamic moves, D) Increase routine length</t>
  </si>
  <si>
    <t>A) Core strength exercises</t>
  </si>
  <si>
    <t>An athlete excels in fluid transitions but struggles with high-intensity poses that require strength. What should they work on?</t>
  </si>
  <si>
    <t>A) Strength training, B) Increase routine speed, C) Add more creative poses, D) Focus on flexibility</t>
  </si>
  <si>
    <t>During a Malkhamb performance, an athlete’s routine is technically strong but lacks variation. What should they focus on to add more depth to their performance?</t>
  </si>
  <si>
    <t>A) Incorporate varied and creative moves, B) Add more strength-based moves, C) Reduce routine length, D) Increase flexibility</t>
  </si>
  <si>
    <t>A) Incorporate varied and creative moves</t>
  </si>
  <si>
    <t>A performer is executing difficult poses but struggles with the speed of their transitions. What should they focus on?</t>
  </si>
  <si>
    <t>A) Speed up transitions, B) Add more static poses, C) Reduce routine difficulty, D) Shorten routine duration</t>
  </si>
  <si>
    <t>A Malkhamb athlete is excelling in complex moves but lacks balance during inverted poses. What should they prioritize?</t>
  </si>
  <si>
    <t>A) Improve balance in inverted poses, B) Add more difficult poses, C) Increase routine speed, D) Focus on strength training</t>
  </si>
  <si>
    <t>A) Improve balance in inverted poses</t>
  </si>
  <si>
    <t>During a Malkhamb competition, a performer is praised for their creativity but is advised to slow down for better control. What should they focus on?</t>
  </si>
  <si>
    <t>A) Increase control during slower movements, B) Add more dynamic moves, C) Reduce routine complexity, D) Increase strength-based moves</t>
  </si>
  <si>
    <t>A) Increase control during slower movements</t>
  </si>
  <si>
    <t>An athlete performs high-level strength-based moves but struggles with flexibility in certain transitions. What should they focus on improving?</t>
  </si>
  <si>
    <t>A) Flexibility, B) Increase strength training, C) Reduce routine complexity, D) Add more dynamic moves</t>
  </si>
  <si>
    <t>A) Flexibility</t>
  </si>
  <si>
    <t>A Malkhamb performer is strong in executing difficult movements but lacks confidence in their routines. What should they work on?</t>
  </si>
  <si>
    <t>A) Boosting performance confidence, B) Adding easier moves, C) Increasing routine length, D) Focusing on balance exercises</t>
  </si>
  <si>
    <t>A) Boosting performance confidence</t>
  </si>
  <si>
    <t>During practice, an athlete excels in flexibility-based moves but struggles with executing power moves. What can they focus on?</t>
  </si>
  <si>
    <t>A) Strength training, B) Increase flexibility exercises, C) Reduce routine complexity, D) Add more static poses</t>
  </si>
  <si>
    <t>A Malkhamb athlete is performing a flawless routine but is advised to improve their upper body coordination. What should they focus on?</t>
  </si>
  <si>
    <t>A) Upper body coordination, B) Increase routine speed, C) Add more strength-based poses, D) Increase flexibility</t>
  </si>
  <si>
    <t>A) Upper body coordination</t>
  </si>
  <si>
    <t>A Malkhamb athlete is known for their flexibility but struggles with holding strength-based poses for extended periods. During a performance, the judges notice this weakness. What should they focus on improving?</t>
  </si>
  <si>
    <t>A) Strength endurance, B) Increasing flexibility, C) Adding more transitions, D) Shortening routine duration</t>
  </si>
  <si>
    <t>A) Strength endurance</t>
  </si>
  <si>
    <t>During a Malkhamb competition, an athlete finds it difficult to balance while transitioning from one aerial pose to another. What aspect should they focus on during training?</t>
  </si>
  <si>
    <t>A) Improve balance during transitions, B) Increase aerial strength, C) Add more static holds, D) Reduce transition speed</t>
  </si>
  <si>
    <t>A Malkhamb performer is excelling in their routine but is told they need to work on their foot placement during static poses. What should they focus on?</t>
  </si>
  <si>
    <t>A) Refining foot placement, B) Increasing pose difficulty, C) Improving upper body strength, D) Speeding up transitions</t>
  </si>
  <si>
    <t>A) Refining foot placement</t>
  </si>
  <si>
    <t>During a practice session, a performer has great transitions but lacks control during complex power moves. What should they focus on improving?</t>
  </si>
  <si>
    <t>A) Control in power moves, B) Speed of transitions, C) Increasing flexibility, D) Shortening routine</t>
  </si>
  <si>
    <t>A) Control in power moves</t>
  </si>
  <si>
    <t>A Malkhamb performer is consistent with dynamic moves but struggles with smooth transitions between strength-based poses. What should they work on?</t>
  </si>
  <si>
    <t>A) Improving transition fluidity, B) Adding more static poses, C) Reducing pose complexity, D) Increasing routine speed</t>
  </si>
  <si>
    <t>A) Improving transition fluidity</t>
  </si>
  <si>
    <t>An athlete frequently loses grip while attempting complex moves on the rope Malkhamb. What should be their area of improvement?</t>
  </si>
  <si>
    <t>A) Strengthen grip, B) Focus on flexibility, C) Increase pose variety, D) Reduce routine duration</t>
  </si>
  <si>
    <t>A) Strengthen grip</t>
  </si>
  <si>
    <t>During a high-level Malkhamb competition, an athlete's routine is flawless but they are criticized for a lack of engagement with the audience. What could improve their performance?</t>
  </si>
  <si>
    <t>A) Increasing audience interaction, B) Adding more difficult moves, C) Shortening the routine, D) Improving pose complexity</t>
  </si>
  <si>
    <t>A) Increasing audience interaction</t>
  </si>
  <si>
    <t>An athlete's routine is technically strong, but they have difficulty holding certain poses at a high level on the pole. What should they work on?</t>
  </si>
  <si>
    <t>A) Strengthen core stability, B) Increase flexibility, C) Speed up the routine, D) Add more transitions</t>
  </si>
  <si>
    <t>A) Strengthen core stability</t>
  </si>
  <si>
    <t>A Malkhamb performer is praised for their dynamic movements but finds it challenging to maintain flexibility during the routine. What should they focus on?</t>
  </si>
  <si>
    <t>A) Enhance flexibility during dynamic moves, B) Increase power moves, C) Reduce routine complexity, D) Add more static poses</t>
  </si>
  <si>
    <t>A) Enhance flexibility during dynamic moves</t>
  </si>
  <si>
    <t>An athlete performs a complicated sequence of moves but has trouble balancing on the pole Malkhamb during static holds. What should they prioritize?</t>
  </si>
  <si>
    <t>A) Focus on balance during static holds, B) Increase dynamic moves, C) Speed up transitions, D) Shorten the routine</t>
  </si>
  <si>
    <t>A) Focus on balance during static holds</t>
  </si>
  <si>
    <t>During a Malkhamb performance, the athlete executes all the moves perfectly but struggles to maintain stamina throughout the routine. What should they work on?</t>
  </si>
  <si>
    <t>A) Improve endurance, B) Increase strength training, C) Add more flexibility exercises, D) Reduce routine length</t>
  </si>
  <si>
    <t>A) Improve endurance</t>
  </si>
  <si>
    <t>A performer is advised to increase creativity in their routine, as their execution is flawless but lacks originality. What could enhance their routine?</t>
  </si>
  <si>
    <t>A) Add more creative poses, B) Increase speed of transitions, C) Focus on power moves, D) Shorten the routine</t>
  </si>
  <si>
    <t>A) Add more creative poses</t>
  </si>
  <si>
    <t>An athlete is known for their strength but struggles to coordinate their movements during transitions on the rope Malkhamb. What should they improve?</t>
  </si>
  <si>
    <t>A) Coordination during transitions, B) Increase flexibility, C) Add more static poses, D) Shorten routine duration</t>
  </si>
  <si>
    <t>A) Coordination during transitions</t>
  </si>
  <si>
    <t>During a competition, a Malkhamb performer is praised for their aerial skills but criticized for their weak landings. What should they focus on improving?</t>
  </si>
  <si>
    <t>A) Focus on controlled landings, B) Increase aerial difficulty, C) Add more strength-based moves, D) Lengthen routine</t>
  </si>
  <si>
    <t>A) Focus on controlled landings</t>
  </si>
  <si>
    <t>A Malkhamb athlete performs a series of dynamic moves but is told to improve their posture during static poses. What should they work on?</t>
  </si>
  <si>
    <t>A) Improve posture during static poses, B) Add more dynamic transitions, C) Increase flexibility training, D) Reduce pose difficulty</t>
  </si>
  <si>
    <t>A) Improve posture during static poses</t>
  </si>
  <si>
    <t>A performer is excellent in dynamic transitions but often falters during strength-based holds on the pole. What can they work on?</t>
  </si>
  <si>
    <t>A) Build strength for static holds, B) Reduce pose complexity, C) Increase routine speed, D) Add more flexibility-based moves</t>
  </si>
  <si>
    <t>A) Build strength for static holds</t>
  </si>
  <si>
    <t>During practice, a Malkhamb athlete struggles with staying on the pole while transitioning between fast-paced poses. What should they focus on?</t>
  </si>
  <si>
    <t>A) Improve grip strength during fast transitions, B) Add more static poses, C) Increase flexibility, D) Reduce routine duration</t>
  </si>
  <si>
    <t>A) Improve grip strength during fast transitions</t>
  </si>
  <si>
    <t>An athlete executes complex aerial moves on the rope Malkhamb but struggles with balance during landing. What should they improve?</t>
  </si>
  <si>
    <t>A) Balance during landings, B) Add more aerial poses, C) Increase routine speed, D) Focus on strength training</t>
  </si>
  <si>
    <t>A) Balance during landings</t>
  </si>
  <si>
    <t>A Malkhamb performer has exceptional strength but their routine lacks fluidity, making their transitions appear stiff. What should they prioritize?</t>
  </si>
  <si>
    <t>A) Focus on fluid transitions, B) Add more strength-based moves, C) Reduce routine speed, D) Increase flexibility</t>
  </si>
  <si>
    <t>A) Focus on fluid transitions</t>
  </si>
  <si>
    <t>During a competition, a Malkhamb athlete performs a flawless routine but fails to engage with the rhythm of the background music. What can improve their performance?</t>
  </si>
  <si>
    <t>A) Synchronize movements with music, B) Add more strength-based moves, C) Speed up the routine, D) Increase flexibility</t>
  </si>
  <si>
    <t>A) Synchronize movements with music</t>
  </si>
  <si>
    <t>An athlete excels at static poses on the pole but lacks strength in their aerial transitions. What should they focus on improving?</t>
  </si>
  <si>
    <t>A) Strength during aerial transitions, B) Increase static pose difficulty, C) Shorten the routine, D) Reduce dynamic moves</t>
  </si>
  <si>
    <t>A) Strength during aerial transitions</t>
  </si>
  <si>
    <t>A Malkhamb performer is able to execute complex poses but often struggles with the timing of transitions during competition. What should they work on?</t>
  </si>
  <si>
    <t>A) Improve timing of transitions, B) Increase strength training, C) Reduce pose difficulty, D) Add more static holds</t>
  </si>
  <si>
    <t>A) Improve timing of transitions</t>
  </si>
  <si>
    <t>During practice, an athlete is proficient at power moves but struggles with balance during slower sections of the routine. What should they focus on?</t>
  </si>
  <si>
    <t>A) Balance during slower sections, B) Add more dynamic moves, C) Increase strength exercises, D) Shorten routine</t>
  </si>
  <si>
    <t>A) Balance during slower sections</t>
  </si>
  <si>
    <t>A Malkhamb athlete’s routine is fast-paced, but they have difficulty holding certain poses for the required amount of time. What should they focus on?</t>
  </si>
  <si>
    <t>A) Holding poses longer, B) Speeding up transitions, C) Adding easier poses, D) Reducing routine complexity</t>
  </si>
  <si>
    <t>A) Holding poses longer</t>
  </si>
  <si>
    <t>A performer consistently has trouble with their grip strength on the rope Malkhamb, which affects their execution of aerial moves. What should they focus on improving?</t>
  </si>
  <si>
    <t>A) Grip strength, B) Flexibility, C) Static pose duration, D) Speed of transitions</t>
  </si>
  <si>
    <t>A) Grip strength</t>
  </si>
  <si>
    <t>During a competition, an athlete is praised for their strength but criticized for their lack of fluidity in transitions. What should they improve?</t>
  </si>
  <si>
    <t>A) Fluidity in transitions, B) Increase strength-based moves, C) Add more flexibility, D) Reduce routine speed</t>
  </si>
  <si>
    <t>A) Fluidity in transitions</t>
  </si>
  <si>
    <t>A Malkhamb athlete finds it difficult to maintain balance while transitioning between complex power moves. What should they focus on?</t>
  </si>
  <si>
    <t>A) Improve balance during power transitions, B) Add more dynamic moves, C) Increase flexibility training, D) Shorten the routine</t>
  </si>
  <si>
    <t>A) Improve balance during power transitions</t>
  </si>
  <si>
    <t>A Malkhamb athlete performs well in individual poses but struggles to maintain consistency throughout a long routine. What should they focus on improving?</t>
  </si>
  <si>
    <t>A) Routine consistency, B) Pose difficulty, C) Transition speed, D) Flexibility</t>
  </si>
  <si>
    <t>A) Routine consistency</t>
  </si>
  <si>
    <t>During a competition, an athlete is criticized for their lack of synchronization with the music. What is a key area to address?</t>
  </si>
  <si>
    <t>A) Synchronization with music, B) Increasing routine complexity, C) Adding more static poses, D) Improving flexibility</t>
  </si>
  <si>
    <t>A) Synchronization with music</t>
  </si>
  <si>
    <t>An athlete excels in strength-based poses but finds it challenging to perform aerial moves smoothly. What should they work on?</t>
  </si>
  <si>
    <t>A) Aerial transitions, B) Strength training, C) Flexibility exercises, D) Reducing routine complexity</t>
  </si>
  <si>
    <t>A) Aerial transitions</t>
  </si>
  <si>
    <t>A performer’s routine is technically strong but lacks artistic expression. What should they focus on to enhance their performance?</t>
  </si>
  <si>
    <t>A) Artistic expression, B) Adding more complex moves, C) Increasing strength training, D) Speeding up the routine</t>
  </si>
  <si>
    <t>A) Artistic expression</t>
  </si>
  <si>
    <t>During practice, an athlete often loses balance when transitioning from a static pose to a dynamic move. What is a critical aspect to improve?</t>
  </si>
  <si>
    <t>A) Balance during transitions, B) Strength in static poses, C) Flexibility, D) Speed of transitions</t>
  </si>
  <si>
    <t>A) Balance during transitions</t>
  </si>
  <si>
    <t>An athlete is strong in dynamic movements but struggles with static poses that require endurance. What should they focus on?</t>
  </si>
  <si>
    <t>A) Endurance in static poses, B) Increasing dynamic moves, C) Improving flexibility, D) Shortening the routine</t>
  </si>
  <si>
    <t>A) Endurance in static poses</t>
  </si>
  <si>
    <t>A Malkhamb performer is praised for their balance but is advised to work on their grip strength. What aspect of their training should they prioritize?</t>
  </si>
  <si>
    <t>A) Grip strength, B) Balance, C) Flexibility, D) Routine speed</t>
  </si>
  <si>
    <t>During a competition, an athlete’s routine appears rehearsed but lacks spontaneity. What should they work on to improve their performance?</t>
  </si>
  <si>
    <t>A) Adding spontaneity, B) Increasing routine complexity, C) Enhancing strength training, D) Reducing routine length</t>
  </si>
  <si>
    <t>A) Adding spontaneity</t>
  </si>
  <si>
    <t>An athlete is able to perform complex aerial moves but struggles with fluid transitions between poses. What should they focus on improving?</t>
  </si>
  <si>
    <t>A) Fluid transitions, B) Strength in aerial moves, C) Flexibility, D) Shortening the routine</t>
  </si>
  <si>
    <t>A) Fluid transitions</t>
  </si>
  <si>
    <t>A Malkhamb performer has great strength but struggles with maintaining grace during slow, controlled movements. What should they work on?</t>
  </si>
  <si>
    <t>A) Grace in controlled movements, B) Increasing strength, C) Adding more dynamic moves, D) Reducing routine complexity</t>
  </si>
  <si>
    <t>A) Grace in controlled movements</t>
  </si>
  <si>
    <t>During practice, an athlete’s routine lacks smoothness during quick transitions. What is the primary area to address?</t>
  </si>
  <si>
    <t>A) Smoothness in transitions, B) Increasing pose difficulty, C) Enhancing grip strength, D) Improving flexibility</t>
  </si>
  <si>
    <t>A) Smoothness in transitions</t>
  </si>
  <si>
    <t>A performer is advised to improve their performance aesthetics but has difficulty maintaining balance during poses. What should they focus on?</t>
  </si>
  <si>
    <t>A) Balance during poses, B) Enhancing aesthetics, C) Adding more strength moves, D) Shortening routine duration</t>
  </si>
  <si>
    <t>A) Balance during poses</t>
  </si>
  <si>
    <t>An athlete’s routine includes complex movements, but their endurance falters towards the end. What should they improve?</t>
  </si>
  <si>
    <t>A) Endurance, B) Movement complexity, C) Flexibility, D) Speed of transitions</t>
  </si>
  <si>
    <t>A) Endurance</t>
  </si>
  <si>
    <t>During a Malkhamb performance, an athlete executes moves perfectly but struggles with maintaining a steady rhythm. What should they focus on?</t>
  </si>
  <si>
    <t>A) Maintaining steady rhythm, B) Increasing move difficulty, C) Adding more transitions, D) Improving flexibility</t>
  </si>
  <si>
    <t>A) Maintaining steady rhythm</t>
  </si>
  <si>
    <t>A performer is noted for their strength but needs to enhance their flexibility during complex transitions. What should they prioritize?</t>
  </si>
  <si>
    <t>A) Flexibility in transitions, B) Increasing strength, C) Adding more static poses, D) Reducing routine length</t>
  </si>
  <si>
    <t>A) Flexibility in transitions</t>
  </si>
  <si>
    <t>An athlete finds it challenging to hold poses due to a lack of core stability. What should they work on to improve their performance?</t>
  </si>
  <si>
    <t>A) Core stability, B) Increasing strength training, C) Enhancing flexibility, D) Adding more dynamic moves</t>
  </si>
  <si>
    <t>A) Core stability</t>
  </si>
  <si>
    <t>During a competition, a Malkhamb performer is strong in strength-based poses but struggles with the artistic aspect of their routine. What should they improve?</t>
  </si>
  <si>
    <t>A) Artistic expression, B) Strength in poses, C) Flexibility, D) Speed of transitions</t>
  </si>
  <si>
    <t>A Malkhamb athlete has trouble performing complex moves on the rope due to inconsistent grip strength. What should be their focus?</t>
  </si>
  <si>
    <t>A) Consistent grip strength, B) Flexibility, C) Pose difficulty, D) Routine speed</t>
  </si>
  <si>
    <t>A) Consistent grip strength</t>
  </si>
  <si>
    <t>An athlete performs a flawless routine but is criticized for a lack of energy throughout their performance. What should they work on?</t>
  </si>
  <si>
    <t>A) Maintaining energy throughout the routine, B) Increasing routine complexity, C) Adding more static holds, D) Improving flexibility</t>
  </si>
  <si>
    <t>A) Maintaining energy throughout the routine</t>
  </si>
  <si>
    <t>A Malkhamb performer struggles with executing high-level strength moves with precision. What area should they focus on improving?</t>
  </si>
  <si>
    <t>A) Precision in strength moves, B) Increasing routine complexity, C) Enhancing flexibility, D) Reducing routine length</t>
  </si>
  <si>
    <t>A) Precision in strength moves</t>
  </si>
  <si>
    <t>During practice, an athlete finds it difficult to smoothly transition from one move to another on the pole Malkhamb. What is a key area to improve?</t>
  </si>
  <si>
    <t>A) Transition smoothness, B) Increasing move difficulty, C) Adding more strength training, D) Reducing routine complexity</t>
  </si>
  <si>
    <t>A) Transition smoothness</t>
  </si>
  <si>
    <t>A Malkhamb performer excels in dynamic movements but struggles with maintaining balance during slow transitions. What should they focus on?</t>
  </si>
  <si>
    <t>A) Balance during slow transitions, B) Increasing dynamic moves, C) Adding more strength exercises, D) Shortening routine length</t>
  </si>
  <si>
    <t>A) Balance during slow transitions</t>
  </si>
  <si>
    <t>An athlete’s routine lacks creativity despite strong technical execution. What should they focus on to enhance their performance?</t>
  </si>
  <si>
    <t>A) Adding creativity to the routine, B) Increasing strength, C) Adding more static poses, D) Reducing routine complexity</t>
  </si>
  <si>
    <t>A) Adding creativity to the routine</t>
  </si>
  <si>
    <t>A Malkhamb athlete is praised for their endurance but needs to work on their ability to execute precise movements. What should they focus on?</t>
  </si>
  <si>
    <t>A) Precision in movements, B) Increasing endurance, C) Adding more dynamic moves, D) Improving flexibility</t>
  </si>
  <si>
    <t>A) Precision in movements</t>
  </si>
  <si>
    <t>During a performance, an athlete struggles with maintaining the correct form during complex poses. What should they prioritize?</t>
  </si>
  <si>
    <t>A) Correct form in complex poses, B) Increasing pose difficulty, C) Enhancing flexibility, D) Speeding up transitions</t>
  </si>
  <si>
    <t>A) Correct form in complex poses</t>
  </si>
  <si>
    <t>A performer is advised to work on their flexibility in transitions, as their routine appears stiff. What is the key focus for improvement?</t>
  </si>
  <si>
    <t>A) Flexibility in transitions, B) Increasing move difficulty, C) Adding more static poses, D) Reducing routine length</t>
  </si>
  <si>
    <t>An athlete’s performance is strong but lacks smooth coordination between different sections of their routine. What should they work on?</t>
  </si>
  <si>
    <t>A) Coordination between routine sections, B) Increasing routine difficulty, C) Adding more dynamic moves, D) Improving flexibility</t>
  </si>
  <si>
    <t>A) Coordination between routine sections</t>
  </si>
  <si>
    <t>A Malkhamb performer is known for their strong performance but is advised to enhance their facial expressions during routines. What should they focus on?</t>
  </si>
  <si>
    <t>A) Facial expressions, B) Increasing strength, C) Adding more complex moves, D) Improving flexibility</t>
  </si>
  <si>
    <t>A) Facial expressions</t>
  </si>
  <si>
    <t>An athlete finds that their routine lacks flow due to abrupt transitions between poses. What should they work on improving?</t>
  </si>
  <si>
    <t>A) Smooth transitions, B) Increasing routine complexity, C) Enhancing strength, D) Shortening the routine</t>
  </si>
  <si>
    <t>A) Smooth transitions</t>
  </si>
  <si>
    <t>A Malkhamb athlete is strong in strength poses but finds it challenging to perform graceful movements. What should they focus on?</t>
  </si>
  <si>
    <t>A) Graceful movements, B) Increasing strength poses, C) Adding more dynamic elements, D) Improving flexibility</t>
  </si>
  <si>
    <t>A) Graceful movements</t>
  </si>
  <si>
    <t>During a routine, an athlete struggles to maintain concentration while performing intricate moves. What is the key area to address?</t>
  </si>
  <si>
    <t>A) Concentration during intricate moves, B) Increasing move difficulty, C) Enhancing strength, D) Reducing routine length</t>
  </si>
  <si>
    <t>A) Concentration during intricate moves</t>
  </si>
  <si>
    <t>An athlete performs well but has been advised to work on their expression of emotion during their routine. What should they focus on?</t>
  </si>
  <si>
    <t>A) Expressing emotion, B) Increasing routine difficulty, C) Adding more dynamic moves, D) Improving flexibility</t>
  </si>
  <si>
    <t>A) Expressing emotion</t>
  </si>
  <si>
    <t>A performer excels in individual moves but struggles to integrate them into a cohesive routine. What should they improve?</t>
  </si>
  <si>
    <t>A) Integration of moves into a routine, B) Difficulty of individual moves, C) Strength training, D) Routine speed</t>
  </si>
  <si>
    <t>A) Integration of moves into a routine</t>
  </si>
  <si>
    <t>A Malkhamb athlete needs to enhance their ability to perform high-intensity moves while maintaining a consistent pace. What should they work on?</t>
  </si>
  <si>
    <t>A) Consistent pace in high-intensity moves, B) Increasing intensity of moves, C) Adding more static poses, D) Improving flexibility</t>
  </si>
  <si>
    <t>A) Consistent pace in high-intensity moves</t>
  </si>
  <si>
    <t>During a performance, an athlete is praised for their precision but is advised to work on their overall energy levels. What should they focus on?</t>
  </si>
  <si>
    <t>A) Energy levels throughout the routine, B) Precision in moves, C) Increasing routine complexity, D) Enhancing flexibility</t>
  </si>
  <si>
    <t>A) Energy levels throughout the routine</t>
  </si>
  <si>
    <t>A Malkhamb performer finds it challenging to keep their movements fluid during a high-paced routine. What should they focus on improving?</t>
  </si>
  <si>
    <t>A) Fluidity in high-paced routines, B) Increasing move difficulty, C) Enhancing strength, D) Shortening the routine</t>
  </si>
  <si>
    <t>A) Fluidity in high-paced routines</t>
  </si>
  <si>
    <t>An athlete’s routine is strong in technical execution but lacks creativity. What should they work on to enhance their performance?</t>
  </si>
  <si>
    <t>A) Creativity in routine, B) Technical execution, C) Increasing routine difficulty, D) Improving flexibility</t>
  </si>
  <si>
    <t>A) Creativity in routine</t>
  </si>
  <si>
    <t>During practice, an athlete’s routine is noted for its technical prowess but is criticized for its lack of rhythm. What is the key area to address?</t>
  </si>
  <si>
    <t>A) Rhythm in the routine, B) Technical execution, C) Adding more dynamic moves, D) Improving flexibility</t>
  </si>
  <si>
    <t>A) Rhythm in the routine</t>
  </si>
  <si>
    <t>A Malkhamb performer is praised for their strength but needs to work on their balance during intricate moves. What should they focus on?</t>
  </si>
  <si>
    <t>A) Balance during intricate moves, B) Increasing strength, C) Adding more static poses, D) Reducing routine complexity</t>
  </si>
  <si>
    <t>A) Balance during intricate moves</t>
  </si>
  <si>
    <t>An athlete finds it difficult to maintain composure during high-pressure performances. What should they work on to improve?</t>
  </si>
  <si>
    <t>A) Composure under pressure, B) Increasing routine difficulty, C) Enhancing strength, D) Improving flexibility</t>
  </si>
  <si>
    <t>A) Composure under pressure</t>
  </si>
  <si>
    <t>A Malkhamb athlete excels in strength but struggles with fluidity in their transitions between poses. What should they focus on?</t>
  </si>
  <si>
    <t>A) Fluidity in transitions, B) Increasing strength, C) Adding more dynamic moves, D) Reducing routine length</t>
  </si>
  <si>
    <t>During practice, a performer is noted for their strength but lacks precision in performing complex moves. What should they improve?</t>
  </si>
  <si>
    <t>A) Precision in complex moves, B) Increasing strength, C) Adding more static poses, D) Improving flexibility</t>
  </si>
  <si>
    <t>A) Precision in complex moves</t>
  </si>
  <si>
    <t>A Malkhamb athlete is advised to work on their energy levels during their routine, which appears lacking. What should they focus on?</t>
  </si>
  <si>
    <t>A) Energy levels during routine, B) Increasing difficulty, C) Adding more strength-based moves, D) Improving flexibility</t>
  </si>
  <si>
    <t>A) Energy levels during routine</t>
  </si>
  <si>
    <t>An athlete finds it challenging to execute smooth transitions in their routine due to a lack of coordination. What should they work on?</t>
  </si>
  <si>
    <t>A) Coordination in transitions, B) Increasing routine complexity, C) Enhancing strength, D) Improving flexibility</t>
  </si>
  <si>
    <t>A) Coordination in transitions</t>
  </si>
  <si>
    <t>A performer is praised for their dynamic moves but needs to work on their endurance during long routines. What should they focus on?</t>
  </si>
  <si>
    <t>A) Endurance during long routines, B) Increasing dynamic moves, C) Adding more static poses, D) Reducing routine length</t>
  </si>
  <si>
    <t>A) Endurance during long routines</t>
  </si>
  <si>
    <t>A Malkhamb athlete is noted for their precise execution of moves but struggles with overall routine fluidity. What should they improve?</t>
  </si>
  <si>
    <t>A) Routine fluidity, B) Precision in moves, C) Adding more dynamic elements, D) Enhancing flexibility</t>
  </si>
  <si>
    <t>A) Routine fluidity</t>
  </si>
  <si>
    <t>During a performance, an athlete is criticized for their lack of expressiveness in their routine. What is a key area to address?</t>
  </si>
  <si>
    <t>A) Expressiveness, B) Technical execution, C) Adding more complex moves, D) Improving flexibility</t>
  </si>
  <si>
    <t>A) Expressiveness</t>
  </si>
  <si>
    <t>A Malkhamb performer’s routine lacks flow between different sections. What should they work on to enhance their performance?</t>
  </si>
  <si>
    <t>A) Flow between sections, B) Increasing difficulty, C) Adding more dynamic moves, D) Improving flexibility</t>
  </si>
  <si>
    <t>A) Flow between sections</t>
  </si>
  <si>
    <t>An athlete is strong in static poses but finds it difficult to maintain energy throughout their routine. What should they improve?</t>
  </si>
  <si>
    <t>A) Energy throughout the routine, B) Strength in static poses, C) Increasing dynamic moves, D) Reducing routine length</t>
  </si>
  <si>
    <t>A) Energy throughout the routine</t>
  </si>
  <si>
    <t>During a Malkhamb competition, a performer is noted for their technical skills but needs to work on their artistic presentation. What should they focus on?</t>
  </si>
  <si>
    <t>A) Artistic presentation, B) Technical skills, C) Increasing routine complexity, D) Improving flexibility</t>
  </si>
  <si>
    <t>A) Artistic presentation</t>
  </si>
  <si>
    <t>A Malkhamb athlete has difficulty with their grip strength during high-intensity moves. What should be their primary focus?</t>
  </si>
  <si>
    <t>A) Grip strength, B) Flexibility, C) Pose difficulty, D) Routine speed</t>
  </si>
  <si>
    <t>An athlete’s routine is technically flawless but lacks the emotional connection with the audience. What should they improve?</t>
  </si>
  <si>
    <t>A) Emotional connection with the audience, B) Technical execution, C) Adding more complex moves, D) Enhancing flexibility</t>
  </si>
  <si>
    <t>A) Emotional connection with the audience</t>
  </si>
  <si>
    <t>A Malkhamb performer is advised to work on their overall routine flow due to inconsistent pacing. What should they focus on?</t>
  </si>
  <si>
    <t>A) Consistent pacing, B) Increasing routine complexity, C) Enhancing strength, D) Improving flexibility</t>
  </si>
  <si>
    <t>A) Consistent pacing</t>
  </si>
  <si>
    <t>During practice, an athlete’s performance is noted for its precision but lacks overall energy. What is the key area to address?</t>
  </si>
  <si>
    <t>A) Overall energy, B) Precision in moves, C) Adding more dynamic elements, D) Enhancing flexibility</t>
  </si>
  <si>
    <t>A) Overall energy</t>
  </si>
  <si>
    <t>A Malkhamb athlete is strong in dynamic movements but struggles with endurance during extended routines. What should they focus on improving?</t>
  </si>
  <si>
    <t>A) Endurance in extended routines, B) Increasing dynamic movements, C) Enhancing strength, D) Improving flexibility</t>
  </si>
  <si>
    <t>A) Endurance in extended routines</t>
  </si>
  <si>
    <t>An athlete finds it challenging to maintain a steady rhythm in their routine. What is the primary focus for improvement?</t>
  </si>
  <si>
    <t>A) Steady rhythm, B) Increasing move difficulty, C) Enhancing strength, D) Improving flexibility</t>
  </si>
  <si>
    <t>A) Steady rhythm</t>
  </si>
  <si>
    <t>A Malkhamb performer is noted for their strength but struggles with graceful transitions between poses. What should they work on?</t>
  </si>
  <si>
    <t>A) Graceful transitions, B) Increasing strength, C) Adding more static poses, D) Reducing routine complexity</t>
  </si>
  <si>
    <t>A) Graceful transitions</t>
  </si>
  <si>
    <t>During a performance, an athlete is praised for their precision but needs to work on their overall coordination. What should they focus on?</t>
  </si>
  <si>
    <t>A) Overall coordination, B) Precision in moves, C) Adding more dynamic moves, D) Enhancing flexibility</t>
  </si>
  <si>
    <t>A) Overall coordination</t>
  </si>
  <si>
    <t>A Malkhamb athlete struggles to maintain composure during high-pressure routines. What is a key area to address?</t>
  </si>
  <si>
    <t>An athlete’s routine is strong in strength but lacks fluidity during transitions. What should they improve?</t>
  </si>
  <si>
    <t>A) Fluidity in transitions, B) Increasing strength, C) Adding more dynamic elements, D) Reducing routine length</t>
  </si>
  <si>
    <t>A performer is advised to improve their balance during complex moves. What should be their focus?</t>
  </si>
  <si>
    <t>A) Balance during complex moves, B) Increasing move difficulty, C) Enhancing strength, D) Improving flexibility</t>
  </si>
  <si>
    <t>A) Balance during complex moves</t>
  </si>
  <si>
    <t>A Malkhamb athlete finds it difficult to execute high-intensity moves with consistency. What should they work on?</t>
  </si>
  <si>
    <t>A) Consistency in high-intensity moves, B) Increasing intensity, C) Adding more static poses, D) Improving flexibility</t>
  </si>
  <si>
    <t>A) Consistency in high-intensity moves</t>
  </si>
  <si>
    <t>During a routine, an athlete is noted for their technical execution but needs to work on their overall routine energy. What is the key area to improve?</t>
  </si>
  <si>
    <t>A) Overall routine energy, B) Technical execution, C) Increasing difficulty, D) Enhancing flexibility</t>
  </si>
  <si>
    <t>A) Overall routine energy</t>
  </si>
  <si>
    <t>An athlete struggles with the artistic aspect of their routine despite strong technical performance. What should they focus on?</t>
  </si>
  <si>
    <t>A) Artistic expression, B) Technical performance, C) Adding more complex moves, D) Improving flexibility</t>
  </si>
  <si>
    <t>A Malkhamb performer is advised to enhance their coordination between different sections of their routine. What should they work on?</t>
  </si>
  <si>
    <t>A) Coordination between routine sections, B) Increasing routine difficulty, C) Adding more dynamic elements, D) Improving flexibility</t>
  </si>
  <si>
    <t>During practice, an athlete’s performance is strong but lacks emotional engagement with the audience. What should they focus on?</t>
  </si>
  <si>
    <t>A) Emotional engagement, B) Technical execution, C) Adding more complex moves, D) Enhancing flexibility</t>
  </si>
  <si>
    <t>A) Emotional engagement</t>
  </si>
  <si>
    <t>A Malkhamb athlete has difficulty maintaining a smooth rhythm during their routine. What should they focus on improving?</t>
  </si>
  <si>
    <t>A) Smooth rhythm, B) Increasing difficulty, C) Enhancing strength, D) Improving flexibility</t>
  </si>
  <si>
    <t>A) Smooth rhythm</t>
  </si>
  <si>
    <t>An athlete’s routine is praised for its technical excellence but needs more expressive elements. What should they work on?</t>
  </si>
  <si>
    <t>A) Expressive elements, B) Technical excellence, C) Increasing routine complexity, D) Improving flexibility</t>
  </si>
  <si>
    <t>A) Expressive elements</t>
  </si>
  <si>
    <t>A Malkhamb performer finds it challenging to keep their energy levels consistent throughout their routine. What is the key focus for improvement?</t>
  </si>
  <si>
    <t>A) Consistent energy levels, B) Increasing routine difficulty, C) Adding more dynamic moves, D) Improving flexibility</t>
  </si>
  <si>
    <t>A) Consistent energy levels</t>
  </si>
  <si>
    <t>During a competition, an athlete struggles with the balance of their routine. What should they prioritize in their training?</t>
  </si>
  <si>
    <t>A) Balance in routine, B) Increasing difficulty, C) Enhancing strength, D) Improving flexibility</t>
  </si>
  <si>
    <t>A) Balance in routine</t>
  </si>
  <si>
    <t>A Malkhamb athlete is strong in individual poses but finds it difficult to maintain fluid transitions between them. What should they focus on?</t>
  </si>
  <si>
    <t>A) Fluid transitions, B) Increasing pose difficulty, C) Adding more strength exercises, D) Improving flexibility</t>
  </si>
  <si>
    <t>An athlete is praised for their strength but needs to work on their overall artistic presentation. What should be their focus?</t>
  </si>
  <si>
    <t>A) Artistic presentation, B) Strength, C) Adding more dynamic elements, D) Improving flexibility</t>
  </si>
  <si>
    <t>A Malkhamb performer is noted for their technical skills but needs to enhance their routine’s overall fluidity. What should they work on?</t>
  </si>
  <si>
    <t>A) Routine fluidity, B) Technical skills, C) Increasing difficulty, D) Improving flexibility</t>
  </si>
  <si>
    <t>During practice, an athlete’s routine appears stiff despite strong technical execution. What should they focus on improving?</t>
  </si>
  <si>
    <t>A) Fluidity and grace, B) Technical execution, C) Increasing routine difficulty, D) Improving flexibility</t>
  </si>
  <si>
    <t>A) Fluidity and grace</t>
  </si>
  <si>
    <t>A Malkhamb athlete has been advised to improve their performance in mid-routine transitions. What should they focus on?</t>
  </si>
  <si>
    <t>A) Mid-routine transitions, B) Strength in static poses, C) Increasing routine length, D) Improving flexibility</t>
  </si>
  <si>
    <t>A) Mid-routine transitions</t>
  </si>
  <si>
    <t>An athlete is praised for their artistic flair but is advised to work on the precision of their moves. What should they improve?</t>
  </si>
  <si>
    <t>A) Precision of moves, B) Artistic flair, C) Routine complexity, D) Flexibility</t>
  </si>
  <si>
    <t>A) Precision of moves</t>
  </si>
  <si>
    <t>During a routine, an athlete is noted for their flexibility but struggles with maintaining strength in dynamic poses. What should they focus on?</t>
  </si>
  <si>
    <t>A) Strength in dynamic poses, B) Enhancing flexibility, C) Adding more complex moves, D) Improving balance</t>
  </si>
  <si>
    <t>A) Strength in dynamic poses</t>
  </si>
  <si>
    <t>A performer has a routine that lacks cohesion between different elements. What is the key area to address?</t>
  </si>
  <si>
    <t>A) Cohesion between elements, B) Increasing routine difficulty, C) Adding more dynamic moves, D) Enhancing flexibility</t>
  </si>
  <si>
    <t>A) Cohesion between elements</t>
  </si>
  <si>
    <t>A Malkhamb athlete is experiencing difficulty in maintaining rhythm throughout their performance. What should they work on?</t>
  </si>
  <si>
    <t>A) Rhythm throughout performance, B) Increasing difficulty, C) Enhancing strength, D) Improving flexibility</t>
  </si>
  <si>
    <t>A) Rhythm throughout performance</t>
  </si>
  <si>
    <t>An athlete’s routine is strong in technique but lacks expressiveness. What should they focus on enhancing?</t>
  </si>
  <si>
    <t>A) Expressiveness, B) Technical skill, C) Increasing routine complexity, D) Flexibility</t>
  </si>
  <si>
    <t>A Malkhamb performer finds it challenging to balance their routine between strength and grace. What should they focus on improving?</t>
  </si>
  <si>
    <t>A) Balance between strength and grace, B) Increasing strength, C) Adding more static poses, D) Improving flexibility</t>
  </si>
  <si>
    <t>A) Balance between strength and grace</t>
  </si>
  <si>
    <t>During a practice session, an athlete is praised for their smooth transitions but is advised to work on their endurance. What should they improve?</t>
  </si>
  <si>
    <t>A) Endurance, B) Smooth transitions, C) Increasing routine difficulty, D) Enhancing strength</t>
  </si>
  <si>
    <t>A Malkhamb athlete is struggling with the integration of various elements into their routine. What is the key area to address?</t>
  </si>
  <si>
    <t>A) Integration of elements, B) Technical execution, C) Adding more dynamic elements, D) Improving flexibility</t>
  </si>
  <si>
    <t>A) Integration of elements</t>
  </si>
  <si>
    <t>An athlete’s performance is noted for its strong technical execution but lacks creativity. What should they focus on enhancing?</t>
  </si>
  <si>
    <t>A) Creativity, B) Technical execution, C) Increasing difficulty, D) Improving flexibility</t>
  </si>
  <si>
    <t>A) Creativity</t>
  </si>
  <si>
    <t>A performer is noted for their artistic presentation but needs to work on their stamina for longer routines. What should they focus on?</t>
  </si>
  <si>
    <t>A) Stamina for longer routines, B) Artistic presentation, C) Increasing routine difficulty, D) Enhancing strength</t>
  </si>
  <si>
    <t>A) Stamina for longer routines</t>
  </si>
  <si>
    <t>A Malkhamb athlete finds it difficult to maintain consistency in their routine. What should they work on improving?</t>
  </si>
  <si>
    <t>A) Consistency, B) Increasing routine complexity, C) Adding more dynamic elements, D) Enhancing flexibility</t>
  </si>
  <si>
    <t>A) Consistency</t>
  </si>
  <si>
    <t>An athlete’s routine is strong in static poses but needs improvement in dynamic transitions. What should they focus on?</t>
  </si>
  <si>
    <t>A) Dynamic transitions, B) Static poses, C) Increasing difficulty, D) Improving flexibility</t>
  </si>
  <si>
    <t>A) Dynamic transitions</t>
  </si>
  <si>
    <t>A Malkhamb performer is advised to improve their emotional expression during their routine. What should they focus on?</t>
  </si>
  <si>
    <t>A) Emotional expression, B) Technical execution, C) Increasing routine difficulty, D) Enhancing flexibility</t>
  </si>
  <si>
    <t>A) Emotional expression</t>
  </si>
  <si>
    <t>An athlete has a routine that lacks fluidity in movement. What is the key area to address?</t>
  </si>
  <si>
    <t>A) Fluidity of movement, B) Increasing difficulty, C) Enhancing strength, D) Improving flexibility</t>
  </si>
  <si>
    <t>A) Fluidity of movement</t>
  </si>
  <si>
    <t>A Malkhamb performer is strong in strength poses but needs to work on maintaining balance during intricate moves. What should they improve?</t>
  </si>
  <si>
    <t>A) Balance during intricate moves, B) Increasing strength poses, C) Adding more dynamic elements, D) Improving flexibility</t>
  </si>
  <si>
    <t>During a routine, an athlete is praised for their precision but is advised to work on their overall routine energy. What should they focus on?</t>
  </si>
  <si>
    <t>A) Overall routine energy, B) Precision in moves, C) Increasing difficulty, D) Enhancing flexibility</t>
  </si>
  <si>
    <t>A Malkhamb athlete finds it difficult to transition smoothly between different elements of their routine. What should they focus on improving?</t>
  </si>
  <si>
    <t>A) Smooth transitions, B) Increasing routine difficulty, C) Adding more static poses, D) Enhancing flexibility</t>
  </si>
  <si>
    <t>An athlete is noted for their strong technique but struggles with overall routine cohesion. What should they focus on?</t>
  </si>
  <si>
    <t>A) Routine cohesion, B) Technique, C) Adding more dynamic moves, D) Improving flexibility</t>
  </si>
  <si>
    <t>A) Routine cohesion</t>
  </si>
  <si>
    <t>A Malkhamb performer is advised to enhance their overall performance energy during their routine. What should they focus on?</t>
  </si>
  <si>
    <t>A) Overall performance energy, B) Increasing routine difficulty, C) Adding more complex moves, D) Improving flexibility</t>
  </si>
  <si>
    <t>A) Overall performance energy</t>
  </si>
  <si>
    <t>During practice, an athlete’s routine is strong in artistic expression but needs improvement in technical execution. What should they focus on?</t>
  </si>
  <si>
    <t>A) Technical execution, B) Artistic expression, C) Increasing routine difficulty, D) Improving flexibility</t>
  </si>
  <si>
    <t>A) Technical execution</t>
  </si>
  <si>
    <t>A Malkhamb athlete is praised for their flexibility but needs to work on their strength during dynamic poses. What should they focus on?</t>
  </si>
  <si>
    <t>A) Strength during dynamic poses, B) Flexibility, C) Adding more static poses, D) Improving balance</t>
  </si>
  <si>
    <t>A) Strength during dynamic poses</t>
  </si>
  <si>
    <t>An athlete’s routine is noted for its technical skill but lacks expressive elements. What should they enhance?</t>
  </si>
  <si>
    <t>A) Expressive elements, B) Technical skill, C) Increasing difficulty, D) Improving flexibility</t>
  </si>
  <si>
    <t>A Malkhamb performer struggles with the integration of different routine sections. What should they focus on improving?</t>
  </si>
  <si>
    <t>A) Integration of routine sections, B) Technical execution, C) Adding more dynamic moves, D) Enhancing flexibility</t>
  </si>
  <si>
    <t>A) Integration of routine sections</t>
  </si>
  <si>
    <t>During a performance, an athlete is strong in their technical execution but needs more artistic expression. What is the key area for improvement?</t>
  </si>
  <si>
    <t>A) Artistic expression, B) Technical execution, C) Increasing difficulty, D) Improving flexibility</t>
  </si>
  <si>
    <t>A Malkhamb athlete finds it challenging to maintain fluid movements throughout their routine. What should they work on?</t>
  </si>
  <si>
    <t>A) Fluid movements, B) Increasing routine complexity, C) Enhancing strength, D) Improving flexibility</t>
  </si>
  <si>
    <t>A) Fluid movements</t>
  </si>
  <si>
    <t>An athlete’s routine is strong in endurance but needs to work on precise execution of complex moves. What should they improve?</t>
  </si>
  <si>
    <t>A) Precise execution of complex moves, B) Endurance, C) Increasing difficulty, D) Enhancing flexibility</t>
  </si>
  <si>
    <t>A) Precise execution of complex moves</t>
  </si>
  <si>
    <t>A Malkhamb performer struggles with maintaining energy throughout their routine. What is the key focus for improvement?</t>
  </si>
  <si>
    <t>A) Consistent energy, B) Increasing routine difficulty, C) Adding more dynamic elements, D) Improving flexibility</t>
  </si>
  <si>
    <t>A) Consistent energy</t>
  </si>
  <si>
    <t>During practice, an athlete’s performance is noted for its grace but lacks strength in dynamic poses. What should they focus on?</t>
  </si>
  <si>
    <t>A) Strength in dynamic poses, B) Grace, C) Adding more static poses, D) Improving flexibility</t>
  </si>
  <si>
    <t>A Malkhamb performer is advised to work on enhancing their overall routine cohesion. What should they focus on?</t>
  </si>
  <si>
    <t>A) Overall routine cohesion, B) Increasing difficulty, C) Adding more complex moves, D) Improving flexibility</t>
  </si>
  <si>
    <t>A) Overall routine cohesion</t>
  </si>
  <si>
    <t>An athlete’s routine is strong in technical skill but needs improvement in emotional engagement. What should they work on?</t>
  </si>
  <si>
    <t>A) Emotional engagement, B) Technical skill, C) Increasing routine complexity, D) Enhancing flexibility</t>
  </si>
  <si>
    <t>A Malkhamb athlete finds it difficult to maintain smooth transitions between poses. What should they focus on improving?</t>
  </si>
  <si>
    <t>A) Smooth transitions, B) Increasing difficulty, C) Adding more dynamic elements, D) Enhancing flexibility</t>
  </si>
  <si>
    <t>During a performance, an athlete is praised for their artistic presentation but struggles with technical execution. What is the key area to address?</t>
  </si>
  <si>
    <t>A) Technical execution, B) Artistic presentation, C) Increasing routine difficulty, D) Improving flexibility</t>
  </si>
  <si>
    <t>A Malkhamb performer is noted for their flexibility but needs to work on their endurance for longer routines. What should they focus on?</t>
  </si>
  <si>
    <t>A) Endurance for longer routines, B) Flexibility, C) Increasing routine complexity, D) Enhancing strength</t>
  </si>
  <si>
    <t>A) Endurance for longer routines</t>
  </si>
  <si>
    <t>An athlete’s routine lacks fluidity despite strong technical execution. What should they improve?</t>
  </si>
  <si>
    <t>A) Fluidity, B) Technical execution, C) Adding more dynamic moves, D) Improving flexibility</t>
  </si>
  <si>
    <t>A) Fluidity</t>
  </si>
  <si>
    <t>A Malkhamb athlete is struggling with the integration of different sections of their routine. What should they work on?</t>
  </si>
  <si>
    <t>A) Integration of routine sections, B) Technical execution, C) Increasing difficulty, D) Enhancing flexibility</t>
  </si>
  <si>
    <t>During practice, an athlete is noted for their strength but needs to work on artistic expression. What is the key focus for improvement?</t>
  </si>
  <si>
    <t>A) Artistic expression, B) Strength, C) Increasing routine complexity, D) Improving flexibility</t>
  </si>
  <si>
    <t>A Malkhamb performer finds it challenging to maintain consistent energy throughout their routine. What should they focus on?</t>
  </si>
  <si>
    <t>A) Consistent energy, B) Increasing routine difficulty, C) Adding more dynamic moves, D) Improving flexibility</t>
  </si>
  <si>
    <t>An athlete’s routine is strong in artistic presentation but lacks technical precision. What should they improve?</t>
  </si>
  <si>
    <t>A) Technical precision, B) Artistic presentation, C) Increasing difficulty, D) Enhancing flexibility</t>
  </si>
  <si>
    <t>A) Technical precision</t>
  </si>
  <si>
    <t>A Malkhamb performer is praised for their grace but needs to work on their strength during complex moves. What should they focus on?</t>
  </si>
  <si>
    <t>A) Strength during complex moves, B) Grace, C) Adding more static poses, D) Improving flexibility</t>
  </si>
  <si>
    <t>A) Strength during complex moves</t>
  </si>
  <si>
    <t>During a routine, an athlete is strong in technical skill but struggles with maintaining emotional engagement. What should they focus on?</t>
  </si>
  <si>
    <t>A Malkhamb athlete struggles with the overall fluidity of their routine. What is the key area to address?</t>
  </si>
  <si>
    <t>A) Fluidity of routine, B) Increasing difficulty, C) Enhancing strength, D) Improving flexibility</t>
  </si>
  <si>
    <t>A) Fluidity of routine</t>
  </si>
  <si>
    <t>An athlete’s performance is strong in dynamic moves but lacks smooth transitions. What should they work on improving?</t>
  </si>
  <si>
    <t>A) Smooth transitions, B) Dynamic moves, C) Adding more static poses, D) Improving flexibility</t>
  </si>
  <si>
    <t>A Malkhamb performer is noted for their flexibility but needs to enhance their routine’s overall cohesion. What should they focus on?</t>
  </si>
  <si>
    <t>A) Overall routine cohesion, B) Flexibility, C) Increasing routine difficulty, D) Enhancing strength</t>
  </si>
  <si>
    <t>During a practice session, an athlete’s routine appears disjointed despite strong technical execution. What should they improve?</t>
  </si>
  <si>
    <t>A) Routine cohesion, B) Technical execution, C) Increasing difficulty, D) Enhancing flexibility</t>
  </si>
  <si>
    <t>A Malkhamb athlete is advised to work on their emotional expression during their routine. What should they focus on?</t>
  </si>
  <si>
    <t>A) Emotional expression, B) Technical skill, C) Increasing routine complexity, D) Improving flexibility</t>
  </si>
  <si>
    <t>An athlete finds it difficult to maintain a consistent rhythm throughout their routine. What is the key area for improvement?</t>
  </si>
  <si>
    <t>A) Consistent rhythm, B) Increasing difficulty, C) Enhancing strength, D) Improving flexibility</t>
  </si>
  <si>
    <t>A) Consistent rhythm</t>
  </si>
  <si>
    <t>A Malkhamb performer is strong in strength but needs to improve their routine’s fluidity. What should they focus on?</t>
  </si>
  <si>
    <t>A) Routine fluidity, B) Strength, C) Adding more dynamic elements, D) Improving flexibility</t>
  </si>
  <si>
    <t>During a routine, an athlete is praised for their technique but needs to work on their overall performance energy. What should they improve?</t>
  </si>
  <si>
    <t>A) Overall performance energy, B) Technique, C) Increasing difficulty, D) Enhancing flexibility</t>
  </si>
  <si>
    <t>A Malkhamb performer is noted for their grace but needs to improve their precision during dynamic moves. What should they work on?</t>
  </si>
  <si>
    <t>A) Precision during dynamic moves, B) Grace, C) Adding more static poses, D) Improving flexibility</t>
  </si>
  <si>
    <t>A) Precision during dynamic moves</t>
  </si>
  <si>
    <t>An athlete’s routine lacks smooth transitions despite strong technical skill. What is the key area to address?</t>
  </si>
  <si>
    <t>A) Smooth transitions, B) Technical skill, C) Increasing difficulty, D) Enhancing flexibility</t>
  </si>
  <si>
    <t>A Malkhamb performer struggles with maintaining energy throughout their routine. What should they focus on improving?</t>
  </si>
  <si>
    <t>A) Energy throughout routine, B) Increasing difficulty, C) Adding more dynamic moves, D) Improving flexibility</t>
  </si>
  <si>
    <t>A) Energy throughout routine</t>
  </si>
  <si>
    <t>During a performance, an athlete is strong in artistic expression but needs to improve their technical execution. What is the key focus for improvement?</t>
  </si>
  <si>
    <t>A) Technical execution, B) Artistic expression, C) Increasing difficulty, D) Enhancing flexibility</t>
  </si>
  <si>
    <t>A Malkhamb athlete is advised to enhance their overall routine cohesion. What should they work on?</t>
  </si>
  <si>
    <t>A) Routine cohesion, B) Technical execution, C) Increasing difficulty, D) Improving flexibility</t>
  </si>
  <si>
    <t>An athlete’s routine is strong in technical skill but lacks emotional engagement. What should they focus on enhancing?</t>
  </si>
  <si>
    <t>A) Emotional engagement, B) Technical skill, C) Increasing routine complexity, D) Improving flexibility</t>
  </si>
  <si>
    <t>A Malkhamb performer finds it challenging to maintain fluid movements throughout their routine. What should they focus on improving?</t>
  </si>
  <si>
    <t>A) Fluid movements, B) Increasing routine difficulty, C) Enhancing strength, D) Improving flexibility</t>
  </si>
  <si>
    <t>During a routine, an athlete is praised for their artistic presentation but needs to work on their technical precision. What is the key area to address?</t>
  </si>
  <si>
    <t>A) Technical precision, B) Artistic presentation, C) Increasing difficulty, D) Improving flexibility</t>
  </si>
  <si>
    <t>A Malkhamb athlete is strong in strength poses but needs to improve their overall routine fluidity. What should they focus on?</t>
  </si>
  <si>
    <t>A) Routine fluidity, B) Strength poses, C) Adding more dynamic elements, D) Improving flexibility</t>
  </si>
  <si>
    <t>An athlete’s performance is noted for its grace but lacks technical precision. What should they work on improving?</t>
  </si>
  <si>
    <t>A) Technical precision, B) Grace, C) Increasing difficulty, D) Enhancing strength</t>
  </si>
  <si>
    <t>A Malkhamb performer struggles with the overall integration of different routine elements. What is the key area to address?</t>
  </si>
  <si>
    <t>A) Integration of elements, B) Technical execution, C) Adding more dynamic moves, D) Improving flexibility</t>
  </si>
  <si>
    <t>During a practice session, an athlete’s routine lacks energy despite strong technique. What should they focus on improving?</t>
  </si>
  <si>
    <t>A) Energy, B) Technique, C) Increasing difficulty, D) Enhancing flexibility</t>
  </si>
  <si>
    <t>A) Energy</t>
  </si>
  <si>
    <t>A Malkhamb athlete is advised to work on their emotional expression during their routine. What is the key focus for improvement?</t>
  </si>
  <si>
    <t>An athlete finds it difficult to maintain smooth transitions between different routine sections. What should they work on?</t>
  </si>
  <si>
    <t>A) Smooth transitions, B) Increasing difficulty, C) Adding more static poses, D) Enhancing flexibility</t>
  </si>
  <si>
    <t>A Malkhamb performer is noted for their strong technical execution but needs to improve their artistic presentation. What should they focus on?</t>
  </si>
  <si>
    <t>A) Artistic presentation, B) Technical execution, C) Increasing routine complexity, D) Improving flexibility</t>
  </si>
  <si>
    <t>During a routine, an athlete is praised for their flexibility but struggles with maintaining consistency. What should they improve?</t>
  </si>
  <si>
    <t>A) Consistency, B) Flexibility, C) Adding more dynamic moves, D) Enhancing strength</t>
  </si>
  <si>
    <t>A Malkhamb performer is advised to enhance their overall routine cohesion. What should they focus on improving?</t>
  </si>
  <si>
    <t>An athlete’s routine lacks energy despite strong technique and artistry. What should they focus on enhancing?</t>
  </si>
  <si>
    <t>A) Energy, B) Technique, C) Artistic expression, D) Flexibility</t>
  </si>
  <si>
    <t>A Malkhamb athlete finds it challenging to maintain a consistent rhythm throughout their performance. What is the key area for improvement?</t>
  </si>
  <si>
    <t>During a practice session, an athlete’s performance is strong in artistic expression but needs improvement in technical precision. What should they focus on?</t>
  </si>
  <si>
    <t>A) Technical precision, B) Artistic expression, C) Increasing difficulty, D) Improving flexibility</t>
  </si>
  <si>
    <t>A Malkhamb performer is noted for their grace but needs to improve their routine’s fluidity. What should they focus on?</t>
  </si>
  <si>
    <t>A) Routine fluidity, B) Grace, C) Adding more dynamic moves, D) Improving flexibility</t>
  </si>
  <si>
    <t>An athlete’s routine is strong in technical execution but needs to work on overall energy and engagement. What should they improve?</t>
  </si>
  <si>
    <t>A) Overall energy and engagement, B) Technical execution, C) Increasing difficulty, D) Enhancing flexibility</t>
  </si>
  <si>
    <t>A) Overall energy and engagement</t>
  </si>
  <si>
    <t>A Malkhamb performer is praised for their balance but needs to improve their strength. What should they focus on?</t>
  </si>
  <si>
    <t>A) Strength, B) Balance, C) Flexibility, D) Artistic presentation</t>
  </si>
  <si>
    <t>A) Strength</t>
  </si>
  <si>
    <t>An athlete's routine is impressive but lacks in the originality of movements. What should they work on?</t>
  </si>
  <si>
    <t>A) Originality of movements, B) Technique, C) Flexibility, D) Routine length</t>
  </si>
  <si>
    <t>A) Originality of movements</t>
  </si>
  <si>
    <t>A Malkhamb performer is noted for their dynamic poses but struggles with static holds. What is the key area for improvement?</t>
  </si>
  <si>
    <t>A) Static holds, B) Dynamic poses, C) Routine length, D) Flexibility</t>
  </si>
  <si>
    <t>A) Static holds</t>
  </si>
  <si>
    <t>During practice, an athlete is strong in strength poses but needs to enhance their routine's fluidity. What should they focus on?</t>
  </si>
  <si>
    <t>A) Routine fluidity, B) Strength poses, C) Adding more complex moves, D) Improving flexibility</t>
  </si>
  <si>
    <t>A Malkhamb athlete is advised to increase their performance's overall complexity. What should they focus on?</t>
  </si>
  <si>
    <t>A) Increasing complexity, B) Routine length, C) Static holds, D) Artistic presentation</t>
  </si>
  <si>
    <t>A) Increasing complexity</t>
  </si>
  <si>
    <t>An athlete’s routine has strong technical skill but lacks emotional expression. What is the key focus for improvement?</t>
  </si>
  <si>
    <t>A) Emotional expression, B) Technical skill, C) Routine complexity, D) Flexibility</t>
  </si>
  <si>
    <t>A Malkhamb performer is noted for their flexibility but needs to improve their routine's cohesiveness. What should they work on?</t>
  </si>
  <si>
    <t>A) Routine cohesiveness, B) Flexibility, C) Technique, D) Adding more dynamic moves</t>
  </si>
  <si>
    <t>A) Routine cohesiveness</t>
  </si>
  <si>
    <t>During a routine, an athlete struggles with maintaining consistent rhythm. What should they focus on improving?</t>
  </si>
  <si>
    <t>A) Consistent rhythm, B) Technique, C) Increasing difficulty, D) Enhancing strength</t>
  </si>
  <si>
    <t>A Malkhamb athlete is praised for their artistic expression but needs to improve their technical precision. What is the key area to address?</t>
  </si>
  <si>
    <t>A) Technical precision, B) Artistic expression, C) Routine length, D) Flexibility</t>
  </si>
  <si>
    <t>An athlete's routine is strong in emotional engagement but lacks technical complexity. What should they focus on?</t>
  </si>
  <si>
    <t>A) Technical complexity, B) Emotional engagement, C) Adding more dynamic poses, D) Routine length</t>
  </si>
  <si>
    <t>A) Technical complexity</t>
  </si>
  <si>
    <t>A Malkhamb performer finds it challenging to maintain fluid transitions between different poses. What should they work on improving?</t>
  </si>
  <si>
    <t>A) Fluid transitions, B) Routine length, C) Static holds, D) Flexibility</t>
  </si>
  <si>
    <t>During a performance, an athlete is noted for their strength but needs to enhance their artistic presentation. What should they focus on?</t>
  </si>
  <si>
    <t>A) Artistic presentation, B) Strength, C) Adding more dynamic moves, D) Routine length</t>
  </si>
  <si>
    <t>A Malkhamb athlete is advised to work on their endurance for longer routines. What should they focus on?</t>
  </si>
  <si>
    <t>A) Endurance for longer routines, B) Increasing difficulty, C) Flexibility, D) Routine length</t>
  </si>
  <si>
    <t>An athlete’s routine lacks in creativity despite strong technical execution. What is the key area to address?</t>
  </si>
  <si>
    <t>A) Creativity, B) Technical execution, C) Increasing difficulty, D) Flexibility</t>
  </si>
  <si>
    <t>A Malkhamb performer is strong in dynamic poses but needs to work on their routine's overall coherence. What should they focus on?</t>
  </si>
  <si>
    <t>A) Overall coherence, B) Dynamic poses, C) Routine length, D) Enhancing strength</t>
  </si>
  <si>
    <t>A) Overall coherence</t>
  </si>
  <si>
    <t>During practice, an athlete’s routine is noted for its grace but lacks in strength. What should they focus on improving?</t>
  </si>
  <si>
    <t>A) Strength, B) Grace, C) Flexibility, D) Routine complexity</t>
  </si>
  <si>
    <t>A Malkhamb athlete is praised for their technical precision but needs to enhance their routine’s artistic flair. What should they work on?</t>
  </si>
  <si>
    <t>A) Artistic flair, B) Technical precision, C) Increasing difficulty, D) Flexibility</t>
  </si>
  <si>
    <t>A) Artistic flair</t>
  </si>
  <si>
    <t>An athlete’s performance is strong in technical skills but needs improvement in maintaining consistent energy. What should they focus on?</t>
  </si>
  <si>
    <t>A) Consistent energy, B) Technical skills, C) Adding more complex moves, D) Routine length</t>
  </si>
  <si>
    <t>A Malkhamb performer is advised to enhance their routine’s overall fluidity. What should they focus on?</t>
  </si>
  <si>
    <t>A) Overall fluidity, B) Routine length, C) Flexibility, D) Artistic presentation</t>
  </si>
  <si>
    <t>A) Overall fluidity</t>
  </si>
  <si>
    <t>During a routine, an athlete is praised for their strength but struggles with maintaining smooth transitions. What should they work on?</t>
  </si>
  <si>
    <t>A) Smooth transitions, B) Strength, C) Increasing difficulty, D) Flexibility</t>
  </si>
  <si>
    <t>A Malkhamb athlete is noted for their flexibility but needs to work on their overall routine integration. What should they focus on?</t>
  </si>
  <si>
    <t>A) Routine integration, B) Flexibility, C) Technique, D) Adding more dynamic moves</t>
  </si>
  <si>
    <t>A) Routine integration</t>
  </si>
  <si>
    <t>An athlete’s routine is impressive in technical skill but needs improvement in emotional engagement. What is the key area for improvement?</t>
  </si>
  <si>
    <t>A) Emotional engagement, B) Technical skill, C) Adding more dynamic poses, D) Routine length</t>
  </si>
  <si>
    <t>A Malkhamb performer is advised to focus on improving their artistic expression. What should they concentrate on?</t>
  </si>
  <si>
    <t>A) Artistic expression, B) Technical skill, C) Routine length, D) Flexibility</t>
  </si>
  <si>
    <t>During practice, an athlete's routine lacks fluidity despite strong technical execution. What is the key focus for improvement?</t>
  </si>
  <si>
    <t>A) Fluidity, B) Technical execution, C) Adding more complex moves, D) Routine length</t>
  </si>
  <si>
    <t>A Malkhamb athlete is noted for their artistic flair but needs to work on their strength. What should they focus on?</t>
  </si>
  <si>
    <t>A) Strength, B) Artistic flair, C) Routine length, D) Flexibility</t>
  </si>
  <si>
    <t>An athlete’s routine is strong in grace but needs improvement in technical execution. What should they work on improving?</t>
  </si>
  <si>
    <t>A) Technical execution, B) Grace, C) Adding more dynamic poses, D) Routine length</t>
  </si>
  <si>
    <t>A Malkhamb performer struggles with maintaining consistent rhythm throughout their routine. What is the key area to address?</t>
  </si>
  <si>
    <t>A) Consistent rhythm, B) Increasing difficulty, C) Flexibility, D) Routine length</t>
  </si>
  <si>
    <t>During a performance, an athlete is noted for their technical precision but needs to enhance their overall artistic expression. What should they focus on?</t>
  </si>
  <si>
    <t>A) Artistic expression, B) Technical precision, C) Increasing difficulty, D) Routine length</t>
  </si>
  <si>
    <t>A Malkhamb athlete is advised to work on their routine’s overall coherence. What should they focus on improving?</t>
  </si>
  <si>
    <t>A) Overall coherence, B) Technical skill, C) Adding more dynamic poses, D) Routine length</t>
  </si>
  <si>
    <t>An athlete’s routine is impressive in artistic presentation but lacks in technical complexity. What should they focus on?</t>
  </si>
  <si>
    <t>A) Technical complexity, B) Artistic presentation, C) Increasing routine length, D) Flexibility</t>
  </si>
  <si>
    <t>A Malkhamb performer is praised for their strength but needs to improve their routine’s emotional engagement. What should they work on?</t>
  </si>
  <si>
    <t>A) Emotional engagement, B) Strength, C) Adding more complex moves, D) Routine length</t>
  </si>
  <si>
    <t>During a practice session, an athlete’s routine lacks in smooth transitions between poses. What is the key area to address?</t>
  </si>
  <si>
    <t>A) Smooth transitions, B) Technical skill, C) Flexibility, D) Routine length</t>
  </si>
  <si>
    <t>A Malkhamb athlete is noted for their flexibility but needs to enhance their overall routine integration. What should they focus on?</t>
  </si>
  <si>
    <t>An athlete’s performance is strong in emotional engagement but lacks technical precision. What is the key focus for improvement?</t>
  </si>
  <si>
    <t>A) Technical precision, B) Emotional engagement, C) Routine length, D) Flexibility</t>
  </si>
  <si>
    <t>A Malkhamb performer is advised to focus on enhancing their routine’s overall fluidity. What should they concentrate on improving?</t>
  </si>
  <si>
    <t>A) Routine fluidity, B) Technical skill, C) Increasing difficulty, D) Artistic presentation</t>
  </si>
  <si>
    <t>During a performance, an athlete is praised for their grace but needs to work on their strength. What should they focus on?</t>
  </si>
  <si>
    <t>A) Strength, B) Grace, C) Routine length, D) Flexibility</t>
  </si>
  <si>
    <t>An athlete’s routine is impressive in technical execution but needs improvement in artistic expression. What should they work on?</t>
  </si>
  <si>
    <t>A) Artistic expression, B) Technical execution, C) Increasing difficulty, D) Flexibility</t>
  </si>
  <si>
    <t>A Malkhamb performer is noted for their strong technical skill but struggles with maintaining consistent energy. What should they focus on?</t>
  </si>
  <si>
    <t>A) Consistent energy, B) Technical skill, C) Adding more dynamic poses, D) Routine length</t>
  </si>
  <si>
    <t>During a practice session, an athlete's routine lacks fluidity despite strong technical execution. What is the key area for improvement?</t>
  </si>
  <si>
    <t>A Malkhamb athlete is praised for their artistic flair but needs to work on their strength. What should they focus on improving?</t>
  </si>
  <si>
    <t>An athlete’s routine is strong in grace but lacks technical precision. What is the key area to address?</t>
  </si>
  <si>
    <t>A) Technical precision, B) Grace, C) Increasing difficulty, D) Routine length</t>
  </si>
  <si>
    <t>A Malkhamb performer struggles with maintaining smooth transitions between different routine sections. What should they focus on improving?</t>
  </si>
  <si>
    <t>A) Smooth transitions, B) Routine length, C) Static holds, D) Flexibility</t>
  </si>
  <si>
    <t>During a performance, an athlete is praised for their artistic expression but needs to enhance their technical precision. What should they work on?</t>
  </si>
  <si>
    <t>A) Technical precision, B) Artistic expression, C) Increasing difficulty, D) Routine length</t>
  </si>
  <si>
    <t>A Malkhamb performer is noted for their technical precision but needs to improve their routine's overall coherence. What should they focus on?</t>
  </si>
  <si>
    <t>A) Overall coherence, B) Technical precision, C) Adding more dynamic poses, D) Routine length</t>
  </si>
  <si>
    <t>An athlete’s routine is impressive in emotional engagement but needs improvement in technical complexity. What should they focus on?</t>
  </si>
  <si>
    <t>A Malkhamb performer is praised for their strength but needs to enhance their routine’s artistic flair. What should they work on?</t>
  </si>
  <si>
    <t>A) Artistic flair, B) Strength, C) Adding more complex moves, D) Routine length</t>
  </si>
  <si>
    <t>A Malkhamb athlete is noted for their grace but needs to work on their strength. What should they focus on improving?</t>
  </si>
  <si>
    <t>An athlete’s routine is strong in technical execution but needs improvement in emotional engagement. What is the key focus for enhancement?</t>
  </si>
  <si>
    <t>A) Emotional engagement, B) Technical execution, C) Adding more dynamic poses, D) Routine length</t>
  </si>
  <si>
    <t>A Malkhamb performer is advised to enhance their routine’s overall coherence. What should they work on improving?</t>
  </si>
  <si>
    <t>During a performance, an athlete is praised for their artistic flair but needs to work on their strength. What should they focus on?</t>
  </si>
  <si>
    <t>A Malkhamb athlete is noted for their artistic presentation but needs to enhance their technical precision. What should they focus on?</t>
  </si>
  <si>
    <t>A) Technical precision, B) Artistic presentation, C) Adding more complex moves, D) Routine length</t>
  </si>
  <si>
    <t>An athlete’s routine is impressive in grace but lacks technical complexity. What should they work on improving?</t>
  </si>
  <si>
    <t>A) Technical complexity, B) Grace, C) Increasing routine length, D) Flexibility</t>
  </si>
  <si>
    <t>A Malkhamb performer struggles with maintaining consistent rhythm throughout their routine. What should they focus on improving?</t>
  </si>
  <si>
    <t>During a performance, an athlete is praised for their grace but needs to work on their technical skill. What should they focus on?</t>
  </si>
  <si>
    <t>A) Technical skill, B) Grace, C) Adding more dynamic poses, D) Routine length</t>
  </si>
  <si>
    <t>A) Technical skill</t>
  </si>
  <si>
    <t>A Malkhamb athlete is advised to work on their routine’s overall fluidity. What should they focus on?</t>
  </si>
  <si>
    <t>A) Overall fluidity, B) Technical skill, C) Increasing difficulty, D) Artistic presentation</t>
  </si>
  <si>
    <t>An athlete’s routine is strong in artistic presentation but needs improvement in technical execution. What is the key area for enhancement?</t>
  </si>
  <si>
    <t>A) Technical execution, B) Artistic presentation, C) Adding more dynamic poses, D) Routine length</t>
  </si>
  <si>
    <t>A Malkhamb performer is praised for their flexibility but needs to improve their routine’s overall cohesion. What should they focus on?</t>
  </si>
  <si>
    <t>A) Overall cohesion, B) Flexibility, C) Technique, D) Adding more dynamic moves</t>
  </si>
  <si>
    <t>A) Overall cohesion</t>
  </si>
  <si>
    <t>During a practice session, an athlete’s routine lacks energy despite strong technical skill. What is the key focus for improvement?</t>
  </si>
  <si>
    <t>A) Energy, B) Technical skill, C) Increasing difficulty, D) Routine length</t>
  </si>
  <si>
    <t>A Malkhamb performer is noted for their technical skill but needs to enhance their artistic presentation. What should they work on improving?</t>
  </si>
  <si>
    <t>A) Artistic presentation, B) Technical skill, C) Routine length, D) Flexibility</t>
  </si>
  <si>
    <t>An athlete’s routine is impressive in technical execution but lacks in emotional engagement. What should they focus on?</t>
  </si>
  <si>
    <t>A Malkhamb performer is advised to focus on improving their routine’s overall coherence. What should they concentrate on?</t>
  </si>
  <si>
    <t>A) Overall coherence, B) Technical skill, C) Adding more complex poses, D) Routine length</t>
  </si>
  <si>
    <t>During practice, an athlete's routine lacks fluidity despite impressive technical execution. What is the key focus for improvement?</t>
  </si>
  <si>
    <t>An athlete’s routine is strong in emotional engagement but lacks technical complexity. What should they work on improving?</t>
  </si>
  <si>
    <t>A Malkhamb performer is advised to enhance their routine’s overall fluidity. What should they focus on improving?</t>
  </si>
  <si>
    <t>A) Fluidity, B) Technical skill, C) Increasing difficulty, D) Artistic presentation</t>
  </si>
  <si>
    <t>During a performance, an athlete is praised for their technical execution but needs to work on their artistic presentation. What should they focus on?</t>
  </si>
  <si>
    <t>A) Artistic presentation, B) Technical execution, C) Adding more complex moves, D) Routine length</t>
  </si>
  <si>
    <t>A Malkhamb athlete is noted for their strength but needs to improve their routine’s emotional engagement. What should they focus on?</t>
  </si>
  <si>
    <t>An athlete’s routine lacks fluidity despite strong technical execution. What is the key area to address?</t>
  </si>
  <si>
    <t>A) Fluidity, B) Technical execution, C) Adding more dynamic poses, D) Routine length</t>
  </si>
  <si>
    <t>In a Gilli Danda game, Player X hits the gilli with the danda, and the gilli flies 10 meters. The distance covered by the gilli is measured to be 8 meters. Which of the following statements is correct?</t>
  </si>
  <si>
    <t>A) Player X has won the game. , B) Player X has not won the game. , C) The game is still ongoing. , D) The gilli is considered out of bounds.</t>
  </si>
  <si>
    <t>B) Player X has not won the game.</t>
  </si>
  <si>
    <t>During a Gilli Danda match, Player Y hits the gilli and it lands exactly on the boundary line of the playing area. How is this scenario judged?</t>
  </si>
  <si>
    <t>A) The gilli is considered in bounds. , B) The gilli is considered out of bounds. , C) The match is considered a tie. , D) The gilli is reset to the starting position.</t>
  </si>
  <si>
    <t>A) The gilli is considered in bounds.</t>
  </si>
  <si>
    <t>Player Z is batting in a Gilli Danda game. They successfully hit the gilli, but it only travels 2 meters. The opposing team claims the hit is invalid. What should be the correct decision?</t>
  </si>
  <si>
    <t>A) The hit is considered valid. , B) The hit is considered invalid. , C) The hit is considered a foul. , D) The game is paused for a review.</t>
  </si>
  <si>
    <t>B) The hit is considered invalid.</t>
  </si>
  <si>
    <t>In a Gilli Danda game, Player A strikes the gilli with the danda and it bounces off an object outside the play area. What is the appropriate ruling?</t>
  </si>
  <si>
    <t>A) The gilli is considered in play. , B) The gilli is considered out of bounds. , C) The game is restarted. , D) The hit is counted as a score.</t>
  </si>
  <si>
    <t>B) The gilli is considered out of bounds.</t>
  </si>
  <si>
    <t>Player B hits the gilli in a Gilli Danda game, and it lands in a way that it spins for 5 seconds before coming to a stop. How is this event evaluated?</t>
  </si>
  <si>
    <t>A) The spin duration is considered. , B) The hit is counted as valid regardless of spin. , C) The gilli is considered out of play. , D) The spin duration determines the points scored.</t>
  </si>
  <si>
    <t>B) The hit is counted as valid regardless of spin.</t>
  </si>
  <si>
    <t>During a Gilli Danda game, Player C hits the danda with excessive force, causing the gilli to break into two pieces. What is the ruling in this situation?</t>
  </si>
  <si>
    <t>A) The game is continued with a new gilli. , B) The game is paused until the gilli is repaired. , C) Player C is penalized. , D) The game is restarted.</t>
  </si>
  <si>
    <t>A) The game is continued with a new gilli.</t>
  </si>
  <si>
    <t>In a Gilli Danda match, Player D is attempting a hit but accidentally strikes the gilli in such a way that it lands outside the designated play area. What happens next?</t>
  </si>
  <si>
    <t>A) Player D gets another turn. , B) The opposing team gets a chance to hit. , C) Player D is disqualified. , D) The game is paused for review.</t>
  </si>
  <si>
    <t>B) The opposing team gets a chance to hit.</t>
  </si>
  <si>
    <t>Player E is playing Gilli Danda and the gilli lands on a line marking the boundary. According to the rules, what is the ruling for this hit?</t>
  </si>
  <si>
    <t>A) The gilli is considered in play. , B) The gilli is considered out of bounds. , C) The hit is repeated. , D) The game continues with a penalty.</t>
  </si>
  <si>
    <t>A) The gilli is considered in play.</t>
  </si>
  <si>
    <t>In a Gilli Danda game, Player F hits the gilli but it only travels 1 meter before coming to a stop. How is this result interpreted?</t>
  </si>
  <si>
    <t>A) The hit is considered successful. , B) The hit is considered a failure. , C) Player F gets another chance. , D) The game is considered over.</t>
  </si>
  <si>
    <t>B) The hit is considered a failure.</t>
  </si>
  <si>
    <t>Player G hits the gilli and it lands exactly halfway between two boundary lines. How should the hit be judged?</t>
  </si>
  <si>
    <t>A) The hit is considered in play. , B) The hit is considered out of bounds. , C) The hit is invalid and the game is restarted. , D) The game continues with a penalty.</t>
  </si>
  <si>
    <t>A) The hit is considered in play.</t>
  </si>
  <si>
    <t>During a Gilli Danda match, Player H manages to hit the gilli in such a way that it rotates rapidly before landing. How is this hit evaluated?</t>
  </si>
  <si>
    <t>A) The rotation is considered part of the hit. , B) The rotation is ignored and only the distance is counted. , C) The hit is counted as invalid due to excessive rotation. , D) The game is paused for review.</t>
  </si>
  <si>
    <t>B) The rotation is ignored and only the distance is counted.</t>
  </si>
  <si>
    <t>In a Gilli Danda game, Player I accidentally strikes the gilli with the danda in a manner that causes it to land upside down. What is the ruling for this scenario?</t>
  </si>
  <si>
    <t>A) The hit is counted as valid. , B) The hit is considered invalid. , C) The game is paused until the gilli is righted. , D) Player I gets another turn.</t>
  </si>
  <si>
    <t>Player J is about to hit the gilli in a Gilli Danda game but the gilli is displaced by a wind gust just before the hit. What happens next?</t>
  </si>
  <si>
    <t>A) The game is paused until the gilli is repositioned. , B) The hit is considered valid if the gilli was repositioned correctly. , C) Player J is penalized for the delay. , D) The game is restarted.</t>
  </si>
  <si>
    <t>A) The game is paused until the gilli is repositioned.</t>
  </si>
  <si>
    <t>In a Gilli Danda match, Player K hits the gilli and it lands in a location that is not easily visible to all players. How is this situation handled?</t>
  </si>
  <si>
    <t>A) The game continues with a search for the gilli. , B) The game is paused until the gilli is found. , C) The hit is considered invalid. , D) The game is restarted.</t>
  </si>
  <si>
    <t>B) The game is paused until the gilli is found.</t>
  </si>
  <si>
    <t>Player L is batting and hits the gilli in a Gilli Danda game. The gilli lands and spins but does not move beyond the boundary. How is this hit judged?</t>
  </si>
  <si>
    <t>A) The hit is considered successful. , B) The hit is considered a failure. , C) The game is paused for review. , D) Player L gets another chance.</t>
  </si>
  <si>
    <t>A) The hit is considered successful.</t>
  </si>
  <si>
    <t>During a Gilli Danda game, Player M hits the gilli but the gilli gets stuck in a tree. What should be done according to the rules?</t>
  </si>
  <si>
    <t>A) The gilli is retrieved and the game continues. , B) The game is paused until the gilli is removed. , C) Player M is penalized. , D) The game is restarted with a new gilli.</t>
  </si>
  <si>
    <t>A) The gilli is retrieved and the game continues.</t>
  </si>
  <si>
    <t>Player N hits the gilli in a Gilli Danda match and it bounces back toward the hitting area before landing. How is this hit evaluated?</t>
  </si>
  <si>
    <t>A) The hit is considered valid if the gilli lands within bounds. , B) The hit is considered invalid due to the bounce-back. , C) Player N is given another turn. , D) The game is paused for review.</t>
  </si>
  <si>
    <t>A) The hit is considered valid if the gilli lands within bounds.</t>
  </si>
  <si>
    <t>In a Gilli Danda game, Player O hits the gilli and it lands in a position where it is partially covered by sand. What is the ruling for this scenario?</t>
  </si>
  <si>
    <t>A) The gilli is considered in play. , B) The gilli is considered out of bounds. , C) Player O is penalized. , D) The game is restarted.</t>
  </si>
  <si>
    <t>Player P is batting in a Gilli Danda game and hits the gilli with the danda in such a way that it lands on an elevated surface. How should this situation be judged?</t>
  </si>
  <si>
    <t>A) The gilli is considered in play if it remains within bounds. , B) The gilli is considered out of bounds. , C) Player P is given another turn. , D) The game is paused for review.</t>
  </si>
  <si>
    <t>A) The gilli is considered in play if it remains within bounds.</t>
  </si>
  <si>
    <t>During a Gilli Danda match, Player Q hits the gilli and it lands in a position where it immediately rolls back to the starting area. How is this event interpreted?</t>
  </si>
  <si>
    <t>A) The hit is counted as successful. , B) The hit is considered a failure. , C) The game is restarted. , D) Player Q is given another chance.</t>
  </si>
  <si>
    <t>In a Gilli Danda game, Player R hits the gilli but the gilli lands on a spot with water. What is the appropriate ruling?</t>
  </si>
  <si>
    <t>A) The gilli is considered out of bounds. , B) The gilli is considered in play. , C) The game is paused until the gilli is dried. , D) Player R is given another chance.</t>
  </si>
  <si>
    <t>A) The gilli is considered out of bounds.</t>
  </si>
  <si>
    <t>Player S is batting in a Gilli Danda game and the gilli lands in a spot where it is partially obscured by grass. What should be the ruling for this hit?</t>
  </si>
  <si>
    <t>A) The gilli is considered in play. , B) The gilli is considered out of bounds. , C) The game is paused until the gilli is cleared. , D) Player S is given another chance.</t>
  </si>
  <si>
    <t>During a Gilli Danda match, Player T hits the gilli and it lands on an incline, causing it to roll downhill. How is this hit evaluated?</t>
  </si>
  <si>
    <t>A) The gilli is considered in play if it remains within bounds. , B) The gilli is considered out of bounds. , C) The hit is counted as invalid due to rolling downhill. , D) Player T is given another chance.</t>
  </si>
  <si>
    <t>Player U hits the gilli and it lands in a spot where it is immediately obstructed by an object. How should this situation be handled?</t>
  </si>
  <si>
    <t>A) The gilli is considered out of bounds. , B) The gilli is considered in play. , C) The game is paused until the obstruction is removed. , D) Player U is given another chance.</t>
  </si>
  <si>
    <t>In a Gilli Danda game, Player V hits the gilli and it lands exactly on the center line of the playing area. What is the appropriate ruling?</t>
  </si>
  <si>
    <t>A) The gilli is considered in play. , B) The gilli is considered out of bounds. , C) The hit is considered invalid. , D) The game is paused for review.</t>
  </si>
  <si>
    <t>Player W is batting and hits the gilli with the danda. The gilli lands on a spot where it is partially submerged in mud. What is the ruling for this hit?</t>
  </si>
  <si>
    <t>A) The gilli is considered in play. , B) The gilli is considered out of bounds. , C) The game is paused until the gilli is cleaned. , D) Player W is penalized.</t>
  </si>
  <si>
    <t>During a Gilli Danda match, Player X hits the gilli but it lands in a location that is not easily accessible due to obstacles. What should be done?</t>
  </si>
  <si>
    <t>A) The game is paused until the gilli is retrieved. , B) The gilli is considered out of play. , C) Player X is given another turn. , D) The game is restarted.</t>
  </si>
  <si>
    <t>A) The game is paused until the gilli is retrieved.</t>
  </si>
  <si>
    <t>Player Y hits the gilli in a Gilli Danda game and the gilli lands in a position where it immediately starts spinning on its own. How is this hit judged?</t>
  </si>
  <si>
    <t>A) The spinning is considered part of the hit. , B) The spinning is ignored and the distance is counted. , C) The hit is counted as invalid due to excessive spinning. , D) The game is paused for review.</t>
  </si>
  <si>
    <t>B) The spinning is ignored and the distance is counted.</t>
  </si>
  <si>
    <t>In a Gilli Danda match, Player Z hits the gilli and it lands on a slope, causing it to roll down. How should this scenario be ruled?</t>
  </si>
  <si>
    <t>A) The gilli is considered in play if it remains within bounds. , B) The gilli is considered out of bounds. , C) The hit is considered invalid due to rolling downhill. , D) Player Z is given another chance.</t>
  </si>
  <si>
    <t>During a Gilli Danda game, Player A hits the gilli and it lands exactly at the corner of the playing area. What is the appropriate ruling?</t>
  </si>
  <si>
    <t>Player B hits the gilli and it lands in an area where it immediately starts moving due to wind. How is this event interpreted?</t>
  </si>
  <si>
    <t>A) The gilli is considered in play if it remains within bounds. , B) The gilli is considered out of bounds. , C) The hit is considered invalid due to wind movement. , D) The game is paused for review.</t>
  </si>
  <si>
    <t>In a Gilli Danda game, Player C hits the gilli and it lands in a spot where it is partially covered by leaves. What is the ruling for this hit?</t>
  </si>
  <si>
    <t>A) The gilli is considered in play. , B) The gilli is considered out of bounds. , C) The game is paused until the gilli is uncovered. , D) Player C is given another chance.</t>
  </si>
  <si>
    <t>Player D hits the gilli in a Gilli Danda game and the gilli lands on a spot where it immediately starts rolling due to a slope. How should this scenario be ruled?</t>
  </si>
  <si>
    <t>A) The gilli is considered in play if it remains within bounds. , B) The gilli is considered out of bounds. , C) The hit is considered invalid due to rolling. , D) Player D is given another chance.</t>
  </si>
  <si>
    <t>During a Gilli Danda match, Player E hits the gilli but it lands in a position where it is partially blocked by a rock. How is this hit evaluated?</t>
  </si>
  <si>
    <t>A) The gilli is considered out of bounds. , B) The gilli is considered in play. , C) The game is paused until the gilli is cleared. , D) Player E is given another chance.</t>
  </si>
  <si>
    <t>Player F hits the gilli and it lands in a spot where it is immediately covered by snow. What should be done according to the rules?</t>
  </si>
  <si>
    <t>A) The gilli is considered out of bounds. , B) The gilli is considered in play. , C) The game is paused until the snow is removed. , D) Player F is given another chance.</t>
  </si>
  <si>
    <t>In a Gilli Danda game, Player G hits the gilli and it lands on a surface where it is immediately soaked by rain. How is this hit judged?</t>
  </si>
  <si>
    <t>A) The gilli is considered in play. , B) The gilli is considered out of bounds. , C) The game is paused until the gilli is dried. , D) Player G is given another chance.</t>
  </si>
  <si>
    <t>During a Gilli Danda match, Player H hits the gilli but the gilli lands on a spot where it is immediately covered by sand. What is the ruling for this hit?</t>
  </si>
  <si>
    <t>A) The gilli is considered in play. , B) The gilli is considered out of bounds. , C) The game is paused until the sand is removed. , D) Player H is given another chance.</t>
  </si>
  <si>
    <t>Player I hits the gilli in a Gilli Danda game and it lands on a flat surface without any obstructions. How should this hit be evaluated?</t>
  </si>
  <si>
    <t>A) The gilli is considered in play. , B) The gilli is considered out of bounds. , C) The game is paused for review. , D) Player I is given another chance.</t>
  </si>
  <si>
    <t>In a Gilli Danda game, Player J hits the gilli and it lands on a spot where it is partially obstructed by a piece of wood. What is the appropriate ruling?</t>
  </si>
  <si>
    <t>A) The gilli is considered in play. , B) The gilli is considered out of bounds. , C) The game is paused until the obstruction is removed. , D) Player J is given another chance.</t>
  </si>
  <si>
    <t>Player K hits the gilli and it lands in a spot where it is immediately covered by a pile of leaves. How is this event interpreted?</t>
  </si>
  <si>
    <t>A) The gilli is considered in play. , B) The gilli is considered out of bounds. , C) The game is paused until the gilli is uncovered. , D) Player K is given another chance.</t>
  </si>
  <si>
    <t>During a Gilli Danda match, Player L hits the gilli but it lands on a spot where it is obstructed by a piece of trash. What should be done?</t>
  </si>
  <si>
    <t>A) The gilli is considered out of bounds. , B) The gilli is considered in play. , C) The game is paused until the trash is removed. , D) Player L is given another chance.</t>
  </si>
  <si>
    <t>Player M hits the gilli and it lands in an area where it is immediately covered by a puddle of water. What is the ruling for this hit?</t>
  </si>
  <si>
    <t>A) The gilli is considered out of bounds. , B) The gilli is considered in play. , C) The game is paused until the puddle is removed. , D) Player M is given another chance.</t>
  </si>
  <si>
    <t>In a Gilli Danda game, Player N hits the gilli and it lands in a spot where it is immediately obstructed by a fallen branch. What is the ruling?</t>
  </si>
  <si>
    <t>A) The gilli is considered in play. , B) The gilli is considered out of bounds. , C) The game is paused until the branch is cleared. , D) Player N is given another chance.</t>
  </si>
  <si>
    <t>During a Gilli Danda match, Player O hits the gilli and it lands in an area where it is partially covered by a shadow. How is this hit evaluated?</t>
  </si>
  <si>
    <t>A) The gilli is considered in play. , B) The gilli is considered out of bounds. , C) The game is paused until the shadow is cleared. , D) Player O is given another chance.</t>
  </si>
  <si>
    <t>Player P hits the gilli and it lands on a spot where it is immediately obstructed by a pile of rocks. What is the appropriate ruling?</t>
  </si>
  <si>
    <t>A) The gilli is considered out of bounds. , B) The gilli is considered in play. , C) The game is paused until the rocks are removed. , D) Player P is given another chance.</t>
  </si>
  <si>
    <t>In a Gilli Danda game, Player Q hits the gilli and it lands on a spot where it is partially submerged in mud. How is this hit judged?</t>
  </si>
  <si>
    <t>A) The gilli is considered in play. , B) The gilli is considered out of bounds. , C) The game is paused until the gilli is cleaned. , D) Player Q is given another chance.</t>
  </si>
  <si>
    <t>During a Gilli Danda match, Player R hits the gilli but it lands in a position where it is immediately covered by dust. How should this event be interpreted?</t>
  </si>
  <si>
    <t>A) The gilli is considered in play. , B) The gilli is considered out of bounds. , C) The game is paused until the dust settles. , D) Player R is given another chance.</t>
  </si>
  <si>
    <t>Player S hits the gilli and it lands in a spot where it is immediately obstructed by a piece of cloth. What is the ruling for this hit?</t>
  </si>
  <si>
    <t>A) The gilli is considered out of bounds. , B) The gilli is considered in play. , C) The game is paused until the cloth is removed. , D) Player S is given another chance.</t>
  </si>
  <si>
    <t>In a Gilli Danda game, Player T hits the gilli and it lands in a spot where it is immediately obstructed by a pile of bricks. How should this scenario be ruled?</t>
  </si>
  <si>
    <t>A) The gilli is considered out of bounds. , B) The gilli is considered in play. , C) The game is paused until the bricks are removed. , D) Player T is given another chance.</t>
  </si>
  <si>
    <t>During a Gilli Danda match, Player U hits the gilli and it lands in a spot where it is partially obstructed by a piece of furniture. What is the appropriate ruling?</t>
  </si>
  <si>
    <t>A) The gilli is considered in play. , B) The gilli is considered out of bounds. , C) The game is paused until the furniture is moved. , D) Player U is given another chance.</t>
  </si>
  <si>
    <t>Player V hits the gilli and it lands in an area where it is immediately covered by a layer of dust. How is this hit interpreted?</t>
  </si>
  <si>
    <t>A) The gilli is considered out of bounds. , B) The gilli is considered in play. , C) The game is paused until the dust is cleared. , D) Player V is given another chance.</t>
  </si>
  <si>
    <t>B) The gilli is considered in play.</t>
  </si>
  <si>
    <t>In a Gilli Danda game, Player W hits the gilli and it lands on a spot where it is partially obstructed by a small bush. What should be done in this situation?</t>
  </si>
  <si>
    <t>A) The gilli is considered in play. , B) The gilli is considered out of bounds. , C) The game is paused until the bush is cleared. , D) Player W is given another chance.</t>
  </si>
  <si>
    <t>During a Gilli Danda match, Player X hits the gilli and it lands in a spot where it is immediately covered by a thin layer of leaves. What is the ruling for this hit?</t>
  </si>
  <si>
    <t>A) The gilli is considered out of bounds. , B) The gilli is considered in play. , C) The game is paused until the leaves are removed. , D) Player X is given another chance.</t>
  </si>
  <si>
    <t>Player Y hits the gilli in a Gilli Danda game and it lands in an area where it is partially submerged in water. How is this event judged?</t>
  </si>
  <si>
    <t>A) The gilli is considered in play. , B) The gilli is considered out of bounds. , C) The game is paused until the water is removed. , D) Player Y is given another chance.</t>
  </si>
  <si>
    <t>In a Gilli Danda match, Player Z hits the gilli and it lands on a spot where it is partially covered by debris. What is the ruling for this hit?</t>
  </si>
  <si>
    <t>A) The gilli is considered in play. , B) The gilli is considered out of bounds. , C) The game is paused until the debris is cleared. , D) Player Z is given another chance.</t>
  </si>
  <si>
    <t>During a Gilli Danda game, Player A hits the gilli and it lands on a surface that is uneven but not obstructed. How is this hit interpreted?</t>
  </si>
  <si>
    <t>A) The gilli is considered in play. , B) The gilli is considered out of bounds. , C) The game is paused for review. , D) Player A is given another chance.</t>
  </si>
  <si>
    <t>Player B hits the gilli and it lands in a spot where it is partially obstructed by a small rock. How should this scenario be ruled?</t>
  </si>
  <si>
    <t>A) The gilli is considered in play. , B) The gilli is considered out of bounds. , C) The game is paused until the rock is removed. , D) Player B is given another chance.</t>
  </si>
  <si>
    <t>In a Gilli Danda game, Player C hits the gilli and it lands on a spot where it is immediately covered by a thin layer of ice. What is the appropriate ruling?</t>
  </si>
  <si>
    <t>A) The gilli is considered out of bounds. , B) The gilli is considered in play. , C) The game is paused until the ice is removed. , D) Player C is given another chance.</t>
  </si>
  <si>
    <t>Player D hits the gilli and it lands on a spot where it is partially covered by a large rock. How is this hit evaluated?</t>
  </si>
  <si>
    <t>A) The gilli is considered in play. , B) The gilli is considered out of bounds. , C) The game is paused until the rock is moved. , D) Player D is given another chance.</t>
  </si>
  <si>
    <t>During a Gilli Danda match, Player E hits the gilli and it lands in an area where it is immediately obstructed by a fallen tree branch. What is the ruling?</t>
  </si>
  <si>
    <t>A) The gilli is considered out of bounds. , B) The gilli is considered in play. , C) The game is paused until the branch is cleared. , D) Player E is given another chance.</t>
  </si>
  <si>
    <t>In a Gilli Danda game, Player F hits the gilli and it lands on a surface with a slight incline. How is this event judged?</t>
  </si>
  <si>
    <t>A) The gilli is considered in play. , B) The gilli is considered out of bounds. , C) The game is paused for review. , D) Player F is given another chance.</t>
  </si>
  <si>
    <t>Player G hits the gilli and it lands in an area where it is immediately covered by a pile of old newspapers. What is the appropriate ruling?</t>
  </si>
  <si>
    <t>A) The gilli is considered out of bounds. , B) The gilli is considered in play. , C) The game is paused until the newspapers are removed. , D) Player G is given another chance.</t>
  </si>
  <si>
    <t>During a Gilli Danda match, Player H hits the gilli and it lands on a spot with a small amount of loose gravel. How should this hit be interpreted?</t>
  </si>
  <si>
    <t>A) The gilli is considered in play. , B) The gilli is considered out of bounds. , C) The game is paused until the gravel is cleared. , D) Player H is given another chance.</t>
  </si>
  <si>
    <t>Player I hits the gilli and it lands in an area where it is partially submerged in sand. What is the ruling for this hit?</t>
  </si>
  <si>
    <t>A) The gilli is considered out of bounds. , B) The gilli is considered in play. , C) The game is paused until the sand is removed. , D) Player I is given another chance.</t>
  </si>
  <si>
    <t>In a Gilli Danda game, Player J hits the gilli and it lands on a spot where it is immediately obstructed by a small wall. What is the appropriate ruling?</t>
  </si>
  <si>
    <t>A) The gilli is considered out of bounds. , B) The gilli is considered in play. , C) The game is paused until the wall is removed. , D) Player J is given another chance.</t>
  </si>
  <si>
    <t>Player K hits the gilli and it lands in an area where it is covered by a thin layer of snow. How is this hit judged?</t>
  </si>
  <si>
    <t>A) The gilli is considered in play. , B) The gilli is considered out of bounds. , C) The game is paused until the snow is cleared. , D) Player K is given another chance.</t>
  </si>
  <si>
    <t>During a Gilli Danda match, Player L hits the gilli and it lands on a spot where it is immediately covered by mud. How should this hit be ruled?</t>
  </si>
  <si>
    <t>A) The gilli is considered out of bounds. , B) The gilli is considered in play. , C) The game is paused until the mud is cleaned. , D) Player L is given another chance.</t>
  </si>
  <si>
    <t>Player M hits the gilli and it lands on a surface where it is partially obstructed by tall grass. What is the ruling for this hit?</t>
  </si>
  <si>
    <t>A) The gilli is considered in play. , B) The gilli is considered out of bounds. , C) The game is paused until the grass is trimmed. , D) Player M is given another chance.</t>
  </si>
  <si>
    <t>In a Gilli Danda game, Player N hits the gilli and it lands on a spot where it is immediately covered by a thick layer of dust. How is this hit interpreted?</t>
  </si>
  <si>
    <t>A) The gilli is considered out of bounds. , B) The gilli is considered in play. , C) The game is paused until the dust settles. , D) Player N is given another chance.</t>
  </si>
  <si>
    <t>Player O hits the gilli and it lands in an area where it is partially obstructed by a garden hose. What is the appropriate ruling?</t>
  </si>
  <si>
    <t>A) The gilli is considered in play. , B) The gilli is considered out of bounds. , C) The game is paused until the hose is removed. , D) Player O is given another chance.</t>
  </si>
  <si>
    <t>During a Gilli Danda match, Player P hits the gilli and it lands on a spot where it is covered by a pile of leaves. How should this hit be evaluated?</t>
  </si>
  <si>
    <t>A) The gilli is considered out of bounds. , B) The gilli is considered in play. , C) The game is paused until the leaves are removed. , D) Player P is given another chance.</t>
  </si>
  <si>
    <t>In a Gilli Danda game, Player Q hits the gilli and it lands on a surface where it is partially covered by a piece of plastic. What is the ruling?</t>
  </si>
  <si>
    <t>A) The gilli is considered out of bounds. , B) The gilli is considered in play. , C) The game is paused until the plastic is cleared. , D) Player Q is given another chance.</t>
  </si>
  <si>
    <t>Player R hits the gilli and it lands on a surface that is uneven but not obstructed. How should this hit be interpreted?</t>
  </si>
  <si>
    <t>A) The gilli is considered in play. , B) The gilli is considered out of bounds. , C) The game is paused for review. , D) Player R is given another chance.</t>
  </si>
  <si>
    <t>During a Gilli Danda match, Player S hits the gilli and it lands in an area where it is partially obstructed by a metal rod. How is this hit evaluated?</t>
  </si>
  <si>
    <t>A) The gilli is considered in play. , B) The gilli is considered out of bounds. , C) The game is paused until the rod is removed. , D) Player S is given another chance.</t>
  </si>
  <si>
    <t>Player T hits the gilli and it lands in a spot where it is immediately covered by a small pile of leaves. What is the appropriate ruling?</t>
  </si>
  <si>
    <t>A) The gilli is considered out of bounds. , B) The gilli is considered in play. , C) The game is paused until the leaves are cleared. , D) Player T is given another chance.</t>
  </si>
  <si>
    <t>In a Gilli Danda game, Player U hits the gilli and it lands on a surface where it is covered by a thin layer of ice. What is the ruling?</t>
  </si>
  <si>
    <t>A) The gilli is considered out of bounds. , B) The gilli is considered in play. , C) The game is paused until the ice is removed. , D) Player U is given another chance.</t>
  </si>
  <si>
    <t>Player V hits the gilli and it lands on a spot where it is partially obstructed by a stack of bricks. How should this scenario be ruled?</t>
  </si>
  <si>
    <t>A) The gilli is considered out of bounds. , B) The gilli is considered in play. , C) The game is paused until the bricks are removed. , D) Player V is given another chance.</t>
  </si>
  <si>
    <t>During a Gilli Danda match, Player W hits the gilli and it lands in an area with a slight slope. How is this hit interpreted?</t>
  </si>
  <si>
    <t>A) The gilli is considered in play. , B) The gilli is considered out of bounds. , C) The game is paused for review. , D) Player W is given another chance.</t>
  </si>
  <si>
    <t>Player X hits the gilli and it lands on a spot where it is immediately covered by a piece of cardboard. What is the ruling for this hit?</t>
  </si>
  <si>
    <t>A) The gilli is considered out of bounds. , B) The gilli is considered in play. , C) The game is paused until the cardboard is removed. , D) Player X is given another chance.</t>
  </si>
  <si>
    <t>In a Gilli Danda game, Player Y hits the gilli and it lands in an area where it is obstructed by a small pile of dirt. How should this scenario be judged?</t>
  </si>
  <si>
    <t>A) The gilli is considered in play. , B) The gilli is considered out of bounds. , C) The game is paused until the dirt is cleared. , D) Player Y is given another chance.</t>
  </si>
  <si>
    <t>Player Z hits the gilli and it lands on a surface that is partially covered by grass. What is the ruling for this hit?</t>
  </si>
  <si>
    <t>A) The gilli is considered in play. , B) The gilli is considered out of bounds. , C) The game is paused until the grass is cleared. , D) Player Z is given another chance.</t>
  </si>
  <si>
    <t>During a Gilli Danda match, Player AA hits the gilli and it lands on a surface that is obstructed by a pile of broken branches. What is the ruling?</t>
  </si>
  <si>
    <t>A) The gilli is considered out of bounds. , B) The gilli is considered in play. , C) The game is paused until the branches are cleared. , D) Player AA is given another chance.</t>
  </si>
  <si>
    <t>Player BB hits the gilli and it lands on an uneven surface with small rocks. How should this hit be interpreted?</t>
  </si>
  <si>
    <t>A) The gilli is considered in play. , B) The gilli is considered out of bounds. , C) The game is paused for review. , D) Player BB is given another chance.</t>
  </si>
  <si>
    <t>In a Gilli Danda game, Player CC hits the gilli and it lands on a surface covered by a thick mat. What is the appropriate ruling?</t>
  </si>
  <si>
    <t>A) The gilli is considered out of bounds. , B) The gilli is considered in play. , C) The game is paused until the mat is removed. , D) Player CC is given another chance.</t>
  </si>
  <si>
    <t>Player DD hits the gilli and it lands on a surface with a small pool of water. What should be the ruling for this scenario?</t>
  </si>
  <si>
    <t>A) The gilli is considered out of bounds. , B) The gilli is considered in play. , C) The game is paused until the water is removed. , D) Player DD is given another chance.</t>
  </si>
  <si>
    <t>During a Gilli Danda match, Player EE hits the gilli and it lands on a surface with a small amount of mud. How is this hit judged?</t>
  </si>
  <si>
    <t>A) The gilli is considered in play. , B) The gilli is considered out of bounds. , C) The game is paused until the mud is cleaned. , D) Player EE is given another chance.</t>
  </si>
  <si>
    <t>Player FF hits the gilli and it lands on a surface that is obstructed by a large stone. What is the appropriate ruling?</t>
  </si>
  <si>
    <t>A) The gilli is considered out of bounds. , B) The gilli is considered in play. , C) The game is paused until the stone is removed. , D) Player FF is given another chance.</t>
  </si>
  <si>
    <t>In a Gilli Danda game, Player GG hits the gilli and it lands on a surface where it is immediately covered by a cloth. How should this hit be interpreted?</t>
  </si>
  <si>
    <t>A) The gilli is considered out of bounds. , B) The gilli is considered in play. , C) The game is paused until the cloth is removed. , D) Player GG is given another chance.</t>
  </si>
  <si>
    <t>Player HH hits the gilli and it lands in an area where it is partially covered by a tangle of vines. What is the ruling for this scenario?</t>
  </si>
  <si>
    <t>A) The gilli is considered in play. , B) The gilli is considered out of bounds. , C) The game is paused until the vines are cleared. , D) Player HH is given another chance.</t>
  </si>
  <si>
    <t>During a Gilli Danda match, Player II hits the gilli and it lands on a spot where it is immediately covered by a puddle of rainwater. How should this hit be ruled?</t>
  </si>
  <si>
    <t>A) The gilli is considered out of bounds. , B) The gilli is considered in play. , C) The game is paused until the water is cleared. , D) Player II is given another chance.</t>
  </si>
  <si>
    <t>Player JJ hits the gilli and it lands on a surface with a slight incline and a few pebbles. What is the appropriate ruling for this scenario?</t>
  </si>
  <si>
    <t>A) The gilli is considered in play. , B) The gilli is considered out of bounds. , C) The game is paused for review. , D) Player JJ is given another chance.</t>
  </si>
  <si>
    <t>In a Gilli Danda game, Player KK hits the gilli and it lands on a spot where it is covered by a patch of weeds. How should this hit be judged?</t>
  </si>
  <si>
    <t>A) The gilli is considered out of bounds. , B) The gilli is considered in play. , C) The game is paused until the weeds are removed. , D) Player KK is given another chance.</t>
  </si>
  <si>
    <t>Player LL hits the gilli and it lands in an area where it is immediately covered by a large sheet of paper. What is the ruling for this hit?</t>
  </si>
  <si>
    <t>A) The gilli is considered out of bounds. , B) The gilli is considered in play. , C) The game is paused until the paper is removed. , D) Player LL is given another chance.</t>
  </si>
  <si>
    <t>During a Gilli Danda match, Player MM hits the gilli and it lands on a surface that is partially obstructed by a broken piece of wood. How is this hit evaluated?</t>
  </si>
  <si>
    <t>A) The gilli is considered out of bounds. , B) The gilli is considered in play. , C) The game is paused until the wood is cleared. , D) Player MM is given another chance.</t>
  </si>
  <si>
    <t>Player NN hits the gilli and it lands in an area with a slight slope and some small rocks. What should be the ruling for this hit?</t>
  </si>
  <si>
    <t>A) The gilli is considered in play. , B) The gilli is considered out of bounds. , C) The game is paused for review. , D) Player NN is given another chance.</t>
  </si>
  <si>
    <t>In a Gilli Danda game, Player OO hits the gilli and it lands on a spot where it is covered by a layer of sand. How is this hit interpreted?</t>
  </si>
  <si>
    <t>A) The gilli is considered out of bounds. , B) The gilli is considered in play. , C) The game is paused until the sand is removed. , D) Player OO is given another chance.</t>
  </si>
  <si>
    <t>Player PP hits the gilli and it lands on a surface that is partially obstructed by a pile of old bricks. What is the appropriate ruling for this scenario?</t>
  </si>
  <si>
    <t>A) The gilli is considered out of bounds. , B) The gilli is considered in play. , C) The game is paused until the bricks are cleared. , D) Player PP is given another chance.</t>
  </si>
  <si>
    <t>During a Gilli Danda match, Player QQ hits the gilli and it lands in an area where it is immediately covered by a blanket. How should this hit be evaluated?</t>
  </si>
  <si>
    <t>A) The gilli is considered in play. , B) The gilli is considered out of bounds. , C) The game is paused until the blanket is removed. , D) Player QQ is given another chance.</t>
  </si>
  <si>
    <t>Player RR hits the gilli and it lands on a surface with a small puddle of water from recent rain. What is the ruling for this scenario?</t>
  </si>
  <si>
    <t>A) The gilli is considered in play. , B) The gilli is considered out of bounds. , C) The game is paused until the water is removed. , D) Player RR is given another chance.</t>
  </si>
  <si>
    <t>In a Gilli Danda game, Player SS hits the gilli and it lands on a spot where it is partially covered by a large piece of cardboard. How should this hit be ruled?</t>
  </si>
  <si>
    <t>A) The gilli is considered out of bounds. , B) The gilli is considered in play. , C) The game is paused until the cardboard is removed. , D) Player SS is given another chance.</t>
  </si>
  <si>
    <t>Player TT hits the gilli and it lands on a surface where it is immediately obstructed by a small pile of twigs. What is the appropriate ruling for this scenario?</t>
  </si>
  <si>
    <t>A) The gilli is considered in play. , B) The gilli is considered out of bounds. , C) The game is paused until the twigs are cleared. , D) Player TT is given another chance.</t>
  </si>
  <si>
    <t>During a Gilli Danda match, Player UU hits the gilli and it lands on a surface that is partially covered by a layer of snow. How is this hit judged?</t>
  </si>
  <si>
    <t>A) The gilli is considered out of bounds. , B) The gilli is considered in play. , C) The game is paused until the snow is cleared. , D) Player UU is given another chance.</t>
  </si>
  <si>
    <t>Player VV hits the gilli and it lands on an area where it is covered by a thin layer of ice. What is the ruling for this hit?</t>
  </si>
  <si>
    <t>A) The gilli is considered in play. , B) The gilli is considered out of bounds. , C) The game is paused until the ice is removed. , D) Player VV is given another chance.</t>
  </si>
  <si>
    <t>In a Gilli Danda game, Player WW hits the gilli and it lands on a spot where it is partially covered by a piece of fabric. How should this hit be interpreted?</t>
  </si>
  <si>
    <t>A) The gilli is considered out of bounds. , B) The gilli is considered in play. , C) The game is paused until the fabric is removed. , D) Player WW is given another chance.</t>
  </si>
  <si>
    <t>Player XX hits the gilli and it lands in an area where it is covered by a small pile of leaves. What is the ruling for this hit?</t>
  </si>
  <si>
    <t>A) The gilli is considered in play. , B) The gilli is considered out of bounds. , C) The game is paused until the leaves are removed. , D) Player XX is given another chance.</t>
  </si>
  <si>
    <t>During a Gilli Danda match, Player YY hits the gilli and it lands on a surface with a few scattered stones. How is this hit evaluated?</t>
  </si>
  <si>
    <t>A) The gilli is considered in play. , B) The gilli is considered out of bounds. , C) The game is paused for review. , D) Player YY is given another chance.</t>
  </si>
  <si>
    <t>Player ZZ hits the gilli and it lands on a surface where it is partially obstructed by a large clump of grass. What is the appropriate ruling?</t>
  </si>
  <si>
    <t>A) The gilli is considered out of bounds. , B) The gilli is considered in play. , C) The game is paused until the grass is cleared. , D) Player ZZ is given another chance.</t>
  </si>
  <si>
    <t>In a Gilli Danda game, Player AAA hits the gilli and it lands on a surface where it is immediately covered by a pile of sand. What should be the ruling for this scenario?</t>
  </si>
  <si>
    <t>A) The gilli is considered out of bounds. , B) The gilli is considered in play. , C) The game is paused until the sand is removed. , D) Player AAA is given another chance.</t>
  </si>
  <si>
    <t>Player BBB hits the gilli and it lands in an area where it is obstructed by a large metal can. What is the ruling for this hit?</t>
  </si>
  <si>
    <t>A) The gilli is considered in play. , B) The gilli is considered out of bounds. , C) The game is paused until the can is removed. , D) Player BBB is given another chance.</t>
  </si>
  <si>
    <t>During a Gilli Danda match, Player CCC hits the gilli and it lands on a spot where it is partially covered by a patch of mud. How should this hit be interpreted?</t>
  </si>
  <si>
    <t>A) The gilli is considered in play. , B) The gilli is considered out of bounds. , C) The game is paused until the mud is cleared. , D) Player CCC is given another chance.</t>
  </si>
  <si>
    <t>Player DDD hits the gilli and it lands on a surface where it is immediately covered by a large leaf. What is the ruling for this hit?</t>
  </si>
  <si>
    <t>A) The gilli is considered out of bounds. , B) The gilli is considered in play. , C) The game is paused until the leaf is removed. , D) Player DDD is given another chance.</t>
  </si>
  <si>
    <t>In a Gilli Danda game, Player EEE hits the gilli and it lands in an area with a slight incline and some small twigs. What should be the ruling for this hit?</t>
  </si>
  <si>
    <t>A) The gilli is considered out of bounds. , B) The gilli is considered in play. , C) The game is paused for review. , D) Player EEE is given another chance.</t>
  </si>
  <si>
    <t>Player FFF hits the gilli and it lands on a surface that is obstructed by a large stone slab. How is this hit judged?</t>
  </si>
  <si>
    <t>A) The gilli is considered out of bounds. , B) The gilli is considered in play. , C) The game is paused until the stone slab is removed. , D) Player FFF is given another chance.</t>
  </si>
  <si>
    <t>During a Gilli Danda match, Player GGG hits the gilli and it lands on a spot where it is immediately covered by a thin layer of ice. What is the appropriate ruling?</t>
  </si>
  <si>
    <t>A) The gilli is considered out of bounds. , B) The gilli is considered in play. , C) The game is paused until the ice is removed. , D) Player GGG is given another chance.</t>
  </si>
  <si>
    <t>Player HHH hits the gilli and it lands on a surface where it is obstructed by a small pile of stones. How should this hit be evaluated?</t>
  </si>
  <si>
    <t>A) The gilli is considered out of bounds. , B) The gilli is considered in play. , C) The game is paused until the stones are cleared. , D) Player HHH is given another chance.</t>
  </si>
  <si>
    <t>In a Gilli Danda game, Player III hits the gilli and it lands on a surface where it is immediately covered by a plastic sheet. What is the ruling for this hit?</t>
  </si>
  <si>
    <t>A) The gilli is considered out of bounds. , B) The gilli is considered in play. , C) The game is paused until the plastic sheet is removed. , D) Player III is given another chance.</t>
  </si>
  <si>
    <t>Player JJJ hits the gilli and it lands on a surface with a small pile of leaves and twigs. What is the appropriate ruling for this hit?</t>
  </si>
  <si>
    <t>A) The gilli is considered in play. , B) The gilli is considered out of bounds. , C) The game is paused until the leaves and twigs are cleared. , D) Player JJJ is given another chance.</t>
  </si>
  <si>
    <t>During a Gilli Danda match, Player KKK hits the gilli and it lands on a spot where it is partially obstructed by a small rock. What should be the ruling for this scenario?</t>
  </si>
  <si>
    <t>A) The gilli is considered out of bounds. , B) The gilli is considered in play. , C) The game is paused until the rock is removed. , D) Player KKK is given another chance.</t>
  </si>
  <si>
    <t>Player LLL hits the gilli, which then lands on a surface covered by a thin layer of sand. How should this hit be ruled?</t>
  </si>
  <si>
    <t>A) The gilli is considered in play. , B) The gilli is considered out of bounds. , C) The game is paused until the sand is cleared. , D) Player LLL is given another chance.</t>
  </si>
  <si>
    <t>During a Gilli Danda match, Player MMM hits the gilli and it lands in an area obstructed by a small metal box. What is the ruling?</t>
  </si>
  <si>
    <t>A) The gilli is considered in play. , B) The gilli is considered out of bounds. , C) The game is paused until the box is removed. , D) Player MMM is given another chance.</t>
  </si>
  <si>
    <t>Player NNN hits the gilli and it lands on a surface where it is immediately covered by a plastic bag. How should this hit be evaluated?</t>
  </si>
  <si>
    <t>A) The gilli is considered out of bounds. , B) The gilli is considered in play. , C) The game is paused until the bag is removed. , D) Player NNN is given another chance.</t>
  </si>
  <si>
    <t>In a Gilli Danda game, Player OOO hits the gilli and it lands on an area where it is partially covered by a tree branch. What is the ruling for this scenario?</t>
  </si>
  <si>
    <t>A) The gilli is considered in play. , B) The gilli is considered out of bounds. , C) The game is paused until the branch is removed. , D) Player OOO is given another chance.</t>
  </si>
  <si>
    <t>Player PPP hits the gilli and it lands in an area with a small pile of sandbags. What should be the ruling for this hit?</t>
  </si>
  <si>
    <t>A) The gilli is considered out of bounds. , B) The gilli is considered in play. , C) The game is paused until the sandbags are moved. , D) Player PPP is given another chance.</t>
  </si>
  <si>
    <t>During a Gilli Danda match, Player QQQ hits the gilli and it lands on a surface with a small pile of stones and gravel. How should this hit be interpreted?</t>
  </si>
  <si>
    <t>A) The gilli is considered in play. , B) The gilli is considered out of bounds. , C) The game is paused until the stones and gravel are cleared. , D) Player QQQ is given another chance.</t>
  </si>
  <si>
    <t>Player RRR hits the gilli and it lands on a surface where it is immediately obstructed by a large piece of wood. What is the appropriate ruling?</t>
  </si>
  <si>
    <t>A) The gilli is considered out of bounds. , B) The gilli is considered in play. , C) The game is paused until the wood is removed. , D) Player RRR is given another chance.</t>
  </si>
  <si>
    <t>In a Gilli Danda game, Player SSS hits the gilli and it lands on a spot where it is partially covered by a large cloth. How is this hit judged?</t>
  </si>
  <si>
    <t>A) The gilli is considered out of bounds. , B) The gilli is considered in play. , C) The game is paused until the cloth is removed. , D) Player SSS is given another chance.</t>
  </si>
  <si>
    <t>Player TTT hits the gilli and it lands in an area where it is obstructed by a small crate. What is the ruling for this scenario?</t>
  </si>
  <si>
    <t>A) The gilli is considered out of bounds. , B) The gilli is considered in play. , C) The game is paused until the crate is removed. , D) Player TTT is given another chance.</t>
  </si>
  <si>
    <t>During a Gilli Danda match, Player UUU hits the gilli and it lands on a surface where it is immediately covered by a layer of dirt. How should this hit be evaluated?</t>
  </si>
  <si>
    <t>A) The gilli is considered in play. , B) The gilli is considered out of bounds. , C) The game is paused until the dirt is cleared. , D) Player UUU is given another chance.</t>
  </si>
  <si>
    <t>Player VVV hits the gilli and it lands on a surface that is obstructed by a large pile of leaves. What is the ruling for this scenario?</t>
  </si>
  <si>
    <t>A) The gilli is considered out of bounds. , B) The gilli is considered in play. , C) The game is paused until the leaves are removed. , D) Player VVV is given another chance.</t>
  </si>
  <si>
    <t>In a Gilli Danda game, Player WWW hits the gilli and it lands on an area with a few scattered pebbles. How should this hit be interpreted?</t>
  </si>
  <si>
    <t>A) The gilli is considered in play. , B) The gilli is considered out of bounds. , C) The game is paused for review. , D) Player WWW is given another chance.</t>
  </si>
  <si>
    <t>Player XXX hits the gilli and it lands on a surface with a small puddle from recent rain. What is the ruling for this hit?</t>
  </si>
  <si>
    <t>A) The gilli is considered out of bounds. , B) The gilli is considered in play. , C) The game is paused until the puddle is removed. , D) Player XXX is given another chance.</t>
  </si>
  <si>
    <t>During a Gilli Danda match, Player YYY hits the gilli and it lands on a surface where it is partially covered by a large boulder. How should this hit be evaluated?</t>
  </si>
  <si>
    <t>A) The gilli is considered out of bounds. , B) The gilli is considered in play. , C) The game is paused until the boulder is moved. , D) Player YYY is given another chance.</t>
  </si>
  <si>
    <t>Player ZZZ hits the gilli and it lands on a surface with a large pile of leaves and branches. What is the appropriate ruling?</t>
  </si>
  <si>
    <t>A) The gilli is considered out of bounds. , B) The gilli is considered in play. , C) The game is paused until the leaves and branches are cleared. , D) Player ZZZ is given another chance.</t>
  </si>
  <si>
    <t>In a Gilli Danda game, Player AAA hits the gilli and it lands on a spot where it is covered by a thin layer of fog. What is the ruling for this scenario?</t>
  </si>
  <si>
    <t>A) The gilli is considered in play. , B) The gilli is considered out of bounds. , C) The game is paused until the fog clears. , D) Player AAA is given another chance.</t>
  </si>
  <si>
    <t>Player BBB hits the gilli and it lands on a surface that is obstructed by a pile of old newspapers. What is the ruling for this hit?</t>
  </si>
  <si>
    <t>A) The gilli is considered out of bounds. , B) The gilli is considered in play. , C) The game is paused until the newspapers are cleared. , D) Player BBB is given another chance.</t>
  </si>
  <si>
    <t>During a Gilli Danda match, Player CCC hits the gilli and it lands on an area where it is immediately covered by a small blanket. How should this hit be interpreted?</t>
  </si>
  <si>
    <t>A) The gilli is considered out of bounds. , B) The gilli is considered in play. , C) The game is paused until the blanket is removed. , D) Player CCC is given another chance.</t>
  </si>
  <si>
    <t>Player DDD hits the gilli and it lands on a surface where it is obstructed by a small crate of vegetables. What is the appropriate ruling?</t>
  </si>
  <si>
    <t>A) The gilli is considered out of bounds. , B) The gilli is considered in play. , C) The game is paused until the crate is moved. , D) Player DDD is given another chance.</t>
  </si>
  <si>
    <t>In a Gilli Danda game, Player EEE hits the gilli and it lands on a spot where it is partially covered by a large piece of cardboard. How is this hit judged?</t>
  </si>
  <si>
    <t>A) The gilli is considered out of bounds. , B) The gilli is considered in play. , C) The game is paused until the cardboard is removed. , D) Player EEE is given another chance.</t>
  </si>
  <si>
    <t>Player FFF hits the gilli and it lands on a surface where it is obstructed by a pile of bricks. What is the ruling for this scenario?</t>
  </si>
  <si>
    <t>A) The gilli is considered in play. , B) The gilli is considered out of bounds. , C) The game is paused until the bricks are cleared. , D) Player FFF is given another chance.</t>
  </si>
  <si>
    <t>During a Gilli Danda match, Player GGG hits the gilli and it lands in an area where it is immediately covered by a layer of snow. What should be the ruling for this hit?</t>
  </si>
  <si>
    <t>A) The gilli is considered out of bounds. , B) The gilli is considered in play. , C) The game is paused until the snow is cleared. , D) Player GGG is given another chance.</t>
  </si>
  <si>
    <t>Player HHH hits the gilli and it lands on a surface obstructed by a small water puddle. How should this hit be interpreted?</t>
  </si>
  <si>
    <t>A) The gilli is considered out of bounds. , B) The gilli is considered in play. , C) The game is paused until the puddle is cleared. , D) Player HHH is given another chance.</t>
  </si>
  <si>
    <t>In a Gilli Danda game, Player III hits the gilli and it lands on a surface with a few scattered leaves and twigs. What is the appropriate ruling?</t>
  </si>
  <si>
    <t>A) The gilli is considered out of bounds. , B) The gilli is considered in play. , C) The game is paused until the leaves and twigs are cleared. , D) Player III is given another chance.</t>
  </si>
  <si>
    <t>Player JJJ hits the gilli and it lands on a spot where it is obstructed by a small pile of hay. What should be the ruling for this hit?</t>
  </si>
  <si>
    <t>A) The gilli is considered out of bounds. , B) The gilli is considered in play. , C) The game is paused until the hay is cleared. , D) Player JJJ is given another chance.</t>
  </si>
  <si>
    <t>During a Gilli Danda match, Player KKK hits the gilli and it lands on a surface covered with a thin layer of mud. How should this hit be evaluated?</t>
  </si>
  <si>
    <t>A) The gilli is considered out of bounds. , B) The gilli is considered in play. , C) The game is paused until the mud is cleaned. , D) Player KKK is given another chance.</t>
  </si>
  <si>
    <t>Player LLL hits the gilli and it lands on a surface obstructed by a large rock. What is the ruling for this scenario?</t>
  </si>
  <si>
    <t>A) The gilli is considered in play. , B) The gilli is considered out of bounds. , C) The game is paused until the rock is moved. , D) Player LLL is given another chance.</t>
  </si>
  <si>
    <t>In a Gilli Danda game, Player MMM hits the gilli and it lands on a surface covered by a blanket of leaves. What is the ruling for this hit?</t>
  </si>
  <si>
    <t>A) The gilli is considered in play. , B) The gilli is considered out of bounds. , C) The game is paused until the leaves are removed. , D) Player MMM is given another chance.</t>
  </si>
  <si>
    <t>Player NNN hits the gilli and it lands on a surface where it is partially obstructed by a small stone. How should this hit be evaluated?</t>
  </si>
  <si>
    <t>A) The gilli is considered in play. , B) The gilli is considered out of bounds. , C) The game is paused until the stone is removed. , D) Player NNN is given another chance.</t>
  </si>
  <si>
    <t>During a Gilli Danda match, Player OOO hits the gilli and it lands in an area where it is covered by a thin film of ice. What is the ruling for this scenario?</t>
  </si>
  <si>
    <t>A) The gilli is considered out of bounds. , B) The gilli is considered in play. , C) The game is paused until the ice melts. , D) Player OOO is given another chance.</t>
  </si>
  <si>
    <t>Player PPP hits the gilli and it lands on a surface obstructed by a small pile of sand. What should be the ruling for this hit?</t>
  </si>
  <si>
    <t>A) The gilli is considered out of bounds. , B) The gilli is considered in play. , C) The game is paused until the sand is cleared. , D) Player PPP is given another chance.</t>
  </si>
  <si>
    <t>In a Gilli Danda game, Player QQQ hits the gilli and it lands on a surface where it is immediately covered by a newspaper. How should this hit be interpreted?</t>
  </si>
  <si>
    <t>A) The gilli is considered in play. , B) The gilli is considered out of bounds. , C) The game is paused until the newspaper is removed. , D) Player QQQ is given another chance.</t>
  </si>
  <si>
    <t>Player RRR hits the gilli and it lands on a surface obstructed by a pile of small branches. What is the ruling for this scenario?</t>
  </si>
  <si>
    <t>A) The gilli is considered out of bounds. , B) The gilli is considered in play. , C) The game is paused until the branches are removed. , D) Player RRR is given another chance.</t>
  </si>
  <si>
    <t>During a Gilli Danda match, Player SSS hits the gilli and it lands on a surface with a few scattered pebbles. How should this hit be evaluated?</t>
  </si>
  <si>
    <t>A) The gilli is considered in play. , B) The gilli is considered out of bounds. , C) The game is paused until the pebbles are cleared. , D) Player SSS is given another chance.</t>
  </si>
  <si>
    <t>Player TTT hits the gilli and it lands in an area where it is covered by a thin layer of moss. What is the ruling for this hit?</t>
  </si>
  <si>
    <t>A) The gilli is considered out of bounds. , B) The gilli is considered in play. , C) The game is paused until the moss is cleared. , D) Player TTT is given another chance.</t>
  </si>
  <si>
    <t>In a Gilli Danda game, Player UUU hits the gilli and it lands on a surface obstructed by a pile of discarded cardboard. What should be the ruling for this hit?</t>
  </si>
  <si>
    <t>A) The gilli is considered in play. , B) The gilli is considered out of bounds. , C) The game is paused until the cardboard is cleared. , D) Player UUU is given another chance.</t>
  </si>
  <si>
    <t>Player VVV hits the gilli and it lands on a surface where it is covered by a small tarp. What is the ruling for this scenario?</t>
  </si>
  <si>
    <t>A) The gilli is considered out of bounds. , B) The gilli is considered in play. , C) The game is paused until the tarp is removed. , D) Player VVV is given another chance.</t>
  </si>
  <si>
    <t>During a Gilli Danda match, Player WWW hits the gilli and it lands on a surface obstructed by a pile of large rocks. How should this hit be evaluated?</t>
  </si>
  <si>
    <t>A) The gilli is considered in play. , B) The gilli is considered out of bounds. , C) The game is paused until the rocks are cleared. , D) Player WWW is given another chance.</t>
  </si>
  <si>
    <t>Player XXX hits the gilli and it lands on a surface covered with a layer of fallen leaves. What is the appropriate ruling?</t>
  </si>
  <si>
    <t>A) The gilli is considered out of bounds. , B) The gilli is considered in play. , C) The game is paused until the leaves are removed. , D) Player XXX is given another chance.</t>
  </si>
  <si>
    <t>In a Gilli Danda game, Player YYY hits the gilli and it lands in an area where it is covered by a thin layer of wet mud. How should this hit be interpreted?</t>
  </si>
  <si>
    <t>A) The gilli is considered in play. , B) The gilli is considered out of bounds. , C) The game is paused until the mud is cleared. , D) Player YYY is given another chance.</t>
  </si>
  <si>
    <t>Player ZZZ hits the gilli and it lands on a surface obstructed by a pile of broken glass. What is the ruling for this scenario?</t>
  </si>
  <si>
    <t>A) The gilli is considered out of bounds. , B) The gilli is considered in play. , C) The game is paused until the glass is cleaned up. , D) Player ZZZ is given another chance.</t>
  </si>
  <si>
    <t>During a Gilli Danda match, Player AAA hits the gilli and it lands on a surface with a small puddle of oil. How should this hit be evaluated?</t>
  </si>
  <si>
    <t>A) The gilli is considered in play. , B) The gilli is considered out of bounds. , C) The game is paused until the oil is cleaned. , D) Player AAA is given another chance.</t>
  </si>
  <si>
    <t>Player BBB hits the gilli and it lands in an area obstructed by a pile of old tires. What is the appropriate ruling for this hit?</t>
  </si>
  <si>
    <t>A) The gilli is considered out of bounds. , B) The gilli is considered in play. , C) The game is paused until the tires are removed. , D) Player BBB is given another chance.</t>
  </si>
  <si>
    <t>In a Gilli Danda game, Player CCC hits the gilli and it lands on a surface covered by a thin layer of snow. What is the ruling for this hit?</t>
  </si>
  <si>
    <t>A) The gilli is considered in play. , B) The gilli is considered out of bounds. , C) The game is paused until the snow is removed. , D) Player CCC is given another chance.</t>
  </si>
  <si>
    <t>Player DDD hits the gilli and it lands on a surface where it is immediately covered by a large sheet of metal. What should be the ruling for this scenario?</t>
  </si>
  <si>
    <t>A) The gilli is considered out of bounds. , B) The gilli is considered in play. , C) The game is paused until the metal sheet is moved. , D) Player DDD is given another chance.</t>
  </si>
  <si>
    <t>During a Gilli Danda match, Player EEE hits the gilli and it lands on a surface with a pile of gravel. How should this hit be interpreted?</t>
  </si>
  <si>
    <t>A) The gilli is considered out of bounds. , B) The gilli is considered in play. , C) The game is paused until the gravel is cleared. , D) Player EEE is given another chance.</t>
  </si>
  <si>
    <t>Player FFF hits the gilli and it lands on a surface where it is obstructed by a large piece of furniture. What is the ruling for this hit?</t>
  </si>
  <si>
    <t>A) The gilli is considered out of bounds. , B) The gilli is considered in play. , C) The game is paused until the furniture is moved. , D) Player FFF is given another chance.</t>
  </si>
  <si>
    <t>In a Gilli Danda game, Player GGG hits the gilli and it lands on a surface covered by a thin layer of frost. How should this hit be evaluated?</t>
  </si>
  <si>
    <t>A) The gilli is considered in play. , B) The gilli is considered out of bounds. , C) The game is paused until the frost is cleared. , D) Player GGG is given another chance.</t>
  </si>
  <si>
    <t>Player HHH hits the gilli and it lands in an area obstructed by a large pile of firewood. What is the ruling for this scenario?</t>
  </si>
  <si>
    <t>A) The gilli is considered out of bounds. , B) The gilli is considered in play. , C) The game is paused until the firewood is cleared. , D) Player HHH is given another chance.</t>
  </si>
  <si>
    <t>During a Gilli Danda match, Player III hits the gilli and it lands on a surface covered with a thin layer of pebbles. How should this hit be interpreted?</t>
  </si>
  <si>
    <t>A) The gilli is considered in play. , B) The gilli is considered out of bounds. , C) The game is paused until the pebbles are cleared. , D) Player III is given another chance.</t>
  </si>
  <si>
    <t>Player JJJ hits the gilli and it lands on a surface where it is immediately covered by a large pile of grass. What is the appropriate ruling?</t>
  </si>
  <si>
    <t>A) The gilli is considered out of bounds. , B) The gilli is considered in play. , C) The game is paused until the grass is cleared. , D) Player JJJ is given another chance.</t>
  </si>
  <si>
    <t>In a Gilli Danda game, Player KKK hits the gilli and it lands in an area obstructed by a small pile of twigs. What should be the ruling for this hit?</t>
  </si>
  <si>
    <t>A) The gilli is considered in play. , B) The gilli is considered out of bounds. , C) The game is paused until the twigs are cleared. , D) Player KKK is given another chance.</t>
  </si>
  <si>
    <t>Player LLL hits the gilli and it lands on a surface where it is covered by a layer of wet leaves. What is the ruling for this scenario?</t>
  </si>
  <si>
    <t>A) The gilli is considered in play. , B) The gilli is considered out of bounds. , C) The game is paused until the leaves are removed. , D) Player LLL is given another chance.</t>
  </si>
  <si>
    <t>During a Gilli Danda match, Player MMM hits the gilli and it lands on a surface obstructed by a pile of old wood. How should this hit be evaluated?</t>
  </si>
  <si>
    <t>A) The gilli is considered out of bounds. , B) The gilli is considered in play. , C) The game is paused until the wood is cleared. , D) Player MMM is given another chance.</t>
  </si>
  <si>
    <t>Player NNN hits the gilli and it lands on a surface where it is immediately covered by a thin layer of ice. What is the appropriate ruling for this hit?</t>
  </si>
  <si>
    <t>A) The gilli is considered in play. , B) The gilli is considered out of bounds. , C) The game is paused until the ice melts. , D) Player NNN is given another chance.</t>
  </si>
  <si>
    <t>In a Gilli Danda game, Player OOO hits the gilli and it lands on a surface covered by a small pile of dirt. What is the ruling for this hit?</t>
  </si>
  <si>
    <t>A) The gilli is considered out of bounds. , B) The gilli is considered in play. , C) The game is paused until the dirt is cleared. , D) Player OOO is given another chance.</t>
  </si>
  <si>
    <t>Player PPP hits the gilli and it lands on a surface where it is obstructed by a large pile of straw. What is the ruling for this scenario?</t>
  </si>
  <si>
    <t>A) The gilli is considered out of bounds. , B) The gilli is considered in play. , C) The game is paused until the straw is cleared. , D) Player PPP is given another chance.</t>
  </si>
  <si>
    <t>During a Gilli Danda match, Player QQQ hits the gilli and it lands on a surface covered with a thin layer of debris. How should this hit be interpreted?</t>
  </si>
  <si>
    <t>A) The gilli is considered in play. , B) The gilli is considered out of bounds. , C) The game is paused until the debris is removed. , D) Player QQQ is given another chance.</t>
  </si>
  <si>
    <t>Player RRR hits the gilli and it lands on a surface obstructed by a large piece of construction material. What is the appropriate ruling for this hit?</t>
  </si>
  <si>
    <t>A) The gilli is considered out of bounds. , B) The gilli is considered in play. , C) The game is paused until the construction material is moved. , D) Player RRR is given another chance.</t>
  </si>
  <si>
    <t>In a Gilli Danda game, Player SSS hits the gilli and it lands on a surface covered by a thin layer of fallen leaves and twigs. What is the ruling for this hit?</t>
  </si>
  <si>
    <t>A) The gilli is considered out of bounds. , B) The gilli is considered in play. , C) The game is paused until the leaves and twigs are cleared. , D) Player SSS is given another chance.</t>
  </si>
  <si>
    <t>Player TTT hits the gilli and it lands on a surface where it is immediately covered by a thin layer of ice. How should this hit be interpreted?</t>
  </si>
  <si>
    <t>A) The gilli is considered in play. , B) The gilli is considered out of bounds. , C) The game is paused until the ice melts. , D) Player TTT is given another chance.</t>
  </si>
  <si>
    <t>During a Gilli Danda match, Player UUU hits the gilli and it lands on a surface obstructed by a large piece of metal. What is the ruling for this hit?</t>
  </si>
  <si>
    <t>A) The gilli is considered out of bounds. , B) The gilli is considered in play. , C) The game is paused until the metal is removed. , D) Player UUU is given another chance.</t>
  </si>
  <si>
    <t>Player VVV hits the gilli and it lands on a surface covered by a thin layer of dust. How should this hit be interpreted?</t>
  </si>
  <si>
    <t>A) The gilli is considered in play. , B) The gilli is considered out of bounds. , C) The game is paused until the dust is cleared. , D) Player VVV is given another chance.</t>
  </si>
  <si>
    <t>In a Gilli Danda game, Player WWW hits the gilli and it lands on a surface where it is obstructed by a pile of old rags. What is the appropriate ruling?</t>
  </si>
  <si>
    <t>A) The gilli is considered out of bounds. , B) The gilli is considered in play. , C) The game is paused until the rags are removed. , D) Player WWW is given another chance.</t>
  </si>
  <si>
    <t>Player AAA hits the gilli and it lands on a surface covered by a thin layer of sand. How should this hit be evaluated?</t>
  </si>
  <si>
    <t>A) The gilli is considered out of bounds. , B) The gilli is considered in play. , C) The game is paused until the sand is cleared. , D) Player AAA is given another chance.</t>
  </si>
  <si>
    <t>Player BBB hits the gilli and it lands on a surface covered with a thick layer of fallen branches. What is the appropriate ruling?</t>
  </si>
  <si>
    <t>A) The gilli is considered out of bounds. , B) The gilli is considered in play. , C) The game is paused until the branches are cleared. , D) Player BBB is given another chance.</t>
  </si>
  <si>
    <t>In a Gilli Danda match, Player CCC hits the gilli and it lands in an area obstructed by a small pile of broken bricks. How should this hit be interpreted?</t>
  </si>
  <si>
    <t>A) The gilli is considered out of bounds. , B) The gilli is considered in play. , C) The game is paused until the bricks are removed. , D) Player CCC is given another chance.</t>
  </si>
  <si>
    <t>Player DDD hits the gilli and it lands on a surface covered with a large puddle of water. What is the ruling for this scenario?</t>
  </si>
  <si>
    <t>A) The gilli is considered out of bounds. , B) The gilli is considered in play. , C) The game is paused until the water is cleared. , D) Player DDD is given another chance.</t>
  </si>
  <si>
    <t>During a Gilli Danda game, Player EEE hits the gilli and it lands on a surface where it is obstructed by a pile of garbage. How should this hit be evaluated?</t>
  </si>
  <si>
    <t>A) The gilli is considered in play. , B) The gilli is considered out of bounds. , C) The game is paused until the garbage is cleared. , D) Player EEE is given another chance.</t>
  </si>
  <si>
    <t>Player FFF hits the gilli and it lands on a surface with a pile of small rocks. What is the appropriate ruling for this hit?</t>
  </si>
  <si>
    <t>A) The gilli is considered in play. , B) The gilli is considered out of bounds. , C) The game is paused until the rocks are removed. , D) Player FFF is given another chance.</t>
  </si>
  <si>
    <t>In a Gilli Danda game, Player GGG hits the gilli and it lands on a surface covered by a thin layer of snow. What is the ruling for this hit?</t>
  </si>
  <si>
    <t>Player HHH hits the gilli and it lands on a surface where it is immediately covered by a layer of ice. What should be the ruling for this scenario?</t>
  </si>
  <si>
    <t>A) The gilli is considered in play. , B) The gilli is considered out of bounds. , C) The game is paused until the ice melts. , D) Player HHH is given another chance.</t>
  </si>
  <si>
    <t>During a Gilli Danda match, Player III hits the gilli and it lands in an area obstructed by a pile of loose soil. How should this hit be interpreted?</t>
  </si>
  <si>
    <t>A) The gilli is considered in play. , B) The gilli is considered out of bounds. , C) The game is paused until the soil is cleared. , D) Player III is given another chance.</t>
  </si>
  <si>
    <t>Player JJJ hits the gilli and it lands on a surface covered with a thin layer of wet leaves. What is the appropriate ruling?</t>
  </si>
  <si>
    <t>A) The gilli is considered out of bounds. , B) The gilli is considered in play. , C) The game is paused until the leaves are removed. , D) Player JJJ is given another chance.</t>
  </si>
  <si>
    <t>In a Gilli Danda game, Player KKK hits the gilli and it lands on a surface obstructed by a pile of old newspapers. What is the ruling for this hit?</t>
  </si>
  <si>
    <t>A) The gilli is considered out of bounds. , B) The gilli is considered in play. , C) The game is paused until the newspapers are cleared. , D) Player KKK is given another chance.</t>
  </si>
  <si>
    <t>Player LLL hits the gilli and it lands on a surface covered by a thin layer of mud. What is the ruling for this scenario?</t>
  </si>
  <si>
    <t>A) The gilli is considered out of bounds. , B) The gilli is considered in play. , C) The game is paused until the mud is cleared. , D) Player LLL is given another chance.</t>
  </si>
  <si>
    <t>During a Gilli Danda match, Player MMM hits the gilli and it lands on a surface obstructed by a large pile of fallen branches. How should this hit be evaluated?</t>
  </si>
  <si>
    <t>A) The gilli is considered in play. , B) The gilli is considered out of bounds. , C) The game is paused until the branches are cleared. , D) Player MMM is given another chance.</t>
  </si>
  <si>
    <t>Player NNN hits the gilli and it lands on a surface covered with a thick layer of hay. What is the appropriate ruling for this hit?</t>
  </si>
  <si>
    <t>A) The gilli is considered out of bounds. , B) The gilli is considered in play. , C) The game is paused until the hay is removed. , D) Player NNN is given another chance.</t>
  </si>
  <si>
    <t>In a Gilli Danda game, Player OOO hits the gilli and it lands on a surface covered by a thin layer of dust. What is the ruling for this hit?</t>
  </si>
  <si>
    <t>A) The gilli is considered in play. , B) The gilli is considered out of bounds. , C) The game is paused until the dust is cleared. , D) Player OOO is given another chance.</t>
  </si>
  <si>
    <t>Player PPP hits the gilli and it lands in an area obstructed by a pile of large stones. What is the appropriate ruling for this hit?</t>
  </si>
  <si>
    <t>A) The gilli is considered out of bounds. , B) The gilli is considered in play. , C) The game is paused until the stones are removed. , D) Player PPP is given another chance.</t>
  </si>
  <si>
    <t>Player QQQ hits the gilli and it lands on a surface covered with a layer of wet grass. What should be the ruling for this scenario?</t>
  </si>
  <si>
    <t>A) The gilli is considered out of bounds. , B) The gilli is considered in play. , C) The game is paused until the grass is dried. , D) Player QQQ is given another chance.</t>
  </si>
  <si>
    <t>Player RRR hits the gilli and it lands in an area obstructed by a large wooden log. How should this hit be interpreted?</t>
  </si>
  <si>
    <t>A) The gilli is considered in play. , B) The gilli is considered out of bounds. , C) The game is paused until the log is moved. , D) Player RRR is given another chance.</t>
  </si>
  <si>
    <t>In a Gilli Danda match, Player SSS hits the gilli and it lands on a surface covered with a thick layer of dirt. What is the appropriate ruling?</t>
  </si>
  <si>
    <t>A) The gilli is considered out of bounds. , B) The gilli is considered in play. , C) The game is paused until the dirt is cleared. , D) Player SSS is given another chance.</t>
  </si>
  <si>
    <t>Player TTT hits the gilli and it lands on a surface obstructed by a large pile of fallen leaves. How should this hit be evaluated?</t>
  </si>
  <si>
    <t>A) The gilli is considered in play. , B) The gilli is considered out of bounds. , C) The game is paused until the leaves are removed. , D) Player TTT is given another chance.</t>
  </si>
  <si>
    <t>During a Gilli Danda match, Player UUU hits the gilli and it lands on a surface covered with a thin layer of gravel. What is the ruling for this scenario?</t>
  </si>
  <si>
    <t>A) The gilli is considered out of bounds. , B) The gilli is considered in play. , C) The game is paused until the gravel is removed. , D) Player UUU is given another chance.</t>
  </si>
  <si>
    <t>Player VVV hits the gilli and it lands on a surface where it is obstructed by a pile of unused tires. How should this hit be interpreted?</t>
  </si>
  <si>
    <t>A) The gilli is considered out of bounds. , B) The gilli is considered in play. , C) The game is paused until the tires are removed. , D) Player VVV is given another chance.</t>
  </si>
  <si>
    <t>In a Gilli Danda game, Player WWW hits the gilli and it lands on a surface covered with a thin layer of wet mud. What is the appropriate ruling for this hit?</t>
  </si>
  <si>
    <t>A) The gilli is considered in play. , B) The gilli is considered out of bounds. , C) The game is paused until the mud is dried. , D) Player WWW is given another chance.</t>
  </si>
  <si>
    <t>Player XXX hits the gilli and it lands on a surface covered by a thick layer of dried leaves. What is the ruling for this scenario?</t>
  </si>
  <si>
    <t>A) The gilli is considered out of bounds. , B) The gilli is considered in play. , C) The game is paused until the leaves are cleared. , D) Player XXX is given another chance.</t>
  </si>
  <si>
    <t>During a Gilli Danda match, Player YYY hits the gilli and it lands in an area obstructed by a pile of broken glass. How should this hit be evaluated?</t>
  </si>
  <si>
    <t>A) The gilli is considered out of bounds. , B) The gilli is considered in play. , C) The game is paused until the glass is cleared. , D) Player YYY is given another chance.</t>
  </si>
  <si>
    <t>Player ZZZ hits the gilli and it lands on a surface covered with a thin layer of fallen petals. What is the appropriate ruling for this hit?</t>
  </si>
  <si>
    <t>A) The gilli is considered in play. , B) The gilli is considered out of bounds. , C) The game is paused until the petals are cleared. , D) Player ZZZ is given another chance.</t>
  </si>
  <si>
    <t>Player AAA hits the gilli and it lands on a surface obstructed by a large piece of wood. What is the ruling for this scenario?</t>
  </si>
  <si>
    <t>A) The gilli is considered in play. , B) The gilli is considered out of bounds. , C) The game is paused until the wood is removed. , D) Player AAA is given another chance.</t>
  </si>
  <si>
    <t>In a Gilli Danda match, Player BBB hits the gilli and it lands on a surface covered with a thick layer of old fabric. How should this hit be interpreted?</t>
  </si>
  <si>
    <t>A) The gilli is considered out of bounds. , B) The gilli is considered in play. , C) The game is paused until the fabric is removed. , D) Player BBB is given another chance.</t>
  </si>
  <si>
    <t>Player CCC hits the gilli and it lands on a surface covered by a thin layer of sand. What is the ruling for this scenario?</t>
  </si>
  <si>
    <t>A) The gilli is considered in play. , B) The gilli is considered out of bounds. , C) The game is paused until the sand is removed. , D) Player CCC is given another chance.</t>
  </si>
  <si>
    <t>During a Gilli Danda match, Player DDD hits the gilli and it lands in an area obstructed by a pile of leaves. What is the appropriate ruling for this hit?</t>
  </si>
  <si>
    <t>A) The gilli is considered out of bounds. , B) The gilli is considered in play. , C) The game is paused until the leaves are cleared. , D) Player DDD is given another chance.</t>
  </si>
  <si>
    <t>Player EEE hits the gilli and it lands on a surface covered with a thick layer of water. What should be the ruling for this hit?</t>
  </si>
  <si>
    <t>A) The gilli is considered in play. , B) The gilli is considered out of bounds. , C) The game is paused until the water is removed. , D) Player EEE is given another chance.</t>
  </si>
  <si>
    <t>Player FFF hits the gilli and it lands on a surface covered with a thin layer of ice. How should this hit be interpreted?</t>
  </si>
  <si>
    <t>A) The gilli is considered in play. , B) The gilli is considered out of bounds. , C) The game is paused until the ice melts. , D) Player FFF is given another chance.</t>
  </si>
  <si>
    <t>In a Gilli Danda game, Player GGG hits the gilli and it lands on a surface obstructed by a pile of large rocks. What is the appropriate ruling?</t>
  </si>
  <si>
    <t>A) The gilli is considered out of bounds. , B) The gilli is considered in play. , C) The game is paused until the rocks are cleared. , D) Player GGG is given another chance.</t>
  </si>
  <si>
    <t>Player HHH hits the gilli and it lands on a surface covered by a thin layer of grass. How should this hit be evaluated?</t>
  </si>
  <si>
    <t>A) The gilli is considered in play. , B) The gilli is considered out of bounds. , C) The game is paused until the grass is cleared. , D) Player HHH is given another chance.</t>
  </si>
  <si>
    <t>During a Gilli Danda match, Player III hits the gilli and it lands on a surface covered with a thick layer of fallen snow. What is the ruling for this scenario?</t>
  </si>
  <si>
    <t>A) The gilli is considered out of bounds. , B) The gilli is considered in play. , C) The game is paused until the snow is removed. , D) Player III is given another chance.</t>
  </si>
  <si>
    <t>Player JJJ hits the gilli and it lands on a surface covered with a thin layer of water. What should be the ruling for this hit?</t>
  </si>
  <si>
    <t>A) The gilli is considered in play. , B) The gilli is considered out of bounds. , C) The game is paused until the water is removed. , D) Player JJJ is given another chance.</t>
  </si>
  <si>
    <t>Player KKK hits the gilli and it lands in an area obstructed by a pile of construction debris. How should this hit be evaluated?</t>
  </si>
  <si>
    <t>A) The gilli is considered out of bounds. , B) The gilli is considered in play. , C) The game is paused until the debris is cleared. , D) Player KKK is given another chance.</t>
  </si>
  <si>
    <t>In a Gilli Danda match, Player LLL hits the gilli and it lands on a surface covered with a thick layer of old newspapers. What is the appropriate ruling?</t>
  </si>
  <si>
    <t>A) The gilli is considered out of bounds. , B) The gilli is considered in play. , C) The game is paused until the newspapers are removed. , D) Player LLL is given another chance.</t>
  </si>
  <si>
    <t>Player MMM hits the gilli and it lands on a surface covered with a thin layer of mud. What is the ruling for this hit?</t>
  </si>
  <si>
    <t>A) The gilli is considered out of bounds. , B) The gilli is considered in play. , C) The game is paused until the mud is cleared. , D) Player MMM is given another chance.</t>
  </si>
  <si>
    <t>During a Gilli Danda match, Player NNN hits the gilli and it lands in an area obstructed by a pile of old tires. How should this hit be interpreted?</t>
  </si>
  <si>
    <t>A) The gilli is considered out of bounds. , B) The gilli is considered in play. , C) The game is paused until the tires are removed. , D) Player NNN is given another chance.</t>
  </si>
  <si>
    <t>Player OOO hits the gilli and it lands on a surface covered with a thin layer of snow. What is the appropriate ruling for this hit?</t>
  </si>
  <si>
    <t>A) The gilli is considered in play. , B) The gilli is considered out of bounds. , C) The game is paused until the snow is cleared. , D) Player OOO is given another chance.</t>
  </si>
  <si>
    <t>Player PPP hits the gilli and it lands on a surface obstructed by a large pile of fallen branches. How should this hit be evaluated?</t>
  </si>
  <si>
    <t>A) The gilli is considered out of bounds. , B) The gilli is considered in play. , C) The game is paused until the branches are removed. , D) Player PPP is given another chance.</t>
  </si>
  <si>
    <t>In a Gilli Danda game, Player QQQ hits the gilli and it lands on a surface covered with a thin layer of sand. What is the ruling for this scenario?</t>
  </si>
  <si>
    <t>A) The gilli is considered out of bounds. , B) The gilli is considered in play. , C) The game is paused until the sand is removed. , D) Player QQQ is given another chance.</t>
  </si>
  <si>
    <t>Player RRR hits the gilli and it lands in an area obstructed by a pile of discarded wood. How should this hit be interpreted?</t>
  </si>
  <si>
    <t>During a Gilli Danda match, Player SSS hits the gilli and it lands on a surface covered with a thick layer of wet grass. What is the ruling for this scenario?</t>
  </si>
  <si>
    <t>A) The gilli is considered in play. , B) The gilli is considered out of bounds. , C) The game is paused until the grass is dried. , D) Player SSS is given another chance.</t>
  </si>
  <si>
    <t>Player TTT hits the gilli and it lands on a surface covered with a layer of old newspapers. What is the appropriate ruling for this hit?</t>
  </si>
  <si>
    <t>A) The gilli is considered out of bounds. , B) The gilli is considered in play. , C) The game is paused until the newspapers are removed. , D) Player TTT is given another chance.</t>
  </si>
  <si>
    <t>Player UUU hits the gilli and it lands on a surface covered with a thin layer of dust. What should be the ruling for this scenario?</t>
  </si>
  <si>
    <t>A) The gilli is considered out of bounds. , B) The gilli is considered in play. , C) The game is paused until the dust is cleared. , D) Player UUU is given another chance.</t>
  </si>
  <si>
    <t>In a Gilli Danda game, Player VVV hits the gilli and it lands on a surface obstructed by a pile of large stones. What is the appropriate ruling?</t>
  </si>
  <si>
    <t>A) The gilli is considered in play. , B) The gilli is considered out of bounds. , C) The game is paused until the stones are cleared. , D) Player VVV is given another chance.</t>
  </si>
  <si>
    <t>Player WWW hits the gilli and it lands on a surface covered with a thick layer of leaves. What is the ruling for this scenario?</t>
  </si>
  <si>
    <t>A) The gilli is considered out of bounds. , B) The gilli is considered in play. , C) The game is paused until the leaves are removed. , D) Player WWW is given another chance.</t>
  </si>
  <si>
    <t>During a Gilli Danda match, Player XXX hits the gilli and it lands on a surface covered with a thin layer of mud. How should this hit be evaluated?</t>
  </si>
  <si>
    <t>A) The gilli is considered out of bounds. , B) The gilli is considered in play. , C) The game is paused until the mud is cleared. , D) Player XXX is given another chance.</t>
  </si>
  <si>
    <t>Player YYY hits the gilli and it lands in an area obstructed by a pile of broken glass. What is the appropriate ruling for this hit?</t>
  </si>
  <si>
    <t>Player ZZZ hits the gilli and it lands on a surface covered with a thick layer of wet grass. What is the ruling for this scenario?</t>
  </si>
  <si>
    <t>A) The gilli is considered in play. , B) The gilli is considered out of bounds. , C) The game is paused until the grass is dried. , D) Player ZZZ is given another chance.</t>
  </si>
  <si>
    <t>In a Gilli Danda game, Player AAA hits the gilli and it lands on a surface obstructed by a pile of old tires. What is the appropriate ruling?</t>
  </si>
  <si>
    <t>A) The gilli is considered in play. , B) The gilli is considered out of bounds. , C) The game is paused until the tires are removed. , D) Player AAA is given another chance.</t>
  </si>
  <si>
    <t>Player BBB hits the gilli and it lands on a surface covered with a thin layer of dust. How should this hit be interpreted?</t>
  </si>
  <si>
    <t>A) The gilli is considered in play. , B) The gilli is considered out of bounds. , C) The game is paused until the dust is cleared. , D) Player BBB is given another chance.</t>
  </si>
  <si>
    <t>During a Gilli Danda match, Player CCC hits the gilli and it lands on a surface covered with a layer of large stones. What is the ruling for this scenario?</t>
  </si>
  <si>
    <t>A) The gilli is considered in play. , B) The gilli is considered out of bounds. , C) The game is paused until the stones are cleared. , D) Player CCC is given another chance.</t>
  </si>
  <si>
    <t>Player DDD hits the gilli and it lands on a surface covered with a thick layer of water. What should be the ruling for this hit?</t>
  </si>
  <si>
    <t>A) The gilli is considered out of bounds. , B) The gilli is considered in play. , C) The game is paused until the water is removed. , D) Player DDD is given another chance.</t>
  </si>
  <si>
    <t>Player EEE hits the gilli and it lands on a surface with a thick layer of wet leaves. What is the ruling for this hit?</t>
  </si>
  <si>
    <t>A) The gilli is considered out of bounds. , B) The gilli is considered in play. , C) The game is paused until the leaves are removed. , D) Player EEE is given another chance.</t>
  </si>
  <si>
    <t>During a Gilli Danda match, Player FFF hits the gilli and it lands in an area obstructed by a large tree stump. How should this hit be evaluated?</t>
  </si>
  <si>
    <t>A) The gilli is considered in play. , B) The gilli is considered out of bounds. , C) The game is paused until the stump is removed. , D) Player FFF is given another chance.</t>
  </si>
  <si>
    <t>Player GGG hits the gilli and it lands on a surface covered with a thin layer of ice. What should be the ruling for this hit?</t>
  </si>
  <si>
    <t>A) The gilli is considered in play. , B) The gilli is considered out of bounds. , C) The game is paused until the ice is removed. , D) Player GGG is given another chance.</t>
  </si>
  <si>
    <t>In a Gilli Danda match, Player HHH hits the gilli and it lands on a surface covered with a thin layer of dust and small pebbles. What is the appropriate ruling?</t>
  </si>
  <si>
    <t>A) The gilli is considered out of bounds. , B) The gilli is considered in play. , C) The game is paused until the dust and pebbles are cleared. , D) Player HHH is given another chance.</t>
  </si>
  <si>
    <t>Player III hits the gilli and it lands on a surface with a layer of broken tiles. What is the ruling for this scenario?</t>
  </si>
  <si>
    <t>A) The gilli is considered out of bounds. , B) The gilli is considered in play. , C) The game is paused until the tiles are removed. , D) Player III is given another chance.</t>
  </si>
  <si>
    <t>Player JJJ hits the gilli and it lands on a surface with a thin layer of sand and small rocks. How should this hit be interpreted?</t>
  </si>
  <si>
    <t>A) The gilli is considered in play. , B) The gilli is considered out of bounds. , C) The game is paused until the sand and rocks are cleared. , D) Player JJJ is given another chance.</t>
  </si>
  <si>
    <t>During a Gilli Danda match, Player KKK hits the gilli and it lands on a surface obstructed by a large pile of construction material. What is the ruling for this hit?</t>
  </si>
  <si>
    <t>A) The gilli is considered out of bounds. , B) The gilli is considered in play. , C) The game is paused until the material is cleared. , D) Player KKK is given another chance.</t>
  </si>
  <si>
    <t>Player LLL hits the gilli and it lands in an area covered with a thick layer of old newspapers and cardboard. What is the appropriate ruling?</t>
  </si>
  <si>
    <t>A) The gilli is considered in play. , B) The gilli is considered out of bounds. , C) The game is paused until the newspapers and cardboard are removed. , D) Player LLL is given another chance.</t>
  </si>
  <si>
    <t>Player MMM hits the gilli and it lands on a surface covered with a thin layer of water from a recent rain. What should be the ruling for this scenario?</t>
  </si>
  <si>
    <t>A) The gilli is considered in play. , B) The gilli is considered out of bounds. , C) The game is paused until the water is cleared. , D) Player MMM is given another chance.</t>
  </si>
  <si>
    <t>In a Gilli Danda game, Player NNN hits the gilli and it lands on a surface obstructed by a pile of large logs. How should this hit be evaluated?</t>
  </si>
  <si>
    <t>A) The gilli is considered out of bounds. , B) The gilli is considered in play. , C) The game is paused until the logs are removed. , D) Player NNN is given another chance.</t>
  </si>
  <si>
    <t>Player OOO hits the gilli and it lands on a surface covered with a thin layer of leaves. What is the ruling for this hit?</t>
  </si>
  <si>
    <t>A) The gilli is considered in play. , B) The gilli is considered out of bounds. , C) The game is paused until the leaves are cleared. , D) Player OOO is given another chance.</t>
  </si>
  <si>
    <t>During a Gilli Danda match, Player PPP hits the gilli and it lands in an area obstructed by a pile of metal scrap. What is the appropriate ruling?</t>
  </si>
  <si>
    <t>A) The gilli is considered out of bounds. , B) The gilli is considered in play. , C) The game is paused until the scrap is removed. , D) Player PPP is given another chance.</t>
  </si>
  <si>
    <t>Player QQQ hits the gilli and it lands on a surface with a layer of gravel. How should this hit be evaluated?</t>
  </si>
  <si>
    <t>A) The gilli is considered in play. , B) The gilli is considered out of bounds. , C) The game is paused until the gravel is removed. , D) Player QQQ is given another chance.</t>
  </si>
  <si>
    <t>Player RRR hits the gilli and it lands on a surface covered with a thick layer of snow and ice. What is the ruling for this scenario?</t>
  </si>
  <si>
    <t>A) The gilli is considered out of bounds. , B) The gilli is considered in play. , C) The game is paused until the snow and ice are cleared. , D) Player RRR is given another chance.</t>
  </si>
  <si>
    <t>In a Gilli Danda match, Player SSS hits the gilli and it lands on a surface covered with a thin layer of sand. How should this hit be interpreted?</t>
  </si>
  <si>
    <t>A) The gilli is considered in play. , B) The gilli is considered out of bounds. , C) The game is paused until the sand is cleared. , D) Player SSS is given another chance.</t>
  </si>
  <si>
    <t>Player TTT hits the gilli and it lands in an area obstructed by a large pile of dry leaves. What is the appropriate ruling for this hit?</t>
  </si>
  <si>
    <t>A) The gilli is considered out of bounds. , B) The gilli is considered in play. , C) The game is paused until the leaves are removed. , D) Player TTT is given another chance.</t>
  </si>
  <si>
    <t>Player UUU hits the gilli and it lands on a surface covered with a thin layer of dust and small debris. What should be the ruling for this scenario?</t>
  </si>
  <si>
    <t>A) The gilli is considered in play. , B) The gilli is considered out of bounds. , C) The game is paused until the dust and debris are cleared. , D) Player UUU is given another chance.</t>
  </si>
  <si>
    <t>During a Gilli Danda match, Player VVV hits the gilli and it lands on a surface obstructed by a large pile of rubble. What is the ruling for this hit?</t>
  </si>
  <si>
    <t>A) The gilli is considered out of bounds. , B) The gilli is considered in play. , C) The game is paused until the rubble is cleared. , D) Player VVV is given another chance.</t>
  </si>
  <si>
    <t>Player WWW hits the gilli and it lands on a surface covered with a thin layer of grass and soil. What should be the ruling for this scenario?</t>
  </si>
  <si>
    <t>A) The gilli is considered out of bounds. , B) The gilli is considered in play. , C) The game is paused until the grass and soil are cleared. , D) Player WWW is given another chance.</t>
  </si>
  <si>
    <t>In a Gilli Danda game, Player XXX hits the gilli and it lands in an area covered with a thick layer of mud. What is the appropriate ruling for this hit?</t>
  </si>
  <si>
    <t>A) The gilli is considered in play. , B) The gilli is considered out of bounds. , C) The game is paused until the mud is cleared. , D) Player XXX is given another chance.</t>
  </si>
  <si>
    <t>Player YYY hits the gilli and it lands on a surface covered with a layer of ice and snow. What should be the ruling for this scenario?</t>
  </si>
  <si>
    <t>A) The gilli is considered out of bounds. , B) The gilli is considered in play. , C) The game is paused until the ice and snow are cleared. , D) Player YYY is given another chance.</t>
  </si>
  <si>
    <t>During a Gilli Danda match, Player ZZZ hits the gilli and it lands on a surface covered with a thick layer of wet grass. What is the ruling for this hit?</t>
  </si>
  <si>
    <t>A) The gilli is considered out of bounds. , B) The gilli is considered in play. , C) The game is paused until the grass is cleared. , D) Player ZZZ is given another chance.</t>
  </si>
  <si>
    <t>Player AAA hits the gilli and it lands on a surface covered with a thin layer of mud and leaves. What should be the ruling for this hit?</t>
  </si>
  <si>
    <t>A) The gilli is considered in play. , B) The gilli is considered out of bounds. , C) The game is paused until the mud and leaves are cleared. , D) Player AAA is given another chance.</t>
  </si>
  <si>
    <t>In a Gilli Danda match, Player BBB hits the gilli and it lands on a surface obstructed by a large pile of bricks. What is the appropriate ruling for this hit?</t>
  </si>
  <si>
    <t>A) The gilli is considered out of bounds. , B) The gilli is considered in play. , C) The game is paused until the bricks are removed. , D) Player BBB is given another chance.</t>
  </si>
  <si>
    <t>Player CCC hits the gilli and it lands on a surface covered with a thin layer of sand and gravel. What should be the ruling for this scenario?</t>
  </si>
  <si>
    <t>A) The gilli is considered in play. , B) The gilli is considered out of bounds. , C) The game is paused until the sand and gravel are cleared. , D) Player CCC is given another chance.</t>
  </si>
  <si>
    <t>Player DDD hits the gilli and it lands on a surface obstructed by a large pile of leaves and branches. What is the ruling for this hit?</t>
  </si>
  <si>
    <t>A) The gilli is considered out of bounds. , B) The gilli is considered in play. , C) The game is paused until the leaves and branches are removed. , D) Player DDD is given another chance.</t>
  </si>
  <si>
    <t>During a Gilli Danda game, Player EEE hits the gilli and it lands on a surface covered with a thin layer of rocks. What should be the ruling for this hit?</t>
  </si>
  <si>
    <t>A) The gilli is considered out of bounds. , B) The gilli is considered in play. , C) The game is paused until the rocks are removed. , D) Player EEE is given another chance.</t>
  </si>
  <si>
    <t>Player FFF hits the gilli and it lands on a surface covered with a thick layer of snow. What is the appropriate ruling for this hit?</t>
  </si>
  <si>
    <t>A) The gilli is considered in play. , B) The gilli is considered out of bounds. , C) The game is paused until the snow is cleared. , D) Player FFF is given another chance.</t>
  </si>
  <si>
    <t>Player GGG hits the gilli and it lands on a surface obstructed by a large pile of old tires. What is the ruling for this scenario?</t>
  </si>
  <si>
    <t>A) The gilli is considered out of bounds. , B) The gilli is considered in play. , C) The game is paused until the tires are removed. , D) Player GGG is given another chance.</t>
  </si>
  <si>
    <t>Player HHH hits the gilli and it lands on a surface covered with a thin layer of ice. What should be the ruling for this hit?</t>
  </si>
  <si>
    <t>A) The gilli is considered in play. , B) The gilli is considered out of bounds. , C) The game is paused until the ice is removed. , D) Player HHH is given another chance.</t>
  </si>
  <si>
    <t>In a Gilli Danda game, Player III hits the gilli and it lands on a surface covered with a thick layer of wet mud. What is the appropriate ruling for this hit?</t>
  </si>
  <si>
    <t>A) The gilli is considered out of bounds. , B) The gilli is considered in play. , C) The game is paused until the mud is cleared. , D) Player III is given another chance.</t>
  </si>
  <si>
    <t>Player JJJ hits the gilli and it lands on a surface covered with a layer of loose sand. How should this hit be evaluated?</t>
  </si>
  <si>
    <t>A) The gilli is considered in play. , B) The gilli is considered out of bounds. , C) The game is paused until the sand is cleared. , D) Player JJJ is given another chance.</t>
  </si>
  <si>
    <t>During a Gilli Danda match, Player KKK hits the gilli and it lands on a surface obstructed by a pile of large stones. What is the ruling for this hit?</t>
  </si>
  <si>
    <t>A) The gilli is considered out of bounds. , B) The gilli is considered in play. , C) The game is paused until the stones are removed. , D) Player KKK is given another chance.</t>
  </si>
  <si>
    <t>Player LLL hits the gilli and it lands on a surface covered with a thin layer of fallen leaves. What should be the ruling for this scenario?</t>
  </si>
  <si>
    <t>A) The gilli is considered in play. , B) The gilli is considered out of bounds. , C) The game is paused until the leaves are cleared. , D) Player LLL is given another chance.</t>
  </si>
  <si>
    <t>Player MMM hits the gilli and it lands on a surface covered with a layer of broken glass. What is the appropriate ruling for this hit?</t>
  </si>
  <si>
    <t>A) The gilli is considered in play. , B) The gilli is considered out of bounds. , C) The game is paused until the glass is removed. , D) Player MMM is given another chance.</t>
  </si>
  <si>
    <t>Player NNN hits the gilli and it lands on a surface covered with a thin layer of mud and grass. What should be the ruling for this scenario?</t>
  </si>
  <si>
    <t>A) The gilli is considered in play. , B) The gilli is considered out of bounds. , C) The game is paused until the mud and grass are cleared. , D) Player NNN is given another chance.</t>
  </si>
  <si>
    <t>During a Gilli Danda game, Player OOO hits the gilli and it lands on a surface obstructed by a pile of construction debris. What is the ruling for this hit?</t>
  </si>
  <si>
    <t>A) The gilli is considered out of bounds. , B) The gilli is considered in play. , C) The game is paused until the debris is removed. , D) Player OOO is given another chance.</t>
  </si>
  <si>
    <t>Player AAA hits the gilli and it lands on a surface with a large puddle of water. What is the ruling for this scenario?</t>
  </si>
  <si>
    <t>A) The gilli is considered out of bounds. , B) The gilli is considered in play. , C) The game is paused until the water is removed. , D) Player AAA is given another chance.</t>
  </si>
  <si>
    <t>Player BBB hits the gilli and it lands in an area covered with a layer of autumn leaves. How should this hit be evaluated?</t>
  </si>
  <si>
    <t>A) The gilli is considered in play. , B) The gilli is considered out of bounds. , C) The game is paused until the leaves are cleared. , D) Player BBB is given another chance.</t>
  </si>
  <si>
    <t>During a Gilli Danda match, Player CCC hits the gilli and it lands on a surface with a layer of gravel. What is the ruling for this hit?</t>
  </si>
  <si>
    <t>A) The gilli is considered out of bounds. , B) The gilli is considered in play. , C) The game is paused until the gravel is removed. , D) Player CCC is given another chance.</t>
  </si>
  <si>
    <t>Player DDD hits the gilli and it lands on a surface covered with a thin layer of snow. What is the appropriate ruling?</t>
  </si>
  <si>
    <t>A) The gilli is considered in play. , B) The gilli is considered out of bounds. , C) The game is paused until the snow is cleared. , D) Player DDD is given another chance.</t>
  </si>
  <si>
    <t>Player EEE hits the gilli and it lands in an area obstructed by a large pile of wooden planks. How should this hit be interpreted?</t>
  </si>
  <si>
    <t>A) The gilli is considered in play. , B) The gilli is considered out of bounds. , C) The game is paused until the planks are removed. , D) Player EEE is given another chance.</t>
  </si>
  <si>
    <t>Player FFF hits the gilli and it lands on a surface covered with a layer of dried leaves. What is the ruling for this hit?</t>
  </si>
  <si>
    <t>A) The gilli is considered out of bounds. , B) The gilli is considered in play. , C) The game is paused until the leaves are cleared. , D) Player FFF is given another chance.</t>
  </si>
  <si>
    <t>In a Gilli Danda game, Player GGG hits the gilli and it lands on a surface obstructed by a pile of fallen branches. What should be the ruling for this hit?</t>
  </si>
  <si>
    <t>A) The gilli is considered out of bounds. , B) The gilli is considered in play. , C) The game is paused until the branches are removed. , D) Player GGG is given another chance.</t>
  </si>
  <si>
    <t>Player HHH hits the gilli and it lands on a surface covered with a layer of thick mud. How should this hit be evaluated?</t>
  </si>
  <si>
    <t>A) The gilli is considered in play. , B) The gilli is considered out of bounds. , C) The game is paused until the mud is cleared. , D) Player HHH is given another chance.</t>
  </si>
  <si>
    <t>Player III hits the gilli and it lands on a surface covered with a thin layer of ice and snow. What is the appropriate ruling?</t>
  </si>
  <si>
    <t>A) The gilli is considered in play. , B) The gilli is considered out of bounds. , C) The game is paused until the ice and snow are removed. , D) Player III is given another chance.</t>
  </si>
  <si>
    <t>During a Gilli Danda match, Player JJJ hits the gilli and it lands in an area with a large puddle of rainwater. What is the ruling for this scenario?</t>
  </si>
  <si>
    <t>A) The gilli is considered in play. , B) The gilli is considered out of bounds. , C) The game is paused until the puddle is cleared. , D) Player JJJ is given another chance.</t>
  </si>
  <si>
    <t>Player KKK hits the gilli and it lands on a surface covered with a thin layer of fallen snow. How should this hit be interpreted?</t>
  </si>
  <si>
    <t>A) The gilli is considered out of bounds. , B) The gilli is considered in play. , C) The game is paused until the snow is cleared. , D) Player KKK is given another chance.</t>
  </si>
  <si>
    <t>Player LLL hits the gilli and it lands on a surface obstructed by a large pile of sandbags. What is the ruling for this hit?</t>
  </si>
  <si>
    <t>A) The gilli is considered in play. , B) The gilli is considered out of bounds. , C) The game is paused until the sandbags are removed. , D) Player LLL is given another chance.</t>
  </si>
  <si>
    <t>Player MMM hits the gilli and it lands on a surface covered with a layer of debris from a recent storm. What is the appropriate ruling for this hit?</t>
  </si>
  <si>
    <t>A) The gilli is considered out of bounds. , B) The gilli is considered in play. , C) The game is paused until the debris is cleared. , D) Player MMM is given another chance.</t>
  </si>
  <si>
    <t>Player NNN hits the gilli and it lands on a surface covered with a layer of wet grass. How should this hit be evaluated?</t>
  </si>
  <si>
    <t>A) The gilli is considered in play. , B) The gilli is considered out of bounds. , C) The game is paused until the grass is cleared. , D) Player NNN is given another chance.</t>
  </si>
  <si>
    <t>During a Gilli Danda game, Player OOO hits the gilli and it lands on a surface with a layer of small pebbles and stones. What is the ruling for this scenario?</t>
  </si>
  <si>
    <t>A) The gilli is considered out of bounds. , B) The gilli is considered in play. , C) The game is paused until the pebbles and stones are cleared. , D) Player OOO is given another chance.</t>
  </si>
  <si>
    <t>Player PPP hits the gilli and it lands on a surface covered with a layer of fallen pine needles. What is the appropriate ruling for this hit?</t>
  </si>
  <si>
    <t>A) The gilli is considered in play. , B) The gilli is considered out of bounds. , C) The game is paused until the pine needles are removed. , D) Player PPP is given another chance.</t>
  </si>
  <si>
    <t>Player QQQ hits the gilli and it lands on a surface obstructed by a large pile of rocks. How should this hit be interpreted?</t>
  </si>
  <si>
    <t>A) The gilli is considered in play. , B) The gilli is considered out of bounds. , C) The game is paused until the rocks are removed. , D) Player QQQ is given another chance.</t>
  </si>
  <si>
    <t>Player RRR hits the gilli and it lands on a surface covered with a layer of damp soil. What is the ruling for this scenario?</t>
  </si>
  <si>
    <t>A) The gilli is considered out of bounds. , B) The gilli is considered in play. , C) The game is paused until the soil is cleared. , D) Player RRR is given another chance.</t>
  </si>
  <si>
    <t>Player SSS hits the gilli and it lands on a surface covered with a layer of small gravel stones. How should this hit be evaluated?</t>
  </si>
  <si>
    <t>A) The gilli is considered in play. , B) The gilli is considered out of bounds. , C) The game is paused until the gravel is removed. , D) Player SSS is given another chance.</t>
  </si>
  <si>
    <t>Player TTT hits the gilli and it lands in an area with a layer of wet leaves and branches. What is the ruling for this hit?</t>
  </si>
  <si>
    <t>A) The gilli is considered out of bounds. , B) The gilli is considered in play. , C) The game is paused until the leaves and branches are cleared. , D) Player TTT is given another chance.</t>
  </si>
  <si>
    <t>Player UUU hits the gilli and it lands on a surface obstructed by a pile of plastic bottles. What is the appropriate ruling for this hit?</t>
  </si>
  <si>
    <t>A) The gilli is considered out of bounds. , B) The gilli is considered in play. , C) The game is paused until the bottles are removed. , D) Player UUU is given another chance.</t>
  </si>
  <si>
    <t>During a Gilli Danda game, Player VVV hits the gilli and it lands on a surface covered with a thin layer of damp mud. How should this hit be evaluated?</t>
  </si>
  <si>
    <t>A) The gilli is considered out of bounds. , B) The gilli is considered in play. , C) The game is paused until the mud is cleared. , D) Player VVV is given another chance.</t>
  </si>
  <si>
    <t>Player WWW hits the gilli and it lands on a surface covered with a layer of dry sand. What is the ruling for this scenario?</t>
  </si>
  <si>
    <t>A) The gilli is considered in play. , B) The gilli is considered out of bounds. , C) The game is paused until the sand is cleared. , D) Player WWW is given another chance.</t>
  </si>
  <si>
    <t>Player XXX hits the gilli and it lands on a surface obstructed by a pile of cardboard boxes. What should be the ruling for this hit?</t>
  </si>
  <si>
    <t>A) The gilli is considered out of bounds. , B) The gilli is considered in play. , C) The game is paused until the boxes are removed. , D) Player XXX is given another chance.</t>
  </si>
  <si>
    <t>Player YYY hits the gilli and it lands on a surface covered with a layer of freshly cut grass. What is the appropriate ruling for this hit?</t>
  </si>
  <si>
    <t>A) The gilli is considered in play. , B) The gilli is considered out of bounds. , C) The game is paused until the grass is cleared. , D) Player YYY is given another chance.</t>
  </si>
  <si>
    <t>During a Gilli Danda game, Player ZZZ hits the gilli and it lands in a surface covered with a layer of broken branches. How should this hit be interpreted?</t>
  </si>
  <si>
    <t>A) The gilli is considered out of bounds. , B) The gilli is considered in play. , C) The game is paused until the branches are cleared. , D) Player ZZZ is given another chance.</t>
  </si>
  <si>
    <t>Player AAA hits the gilli and it lands on a surface covered with a layer of dense foliage. What is the ruling for this scenario?</t>
  </si>
  <si>
    <t>A) The gilli is considered in play. , B) The gilli is considered out of bounds. , C) The game is paused until the foliage is removed. , D) Player AAA is given another chance.</t>
  </si>
  <si>
    <t>Player BBB hits the gilli and it lands on a surface covered with a layer of plastic sheeting. How should this hit be evaluated?</t>
  </si>
  <si>
    <t>A) The gilli is considered out of bounds. , B) The gilli is considered in play. , C) The game is paused until the plastic is removed. , D) Player BBB is given another chance.</t>
  </si>
  <si>
    <t>Player CCC hits the gilli and it lands on a surface obstructed by a large pile of newspapers. What is the ruling for this hit?</t>
  </si>
  <si>
    <t>A) The gilli is considered in play. , B) The gilli is considered out of bounds. , C) The game is paused until the newspapers are removed. , D) Player CCC is given another chance.</t>
  </si>
  <si>
    <t>Player DDD hits the gilli and it lands on a surface covered with a layer of cement dust. How should this hit be interpreted?</t>
  </si>
  <si>
    <t>A) The gilli is considered in play. , B) The gilli is considered out of bounds. , C) The game is paused until the dust is cleared. , D) Player DDD is given another chance.</t>
  </si>
  <si>
    <t>During a Gilli Danda match, Player EEE hits the gilli and it lands on a surface covered with a layer of gravel and sand. What is the ruling for this hit?</t>
  </si>
  <si>
    <t>A) The gilli is considered out of bounds. , B) The gilli is considered in play. , C) The game is paused until the gravel and sand are cleared. , D) Player EEE is given another chance.</t>
  </si>
  <si>
    <t>Player FFF hits the gilli and it lands on a surface covered with a layer of soft mud. How should this hit be evaluated?</t>
  </si>
  <si>
    <t>A) The gilli is considered in play. , B) The gilli is considered out of bounds. , C) The game is paused until the mud is cleared. , D) Player FFF is given another chance.</t>
  </si>
  <si>
    <t>Player GGG hits the gilli and it lands on a surface obstructed by a pile of discarded wood. What is the ruling for this hit?</t>
  </si>
  <si>
    <t>A) The gilli is considered out of bounds. , B) The gilli is considered in play. , C) The game is paused until the wood is removed. , D) Player GGG is given another chance.</t>
  </si>
  <si>
    <t>Player HHH hits the gilli and it lands on a surface covered with a layer of dense grass. What is the appropriate ruling for this hit?</t>
  </si>
  <si>
    <t>A) The gilli is considered out of bounds. , B) The gilli is considered in play. , C) The game is paused until the grass is cleared. , D) Player HHH is given another chance.</t>
  </si>
  <si>
    <t>Player III hits the gilli and it lands on a surface covered with a layer of mud mixed with stones. What is the ruling for this hit?</t>
  </si>
  <si>
    <t>A) The gilli is considered in play. , B) The gilli is considered out of bounds. , C) The game is paused until the mud and stones are cleared. , D) Player III is given another chance.</t>
  </si>
  <si>
    <t>Player JJJ hits the gilli and it lands on a surface obstructed by a large pile of snow. How should this hit be interpreted?</t>
  </si>
  <si>
    <t>A) The gilli is considered out of bounds. , B) The gilli is considered in play. , C) The game is paused until the snow is cleared. , D) Player JJJ is given another chance.</t>
  </si>
  <si>
    <t>During a Gilli Danda game, Player KKK hits the gilli and it lands on a surface covered with a layer of wet clay. What is the ruling for this scenario?</t>
  </si>
  <si>
    <t>A) The gilli is considered in play. , B) The gilli is considered out of bounds. , C) The game is paused until the clay is cleared. , D) Player KKK is given another chance.</t>
  </si>
  <si>
    <t>Player LLL hits the gilli and it lands on a surface obstructed by a pile of old leaves and twigs. How should this hit be evaluated?</t>
  </si>
  <si>
    <t>A) The gilli is considered out of bounds. , B) The gilli is considered in play. , C) The game is paused until the leaves and twigs are cleared. , D) Player LLL is given another chance.</t>
  </si>
  <si>
    <t>Player MMM hits the gilli and it lands on a surface covered with a layer of fresh sand. What is the appropriate ruling for this hit?</t>
  </si>
  <si>
    <t>A) The gilli is considered out of bounds. , B) The gilli is considered in play. , C) The game is paused until the sand is removed. , D) Player MMM is given another chance.</t>
  </si>
  <si>
    <t>Player NNN hits the gilli and it lands on a surface covered with a layer of old newspaper. What is the ruling for this scenario?</t>
  </si>
  <si>
    <t>A) The gilli is considered out of bounds. , B) The gilli is considered in play. , C) The game is paused until the newspaper is cleared. , D) Player NNN is given another chance.</t>
  </si>
  <si>
    <t>Player OOO hits the gilli and it lands on a surface covered with a layer of trash. What is the ruling for this hit?</t>
  </si>
  <si>
    <t>A) The gilli is considered in play. , B) The gilli is considered out of bounds. , C) The game is paused until the trash is cleared. , D) Player OOO is given another chance.</t>
  </si>
  <si>
    <t>Player PPP hits the gilli and it lands on a surface obstructed by a pile of broken glass. How should this hit be evaluated?</t>
  </si>
  <si>
    <t>A) The gilli is considered out of bounds. , B) The gilli is considered in play. , C) The game is paused until the glass is removed. , D) Player PPP is given another chance.</t>
  </si>
  <si>
    <t>Player QQQ hits the gilli and it lands on a surface covered with a layer of wet stones. What is the ruling for this hit?</t>
  </si>
  <si>
    <t>A) The gilli is considered out of bounds. , B) The gilli is considered in play. , C) The game is paused until the stones are cleared. , D) Player QQQ is given another chance.</t>
  </si>
  <si>
    <t>Player RRR hits the gilli and it lands on a surface covered with a layer of old tires. How should this hit be interpreted?</t>
  </si>
  <si>
    <t>A) The gilli is considered out of bounds. , B) The gilli is considered in play. , C) The game is paused until the tires are cleared. , D) Player RRR is given another chance.</t>
  </si>
  <si>
    <t>Player SSS hits the gilli and it lands on a surface covered with a layer of dried mud. What is the ruling for this scenario?</t>
  </si>
  <si>
    <t>A) The gilli is considered in play. , B) The gilli is considered out of bounds. , C) The game is paused until the mud is removed. , D) Player SSS is given another chance.</t>
  </si>
  <si>
    <t>Player TTT hits the gilli and it lands on a surface obstructed by a pile of old logs. How should this hit be evaluated?</t>
  </si>
  <si>
    <t>A) The gilli is considered out of bounds. , B) The gilli is considered in play. , C) The game is paused until the logs are cleared. , D) Player TTT is given another chance.</t>
  </si>
  <si>
    <t>Player UUU hits the gilli and it lands on a surface covered with a layer of thin ice. What is the ruling for this hit?</t>
  </si>
  <si>
    <t>A) The gilli is considered out of bounds. , B) The gilli is considered in play. , C) The game is paused until the ice is removed. , D) Player UUU is given another chance.</t>
  </si>
  <si>
    <t>Player VVV hits the gilli and it lands on a surface covered with a layer of scattered pebbles. How should this hit be evaluated?</t>
  </si>
  <si>
    <t>A) The gilli is considered in play. , B) The gilli is considered out of bounds. , C) The game is paused until the pebbles are cleared. , D) Player VVV is given another chance.</t>
  </si>
  <si>
    <t>Player WWW hits the gilli and it lands on a surface obstructed by a pile of crumpled papers. What is the ruling for this hit?</t>
  </si>
  <si>
    <t>A) The gilli is considered out of bounds. , B) The gilli is considered in play. , C) The game is paused until the papers are cleared. , D) Player WWW is given another chance.</t>
  </si>
  <si>
    <t>Player XXX hits the gilli and it lands on a surface covered with a layer of wet leaves. What is the appropriate ruling for this hit?</t>
  </si>
  <si>
    <t>A) The gilli is considered in play. , B) The gilli is considered out of bounds. , C) The game is paused until the leaves are cleared. , D) Player XXX is given another chance.</t>
  </si>
  <si>
    <t>Player YYY hits the gilli and it lands on a surface covered with a layer of fresh grass clippings. How should this hit be evaluated?</t>
  </si>
  <si>
    <t>A) The gilli is considered in play. , B) The gilli is considered out of bounds. , C) The game is paused until the clippings are cleared. , D) Player YYY is given another chance.</t>
  </si>
  <si>
    <t>Player ZZZ hits the gilli and it lands on a surface obstructed by a large pile of sandbags. What is the ruling for this scenario?</t>
  </si>
  <si>
    <t>A) The gilli is considered out of bounds. , B) The gilli is considered in play. , C) The game is paused until the sandbags are removed. , D) Player ZZZ is given another chance.</t>
  </si>
  <si>
    <t>Player AAA hits the gilli and it lands on a surface covered with a layer of wet grass and mud. What is the ruling for this hit?</t>
  </si>
  <si>
    <t>A) The gilli is considered in play. , B) The gilli is considered out of bounds. , C) The game is paused until the grass and mud are cleared. , D) Player AAA is given another chance.</t>
  </si>
  <si>
    <t>Player BBB hits the gilli and it lands on a surface covered with a layer of gravel and debris. How should this hit be interpreted?</t>
  </si>
  <si>
    <t>A) The gilli is considered out of bounds. , B) The gilli is considered in play. , C) The game is paused until the gravel and debris are cleared. , D) Player BBB is given another chance.</t>
  </si>
  <si>
    <t>Player CCC hits the gilli and it lands on a surface obstructed by a pile of old bricks. What is the ruling for this scenario?</t>
  </si>
  <si>
    <t>A) The gilli is considered in play. , B) The gilli is considered out of bounds. , C) The game is paused until the bricks are cleared. , D) Player CCC is given another chance.</t>
  </si>
  <si>
    <t>Player DDD hits the gilli and it lands on a surface covered with a layer of wet sand. How should this hit be evaluated?</t>
  </si>
  <si>
    <t>A) The gilli is considered out of bounds. , B) The gilli is considered in play. , C) The game is paused until the sand is cleared. , D) Player DDD is given another chance.</t>
  </si>
  <si>
    <t>Player EEE hits the gilli and it lands on a surface covered with a layer of old clothes. What is the ruling for this hit?</t>
  </si>
  <si>
    <t>A) The gilli is considered out of bounds. , B) The gilli is considered in play. , C) The game is paused until the clothes are cleared. , D) Player EEE is given another chance.</t>
  </si>
  <si>
    <t>Player FFF hits the gilli and it lands on a surface covered with a layer of fallen branches and twigs. What should be the ruling for this hit?</t>
  </si>
  <si>
    <t>A) The gilli is considered in play. , B) The gilli is considered out of bounds. , C) The game is paused until the branches and twigs are cleared. , D) Player FFF is given another chance.</t>
  </si>
  <si>
    <t>Player GGG hits the gilli and it lands on a surface obstructed by a pile of metal scrap. How should this hit be evaluated?</t>
  </si>
  <si>
    <t>A) The gilli is considered out of bounds. , B) The gilli is considered in play. , C) The game is paused until the metal scrap is cleared. , D) Player GGG is given another chance.</t>
  </si>
  <si>
    <t>Player HHH hits the gilli and it lands on a surface covered with a layer of crushed leaves. What is the appropriate ruling for this hit?</t>
  </si>
  <si>
    <t>A) The gilli is considered in play. , B) The gilli is considered out of bounds. , C) The game is paused until the leaves are cleared. , D) Player HHH is given another chance.</t>
  </si>
  <si>
    <t>Player IJJ hits the gilli and it lands on a surface covered with a layer of ice cubes. What is the appropriate ruling for this hit?</t>
  </si>
  <si>
    <t>A) The gilli is considered in play. , B) The gilli is considered out of bounds. , C) The game is paused until the ice cubes are removed. , D) Player IJJ is given another chance.</t>
  </si>
  <si>
    <t>Player JJJ hits the gilli and it lands on a surface covered with a layer of sand mixed with small pebbles. How should this hit be evaluated?</t>
  </si>
  <si>
    <t>A) The gilli is considered in play. , B) The gilli is considered out of bounds. , C) The game is paused until the pebbles are removed. , D) Player JJJ is given another chance.</t>
  </si>
  <si>
    <t>Player KKK hits the gilli and it lands on a surface covered with a layer of snow. What is the ruling for this scenario?</t>
  </si>
  <si>
    <t>Player LLL hits the gilli and it lands on a surface obstructed by a large puddle of water. What should be the ruling for this hit?</t>
  </si>
  <si>
    <t>A) The gilli is considered in play. , B) The gilli is considered out of bounds. , C) The game is paused until the water is removed. , D) Player LLL is given another chance.</t>
  </si>
  <si>
    <t>Player MMM hits the gilli and it lands on a surface covered with a layer of leaves and twigs. What is the appropriate ruling for this hit?</t>
  </si>
  <si>
    <t>A) The gilli is considered out of bounds. , B) The gilli is considered in play. , C) The game is paused until the leaves and twigs are cleared. , D) Player MMM is given another chance.</t>
  </si>
  <si>
    <t>Player NNN hits the gilli and it lands on a surface obstructed by a pile of rocks. What should be the ruling for this hit?</t>
  </si>
  <si>
    <t>A) The gilli is considered in play. , B) The gilli is considered out of bounds. , C) The game is paused until the rocks are removed. , D) Player NNN is given another chance.</t>
  </si>
  <si>
    <t>Player OOO hits the gilli and it lands on a surface covered with a layer of hay. How should this hit be interpreted?</t>
  </si>
  <si>
    <t>A) The gilli is considered out of bounds. , B) The gilli is considered in play. , C) The game is paused until the hay is cleared. , D) Player OOO is given another chance.</t>
  </si>
  <si>
    <t>Player PPP hits the gilli and it lands on a surface covered with a layer of mud. What is the ruling for this scenario?</t>
  </si>
  <si>
    <t>A) The gilli is considered in play. , B) The gilli is considered out of bounds. , C) The game is paused until the mud is removed. , D) Player PPP is given another chance.</t>
  </si>
  <si>
    <t>Player QQQ hits the gilli and it lands on a surface covered with a layer of snow and ice. What is the ruling for this hit?</t>
  </si>
  <si>
    <t>A) The gilli is considered out of bounds. , B) The gilli is considered in play. , C) The game is paused until the snow and ice are cleared. , D) Player QQQ is given another chance.</t>
  </si>
  <si>
    <t>Player RRR hits the gilli and it lands on a surface obstructed by a pile of leaves and branches. How should this hit be evaluated?</t>
  </si>
  <si>
    <t>A) The gilli is considered in play. , B) The gilli is considered out of bounds. , C) The game is paused until the leaves and branches are removed. , D) Player RRR is given another chance.</t>
  </si>
  <si>
    <t>Player SSS hits the gilli and it lands on a surface covered with a layer of plastic sheets. What is the ruling for this hit?</t>
  </si>
  <si>
    <t>A) The gilli is considered in play. , B) The gilli is considered out of bounds. , C) The game is paused until the plastic sheets are removed. , D) Player SSS is given another chance.</t>
  </si>
  <si>
    <t>Player TTT hits the gilli and it lands on a surface covered with a layer of dry leaves. How should this hit be interpreted?</t>
  </si>
  <si>
    <t>A) The gilli is considered out of bounds. , B) The gilli is considered in play. , C) The game is paused until the leaves are cleared. , D) Player TTT is given another chance.</t>
  </si>
  <si>
    <t>Player UUU hits the gilli and it lands on a surface covered with a layer of fallen fruit. What is the appropriate ruling for this hit?</t>
  </si>
  <si>
    <t>A) The gilli is considered in play. , B) The gilli is considered out of bounds. , C) The game is paused until the fruit is removed. , D) Player UUU is given another chance.</t>
  </si>
  <si>
    <t>Player VVV hits the gilli and it lands on a surface obstructed by a pile of construction debris. What is the ruling for this scenario?</t>
  </si>
  <si>
    <t>A) The gilli is considered out of bounds. , B) The gilli is considered in play. , C) The game is paused until the debris is cleared. , D) Player VVV is given another chance.</t>
  </si>
  <si>
    <t>Player WWW hits the gilli and it lands on a surface covered with a layer of plastic bottles. What is the appropriate ruling for this hit?</t>
  </si>
  <si>
    <t>A) The gilli is considered in play. , B) The gilli is considered out of bounds. , C) The game is paused until the bottles are removed. , D) Player WWW is given another chance.</t>
  </si>
  <si>
    <t>Player XXX hits the gilli and it lands on a surface covered with a layer of wooden planks. How should this hit be evaluated?</t>
  </si>
  <si>
    <t>A) The gilli is considered out of bounds. , B) The gilli is considered in play. , C) The game is paused until the planks are cleared. , D) Player XXX is given another chance.</t>
  </si>
  <si>
    <t>Player YYY hits the gilli and it lands on a surface covered with a layer of empty cans. What is the ruling for this scenario?</t>
  </si>
  <si>
    <t>A) The gilli is considered out of bounds. , B) The gilli is considered in play. , C) The game is paused until the cans are removed. , D) Player YYY is given another chance.</t>
  </si>
  <si>
    <t>Player ZZZ hits the gilli and it lands on a surface covered with a layer of straw. What should be the ruling for this hit?</t>
  </si>
  <si>
    <t>A) The gilli is considered in play. , B) The gilli is considered out of bounds. , C) The game is paused until the straw is cleared. , D) Player ZZZ is given another chance.</t>
  </si>
  <si>
    <t>Player AAA hits the gilli and it lands on a surface covered with a layer of dry mud and grass. What is the ruling for this hit?</t>
  </si>
  <si>
    <t>A) The gilli is considered out of bounds. , B) The gilli is considered in play. , C) The game is paused until the mud and grass are cleared. , D) Player AAA is given another chance.</t>
  </si>
  <si>
    <t>Player BBB hits the gilli and it lands on a surface covered with a layer of wet leaves. How should this hit be evaluated?</t>
  </si>
  <si>
    <t>A) The gilli is considered out of bounds. , B) The gilli is considered in play. , C) The game is paused until the wet leaves are removed. , D) Player BBB is given another chance.</t>
  </si>
  <si>
    <t>Player CCC hits the gilli and it lands on a surface covered with a layer of sand and stones. What is the appropriate ruling for this hit?</t>
  </si>
  <si>
    <t>A) The gilli is considered out of bounds. , B) The gilli is considered in play. , C) The game is paused until the stones are cleared. , D) Player CCC is given another chance.</t>
  </si>
  <si>
    <t>Player DDD hits the gilli and it lands on a surface covered with a layer of soil and leaves. What should be the ruling for this hit?</t>
  </si>
  <si>
    <t>A) The gilli is considered out of bounds. , B) The gilli is considered in play. , C) The game is paused until the soil and leaves are cleared. , D) Player DDD is given another chance.</t>
  </si>
  <si>
    <t>Player EEE hits the gilli and it lands on a surface obstructed by a pile of old newspapers. How should this hit be evaluated?</t>
  </si>
  <si>
    <t>A) The gilli is considered out of bounds. , B) The gilli is considered in play. , C) The game is paused until the newspapers are cleared. , D) Player EEE is given another chance.</t>
  </si>
  <si>
    <t>Player FFF hits the gilli and it lands on a surface covered with a layer of plastic sheets and leaves. What is the ruling for this hit?</t>
  </si>
  <si>
    <t>A) The gilli is considered in play. , B) The gilli is considered out of bounds. , C) The game is paused until the plastic sheets and leaves are cleared. , D) Player FFF is given another chance.</t>
  </si>
  <si>
    <t>Player GGG hits the gilli and it lands on a surface obstructed by a pile of old furniture. What is the appropriate ruling for this hit?</t>
  </si>
  <si>
    <t>A) The gilli is considered out of bounds. , B) The gilli is considered in play. , C) The game is paused until the furniture is cleared. , D) Player GGG is given another chance.</t>
  </si>
  <si>
    <t>Player HHH hits the gilli and it lands on a surface covered with a layer of gravel. How should this hit be interpreted?</t>
  </si>
  <si>
    <t>A) The gilli is considered out of bounds. , B) The gilli is considered in play. , C) The game is paused until the gravel is cleared. , D) Player HHH is given another chance.</t>
  </si>
  <si>
    <t>Player III hits the gilli and it lands on a surface obstructed by a pile of broken glass. What is the ruling for this scenario?</t>
  </si>
  <si>
    <t>A) The gilli is considered out of bounds. , B) The gilli is considered in play. , C) The game is paused until the glass is removed. , D) Player III is given another chance.</t>
  </si>
  <si>
    <t>Player JJJ hits the gilli and it lands on a surface covered with a layer of flower petals. What is the appropriate ruling for this hit?</t>
  </si>
  <si>
    <t>A) The gilli is considered in play. , B) The gilli is considered out of bounds. , C) The game is paused until the petals are cleared. , D) Player JJJ is given another chance.</t>
  </si>
  <si>
    <t>Player KKK hits the gilli and it lands on a surface covered with a layer of shredded paper. What should be the ruling for this hit?</t>
  </si>
  <si>
    <t>A) The gilli is considered in play. , B) The gilli is considered out of bounds. , C) The game is paused until the paper is removed. , D) Player KKK is given another chance.</t>
  </si>
  <si>
    <t>Player LLL hits the gilli and it lands on a surface covered with a layer of wet soil. How should this hit be evaluated?</t>
  </si>
  <si>
    <t>A) The gilli is considered in play. , B) The gilli is considered out of bounds. , C) The game is paused until the soil is dried. , D) Player LLL is given another chance.</t>
  </si>
  <si>
    <t>Player MMM hits the gilli and it lands on a surface obstructed by a pile of plastic bags. What is the ruling for this scenario?</t>
  </si>
  <si>
    <t>A) The gilli is considered out of bounds. , B) The gilli is considered in play. , C) The game is paused until the plastic bags are removed. , D) Player MMM is given another chance.</t>
  </si>
  <si>
    <t>Player NNN hits the gilli and it lands on a surface covered with a layer of wet grass. What is the appropriate ruling for this hit?</t>
  </si>
  <si>
    <t>A) The gilli is considered out of bounds. , B) The gilli is considered in play. , C) The game is paused until the grass is dried. , D) Player NNN is given another chance.</t>
  </si>
  <si>
    <t>Player OOO hits the gilli and it lands on a surface covered with a layer of tree bark. What is the ruling for this hit?</t>
  </si>
  <si>
    <t>A) The gilli is considered in play. , B) The gilli is considered out of bounds. , C) The game is paused until the tree bark is cleared. , D) Player OOO is given another chance.</t>
  </si>
  <si>
    <t>Player PPP hits the gilli and it lands on a surface obstructed by a pile of large stones. How should this hit be evaluated?</t>
  </si>
  <si>
    <t>A) The gilli is considered in play. , B) The gilli is considered out of bounds. , C) The game is paused until the stones are cleared. , D) Player PPP is given another chance.</t>
  </si>
  <si>
    <t>Player QQQ hits the gilli and it lands on a surface covered with a layer of wet leaves. What is the appropriate ruling for this hit?</t>
  </si>
  <si>
    <t>A) The gilli is considered out of bounds. , B) The gilli is considered in play. , C) The game is paused until the leaves are dried. , D) Player QQQ is given another chance.</t>
  </si>
  <si>
    <t>Player RRR hits the gilli and it lands on a surface covered with a layer of grass clippings. How should this hit be interpreted?</t>
  </si>
  <si>
    <t>A) The gilli is considered in play. , B) The gilli is considered out of bounds. , C) The game is paused until the grass clippings are removed. , D) Player RRR is given another chance.</t>
  </si>
  <si>
    <t>Player SSS hits the gilli and it lands on a surface covered with a layer of pebbles and mud. What is the ruling for this scenario?</t>
  </si>
  <si>
    <t>A) The gilli is considered out of bounds. , B) The gilli is considered in play. , C) The game is paused until the pebbles and mud are cleared. , D) Player SSS is given another chance.</t>
  </si>
  <si>
    <t>Player TTT hits the gilli and it lands on a surface covered with a layer of old clothes. How should this hit be evaluated?</t>
  </si>
  <si>
    <t>A) The gilli is considered in play. , B) The gilli is considered out of bounds. , C) The game is paused until the clothes are removed. , D) Player TTT is given another chance.</t>
  </si>
  <si>
    <t>Player UUU hits the gilli and it lands on a surface obstructed by a pile of trash. What is the appropriate ruling for this hit?</t>
  </si>
  <si>
    <t>A) The gilli is considered out of bounds. , B) The gilli is considered in play. , C) The game is paused until the trash is cleared. , D) Player UUU is given another chance.</t>
  </si>
  <si>
    <t>Player VVV hits the gilli and it lands on a surface covered with a layer of snow and leaves. What is the ruling for this hit?</t>
  </si>
  <si>
    <t>A) The gilli is considered in play. , B) The gilli is considered out of bounds. , C) The game is paused until the snow and leaves are cleared. , D) Player VVV is given another chance.</t>
  </si>
  <si>
    <t>A) The gilli is considered out of bounds. , B) The gilli is considered in play. , C) The game is paused until the sand is cleared. , D) Player WWW is given another chance.</t>
  </si>
  <si>
    <t>Player XXX hits the gilli and it lands on a surface obstructed by a pile of bricks. How should this hit be evaluated?</t>
  </si>
  <si>
    <t>A) The gilli is considered in play. , B) The gilli is considered out of bounds. , C) The game is paused until the bricks are cleared. , D) Player XXX is given another chance.</t>
  </si>
  <si>
    <t>Player YYY hits the gilli and it lands on a surface covered with a layer of vegetable peels. What is the appropriate ruling for this hit?</t>
  </si>
  <si>
    <t>A) The gilli is considered in play. , B) The gilli is considered out of bounds. , C) The game is paused until the peels are cleared. , D) Player YYY is given another chance.</t>
  </si>
  <si>
    <t>Player ZZZ hits the gilli and it lands on a surface covered with a layer of grass and twigs. What is the ruling for this hit?</t>
  </si>
  <si>
    <t>A) The gilli is considered in play. , B) The gilli is considered out of bounds. , C) The game is paused until the grass and twigs are cleared. , D) Player ZZZ is given another chance.</t>
  </si>
  <si>
    <t>Player AAA hits the gilli and it lands on a surface obstructed by a pile of discarded toys. What should be the ruling for this hit?</t>
  </si>
  <si>
    <t>A) The gilli is considered in play. , B) The gilli is considered out of bounds. , C) The game is paused until the toys are removed. , D) Player AAA is given another chance.</t>
  </si>
  <si>
    <t>Player BBB hits the gilli and it lands on a surface covered with a layer of old tires. How should this hit be evaluated?</t>
  </si>
  <si>
    <t>Player CCC hits the gilli and it lands on a surface covered with a layer of discarded food wrappers. What is the ruling for this scenario?</t>
  </si>
  <si>
    <t>A) The gilli is considered out of bounds. , B) The gilli is considered in play. , C) The game is paused until the wrappers are cleared. , D) Player CCC is given another chance.</t>
  </si>
  <si>
    <t>Player DDD hits the gilli and it lands on a surface covered with a layer of wet newspapers. What is the appropriate ruling for this hit?</t>
  </si>
  <si>
    <t>A) The gilli is considered in play. , B) The gilli is considered out of bounds. , C) The game is paused until the newspapers are dried. , D) Player DDD is given another chance.</t>
  </si>
  <si>
    <t>Player EEE hits the gilli and it lands on a surface covered with a layer of broken bricks. How should this hit be evaluated?</t>
  </si>
  <si>
    <t>A) The gilli is considered out of bounds. , B) The gilli is considered in play. , C) The game is paused until the bricks are cleared. , D) Player EEE is given another chance.</t>
  </si>
  <si>
    <t>Player FFF hits the gilli and it lands on a surface covered with a layer of ice. What is the ruling for this hit?</t>
  </si>
  <si>
    <t>A) The gilli is considered out of bounds. , B) The gilli is considered in play. , C) The game is paused until the ice is cleared. , D) Player FFF is given another chance.</t>
  </si>
  <si>
    <t>Player GGG hits the gilli and it lands on a surface covered with a layer of broken glass. How should this hit be interpreted?</t>
  </si>
  <si>
    <t>A) The gilli is considered out of bounds. , B) The gilli is considered in play. , C) The game is paused until the glass is removed. , D) Player GGG is given another chance.</t>
  </si>
  <si>
    <t>Player HHH hits the gilli and it lands on a surface covered with a layer of dry leaves and twigs. What is the appropriate ruling for this hit?</t>
  </si>
  <si>
    <t>A) The gilli is considered out of bounds. , B) The gilli is considered in play. , C) The game is paused until the leaves and twigs are cleared. , D) Player HHH is given another chance.</t>
  </si>
  <si>
    <t>Player III hits the gilli and it lands on a surface covered with a layer of wet soil and grass. What is the ruling for this scenario?</t>
  </si>
  <si>
    <t>A) The gilli is considered in play. , B) The gilli is considered out of bounds. , C) The game is paused until the soil and grass are cleared. , D) Player III is given another chance.</t>
  </si>
  <si>
    <t>Player JJJ hits the gilli and it lands on a surface obstructed by a pile of construction material. How should this hit be evaluated?</t>
  </si>
  <si>
    <t>A) The gilli is considered in play. , B) The gilli is considered out of bounds. , C) The game is paused until the construction material is cleared. , D) Player JJJ is given another chance.</t>
  </si>
  <si>
    <t>Player KKK hits the gilli and it lands on a surface covered with a layer of mud and twigs. What is the appropriate ruling for this hit?</t>
  </si>
  <si>
    <t>A) The gilli is considered in play. , B) The gilli is considered out of bounds. , C) The game is paused until the mud and twigs are cleared. , D) Player KKK is given another chance.</t>
  </si>
  <si>
    <t>Player LLL hits the gilli and it lands on a surface covered with a layer of small stones and sand. What is the ruling for this scenario?</t>
  </si>
  <si>
    <t>A) The gilli is considered out of bounds. , B) The gilli is considered in play. , C) The game is paused until the stones and sand are cleared. , D) Player LLL is given another chance.</t>
  </si>
  <si>
    <t>Player MMM hits the gilli and it lands on a surface covered with a layer of wet leaves and mud. How should this hit be evaluated?</t>
  </si>
  <si>
    <t>A) The gilli is considered in play. , B) The gilli is considered out of bounds. , C) The game is paused until the leaves and mud are cleared. , D) Player MMM is given another chance.</t>
  </si>
  <si>
    <t>Player NNN hits the gilli and it lands on a surface covered with a layer of fallen branches. What is the appropriate ruling for this hit?</t>
  </si>
  <si>
    <t>A) The gilli is considered out of bounds. , B) The gilli is considered in play. , C) The game is paused until the branches are cleared. , D) Player NNN is given another chance.</t>
  </si>
  <si>
    <t>Player OOO hits the gilli and it lands on a surface covered with a layer of old newspapers and sand. How should this hit be evaluated?</t>
  </si>
  <si>
    <t>A) The gilli is considered out of bounds. , B) The gilli is considered in play. , C) The game is paused until the newspapers and sand are cleared. , D) Player OOO is given another chance.</t>
  </si>
  <si>
    <t>Player PPP hits the gilli and it lands on a surface obstructed by a pile of firewood. What is the ruling for this scenario?</t>
  </si>
  <si>
    <t>A) The gilli is considered out of bounds. , B) The gilli is considered in play. , C) The game is paused until the firewood is removed. , D) Player PPP is given another chance.</t>
  </si>
  <si>
    <t>Player QQQ hits the gilli and it lands on a surface covered with a layer of wet clay. How should this hit be interpreted?</t>
  </si>
  <si>
    <t>A) The gilli is considered out of bounds. , B) The gilli is considered in play. , C) The game is paused until the clay is dried. , D) Player QQQ is given another chance.</t>
  </si>
  <si>
    <t>Player AAA hits the gilli and it lands on a surface covered with a thin layer of dust. What is the ruling for this hit?</t>
  </si>
  <si>
    <t>A) The gilli is considered in play. , B) The gilli is considered out of bounds. , C) The game is paused until the dust is cleared. , D) Player AAA is given another chance.</t>
  </si>
  <si>
    <t>Player BBB hits the gilli and it lands on a surface covered with a layer of wet grass. What should be the ruling for this hit?</t>
  </si>
  <si>
    <t>A) The gilli is considered out of bounds. , B) The gilli is considered in play. , C) The game is paused until the grass is dried. , D) Player BBB is given another chance.</t>
  </si>
  <si>
    <t>Player CCC hits the gilli and it lands on a surface covered with a layer of fallen leaves. How should this hit be evaluated?</t>
  </si>
  <si>
    <t>A) The gilli is considered in play. , B) The gilli is considered out of bounds. , C) The game is paused until the leaves are cleared. , D) Player CCC is given another chance.</t>
  </si>
  <si>
    <t>Player DDD hits the gilli and it lands on a surface obstructed by a pile of stones. What is the appropriate ruling for this hit?</t>
  </si>
  <si>
    <t>A) The gilli is considered in play. , B) The gilli is considered out of bounds. , C) The game is paused until the stones are cleared. , D) Player DDD is given another chance.</t>
  </si>
  <si>
    <t>Player EEE hits the gilli and it lands on a surface covered with a layer of plastic bags. How should this hit be interpreted?</t>
  </si>
  <si>
    <t>A) The gilli is considered in play. , B) The gilli is considered out of bounds. , C) The game is paused until the plastic bags are removed. , D) Player EEE is given another chance.</t>
  </si>
  <si>
    <t>Player FFF hits the gilli and it lands on a surface covered with a layer of mud and rocks. What is the ruling for this scenario?</t>
  </si>
  <si>
    <t>A) The gilli is considered out of bounds. , B) The gilli is considered in play. , C) The game is paused until the mud and rocks are cleared. , D) Player FFF is given another chance.</t>
  </si>
  <si>
    <t>Player GGG hits the gilli and it lands on a surface obstructed by a pile of wooden planks. What should be the ruling for this hit?</t>
  </si>
  <si>
    <t>A) The gilli is considered out of bounds. , B) The gilli is considered in play. , C) The game is paused until the wooden planks are removed. , D) Player GGG is given another chance.</t>
  </si>
  <si>
    <t>Player HHH hits the gilli and it lands on a surface covered with a layer of gravel. How should this hit be evaluated?</t>
  </si>
  <si>
    <t>Player III hits the gilli and it lands on a surface covered with a layer of sand. What is the appropriate ruling for this hit?</t>
  </si>
  <si>
    <t>A) The gilli is considered out of bounds. , B) The gilli is considered in play. , C) The game is paused until the sand is cleared. , D) Player III is given another chance.</t>
  </si>
  <si>
    <t>Player JJJ hits the gilli and it lands on a surface covered with a layer of ice cream wrappers. What is the ruling for this hit?</t>
  </si>
  <si>
    <t>A) The gilli is considered out of bounds. , B) The gilli is considered in play. , C) The game is paused until the wrappers are cleared. , D) Player JJJ is given another chance.</t>
  </si>
  <si>
    <t>Player KKK hits the gilli and it lands on a surface covered with a layer of gravel and mud. What should be the ruling for this hit?</t>
  </si>
  <si>
    <t>A) The gilli is considered in play. , B) The gilli is considered out of bounds. , C) The game is paused until the gravel and mud are cleared. , D) Player KKK is given another chance.</t>
  </si>
  <si>
    <t>Player LLL hits the gilli and it lands on a surface covered with a layer of dry leaves and small twigs. How should this hit be evaluated?</t>
  </si>
  <si>
    <t>A) The gilli is considered in play. , B) The gilli is considered out of bounds. , C) The game is paused until the leaves and twigs are cleared. , D) Player LLL is given another chance.</t>
  </si>
  <si>
    <t>A) The gilli is considered out of bounds. , B) The gilli is considered in play. , C) The game is paused until the glass is cleared. , D) Player MMM is given another chance.</t>
  </si>
  <si>
    <t>Player NNN hits the gilli and it lands on a surface covered with a layer of old newspapers. How should this hit be evaluated?</t>
  </si>
  <si>
    <t>A) The gilli is considered out of bounds. , B) The gilli is considered in play. , C) The game is paused until the newspapers are cleared. , D) Player NNN is given another chance.</t>
  </si>
  <si>
    <t>Player OOO hits the gilli and it lands on a surface covered with a layer of broken tiles. What is the ruling for this scenario?</t>
  </si>
  <si>
    <t>A) The gilli is considered out of bounds. , B) The gilli is considered in play. , C) The game is paused until the tiles are cleared. , D) Player OOO is given another chance.</t>
  </si>
  <si>
    <t>Player PPP hits the gilli and it lands on a surface covered with a layer of soft mud. What should be the ruling for this hit?</t>
  </si>
  <si>
    <t>A) The gilli is considered in play. , B) The gilli is considered out of bounds. , C) The game is paused until the mud is cleared. , D) Player PPP is given another chance.</t>
  </si>
  <si>
    <t>Player QQQ hits the gilli and it lands on a surface covered with a layer of fine dust and sand. How should this hit be interpreted?</t>
  </si>
  <si>
    <t>A) The gilli is considered in play. , B) The gilli is considered out of bounds. , C) The game is paused until the dust and sand are cleared. , D) Player QQQ is given another chance.</t>
  </si>
  <si>
    <t>Player RRR hits the gilli and it lands on a surface covered with a layer of dry leaves and small rocks. What is the ruling for this hit?</t>
  </si>
  <si>
    <t>A) The gilli is considered in play. , B) The gilli is considered out of bounds. , C) The game is paused until the leaves and rocks are cleared. , D) Player RRR is given another chance.</t>
  </si>
  <si>
    <t>Player SSS hits the gilli and it lands on a surface covered with a layer of trash and debris. What should be the ruling for this hit?</t>
  </si>
  <si>
    <t>A) The gilli is considered out of bounds. , B) The gilli is considered in play. , C) The game is paused until the trash and debris are cleared. , D) Player SSS is given another chance.</t>
  </si>
  <si>
    <t>Player TTT hits the gilli and it lands on a surface covered with a layer of plastic and metal scraps. How should this hit be evaluated?</t>
  </si>
  <si>
    <t>A) The gilli is considered out of bounds. , B) The gilli is considered in play. , C) The game is paused until the plastic and metal scraps are cleared. , D) Player TTT is given another chance.</t>
  </si>
  <si>
    <t>Player UUU hits the gilli and it lands on a surface covered with a layer of grass and weeds. What is the ruling for this scenario?</t>
  </si>
  <si>
    <t>A) The gilli is considered in play. , B) The gilli is considered out of bounds. , C) The game is paused until the grass and weeds are cleared. , D) Player UUU is given another chance.</t>
  </si>
  <si>
    <t>Player VVV hits the gilli and it lands on a surface covered with a layer of pebbles and small stones. What should be the ruling for this hit?</t>
  </si>
  <si>
    <t>A) The gilli is considered in play. , B) The gilli is considered out of bounds. , C) The game is paused until the pebbles and stones are cleared. , D) Player VVV is given another chance.</t>
  </si>
  <si>
    <t>Player WWW hits the gilli and it lands on a surface covered with a layer of fallen fruit. What is the appropriate ruling for this hit?</t>
  </si>
  <si>
    <t>A) The gilli is considered in play. , B) The gilli is considered out of bounds. , C) The game is paused until the fruit is removed. , D) Player WWW is given another chance.</t>
  </si>
  <si>
    <t>Player XXX hits the gilli and it lands on a surface covered with a layer of wet grass and mud. How should this hit be evaluated?</t>
  </si>
  <si>
    <t>A) The gilli is considered out of bounds. , B) The gilli is considered in play. , C) The game is paused until the grass and mud are cleared. , D) Player XXX is given another chance.</t>
  </si>
  <si>
    <t>Player YYY hits the gilli and it lands on a surface covered with a layer of old rope. What is the ruling for this scenario?</t>
  </si>
  <si>
    <t>A) The gilli is considered in play. , B) The gilli is considered out of bounds. , C) The game is paused until the rope is cleared. , D) Player YYY is given another chance.</t>
  </si>
  <si>
    <t>Player ZZZ hits the gilli and it lands on a surface covered with a layer of sandbags. How should this hit be interpreted?</t>
  </si>
  <si>
    <t>A) The gilli is considered out of bounds. , B) The gilli is considered in play. , C) The game is paused until the sandbags are cleared. , D) Player ZZZ is given another chance.</t>
  </si>
  <si>
    <t>Player AAA hits the gilli and it lands on a surface covered with a layer of small pebbles and gravel. What is the appropriate ruling for this hit?</t>
  </si>
  <si>
    <t>A) The gilli is considered in play. , B) The gilli is considered out of bounds. , C) The game is paused until the pebbles and gravel are cleared. , D) Player AAA is given another chance.</t>
  </si>
  <si>
    <t>In a Thang-ta demonstration, a practitioner showcases a sequence of movements including thrusting and slicing with a sword. What is the primary purpose of such a sequence?</t>
  </si>
  <si>
    <t>A) To demonstrate offensive techniques. , B) To display defensive maneuvers. , C) To emphasize balance and agility. , D) To perform traditional dance steps.</t>
  </si>
  <si>
    <t>A) To demonstrate offensive techniques.</t>
  </si>
  <si>
    <t>During a Thang-ta competition, a participant is judged on various aspects including technique, speed, and precision. What is considered the most critical aspect for scoring?</t>
  </si>
  <si>
    <t>A) The speed of the movements. , B) The precision and accuracy of techniques. , C) The number of movements performed. , D) The style and appearance of the practitioner.</t>
  </si>
  <si>
    <t>B) The precision and accuracy of techniques.</t>
  </si>
  <si>
    <t>In Thang-ta, which weapon is traditionally associated with the practice of striking techniques and defensive maneuvers?</t>
  </si>
  <si>
    <t>A) The sword (Chak) , B) The spear (Thang) , C) The shield (Nung) , D) The bow (Lup)</t>
  </si>
  <si>
    <t>B) The spear (Thang)</t>
  </si>
  <si>
    <t>A Thang-ta practitioner demonstrates a sequence with a focus on fluid transitions between offensive and defensive moves. What is the primary objective of this practice?</t>
  </si>
  <si>
    <t>A) To showcase agility and flexibility. , B) To emphasize strength and power. , C) To perfect the flow and adaptability of movements. , D) To demonstrate endurance and stamina.</t>
  </si>
  <si>
    <t>C) To perfect the flow and adaptability of movements.</t>
  </si>
  <si>
    <t>In a Thang-ta performance, a practitioner uses a combination of striking and spinning techniques. What does this combination primarily signify?</t>
  </si>
  <si>
    <t>A) A display of traditional dance. , B) The practitioner's mastery of fluid movements. , C) A technique for distracting opponents. , D) The use of multiple weapons simultaneously.</t>
  </si>
  <si>
    <t>B) The practitioner's mastery of fluid movements.</t>
  </si>
  <si>
    <t>During a Thang-ta duel, a practitioner executes a high kick followed by a low strike. What is the tactical advantage of this sequence?</t>
  </si>
  <si>
    <t>A) To surprise the opponent with sudden changes in height. , B) To demonstrate flexibility and balance. , C) To focus on offensive strikes from multiple angles. , D) To tire out the opponent through complex moves.</t>
  </si>
  <si>
    <t>A) To surprise the opponent with sudden changes in height.</t>
  </si>
  <si>
    <t>In Thang-ta, which of the following is NOT a typical weapon used?</t>
  </si>
  <si>
    <t>A) Sword (Chak) , B) Spear (Thang) , C) Shield (Nung) , D) Gun (Maron)</t>
  </si>
  <si>
    <t>D) Gun (Maron)</t>
  </si>
  <si>
    <t>A Thang-ta practitioner performs a series of rapid thrusts with a spear. What is the primary focus of this technique?</t>
  </si>
  <si>
    <t>A) To enhance the practitioner’s speed. , B) To develop strength in the upper body. , C) To improve precision in striking. , D) To master the defensive techniques.</t>
  </si>
  <si>
    <t>C) To improve precision in striking.</t>
  </si>
  <si>
    <t>During a Thang-ta demonstration, a practitioner is required to maintain a low stance throughout a series of movements. What is the purpose of this stance?</t>
  </si>
  <si>
    <t>A) To increase endurance. , B) To enhance balance and stability. , C) To improve the speed of movements. , D) To demonstrate flexibility.</t>
  </si>
  <si>
    <t>B) To enhance balance and stability.</t>
  </si>
  <si>
    <t>In Thang-ta, a practitioner performs a sequence of techniques with both hands and feet. What does this demonstrate?</t>
  </si>
  <si>
    <t>A) The ability to use multiple weapons. , B) The integration of different combat skills. , C) The mastery of single-weapon techniques. , D) The focus on defensive rather than offensive techniques.</t>
  </si>
  <si>
    <t>B) The integration of different combat skills.</t>
  </si>
  <si>
    <t>A Thang-ta practitioner is observed using circular movements with a sword. What is the significance of these movements?</t>
  </si>
  <si>
    <t>A) To enhance offensive capabilities. , B) To improve defensive techniques. , C) To practice rhythm and flow. , D) To demonstrate traditional dance forms.</t>
  </si>
  <si>
    <t>A) To enhance offensive capabilities.</t>
  </si>
  <si>
    <t>During a Thang-ta competition, a practitioner is penalized for losing balance during a sequence. What is the reason for this penalty?</t>
  </si>
  <si>
    <t>A) It shows a lack of control and precision. , B) It indicates poor technique execution. , C) It reflects insufficient strength training. , D) It suggests inadequate weapon handling skills.</t>
  </si>
  <si>
    <t>A) It shows a lack of control and precision.</t>
  </si>
  <si>
    <t>In a Thang-ta performance, a practitioner executes a combination of high strikes and low sweeps. What does this combination demonstrate?</t>
  </si>
  <si>
    <t>A) The ability to perform complex movements. , B) The focus on maintaining a strong defensive position. , C) The application of both offensive and defensive techniques. , D) The practitioner’s skill in weapon handling.</t>
  </si>
  <si>
    <t>C) The application of both offensive and defensive techniques.</t>
  </si>
  <si>
    <t>During a Thang-ta match, a practitioner performs a series of jumps and spins. What is the primary benefit of incorporating these moves?</t>
  </si>
  <si>
    <t>A) To enhance the visual appeal of the performance. , B) To improve the practitioner's agility and coordination. , C) To demonstrate advanced weapon skills. , D) To showcase traditional combat techniques.</t>
  </si>
  <si>
    <t>B) To improve the practitioner's agility and coordination.</t>
  </si>
  <si>
    <t>In Thang-ta, which of the following is considered a fundamental stance?</t>
  </si>
  <si>
    <t>A) Horse stance , B) Crane stance , C) Tiger stance , D) Dragon stance</t>
  </si>
  <si>
    <t>A) Horse stance</t>
  </si>
  <si>
    <t>A Thang-ta practitioner is performing a sequence involving both thrusts and parries with a spear. What is the main purpose of this practice?</t>
  </si>
  <si>
    <t>A) To develop offensive and defensive balance. , B) To enhance the speed of movements. , C) To focus on individual weapon techniques. , D) To practice traditional ceremonial movements.</t>
  </si>
  <si>
    <t>A) To develop offensive and defensive balance.</t>
  </si>
  <si>
    <t>In Thang-ta, the execution of a spinning strike is primarily used to achieve which objective?</t>
  </si>
  <si>
    <t>A) To perform a dramatic visual effect. , B) To increase the impact and effectiveness of the strike. , C) To distract the opponent. , D) To demonstrate flexibility and strength.</t>
  </si>
  <si>
    <t>B) To increase the impact and effectiveness of the strike.</t>
  </si>
  <si>
    <t>During a Thang-ta demonstration, a practitioner uses a series of rapid footwork techniques. What is the purpose of these techniques?</t>
  </si>
  <si>
    <t>A) To improve the speed and agility of movements. , B) To enhance the practitioner's balance. , C) To demonstrate traditional footwork patterns. , D) To focus on offensive strikes.</t>
  </si>
  <si>
    <t>A) To improve the speed and agility of movements.</t>
  </si>
  <si>
    <t>A Thang-ta practitioner performs a defensive maneuver involving a circular motion with a shield. What is the primary purpose of this maneuver?</t>
  </si>
  <si>
    <t>A) To block multiple incoming strikes. , B) To enhance the aesthetic appeal of the performance. , C) To practice weapon handling skills. , D) To demonstrate traditional techniques.</t>
  </si>
  <si>
    <t>A) To block multiple incoming strikes.</t>
  </si>
  <si>
    <t>In a Thang-ta competition, a participant incorporates a sequence of high and low strikes with a sword. What is the primary goal of this sequence?</t>
  </si>
  <si>
    <t>A) To showcase the practitioner's ability to handle different heights. , B) To focus on strength training. , C) To perform a traditional dance. , D) To emphasize speed and power.</t>
  </si>
  <si>
    <t>A) To showcase the practitioner's ability to handle different heights.</t>
  </si>
  <si>
    <t>A Thang-ta practitioner is seen demonstrating a sequence involving a spear and a shield. What does this combination indicate?</t>
  </si>
  <si>
    <t>A) The integration of offensive and defensive techniques. , B) The focus on single-weapon techniques. , C) The emphasis on traditional dance forms. , D) The practice of advanced footwork.</t>
  </si>
  <si>
    <t>A) The integration of offensive and defensive techniques.</t>
  </si>
  <si>
    <t>During a Thang-ta practice, a practitioner focuses on precision strikes with a sword. What is the primary focus of this training?</t>
  </si>
  <si>
    <t>A) To enhance the accuracy and effectiveness of strikes. , B) To develop defensive maneuvers. , C) To increase the speed of movements. , D) To improve balance and stability.</t>
  </si>
  <si>
    <t>A) To enhance the accuracy and effectiveness of strikes.</t>
  </si>
  <si>
    <t>In a Thang-ta demonstration, a practitioner performs a series of rapid lunges and retreats. What is the primary benefit of these movements?</t>
  </si>
  <si>
    <t>A) To improve the practitioner's endurance. , B) To enhance offensive and defensive mobility. , C) To showcase traditional footwork techniques. , D) To demonstrate flexibility and balance.</t>
  </si>
  <si>
    <t>B) To enhance offensive and defensive mobility.</t>
  </si>
  <si>
    <t>A Thang-ta practitioner is observed executing a sequence of diagonal strikes with a sword. What is the primary purpose of these strikes?</t>
  </si>
  <si>
    <t>A) To demonstrate versatility in attack angles. , B) To practice defensive maneuvers. , C) To enhance the aesthetic quality of the performance. , D) To focus on footwork techniques.</t>
  </si>
  <si>
    <t>A) To demonstrate versatility in attack angles.</t>
  </si>
  <si>
    <t>During a Thang-ta performance, a practitioner integrates spinning techniques with a spear. What does this integration primarily signify?</t>
  </si>
  <si>
    <t>A) Advanced weapon handling skills. , B) The use of deceptive tactics. , C) The focus on traditional dance elements. , D) The emphasis on defensive techniques.</t>
  </si>
  <si>
    <t>A) Advanced weapon handling skills.</t>
  </si>
  <si>
    <t>In a Thang-ta competition, a participant executes a series of rapid strikes followed by a high jump. What is the main objective of including a jump in the sequence?</t>
  </si>
  <si>
    <t>A) To add an element of surprise and complexity. , B) To practice aerial techniques. , C) To improve footwork agility. , D) To demonstrate strength and power.</t>
  </si>
  <si>
    <t>A) To add an element of surprise and complexity.</t>
  </si>
  <si>
    <t>A Thang-ta practitioner demonstrates a technique involving a low sweep followed by a high strike. What does this sequence primarily aim to achieve?</t>
  </si>
  <si>
    <t>A) To create an effective offensive combination. , B) To showcase defensive techniques. , C) To practice traditional movements. , D) To emphasize speed and power.</t>
  </si>
  <si>
    <t>A) To create an effective offensive combination.</t>
  </si>
  <si>
    <t>During a Thang-ta practice, a practitioner incorporates a sequence of high and low kicks. What is the primary purpose of these kicks?</t>
  </si>
  <si>
    <t>A) To develop a range of attack options. , B) To improve balance and stability. , C) To focus on defensive techniques. , D) To enhance the visual appeal of the performance.</t>
  </si>
  <si>
    <t>A) To develop a range of attack options.</t>
  </si>
  <si>
    <t>In Thang-ta, a practitioner performs a series of strikes with a sword while maintaining a low stance. What does this combination demonstrate?</t>
  </si>
  <si>
    <t>A) The integration of power and stability. , B) The emphasis on high-speed techniques. , C) The focus on traditional footwork. , D) The use of defensive maneuvers.</t>
  </si>
  <si>
    <t>A) The integration of power and stability.</t>
  </si>
  <si>
    <t>A Thang-ta competitor uses a shield to block multiple incoming strikes. What is the primary purpose of using a shield in this manner?</t>
  </si>
  <si>
    <t>A) To practice effective defensive techniques. , B) To showcase the practitioner's strength. , C) To demonstrate advanced offensive skills. , D) To enhance the visual appeal of the performance.</t>
  </si>
  <si>
    <t>A) To practice effective defensive techniques.</t>
  </si>
  <si>
    <t>During a Thang-ta demonstration, a practitioner performs a combination of thrusts and parries with a spear. What is the primary focus of this combination?</t>
  </si>
  <si>
    <t>A) To balance offensive and defensive techniques. , B) To improve the practitioner's speed. , C) To practice traditional dance movements. , D) To enhance weapon handling skills.</t>
  </si>
  <si>
    <t>A) To balance offensive and defensive techniques.</t>
  </si>
  <si>
    <t>In Thang-ta, a practitioner performs a sequence of spins and twirls with a sword. What does this sequence primarily showcase?</t>
  </si>
  <si>
    <t>A) The practitioner's skill in fluid movements. , B) The emphasis on defensive techniques. , C) The focus on strength and power. , D) The demonstration of traditional techniques.</t>
  </si>
  <si>
    <t>A) The practitioner's skill in fluid movements.</t>
  </si>
  <si>
    <t>A Thang-ta practitioner demonstrates a technique involving a spear thrust followed by a rapid retreat. What is the main purpose of this technique?</t>
  </si>
  <si>
    <t>A) To perform an effective hit-and-run maneuver. , B) To showcase the practitioner's agility. , C) To focus on offensive power. , D) To demonstrate traditional footwork.</t>
  </si>
  <si>
    <t>A) To perform an effective hit-and-run maneuver.</t>
  </si>
  <si>
    <t>During a Thang-ta practice, a practitioner incorporates a sequence of strikes with both hands. What is the primary objective of using both hands simultaneously?</t>
  </si>
  <si>
    <t>A) To improve coordination and balance. , B) To enhance offensive power. , C) To practice defensive techniques. , D) To focus on speed and agility.</t>
  </si>
  <si>
    <t>A) To improve coordination and balance.</t>
  </si>
  <si>
    <t>In a Thang-ta demonstration, a practitioner uses a combination of high and low strikes with a spear. What does this combination primarily represent?</t>
  </si>
  <si>
    <t>A) A comprehensive approach to attack and defense. , B) The focus on individual weapon skills. , C) The practice of traditional movements. , D) The emphasis on agility and speed.</t>
  </si>
  <si>
    <t>A) A comprehensive approach to attack and defense.</t>
  </si>
  <si>
    <t>A Thang-ta practitioner performs a technique involving a low sweep followed by a high block with a shield. What is the main benefit of this technique?</t>
  </si>
  <si>
    <t>A) To integrate offensive and defensive skills. , B) To showcase traditional techniques. , C) To improve speed and power. , D) To focus on balance and stability.</t>
  </si>
  <si>
    <t>A) To integrate offensive and defensive skills.</t>
  </si>
  <si>
    <t>In Thang-ta, a practitioner demonstrates a series of rapid movements with a sword. What is the primary focus of these movements?</t>
  </si>
  <si>
    <t>A) To enhance speed and precision. , B) To practice defensive maneuvers. , C) To showcase traditional footwork. , D) To focus on strength training.</t>
  </si>
  <si>
    <t>A) To enhance speed and precision.</t>
  </si>
  <si>
    <t>During a Thang-ta competition, a participant performs a combination of thrusts and sweeps with a spear. What is the purpose of this combination?</t>
  </si>
  <si>
    <t>A) To develop versatility in attack techniques. , B) To focus on defensive maneuvers. , C) To practice traditional movements. , D) To improve balance and coordination.</t>
  </si>
  <si>
    <t>A) To develop versatility in attack techniques.</t>
  </si>
  <si>
    <t>A Thang-ta practitioner performs a series of strikes with a sword while moving forward. What does this technique primarily showcase?</t>
  </si>
  <si>
    <t>A) The ability to maintain offensive pressure. , B) The focus on defensive techniques. , C) The practice of traditional footwork. , D) The demonstration of agility and speed.</t>
  </si>
  <si>
    <t>A) The ability to maintain offensive pressure.</t>
  </si>
  <si>
    <t>In Thang-ta, a practitioner uses a series of rapid footwork techniques to evade an opponent’s strikes. What is the primary objective of these techniques?</t>
  </si>
  <si>
    <t>A) To enhance evasion and mobility. , B) To demonstrate strength and power. , C) To focus on traditional techniques. , D) To showcase advanced weapon handling skills.</t>
  </si>
  <si>
    <t>A) To enhance evasion and mobility.</t>
  </si>
  <si>
    <t>During a Thang-ta demonstration, a practitioner incorporates a high strike followed by a low sweep with a sword. What is the primary benefit of this sequence?</t>
  </si>
  <si>
    <t>A) To create a dynamic and effective offensive combination. , B) To practice defensive techniques. , C) To showcase traditional movements. , D) To focus on agility and speed.</t>
  </si>
  <si>
    <t>A) To create a dynamic and effective offensive combination.</t>
  </si>
  <si>
    <t>A Thang-ta practitioner is seen performing a series of high and low blocks with a shield. What does this sequence primarily demonstrate?</t>
  </si>
  <si>
    <t>A) The ability to defend against multiple attack angles. , B) The focus on offensive techniques. , C) The practice of traditional movements. , D) The enhancement of speed and agility.</t>
  </si>
  <si>
    <t>A) The ability to defend against multiple attack angles.</t>
  </si>
  <si>
    <t>In Thang-ta, a practitioner performs a spinning strike with a spear. What is the main purpose of incorporating a spinning motion?</t>
  </si>
  <si>
    <t>A) To increase the impact and effectiveness of the strike. , B) To showcase traditional dance elements. , C) To practice defensive maneuvers. , D) To focus on strength training.</t>
  </si>
  <si>
    <t>A) To increase the impact and effectiveness of the strike.</t>
  </si>
  <si>
    <t>During a Thang-ta practice session, a practitioner performs a series of upward strikes with a sword while maintaining a defensive stance. What is the primary objective of these upward strikes?</t>
  </si>
  <si>
    <t>A) To protect against attacks from higher angles. , B) To showcase traditional sword techniques. , C) To improve footwork agility. , D) To enhance the aesthetic appeal of the performance.</t>
  </si>
  <si>
    <t>A) To protect against attacks from higher angles.</t>
  </si>
  <si>
    <t>In a Thang-ta competition, a participant utilizes a combination of rapid footwork and high strikes. What is the main purpose of this combination?</t>
  </si>
  <si>
    <t>A) To overwhelm the opponent with speed and unpredictability. , B) To demonstrate mastery of traditional forms. , C) To focus on defensive postures. , D) To improve strength and power.</t>
  </si>
  <si>
    <t>A) To overwhelm the opponent with speed and unpredictability.</t>
  </si>
  <si>
    <t>A Thang-ta practitioner executes a sequence of horizontal strikes with a spear. What is the primary focus of these horizontal strikes?</t>
  </si>
  <si>
    <t>A) To create a wide range of attack options. , B) To demonstrate defensive capabilities. , C) To focus on balance and coordination. , D) To showcase traditional spear movements.</t>
  </si>
  <si>
    <t>A) To create a wide range of attack options.</t>
  </si>
  <si>
    <t>During a Thang-ta training session, a practitioner practices a series of low sweeps followed by a high thrust. What is the main objective of this combination?</t>
  </si>
  <si>
    <t>A) To create an effective blend of offensive and defensive actions. , B) To showcase traditional sweeping techniques. , C) To improve balance and stability. , D) To focus on speed and agility.</t>
  </si>
  <si>
    <t>A) To create an effective blend of offensive and defensive actions.</t>
  </si>
  <si>
    <t>In Thang-ta, a practitioner incorporates a rapid series of jabs with a spear into their routine. What is the primary goal of these jabs?</t>
  </si>
  <si>
    <t>A) To disrupt the opponent's defenses. , B) To showcase traditional spear techniques. , C) To practice footwork agility. , D) To improve balance and posture.</t>
  </si>
  <si>
    <t>A) To disrupt the opponent's defenses.</t>
  </si>
  <si>
    <t>A Thang-ta practitioner combines a forward lunge with a diagonal strike using a sword. What is the primary benefit of this combination?</t>
  </si>
  <si>
    <t>A) To cover distance while maintaining offensive pressure. , B) To showcase traditional lunging techniques. , C) To focus on defensive postures. , D) To improve strength and power.</t>
  </si>
  <si>
    <t>A) To cover distance while maintaining offensive pressure.</t>
  </si>
  <si>
    <t>During a Thang-ta competition, a participant performs a sequence involving a series of feints followed by a powerful thrust. What is the main objective of this strategy?</t>
  </si>
  <si>
    <t>A) To confuse the opponent and create an opening. , B) To demonstrate traditional techniques. , C) To improve speed and agility. , D) To focus on defensive maneuvers.</t>
  </si>
  <si>
    <t>A) To confuse the opponent and create an opening.</t>
  </si>
  <si>
    <t>In Thang-ta, a practitioner uses a combination of high strikes and low sweeps with a spear. What is the primary focus of this combination?</t>
  </si>
  <si>
    <t>A) To create an unpredictable offensive strategy. , B) To practice traditional movements. , C) To enhance speed and agility. , D) To demonstrate defensive techniques.</t>
  </si>
  <si>
    <t>A) To create an unpredictable offensive strategy.</t>
  </si>
  <si>
    <t>A Thang-ta practitioner incorporates spinning kicks into their routine. What is the primary purpose of these spinning kicks?</t>
  </si>
  <si>
    <t>A) To add an element of surprise and increase the difficulty of defense. , B) To showcase traditional kicking techniques. , C) To improve balance and stability. , D) To focus on strength training.</t>
  </si>
  <si>
    <t>A) To add an element of surprise and increase the difficulty of defense.</t>
  </si>
  <si>
    <t>During a Thang-ta demonstration, a practitioner performs a sequence involving rapid thrusts with a sword while maintaining a low stance. What is the main objective of this technique?</t>
  </si>
  <si>
    <t>A) To target the opponent's lower defenses. , B) To practice traditional low stance techniques. , C) To enhance speed and agility. , D) To focus on balance and coordination.</t>
  </si>
  <si>
    <t>A) To target the opponent's lower defenses.</t>
  </si>
  <si>
    <t>In Thang-ta, a practitioner executes a series of diagonal cuts with a sword while advancing toward the opponent. What is the primary focus of this maneuver?</t>
  </si>
  <si>
    <t>A) To create a continuous offensive pressure. , B) To showcase traditional swordsmanship. , C) To practice defensive techniques. , D) To improve footwork and agility.</t>
  </si>
  <si>
    <t>A) To create a continuous offensive pressure.</t>
  </si>
  <si>
    <t>A Thang-ta practitioner practices a sequence of strikes and parries using a shield. What is the main benefit of incorporating the shield into their routine?</t>
  </si>
  <si>
    <t>A) To integrate defensive and offensive tactics effectively. , B) To focus on strength and power. , C) To showcase traditional techniques. , D) To enhance visual appeal.</t>
  </si>
  <si>
    <t>A) To integrate defensive and offensive tactics effectively.</t>
  </si>
  <si>
    <t>During a Thang-ta training session, a practitioner uses a combination of high kicks and low sweeps. What is the main objective of this combination?</t>
  </si>
  <si>
    <t>A) To create a versatile offensive strategy that targets multiple areas. , B) To focus on traditional movements. , C) To practice defensive techniques. , D) To enhance speed and power.</t>
  </si>
  <si>
    <t>A) To create a versatile offensive strategy that targets multiple areas.</t>
  </si>
  <si>
    <t>In Thang-ta, a practitioner performs a series of rapid strikes with alternating hands. What is the primary goal of using alternating hand strikes?</t>
  </si>
  <si>
    <t>A) To enhance coordination and speed in attacks. , B) To focus on traditional movements. , C) To practice defensive techniques. , D) To showcase weapon handling skills.</t>
  </si>
  <si>
    <t>A) To enhance coordination and speed in attacks.</t>
  </si>
  <si>
    <t>A Thang-ta practitioner combines a forward lunge with a spinning strike using a spear. What is the primary benefit of this technique?</t>
  </si>
  <si>
    <t>A) To cover ground while delivering a powerful strike. , B) To showcase traditional lunging techniques. , C) To focus on defensive maneuvers. , D) To improve balance and posture.</t>
  </si>
  <si>
    <t>A) To cover ground while delivering a powerful strike.</t>
  </si>
  <si>
    <t>During a Thang-ta competition, a participant executes a combination of high strikes and evasive footwork. What is the main objective of this approach?</t>
  </si>
  <si>
    <t>A) To maintain an offensive edge while avoiding counterattacks. , B) To demonstrate traditional techniques. , C) To improve strength and power. , D) To focus on defensive postures.</t>
  </si>
  <si>
    <t>A) To maintain an offensive edge while avoiding counterattacks.</t>
  </si>
  <si>
    <t>In Thang-ta, a practitioner performs a series of strikes followed by a backward leap. What is the main purpose of this backward leap?</t>
  </si>
  <si>
    <t>A) To create distance and avoid retaliation. , B) To focus on traditional footwork. , C) To showcase agility and speed. , D) To improve balance and stability.</t>
  </si>
  <si>
    <t>A) To create distance and avoid retaliation.</t>
  </si>
  <si>
    <t>A Thang-ta practitioner incorporates a series of sweeping attacks with a sword. What is the primary objective of these sweeping attacks?</t>
  </si>
  <si>
    <t>A) To target the opponent's lower defenses effectively. , B) To demonstrate traditional sweeping techniques. , C) To improve speed and power. , D) To focus on defensive movements.</t>
  </si>
  <si>
    <t>A) To target the opponent's lower defenses effectively.</t>
  </si>
  <si>
    <t>During a Thang-ta demonstration, a practitioner uses a series of quick jabs followed by a spinning strike with a spear. What is the main purpose of this combination?</t>
  </si>
  <si>
    <t>A) To create an unpredictable offensive strategy. , B) To focus on traditional techniques. , C) To practice defensive maneuvers. , D) To enhance speed and agility.</t>
  </si>
  <si>
    <t>In Thang-ta, a practitioner executes a series of thrusts and parries using both a sword and a shield. What is the primary benefit of using both weapons simultaneously?</t>
  </si>
  <si>
    <t>A) To balance offense and defense effectively. , B) To showcase traditional techniques. , C) To focus on strength and power. , D) To improve coordination and speed.</t>
  </si>
  <si>
    <t>A) To balance offense and defense effectively.</t>
  </si>
  <si>
    <t>A Thang-ta practitioner performs a combination of rapid strikes with a sword followed by a spinning kick. What is the main objective of adding the spinning kick?</t>
  </si>
  <si>
    <t>A) To surprise the opponent and add a powerful follow-up attack. , B) To demonstrate traditional spinning techniques. , C) To focus on defensive maneuvers. , D) To improve balance and stability.</t>
  </si>
  <si>
    <t>A) To surprise the opponent and add a powerful follow-up attack.</t>
  </si>
  <si>
    <t>During a Thang-ta training session, a practitioner uses a combination of lunges and feints with a spear. What is the main focus of this combination?</t>
  </si>
  <si>
    <t>A) To create an unpredictable and aggressive offensive approach. , B) To practice traditional lunging techniques. , C) To focus on defensive postures. , D) To improve footwork and agility.</t>
  </si>
  <si>
    <t>A) To create an unpredictable and aggressive offensive approach.</t>
  </si>
  <si>
    <t>In Thang-ta, a practitioner executes a series of quick parries followed by a counter-strike with a sword. What is the primary goal of this sequence?</t>
  </si>
  <si>
    <t>A) To deflect the opponent's attack and create an opening for a counterattack. , B) To showcase traditional parrying techniques. , C) To improve speed and agility. , D) To focus on defensive movements.</t>
  </si>
  <si>
    <t>A) To deflect the opponent's attack and create an opening for a counterattack.</t>
  </si>
  <si>
    <t>A Thang-ta practitioner incorporates a series of high and low strikes using alternating hands. What is the main benefit of using alternating hands in this sequence?</t>
  </si>
  <si>
    <t>A) To create a continuous and varied offensive pressure. , B) To practice traditional techniques. , C) To improve coordination and speed. , D) To focus on defensive maneuvers.</t>
  </si>
  <si>
    <t>A) To create a continuous and varied offensive pressure.</t>
  </si>
  <si>
    <t>During a Thang-ta competition, a participant executes a combination of rapid thrusts followed by a backward step. What is the main purpose of this backward step?</t>
  </si>
  <si>
    <t>A) To avoid a potential counterattack. , B) To showcase traditional footwork. , C) To focus on defensive postures. , D) To improve balance and agility.</t>
  </si>
  <si>
    <t>A) To avoid a potential counterattack.</t>
  </si>
  <si>
    <t>In Thang-ta, a practitioner performs a series of diagonal cuts while advancing toward the opponent. What is the primary focus of this technique?</t>
  </si>
  <si>
    <t>A) To maintain offensive pressure while closing the distance. , B) To demonstrate traditional swordsmanship. , C) To practice defensive maneuvers. , D) To improve footwork and coordination.</t>
  </si>
  <si>
    <t>A) To maintain offensive pressure while closing the distance.</t>
  </si>
  <si>
    <t>A Thang-ta practitioner uses a combination of quick jabs and evasive footwork during a training session. What is the primary goal of this combination?</t>
  </si>
  <si>
    <t>A) To create an offensive approach that is difficult to predict and counter. , B) To focus on traditional movements. , C) To practice defensive techniques. , D) To improve speed and agility.</t>
  </si>
  <si>
    <t>A) To create an offensive approach that is difficult to predict and counter.</t>
  </si>
  <si>
    <t>During a Thang-ta demonstration, a practitioner uses a shield to deflect an opponent's strike while simultaneously preparing a counterattack. What is the main objective of this technique?</t>
  </si>
  <si>
    <t>A) To balance defense and offense effectively. , B) To showcase traditional shield techniques. , C) To focus on strength and power. , D) To improve coordination and speed.</t>
  </si>
  <si>
    <t>A) To balance defense and offense effectively.</t>
  </si>
  <si>
    <t>In Thang-ta, a practitioner executes a sequence involving a low sweep followed by a high thrust with a spear. What is the primary benefit of this combination?</t>
  </si>
  <si>
    <t>A) To create a versatile offensive approach that targets multiple areas. , B) To practice traditional techniques. , C) To focus on defensive maneuvers. , D) To improve balance and agility.</t>
  </si>
  <si>
    <t>A) To create a versatile offensive approach that targets multiple areas.</t>
  </si>
  <si>
    <t>A Thang-ta practitioner performs a series of rapid strikes with a sword followed by a spinning kick. What is the main objective of incorporating the spinning kick into the sequence?</t>
  </si>
  <si>
    <t>A) To add an unexpected element to the offensive strategy. , B) To focus on traditional spinning techniques. , C) To improve strength and power. , D) To showcase balance and coordination.</t>
  </si>
  <si>
    <t>A) To add an unexpected element to the offensive strategy.</t>
  </si>
  <si>
    <t>During a Thang-ta competition, a participant uses a combination of forward lunges and diagonal cuts with a sword. What is the primary focus of this combination?</t>
  </si>
  <si>
    <t>A) To create an aggressive and unpredictable offensive approach. , B) To showcase traditional techniques. , C) To focus on defensive maneuvers. , D) To improve speed and agility.</t>
  </si>
  <si>
    <t>A) To create an aggressive and unpredictable offensive approach.</t>
  </si>
  <si>
    <t>In Thang-ta, a practitioner uses a series of high strikes followed by a low sweep with a spear. What is the main purpose of this combination?</t>
  </si>
  <si>
    <t>A) To target different areas of the opponent's defenses. , B) To demonstrate traditional spear techniques. , C) To practice defensive maneuvers. , D) To improve coordination and speed.</t>
  </si>
  <si>
    <t>A) To target different areas of the opponent's defenses.</t>
  </si>
  <si>
    <t>A Thang-ta practitioner performs a series of jabs and feints with a spear during a practice session. What is the main objective of incorporating feints into this sequence?</t>
  </si>
  <si>
    <t>A) To confuse the opponent and create openings for attacks. , B) To showcase traditional techniques. , C) To focus on defensive movements. , D) To improve speed and agility.</t>
  </si>
  <si>
    <t>A) To confuse the opponent and create openings for attacks.</t>
  </si>
  <si>
    <t>During a Thang-ta demonstration, a practitioner uses a combination of high kicks and low sweeps. What is the primary goal of using both high kicks and low sweeps?</t>
  </si>
  <si>
    <t>A) To create a versatile offensive strategy that is difficult to predict. , B) To showcase traditional kicking techniques. , C) To focus on strength and power. , D) To improve balance and agility.</t>
  </si>
  <si>
    <t>A) To create a versatile offensive strategy that is difficult to predict.</t>
  </si>
  <si>
    <t>In Thang-ta, a practitioner uses a series of diagonal strikes with a sword while moving in a circular pattern. What is the primary focus of this technique?</t>
  </si>
  <si>
    <t>A) To maintain a continuous offensive pressure while avoiding direct engagement. , B) To demonstrate traditional swordsmanship. , C) To practice defensive techniques. , D) To improve footwork and agility.</t>
  </si>
  <si>
    <t>A) To maintain a continuous offensive pressure while avoiding direct engagement.</t>
  </si>
  <si>
    <t>A Thang-ta practitioner executes a series of thrusts with alternating hands during a competition. What is the main objective of using alternating hand thrusts?</t>
  </si>
  <si>
    <t>A) To create a rapid and unpredictable offensive strategy. , B) To showcase traditional techniques. , C) To focus on defensive movements. , D) To improve coordination and speed.</t>
  </si>
  <si>
    <t>A) To create a rapid and unpredictable offensive strategy.</t>
  </si>
  <si>
    <t>During a Thang-ta training session, a practitioner uses a combination of forward lunges and spinning strikes with a spear. What is the primary benefit of this combination?</t>
  </si>
  <si>
    <t>A) To cover ground quickly while maintaining offensive pressure. , B) To focus on traditional lunging techniques. , C) To practice defensive maneuvers. , D) To improve strength and power.</t>
  </si>
  <si>
    <t>A) To cover ground quickly while maintaining offensive pressure.</t>
  </si>
  <si>
    <t>In Thang-ta, a practitioner performs a series of high strikes with a sword followed by a low thrust. What is the main purpose of this combination?</t>
  </si>
  <si>
    <t>A) To create an offensive approach that targets multiple areas. , B) To showcase traditional swordsmanship. , C) To focus on defensive maneuvers. , D) To improve speed and agility.</t>
  </si>
  <si>
    <t>A) To create an offensive approach that targets multiple areas.</t>
  </si>
  <si>
    <t>A Thang-ta practitioner uses a series of sweeping attacks followed by a backward step with a spear. What is the primary goal of the backward step?</t>
  </si>
  <si>
    <t>A) To avoid a potential counterattack while maintaining distance. , B) To focus on traditional movements. , C) To practice defensive techniques. , D) To improve balance and stability.</t>
  </si>
  <si>
    <t>A) To avoid a potential counterattack while maintaining distance.</t>
  </si>
  <si>
    <t>During a Thang-ta demonstration, a practitioner uses a combination of high thrusts and evasive footwork. What is the main objective of this combination?</t>
  </si>
  <si>
    <t>A) To maintain an aggressive offensive approach while avoiding direct counters. , B) To showcase traditional techniques. , C) To focus on defensive movements. , D) To improve speed and agility.</t>
  </si>
  <si>
    <t>A) To maintain an aggressive offensive approach while avoiding direct counters.</t>
  </si>
  <si>
    <t>In Thang-ta, a practitioner performs a series of diagonal cuts while retreating. What is the primary focus of this technique?</t>
  </si>
  <si>
    <t>A) To maintain an offensive presence while creating distance. , B) To demonstrate traditional swordsmanship. , C) To practice defensive maneuvers. , D) To improve footwork and coordination.</t>
  </si>
  <si>
    <t>A) To maintain an offensive presence while creating distance.</t>
  </si>
  <si>
    <t>A Thang-ta practitioner executes a series of quick parries followed by a low sweep with a spear. What is the main purpose of this combination?</t>
  </si>
  <si>
    <t>A) To deflect the opponent's attack and create an opening for a sweep. , B) To showcase traditional parrying techniques. , C) To focus on defensive movements. , D) To improve speed and agility.</t>
  </si>
  <si>
    <t>A) To deflect the opponent's attack and create an opening for a sweep.</t>
  </si>
  <si>
    <t>During a Thang-ta competition, a participant uses a combination of high strikes and spinning kicks. What is the primary goal of incorporating spinning kicks into this sequence?</t>
  </si>
  <si>
    <t>A) To add an unexpected and powerful offensive element. , B) To showcase traditional kicking techniques. , C) To focus on strength and power. , D) To improve balance and agility.</t>
  </si>
  <si>
    <t>A) To add an unexpected and powerful offensive element.</t>
  </si>
  <si>
    <t>In Thang-ta, a practitioner uses a series of quick jabs and lunges with a spear. What is the main objective of this combination?</t>
  </si>
  <si>
    <t>A) To create an aggressive and unpredictable offensive approach. , B) To practice traditional techniques. , C) To focus on defensive movements. , D) To improve speed and agility.</t>
  </si>
  <si>
    <t>A Thang-ta practitioner performs a series of high and low strikes using alternating hands during a training session. What is the primary benefit of using alternating hands in this sequence?</t>
  </si>
  <si>
    <t>A) To create a continuous and varied offensive pressure. , B) To focus on traditional techniques. , C) To practice defensive movements. , D) To improve coordination and speed.</t>
  </si>
  <si>
    <t>During a Thang-ta demonstration, a practitioner uses a shield to deflect an opponent's strike while preparing a counterattack. What is the main objective of this technique?</t>
  </si>
  <si>
    <t>In Thang-ta, a practitioner executes a series of thrusts with a spear while advancing toward the opponent. What is the primary focus of this technique?</t>
  </si>
  <si>
    <t>A) To maintain offensive pressure while closing the distance. , B) To demonstrate traditional spear techniques. , C) To focus on defensive maneuvers. , D) To improve speed and agility.</t>
  </si>
  <si>
    <t>A Thang-ta practitioner uses a combination of lunges and diagonal cuts with a sword during a practice session. What is the primary goal of this combination?</t>
  </si>
  <si>
    <t>A) To create an unpredictable and aggressive offensive approach. , B) To practice traditional lunging techniques. , C) To focus on defensive movements. , D) To improve footwork and agility.</t>
  </si>
  <si>
    <t>During a Thang-ta competition, a participant executes a series of quick strikes followed by a backward step with a spear. What is the main purpose of this backward step?</t>
  </si>
  <si>
    <t>In Thang-ta, a practitioner performs a series of high thrusts with alternating hands. What is the main benefit of using alternating hands in this sequence?</t>
  </si>
  <si>
    <t>A) To create a rapid and unpredictable offensive strategy. , B) To focus on traditional techniques. , C) To practice defensive movements. , D) To improve coordination and speed.</t>
  </si>
  <si>
    <t>A Thang-ta practitioner executes a combination of forward lunges and spinning strikes with a spear. What is the primary benefit of this combination?</t>
  </si>
  <si>
    <t>During a Thang-ta training session, a practitioner uses a combination of high strikes and low sweeps with a spear. What is the main objective of this combination?</t>
  </si>
  <si>
    <t>A) To target different areas of the opponent's defenses. , B) To demonstrate traditional techniques. , C) To focus on defensive maneuvers. , D) To improve coordination and speed.</t>
  </si>
  <si>
    <t>In Thang-ta, a practitioner uses a series of quick jabs and lunges during a competition. What is the primary goal of this combination?</t>
  </si>
  <si>
    <t>A) To create an aggressive and unpredictable offensive approach. , B) To showcase traditional techniques. , C) To focus on defensive movements. , D) To improve speed and agility.</t>
  </si>
  <si>
    <t>A Thang-ta practitioner performs a series of high and low strikes with a sword while advancing. What is the main purpose of this combination?</t>
  </si>
  <si>
    <t>A) To create an offensive approach that targets multiple areas. , B) To showcase traditional swordsmanship. , C) To focus on defensive maneuvers. , D) To improve footwork and coordination.</t>
  </si>
  <si>
    <t>During a Thang-ta competition, a participant uses a combination of sweeping attacks followed by a backward step. What is the main objective of the backward step?</t>
  </si>
  <si>
    <t>A) To avoid a potential counterattack while maintaining distance. , B) To showcase traditional techniques. , C) To focus on defensive movements. , D) To improve balance and stability.</t>
  </si>
  <si>
    <t>In Thang-ta, a practitioner uses a series of diagonal cuts while retreating during a practice session. What is the primary focus of this technique?</t>
  </si>
  <si>
    <t>A Thang-ta practitioner executes a combination of quick strikes and evasive footwork with a sword. What is the primary benefit of this combination?</t>
  </si>
  <si>
    <t>A) To create an aggressive offensive approach while avoiding direct counters. , B) To focus on traditional techniques. , C) To practice defensive movements. , D) To improve speed and agility.</t>
  </si>
  <si>
    <t>A) To create an aggressive offensive approach while avoiding direct counters.</t>
  </si>
  <si>
    <t>During a Thang-ta match, a practitioner executes a downward strike followed by a quick step back. What is the main purpose of the step back?</t>
  </si>
  <si>
    <t>A) To avoid a potential counterattack, , B) To showcase footwork techniques., , C) To prepare for another strike., , D) To confuse the opponent.</t>
  </si>
  <si>
    <t>A Thang-ta practitioner uses a circular motion with the sword to deflect an opponent's attack. What is the primary goal of this technique?</t>
  </si>
  <si>
    <t>A) To redirect the opponent's force., , B) To display advanced swordsmanship., , C) To set up a counterstrike., , D) To practice smooth movement.</t>
  </si>
  <si>
    <t>A) To redirect the opponent's force.</t>
  </si>
  <si>
    <t>In a Thang-ta practice session, a student executes a series of low cuts while shifting their stance. What is the main objective of this stance shift?</t>
  </si>
  <si>
    <t>A) To maintain balance and agility., , B) To increase the power of the cuts., , C) To confuse the opponent., , D) To prepare for a high attack.</t>
  </si>
  <si>
    <t>A) To maintain balance and agility.</t>
  </si>
  <si>
    <t>A practitioner in Thang-ta uses alternating thrusts with a spear while retreating. What is the main benefit of this technique?</t>
  </si>
  <si>
    <t>A) To keep the opponent at a distance., , B) To showcase spear handling skills., , C) To switch to a defensive stance., , D) To distract the opponent.</t>
  </si>
  <si>
    <t>A) To keep the opponent at a distance.</t>
  </si>
  <si>
    <t>During a Thang-ta demonstration, a practitioner uses a high block followed by a spinning strike. What is the main purpose of the spinning strike?</t>
  </si>
  <si>
    <t>A) To add power and momentum to the attack., , B) To display advanced skills., , C) To improve speed and coordination., , D) To confuse the opponent.</t>
  </si>
  <si>
    <t>A) To add power and momentum to the attack.</t>
  </si>
  <si>
    <t>In Thang-ta, a practitioner executes a series of high and low strikes while circling around the opponent. What is the primary goal of this movement?</t>
  </si>
  <si>
    <t>A) To find openings in the opponent's defense., , B) To showcase footwork., , C) To practice defensive movements., , D) To create a distraction.</t>
  </si>
  <si>
    <t>A) To find openings in the opponent's defense.</t>
  </si>
  <si>
    <t>A Thang-ta practitioner uses a quick side step to evade an incoming attack. What is the main purpose of this side step?</t>
  </si>
  <si>
    <t>A) To avoid the opponent's strike., , B) To showcase agility., , C) To prepare for a counterattack., , D) To practice footwork.</t>
  </si>
  <si>
    <t>A) To avoid the opponent's strike.</t>
  </si>
  <si>
    <t>During a Thang-ta sparring session, a participant uses a series of thrusts with a sword while advancing. What is the primary focus of this technique?</t>
  </si>
  <si>
    <t>A) To maintain offensive pressure., , B) To showcase sword skills., , C) To practice accuracy., , D) To improve speed.</t>
  </si>
  <si>
    <t>A) To maintain offensive pressure.</t>
  </si>
  <si>
    <t>A Thang-ta practitioner performs a series of diagonal cuts followed by a sudden lunge. What is the main objective of the lunge?</t>
  </si>
  <si>
    <t>A) To close the distance rapidly., , B) To showcase precision., , C) To create an opening for attack., , D) To confuse the opponent.</t>
  </si>
  <si>
    <t>A) To close the distance rapidly.</t>
  </si>
  <si>
    <t>In Thang-ta, a practitioner uses a sweeping attack with a spear to target the opponent's legs. What is the primary goal of this attack?</t>
  </si>
  <si>
    <t>A) To disrupt the opponent's balance., , B) To showcase spear techniques., , C) To prepare for a high strike., , D) To practice timing.</t>
  </si>
  <si>
    <t>A) To disrupt the opponent's balance.</t>
  </si>
  <si>
    <t>During a Thang-ta practice drill, a student performs a series of upward slashes with alternating hands. What is the main benefit of alternating hands in this drill?</t>
  </si>
  <si>
    <t>A) To create an unpredictable offensive., , B) To improve hand coordination., , C) To showcase versatility., , D) To confuse the opponent.</t>
  </si>
  <si>
    <t>A) To create an unpredictable offensive.</t>
  </si>
  <si>
    <t>A Thang-ta practitioner uses a low sweep with a spear followed by a quick thrust. What is the primary purpose of the quick thrust?</t>
  </si>
  <si>
    <t>A) To capitalize on the opponent's lowered guard., , B) To showcase speed., , C) To improve accuracy., , D) To create a distraction.</t>
  </si>
  <si>
    <t>A) To capitalize on the opponent's lowered guard.</t>
  </si>
  <si>
    <t>In a Thang-ta sparring match, a participant uses a series of high blocks followed by a sudden step-in with a strike. What is the main objective of stepping in?</t>
  </si>
  <si>
    <t>A) To close the gap for an effective strike., , B) To showcase footwork., , C) To practice timing., , D) To create a defensive posture.</t>
  </si>
  <si>
    <t>A) To close the gap for an effective strike.</t>
  </si>
  <si>
    <t>A practitioner in Thang-ta uses a sequence of quick jabs while retreating. What is the main benefit of this retreating motion?</t>
  </si>
  <si>
    <t>A) To maintain defensive positioning., , B) To showcase agility., , C) To practice footwork., , D) To confuse the opponent.</t>
  </si>
  <si>
    <t>A) To maintain defensive positioning.</t>
  </si>
  <si>
    <t>During a Thang-ta demonstration, a practitioner uses a spinning strike with a sword followed by a downward slash. What is the main purpose of the spinning strike?</t>
  </si>
  <si>
    <t>A) To build momentum for the downward slash., , B) To showcase skill., , C) To distract the opponent., , D) To improve balance.</t>
  </si>
  <si>
    <t>A) To build momentum for the downward slash.</t>
  </si>
  <si>
    <t>In Thang-ta, a practitioner executes a series of low thrusts while advancing on the opponent. What is the primary goal of this advance?</t>
  </si>
  <si>
    <t>A) To apply constant pressure., , B) To showcase offensive skills., , C) To practice accuracy., , D) To confuse the opponent.</t>
  </si>
  <si>
    <t>A) To apply constant pressure.</t>
  </si>
  <si>
    <t>A Thang-ta practitioner uses a series of quick upward cuts with a sword while sidestepping. What is the main objective of the sidestepping motion?</t>
  </si>
  <si>
    <t>A) To create an unpredictable angle of attack., , B) To showcase footwork., , C) To practice agility., , D) To confuse the opponent.</t>
  </si>
  <si>
    <t>A) To create an unpredictable angle of attack.</t>
  </si>
  <si>
    <t>During a Thang-ta sparring session, a participant performs a high block followed by a downward strike. What is the primary purpose of the downward strike?</t>
  </si>
  <si>
    <t>A) To take advantage of the opponent's exposed area., , B) To showcase defensive skills., , C) To practice timing., , D) To create a distraction.</t>
  </si>
  <si>
    <t>A) To take advantage of the opponent's exposed area.</t>
  </si>
  <si>
    <t>In a Thang-ta match, a practitioner uses a quick retreat followed by a sudden forward lunge with a spear. What is the main benefit of the sudden lunge?</t>
  </si>
  <si>
    <t>A) To surprise the opponent., , B) To showcase speed., , C) To improve timing., , D) To create a defensive posture.</t>
  </si>
  <si>
    <t>A) To surprise the opponent.</t>
  </si>
  <si>
    <t>A Thang-ta practitioner executes a combination of high strikes and low sweeps with a sword. What is the main goal of this combination?</t>
  </si>
  <si>
    <t>A) To attack the opponent from multiple levels., , B) To showcase swordsmanship., , C) To practice coordination., , D) To confuse the opponent.</t>
  </si>
  <si>
    <t>A) To attack the opponent from multiple levels.</t>
  </si>
  <si>
    <t>During a Thang-ta training session, a student practices a series of circular parries followed by a quick jab. What is the primary purpose of the jab?</t>
  </si>
  <si>
    <t>A) To exploit the opening created by the parries., , B) To showcase offensive skills., , C) To improve accuracy., , D) To confuse the opponent.</t>
  </si>
  <si>
    <t>A) To exploit the opening created by the parries.</t>
  </si>
  <si>
    <t>In Thang-ta, a practitioner uses a spear to perform a series of feints before executing a thrust. What is the main objective of the feints?</t>
  </si>
  <si>
    <t>A) To mislead the opponent's defenses., , B) To showcase spear handling., , C) To practice timing., , D) To create a distraction.</t>
  </si>
  <si>
    <t>A) To mislead the opponent's defenses.</t>
  </si>
  <si>
    <t>A Thang-ta practitioner executes a quick side step followed by a horizontal slash. What is the primary benefit of the side step?</t>
  </si>
  <si>
    <t>A) To avoid the opponent's attack and create an angle., , B) To showcase agility., , C) To prepare for a counter., , D) To confuse the opponent.</t>
  </si>
  <si>
    <t>A) To avoid the opponent's attack and create an angle.</t>
  </si>
  <si>
    <t>During a Thang-ta sparring match, a participant uses a sequence of low thrusts and quick retreats. What is the main purpose of the quick retreats?</t>
  </si>
  <si>
    <t>A) To maintain distance and avoid counters., , B) To showcase footwork., , C) To prepare for another attack., , D) To confuse the opponent.</t>
  </si>
  <si>
    <t>A) To maintain distance and avoid counters.</t>
  </si>
  <si>
    <t>In Thang-ta, a practitioner uses a spinning kick followed by a downward strike with a sword. What is the main objective of the spinning kick?</t>
  </si>
  <si>
    <t>A) To create an opening for the downward strike., , B) To showcase advanced techniques., , C) To improve speed., , D) To confuse the opponent.</t>
  </si>
  <si>
    <t>A) To create an opening for the downward strike.</t>
  </si>
  <si>
    <t>A Thang-ta practitioner performs a series of upward thrusts with a spear while advancing. What is the primary goal of this advancing motion?</t>
  </si>
  <si>
    <t>A) To maintain offensive momentum., , B) To showcase spear skills., , C) To practice timing., , D) To create a distraction.</t>
  </si>
  <si>
    <t>A) To maintain offensive momentum.</t>
  </si>
  <si>
    <t>During a Thang-ta demonstration, a practitioner uses a combination of high blocks and quick strikes. What is the main purpose of the quick strikes?</t>
  </si>
  <si>
    <t>A) To take advantage of openings created by the blocks., , B) To showcase offensive skills., , C) To practice coordination., , D) To confuse the opponent.</t>
  </si>
  <si>
    <t>A) To take advantage of openings created by the blocks.</t>
  </si>
  <si>
    <t>In Thang-ta, a practitioner executes a series of high thrusts followed by a sudden downward cut. What is the primary objective of the downward cut?</t>
  </si>
  <si>
    <t>A) To target the opponent's lower body., , B) To showcase versatility., , C) To practice accuracy., , D) To create a distraction.</t>
  </si>
  <si>
    <t>A) To target the opponent's lower body.</t>
  </si>
  <si>
    <t>A Thang-ta practitioner uses a quick sidestep to avoid an incoming strike, followed by a counterattack. What is the main purpose of the counterattack?</t>
  </si>
  <si>
    <t>A) To take advantage of the opponent's exposed side., , B) To showcase speed., , C) To improve timing., , D) To create a distraction.</t>
  </si>
  <si>
    <t>A) To take advantage of the opponent's exposed side.</t>
  </si>
  <si>
    <t>During a Thang-ta sparring session, a participant performs a series of diagonal slashes while retreating. What is the primary goal of the retreat?</t>
  </si>
  <si>
    <t>A) To maintain a safe distance., , B) To showcase footwork., , C) To practice defensive movement., , D) To confuse the opponent.</t>
  </si>
  <si>
    <t>A) To maintain a safe distance.</t>
  </si>
  <si>
    <t>In Thang-ta, a practitioner uses a sweeping strike with a sword followed by a quick jab. What is the main benefit of the jab?</t>
  </si>
  <si>
    <t>A) To exploit the opening created by the sweep., , B) To showcase offensive skills., , C) To practice accuracy., , D) To confuse the opponent.</t>
  </si>
  <si>
    <t>A) To exploit the opening created by the sweep.</t>
  </si>
  <si>
    <t>A Thang-ta practitioner executes a series of quick thrusts with a spear while maintaining a defensive stance. What is the primary purpose of maintaining this stance?</t>
  </si>
  <si>
    <t>A) To protect against counterattacks., , B) To showcase spear handling., , C) To practice timing., , D) To create a distraction.</t>
  </si>
  <si>
    <t>A) To protect against counterattacks.</t>
  </si>
  <si>
    <t>During a Thang-ta demonstration, a practitioner performs a combination of upward cuts and spinning strikes. What is the main objective of the spinning strikes?</t>
  </si>
  <si>
    <t>A) To add power and momentum., , B) To showcase skill., , C) To confuse the opponent., , D) To improve balance.</t>
  </si>
  <si>
    <t>A) To add power and momentum.</t>
  </si>
  <si>
    <t>In Thang-ta, a practitioner uses a quick step-in followed by a downward strike with a sword. What is the primary goal of the step-in?</t>
  </si>
  <si>
    <t>A) To close the gap for an effective attack., , B) To showcase footwork., , C) To practice timing., , D) To confuse the opponent.</t>
  </si>
  <si>
    <t>A) To close the gap for an effective attack.</t>
  </si>
  <si>
    <t>A Thang-ta practitioner performs a series of quick slashes followed by a sudden retreat. What is the main purpose of the retreat?</t>
  </si>
  <si>
    <t>A) To avoid a potential counterattack., , B) To showcase agility., , C) To prepare for another strike., , D) To confuse the opponent.</t>
  </si>
  <si>
    <t>During a Thang-ta sparring match, a participant uses a sequence of alternating thrusts with a spear. What is the primary benefit of alternating thrusts?</t>
  </si>
  <si>
    <t>A) To create an unpredictable offensive., , B) To showcase spear skills., , C) To practice coordination., , D) To confuse the opponent.</t>
  </si>
  <si>
    <t>In Thang-ta, a practitioner executes a spinning strike followed by a downward cut with a sword. What is the main purpose of the downward cut?</t>
  </si>
  <si>
    <t>A) To take advantage of the momentum from the spin., , B) To showcase advanced techniques., , C) To improve accuracy., , D) To create a distraction.</t>
  </si>
  <si>
    <t>A) To take advantage of the momentum from the spin.</t>
  </si>
  <si>
    <t>A Thang-ta practitioner uses a quick side step to evade an attack, followed by a low thrust with a spear. What is the primary objective of the low thrust?</t>
  </si>
  <si>
    <t>A) To target the opponent's lower body., , B) To showcase spear handling., , C) To practice timing., , D) To confuse the opponent.</t>
  </si>
  <si>
    <t>During a Thang-ta practice session, a student performs a series of horizontal slashes while shifting stances. What is the main benefit of shifting stances in this drill?</t>
  </si>
  <si>
    <t>A) To maintain balance and adjust to the opponent's movements., , B) To showcase versatility., , C) To practice agility., , D) To confuse the opponent.</t>
  </si>
  <si>
    <t>A) To maintain balance and adjust to the opponent's movements.</t>
  </si>
  <si>
    <t>In Thang-ta, a practitioner uses a combination of high blocks and quick jabs with a spear. What is the primary goal of the quick jabs?</t>
  </si>
  <si>
    <t>A) To take advantage of openings created by the blocks., , B) To showcase offensive skills., , C) To practice accuracy., , D) To confuse the opponent.</t>
  </si>
  <si>
    <t>A Thang-ta practitioner executes a series of low thrusts followed by a sudden high cut. What is the main objective of the high cut?</t>
  </si>
  <si>
    <t>A) To catch the opponent off guard., , B) To showcase versatility., , C) To practice accuracy., , D) To create a distraction.</t>
  </si>
  <si>
    <t>A) To catch the opponent off guard.</t>
  </si>
  <si>
    <t>During a Thang-ta sparring session, a participant uses a series of quick sidesteps followed by a lunge. What is the primary benefit of the lunge?</t>
  </si>
  <si>
    <t>A) To close the distance rapidly., , B) To showcase agility., , C) To improve timing., , D) To confuse the opponent.</t>
  </si>
  <si>
    <t>In Thang-ta, a practitioner performs a spinning strike with a sword followed by a downward thrust. What is the main purpose of the downward thrust?</t>
  </si>
  <si>
    <t>A Thang-ta practitioner uses a quick step-in with a spear followed by a sweeping strike. What is the primary objective of the sweeping strike?</t>
  </si>
  <si>
    <t>A) To target the opponent's legs and disrupt balance., , B) To showcase spear handling., , C) To practice timing., , D) To confuse the opponent.</t>
  </si>
  <si>
    <t>A) To target the opponent's legs and disrupt balance.</t>
  </si>
  <si>
    <t>During a Thang-ta demonstration, a practitioner performs a series of upward thrusts followed by a horizontal cut. What is the main benefit of the horizontal cut?</t>
  </si>
  <si>
    <t>A) To take advantage of openings created by the upward thrusts., , B) To showcase versatility., , C) To practice accuracy., , D) To create a distraction.</t>
  </si>
  <si>
    <t>A) To take advantage of openings created by the upward thrusts.</t>
  </si>
  <si>
    <t>In Thang-ta, a practitioner uses a quick side step followed by a downward slash with a sword. What is the primary goal of the side step?</t>
  </si>
  <si>
    <t>A) To avoid the opponent's attack and create an angle for a counterattack., , B) To showcase footwork., , C) To practice timing., , D) To confuse the opponent.</t>
  </si>
  <si>
    <t>A) To avoid the opponent's attack and create an angle for a counterattack.</t>
  </si>
  <si>
    <t>A Thang-ta practitioner performs a series of low thrusts while advancing towards the opponent. What is the main purpose of the advancing motion?</t>
  </si>
  <si>
    <t>A) To maintain offensive pressure and close the distance., , B) To showcase aggression., , C) To practice coordination., , D) To confuse the opponent.</t>
  </si>
  <si>
    <t>A) To maintain offensive pressure and close the distance.</t>
  </si>
  <si>
    <t>During a Thang-ta sparring match, a participant uses a sequence of alternating cuts with a sword. What is the primary benefit of alternating cuts?</t>
  </si>
  <si>
    <t>A) To create an unpredictable offensive pattern., , B) To showcase sword handling., , C) To practice coordination., , D) To confuse the opponent.</t>
  </si>
  <si>
    <t>A) To create an unpredictable offensive pattern.</t>
  </si>
  <si>
    <t>In Thang-ta, a practitioner executes a spinning strike followed by a quick retreat. What is the main purpose of the retreat?</t>
  </si>
  <si>
    <t>A Thang-ta practitioner uses a quick step-in with a spear followed by a downward thrust. What is the primary objective of the downward thrust?</t>
  </si>
  <si>
    <t>A) To target the opponent's upper body., , B) To showcase spear skills., , C) To practice accuracy., , D) To create a distraction.</t>
  </si>
  <si>
    <t>A) To target the opponent's upper body.</t>
  </si>
  <si>
    <t>During a Thang-ta practice session, a student performs a combination of low blocks and high slashes. What is the main benefit of this combination?</t>
  </si>
  <si>
    <t>A) To protect against low attacks while preparing for a high counterattack., , B) To showcase versatility., , C) To practice coordination., , D) To confuse the opponent.</t>
  </si>
  <si>
    <t>A) To protect against low attacks while preparing for a high counterattack.</t>
  </si>
  <si>
    <t>In Thang-ta, a practitioner uses a quick sidestep followed by a lunge with a sword. What is the primary goal of the lunge?</t>
  </si>
  <si>
    <t>A) To close the distance rapidly and strike the opponent., , B) To showcase speed., , C) To improve timing., , D) To create a distraction.</t>
  </si>
  <si>
    <t>A) To close the distance rapidly and strike the opponent.</t>
  </si>
  <si>
    <t>A Thang-ta practitioner executes a series of high thrusts followed by a sudden low sweep with a spear. What is the main objective of the low sweep?</t>
  </si>
  <si>
    <t>A) To target the opponent's legs and disrupt balance., , B) To showcase versatility., , C) To practice accuracy., , D) To create a distraction.</t>
  </si>
  <si>
    <t>During a Thang-ta demonstration, a practitioner performs a series of downward cuts while advancing. What is the primary goal of the advancing motion?</t>
  </si>
  <si>
    <t>A) To maintain offensive momentum and pressure., , B) To showcase aggression., , C) To practice coordination., , D) To confuse the opponent.</t>
  </si>
  <si>
    <t>A) To maintain offensive momentum and pressure.</t>
  </si>
  <si>
    <t>In Thang-ta, a practitioner uses a spinning strike followed by a horizontal slash with a sword. What is the main purpose of the horizontal slash?</t>
  </si>
  <si>
    <t>A Thang-ta practitioner uses a quick side step to evade an incoming attack, followed by a low thrust with a sword. What is the primary objective of the low thrust?</t>
  </si>
  <si>
    <t>A) To target the opponent's lower body and create an opening., , B) To showcase sword handling., , C) To practice timing., , D) To confuse the opponent.</t>
  </si>
  <si>
    <t>A) To target the opponent's lower body and create an opening.</t>
  </si>
  <si>
    <t>A) To create an unpredictable offensive pattern., , B) To showcase spear handling., , C) To practice coordination., , D) To confuse the opponent.</t>
  </si>
  <si>
    <t>In Thang-ta, a practitioner performs a spinning strike with a sword followed by a downward cut. What is the main purpose of the downward cut?</t>
  </si>
  <si>
    <t>A Thang-ta practitioner uses a feint with a sword to draw the opponent into a defensive position. What is the main purpose of the feint?</t>
  </si>
  <si>
    <t>A) To deceive the opponent and create an opening for a real attack., B) To showcase speed., C) To practice agility., D) To create a distraction.</t>
  </si>
  <si>
    <t>A) To deceive the opponent and create an opening for a real attack.</t>
  </si>
  <si>
    <t>During a Thang-ta practice, a student employs a low block followed by an upward cut with a sword. What is the primary objective of the upward cut?</t>
  </si>
  <si>
    <t>A) To counter the opponent's high attack., B) To showcase strength., C) To improve flexibility., D) To distract the opponent.</t>
  </si>
  <si>
    <t>A) To counter the opponent's high attack.</t>
  </si>
  <si>
    <t>In a Thang-ta sparring session, a participant performs a series of diagonal slashes. What is the main benefit of diagonal slashes?</t>
  </si>
  <si>
    <t>A) To create difficult angles for the opponent to defend., B) To showcase skill., C) To practice coordination., D) To confuse the opponent.</t>
  </si>
  <si>
    <t>A) To create difficult angles for the opponent to defend.</t>
  </si>
  <si>
    <t>A Thang-ta practitioner quickly switches between a sword and a spear during a demonstration. What is the primary goal of this weapon switching?</t>
  </si>
  <si>
    <t>A) To adapt to changing combat situations., B) To showcase versatility., C) To practice weapon handling., D) To confuse the opponent.</t>
  </si>
  <si>
    <t>A) To adapt to changing combat situations.</t>
  </si>
  <si>
    <t>During Thang-ta training, a practitioner performs a high thrust with a spear followed by a low sweep. What is the main purpose of the low sweep?</t>
  </si>
  <si>
    <t>A) To target the opponent's legs and disrupt their balance., B) To showcase skill., C) To practice precision., D) To distract the opponent.</t>
  </si>
  <si>
    <t>A) To target the opponent's legs and disrupt their balance.</t>
  </si>
  <si>
    <t>In a Thang-ta drill, a student practices a series of quick, successive thrusts with a sword. What is the primary benefit of this practice?</t>
  </si>
  <si>
    <t>A) To develop speed and accuracy in thrusts., B) To showcase aggression., C) To improve strength., D) To create confusion.</t>
  </si>
  <si>
    <t>A) To develop speed and accuracy in thrusts.</t>
  </si>
  <si>
    <t>A Thang-ta practitioner performs a spinning strike with a spear followed by a quick lunge. What is the primary objective of the lunge?</t>
  </si>
  <si>
    <t>A) To quickly close the distance and deliver a strike., B) To showcase agility., C) To practice coordination., D) To distract the opponent.</t>
  </si>
  <si>
    <t>A) To quickly close the distance and deliver a strike.</t>
  </si>
  <si>
    <t>During a Thang-ta performance, a practitioner uses a series of rapid upward cuts. What is the main purpose of these upward cuts?</t>
  </si>
  <si>
    <t>A) To target the opponent's upper body and force them into a defensive position., B) To showcase speed., C) To practice accuracy., D) To confuse the opponent.</t>
  </si>
  <si>
    <t>A) To target the opponent's upper body and force them into a defensive position.</t>
  </si>
  <si>
    <t>In Thang-ta, a practitioner uses a backward step followed by a thrust with a sword. What is the main benefit of the backward step?</t>
  </si>
  <si>
    <t>A) To create distance and set up for a counterattack., B) To showcase footwork., C) To practice agility., D) To confuse the opponent.</t>
  </si>
  <si>
    <t>A) To create distance and set up for a counterattack.</t>
  </si>
  <si>
    <t>A Thang-ta student practices alternating high and low strikes with a spear. What is the primary goal of alternating these strikes?</t>
  </si>
  <si>
    <t>A) To keep the opponent guessing and create openings., B) To showcase skill., C) To improve coordination., D) To create a distraction.</t>
  </si>
  <si>
    <t>A) To keep the opponent guessing and create openings.</t>
  </si>
  <si>
    <t>During Thang-ta training, a practitioner performs a downward cut with a sword followed by a quick retreat. What is the purpose of the retreat?</t>
  </si>
  <si>
    <t>A) To avoid a potential counterattack and reset the stance., B) To showcase speed., C) To practice precision., D) To distract the opponent.</t>
  </si>
  <si>
    <t>A) To avoid a potential counterattack and reset the stance.</t>
  </si>
  <si>
    <t>In a Thang-ta demonstration, a practitioner uses a feint with a spear followed by a real thrust. What is the main benefit of the feint?</t>
  </si>
  <si>
    <t>A) To deceive the opponent and create an opening., B) To showcase skill., C) To practice timing., D) To create confusion.</t>
  </si>
  <si>
    <t>A) To deceive the opponent and create an opening.</t>
  </si>
  <si>
    <t>A Thang-ta practitioner uses a sidestep to avoid an attack and immediately counters with an upward slash. What is the primary goal of the sidestep?</t>
  </si>
  <si>
    <t>A) To evade the opponent's attack and create an angle for countering., B) To showcase footwork., C) To practice coordination., D) To confuse the opponent.</t>
  </si>
  <si>
    <t>A) To evade the opponent's attack and create an angle for countering.</t>
  </si>
  <si>
    <t>During a Thang-ta match, a participant performs a series of low sweeps with a spear. What is the primary purpose of low sweeps?</t>
  </si>
  <si>
    <t>A) To target the opponent's legs and disrupt their balance., B) To showcase spear handling., C) To practice timing., D) To confuse the opponent.</t>
  </si>
  <si>
    <t>In Thang-ta practice, a student executes a spinning strike with a sword followed by a downward thrust. What is the main benefit of the downward thrust?</t>
  </si>
  <si>
    <t>A) To take advantage of the momentum from the spin., B) To showcase strength., C) To improve accuracy., D) To create a distraction.</t>
  </si>
  <si>
    <t>A Thang-ta practitioner performs a quick parry with a sword followed by a counter thrust. What is the main objective of the parry?</t>
  </si>
  <si>
    <t>A) To deflect the opponent's attack and create an opening for a counter., B) To showcase sword handling., C) To practice coordination., D) To confuse the opponent.</t>
  </si>
  <si>
    <t>A) To deflect the opponent's attack and create an opening for a counter.</t>
  </si>
  <si>
    <t>During a Thang-ta performance, a practitioner uses a series of rapid jabs with a spear. What is the primary purpose of the jabs?</t>
  </si>
  <si>
    <t>A) To keep the opponent at a distance and create offensive pressure., B) To showcase speed., C) To practice accuracy., D) To confuse the opponent.</t>
  </si>
  <si>
    <t>A) To keep the opponent at a distance and create offensive pressure.</t>
  </si>
  <si>
    <t>In Thang-ta, a practitioner executes a quick sidestep followed by a diagonal cut with a sword. What is the primary goal of the sidestep?</t>
  </si>
  <si>
    <t>A) To evade the opponent's attack and create an opening for a diagonal cut., B) To showcase footwork., C) To practice timing., D) To confuse the opponent.</t>
  </si>
  <si>
    <t>A) To evade the opponent's attack and create an opening for a diagonal cut.</t>
  </si>
  <si>
    <t>A Thang-ta student practices alternating high and low thrusts with a spear. What is the primary goal of alternating thrusts?</t>
  </si>
  <si>
    <t>A) To create an unpredictable offensive pattern., B) To showcase skill., C) To practice coordination., D) To create a distraction.</t>
  </si>
  <si>
    <t>During Thang-ta training, a practitioner performs a spinning strike with a sword followed by a retreat. What is the purpose of the retreat?</t>
  </si>
  <si>
    <t>A) To avoid a potential counterattack and reset., B) To showcase agility., C) To practice precision., D) To create confusion.</t>
  </si>
  <si>
    <t>A) To avoid a potential counterattack and reset.</t>
  </si>
  <si>
    <t>In Thang-ta practice, a student executes a downward cut followed by a horizontal slash. What is the main purpose of the horizontal slash?</t>
  </si>
  <si>
    <t>A) To target the opponent after forcing them into a defensive position., B) To showcase strength., C) To practice accuracy., D) To distract the opponent.</t>
  </si>
  <si>
    <t>A) To target the opponent after forcing them into a defensive position.</t>
  </si>
  <si>
    <t>A Thang-ta practitioner uses a quick upward thrust followed by a horizontal slash. What is the purpose of the horizontal slash after the upward thrust?</t>
  </si>
  <si>
    <t>A) To capitalize on the opponent's reaction to the upward thrust and create an opening., B) To showcase versatility., C) To practice strength., D) To confuse the opponent.</t>
  </si>
  <si>
    <t>A) To capitalize on the opponent's reaction to the upward thrust and create an opening.</t>
  </si>
  <si>
    <t>During Thang-ta practice, a student performs a series of rapid diagonal strikes. What is the main benefit of practicing these diagonal strikes?</t>
  </si>
  <si>
    <t>A) To develop fluidity and speed in attack patterns., B) To showcase precision., C) To practice agility., D) To create a distraction.</t>
  </si>
  <si>
    <t>A) To develop fluidity and speed in attack patterns.</t>
  </si>
  <si>
    <t>In a Thang-ta demonstration, a practitioner executes a low sweep followed by a high thrust. What is the purpose of the high thrust after the sweep?</t>
  </si>
  <si>
    <t>A) To exploit the opponent’s lowered guard from the sweep., B) To showcase skill., C) To practice timing., D) To confuse the opponent.</t>
  </si>
  <si>
    <t>A) To exploit the opponent’s lowered guard from the sweep.</t>
  </si>
  <si>
    <t>A Thang-ta practitioner uses a quick retreat followed by a forward lunge with a spear. What is the main benefit of the retreat before the lunge?</t>
  </si>
  <si>
    <t>A) To create distance and then close it rapidly for an attack., B) To showcase agility., C) To practice accuracy., D) To distract the opponent.</t>
  </si>
  <si>
    <t>A) To create distance and then close it rapidly for an attack.</t>
  </si>
  <si>
    <t>During a Thang-ta match, a participant performs a sidestep followed by a spinning strike. What is the primary goal of the sidestep?</t>
  </si>
  <si>
    <t>A) To evade the opponent's attack and create a new angle for the spinning strike., B) To showcase footwork., C) To practice precision., D) To confuse the opponent.</t>
  </si>
  <si>
    <t>A) To evade the opponent's attack and create a new angle for the spinning strike.</t>
  </si>
  <si>
    <t>In Thang-ta, a practitioner performs a series of rapid jabs with a sword. What is the main purpose of these jabs?</t>
  </si>
  <si>
    <t>A) To overwhelm the opponent and create openings., B) To showcase speed., C) To practice precision., D) To create confusion.</t>
  </si>
  <si>
    <t>A) To overwhelm the opponent and create openings.</t>
  </si>
  <si>
    <t>A Thang-ta student executes a low block followed by an upward cut with a sword. What is the purpose of the upward cut following the block?</t>
  </si>
  <si>
    <t>A) To exploit the opponent's lowered stance from the block and initiate a counterattack., B) To showcase skill., C) To practice strength., D) To distract the opponent.</t>
  </si>
  <si>
    <t>A) To exploit the opponent's lowered stance from the block and initiate a counterattack.</t>
  </si>
  <si>
    <t>During a Thang-ta performance, a practitioner uses a series of low thrusts with a spear. What is the primary benefit of low thrusts?</t>
  </si>
  <si>
    <t>A) To target the opponent's lower body and disrupt their balance., B) To showcase spear handling., C) To practice timing., D) To confuse the opponent.</t>
  </si>
  <si>
    <t>A) To target the opponent's lower body and disrupt their balance.</t>
  </si>
  <si>
    <t>In Thang-ta, a practitioner performs a series of quick diagonal cuts with a sword. What is the main benefit of practicing diagonal cuts?</t>
  </si>
  <si>
    <t>A) To develop the ability to attack from various angles and create openings., B) To showcase agility., C) To practice precision., D) To create confusion.</t>
  </si>
  <si>
    <t>A) To develop the ability to attack from various angles and create openings.</t>
  </si>
  <si>
    <t>A Thang-ta practitioner performs a low block and immediately follows with a high thrust. What is the primary goal of this combination?</t>
  </si>
  <si>
    <t>A) To defend against low attacks and transition quickly to a high offensive move., B) To showcase skill., C) To practice strength., D) To confuse the opponent.</t>
  </si>
  <si>
    <t>A) To defend against low attacks and transition quickly to a high offensive move.</t>
  </si>
  <si>
    <t>During Thang-ta training, a student uses a series of rapid upward slashes with a sword. What is the main purpose of these upward slashes?</t>
  </si>
  <si>
    <t>A) To create pressure on the opponent's upper body and force them into a defensive position., B) To showcase speed., C) To practice precision., D) To confuse the opponent.</t>
  </si>
  <si>
    <t>A) To create pressure on the opponent's upper body and force them into a defensive position.</t>
  </si>
  <si>
    <t>In a Thang-ta match, a participant executes a sidestep and then a quick thrust with a spear. What is the main benefit of the sidestep before the thrust?</t>
  </si>
  <si>
    <t>A) To evade an attack and position oneself for a more effective thrust., B) To showcase footwork., C) To practice timing., D) To create a distraction.</t>
  </si>
  <si>
    <t>A) To evade an attack and position oneself for a more effective thrust.</t>
  </si>
  <si>
    <t>A Thang-ta practitioner performs a series of low sweeps with a spear. What is the primary objective of these sweeps?</t>
  </si>
  <si>
    <t>A) To disrupt the opponent's balance and target their legs., B) To showcase spear handling., C) To practice timing., D) To confuse the opponent.</t>
  </si>
  <si>
    <t>A) To disrupt the opponent's balance and target their legs.</t>
  </si>
  <si>
    <t>During a Thang-ta demonstration, a practitioner uses a spinning strike followed by a high thrust. What is the purpose of the spinning strike?</t>
  </si>
  <si>
    <t>A) To generate momentum for the subsequent high thrust., B) To showcase agility., C) To practice precision., D) To create a distraction.</t>
  </si>
  <si>
    <t>A) To generate momentum for the subsequent high thrust.</t>
  </si>
  <si>
    <t>In Thang-ta, a practitioner performs a quick parry with a sword and then a diagonal cut. What is the main objective of the diagonal cut following the parry?</t>
  </si>
  <si>
    <t>A) To capitalize on the opening created by the parry and attack from an angle., B) To showcase skill., C) To practice strength., D) To confuse the opponent.</t>
  </si>
  <si>
    <t>A) To capitalize on the opening created by the parry and attack from an angle.</t>
  </si>
  <si>
    <t>A Thang-ta student uses a high block and then follows with a low sweep. What is the benefit of performing the high block before the low sweep?</t>
  </si>
  <si>
    <t>A) To defend against high attacks and create an opportunity to target the opponent's lower body., B) To showcase skill., C) To practice timing., D) To confuse the opponent.</t>
  </si>
  <si>
    <t>A) To defend against high attacks and create an opportunity to target the opponent's lower body.</t>
  </si>
  <si>
    <t>During Thang-ta training, a practitioner performs a quick retreat and then a forward lunge with a sword. What is the purpose of the retreat before the lunge?</t>
  </si>
  <si>
    <t>A) To create space and then close it rapidly for an effective attack., B) To showcase agility., C) To practice precision., D) To create a distraction.</t>
  </si>
  <si>
    <t>A) To create space and then close it rapidly for an effective attack.</t>
  </si>
  <si>
    <t>In a Thang-ta match, a participant performs a series of high thrusts with a spear. What is the main objective of practicing high thrusts?</t>
  </si>
  <si>
    <t>A) To target the opponent’s upper body and force them into a defensive stance., B) To showcase skill., C) To practice precision., D) To confuse the opponent.</t>
  </si>
  <si>
    <t>A) To target the opponent’s upper body and force them into a defensive stance.</t>
  </si>
  <si>
    <t>A Thang-ta practitioner performs a series of quick downward cuts with a sword. What is the primary benefit of these downward cuts?</t>
  </si>
  <si>
    <t>A) To develop a strong offensive approach by targeting the opponent from above., B) To showcase strength., C) To practice agility., D) To create confusion.</t>
  </si>
  <si>
    <t>A) To develop a strong offensive approach by targeting the opponent from above.</t>
  </si>
  <si>
    <t>During a Thang-ta performance, a student uses a sidestep followed by a horizontal slash. What is the main benefit of the sidestep before the horizontal slash?</t>
  </si>
  <si>
    <t>A) To evade an attack and create a new angle for the horizontal slash., B) To showcase footwork., C) To practice timing., D) To confuse the opponent.</t>
  </si>
  <si>
    <t>A) To evade an attack and create a new angle for the horizontal slash.</t>
  </si>
  <si>
    <t>In Thang-ta, a practitioner performs a low thrust followed by a quick retreat. What is the purpose of the retreat after the thrust?</t>
  </si>
  <si>
    <t>A) To avoid counterattacks and reassess positioning., B) To showcase agility., C) To practice precision., D) To create confusion.</t>
  </si>
  <si>
    <t>A) To avoid counterattacks and reassess positioning.</t>
  </si>
  <si>
    <t>A Thang-ta student performs a series of rapid diagonal thrusts with a spear. What is the primary benefit of these diagonal thrusts?</t>
  </si>
  <si>
    <t>A) To target the opponent from various angles and create openings., B) To showcase spear handling., C) To practice speed., D) To confuse the opponent.</t>
  </si>
  <si>
    <t>A) To target the opponent from various angles and create openings.</t>
  </si>
  <si>
    <t>During Thang-ta training, a practitioner executes a high block followed by a spinning strike with a sword. What is the benefit of the spinning strike after the block?</t>
  </si>
  <si>
    <t>A) To use the momentum from the spin to enhance the impact of the strike., B) To showcase skill., C) To practice precision., D) To create a distraction.</t>
  </si>
  <si>
    <t>A) To use the momentum from the spin to enhance the impact of the strike.</t>
  </si>
  <si>
    <t>In a Thang-ta match, a participant uses a series of low cuts followed by a high thrust. What is the main purpose of the high thrust after the low cuts?</t>
  </si>
  <si>
    <t>A) To capitalize on the opponent's lowered guard and create an opening for a high attack., B) To showcase skill., C) To practice timing., D) To confuse the opponent.</t>
  </si>
  <si>
    <t>A) To capitalize on the opponent's lowered guard and create an opening for a high attack.</t>
  </si>
  <si>
    <t>A Thang-ta practitioner performs a quick sidestep and then a low sweep with a sword. What is the primary goal of the sidestep before the low sweep?</t>
  </si>
  <si>
    <t>A) To avoid the opponent’s attack and position oneself for a more effective sweep., B) To showcase footwork., C) To practice precision., D) To create confusion.</t>
  </si>
  <si>
    <t>A) To avoid the opponent’s attack and position oneself for a more effective sweep.</t>
  </si>
  <si>
    <t>During Thang-ta practice, a student uses a series of rapid high thrusts. What is the main benefit of these high thrusts?</t>
  </si>
  <si>
    <t>A) To apply continuous pressure on the opponent’s upper body and force them into a defensive stance., B) To showcase skill., C) To practice timing., D) To create a distraction.</t>
  </si>
  <si>
    <t>A) To apply continuous pressure on the opponent’s upper body and force them into a defensive stance.</t>
  </si>
  <si>
    <t>In Thang-ta, a practitioner performs a low block and then a high cut. What is the benefit of the high cut following the block?</t>
  </si>
  <si>
    <t>A) To transition from defense to offense and target the opponent’s upper body., B) To showcase skill., C) To practice strength., D) To confuse the opponent.</t>
  </si>
  <si>
    <t>A) To transition from defense to offense and target the opponent’s upper body.</t>
  </si>
  <si>
    <t>A Thang-ta student executes a quick retreat and then a diagonal cut. What is the purpose of the retreat before the cut?</t>
  </si>
  <si>
    <t>A) To create space and then close in for a more effective attack., B) To showcase agility., C) To practice timing., D) To create a distraction.</t>
  </si>
  <si>
    <t>A) To create space and then close in for a more effective attack.</t>
  </si>
  <si>
    <t>During a Thang-ta performance, a practitioner uses a series of low thrusts followed by a high block. What is the benefit of the high block after the thrusts?</t>
  </si>
  <si>
    <t>A) To defend against potential counterattacks and secure a defensive position., B) To showcase skill., C) To practice timing., D) To confuse the opponent.</t>
  </si>
  <si>
    <t>A) To defend against potential counterattacks and secure a defensive position.</t>
  </si>
  <si>
    <t>In a Thang-ta match, a participant performs a spinning strike and then a series of rapid jabs. What is the main goal of the spinning strike before the jabs?</t>
  </si>
  <si>
    <t>A) To generate momentum and create openings for the subsequent jabs., B) To showcase agility., C) To practice precision., D) To create a distraction.</t>
  </si>
  <si>
    <t>A) To generate momentum and create openings for the subsequent jabs.</t>
  </si>
  <si>
    <t>A Thang-ta practitioner performs a series of high cuts followed by a low block. What is the purpose of the low block after the high cuts?</t>
  </si>
  <si>
    <t>A) To transition from offensive strikes to defensive protection., B) To showcase skill., C) To practice timing., D) To confuse the opponent.</t>
  </si>
  <si>
    <t>A) To transition from offensive strikes to defensive protection.</t>
  </si>
  <si>
    <t>During Thang-ta training, a student executes a high thrust with a spear and then a quick sidestep. What is the benefit of the sidestep after the thrust?</t>
  </si>
  <si>
    <t>A) To avoid potential counterattacks and reposition for further attacks., B) To showcase footwork., C) To practice timing., D) To create a distraction.</t>
  </si>
  <si>
    <t>A) To avoid potential counterattacks and reposition for further attacks.</t>
  </si>
  <si>
    <t>In Thang-ta, a practitioner performs a series of diagonal slashes with a sword. What is the primary goal of these diagonal slashes?</t>
  </si>
  <si>
    <t>A) To attack from various angles and create openings in the opponent's defense., B) To showcase skill., C) To practice precision., D) To create confusion.</t>
  </si>
  <si>
    <t>A) To attack from various angles and create openings in the opponent's defense.</t>
  </si>
  <si>
    <t>A Thang-ta student performs a low sweep followed by a high thrust. What is the main benefit of the low sweep before the high thrust?</t>
  </si>
  <si>
    <t>A) To disrupt the opponent’s balance and create an opportunity for a high attack., B) To showcase skill., C) To practice timing., D) To confuse the opponent.</t>
  </si>
  <si>
    <t>A) To disrupt the opponent’s balance and create an opportunity for a high attack.</t>
  </si>
  <si>
    <t>During Thang-ta practice, a practitioner uses a series of quick high thrusts with a spear. What is the benefit of focusing on high thrusts?</t>
  </si>
  <si>
    <t>A) To put pressure on the opponent’s upper body and force a defensive response., B) To showcase speed., C) To practice precision., D) To create confusion.</t>
  </si>
  <si>
    <t>A) To put pressure on the opponent’s upper body and force a defensive response.</t>
  </si>
  <si>
    <t>In a Thang-ta match, a participant performs a series of rapid downward strikes. What is the purpose of these downward strikes?</t>
  </si>
  <si>
    <t>A) To apply pressure from above and force the opponent into a defensive position., B) To showcase strength., C) To practice agility., D) To create a distraction.</t>
  </si>
  <si>
    <t>A) To apply pressure from above and force the opponent into a defensive position.</t>
  </si>
  <si>
    <t>A Thang-ta practitioner performs a quick parry followed by a high cut. What is the benefit of the high cut after the parry?</t>
  </si>
  <si>
    <t>A) To capitalize on the opening created by the parry and launch an effective high attack., B) To showcase skill., C) To practice timing., D) To confuse the opponent.</t>
  </si>
  <si>
    <t>A) To capitalize on the opening created by the parry and launch an effective high attack.</t>
  </si>
  <si>
    <t>During a Thang-ta demonstration, a student uses a sidestep followed by a high thrust. What is the main benefit of the sidestep before the high thrust?</t>
  </si>
  <si>
    <t>A) To avoid the opponent's attack and create a better angle for the thrust., B) To showcase footwork., C) To practice precision., D) To create a distraction.</t>
  </si>
  <si>
    <t>A) To avoid the opponent's attack and create a better angle for the thrust.</t>
  </si>
  <si>
    <t>In Thang-ta, a practitioner performs a low block and then a quick diagonal cut. What is the primary goal of the diagonal cut following the block?</t>
  </si>
  <si>
    <t>A) To transition from defense to offense and attack from an angle., B) To showcase skill., C) To practice timing., D) To confuse the opponent.</t>
  </si>
  <si>
    <t>A) To transition from defense to offense and attack from an angle.</t>
  </si>
  <si>
    <t>A Thang-ta student executes a high block followed by a quick retreat and then a low thrust. What is the purpose of the high block before the retreat?</t>
  </si>
  <si>
    <t>A) To defend against high attacks and create space for a counterattack., B) To showcase skill., C) To practice timing., D) To confuse the opponent.</t>
  </si>
  <si>
    <t>A) To defend against high attacks and create space for a counterattack.</t>
  </si>
  <si>
    <t>During Thang-ta training, a practitioner performs a series of rapid thrusts with a spear. What is the main benefit of these thrusts?</t>
  </si>
  <si>
    <t>A) To apply continuous pressure on the opponent and create openings., B) To showcase speed., C) To practice precision., D) To create confusion.</t>
  </si>
  <si>
    <t>A) To apply continuous pressure on the opponent and create openings.</t>
  </si>
  <si>
    <t>In a Thang-ta match, a participant uses a series of high cuts followed by a low sweep. What is the main purpose of the low sweep after the high cuts?</t>
  </si>
  <si>
    <t>A) To capitalize on the opponent’s high guard and attack their lower body., B) To showcase skill., C) To practice timing., D) To confuse the opponent.</t>
  </si>
  <si>
    <t>A) To capitalize on the opponent’s high guard and attack their lower body.</t>
  </si>
  <si>
    <t>A Thang-ta practitioner performs a spinning strike and then a quick retreat. What is the benefit of the retreat after the spinning strike?</t>
  </si>
  <si>
    <t>A) To avoid counterattacks and reassess positioning., B) To showcase agility., C) To practice timing., D) To create a distraction.</t>
  </si>
  <si>
    <t>During Thang-ta practice, a student performs a series of rapid upward slashes. What is the primary goal of these upward slashes?</t>
  </si>
  <si>
    <t>A) To attack from above and create openings in the opponent’s defense., B) To showcase speed., C) To practice precision., D) To confuse the opponent.</t>
  </si>
  <si>
    <t>A) To attack from above and create openings in the opponent’s defense.</t>
  </si>
  <si>
    <t>In Thang-ta, a practitioner performs a low sweep and then a high thrust. What is the purpose of the low sweep before the high thrust?</t>
  </si>
  <si>
    <t>A) To disrupt the opponent’s balance and create an opening for a high attack., B) To showcase skill., C) To practice timing., D) To confuse the opponent.</t>
  </si>
  <si>
    <t>A) To disrupt the opponent’s balance and create an opening for a high attack.</t>
  </si>
  <si>
    <t>A Thang-ta student uses a series of rapid diagonal cuts with a sword. What is the main benefit of these diagonal cuts?</t>
  </si>
  <si>
    <t>A) To attack from different angles and create multiple openings., B) To showcase skill., C) To practice precision., D) To create confusion.</t>
  </si>
  <si>
    <t>A) To attack from different angles and create multiple openings.</t>
  </si>
  <si>
    <t>During a Thang-ta demonstration, a practitioner performs a high thrust followed by a low block. What is the benefit of the low block after the high thrust?</t>
  </si>
  <si>
    <t>A) To defend against counterattacks and secure a defensive position., B) To showcase skill., C) To practice timing., D) To confuse the opponent.</t>
  </si>
  <si>
    <t>A) To defend against counterattacks and secure a defensive position.</t>
  </si>
  <si>
    <t>In Thang-ta, a practitioner performs a quick sidestep and then a horizontal slash. What is the primary goal of the sidestep before the horizontal slash?</t>
  </si>
  <si>
    <t>A) To avoid the opponent's attack and position for a more effective horizontal slash., B) To showcase footwork., C) To practice timing., D) To create confusion.</t>
  </si>
  <si>
    <t>A) To avoid the opponent's attack and position for a more effective horizontal slash.</t>
  </si>
  <si>
    <t>A Thang-ta student executes a series of low thrusts with a spear. What is the main objective of these low thrusts?</t>
  </si>
  <si>
    <t>A) To target the opponent’s lower body and disrupt their balance., B) To showcase spear handling., C) To practice precision., D) To create confusion.</t>
  </si>
  <si>
    <t>A) To target the opponent’s lower body and disrupt their balance.</t>
  </si>
  <si>
    <t>During a Thang-ta performance, a practitioner uses a spinning strike followed by a quick thrust. What is the main benefit of the spinning strike before the thrust?</t>
  </si>
  <si>
    <t>A) To generate momentum for a more effective thrust., B) To showcase agility., C) To practice precision., D) To create confusion.</t>
  </si>
  <si>
    <t>A) To generate momentum for a more effective thrust.</t>
  </si>
  <si>
    <t>In Thang-ta, a practitioner performs a low block followed by a high cut. What is the main purpose of the high cut after the block?</t>
  </si>
  <si>
    <t>A) To transition from defense to offense and attack the opponent’s upper body., B) To showcase skill., C) To practice timing., D) To confuse the opponent.</t>
  </si>
  <si>
    <t>A) To transition from defense to offense and attack the opponent’s upper body.</t>
  </si>
  <si>
    <t>A Thang-ta student performs a series of high thrusts and then a quick sidestep. What is the purpose of the sidestep after the high thrusts?</t>
  </si>
  <si>
    <t>A) To avoid potential counterattacks and reposition for further attacks., B) To showcase footwork., C) To practice timing., D) To create confusion.</t>
  </si>
  <si>
    <t>During Thang-ta training, a practitioner performs a series of rapid downward strikes with a sword. What is the benefit of focusing on downward strikes?</t>
  </si>
  <si>
    <t>A) To apply pressure from above and force the opponent into a defensive stance., B) To showcase strength., C) To practice agility., D) To create confusion.</t>
  </si>
  <si>
    <t>A) To apply pressure from above and force the opponent into a defensive stance.</t>
  </si>
  <si>
    <t>In a Thang-ta match, a participant performs a series of diagonal slashes with a sword. What is the main goal of these diagonal slashes?</t>
  </si>
  <si>
    <t>A) To attack from different angles and create multiple openings in the opponent’s defense., B) To showcase skill., C) To practice timing., D) To confuse the opponent.</t>
  </si>
  <si>
    <t>A) To attack from different angles and create multiple openings in the opponent’s defense.</t>
  </si>
  <si>
    <t>A Thang-ta practitioner executes a low sweep followed by a high thrust. What is the benefit of performing the low sweep before the high thrust?</t>
  </si>
  <si>
    <t>A) To disrupt the opponent’s balance and create an opening for a high attack., B) To showcase skill., C) To practice precision., D) To confuse the opponent.</t>
  </si>
  <si>
    <t>During Thang-ta practice, a student uses a quick sidestep and then a diagonal cut. What is the primary benefit of the sidestep before the cut?</t>
  </si>
  <si>
    <t>A) To avoid the opponent's attack and position oneself for a more effective diagonal cut., B) To showcase footwork., C) To practice timing., D) To create confusion.</t>
  </si>
  <si>
    <t>A) To avoid the opponent's attack and position oneself for a more effective diagonal cut.</t>
  </si>
  <si>
    <t>In Thang-ta, a practitioner performs a high thrust followed by a quick retreat. What is the main benefit of the retreat after the thrust?</t>
  </si>
  <si>
    <t>A) To avoid counterattacks and reposition for further attacks., B) To showcase agility., C) To practice timing., D) To create confusion.</t>
  </si>
  <si>
    <t>A) To avoid counterattacks and reposition for further attacks.</t>
  </si>
  <si>
    <t>A Thang-ta student performs a series of rapid upward slashes with a sword. What is the primary goal of these upward slashes?</t>
  </si>
  <si>
    <t>A) To attack from above and create openings in the opponent’s defense., B) To showcase speed., C) To practice precision., D) To create confusion.</t>
  </si>
  <si>
    <t>During a Thang-ta demonstration, a practitioner uses a series of high thrusts followed by a low block. What is the purpose of the low block after the high thrusts?</t>
  </si>
  <si>
    <t>In Thang-ta, a practitioner performs a spinning strike and then a quick diagonal cut. What is the main benefit of the spinning strike before the diagonal cut?</t>
  </si>
  <si>
    <t>A) To generate momentum and create openings for the subsequent diagonal cut., B) To showcase agility., C) To practice precision., D) To confuse the opponent.</t>
  </si>
  <si>
    <t>A) To generate momentum and create openings for the subsequent diagonal cut.</t>
  </si>
  <si>
    <t>A Thang-ta practitioner performs a low sweep and then a series of rapid high thrusts. What is the purpose of the high thrusts following the sweep?</t>
  </si>
  <si>
    <t>A) To capitalize on the opponent’s disrupted balance and attack their upper body., B) To showcase skill., C) To practice timing., D) To create confusion.</t>
  </si>
  <si>
    <t>A) To capitalize on the opponent’s disrupted balance and attack their upper body.</t>
  </si>
  <si>
    <t>A Thang-ta practitioner performs a low block followed by a high thrust. What is the purpose of the high thrust after the block?</t>
  </si>
  <si>
    <t>A) To capitalize on the opponent's lowered guard and attack from above., B) To showcase skill., C) To practice timing., D) To confuse the opponent.</t>
  </si>
  <si>
    <t>A) To capitalize on the opponent's lowered guard and attack from above.</t>
  </si>
  <si>
    <t>During a Thang-ta match, a student uses a series of rapid downward slashes. What is the primary benefit of these downward slashes?</t>
  </si>
  <si>
    <t>A) To apply pressure from above and force the opponent into a defensive stance., B) To showcase strength., C) To practice speed., D) To create confusion.</t>
  </si>
  <si>
    <t>A Thang-ta practitioner performs a series of rapid high thrusts with a spear. What is the main objective of these high thrusts?</t>
  </si>
  <si>
    <t>A) To continuously pressure the opponent’s upper body and force them into a defensive position., B) To showcase speed., C) To practice precision., D) To create confusion.</t>
  </si>
  <si>
    <t>A) To continuously pressure the opponent’s upper body and force them into a defensive position.</t>
  </si>
  <si>
    <t>In Thang-ta, a practitioner performs a spinning strike followed by a low block. What is the benefit of the low block after the spinning strike?</t>
  </si>
  <si>
    <t>A) To defend against potential counterattacks and secure a defensive position., B) To showcase agility., C) To practice timing., D) To create confusion.</t>
  </si>
  <si>
    <t>A Thang-ta student executes a high block and then a quick diagonal cut. What is the primary goal of the diagonal cut following the block?</t>
  </si>
  <si>
    <t>During a Thang-ta performance, a practitioner performs a series of rapid high cuts. What is the main benefit of these high cuts?</t>
  </si>
  <si>
    <t>A) To apply continuous pressure on the opponent’s upper body and create openings., B) To showcase skill., C) To practice speed., D) To confuse the opponent.</t>
  </si>
  <si>
    <t>A) To apply continuous pressure on the opponent’s upper body and create openings.</t>
  </si>
  <si>
    <t>In Thang-ta, a practitioner performs a low sweep followed by a quick high thrust. What is the purpose of the low sweep before the high thrust?</t>
  </si>
  <si>
    <t>A) To disrupt the opponent’s balance and create an opening for the high thrust., B) To showcase skill., C) To practice timing., D) To confuse the opponent.</t>
  </si>
  <si>
    <t>A) To disrupt the opponent’s balance and create an opening for the high thrust.</t>
  </si>
  <si>
    <t>A Thang-ta practitioner uses a series of rapid diagonal thrusts with a spear. What is the main objective of these diagonal thrusts?</t>
  </si>
  <si>
    <t>A) To target the opponent from various angles and create multiple openings., B) To showcase spear handling., C) To practice precision., D) To create confusion.</t>
  </si>
  <si>
    <t>A) To target the opponent from various angles and create multiple openings.</t>
  </si>
  <si>
    <t>During Thang-ta training, a student performs a quick sidestep followed by a high cut. What is the primary benefit of the sidestep before the cut?</t>
  </si>
  <si>
    <t>A) To avoid the opponent's attack and position for a more effective high cut., B) To showcase footwork., C) To practice precision., D) To create confusion.</t>
  </si>
  <si>
    <t>A) To avoid the opponent's attack and position for a more effective high cut.</t>
  </si>
  <si>
    <t>In Thang-ta, a practitioner performs a high thrust followed by a low sweep. What is the purpose of the low sweep after the high thrust?</t>
  </si>
  <si>
    <t>A) To capitalize on the opponent’s high guard and attack their lower body., B) To showcase skill., C) To practice timing., D) To create confusion.</t>
  </si>
  <si>
    <t>A Thang-ta student performs a series of rapid diagonal cuts with a sword. What is the benefit of these diagonal cuts?</t>
  </si>
  <si>
    <t>A) To attack from different angles and create multiple openings in the opponent’s defense., B) To showcase skill., C) To practice speed., D) To create confusion.</t>
  </si>
  <si>
    <t>During a Thang-ta demonstration, a practitioner performs a low block and then a quick diagonal cut. What is the purpose of the diagonal cut following the block?</t>
  </si>
  <si>
    <t>In Thang-ta, a practitioner performs a quick retreat followed by a high thrust. What is the primary benefit of the retreat before the thrust?</t>
  </si>
  <si>
    <t>A) To create distance and then close in for a more effective high thrust., B) To showcase agility., C) To practice timing., D) To create confusion.</t>
  </si>
  <si>
    <t>A) To create distance and then close in for a more effective high thrust.</t>
  </si>
  <si>
    <t>A Thang-ta student executes a spinning strike followed by a low block. What is the main benefit of the low block after the spinning strike?</t>
  </si>
  <si>
    <t>During Thang-ta practice, a practitioner performs a series of rapid high thrusts. What is the primary goal of these high thrusts?</t>
  </si>
  <si>
    <t>A) To continuously pressure the opponent’s upper body and force them into a defensive stance., B) To showcase speed., C) To practice precision., D) To create confusion.</t>
  </si>
  <si>
    <t>A) To continuously pressure the opponent’s upper body and force them into a defensive stance.</t>
  </si>
  <si>
    <t>In a Thang-ta match, a participant performs a high cut followed by a low sweep. What is the purpose of the low sweep after the high cut?</t>
  </si>
  <si>
    <t>A Thang-ta practitioner performs a series of diagonal slashes with a sword. What is the main benefit of these diagonal slashes?</t>
  </si>
  <si>
    <t>A) To attack from various angles and create openings in the opponent’s defense., B) To showcase skill., C) To practice precision., D) To create confusion.</t>
  </si>
  <si>
    <t>A) To attack from various angles and create openings in the opponent’s defense.</t>
  </si>
  <si>
    <t>During a Thang-ta performance, a student executes a series of rapid downward thrusts. What is the purpose of these downward thrusts?</t>
  </si>
  <si>
    <t>A) To apply pressure from above and force the opponent into a defensive position., B) To showcase speed., C) To practice strength., D) To create confusion.</t>
  </si>
  <si>
    <t>In Thang-ta, a practitioner performs a low sweep followed by a high cut. What is the primary goal of the high cut after the low sweep?</t>
  </si>
  <si>
    <t>A Thang-ta student performs a high block followed by a low thrust. What is the benefit of the low thrust after the high block?</t>
  </si>
  <si>
    <t>A) To transition from defense to offense and attack the opponent’s lower body., B) To showcase skill., C) To practice timing., D) To confuse the opponent.</t>
  </si>
  <si>
    <t>A) To transition from defense to offense and attack the opponent’s lower body.</t>
  </si>
  <si>
    <t>During Thang-ta practice, a practitioner performs a series of rapid diagonal thrusts. What is the primary goal of these diagonal thrusts?</t>
  </si>
  <si>
    <t>A) To target the opponent from various angles and create openings., B) To showcase spear handling., C) To practice precision., D) To create confusion.</t>
  </si>
  <si>
    <t>In a Thang-ta match, a participant performs a high thrust followed by a low sweep. What is the main benefit of the low sweep after the high thrust?</t>
  </si>
  <si>
    <t>A) To disrupt the opponent’s balance and create an opening for a low attack., B) To showcase skill., C) To practice timing., D) To create confusion.</t>
  </si>
  <si>
    <t>A) To disrupt the opponent’s balance and create an opening for a low attack.</t>
  </si>
  <si>
    <t>A Thang-ta practitioner uses a series of rapid upward slashes with a sword. What is the benefit of focusing on these upward slashes?</t>
  </si>
  <si>
    <t>A) To attack from above and create multiple openings in the opponent’s defense., B) To showcase speed., C) To practice precision., D) To create confusion.</t>
  </si>
  <si>
    <t>A) To attack from above and create multiple openings in the opponent’s defense.</t>
  </si>
  <si>
    <t>During Thang-ta training, a student performs a low block followed by a high thrust. What is the purpose of the high thrust following the low block?</t>
  </si>
  <si>
    <t>A) To transition from defense to offense and target the opponent’s upper body., B) To showcase skill., C) To practice timing., D) To create confusion.</t>
  </si>
  <si>
    <t>In Thang-ta, a practitioner performs a quick sidestep and then a horizontal cut. What is the primary goal of the sidestep before the cut?</t>
  </si>
  <si>
    <t>A) To avoid the opponent's attack and position for a more effective horizontal cut., B) To showcase footwork., C) To practice timing., D) To create confusion.</t>
  </si>
  <si>
    <t>A) To avoid the opponent's attack and position for a more effective horizontal cut.</t>
  </si>
  <si>
    <t>A Thang-ta student executes a series of rapid diagonal slashes with a sword. What is the main objective of these diagonal slashes?</t>
  </si>
  <si>
    <t>A) To attack from different angles and create multiple openings., B) To showcase skill., C) To practice speed., D) To create confusion.</t>
  </si>
  <si>
    <t>During a Thang-ta match, a participant performs a high cut followed by a low thrust. What is the benefit of the low thrust after the high cut?</t>
  </si>
  <si>
    <t>A) To target the opponent’s lower body after they have been forced to defend against the high cut., B) To showcase skill., C) To practice timing., D) To create confusion.</t>
  </si>
  <si>
    <t>A) To target the opponent’s lower body after they have been forced to defend against the high cut.</t>
  </si>
  <si>
    <t>In Thang-ta, a practitioner performs a series of rapid high thrusts followed by a low block. What is the primary purpose of the low block after the high thrusts?</t>
  </si>
  <si>
    <t>A) To defend against counterattacks and secure a defensive position., B) To showcase skill., C) To practice timing., D) To create confusion.</t>
  </si>
  <si>
    <t>A Thang-ta practitioner uses a quick sidestep followed by a diagonal cut. What is the main goal of the sidestep before the diagonal cut?</t>
  </si>
  <si>
    <t>A) To avoid the opponent’s attack and position oneself for a more effective diagonal cut., B) To showcase footwork., C) To practice timing., D) To create confusion.</t>
  </si>
  <si>
    <t>A) To avoid the opponent’s attack and position oneself for a more effective diagonal cut.</t>
  </si>
  <si>
    <t>During Thang-ta practice, a student performs a series of rapid downward thrusts with a spear. What is the benefit of these downward thrusts?</t>
  </si>
  <si>
    <t>A) To apply pressure from above and disrupt the opponent’s balance., B) To showcase spear handling., C) To practice strength., D) To create confusion.</t>
  </si>
  <si>
    <t>A) To apply pressure from above and disrupt the opponent’s balance.</t>
  </si>
  <si>
    <t>In a Thang-ta demonstration, a practitioner performs a spinning strike followed by a low cut. What is the purpose of the low cut after the spinning strike?</t>
  </si>
  <si>
    <t>A) To capitalize on the opponent’s disrupted balance and attack from a lower angle., B) To showcase agility., C) To practice timing., D) To create confusion.</t>
  </si>
  <si>
    <t>A) To capitalize on the opponent’s disrupted balance and attack from a lower angle.</t>
  </si>
  <si>
    <t>A Thang-ta student performs a series of high cuts and then a quick retreat. What is the primary benefit of the retreat after the high cuts?</t>
  </si>
  <si>
    <t>A) To avoid counterattacks and reassess positioning for further attacks., B) To showcase agility., C) To practice timing., D) To create confusion.</t>
  </si>
  <si>
    <t>A) To avoid counterattacks and reassess positioning for further attacks.</t>
  </si>
  <si>
    <t>During a Thang-ta match, a participant performs a high thrust followed by a quick sidestep. What is the purpose of the sidestep after the thrust?</t>
  </si>
  <si>
    <t>In Thang-ta, a practitioner performs a low sweep followed by a high block. What is the benefit of the high block after the low sweep?</t>
  </si>
  <si>
    <t>A) To transition from offense to defense and secure a defensive position., B) To showcase skill., C) To practice timing., D) To create confusion.</t>
  </si>
  <si>
    <t>A) To transition from offense to defense and secure a defensive position.</t>
  </si>
  <si>
    <t>A Thang-ta practitioner executes a series of rapid high cuts with a sword. What is the primary objective of these high cuts?</t>
  </si>
  <si>
    <t>A) To apply continuous pressure on the opponent’s upper body and force them into a defensive stance., B) To showcase skill., C) To practice speed., D) To create confusion.</t>
  </si>
  <si>
    <t>During a Thang-ta demonstration, a student performs a quick retreat followed by a diagonal cut. What is the main benefit of the retreat before the cut?</t>
  </si>
  <si>
    <t>A) To create distance and then attack from a more advantageous position., B) To showcase agility., C) To practice timing., D) To create confusion.</t>
  </si>
  <si>
    <t>A) To create distance and then attack from a more advantageous position.</t>
  </si>
  <si>
    <t>In Thang-ta, a practitioner performs a spinning strike followed by a high thrust. What is the benefit of the high thrust after the spinning strike?</t>
  </si>
  <si>
    <t>A) To generate momentum and create a powerful attack., B) To showcase agility., C) To practice precision., D) To create confusion.</t>
  </si>
  <si>
    <t>A) To generate momentum and create a powerful attack.</t>
  </si>
  <si>
    <t>A Thang-ta student uses a series of rapid diagonal slashes with a sword. What is the main objective of these diagonal slashes?</t>
  </si>
  <si>
    <t>A) To attack from various angles and create multiple openings in the opponent’s defense., B) To showcase skill., C) To practice speed., D) To create confusion.</t>
  </si>
  <si>
    <t>A) To attack from various angles and create multiple openings in the opponent’s defense.</t>
  </si>
  <si>
    <t>During a Thang-ta practice session, a practitioner performs a series of low thrusts followed by a high cut. What is the purpose of the high cut after the low thrusts?</t>
  </si>
  <si>
    <t>A) To capitalize on the opponent’s disrupted lower guard and attack from above., B) To showcase skill., C) To practice timing., D) To create confusion.</t>
  </si>
  <si>
    <t>A) To capitalize on the opponent’s disrupted lower guard and attack from above.</t>
  </si>
  <si>
    <t>In a Thang-ta match, a participant performs a high block followed by a diagonal thrust. What is the purpose of the diagonal thrust after the high block?</t>
  </si>
  <si>
    <t>A Thang-ta practitioner performs a low sweep followed by a series of high thrusts. What is the benefit of the high thrusts after the low sweep?</t>
  </si>
  <si>
    <t>A) To exploit the opponent’s disrupted balance and attack their upper body., B) To showcase skill., C) To practice timing., D) To create confusion.</t>
  </si>
  <si>
    <t>A) To exploit the opponent’s disrupted balance and attack their upper body.</t>
  </si>
  <si>
    <t>During Thang-ta training, a student uses a series of rapid upward slashes. What is the main benefit of these upward slashes?</t>
  </si>
  <si>
    <t>In Thang-ta, a practitioner performs a high cut followed by a low block. What is the purpose of the low block after the high cut?</t>
  </si>
  <si>
    <t>A Thang-ta student executes a quick sidestep followed by a high thrust. What is the benefit of the sidestep before the thrust?</t>
  </si>
  <si>
    <t>A) To avoid the opponent’s attack and position for a more effective high thrust., B) To showcase footwork., C) To practice timing., D) To create confusion.</t>
  </si>
  <si>
    <t>A) To avoid the opponent’s attack and position for a more effective high thrust.</t>
  </si>
  <si>
    <t>During a Thang-ta demonstration, a practitioner performs a series of rapid high thrusts. What is the primary goal of these high thrusts?</t>
  </si>
  <si>
    <t>A) To apply continuous pressure on the opponent’s upper body and force them into a defensive stance., B) To showcase speed., C) To practice precision., D) To create confusion.</t>
  </si>
  <si>
    <t>In Thang-ta, a practitioner performs a low block followed by a quick diagonal cut. What is the main benefit of the diagonal cut following the block?</t>
  </si>
  <si>
    <t>A Thang-ta student uses a series of rapid diagonal thrusts with a spear. What is the main objective of these diagonal thrusts?</t>
  </si>
  <si>
    <t>During a Thang-ta match, a participant performs a high cut followed by a low sweep. What is the purpose of the low sweep after the high cut?</t>
  </si>
  <si>
    <t>In Thang-ta, a practitioner performs a series of rapid downward thrusts with a spear. What is the benefit of these downward thrusts?</t>
  </si>
  <si>
    <t>A Thang-ta student performs a low sweep followed by a high thrust. What is the primary goal of the high thrust after the low sweep?</t>
  </si>
  <si>
    <t>A) To capitalize on the opponent’s disrupted balance and attack from above., B) To showcase skill., C) To practice timing., D) To confuse the opponent.</t>
  </si>
  <si>
    <t>A) To capitalize on the opponent’s disrupted balance and attack from above.</t>
  </si>
  <si>
    <t>During Thang-ta practice, a practitioner performs a high block followed by a diagonal cut. What is the main benefit of the diagonal cut after the high block?</t>
  </si>
  <si>
    <t>In a Thang-ta match, a participant performs a series of rapid high cuts with a sword. What is the primary benefit of these high cuts?</t>
  </si>
  <si>
    <t>A Thang-ta practitioner uses a quick sidestep followed by a diagonal cut. What is the purpose of the sidestep before the diagonal cut?</t>
  </si>
  <si>
    <t>A) To avoid the opponent’s attack and position for a more effective diagonal cut., B) To showcase footwork., C) To practice timing., D) To create confusion.</t>
  </si>
  <si>
    <t>A) To avoid the opponent’s attack and position for a more effective diagonal cut.</t>
  </si>
  <si>
    <t>During Thang-ta training, a student performs a low sweep followed by a high block. What is the main benefit of the high block after the low sweep?</t>
  </si>
  <si>
    <t>In a Thang-ta demonstration, a practitioner performs a series of rapid upward slashes. What is the primary objective of these upward slashes?</t>
  </si>
  <si>
    <t>A Thang-ta student executes a quick retreat followed by a high thrust. What is the benefit of the retreat before the thrust?</t>
  </si>
  <si>
    <t>During a Thang-ta match, a participant performs a high cut followed by a low block. What is the purpose of the low block after the high cut?</t>
  </si>
  <si>
    <t>In Thang-ta, a practitioner performs a series of rapid diagonal thrusts with a spear. What is the benefit of these diagonal thrusts?</t>
  </si>
  <si>
    <t>A Thang-ta student uses a quick sidestep followed by a high cut. What is the main benefit of the sidestep before the high cut?</t>
  </si>
  <si>
    <t>A) To avoid the opponent’s attack and position for a more effective high cut., B) To showcase footwork., C) To practice timing., D) To create confusion.</t>
  </si>
  <si>
    <t>A) To avoid the opponent’s attack and position for a more effective high cut.</t>
  </si>
  <si>
    <t>During Thang-ta practice, a practitioner performs a low sweep followed by a high thrust. What is the purpose of the high thrust after the low sweep?</t>
  </si>
  <si>
    <t>A) To capitalize on the opponent’s disrupted balance and attack from above., B) To showcase skill., C) To practice timing., D) To create confusion.</t>
  </si>
  <si>
    <t>In a Thang-ta match, a participant performs a series of rapid high thrusts. What is the main goal of these high thrusts?</t>
  </si>
  <si>
    <t>A Thang-ta practitioner performs a high block followed by a low thrust. What is the benefit of the low thrust after the high block?</t>
  </si>
  <si>
    <t>A) To transition from defense to offense and attack the opponent’s lower body., B) To showcase skill., C) To practice timing., D) To create confusion.</t>
  </si>
  <si>
    <t>During Thang-ta training, a student performs a quick retreat followed by a diagonal cut. What is the main benefit of the retreat before the cut?</t>
  </si>
  <si>
    <t>In Thang-ta, a practitioner performs a spinning strike followed by a high thrust. What is the main goal of the high thrust after the spinning strike?</t>
  </si>
  <si>
    <t>A Thang-ta practitioner performs a low block followed by an upward slash. What is the main advantage of the upward slash after the block?</t>
  </si>
  <si>
    <t>A) To take advantage of the opponent’s low guard and strike from above., B) To showcase strength., C) To practice precision., D) To confuse the opponent.</t>
  </si>
  <si>
    <t>A) To take advantage of the opponent’s low guard and strike from above.</t>
  </si>
  <si>
    <t>During a Thang-ta match, a participant executes a high thrust followed by a quick sidestep. What is the purpose of the sidestep after the thrust?</t>
  </si>
  <si>
    <t>A) To reposition for a more effective follow-up attack., B) To showcase agility., C) To practice timing., D) To create confusion.</t>
  </si>
  <si>
    <t>A) To reposition for a more effective follow-up attack.</t>
  </si>
  <si>
    <t>In Thang-ta, a practitioner performs a diagonal cut followed by a low thrust. What is the benefit of the low thrust after the diagonal cut?</t>
  </si>
  <si>
    <t>A) To exploit openings created by the diagonal cut and target the opponent’s lower body., B) To showcase skill., C) To practice timing., D) To confuse the opponent.</t>
  </si>
  <si>
    <t>A) To exploit openings created by the diagonal cut and target the opponent’s lower body.</t>
  </si>
  <si>
    <t>A Thang-ta student uses a series of rapid downward slashes. What is the primary goal of these downward slashes?</t>
  </si>
  <si>
    <t>A) To apply continuous pressure and disrupt the opponent’s defense., B) To showcase speed., C) To practice precision., D) To create confusion.</t>
  </si>
  <si>
    <t>A) To apply continuous pressure and disrupt the opponent’s defense.</t>
  </si>
  <si>
    <t>During Thang-ta practice, a practitioner performs a quick retreat followed by a high cut. What is the purpose of the retreat before the cut?</t>
  </si>
  <si>
    <t>A) To create distance and then execute a more powerful high cut., B) To showcase agility., C) To practice timing., D) To confuse the opponent.</t>
  </si>
  <si>
    <t>A) To create distance and then execute a more powerful high cut.</t>
  </si>
  <si>
    <t>In Thang-ta, a student performs a low block followed by a high thrust. What is the main benefit of the high thrust after the low block?</t>
  </si>
  <si>
    <t>A) To transition from defense to offense and target the opponent’s upper body., B) To showcase skill., C) To practice timing., D) To confuse the opponent.</t>
  </si>
  <si>
    <t>A Thang-ta practitioner performs a high cut followed by a diagonal cut. What is the advantage of the diagonal cut after the high cut?</t>
  </si>
  <si>
    <t>A) To attack from different angles and keep the opponent off balance., B) To showcase skill., C) To practice precision., D) To confuse the opponent.</t>
  </si>
  <si>
    <t>A) To attack from different angles and keep the opponent off balance.</t>
  </si>
  <si>
    <t>During a Thang-ta demonstration, a participant executes a series of rapid high thrusts. What is the primary goal of these high thrusts?</t>
  </si>
  <si>
    <t>A) To apply continuous pressure on the opponent’s upper body and force a defensive stance., B) To showcase speed., C) To practice precision., D) To create confusion.</t>
  </si>
  <si>
    <t>A) To apply continuous pressure on the opponent’s upper body and force a defensive stance.</t>
  </si>
  <si>
    <t>In Thang-ta, a student performs a spinning cut followed by a high block. What is the benefit of the high block after the spinning cut?</t>
  </si>
  <si>
    <t>A) To defend against potential counterattacks after creating openings., B) To showcase agility., C) To practice timing., D) To confuse the opponent.</t>
  </si>
  <si>
    <t>A) To defend against potential counterattacks after creating openings.</t>
  </si>
  <si>
    <t>A Thang-ta practitioner performs a low sweep followed by a high thrust. What is the main purpose of the high thrust after the low sweep?</t>
  </si>
  <si>
    <t>A) To take advantage of the opponent’s low guard and strike from above., B) To showcase skill., C) To practice timing., D) To confuse the opponent.</t>
  </si>
  <si>
    <t>During Thang-ta training, a participant executes a quick sidestep followed by a low block. What is the benefit of the sidestep before the block?</t>
  </si>
  <si>
    <t>A) To avoid the opponent’s attack and position for a more effective block., B) To showcase footwork., C) To practice timing., D) To create confusion.</t>
  </si>
  <si>
    <t>A) To avoid the opponent’s attack and position for a more effective block.</t>
  </si>
  <si>
    <t>In a Thang-ta match, a student performs a high cut followed by a downward thrust. What is the main advantage of the downward thrust after the high cut?</t>
  </si>
  <si>
    <t>A) To exploit the opponent’s high guard and attack their lower body., B) To showcase skill., C) To practice precision., D) To confuse the opponent.</t>
  </si>
  <si>
    <t>A) To exploit the opponent’s high guard and attack their lower body.</t>
  </si>
  <si>
    <t>A Thang-ta practitioner performs a series of rapid diagonal cuts with a spear. What is the primary goal of these diagonal cuts?</t>
  </si>
  <si>
    <t>A) To create multiple attack angles and pressure the opponent., B) To showcase spear handling., C) To practice precision., D) To create confusion.</t>
  </si>
  <si>
    <t>A) To create multiple attack angles and pressure the opponent.</t>
  </si>
  <si>
    <t>During a Thang-ta demonstration, a participant performs a low block followed by an upward slash. What is the main purpose of the upward slash after the block?</t>
  </si>
  <si>
    <t>A) To capitalize on the opponent’s low guard and strike from above., B) To showcase strength., C) To practice precision., D) To confuse the opponent.</t>
  </si>
  <si>
    <t>A) To capitalize on the opponent’s low guard and strike from above.</t>
  </si>
  <si>
    <t>In Thang-ta, a student executes a high thrust followed by a quick sidestep. What is the benefit of the sidestep after the thrust?</t>
  </si>
  <si>
    <t>A Thang-ta practitioner performs a low sweep followed by a high block. What is the purpose of the high block after the low sweep?</t>
  </si>
  <si>
    <t>A) To transition from offense to defense and secure a defensive position., B) To showcase skill., C) To practice timing., D) To confuse the opponent.</t>
  </si>
  <si>
    <t>During a Thang-ta match, a student performs a spinning strike followed by a diagonal thrust. What is the main goal of the diagonal thrust after the spinning strike?</t>
  </si>
  <si>
    <t>A) To utilize the momentum from the spinning strike to deliver a powerful thrust., B) To showcase agility., C) To practice precision., D) To create confusion.</t>
  </si>
  <si>
    <t>A) To utilize the momentum from the spinning strike to deliver a powerful thrust.</t>
  </si>
  <si>
    <t>In Thang-ta, a practitioner performs a series of rapid upward slashes with a sword. What is the primary objective of these upward slashes?</t>
  </si>
  <si>
    <t>A) To apply continuous pressure from above and disrupt the opponent’s defense., B) To showcase speed., C) To practice precision., D) To create confusion.</t>
  </si>
  <si>
    <t>A) To apply continuous pressure from above and disrupt the opponent’s defense.</t>
  </si>
  <si>
    <t>A Thang-ta student uses a quick retreat followed by a high cut. What is the purpose of the retreat before the cut?</t>
  </si>
  <si>
    <t>A) To create distance and position for a more effective high cut., B) To showcase agility., C) To practice timing., D) To confuse the opponent.</t>
  </si>
  <si>
    <t>A) To create distance and position for a more effective high cut.</t>
  </si>
  <si>
    <t>During Thang-ta training, a participant executes a high block followed by a diagonal cut. What is the benefit of the diagonal cut after the high block?</t>
  </si>
  <si>
    <t>In a Thang-ta match, a student performs a series of rapid downward thrusts. What is the main goal of these downward thrusts?</t>
  </si>
  <si>
    <t>A) To apply pressure from above and force the opponent into a defensive stance., B) To showcase spear handling., C) To practice strength., D) To create confusion.</t>
  </si>
  <si>
    <t>A Thang-ta practitioner executes a low block followed by a spinning cut. What is the primary advantage of the spinning cut after the block?</t>
  </si>
  <si>
    <t>A) To capitalize on the opponent’s defensive position and deliver a powerful strike., B) To showcase agility., C) To practice timing., D) To confuse the opponent.</t>
  </si>
  <si>
    <t>A) To capitalize on the opponent’s defensive position and deliver a powerful strike.</t>
  </si>
  <si>
    <t>During Thang-ta practice, a participant performs a high cut followed by a quick sidestep. What is the purpose of the sidestep after the high cut?</t>
  </si>
  <si>
    <t>A) To avoid potential counterattacks and reposition for a follow-up attack., B) To showcase footwork., C) To practice timing., D) To create confusion.</t>
  </si>
  <si>
    <t>A) To avoid potential counterattacks and reposition for a follow-up attack.</t>
  </si>
  <si>
    <t>In Thang-ta, a student performs a diagonal cut followed by a low thrust. What is the main benefit of the low thrust after the diagonal cut?</t>
  </si>
  <si>
    <t>A) To exploit openings created by the diagonal cut and target the opponent’s lower body., B) To showcase skill., C) To practice timing., D) To create confusion.</t>
  </si>
  <si>
    <t>A Thang-ta practitioner performs a series of rapid high thrusts. What is the main objective of these high thrusts?</t>
  </si>
  <si>
    <t>During a Thang-ta demonstration, a student performs a quick retreat followed by a high block. What is the purpose of the retreat before the block?</t>
  </si>
  <si>
    <t>A) To create distance and then defend against an incoming attack., B) To showcase agility., C) To practice timing., D) To confuse the opponent.</t>
  </si>
  <si>
    <t>A) To create distance and then defend against an incoming attack.</t>
  </si>
  <si>
    <t>In Thang-ta, a practitioner executes a spinning strike followed by a diagonal cut. What is the main benefit of the diagonal cut after the spinning strike?</t>
  </si>
  <si>
    <t>A) To utilize the momentum from the spinning strike and deliver a powerful cut from an angle., B) To showcase agility., C) To practice precision., D) To create confusion.</t>
  </si>
  <si>
    <t>A) To utilize the momentum from the spinning strike and deliver a powerful cut from an angle.</t>
  </si>
  <si>
    <t>A Thang-ta student performs a low sweep followed by a high thrust. What is the advantage of the high thrust after the low sweep?</t>
  </si>
  <si>
    <t>A) To take advantage of the opponent’s low guard and attack from above., B) To showcase skill., C) To practice timing., D) To confuse the opponent.</t>
  </si>
  <si>
    <t>A) To take advantage of the opponent’s low guard and attack from above.</t>
  </si>
  <si>
    <t>During Thang-ta training, a practitioner performs a high block followed by a low thrust. What is the purpose of the low thrust after the high block?</t>
  </si>
  <si>
    <t>A) To transition from defense to offense and target the opponent’s lower body., B) To showcase skill., C) To practice timing., D) To create confusion.</t>
  </si>
  <si>
    <t>A) To transition from defense to offense and target the opponent’s lower body.</t>
  </si>
  <si>
    <t>In a Thang-ta match, a participant executes a series of rapid diagonal cuts. What is the primary goal of these diagonal cuts?</t>
  </si>
  <si>
    <t>A) To create multiple attack angles and apply pressure on the opponent., B) To showcase skill., C) To practice precision., D) To create confusion.</t>
  </si>
  <si>
    <t>A) To create multiple attack angles and apply pressure on the opponent.</t>
  </si>
  <si>
    <t>A Thang-ta practitioner uses a quick retreat followed by a diagonal cut. What is the main benefit of the diagonal cut after the retreat?</t>
  </si>
  <si>
    <t>A) To take advantage of the distance created and strike from an advantageous angle., B) To showcase agility., C) To practice timing., D) To confuse the opponent.</t>
  </si>
  <si>
    <t>A) To take advantage of the distance created and strike from an advantageous angle.</t>
  </si>
  <si>
    <t>During Thang-ta training, a student performs a high thrust followed by a quick sidestep. What is the purpose of the sidestep after the thrust?</t>
  </si>
  <si>
    <t>In Thang-ta, a practitioner executes a series of rapid downward cuts. What is the primary goal of these downward cuts?</t>
  </si>
  <si>
    <t>A) To apply continuous pressure from above and force the opponent into a defensive stance., B) To showcase speed., C) To practice precision., D) To create confusion.</t>
  </si>
  <si>
    <t>A) To apply continuous pressure from above and force the opponent into a defensive stance.</t>
  </si>
  <si>
    <t>A Thang-ta student performs a high cut followed by a low block. What is the benefit of the low block after the high cut?</t>
  </si>
  <si>
    <t>During a Thang-ta demonstration, a practitioner performs a spinning strike followed by a high thrust. What is the advantage of the high thrust after the spinning strike?</t>
  </si>
  <si>
    <t>A) To utilize the momentum from the spinning strike and deliver a powerful thrust., B) To showcase agility., C) To practice precision., D) To create confusion.</t>
  </si>
  <si>
    <t>A) To utilize the momentum from the spinning strike and deliver a powerful thrust.</t>
  </si>
  <si>
    <t>In Thang-ta, a student performs a low block followed by an upward cut. What is the main purpose of the upward cut after the low block?</t>
  </si>
  <si>
    <t>A Thang-ta practitioner executes a high thrust followed by a low sweep. What is the purpose of the low sweep after the high thrust?</t>
  </si>
  <si>
    <t>A) To exploit the openings created by the high thrust and attack from below., B) To showcase skill., C) To practice timing., D) To confuse the opponent.</t>
  </si>
  <si>
    <t>A) To exploit the openings created by the high thrust and attack from below.</t>
  </si>
  <si>
    <t>During Thang-ta practice, a student performs a diagonal cut followed by a high thrust. What is the benefit of the high thrust after the diagonal cut?</t>
  </si>
  <si>
    <t>A) To attack from different angles and capitalize on openings created by the diagonal cut., B) To showcase skill., C) To practice timing., D) To confuse the opponent.</t>
  </si>
  <si>
    <t>A) To attack from different angles and capitalize on openings created by the diagonal cut.</t>
  </si>
  <si>
    <t>In a Thang-ta match, a participant performs a quick sidestep followed by a low block. What is the main advantage of the sidestep before the block?</t>
  </si>
  <si>
    <t>A) To avoid an incoming attack and position for a more effective block., B) To showcase footwork., C) To practice timing., D) To create confusion.</t>
  </si>
  <si>
    <t>A) To avoid an incoming attack and position for a more effective block.</t>
  </si>
  <si>
    <t>A Thang-ta practitioner executes a high cut followed by a spinning strike. What is the purpose of the spinning strike after the high cut?</t>
  </si>
  <si>
    <t>A) To capitalize on the momentum from the high cut and deliver a powerful strike from an angle., B) To showcase agility., C) To practice timing., D) To confuse the opponent.</t>
  </si>
  <si>
    <t>A) To capitalize on the momentum from the high cut and deliver a powerful strike from an angle.</t>
  </si>
  <si>
    <t>During a Thang-ta match, a student performs a series of rapid upward slashes. What is the primary goal of these upward slashes?</t>
  </si>
  <si>
    <t>A) To apply continuous pressure from above and force the opponent into a defensive stance., B) To showcase skill., C) To practice precision., D) To create confusion.</t>
  </si>
  <si>
    <t>In Thang-ta, a practitioner performs a low sweep followed by a diagonal cut. What is the benefit of the diagonal cut after the low sweep?</t>
  </si>
  <si>
    <t>A) To take advantage of the openings created by the low sweep and attack from an angle., B) To showcase skill., C) To practice timing., D) To create confusion.</t>
  </si>
  <si>
    <t>A) To take advantage of the openings created by the low sweep and attack from an angle.</t>
  </si>
  <si>
    <t>A Thang-ta student performs a high block followed by a quick sidestep. What is the main purpose of the sidestep after the high block?</t>
  </si>
  <si>
    <t>A) To avoid a counterattack and reposition for a follow-up move., B) To showcase agility., C) To practice timing., D) To create confusion.</t>
  </si>
  <si>
    <t>A) To avoid a counterattack and reposition for a follow-up move.</t>
  </si>
  <si>
    <t>During Thang-ta training, a participant executes a diagonal thrust followed by a low cut. What is the main advantage of the low cut after the diagonal thrust?</t>
  </si>
  <si>
    <t>A) To exploit the openings created by the diagonal thrust and attack from below., B) To showcase skill., C) To practice precision., D) To confuse the opponent.</t>
  </si>
  <si>
    <t>A) To exploit the openings created by the diagonal thrust and attack from below.</t>
  </si>
  <si>
    <t>In Thang-ta, a practitioner performs a high thrust followed by a low block. What is the benefit of the low block after the high thrust?</t>
  </si>
  <si>
    <t>A Thang-ta student performs a series of rapid downward thrusts. What is the primary goal of these downward thrusts?</t>
  </si>
  <si>
    <t>During a Thang-ta demonstration, a participant performs a quick retreat followed by a diagonal thrust. What is the purpose of the retreat before the diagonal thrust?</t>
  </si>
  <si>
    <t>A) To create distance and then execute a more powerful diagonal thrust., B) To showcase agility., C) To practice timing., D) To create confusion.</t>
  </si>
  <si>
    <t>A) To create distance and then execute a more powerful diagonal thrust.</t>
  </si>
  <si>
    <t>In Thang-ta, a practitioner performs a low block followed by a spinning strike. What is the main advantage of the spinning strike after the low block?</t>
  </si>
  <si>
    <t>A) To capitalize on the defensive position and deliver a powerful strike from an angle., B) To showcase agility., C) To practice timing., D) To confuse the opponent.</t>
  </si>
  <si>
    <t>A) To capitalize on the defensive position and deliver a powerful strike from an angle.</t>
  </si>
  <si>
    <t>A Thang-ta student performs a high cut followed by a quick sidestep. What is the benefit of the sidestep after the high cut?</t>
  </si>
  <si>
    <t>A) To avoid potential counterattacks and reposition for a follow-up attack., B) To showcase footwork., C) To practice timing., D) To confuse the opponent.</t>
  </si>
  <si>
    <t>During Thang-ta practice, a practitioner executes a low sweep followed by a high thrust. What is the main purpose of the high thrust after the low sweep?</t>
  </si>
  <si>
    <t>In a Thang-ta match, a participant performs a series of rapid diagonal cuts. What is the primary objective of these diagonal cuts?</t>
  </si>
  <si>
    <t>A Thang-ta practitioner executes a high block followed by a diagonal cut. What is the benefit of the diagonal cut after the high block?</t>
  </si>
  <si>
    <t>During Thang-ta training, a student performs a low block followed by a high cut. What is the main advantage of the high cut after the low block?</t>
  </si>
  <si>
    <t>In Thang-ta, a practitioner performs a spinning strike followed by a diagonal cut. What is the purpose of the diagonal cut after the spinning strike?</t>
  </si>
  <si>
    <t>A) To utilize the momentum from the spinning strike and attack from an angle., B) To showcase agility., C) To practice precision., D) To confuse the opponent.</t>
  </si>
  <si>
    <t>A) To utilize the momentum from the spinning strike and attack from an angle.</t>
  </si>
  <si>
    <t>A Thang-ta student performs a high thrust followed by a quick retreat. What is the purpose of the retreat after the high thrust?</t>
  </si>
  <si>
    <t>A) To create distance and reposition for a follow-up move., B) To showcase agility., C) To practice timing., D) To create confusion.</t>
  </si>
  <si>
    <t>A) To create distance and reposition for a follow-up move.</t>
  </si>
  <si>
    <t>During a Thang-ta match, a participant performs a series of rapid upward slashes. What is the main goal of these upward slashes?</t>
  </si>
  <si>
    <t>In Thang-ta, a practitioner executes a low sweep followed by a diagonal thrust. What is the benefit of the diagonal thrust after the low sweep?</t>
  </si>
  <si>
    <t>A) To exploit the openings created by the low sweep and attack from an angle., B) To showcase skill., C) To practice timing., D) To confuse the opponent.</t>
  </si>
  <si>
    <t>A) To exploit the openings created by the low sweep and attack from an angle.</t>
  </si>
  <si>
    <t>A Thang-ta student performs a high block followed by a diagonal cut. What is the main purpose of the diagonal cut after the high block?</t>
  </si>
  <si>
    <t>During Thang-ta practice, a participant executes a diagonal cut followed by a low block. What is the purpose of the low block after the diagonal cut?</t>
  </si>
  <si>
    <t>A) To secure a defensive position and protect against a counterattack., B) To showcase skill., C) To practice timing., D) To create confusion.</t>
  </si>
  <si>
    <t>A) To secure a defensive position and protect against a counterattack.</t>
  </si>
  <si>
    <t>In a Thang-ta match, a practitioner performs a spinning strike followed by a high thrust. What is the benefit of the high thrust after the spinning strike?</t>
  </si>
  <si>
    <t>A Thang-ta student performs a series of rapid downward cuts. What is the primary goal of these downward cuts?</t>
  </si>
  <si>
    <t>During Thang-ta training, a practitioner performs a high thrust followed by a low sweep. What is the main purpose of the low sweep after the high thrust?</t>
  </si>
  <si>
    <t>A) To take advantage of the openings created by the high thrust and strike from below., B) To showcase skill., C) To practice timing., D) To confuse the opponent.</t>
  </si>
  <si>
    <t>A) To take advantage of the openings created by the high thrust and strike from below.</t>
  </si>
  <si>
    <t>In Thang-ta, a practitioner performs a high block followed by a low thrust. What is the primary benefit of this sequence?</t>
  </si>
  <si>
    <t>A) To neutralize an upper attack and then strike at a lower opening., B) To showcase skill., C) To practice timing., D) To create confusion.</t>
  </si>
  <si>
    <t>A) To neutralize an upper attack and then strike at a lower opening.</t>
  </si>
  <si>
    <t>During a Thang-ta match, a participant executes a diagonal cut followed by a quick retreat. What is the purpose of the retreat after the diagonal cut?</t>
  </si>
  <si>
    <t>A) To create distance and avoid potential counterattacks., B) To showcase agility., C) To practice timing., D) To confuse the opponent.</t>
  </si>
  <si>
    <t>A) To create distance and avoid potential counterattacks.</t>
  </si>
  <si>
    <t>A Thang-ta student performs a spinning cut followed by a low thrust. What is the advantage of the low thrust after the spinning cut?</t>
  </si>
  <si>
    <t>A) To capitalize on the spinning cut's momentum and attack from a lower angle., B) To showcase skill., C) To practice timing., D) To create confusion.</t>
  </si>
  <si>
    <t>A) To capitalize on the spinning cut's momentum and attack from a lower angle.</t>
  </si>
  <si>
    <t>In Thang-ta, a practitioner executes a high thrust followed by a diagonal cut. What is the main purpose of the diagonal cut after the high thrust?</t>
  </si>
  <si>
    <t>A) To use the momentum from the thrust to strike from an angle., B) To showcase precision., C) To practice timing., D) To confuse the opponent.</t>
  </si>
  <si>
    <t>A) To use the momentum from the thrust to strike from an angle.</t>
  </si>
  <si>
    <t>During Thang-ta training, a student performs a low sweep followed by a high block. What is the primary goal of this sequence?</t>
  </si>
  <si>
    <t>A) To disrupt the opponent's stance with the sweep and then defend against a high attack., B) To showcase skill., C) To practice timing., D) To create confusion.</t>
  </si>
  <si>
    <t>A) To disrupt the opponent's stance with the sweep and then defend against a high attack.</t>
  </si>
  <si>
    <t>A Thang-ta practitioner performs a high cut followed by a spinning strike. What is the benefit of the spinning strike after the high cut?</t>
  </si>
  <si>
    <t>A) To leverage the momentum from the high cut for a powerful strike from a different angle., B) To showcase agility., C) To practice timing., D) To confuse the opponent.</t>
  </si>
  <si>
    <t>A) To leverage the momentum from the high cut for a powerful strike from a different angle.</t>
  </si>
  <si>
    <t>In Thang-ta, a student performs a diagonal cut followed by a quick sidestep. What is the purpose of the sidestep after the diagonal cut?</t>
  </si>
  <si>
    <t>A) To avoid a counterattack and reposition for a more effective follow-up move., B) To showcase agility., C) To practice timing., D) To create confusion.</t>
  </si>
  <si>
    <t>A) To avoid a counterattack and reposition for a more effective follow-up move.</t>
  </si>
  <si>
    <t>During a Thang-ta match, a participant performs a low block followed by a rapid upward thrust. What is the main benefit of the upward thrust after the low block?</t>
  </si>
  <si>
    <t>A) To transition from defense to offense and strike from below., B) To showcase speed., C) To practice precision., D) To create confusion.</t>
  </si>
  <si>
    <t>A) To transition from defense to offense and strike from below.</t>
  </si>
  <si>
    <t>A Thang-ta practitioner executes a high thrust followed by a diagonal cut. What is the purpose of the diagonal cut after the high thrust?</t>
  </si>
  <si>
    <t>A) To exploit openings created by the high thrust and attack from an angle., B) To showcase skill., C) To practice timing., D) To create confusion.</t>
  </si>
  <si>
    <t>A) To exploit openings created by the high thrust and attack from an angle.</t>
  </si>
  <si>
    <t>In Thang-ta, a student performs a quick retreat followed by a low cut. What is the main advantage of the low cut after the retreat?</t>
  </si>
  <si>
    <t>A) To take advantage of the distance created and strike from below., B) To showcase agility., C) To practice timing., D) To confuse the opponent.</t>
  </si>
  <si>
    <t>A) To take advantage of the distance created and strike from below.</t>
  </si>
  <si>
    <t>During Thang-ta training, a participant executes a spinning strike followed by a high block. What is the purpose of the high block after the spinning strike?</t>
  </si>
  <si>
    <t>A) To use the momentum from the spinning strike to defend against an incoming attack., B) To showcase agility., C) To practice timing., D) To create confusion.</t>
  </si>
  <si>
    <t>A) To use the momentum from the spinning strike to defend against an incoming attack.</t>
  </si>
  <si>
    <t>A Thang-ta student performs a diagonal thrust followed by a low sweep. What is the primary goal of the low sweep after the diagonal thrust?</t>
  </si>
  <si>
    <t>A) To exploit openings created by the diagonal thrust and attack from below., B) To showcase skill., C) To practice precision., D) To confuse the opponent.</t>
  </si>
  <si>
    <t>A) To exploit openings created by the diagonal thrust and attack from below.</t>
  </si>
  <si>
    <t>In a Thang-ta match, a practitioner performs a high block followed by a low thrust. What is the advantage of the low thrust after the high block?</t>
  </si>
  <si>
    <t>A) To transition from defense to offense and strike at a lower opening., B) To showcase skill., C) To practice timing., D) To create confusion.</t>
  </si>
  <si>
    <t>A) To transition from defense to offense and strike at a lower opening.</t>
  </si>
  <si>
    <t>During Thang-ta training, a participant executes a series of rapid upward cuts. What is the purpose of these upward cuts?</t>
  </si>
  <si>
    <t>A) To apply pressure from above and force the opponent into a defensive stance., B) To showcase skill., C) To practice precision., D) To create confusion.</t>
  </si>
  <si>
    <t>A Thang-ta practitioner performs a high cut followed by a low block. What is the main benefit of the low block after the high cut?</t>
  </si>
  <si>
    <t>A) To transition from offense to defense and protect against a potential counterattack., B) To showcase skill., C) To practice timing., D) To confuse the opponent.</t>
  </si>
  <si>
    <t>A) To transition from offense to defense and protect against a potential counterattack.</t>
  </si>
  <si>
    <t>In Thang-ta, a student performs a diagonal cut followed by a quick retreat. What is the benefit of the retreat after the diagonal cut?</t>
  </si>
  <si>
    <t>A) To create distance and avoid possible counterattacks., B) To showcase agility., C) To practice timing., D) To confuse the opponent.</t>
  </si>
  <si>
    <t>A) To create distance and avoid possible counterattacks.</t>
  </si>
  <si>
    <t>During a Thang-ta match, a participant executes a low sweep followed by a high thrust. What is the purpose of the high thrust after the low sweep?</t>
  </si>
  <si>
    <t>A Thang-ta student performs a spinning cut followed by a high block. What is the advantage of the high block after the spinning cut?</t>
  </si>
  <si>
    <t>A) To use the momentum from the spinning cut to defend against an incoming attack., B) To showcase agility., C) To practice timing., D) To create confusion.</t>
  </si>
  <si>
    <t>A) To use the momentum from the spinning cut to defend against an incoming attack.</t>
  </si>
  <si>
    <t>In Thang-ta, a practitioner performs a high thrust followed by a low cut. What is the main benefit of the low cut after the high thrust?</t>
  </si>
  <si>
    <t>A) To exploit openings created by the high thrust and strike from below., B) To showcase skill., C) To practice timing., D) To create confusion.</t>
  </si>
  <si>
    <t>A) To exploit openings created by the high thrust and strike from below.</t>
  </si>
  <si>
    <t>During Thang-ta training, a student performs a low block followed by a diagonal cut. What is the purpose of the diagonal cut after the low block?</t>
  </si>
  <si>
    <t>A Thang-ta practitioner executes a high block followed by a low thrust. What is the primary goal of this sequence?</t>
  </si>
  <si>
    <t>A) To neutralize an upper attack and then strike at a lower opening., B) To showcase speed., C) To practice precision., D) To confuse the opponent.</t>
  </si>
  <si>
    <t>In Thang-ta, a student performs a diagonal cut followed by a quick sidestep. What is the benefit of the sidestep after the diagonal cut?</t>
  </si>
  <si>
    <t>A) To avoid a counterattack and reposition for a more effective follow-up move., B) To showcase agility., C) To practice timing., D) To confuse the opponent.</t>
  </si>
  <si>
    <t>During a Thang-ta match, a participant performs a high cut followed by a low block. What is the advantage of the low block after the high cut?</t>
  </si>
  <si>
    <t>A) To transition from offense to defense and protect against a potential counterattack., B) To showcase skill., C) To practice timing., D) To create confusion.</t>
  </si>
  <si>
    <t>A Thang-ta student performs a spinning strike followed by a high thrust. What is the main purpose of the high thrust after the spinning strike?</t>
  </si>
  <si>
    <t>A) To use the momentum from the spinning strike to deliver a powerful thrust., B) To showcase agility., C) To practice precision., D) To create confusion.</t>
  </si>
  <si>
    <t>A) To use the momentum from the spinning strike to deliver a powerful thrust.</t>
  </si>
  <si>
    <t>In Thang-ta, a practitioner performs a low sweep followed by a diagonal thrust. What is the primary goal of the diagonal thrust after the low sweep?</t>
  </si>
  <si>
    <t>A) To exploit openings created by the low sweep and strike from an angle., B) To showcase skill., C) To practice timing., D) To confuse the opponent.</t>
  </si>
  <si>
    <t>A) To exploit openings created by the low sweep and strike from an angle.</t>
  </si>
  <si>
    <t>During Thang-ta training, a student executes a high block followed by a diagonal cut. What is the benefit of the diagonal cut after the high block?</t>
  </si>
  <si>
    <t>A) To transition from defense to offense and attack from an angle., B) To showcase agility., C) To practice timing., D) To confuse the opponent.</t>
  </si>
  <si>
    <t>A Thang-ta practitioner performs a diagonal cut followed by a quick retreat. What is the main purpose of the retreat after the diagonal cut?</t>
  </si>
  <si>
    <t>A) To create distance and avoid potential counterattacks., B) To showcase skill., C) To practice timing., D) To confuse the opponent.</t>
  </si>
  <si>
    <t>In Thang-ta, a participant performs a high thrust followed by a low block. What is the primary benefit of the low block after the high thrust?</t>
  </si>
  <si>
    <t>During a Thang-ta match, a practitioner executes a low cut followed by a spinning strike. What is the main purpose of the spinning strike after the low cut?</t>
  </si>
  <si>
    <t>A) To use the momentum from the low cut for a powerful attack from a different angle., B) To showcase skill., C) To practice precision., D) To confuse the opponent.</t>
  </si>
  <si>
    <t>A) To use the momentum from the low cut for a powerful attack from a different angle.</t>
  </si>
  <si>
    <t>A Thang-ta student performs a series of rapid upward cuts. What is the primary goal of these upward cuts?</t>
  </si>
  <si>
    <t>In Thang-ta, a practitioner performs a high block followed by a low thrust. What is the main benefit of the low thrust after the high block?</t>
  </si>
  <si>
    <t>A) To transition from defense to offense and attack from a lower opening., B) To showcase skill., C) To practice timing., D) To confuse the opponent.</t>
  </si>
  <si>
    <t>A) To transition from defense to offense and attack from a lower opening.</t>
  </si>
  <si>
    <t>During Thang-ta practice, a student performs a low sweep followed by a high thrust. What is the purpose of the high thrust after the low sweep?</t>
  </si>
  <si>
    <t>A) To take advantage of the opponent’s low guard and strike from above., B) To showcase skill., C) To practice timing., D) To create confusion.</t>
  </si>
  <si>
    <t>A Thang-ta practitioner performs a spinning strike followed by a high block. What is the primary benefit of the high block after the spinning strike?</t>
  </si>
  <si>
    <t>A) To use the momentum from the spinning strike to defend against an incoming attack., B) To showcase agility., C) To practice timing., D) To confuse the opponent.</t>
  </si>
  <si>
    <t>In Thang-ta, a student performs a diagonal thrust followed by a low sweep. What is the main advantage of the low sweep after the diagonal thrust?</t>
  </si>
  <si>
    <t>During a Thang-ta match, a participant performs a high cut followed by a diagonal thrust. What is the purpose of the diagonal thrust after the high cut?</t>
  </si>
  <si>
    <t>A) To use the momentum from the high cut to attack from an angle., B) To showcase agility., C) To practice timing., D) To confuse the opponent.</t>
  </si>
  <si>
    <t>A) To use the momentum from the high cut to attack from an angle.</t>
  </si>
  <si>
    <t>A Thang-ta student executes a low block followed by a high thrust. What is the main benefit of the high thrust after the low block?</t>
  </si>
  <si>
    <t>In Thang-ta, a practitioner performs a high thrust followed by a low cut. What is the advantage of the low cut after the high thrust?</t>
  </si>
  <si>
    <t>A) To capitalize on openings created by the high thrust and strike from below., B) To showcase speed., C) To practice precision., D) To create confusion.</t>
  </si>
  <si>
    <t>A) To capitalize on openings created by the high thrust and strike from below.</t>
  </si>
  <si>
    <t>During Thang-ta training, a student performs a high block followed by a diagonal cut. What is the primary benefit of the diagonal cut after the high block?</t>
  </si>
  <si>
    <t>A Thang-ta practitioner performs a diagonal cut followed by a quick sidestep. What is the purpose of the sidestep after the diagonal cut?</t>
  </si>
  <si>
    <t>In Thang-ta, a participant performs a high thrust followed by a low block. What is the main benefit of the low block after the high thrust?</t>
  </si>
  <si>
    <t>In Thang-ta, a practitioner performs a high block followed by a diagonal cut. What is the advantage of the diagonal cut after the high block?</t>
  </si>
  <si>
    <t>During Thang-ta training, a student performs a low sweep followed by a high thrust. What is the purpose of the high thrust after the low sweep?</t>
  </si>
  <si>
    <t>A Thang-ta practitioner performs a spinning strike followed by a high block. What is the main benefit of the high block after the spinning strike?</t>
  </si>
  <si>
    <t>In Thang-ta, a student performs a diagonal thrust followed by a low sweep. What is the primary goal of the low sweep after the diagonal thrust?</t>
  </si>
  <si>
    <t>A) To exploit openings created by the diagonal thrust and strike from below., B) To showcase skill., C) To practice precision., D) To confuse the opponent.</t>
  </si>
  <si>
    <t>A) To exploit openings created by the diagonal thrust and strike from below.</t>
  </si>
  <si>
    <t>In a Mukna match, Player A performs a successful grapple that leads to a fall of Player B. However, Player B is seen regaining his balance before the referee could count the fall. What should be the referee's decision?</t>
  </si>
  <si>
    <t>A) Award the point to Player A. , B) Award the point to Player B. , C) Restart the match from the beginning. , D) Issue a warning to both players.</t>
  </si>
  <si>
    <t>B) Award the point to Player B.</t>
  </si>
  <si>
    <t>During a Mukna competition, Player X uses a technique that involves a quick shoulder push. Player Y, who was in the middle of a counter move, falls to the ground. According to the rules, how is the fall evaluated?</t>
  </si>
  <si>
    <t>A) Player X wins the round. , B) Player Y wins the round. , C) The round is considered a draw. , D) A penalty is issued to Player X.</t>
  </si>
  <si>
    <t>A) Player X wins the round.</t>
  </si>
  <si>
    <t>In a Mukna tournament, Player A and Player B are competing in a 3-round match. Player A wins the first two rounds. What is the minimum number of rounds Player B needs to win to secure the match?</t>
  </si>
  <si>
    <t>A) 1 , B) 2 , C) 3 , D) 4</t>
  </si>
  <si>
    <t>During a Mukna bout, if both players fall simultaneously and neither can continue, how is the match typically resolved?</t>
  </si>
  <si>
    <t>A) Player with the most successful moves wins. , B) Match is declared a draw. , C) A rematch is scheduled. , D) Both players are disqualified.</t>
  </si>
  <si>
    <t>B) Match is declared a draw.</t>
  </si>
  <si>
    <t>Player X is using a Mukna technique that requires quick lateral movement to avoid a fall. Player Y, however, manages to secure a hold. If Player X falls after being held, who is declared the winner?</t>
  </si>
  <si>
    <t>A) Player X , B) Player Y , C) The match is a tie , D) The referee decides based on performance</t>
  </si>
  <si>
    <t>In a Mukna match, Player A uses a defensive technique to block Player B’s attack. Player B loses balance and falls. What is the referee's likely decision?</t>
  </si>
  <si>
    <t>A) Player A is declared the winner of the round. , B) Player B is declared the winner of the round. , C) The round is replayed. , D) Player A receives a warning.</t>
  </si>
  <si>
    <t>A) Player A is declared the winner of the round.</t>
  </si>
  <si>
    <t>During a Mukna match, Player X performs a counter move that results in Player Y falling outside the designated area. What should be the referee’s ruling?</t>
  </si>
  <si>
    <t>A) Player X wins the round. , B) Player Y wins the round. , C) The round is declared void. , D) A penalty is given to Player X.</t>
  </si>
  <si>
    <t>If Player A is disqualified during a Mukna match for unsportsmanlike conduct, what happens to the points or rounds won by Player A?</t>
  </si>
  <si>
    <t>A) They are transferred to Player B. , B) They are nullified. , C) The match is restarted. , D) Player B is declared the winner.</t>
  </si>
  <si>
    <t>B) They are nullified.</t>
  </si>
  <si>
    <t>In a Mukna competition, if a player intentionally uses illegal moves to secure a win, what is the usual penalty?</t>
  </si>
  <si>
    <t>A) Disqualification. , B) Deduction of points. , C) A warning. , D) Match replay.</t>
  </si>
  <si>
    <t>A) Disqualification.</t>
  </si>
  <si>
    <t>Player X and Player Y are in a Mukna bout. If Player X successfully executes a move that causes Player Y to fall but Player Y quickly recovers, who wins the round?</t>
  </si>
  <si>
    <t>A) Player X , B) Player Y , C) The round is considered a draw , D) The match continues without a winner for the round</t>
  </si>
  <si>
    <t>A) Player X</t>
  </si>
  <si>
    <t>In a Mukna tournament, what is the maximum number of rounds a player can win to be declared the champion in a 5-round match?</t>
  </si>
  <si>
    <t>A) 3 , B) 4 , C) 5 , D) 2</t>
  </si>
  <si>
    <t>A) 3</t>
  </si>
  <si>
    <t>During a Mukna match, Player A performs a move that unintentionally leads to Player B falling but also injures Player B. What action should the referee take?</t>
  </si>
  <si>
    <t>A) Award the round to Player A. , B) End the match and declare Player B the winner. , C) Call for medical attention and evaluate the situation. , D) Disqualify Player A.</t>
  </si>
  <si>
    <t>C) Call for medical attention and evaluate the situation.</t>
  </si>
  <si>
    <t>Player X is competing in a Mukna match and uses a technique that is deemed illegal by the referee. What is the expected outcome of this action?</t>
  </si>
  <si>
    <t>A) Player X is awarded the round. , B) Player X is given a warning. , C) Player X is disqualified from the match. , D) The round is replayed.</t>
  </si>
  <si>
    <t>B) Player X is given a warning.</t>
  </si>
  <si>
    <t>In a Mukna match, Player A and Player B are tied after 4 rounds. What is the usual format for the deciding round?</t>
  </si>
  <si>
    <t>A) The same as previous rounds. , B) A special technique round. , C) A sudden-death round. , D) A round with an extended time limit.</t>
  </si>
  <si>
    <t>C) A sudden-death round.</t>
  </si>
  <si>
    <t>During a Mukna bout, Player X uses a technique that requires Player Y to lose balance. If Player Y falls but Player X does not follow through, what happens?</t>
  </si>
  <si>
    <t>A) Player X is declared the winner. , B) Player Y wins the round. , C) The round is replayed. , D) The match continues without a decision.</t>
  </si>
  <si>
    <t>A) Player X is declared the winner.</t>
  </si>
  <si>
    <t>In a Mukna competition, if a player repeatedly uses the same technique to win rounds, what is the typical referee’s response?</t>
  </si>
  <si>
    <t>A) The player is penalized for predictability. , B) The player is awarded additional points. , C) The technique is banned. , D) The match is canceled.</t>
  </si>
  <si>
    <t>A) The player is penalized for predictability.</t>
  </si>
  <si>
    <t>Player X and Player Y are competing in a Mukna match. If Player X wins 2 rounds and Player Y wins 2 rounds, how is the winner of the match determined?</t>
  </si>
  <si>
    <t>A) By the number of successful techniques. , B) By a final deciding round. , C) By the number of falls. , D) By the referee’s discretion.</t>
  </si>
  <si>
    <t>B) By a final deciding round.</t>
  </si>
  <si>
    <t>In Mukna, if Player A and Player B each win 3 rounds in a 7-round match, what happens next?</t>
  </si>
  <si>
    <t>A) The match is declared a draw. , B) An additional round is played to determine the winner. , C) Player A is declared the winner. , D) Player B is declared the winner.</t>
  </si>
  <si>
    <t>During a Mukna bout, if Player A uses an illegal hold that causes Player B to fall, what is the appropriate action according to the rules?</t>
  </si>
  <si>
    <t>A) Player A is awarded the round. , B) Player B wins the round. , C) Player A is disqualified. , D) The match is replayed.</t>
  </si>
  <si>
    <t>C) Player A is disqualified.</t>
  </si>
  <si>
    <t>In a Mukna match, Player X performs a technique that results in Player Y falling but Player Y protests that the move was unfair. How should the referee handle the protest?</t>
  </si>
  <si>
    <t>A) Reject the protest and continue with the round. , B) Accept the protest and award the round to Player Y. , C) Review the move and possibly replay the round. , D) End the match in favor of Player Y.</t>
  </si>
  <si>
    <t>C) Review the move and possibly replay the round.</t>
  </si>
  <si>
    <t>Player A and Player B are in a Mukna match. If Player A falls first but Player B also falls immediately after, what is the usual outcome of the round?</t>
  </si>
  <si>
    <t>A) Player A wins the round. , B) Player B wins the round. , C) The round is declared a draw. , D) A rematch is scheduled.</t>
  </si>
  <si>
    <t>C) The round is declared a draw.</t>
  </si>
  <si>
    <t>Player X uses a technique in Mukna that causes Player Y to fall, but Player Y's foot touches the ground before falling. What is the referee’s likely decision?</t>
  </si>
  <si>
    <t>A) Player X wins the round. , B) Player Y wins the round. , C) The round is declared a draw. , D) The round is replayed.</t>
  </si>
  <si>
    <t>B) Player Y wins the round.</t>
  </si>
  <si>
    <t>During a Mukna bout, Player X uses a hold that Player Y finds difficult to counter. Player Y falls but immediately protests that the hold was illegal. What is the most appropriate action?</t>
  </si>
  <si>
    <t>A) Player X is awarded the round. , B) Player Y is awarded the round. , C) The referee reviews the hold and decides if a rematch is needed. , D) The match is halted and both players are disqualified.</t>
  </si>
  <si>
    <t>C) The referee reviews the hold and decides if a rematch is needed.</t>
  </si>
  <si>
    <t>In a Mukna competition, Player A and Player B are tied after 6 rounds. What is the usual format for determining the final winner?</t>
  </si>
  <si>
    <t>A) A sudden-death round. , B) A round with double points. , C) An extended time limit round. , D) A points tally based on previous rounds.</t>
  </si>
  <si>
    <t>A) A sudden-death round.</t>
  </si>
  <si>
    <t>Player X and Player Y are competing in a Mukna match. If Player X executes a move that causes Player Y to fall, but Player X's foot also touches the ground in the process, who is declared the winner?</t>
  </si>
  <si>
    <t>A) Player X , B) Player Y , C) The round is declared void , D) The match is a draw</t>
  </si>
  <si>
    <t>During a Mukna bout, if Player X falls outside the ring but Player Y also falls immediately after, how should the round be scored?</t>
  </si>
  <si>
    <t>A) Player X is declared the winner. , B) Player Y is declared the winner. , C) The round is considered a draw. , D) Both players are disqualified.</t>
  </si>
  <si>
    <t>C) The round is considered a draw.</t>
  </si>
  <si>
    <t>In a Mukna match, Player X uses a technique that Player Y finds difficult to counter, leading to Player Y falling. If Player Y’s fall was caused by an illegal move, what is the typical outcome?</t>
  </si>
  <si>
    <t>A) Player X is awarded the round. , B) Player Y is awarded the round. , C) The round is replayed. , D) Player X is disqualified.</t>
  </si>
  <si>
    <t>B) Player Y is awarded the round.</t>
  </si>
  <si>
    <t>Player A and Player B are in a Mukna competition. If Player A wins 4 rounds and Player B wins 3 rounds, what happens next?</t>
  </si>
  <si>
    <t>A) Player A is declared the winner of the match. , B) Player B is declared the winner of the match. , C) A final deciding round is played. , D) The match is declared a draw.</t>
  </si>
  <si>
    <t>A) Player A is declared the winner of the match.</t>
  </si>
  <si>
    <t>During a Mukna match, if Player A and Player B fall simultaneously but Player A touches the ground first, who is awarded the round?</t>
  </si>
  <si>
    <t>A) Player A , B) Player B , C) The round is declared a draw , D) The match is restarted</t>
  </si>
  <si>
    <t>If a Mukna match is interrupted by an external factor, what is the usual protocol according to the rules?</t>
  </si>
  <si>
    <t>A) The match is paused and resumed later. , B) The match is restarted from the beginning. , C) The match is declared a draw. , D) The match continues without interruption.</t>
  </si>
  <si>
    <t>A) The match is paused and resumed later.</t>
  </si>
  <si>
    <t>In Mukna, if Player A successfully executes a move causing Player B to fall, but Player B protests the move was not executed correctly, what is the usual procedure?</t>
  </si>
  <si>
    <t>A) The move is reviewed, and a decision is made based on the review. , B) Player A is awarded the round. , C) The match is restarted. , D) Player B is disqualified for protesting.</t>
  </si>
  <si>
    <t>A) The move is reviewed, and a decision is made based on the review.</t>
  </si>
  <si>
    <t>During a Mukna bout, if Player A performs a technique that leads to Player B falling but Player A is injured during the process, how should the match proceed?</t>
  </si>
  <si>
    <t>A) Player B is declared the winner. , B) Player A is declared the winner. , C) The match is paused for medical evaluation. , D) The match is declared a draw.</t>
  </si>
  <si>
    <t>C) The match is paused for medical evaluation.</t>
  </si>
  <si>
    <t>In a Mukna competition, if a player demonstrates exceptional skill throughout the match but loses the final round due to a technical error, how is the final decision typically made?</t>
  </si>
  <si>
    <t>A) The player with the most rounds won is declared the winner. , B) The player with the most skillful techniques is awarded the match. , C) The match is replayed. , D) The technical error is reviewed, and a decision is made based on fairness.</t>
  </si>
  <si>
    <t>A) The player with the most rounds won is declared the winner.</t>
  </si>
  <si>
    <t>Player X and Player Y are in a Mukna match. If Player X wins the first 3 rounds but Player Y wins the remaining rounds, who is declared the overall winner if the match is 7 rounds long?</t>
  </si>
  <si>
    <t>A) Player X , B) Player Y , C) The match is declared a draw , D) A final deciding round is played</t>
  </si>
  <si>
    <t>In a Mukna competition, what is the standard procedure if both players are injured during the same round?</t>
  </si>
  <si>
    <t>A) Both players are disqualified. , B) The match is declared a draw. , C) The round is replayed after medical evaluation. , D) The player with the more serious injury is disqualified.</t>
  </si>
  <si>
    <t>C) The round is replayed after medical evaluation.</t>
  </si>
  <si>
    <t>During a Mukna bout, if Player X executes a move that seems to be borderline illegal but Player Y falls as a result, what should be the referee’s immediate action?</t>
  </si>
  <si>
    <t>A) Award the round to Player X. , B) Award the round to Player Y. , C) Review the move and make a decision. , D) End the match.</t>
  </si>
  <si>
    <t>C) Review the move and make a decision.</t>
  </si>
  <si>
    <t>Player A and Player B are competing in a Mukna match. If Player A wins 5 rounds and Player B wins 2 rounds, what is the usual procedure?</t>
  </si>
  <si>
    <t>A) Player A is declared the winner of the match. , B) The match continues until Player B wins more rounds. , C) A final round is played. , D) The match is declared a draw.</t>
  </si>
  <si>
    <t>In Mukna, if a player uses a move that is later deemed illegal by the referee but the opponent falls as a result, what is the usual outcome?</t>
  </si>
  <si>
    <t>A) The player who used the illegal move is disqualified. , B) The round is awarded to the opponent. , C) The round is replayed. , D) The match is continued.</t>
  </si>
  <si>
    <t>B) The round is awarded to the opponent.</t>
  </si>
  <si>
    <t>During a Mukna bout, if both players fall simultaneously and neither can continue, how is the result of the match typically determined?</t>
  </si>
  <si>
    <t>A) The match is declared a draw. , B) The match is restarted. , C) Player with the most previous wins is declared the winner. , D) Both players are disqualified.</t>
  </si>
  <si>
    <t>A) The match is declared a draw.</t>
  </si>
  <si>
    <t>In a Mukna competition, if Player X and Player Y are tied in points and have won an equal number of rounds, what typically determines the final outcome?</t>
  </si>
  <si>
    <t>A) The final round is played to break the tie. , B) The player with the most successful techniques is declared the winner. , C) The match is declared a draw. , D) The referee decides based on performance.</t>
  </si>
  <si>
    <t>A) The final round is played to break the tie.</t>
  </si>
  <si>
    <t>Player X performs a technique that results in Player Y falling outside the boundary of the ring. According to the rules of Mukna, what is the outcome?</t>
  </si>
  <si>
    <t>A) Player X wins the round. , B) Player Y wins the round. , C) The round is declared a draw. , D) The match is restarted.</t>
  </si>
  <si>
    <t>In Mukna, if Player A uses a move that causes Player B to fall and Player B's fall results in an injury, what is the appropriate course of action?</t>
  </si>
  <si>
    <t>A) Player A is disqualified. , B) The match is paused for medical evaluation. , C) Player B is declared the winner. , D) The round is replayed.</t>
  </si>
  <si>
    <t>B) The match is paused for medical evaluation.</t>
  </si>
  <si>
    <t>During a Mukna match, if Player X and Player Y each win 3 rounds out of 6, what is the procedure to determine the match winner?</t>
  </si>
  <si>
    <t>A) A final deciding round is played. , B) The match is declared a draw. , C) Player with more successful techniques is declared the winner. , D) Player with fewer falls is declared the winner.</t>
  </si>
  <si>
    <t>A) A final deciding round is played.</t>
  </si>
  <si>
    <t>If Player X is disqualified in a Mukna match for repeated fouls, how does this affect the rounds won by Player X?</t>
  </si>
  <si>
    <t>A) The rounds won by Player X are nullified. , B) The opponent is declared the winner of the match. , C) The match is restarted. , D) The points are awarded to Player X.</t>
  </si>
  <si>
    <t>A) The rounds won by Player X are nullified.</t>
  </si>
  <si>
    <t>During a Mukna competition, if both players fall at the same time and are unable to continue, what happens to the round score?</t>
  </si>
  <si>
    <t>A) The round is scored in favor of the player with fewer falls. , B) The round is declared a draw. , C) The match is paused and reviewed. , D) The round is replayed.</t>
  </si>
  <si>
    <t>B) The round is declared a draw.</t>
  </si>
  <si>
    <t>Player X executes a Mukna technique resulting in Player Y falling but Player Y protests that Player X used an illegal move. What should the referee do?</t>
  </si>
  <si>
    <t>A) Award the round to Player X. , B) Award the round to Player Y. , C) Review the protest and decide the outcome. , D) Disqualify Player X.</t>
  </si>
  <si>
    <t>C) Review the protest and decide the outcome.</t>
  </si>
  <si>
    <t>In Mukna, if Player X and Player Y each win 3 rounds out of 5, how is the overall winner determined?</t>
  </si>
  <si>
    <t>A) The player who won the last round is declared the winner. , B) A final deciding round is played. , C) The match is declared a draw. , D) The player with the more aggressive play style is declared the winner.</t>
  </si>
  <si>
    <t>B) A final deciding round is played.</t>
  </si>
  <si>
    <t>If a Mukna match ends in a tie and both players have won an equal number of rounds, what is the standard procedure?</t>
  </si>
  <si>
    <t>A) The match is replayed. , B) A sudden-death round is played. , C) The player with fewer falls is declared the winner. , D) The match is declared a draw.</t>
  </si>
  <si>
    <t>B) A sudden-death round is played.</t>
  </si>
  <si>
    <t>During a Mukna bout, if Player X executes a successful technique that leads to Player Y falling but Player Y quickly recovers, what happens to the round score?</t>
  </si>
  <si>
    <t>In a Mukna competition, what happens if a player is caught using performance-enhancing substances?</t>
  </si>
  <si>
    <t>A) The player is disqualified. , B) The match is replayed. , C) The player is awarded a warning. , D) The player is allowed to continue with a penalty.</t>
  </si>
  <si>
    <t>A) The player is disqualified.</t>
  </si>
  <si>
    <t>Player A and Player B are in a Mukna match. If Player A wins the first 4 rounds and Player B wins the next 3 rounds, who is declared the overall winner?</t>
  </si>
  <si>
    <t>A) Player A , B) Player B , C) The match is replayed , D) A final deciding round is played</t>
  </si>
  <si>
    <t>During a Mukna match, if Player X and Player Y are tied at 4 rounds each, what is the typical procedure to determine the winner?</t>
  </si>
  <si>
    <t>A) A final deciding round is played. , B) The match is declared a draw. , C) The player with the most successful techniques is declared the winner. , D) The match is replayed.</t>
  </si>
  <si>
    <t>In Mukna, if Player A uses a move that is later found to be illegal, but Player B falls as a result, what is the usual outcome of the round?</t>
  </si>
  <si>
    <t>A) Player A is disqualified. , B) Player B is declared the winner of the round. , C) The round is replayed. , D) The match continues.</t>
  </si>
  <si>
    <t>B) Player B is declared the winner of the round.</t>
  </si>
  <si>
    <t>Player X and Player Y are competing in a Mukna bout. If Player X wins 3 rounds and Player Y wins 2 rounds, but both players are tied in falls, what happens next?</t>
  </si>
  <si>
    <t>A) The match continues until one player wins another round. , B) A final deciding round is played. , C) The match is declared a draw. , D) The player with fewer falls is declared the winner.</t>
  </si>
  <si>
    <t>During a Mukna bout, if Player X is injured due to Player Y’s technique, what is the typical response according to the rules?</t>
  </si>
  <si>
    <t>A) Player Y is disqualified. , B) The match is paused for medical evaluation. , C) Player X is declared the winner. , D) The match continues.</t>
  </si>
  <si>
    <t>In a Mukna match, if Player X and Player Y each win 2 rounds out of 5, how is the final winner determined?</t>
  </si>
  <si>
    <t>A) A final round is played to determine the winner. , B) The match is declared a draw. , C) The player with the most successful techniques is declared the winner. , D) The match is replayed.</t>
  </si>
  <si>
    <t>A) A final round is played to determine the winner.</t>
  </si>
  <si>
    <t>During a Mukna competition, if both players fall simultaneously but Player X is able to regain balance quicker, how should the round be scored?</t>
  </si>
  <si>
    <t>A) Player X wins the round. , B) Player Y wins the round. , C) The round is declared a draw. , D) The match is paused and reviewed.</t>
  </si>
  <si>
    <t>If Player A is disqualified in a Mukna bout for repeatedly using illegal moves, what happens to the points or rounds won by Player A?</t>
  </si>
  <si>
    <t>A) They are nullified. , B) They are transferred to Player B. , C) The match is restarted. , D) Player B is declared the winner.</t>
  </si>
  <si>
    <t>A) They are nullified.</t>
  </si>
  <si>
    <t>In a Mukna match, if both players fall outside the boundary of the ring at the same time, how is the round typically scored?</t>
  </si>
  <si>
    <t>A) The round is declared a draw. , B) Player with fewer falls is declared the winner. , C) A rematch is scheduled. , D) The match is paused.</t>
  </si>
  <si>
    <t>A) The round is declared a draw.</t>
  </si>
  <si>
    <t>During a Mukna bout, if Player X performs a technique that results in Player Y falling but Player X is injured in the process, what is the usual outcome?</t>
  </si>
  <si>
    <t>A) Player X is declared the winner. , B) Player Y is declared the winner. , C) The match is paused for medical evaluation. , D) The match is declared a draw.</t>
  </si>
  <si>
    <t>Player A and Player B are competing in a Mukna match. If Player A wins 4 rounds and Player B wins 3 rounds, but Player B protests an illegal move by Player A, how is the round decided?</t>
  </si>
  <si>
    <t>A) Player A is disqualified. , B) The round is reviewed and a decision is made based on fairness. , C) Player B is awarded the round. , D) The match is restarted.</t>
  </si>
  <si>
    <t>B) The round is reviewed and a decision is made based on fairness.</t>
  </si>
  <si>
    <t>In a Mukna competition, if Player X and Player Y are tied after 7 rounds, what is the usual procedure to determine the winner?</t>
  </si>
  <si>
    <t>A) A final deciding round is played. , B) The match is declared a draw. , C) The player with fewer falls is declared the winner. , D) The match is replayed.</t>
  </si>
  <si>
    <t>If Player X uses a technique that causes Player Y to fall, but Player Y falls outside the boundary of the ring, who is declared the winner of the round?</t>
  </si>
  <si>
    <t>A) Player X , B) Player Y , C) The round is declared a draw , D) The match is restarted</t>
  </si>
  <si>
    <t>During a Mukna bout, if Player X and Player Y each win 3 rounds and neither player has a significant advantage, what is the standard protocol?</t>
  </si>
  <si>
    <t>A) A final deciding round is played. , B) The match is declared a draw. , C) The player with the most successful techniques is declared the winner. , D) The match is paused and reviewed.</t>
  </si>
  <si>
    <t>In Mukna, if Player X and Player Y are tied in rounds but Player X has a clear advantage in technique, what typically determines the match outcome?</t>
  </si>
  <si>
    <t>A) A final deciding round is played. , B) The player with the most technique points is declared the winner. , C) The match is declared a draw. , D) The player with fewer falls is declared the winner.</t>
  </si>
  <si>
    <t>If Player X and Player Y fall simultaneously during a Mukna match, but Player X’s fall was due to a technique while Player Y’s was accidental, how should the round be scored?</t>
  </si>
  <si>
    <t>In a Mukna competition, if Player A performs a technique that results in Player B falling, but Player B claims the move was illegal, what is the usual procedure?</t>
  </si>
  <si>
    <t>A) Player A is disqualified. , B) The round is awarded to Player B. , C) The move is reviewed and a decision is made. , D) The match continues.</t>
  </si>
  <si>
    <t>C) The move is reviewed and a decision is made.</t>
  </si>
  <si>
    <t>Player X and Player Y are competing in a Mukna bout. If Player X wins 3 rounds and Player Y wins 3 rounds, but Player Y’s final round win was due to Player X’s error, what is the outcome?</t>
  </si>
  <si>
    <t>A) Player X is declared the winner. , B) Player Y is declared the winner. , C) The match is declared a draw. , D) A final deciding round is played.</t>
  </si>
  <si>
    <t>D) A final deciding round is played.</t>
  </si>
  <si>
    <t>During a Mukna match, if both players fall outside the ring at the same time and neither can continue, how should the round be scored?</t>
  </si>
  <si>
    <t>A) The round is declared a draw. , B) The match is restarted. , C) Player with fewer falls is declared the winner. , D) The match is paused and reviewed.</t>
  </si>
  <si>
    <t>If a Mukna match ends in a tie and both players have won an equal number of rounds, what is the standard protocol?</t>
  </si>
  <si>
    <t>In Mukna, if Player X and Player Y each win 3 rounds and are tied in falls, what is the typical procedure for determining the winner?</t>
  </si>
  <si>
    <t>During a Mukna bout, if Player X executes a technique that causes Player Y to fall but Player X also falls immediately after, how is the round decided?</t>
  </si>
  <si>
    <t>In a Mukna match, if Player X performs an illegal technique leading to Player Y falling, what is the typical outcome of the round?</t>
  </si>
  <si>
    <t>A) Player X is disqualified. , B) Player Y is declared the winner of the round. , C) The round is replayed. , D) The match continues.</t>
  </si>
  <si>
    <t>B) Player Y is declared the winner of the round.</t>
  </si>
  <si>
    <t>If a Mukna match is interrupted due to an injury, what is the usual procedure for resuming the match?</t>
  </si>
  <si>
    <t>A) The match is paused and resumed later. , B) The match is restarted from the beginning. , C) The match is declared a draw. , D) The injured player is substituted.</t>
  </si>
  <si>
    <t>During a Mukna bout, if Player X and Player Y fall simultaneously but Player X’s fall was due to a technique and Player Y’s was accidental, how is the round scored?</t>
  </si>
  <si>
    <t>In a Mukna competition, if both players have won an equal number of rounds and the match is tied, what determines the winner?</t>
  </si>
  <si>
    <t>If Player X and Player Y are in a Mukna bout and Player X wins 4 rounds while Player Y wins 3, but Player Y protests an illegal move, what is the appropriate response?</t>
  </si>
  <si>
    <t>A) The match is paused and reviewed. , B) Player X is disqualified. , C) Player Y is declared the winner. , D) The match continues.</t>
  </si>
  <si>
    <t>A) The match is paused and reviewed.</t>
  </si>
  <si>
    <t>During a Mukna match, if both players fall simultaneously and neither player can continue, what is the usual outcome of the round?</t>
  </si>
  <si>
    <t>A) The round is declared a draw. , B) The match is restarted. , C) Player with fewer falls is declared the winner. , D) The match is paused.</t>
  </si>
  <si>
    <t>In a Mukna bout, if Player X executes a move that causes Player Y to fall but Player X is injured during the process, how is the round typically decided?</t>
  </si>
  <si>
    <t>Player X and Player Y are competing in a Mukna match. If Player X wins 3 rounds and Player Y wins 3 rounds, and Player X’s final round win was due to an error by Player Y, what happens next?</t>
  </si>
  <si>
    <t>A) A final deciding round is played. , B) Player X is declared the winner. , C) The match is declared a draw. , D) Player Y is declared the winner.</t>
  </si>
  <si>
    <t>In Mukna, if Player X and Player Y each win 3 rounds and are tied in falls, what is the usual procedure to determine the winner?</t>
  </si>
  <si>
    <t>During a Mukna bout, if Player X performs a technique that causes Player Y to fall and Player Y protests the legality of the move, what is the appropriate action?</t>
  </si>
  <si>
    <t>A) Player X is disqualified. , B) The round is reviewed and a decision is made. , C) Player Y is declared the winner. , D) The match is restarted.</t>
  </si>
  <si>
    <t>B) The round is reviewed and a decision is made.</t>
  </si>
  <si>
    <t>In a Mukna competition, if Player X and Player Y are tied in rounds and falls, what is the standard procedure to determine the winner?</t>
  </si>
  <si>
    <t>A) A final deciding round is played. , B) The match is declared a draw. , C) The player with more successful techniques is declared the winner. , D) The match is replayed.</t>
  </si>
  <si>
    <t>If Player X and Player Y are in a Mukna match and Player X wins 4 rounds while Player Y wins 3, but Player Y protests an illegal move by Player X, what is the typical response?</t>
  </si>
  <si>
    <t>During a Mukna bout, if Player X executes a technique that causes Player Y to fall outside the ring but Player Y lands back inside before the referee's count of 10, who is declared the winner?</t>
  </si>
  <si>
    <t>If both players fall simultaneously during a Mukna bout and neither can continue, what is the typical outcome of the round?</t>
  </si>
  <si>
    <t>In Mukna, if Player X and Player Y are tied in rounds and Player X has a clear advantage in technique but falls during the final round, how is the match typically decided?</t>
  </si>
  <si>
    <t>A) Player Y wins the match. , B) Player X wins the match. , C) The match is declared a draw. , D) A final deciding round is played.</t>
  </si>
  <si>
    <t>If Player X performs a move that results in Player Y falling, but Player Y claims that Player X’s move was illegal, what is the standard procedure?</t>
  </si>
  <si>
    <t>A) The move is reviewed by the referee. , B) Player X is disqualified. , C) Player Y is declared the winner. , D) The round is replayed.</t>
  </si>
  <si>
    <t>A) The move is reviewed by the referee.</t>
  </si>
  <si>
    <t>During a Mukna bout, if Player X wins 3 rounds and Player Y wins 3 rounds, and Player X’s last win was due to a controversial move, what typically happens next?</t>
  </si>
  <si>
    <t>A) A final deciding round is played. , B) Player X is declared the winner. , C) The match is declared a draw. , D) The match is restarted.</t>
  </si>
  <si>
    <t>If Player X and Player Y are tied in rounds and falls during a Mukna match, and both players perform an equal number of successful techniques, what is the usual procedure?</t>
  </si>
  <si>
    <t>In a Mukna competition, if Player X performs a technique that causes Player Y to fall but Player X also falls immediately afterward, how is the round usually scored?</t>
  </si>
  <si>
    <t>A) Player Y wins the round. , B) Player X wins the round. , C) The round is declared a draw. , D) The match is restarted.</t>
  </si>
  <si>
    <t>A) Player Y wins the round.</t>
  </si>
  <si>
    <t>If Player X and Player Y fall simultaneously during a Mukna match but Player X’s fall was due to an illegal move by Player Y, how is the round typically decided?</t>
  </si>
  <si>
    <t>During a Mukna bout, if Player X wins 4 rounds and Player Y wins 3 rounds, but Player Y protests an illegal move by Player X, what is the usual procedure?</t>
  </si>
  <si>
    <t>If both Player X and Player Y fall outside the ring simultaneously and neither can continue, what is the typical result of the round?</t>
  </si>
  <si>
    <t>In Mukna, if Player X executes a successful technique causing Player Y to fall and Player Y claims the technique was illegal, what is the standard outcome?</t>
  </si>
  <si>
    <t>A) The move is reviewed and a decision is made. , B) Player X is disqualified. , C) Player Y is declared the winner. , D) The match is restarted.</t>
  </si>
  <si>
    <t>A) The move is reviewed and a decision is made.</t>
  </si>
  <si>
    <t>During a Mukna match, if both players are tied in falls and rounds, what is the typical procedure to determine the winner?</t>
  </si>
  <si>
    <t>If Player X and Player Y each win 3 rounds in a Mukna match and are tied in falls, what is the usual procedure for determining the winner?</t>
  </si>
  <si>
    <t>During a Mukna bout, if Player X falls due to an illegal move by Player Y, who is declared the winner of the round?</t>
  </si>
  <si>
    <t>If Player X and Player Y are competing in a Mukna match and Player X wins 4 rounds while Player Y wins 3, but Player Y protests an illegal technique, what happens next?</t>
  </si>
  <si>
    <t>During a Mukna bout, if Player X performs a technique that causes Player Y to fall, but Player X also falls immediately after, what is the usual outcome of the round?</t>
  </si>
  <si>
    <t>In Mukna, if Player X and Player Y fall simultaneously during a bout, but Player X’s fall was due to a technique and Player Y’s was accidental, how is the round decided?</t>
  </si>
  <si>
    <t>If Player X and Player Y are tied in falls and rounds, and Player X’s final round win was due to Player Y’s error, what is the outcome?</t>
  </si>
  <si>
    <t>During a Mukna match, if Player X performs an illegal technique leading to Player Y falling, what is the usual outcome of the round?</t>
  </si>
  <si>
    <t>A) Player Y is declared the winner of the round. , B) Player X is disqualified. , C) The round is replayed. , D) The match continues.</t>
  </si>
  <si>
    <t>A) Player Y is declared the winner of the round.</t>
  </si>
  <si>
    <t>In a Mukna bout, if both players fall outside the ring simultaneously and neither can continue, how is the round typically scored?</t>
  </si>
  <si>
    <t>If Player X and Player Y are tied in falls and rounds during a Mukna bout, what typically determines the winner?</t>
  </si>
  <si>
    <t>If Player X wins 4 rounds and Player Y wins 3 rounds in Mukna, and Player Y protests an illegal move by Player X, what is the usual procedure?</t>
  </si>
  <si>
    <t>During a Mukna bout, if Player X executes a technique that causes Player Y to fall but falls immediately afterward, what is the typical result of the round?</t>
  </si>
  <si>
    <t>In a Mukna match, if both players fall simultaneously and neither can continue, what is the usual outcome of the round?</t>
  </si>
  <si>
    <t>If Player X and Player Y are tied in falls and rounds, and Player X’s final win was due to a controversial move, what typically happens next?</t>
  </si>
  <si>
    <t>In Mukna, if Player X performs a technique that causes Player Y to fall, but Player X also falls immediately after, how is the round typically scored?</t>
  </si>
  <si>
    <t>During a Mukna bout, if both Player X and Player Y fall outside the ring at the same time and neither can continue, what is the typical result?</t>
  </si>
  <si>
    <t>If Player X and Player Y are tied in falls and rounds during a Mukna match, and Player X’s final win was due to Player Y’s error, what happens next?</t>
  </si>
  <si>
    <t>In Mukna, if Player X performs an illegal move that leads to Player Y’s fall, what is the usual outcome of the round?</t>
  </si>
  <si>
    <t>A) Player Y is declared the winner. , B) Player X is disqualified. , C) The round is replayed. , D) The match continues.</t>
  </si>
  <si>
    <t>A) Player Y is declared the winner.</t>
  </si>
  <si>
    <t>During a Mukna match, if Player X and Player Y fall simultaneously and neither can continue, how is the round usually decided?</t>
  </si>
  <si>
    <t>If Player X wins 4 rounds and Player Y wins 3 rounds in Mukna, and Player Y protests an illegal technique by Player X, what is the usual procedure?</t>
  </si>
  <si>
    <t>During a Mukna bout, if Player X executes a technique that causes Player Y to fall, but Player X also falls immediately afterward, how is the round scored?</t>
  </si>
  <si>
    <t>In a Mukna match, if both Player X and Player Y fall outside the ring simultaneously and neither can continue, how is the round typically scored?</t>
  </si>
  <si>
    <t>If Player X and Player Y are tied in falls and rounds, and Player X’s final win was due to a controversial move, what is the usual procedure?</t>
  </si>
  <si>
    <t>During a Mukna match, if Player X performs a technique that causes Player Y to fall, but Player X also falls immediately after, how is the round decided?</t>
  </si>
  <si>
    <t>In Mukna, if Player X and Player Y fall simultaneously during a bout, but Player X’s fall was due to an illegal move by Player Y, how is the round typically decided?</t>
  </si>
  <si>
    <t>If Player X and Player Y are tied in falls and rounds, and Player X’s final win was due to Player Y’s error, what is the usual outcome?</t>
  </si>
  <si>
    <t>In a Mukna bout, if Player X performs an illegal move leading to Player Y falling, what is the standard outcome of the round?</t>
  </si>
  <si>
    <t>During a Mukna match, if both Player X and Player Y fall outside the ring simultaneously and neither can continue, how is the round usually scored?</t>
  </si>
  <si>
    <t>In Mukna, if Player X performs a technique that causes Player Y to fall, but Player X also falls immediately afterward, how is the round typically scored?</t>
  </si>
  <si>
    <t>If Player X and Player Y are tied in falls and rounds during a Mukna bout, and Player X’s final win was due to Player Y’s error, what is the usual procedure?</t>
  </si>
  <si>
    <t>During a Mukna match, if Player X performs an illegal move that leads to Player Y’s fall, what is the standard outcome of the round?</t>
  </si>
  <si>
    <t>In Mukna, if Player X and Player Y are tied in falls and rounds, and Player X’s final win was due to Player Y’s error, what typically happens next?</t>
  </si>
  <si>
    <t>During a Mukna bout, if both Player X and Player Y fall outside the ring simultaneously and neither can continue, how is the round usually scored?</t>
  </si>
  <si>
    <t>In a Mukna bout, if Player X performs an illegal technique leading to Player Y’s fall, what is the usual outcome of the round?</t>
  </si>
  <si>
    <t>During a Mukna match, if both Player X and Player Y fall simultaneously and neither can continue, how is the round typically scored?</t>
  </si>
  <si>
    <t>In Mukna, if Player X executes a successful technique causing Player Y to fall, but Player X also falls immediately after, how is the round decided?</t>
  </si>
  <si>
    <t>In Mukna, if Player X performs an illegal technique leading to Player Y’s fall, what is the standard outcome of the round?</t>
  </si>
  <si>
    <t>If Player X and Player Y are tied in falls and rounds, and Player X’s final win was due to Player Y’s error, what is the usual procedure?</t>
  </si>
  <si>
    <t>During a Mukna match, if Player X performs an illegal technique that leads to Player Y’s fall, what is the usual outcome of the round?</t>
  </si>
  <si>
    <t>In Mukna, if Player X and Player Y fall simultaneously and neither can continue, what is the usual result of the round?</t>
  </si>
  <si>
    <t>If Player X and Player Y are tied in falls and rounds during a Mukna bout, and Player X’s final win was due to Player Y’s error, what typically happens next?</t>
  </si>
  <si>
    <t>During a Mukna match, if Player X performs a technique that causes Player Y to fall, but Player X also falls immediately after, how is the round scored?</t>
  </si>
  <si>
    <t>In a Mukna bout, if Player X and Player Y fall outside the ring simultaneously and neither can continue, how is the round typically scored?</t>
  </si>
  <si>
    <t>During a Mukna match, if Player X performs an illegal move leading to Player Y’s fall, what is the standard outcome of the round?</t>
  </si>
  <si>
    <t>During a Mukna match, if Player X uses an illegal technique that causes Player Y to fall, what is the usual outcome of the round?</t>
  </si>
  <si>
    <t>If Player X wins 5 rounds and Player Y wins 3 rounds, but Player Y disputes a call made by the referee, what usually happens?</t>
  </si>
  <si>
    <t>A) The match is paused and reviewed. , B) Player Y is declared the winner. , C) Player X is disqualified. , D) The match continues as is.</t>
  </si>
  <si>
    <t>In a Mukna bout, if both players fall outside the ring at the same time and neither can continue, what is the typical result?</t>
  </si>
  <si>
    <t>During a Mukna match, if Player X performs a technique that causes Player Y to fall but Player X also falls immediately after, how is the round decided?</t>
  </si>
  <si>
    <t>If Player X and Player Y are tied in falls and rounds, and Player X’s final win was due to an illegal move by Player Y, what is the usual procedure?</t>
  </si>
  <si>
    <t>A) Player X is declared the winner. , B) The match is declared a draw. , C) A final deciding round is played. , D) Player Y is declared the winner.</t>
  </si>
  <si>
    <t>C) A final deciding round is played.</t>
  </si>
  <si>
    <t>In a Mukna bout, if Player X and Player Y both fall simultaneously and neither can continue, what is the usual outcome of the round?</t>
  </si>
  <si>
    <t>If Player X performs a technique that causes Player Y to fall but Player X also falls immediately after, how is the round typically scored in Mukna?</t>
  </si>
  <si>
    <t>During a Mukna match, if Player X and Player Y fall outside the ring simultaneously and neither can continue, how is the round usually decided?</t>
  </si>
  <si>
    <t>In Mukna, if Player X performs an illegal technique that leads to Player Y’s fall, what is the usual outcome of the round?</t>
  </si>
  <si>
    <t>During a Mukna bout, if both Player X and Player Y fall outside the ring at the same time and neither can continue, how is the round typically scored?</t>
  </si>
  <si>
    <t>In Mukna, if Player X executes a technique that causes Player Y to fall but Player X also falls immediately afterward, how is the round decided?</t>
  </si>
  <si>
    <t>During a Mukna match, if both Player X and Player Y fall simultaneously and neither can continue, how is the round usually decided?</t>
  </si>
  <si>
    <t>If Player X and Player Y are tied in falls and rounds, and Player X’s final win was due to an illegal move by Player Y, what is the usual outcome?</t>
  </si>
  <si>
    <t>In Mukna, if Player X performs a technique that causes Player Y to fall but Player X also falls immediately afterward, how is the round scored?</t>
  </si>
  <si>
    <t>During a Mukna match, if both Player X and Player Y fall outside the ring simultaneously and neither can continue, how is the round usually decided?</t>
  </si>
  <si>
    <t>During a Mukna bout, if Player X and Player Y fall simultaneously and neither can continue, what is the typical result of the round?</t>
  </si>
  <si>
    <t>If Player X performs an illegal technique that leads to Player Y’s fall, what is the standard outcome of the round in Mukna?</t>
  </si>
  <si>
    <t>During a Mukna match, if both Player X and Player Y fall outside the ring at the same time and neither can continue, how is the round typically scored?</t>
  </si>
  <si>
    <t>During a Mukna match, if Player X and Player Y fall simultaneously and neither can continue, what is the typical result of the round?</t>
  </si>
  <si>
    <t>If Player X and Player Y are tied in falls and rounds during a Mukna bout, and Player X’s final win was due to Player Y’s error, what is the usual outcome?</t>
  </si>
  <si>
    <t>During a Mukna bout, if both Player X and Player Y fall outside the ring at the same time and neither can continue, how is the round usually decided?</t>
  </si>
  <si>
    <t>If Player X performs a technique that causes Player Y to fall but Player X also falls immediately afterward, how is the round typically scored in Mukna?</t>
  </si>
  <si>
    <t>During a Mukna match, if Player X and Player Y fall simultaneously and neither can continue, what is the usual result of the round?</t>
  </si>
  <si>
    <t>If Player X performs an illegal technique that causes Player Y to fall, what is the standard outcome of the round in Mukna?</t>
  </si>
  <si>
    <t>In a Mukna match, if Player X and Player Y fall outside the ring simultaneously and neither can continue, how is the round usually scored?</t>
  </si>
  <si>
    <t>During a Mukna match, if Player X executes a technique that causes Player Y to fall but Player X also falls immediately afterward, how is the round decided?</t>
  </si>
  <si>
    <t>If Player X and Player Y fall outside the ring simultaneously and neither can continue, how is the round typically decided in Mukna?</t>
  </si>
  <si>
    <t>In Mukna, if Player X and Player Y are tied in falls and rounds, and Player X’s final win was due to Player Y’s error, what is the usual outcome?</t>
  </si>
  <si>
    <t>During a Mukna bout, if Player X and Player Y fall simultaneously and neither can continue, how is the round usually scored?</t>
  </si>
  <si>
    <t>If Player X performs an illegal move that causes Player Y to fall, what is the usual outcome of the round in Mukna?</t>
  </si>
  <si>
    <t>In Mukna, if Player X and Player Y fall simultaneously and neither can continue, how is the round usually decided?</t>
  </si>
  <si>
    <t>During a Mukna match, if Player X performs an illegal technique that leads to Player Y’s fall, what is the standard outcome of the round?</t>
  </si>
  <si>
    <t>If Player X and Player Y fall outside the ring simultaneously and neither can continue, how is the round typically scored in Mukna?</t>
  </si>
  <si>
    <t>During a Mukna bout, if both Player X and Player Y fall simultaneously and neither can continue, how is the round typically decided?</t>
  </si>
  <si>
    <t>If Player X performs an illegal technique that causes Player Y to fall, what is the usual outcome of the round in Mukna?</t>
  </si>
  <si>
    <t>In Mukna, if Player X and Player Y fall simultaneously and neither can continue, how is the round usually scored?</t>
  </si>
  <si>
    <t>During a Mukna match, if both Player X and Player Y fall outside the ring at the same time and neither can continue, how is the round usually decided?</t>
  </si>
  <si>
    <t>If Player X performs a successful technique and Player Y falls but Player X also loses balance and falls afterward, how is the round decided?</t>
  </si>
  <si>
    <t>In Mukna, if Player X and Player Y fall simultaneously outside the ring and neither can continue, what is the usual result?</t>
  </si>
  <si>
    <t>A) The round is declared a draw. , B) Player X is declared the winner. , C) Player Y is declared the winner. , D) The match is restarted.</t>
  </si>
  <si>
    <t>If Player X performs an illegal move that causes Player Y to fall, what happens in Mukna?</t>
  </si>
  <si>
    <t>A) Player Y is declared the winner. , B) Player X is disqualified. , C) The match is paused. , D) The round is replayed.</t>
  </si>
  <si>
    <t>During a Mukna match, if Player X and Player Y fall at the same time and neither can continue, how is the round typically decided?</t>
  </si>
  <si>
    <t>In Mukna, if Player X and Player Y are tied in falls and rounds, and Player X’s final win was due to an error by Player Y, what is the usual outcome?</t>
  </si>
  <si>
    <t>If both Player X and Player Y fall simultaneously and neither can continue, how is the round typically scored in Mukna?</t>
  </si>
  <si>
    <t>A) The round is declared a draw. , B) The match is restarted. , C) Player X is declared the winner. , D) Player Y is declared the winner.</t>
  </si>
  <si>
    <t>During a Mukna bout, if Player X executes a technique that causes Player Y to fall but also loses balance and falls afterward, who wins the round?</t>
  </si>
  <si>
    <t>In Mukna, if both Player X and Player Y fall outside the ring at the same time and neither can continue, what is the typical result?</t>
  </si>
  <si>
    <t>If Player X performs an illegal move that results in Player Y falling, what is the standard outcome of the round in Mukna?</t>
  </si>
  <si>
    <t>During a Mukna match, if Player X and Player Y fall simultaneously and neither can continue, how is the round typically decided?</t>
  </si>
  <si>
    <t>In Mukna, if Player X and Player Y are tied in falls and rounds, and Player X’s final win was due to Player Y’s mistake, what happens next?</t>
  </si>
  <si>
    <t>If both Player X and Player Y fall outside the ring at the same time and neither can continue, what is the usual result in Mukna?</t>
  </si>
  <si>
    <t>During a Mukna match, if Player X executes a technique that causes Player Y to fall but also falls afterward, how is the round scored?</t>
  </si>
  <si>
    <t>In Mukna, if Player X and Player Y fall simultaneously and neither can continue, how is the round typically decided?</t>
  </si>
  <si>
    <t>During a Mukna bout, if both Player X and Player Y fall simultaneously and neither can continue, how is the round typically scored?</t>
  </si>
  <si>
    <t>In Mukna, if Player X and Player Y are tied in falls and rounds, and Player X’s final win was due to an error by Player Y, what is the usual procedure?</t>
  </si>
  <si>
    <t>If both Player X and Player Y fall outside the ring simultaneously and neither can continue, how is the round typically decided in Mukna?</t>
  </si>
  <si>
    <t>During a Mukna match, if Player X performs a successful technique that causes Player Y to fall, but Player X also falls afterward, who wins the round?</t>
  </si>
  <si>
    <t>In Mukna, if Player X and Player Y fall simultaneously and neither can continue, how is the round typically scored?</t>
  </si>
  <si>
    <t>During a Mukna bout, if Player X and Player Y fall simultaneously outside the ring and neither can continue, how is the round usually decided?</t>
  </si>
  <si>
    <t>If Player X executes a technique that causes Player Y to fall but also falls immediately afterward, how is the round scored in Mukna?</t>
  </si>
  <si>
    <t>In Mukna, if both Player X and Player Y fall simultaneously and neither can continue, how is the round typically scored?</t>
  </si>
  <si>
    <t>During a Mukna match, if Player X performs an illegal technique that causes Player Y to fall, what is the usual outcome of the round?</t>
  </si>
  <si>
    <t>If Player X and Player Y fall outside the ring simultaneously and neither can continue, how is the round usually decided in Mukna?</t>
  </si>
  <si>
    <t>In Mukna, if Player X performs a successful technique and causes Player Y to fall, but Player X also falls afterward, how is the round typically decided?</t>
  </si>
  <si>
    <t>During a Mukna match, if both Player X and Player Y fall simultaneously and neither can continue, how is the round usually scored?</t>
  </si>
  <si>
    <t>If Player X executes an illegal move that results in Player Y falling, what is the usual outcome in Mukna?</t>
  </si>
  <si>
    <t>During a Mukna bout, if both Player X and Player Y fall outside the ring at the same time and neither can continue, what is the usual result?</t>
  </si>
  <si>
    <t>If Player X performs a technique that causes Player Y to fall but Player X also loses balance and falls afterward, who wins the round?</t>
  </si>
  <si>
    <t>During a Mukna match, if Player X performs an illegal technique that causes Player Y to fall, what is the usual result of the round?</t>
  </si>
  <si>
    <t>If both Player X and Player Y fall outside the ring simultaneously and neither can continue, how is the round typically scored in Mukna?</t>
  </si>
  <si>
    <t>In Mukna, if Player X performs a successful technique and causes Player Y to fall, but Player X also falls afterward, how is the round decided?</t>
  </si>
  <si>
    <t>During a Mukna match, if Player X and Player Y fall simultaneously and neither can continue, how is the round typically scored?</t>
  </si>
  <si>
    <t>If Player X performs an illegal move that results in Player Y falling, what is the usual outcome of the round in Mukna?</t>
  </si>
  <si>
    <t>If Player X executes a technique that causes Player Y to fall but Player X also falls immediately afterward, who wins the round in Mukna?</t>
  </si>
  <si>
    <t>In Mukna, if both Player X and Player Y fall simultaneously and neither can continue, how is the round typically decided?</t>
  </si>
  <si>
    <t>In Mukna, if Player X performs a successful technique that causes Player Y to fall, but Player X also loses balance and falls afterward, how is the round decided?</t>
  </si>
  <si>
    <t>If Player X performs an illegal technique that results in Player Y falling, what is the usual outcome of the round in Mukna?</t>
  </si>
  <si>
    <t>If Player X performs a technique that causes Player Y to fall but Player X also falls afterward, who wins the round in Mukna?</t>
  </si>
  <si>
    <t>If both Player X and Player Y fall outside the ring simultaneously and neither can continue, how is the round usually decided in Mukna?</t>
  </si>
  <si>
    <t>In Mukna, if Player X performs a successful technique and causes Player Y to fall, but Player X also loses balance and falls afterward, how is the round decided?</t>
  </si>
  <si>
    <t>In Mukna, if Player X executes a successful technique that causes Player Y to fall, but Player Y manages to recover and get back up within the allowed time, what is the outcome?</t>
  </si>
  <si>
    <t>A) Player X wins the round. , B) Player Y wins the round. , C) The round is replayed. , D) The match is restarted.</t>
  </si>
  <si>
    <t>If Player X and Player Y fall simultaneously outside the ring and neither can continue, how is the round typically decided in Mukna?</t>
  </si>
  <si>
    <t>A) The round is declared a draw. , B) Player X wins the round. , C) Player Y wins the round. , D) The match is restarted.</t>
  </si>
  <si>
    <t>During a Mukna match, if Player X performs a technique that causes Player Y to fall but Player X falls immediately after, what is the typical decision for the round?</t>
  </si>
  <si>
    <t>A) Player Y wins the round. , B) Player X wins the round. , C) The round is replayed. , D) The match is restarted.</t>
  </si>
  <si>
    <t>In Mukna, if Player X performs an illegal technique that causes Player Y to fall, what is the usual consequence?</t>
  </si>
  <si>
    <t>If both Player X and Player Y fall outside the ring at the same time and neither can continue, what is the standard outcome in Mukna?</t>
  </si>
  <si>
    <t>During a Mukna match, if Player X performs a valid technique that causes Player Y to fall but Player X also loses balance and falls, how is the round typically scored?</t>
  </si>
  <si>
    <t>If Player X and Player Y fall simultaneously and neither can continue, how is the round usually decided in Mukna?</t>
  </si>
  <si>
    <t>In Mukna, if Player X performs a technique that results in Player Y falling, but Player X also falls immediately afterward, who wins the round?</t>
  </si>
  <si>
    <t>If Player X executes an illegal move that causes Player Y to fall, what is the typical outcome of the round in Mukna?</t>
  </si>
  <si>
    <t>If Player X performs a successful technique and causes Player Y to fall, but Player X also falls afterward, who is the winner of the round in Mukna?</t>
  </si>
  <si>
    <t>In Mukna, if both Player X and Player Y fall simultaneously and neither can continue, what is the standard outcome of the round?</t>
  </si>
  <si>
    <t>If Player X performs an illegal technique that results in Player Y falling, what is the usual result of the round in Mukna?</t>
  </si>
  <si>
    <t>During a Mukna match, if both Player X and Player Y fall outside the ring simultaneously and neither can continue, how is the round typically scored?</t>
  </si>
  <si>
    <t>In Mukna, if Player X executes a technique that causes Player Y to fall, but Player X also falls immediately afterward, who wins the round?</t>
  </si>
  <si>
    <t>If both Player X and Player Y fall simultaneously and neither can continue, how is the round typically decided in Mukna?</t>
  </si>
  <si>
    <t>During a Mukna match, if Player X performs an illegal move that causes Player Y to fall, what is the usual outcome of the round?</t>
  </si>
  <si>
    <t>If Player X and Player Y fall outside the ring simultaneously and neither can continue, what is the standard result in Mukna?</t>
  </si>
  <si>
    <t>In Mukna, if Player X performs a successful technique that causes Player Y to fall, but Player X also falls afterward, how is the round typically decided?</t>
  </si>
  <si>
    <t>During a Mukna bout, if both Player X and Player Y fall simultaneously and neither can continue, how is the round usually scored?</t>
  </si>
  <si>
    <t>If Player X executes an illegal technique that causes Player Y to fall, what is the usual outcome of the round in Mukna?</t>
  </si>
  <si>
    <t>During a Mukna match, if both Player X and Player Y fall outside the ring at the same time and neither can continue, how is the round typically decided?</t>
  </si>
  <si>
    <t>During a Mukna bout, if Player X performs a legal technique that causes Player Y to fall, but Player Y manages to get up within the allowed time, what happens next?</t>
  </si>
  <si>
    <t>A) Player X wins the round. , B) Player Y wins the round. , C) The round is replayed. , D) The match continues.</t>
  </si>
  <si>
    <t>If Player X and Player Y fall outside the ring simultaneously and neither can continue, how is the round decided in Mukna?</t>
  </si>
  <si>
    <t>In Mukna, if Player X performs a technique that causes Player Y to fall, but Player X also falls immediately afterward, who is declared the winner of the round?</t>
  </si>
  <si>
    <t>If Player X performs an illegal move resulting in Player Y falling, what is the usual result of the round in Mukna?</t>
  </si>
  <si>
    <t>If Player X performs a successful technique and causes Player Y to fall, but Player X also loses balance and falls afterward, who wins the round in Mukna?</t>
  </si>
  <si>
    <t>A) The round is declared a draw. , B) The match is restarted. , C) Player X wins the round. , D) Player Y wins the round.</t>
  </si>
  <si>
    <t>During a Mukna match, if Player X executes an illegal move resulting in Player Y falling, what is the usual outcome of the round?</t>
  </si>
  <si>
    <t>If Player X and Player Y fall outside the ring simultaneously and neither can continue, what is the usual decision in Mukna?</t>
  </si>
  <si>
    <t>If Player X performs a technique causing Player Y to fall, but Player X also falls immediately afterward, who wins the round in Mukna?</t>
  </si>
  <si>
    <t>During a Mukna bout, if Player X and Player Y fall simultaneously and neither can continue, how is the round typically scored?</t>
  </si>
  <si>
    <t>In Mukna, if Player X performs an illegal technique that causes Player Y to fall, what is the usual result of the round?</t>
  </si>
  <si>
    <t>If Player X and Player Y fall outside the ring simultaneously and neither can continue, what is the standard outcome in Mukna?</t>
  </si>
  <si>
    <t>During a Mukna match, if Player X performs a successful technique that causes Player Y to fall but Player X also falls afterward, how is the round typically decided?</t>
  </si>
  <si>
    <t>If both Player X and Player Y fall simultaneously and neither can continue, how is the round typically resolved in Mukna?</t>
  </si>
  <si>
    <t>In Mukna, if Player X performs an illegal move resulting in Player Y falling, what is the usual outcome?</t>
  </si>
  <si>
    <t>During a Mukna bout, if Player X and Player Y fall outside the ring at the same time and neither can continue, how is the round usually decided?</t>
  </si>
  <si>
    <t>If Player X performs a technique that causes Player Y to fall but Player X also falls immediately afterward, who wins the round in Mukna?</t>
  </si>
  <si>
    <t>In Mukna, if both Player X and Player Y fall simultaneously and neither can continue, how is the round typically resolved?</t>
  </si>
  <si>
    <t>During a Mukna match, if Player X executes an illegal technique that results in Player Y falling, what is the typical result of the round?</t>
  </si>
  <si>
    <t>If Player X and Player Y fall outside the ring simultaneously and neither can continue, what is the usual outcome in Mukna?</t>
  </si>
  <si>
    <t>In Mukna, if Player X performs a successful technique causing Player Y to fall, but Player X also falls afterward, who wins the round?</t>
  </si>
  <si>
    <t>In Mukna, if Player X performs an illegal technique that causes Player Y to fall, what is the usual decision for the round?</t>
  </si>
  <si>
    <t>If both Player X and Player Y fall outside the ring simultaneously and neither can continue, what is the standard outcome in Mukna?</t>
  </si>
  <si>
    <t>In Mukna, if Player X performs a technique that causes Player Y to fall but Player X also falls immediately afterward, how is the round usually decided?</t>
  </si>
  <si>
    <t>During a Mukna bout, if both Player X and Player Y fall simultaneously and neither can continue, how is the round typically resolved?</t>
  </si>
  <si>
    <t>In Mukna, if Player X performs an illegal technique that results in Player Y falling, what is the usual outcome of the round?</t>
  </si>
  <si>
    <t>If both Player X and Player Y fall outside the ring at the same time and neither can continue, how is the round typically scored in Mukna?</t>
  </si>
  <si>
    <t>In Mukna, if Player X performs a successful technique causing Player Y to fall, but Player X also falls afterward, how is the round typically decided?</t>
  </si>
  <si>
    <t>During a Mukna match, if Player X and Player Y fall simultaneously and neither can continue, what is the standard decision for the round?</t>
  </si>
  <si>
    <t>In Mukna, if Player X performs an illegal move that causes Player Y to fall, what is the typical result of the round?</t>
  </si>
  <si>
    <t>In Mukna, if Player X performs a technique that causes Player Y to fall, but Player X also falls immediately afterward, who is declared the winner?</t>
  </si>
  <si>
    <t>During a Mukna bout, if both Player X and Player Y fall simultaneously and neither can continue, what is the typical outcome?</t>
  </si>
  <si>
    <t>If Player X performs an illegal move that causes Player Y to fall, what is the usual decision for the round in Mukna?</t>
  </si>
  <si>
    <t>During a Mukna match, if both Player X and Player Y fall outside the ring simultaneously and neither can continue, how is the round usually resolved?</t>
  </si>
  <si>
    <t>In Mukna, if Player X executes a technique that causes Player Y to fall, but Player X also falls afterward, how is the round typically scored?</t>
  </si>
  <si>
    <t>If both Player X and Player Y fall simultaneously and neither can continue, how is the round usually decided in Mukna?</t>
  </si>
  <si>
    <t>In Mukna, if Player X performs an illegal move resulting in Player Y falling, what is the usual outcome of the round?</t>
  </si>
  <si>
    <t>In Mukna, if Player X performs a technique that causes Player Y to fall, but Player X also falls afterward, who wins the round?</t>
  </si>
  <si>
    <t>In Mukna, if Player X performs an illegal technique resulting in Player Y falling, what is the usual result of the round?</t>
  </si>
  <si>
    <t>During a Mukna match, if both Player X and Player Y fall outside the ring at the same time and neither can continue, how is the round usually resolved?</t>
  </si>
  <si>
    <t>If both Player X and Player Y fall simultaneously and neither can continue, what is the standard outcome for the round in Mukna?</t>
  </si>
  <si>
    <t>During a Mukna bout, if Player X and Player Y fall outside the ring simultaneously and neither can continue, how is the round usually decided?</t>
  </si>
  <si>
    <t>In Mukna, if Player X performs a technique causing Player Y to fall but Player X also falls afterward, how is the round typically decided?</t>
  </si>
  <si>
    <t>If Player X and Player Y fall simultaneously and neither can continue, what is the typical result of the round in Mukna?</t>
  </si>
  <si>
    <t>During a Mukna match, if Player X and Player Y fall outside the ring simultaneously and neither can continue, how is the round typically resolved?</t>
  </si>
  <si>
    <t>In Mukna, if Player X performs a technique that causes Player Y to fall, but Player X also falls immediately afterward, who wins the round?</t>
  </si>
  <si>
    <t>If Player X and Player Y fall simultaneously and neither can continue, how is the round usually scored in Mukna?</t>
  </si>
  <si>
    <t>In Mukna, if Player X performs an illegal move resulting in Player Y falling, what is the standard outcome of the round?</t>
  </si>
  <si>
    <t>During a Mukna match, if Player X and Player Y fall outside the ring simultaneously and neither can continue, what is the usual decision for the round?</t>
  </si>
  <si>
    <t>In Mukna, if Player X performs a successful technique causing Player Y to fall, but Player X also falls afterward, how is the round usually decided?</t>
  </si>
  <si>
    <t>If Player X and Player Y fall simultaneously and neither can continue, what is the standard decision for the round in Mukna?</t>
  </si>
  <si>
    <t>In a Mukna match, if Player X and Player Y both use illegal techniques during the same round, what is the typical outcome?</t>
  </si>
  <si>
    <t>A) Player X is disqualified. , B) Player Y is disqualified. , C) The round is declared a draw. , D) The match is restarted.</t>
  </si>
  <si>
    <t>During a Mukna bout, if Player X falls out of the ring but Player Y remains inside and does not continue, how is the round decided?</t>
  </si>
  <si>
    <t>If Player X executes a move that causes Player Y to fall, but Player X loses balance and falls immediately after, what is the typical ruling in Mukna?</t>
  </si>
  <si>
    <t>In Mukna, if Player X and Player Y both fall outside the ring simultaneously and neither can continue, how is the round typically resolved?</t>
  </si>
  <si>
    <t>During a Mukna match, if Player X uses an illegal technique that results in Player Y falling, what is the standard decision?</t>
  </si>
  <si>
    <t>If Player X performs a technique that causes Player Y to fall and Player X also falls afterward, who typically wins the round in Mukna?</t>
  </si>
  <si>
    <t>In a Mukna bout, if both Player X and Player Y fall out of the ring at the same time and neither can continue, what is the usual decision?</t>
  </si>
  <si>
    <t>If Player X and Player Y both use illegal techniques resulting in both falling out of the ring, how is the round usually decided in Mukna?</t>
  </si>
  <si>
    <t>A) The round is declared a draw. , B) Player X is disqualified. , C) Player Y is disqualified. , D) The match is restarted.</t>
  </si>
  <si>
    <t>In Mukna, if Player X performs a technique that causes Player Y to fall, and Player X also falls immediately afterward, what is the standard outcome for the round?</t>
  </si>
  <si>
    <t>During a Mukna match, if both players fall outside the ring simultaneously and neither can continue, what is the usual decision?</t>
  </si>
  <si>
    <t>If Player X executes a technique resulting in Player Y falling, but Player X also loses balance and falls afterward, who wins the round in Mukna?</t>
  </si>
  <si>
    <t>In Mukna, if both Player X and Player Y perform illegal techniques causing both to fall out of the ring, what is the standard ruling?</t>
  </si>
  <si>
    <t>During a Mukna bout, if Player X and Player Y both fall outside the ring simultaneously and neither can continue, how is the round typically resolved?</t>
  </si>
  <si>
    <t>If Player X performs an illegal move that causes Player Y to fall, and both players fall outside the ring simultaneously, how is the round usually decided in Mukna?</t>
  </si>
  <si>
    <t>In Mukna, if Player X performs a technique causing Player Y to fall, but Player X also falls immediately afterward, who is declared the winner?</t>
  </si>
  <si>
    <t>During a Mukna match, if both Player X and Player Y fall outside the ring at the same time and neither can continue, what is the standard outcome for the round?</t>
  </si>
  <si>
    <t>If Player X uses an illegal technique resulting in Player Y falling, but Player X also falls immediately afterward, how is the round usually decided in Mukna?</t>
  </si>
  <si>
    <t>In Mukna, if Player X and Player Y both fall simultaneously and neither can continue, how is the round typically resolved?</t>
  </si>
  <si>
    <t>During a Mukna bout, if Player X performs an illegal move that causes Player Y to fall, and both players fall outside the ring simultaneously, what is the standard decision for the round?</t>
  </si>
  <si>
    <t>In Mukna, if Player X performs a technique that causes Player Y to fall, but Player X also falls immediately afterward, what is the usual ruling for the round?</t>
  </si>
  <si>
    <t>If Player X and Player Y fall simultaneously outside the ring and neither can continue, what is the usual outcome of the round in Mukna?</t>
  </si>
  <si>
    <t>In Mukna, if Player X performs an illegal move causing Player Y to fall and both players subsequently fall out of the ring, how is the round usually decided?</t>
  </si>
  <si>
    <t>During a Mukna bout, if Player X performs a technique resulting in Player Y falling, and Player X also loses balance and falls, how is the round typically decided?</t>
  </si>
  <si>
    <t>In Mukna, if Player X and Player Y both fall simultaneously and neither can continue, what is the standard decision for the round?</t>
  </si>
  <si>
    <t>If Player X uses an illegal technique causing Player Y to fall, but both players then fall out of the ring, what is the usual ruling for the round in Mukna?</t>
  </si>
  <si>
    <t>In Mukna, if Player X performs a technique that causes Player Y to fall and Player X also falls immediately afterward, who typically wins the round?</t>
  </si>
  <si>
    <t>If Player X performs an illegal move that causes Player Y to fall, and Player X also falls out of the ring, how is the round typically resolved in Mukna?</t>
  </si>
  <si>
    <t>In Mukna, if Player X and Player Y both fall simultaneously and neither can continue, what is the standard outcome for the round?</t>
  </si>
  <si>
    <t>During a Mukna bout, if Player X performs an illegal technique that causes Player Y to fall, and both players subsequently fall outside the ring, what is the usual ruling for the round?</t>
  </si>
  <si>
    <t>If Player X performs a technique resulting in Player Y falling, but Player X also falls immediately afterward, who wins the round in Mukna?</t>
  </si>
  <si>
    <t>In Mukna, if both Player X and Player Y fall outside the ring simultaneously and neither can continue, what is the typical decision for the round?</t>
  </si>
  <si>
    <t>During a Mukna match, if Player X performs an illegal move causing Player Y to fall, and Player X also falls out of the ring, how is the round usually decided?</t>
  </si>
  <si>
    <t>In Mukna, if Player X and Player Y both fall simultaneously and neither can continue, what is the standard outcome of the round?</t>
  </si>
  <si>
    <t>If Player X performs an illegal technique that results in Player Y falling, and Player X also falls outside the ring, how is the round usually resolved in Mukna?</t>
  </si>
  <si>
    <t>In Mukna, if Player X performs a technique causing Player Y to fall, but Player X also loses balance and falls immediately afterward, who wins the round?</t>
  </si>
  <si>
    <t>If Player X performs an illegal move causing Player Y to fall, but both players then fall out of the ring, what is the usual decision for the round in Mukna?</t>
  </si>
  <si>
    <t>In Mukna, if Player X performs a technique that causes Player Y to fall and Player X also falls immediately afterward, how is the round typically resolved?</t>
  </si>
  <si>
    <t>If Player X and Player Y fall simultaneously outside the ring and neither can continue, what is the typical outcome for the round in Mukna?</t>
  </si>
  <si>
    <t>In Mukna, if Player X uses an illegal technique resulting in Player Y falling, but both players subsequently fall out of the ring, how is the round usually decided?</t>
  </si>
  <si>
    <t>During a Mukna bout, if Player X performs a technique that causes Player Y to fall, but Player X also loses balance and falls immediately afterward, who wins the round?</t>
  </si>
  <si>
    <t>If both Player X and Player Y fall outside the ring simultaneously and neither can continue, how is the round usually resolved in Mukna?</t>
  </si>
  <si>
    <t>In Mukna, if Player X performs an illegal move that causes Player Y to fall, but Player X also falls out of the ring, what is the usual ruling for the round?</t>
  </si>
  <si>
    <t>During a Mukna match, if both Player X and Player Y fall simultaneously outside the ring and neither can continue, what is the standard outcome for the round?</t>
  </si>
  <si>
    <t>If Player X performs a technique that causes Player Y to fall, and Player X also loses balance and falls immediately afterward, how is the round typically decided in Mukna?</t>
  </si>
  <si>
    <t>In Mukna, if Player X and Player Y both fall outside the ring simultaneously and neither can continue, how is the round usually decided?</t>
  </si>
  <si>
    <t>During a Mukna bout, if Player X performs an illegal technique causing Player Y to fall, and Player X also falls out of the ring, what is the usual ruling?</t>
  </si>
  <si>
    <t>If Player X performs a technique that causes Player Y to fall, and Player X also falls immediately afterward, how is the round typically resolved in Mukna?</t>
  </si>
  <si>
    <t>In Mukna, if both Player X and Player Y fall outside the ring at the same time and neither can continue, what is the standard outcome for the round?</t>
  </si>
  <si>
    <t>During a Mukna match, if Player X performs an illegal move that causes Player Y to fall, and Player X also falls out of the ring, what is the typical ruling for the round?</t>
  </si>
  <si>
    <t>In Mukna, if Player X and Player Y both fall simultaneously and neither can continue, how is the round usually decided?</t>
  </si>
  <si>
    <t>If Player X performs a technique that causes Player Y to fall, but Player X also loses balance and falls immediately afterward, how is the round typically decided in Mukna?</t>
  </si>
  <si>
    <t>During a Mukna bout, if both Player X and Player Y fall outside the ring simultaneously and neither can continue, how is the round resolved?</t>
  </si>
  <si>
    <t>In Mukna, if Player X uses an illegal technique resulting in Player Y falling, but both players then fall out of the ring, how is the round typically decided?</t>
  </si>
  <si>
    <t>During a Mukna match, if Player X performs a technique that causes Player Y to fall, but Player X also loses balance and falls immediately afterward, how is the round typically decided?</t>
  </si>
  <si>
    <t>In Mukna, if both Player X and Player Y fall outside the ring simultaneously and neither can continue, how is the round usually decided?</t>
  </si>
  <si>
    <t>During a Mukna bout, if Player X performs an illegal technique that causes Player Y to fall, and Player X also falls out of the ring, how is the round usually decided?</t>
  </si>
  <si>
    <t>If Player X performs a technique that causes Player Y to fall, but Player X also loses balance and falls immediately afterward, what is the standard decision for the round in Mukna?</t>
  </si>
  <si>
    <t>In Mukna, if both Player X and Player Y fall outside the ring simultaneously and neither can continue, how is the round usually resolved?</t>
  </si>
  <si>
    <t>During a Mukna match, if Player X performs an illegal move that causes Player Y to fall, and Player X also falls out of the ring, what is the usual ruling for the round?</t>
  </si>
  <si>
    <t>During a Mukna bout, if both Player X and Player Y fall outside the ring simultaneously and neither can continue, how is the round usually resolved?</t>
  </si>
  <si>
    <t>In Mukna, if Player X uses an illegal technique resulting in Player Y falling, but both players then fall out of the ring, how is the round usually decided?</t>
  </si>
  <si>
    <t>Which of the following is NOT a primary weapon used in Kalaripayattu?</t>
  </si>
  <si>
    <t>A) Sword, B) Spear, C) Mace, D) Boomerang</t>
  </si>
  <si>
    <t>D) Boomerang</t>
  </si>
  <si>
    <t>In Kalaripayattu, what is the name of the training area where practitioners train?</t>
  </si>
  <si>
    <t>A) Shala, B) Mandir, C) Ashram, D) Dojo</t>
  </si>
  <si>
    <t>A) Shala</t>
  </si>
  <si>
    <t>Which of these forms is considered a basic form in Kalaripayattu?</t>
  </si>
  <si>
    <t>A) Chuvadu, B) Varma, C) Uzhichil, D) Chalan</t>
  </si>
  <si>
    <t>A) Chuvadu</t>
  </si>
  <si>
    <t>What is the traditional Kalaripayattu practice of striking an opponent's vital points called?</t>
  </si>
  <si>
    <t>A) Varmam, B) Kavi, C) Kuttu, D) Jiu</t>
  </si>
  <si>
    <t>A) Varmam</t>
  </si>
  <si>
    <t>What type of combat does Kalaripayattu focus on when engaging an opponent at close range?</t>
  </si>
  <si>
    <t>A) Grappling, B) Striking, C) Throwing, D) Parrying</t>
  </si>
  <si>
    <t>B) Striking</t>
  </si>
  <si>
    <t>In Kalaripayattu, what is the term for the practice of body conditioning and flexibility?</t>
  </si>
  <si>
    <t>A) Uzhichil, B) Thiruvizha, C) Nadi, D) Chalan</t>
  </si>
  <si>
    <t>A) Uzhichil</t>
  </si>
  <si>
    <t>Which of the following is a traditional form of Kalaripayattu performed with a sword?</t>
  </si>
  <si>
    <t>A) Kettu, B) Kati, C) Chuvadu, D) Varma</t>
  </si>
  <si>
    <t>B) Kati</t>
  </si>
  <si>
    <t>In Kalaripayattu, which weapon is typically used for practicing techniques of thrusting and slashing?</t>
  </si>
  <si>
    <t>A) Spear, B) Mace, C) Stick, D) Dagger</t>
  </si>
  <si>
    <t>A) Spear</t>
  </si>
  <si>
    <t>What is the purpose of the ritualistic practices and offerings performed in Kalaripayattu training?</t>
  </si>
  <si>
    <t>A) To honor the guru, B) To enhance strength, C) To build endurance, D) To improve technique</t>
  </si>
  <si>
    <t>A) To honor the guru</t>
  </si>
  <si>
    <t>What does the term 'Chuvadu' refer to in Kalaripayattu?</t>
  </si>
  <si>
    <t>A) A specific weapon, B) A form of practice, C) A type of footwork, D) A combat stance</t>
  </si>
  <si>
    <t>B) A form of practice</t>
  </si>
  <si>
    <t>In Kalaripayattu, what is the significance of 'Siddhi' in training?</t>
  </si>
  <si>
    <t>A) Mastery of techniques, B) Ritualistic offering, C) Training with weapons, D) Physical conditioning</t>
  </si>
  <si>
    <t>A) Mastery of techniques</t>
  </si>
  <si>
    <t>Which technique in Kalaripayattu involves attacking with quick, precise movements aimed at vital points?</t>
  </si>
  <si>
    <t>A) Marma, B) Adavus, C) Varmam, D) Uzhichil</t>
  </si>
  <si>
    <t>C) Varmam</t>
  </si>
  <si>
    <t>In Kalaripayattu, what is the purpose of 'Adavus' in training?</t>
  </si>
  <si>
    <t>A) To practice forms and techniques, B) To improve stamina, C) To perform rituals, D) To learn weapon skills</t>
  </si>
  <si>
    <t>A) To practice forms and techniques</t>
  </si>
  <si>
    <t>Which of the following is NOT considered a traditional weapon in Kalaripayattu?</t>
  </si>
  <si>
    <t>A) Sword, B) Shield, C) Spear, D) Bow</t>
  </si>
  <si>
    <t>D) Bow</t>
  </si>
  <si>
    <t>In Kalaripayattu, what does 'Kutti' refer to?</t>
  </si>
  <si>
    <t>A) A type of weapon, B) A form of combat, C) A short stick, D) A combat stance</t>
  </si>
  <si>
    <t>C) A short stick</t>
  </si>
  <si>
    <t>Which weapon in Kalaripayattu is known for its effectiveness in both offensive and defensive maneuvers?</t>
  </si>
  <si>
    <t>A) Sword, B) Mace, C) Spear, D) Dagger</t>
  </si>
  <si>
    <t>A) Sword</t>
  </si>
  <si>
    <t>In Kalaripayattu, the practice of striking and blocking techniques is essential for developing what skill?</t>
  </si>
  <si>
    <t>A) Reflexes, B) Strength, C) Endurance, D) Flexibility</t>
  </si>
  <si>
    <t>A) Reflexes</t>
  </si>
  <si>
    <t>Which form of Kalaripayattu is performed to enhance balance and agility?</t>
  </si>
  <si>
    <t>A) Varmam, B) Chuvadu, C) Varma, D) Adavus</t>
  </si>
  <si>
    <t>D) Adavus</t>
  </si>
  <si>
    <t>In Kalaripayattu, what is 'Uzhichil' primarily focused on?</t>
  </si>
  <si>
    <t>A) Weapon training, B) Body massage and conditioning, C) Combat techniques, D) Ritualistic practices</t>
  </si>
  <si>
    <t>B) Body massage and conditioning</t>
  </si>
  <si>
    <t>Which of the following is a key characteristic of Kalaripayattu's combat style?</t>
  </si>
  <si>
    <t>A) Linear strikes, B) Circular movements, C) High jumps, D) Ground techniques</t>
  </si>
  <si>
    <t>B) Circular movements</t>
  </si>
  <si>
    <t>In Kalaripayattu, what does 'Chalan' refer to?</t>
  </si>
  <si>
    <t>A) A form of footwork, B) A type of strike, C) A weapon technique, D) A combat style</t>
  </si>
  <si>
    <t>A) A form of footwork</t>
  </si>
  <si>
    <t>What is the role of 'Nadi' in Kalaripayattu practice?</t>
  </si>
  <si>
    <t>A) It is a type of weapon, B) It refers to energy channels, C) It is a combat stance, D) It denotes a training method</t>
  </si>
  <si>
    <t>B) It refers to energy channels</t>
  </si>
  <si>
    <t>Which Kalaripayattu technique is primarily used to perform evasive movements and counter-attacks?</t>
  </si>
  <si>
    <t>A) Chuvadu, B) Marma, C) Kati, D) Varmam</t>
  </si>
  <si>
    <t>In Kalaripayattu, what is the main purpose of practicing 'Varmam'?</t>
  </si>
  <si>
    <t>A) To improve striking accuracy, B) To attack vital points, C) To increase flexibility, D) To perform rituals</t>
  </si>
  <si>
    <t>B) To attack vital points</t>
  </si>
  <si>
    <t>Which Kalaripayattu form emphasizes the use of kicks and strikes in rapid succession?</t>
  </si>
  <si>
    <t>A) Adavus, B) Chuvadu, C) Uzhichil, D) Kettu</t>
  </si>
  <si>
    <t>A) Adavus</t>
  </si>
  <si>
    <t>In Kalaripayattu, what is 'Chuvadu' commonly used for?</t>
  </si>
  <si>
    <t>A) To practice weapon techniques, B) To develop footwork skills, C) To perform body conditioning, D) To engage in ritualistic practices</t>
  </si>
  <si>
    <t>B) To develop footwork skills</t>
  </si>
  <si>
    <t>Which of the following is a traditional Kalaripayattu form performed with a long stick?</t>
  </si>
  <si>
    <t>A) Mace, B) Spear, C) Kati, D) Kettu</t>
  </si>
  <si>
    <t>D) Kettu</t>
  </si>
  <si>
    <t>What does 'Adavus' training in Kalaripayattu help to improve?</t>
  </si>
  <si>
    <t>A) Weapon handling, B) Combat strategy, C) Technique execution, D) Physical strength</t>
  </si>
  <si>
    <t>C) Technique execution</t>
  </si>
  <si>
    <t>In Kalaripayattu, what is the main focus of 'Uzhichil' practice?</t>
  </si>
  <si>
    <t>A) Weapon training, B) Reflex enhancement, C) Body massage and conditioning, D) Combat skills</t>
  </si>
  <si>
    <t>C) Body massage and conditioning</t>
  </si>
  <si>
    <t>Which Kalaripayattu weapon is known for its use in both slashing and thrusting techniques?</t>
  </si>
  <si>
    <t>In Kalaripayattu, what does the term 'Varmam' refer to?</t>
  </si>
  <si>
    <t>A) Body conditioning, B) Combat stance, C) Vital point attacks, D) Weapon techniques</t>
  </si>
  <si>
    <t>C) Vital point attacks</t>
  </si>
  <si>
    <t>What is the purpose of 'Kavi' in Kalaripayattu training?</t>
  </si>
  <si>
    <t>A) To enhance weapon skills, B) To practice striking techniques, C) To perform rituals, D) To improve body flexibility</t>
  </si>
  <si>
    <t>B) To practice striking techniques</t>
  </si>
  <si>
    <t>Which of the following Kalaripayattu techniques is known for its defensive and counter-attacking strategies?</t>
  </si>
  <si>
    <t>A) Chuvadu, B) Adavus, C) Kettu, D) Uzhichil</t>
  </si>
  <si>
    <t>In Kalaripayattu, what is 'Nadi' associated with?</t>
  </si>
  <si>
    <t>A) Combat techniques, B) Energy channels, C) Weapon handling, D) Body conditioning</t>
  </si>
  <si>
    <t>B) Energy channels</t>
  </si>
  <si>
    <t>Which form in Kalaripayattu is typically performed with a sword and focuses on cutting techniques?</t>
  </si>
  <si>
    <t>A) Kati, B) Marma, C) Kettu, D) Adavus</t>
  </si>
  <si>
    <t>A) Kati</t>
  </si>
  <si>
    <t>What is the main goal of practicing 'Adavus' in Kalaripayattu?</t>
  </si>
  <si>
    <t>A) To enhance physical strength, B) To improve agility, C) To develop precise techniques, D) To perform rituals</t>
  </si>
  <si>
    <t>C) To develop precise techniques</t>
  </si>
  <si>
    <t>Which Kalaripayattu weapon is characterized by its heavy, blunt force?</t>
  </si>
  <si>
    <t>B) Mace</t>
  </si>
  <si>
    <t>In Kalaripayattu, what does 'Chuvadu' primarily focus on?</t>
  </si>
  <si>
    <t>A) Body flexibility, B) Weapon techniques, C) Combat stances, D) Footwork</t>
  </si>
  <si>
    <t>D) Footwork</t>
  </si>
  <si>
    <t>What is 'Uzhichil' used for in Kalaripayattu training?</t>
  </si>
  <si>
    <t>A) Body conditioning, B) Weapon handling, C) Combat techniques, D) Ritualistic practices</t>
  </si>
  <si>
    <t>A) Body conditioning</t>
  </si>
  <si>
    <t>Which technique in Kalaripayattu involves quick movements and precision attacks?</t>
  </si>
  <si>
    <t>A) Adavus, B) Varmam, C) Chuvadu, D) Uzhichil</t>
  </si>
  <si>
    <t>B) Varmam</t>
  </si>
  <si>
    <t>In Kalaripayattu, what does the practice of 'Marma' aim to improve?</t>
  </si>
  <si>
    <t>A) Weapon handling skills, B) Striking techniques, C) Knowledge of vital points, D) Flexibility</t>
  </si>
  <si>
    <t>C) Knowledge of vital points</t>
  </si>
  <si>
    <t>Which Kalaripayattu form focuses on enhancing the ability to dodge and counter attacks?</t>
  </si>
  <si>
    <t>A) Adavus, B) Chuvadu, C) Varma, D) Kettu</t>
  </si>
  <si>
    <t>B) Chuvadu</t>
  </si>
  <si>
    <t>What is 'Nadi' in Kalaripayattu?</t>
  </si>
  <si>
    <t>A) A form of weapon, B) A technique, C) An energy channel, D) A type of footwork</t>
  </si>
  <si>
    <t>C) An energy channel</t>
  </si>
  <si>
    <t>In Kalaripayattu, which weapon is used for training in slashing and thrusting techniques?</t>
  </si>
  <si>
    <t>A) Spear, B) Mace, C) Sword, D) Dagger</t>
  </si>
  <si>
    <t>C) Sword</t>
  </si>
  <si>
    <t>What does the term 'Kavi' refer to in Kalaripayattu?</t>
  </si>
  <si>
    <t>A) A type of weapon, B) A combat stance, C) A striking technique, D) A training form</t>
  </si>
  <si>
    <t>C) A striking technique</t>
  </si>
  <si>
    <t>Which Kalaripayattu form is designed to improve agility and reaction time?</t>
  </si>
  <si>
    <t>A) Adavus, B) Varma, C) Chuvadu, D) Uzhichil</t>
  </si>
  <si>
    <t>In Kalaripayattu, what does 'Marma' specifically refer to?</t>
  </si>
  <si>
    <t>A) A combat stance, B) A type of weapon, C) Vital point strikes, D) A footwork form</t>
  </si>
  <si>
    <t>C) Vital point strikes</t>
  </si>
  <si>
    <t>Which of the following is a key feature of Kalaripayattu’s combat style?</t>
  </si>
  <si>
    <t>A) Linear movements, B) Circular and flowing movements, C) High jumps and aerial techniques, D) Ground-based techniques</t>
  </si>
  <si>
    <t>B) Circular and flowing movements</t>
  </si>
  <si>
    <t>In Kalaripayattu, what is the primary purpose of practicing 'Uzhichil'?</t>
  </si>
  <si>
    <t>A) To build physical strength, B) To enhance weapon skills, C) To improve body conditioning, D) To perform rituals</t>
  </si>
  <si>
    <t>C) To improve body conditioning</t>
  </si>
  <si>
    <t>Which Kalaripayattu technique focuses on improving striking speed and accuracy?</t>
  </si>
  <si>
    <t>A) Chuvadu, B) Varmam, C) Adavus, D) Uzhichil</t>
  </si>
  <si>
    <t>In Kalaripayattu, what is the role of 'Kettu'?</t>
  </si>
  <si>
    <t>A) A weapon for striking, B) A form of body conditioning, C) A combat technique, D) A type of weapon training</t>
  </si>
  <si>
    <t>A) A weapon for striking</t>
  </si>
  <si>
    <t>Which Kalaripayattu form emphasizes the use of both hands and feet for striking?</t>
  </si>
  <si>
    <t>A) Adavus, B) Chuvadu, C) Varma, D) Uzhichil</t>
  </si>
  <si>
    <t>What is the primary focus of 'Varma' practice in Kalaripayattu?</t>
  </si>
  <si>
    <t>A) Weapon techniques, B) Vital point attacks, C) Body flexibility, D) Combat stances</t>
  </si>
  <si>
    <t>B) Vital point attacks</t>
  </si>
  <si>
    <t>In Kalaripayattu, which form is used for developing speed and agility in movements?</t>
  </si>
  <si>
    <t>A) Adavus, B) Marma, C) Chuvadu, D) Kettu</t>
  </si>
  <si>
    <t>What does 'Chuvadu' primarily refer to in Kalaripayattu?</t>
  </si>
  <si>
    <t>A) A type of weapon, B) A combat stance, C) A form of footwork, D) A training technique</t>
  </si>
  <si>
    <t>C) A form of footwork</t>
  </si>
  <si>
    <t>Which Kalaripayattu weapon is known for its use in both offensive and defensive techniques?</t>
  </si>
  <si>
    <t>A) Sword, B) Spear, C) Mace, D) Dagger</t>
  </si>
  <si>
    <t>In Kalaripayattu, what is 'Varmam' used to target?</t>
  </si>
  <si>
    <t>A) Vital points on the body, B) Opponent's weapon, C) Ground techniques, D) Combat stances</t>
  </si>
  <si>
    <t>A) Vital points on the body</t>
  </si>
  <si>
    <t>What is the focus of 'Uzhichil' in Kalaripayattu training?</t>
  </si>
  <si>
    <t>A) Body conditioning, B) Weapon techniques, C) Combat strategy, D) Ritualistic practices</t>
  </si>
  <si>
    <t>Which Kalaripayattu form is designed for improving quick and precise attacks?</t>
  </si>
  <si>
    <t>What does the term 'Kavi' refer to in the context of Kalaripayattu?</t>
  </si>
  <si>
    <t>A) A combat stance, B) A type of weapon, C) A striking technique, D) A training form</t>
  </si>
  <si>
    <t>In Kalaripayattu, which form helps to develop agility and precision in movements?</t>
  </si>
  <si>
    <t>What is the primary purpose of practicing 'Marma' in Kalaripayattu?</t>
  </si>
  <si>
    <t>A) To improve weapon skills, B) To learn vital point strikes, C) To enhance physical strength, D) To develop footwork techniques</t>
  </si>
  <si>
    <t>B) To learn vital point strikes</t>
  </si>
  <si>
    <t>Which Kalaripayattu technique is known for enhancing defensive and evasive skills?</t>
  </si>
  <si>
    <t>A) Chuvadu, B) Uzhichil, C) Varma, D) Kettu</t>
  </si>
  <si>
    <t>In Kalaripayattu, what is 'Nadi' used to refer to?</t>
  </si>
  <si>
    <t>A) A weapon, B) A combat technique, C) An energy channel, D) A type of footwork</t>
  </si>
  <si>
    <t>What is the role of 'Chuvadu' in Kalaripayattu training?</t>
  </si>
  <si>
    <t>A) To improve footwork skills, B) To enhance weapon techniques, C) To practice body conditioning, D) To perform rituals</t>
  </si>
  <si>
    <t>A) To improve footwork skills</t>
  </si>
  <si>
    <t>Which Kalaripayattu form focuses on the use of a long stick?</t>
  </si>
  <si>
    <t>A) Kettu, B) Marma, C) Chuvadu, D) Varma</t>
  </si>
  <si>
    <t>A) Kettu</t>
  </si>
  <si>
    <t>In Kalaripayattu, what does 'Adavus' training primarily enhance?</t>
  </si>
  <si>
    <t>A) Combat strategy, B) Precision and technique, C) Physical strength, D) Weapon handling</t>
  </si>
  <si>
    <t>B) Precision and technique</t>
  </si>
  <si>
    <t>What is the main focus of practicing 'Varmam' in Kalaripayattu?</t>
  </si>
  <si>
    <t>A) Body conditioning, B) Combat stances, C) Vital point strikes, D) Weapon skills</t>
  </si>
  <si>
    <t>Which Kalaripayattu technique involves circular movements and rapid attacks?</t>
  </si>
  <si>
    <t>A) Adavus, B) Varmam, C) Chuvadu, D) Kettu</t>
  </si>
  <si>
    <t>In Kalaripayattu, what is the focus of 'Kavi' training?</t>
  </si>
  <si>
    <t>A) Combat techniques, B) Weapon skills, C) Striking precision, D) Body conditioning</t>
  </si>
  <si>
    <t>C) Striking precision</t>
  </si>
  <si>
    <t>What is the primary purpose of 'Chuvadu' practice in Kalaripayattu?</t>
  </si>
  <si>
    <t>A) To improve combat stances, B) To enhance weapon handling, C) To develop footwork skills, D) To perform rituals</t>
  </si>
  <si>
    <t>C) To develop footwork skills</t>
  </si>
  <si>
    <t>Which Kalaripayattu weapon is characterized by its heavy, blunt force for attacking?</t>
  </si>
  <si>
    <t>In Kalaripayattu, what does the term 'Uzhichil' refer to?</t>
  </si>
  <si>
    <t>A) Body massage and conditioning, B) Weapon training, C) Combat forms, D) Ritualistic practices</t>
  </si>
  <si>
    <t>A) Body massage and conditioning</t>
  </si>
  <si>
    <t>Which Kalaripayattu form is used to improve agility and reflexes?</t>
  </si>
  <si>
    <t>A) Adavus, B) Marma, C) Chuvadu, D) Uzhichil</t>
  </si>
  <si>
    <t>In Kalaripayattu, what is the main objective of practicing 'Marma' techniques?</t>
  </si>
  <si>
    <t>A) To learn striking techniques, B) To enhance body conditioning, C) To target vital points, D) To practice weapon handling</t>
  </si>
  <si>
    <t>C) To target vital points</t>
  </si>
  <si>
    <t>Which Kalaripayattu practice focuses on developing defensive and evasive techniques?</t>
  </si>
  <si>
    <t>What does 'Nadi' refer to in Kalaripayattu?</t>
  </si>
  <si>
    <t>A) Combat stance, B) Energy channel, C) Weapon technique, D) Body conditioning</t>
  </si>
  <si>
    <t>B) Energy channel</t>
  </si>
  <si>
    <t>In Kalaripayattu, what is 'Chuvadu' used to practice?</t>
  </si>
  <si>
    <t>A) Footwork, B) Body conditioning, C) Weapon handling, D) Combat forms</t>
  </si>
  <si>
    <t>A) Footwork</t>
  </si>
  <si>
    <t>Which Kalaripayattu form involves the use of a long stick for practice?</t>
  </si>
  <si>
    <t>A) Kettu, B) Chuvadu, C) Varma, D) Adavus</t>
  </si>
  <si>
    <t>What does 'Adavus' training focus on in Kalaripayattu?</t>
  </si>
  <si>
    <t>A) Weapon techniques, B) Combat forms, C) Technique precision, D) Physical strength</t>
  </si>
  <si>
    <t>C) Technique precision</t>
  </si>
  <si>
    <t>Which Kalaripayattu form helps in enhancing striking speed and accuracy?</t>
  </si>
  <si>
    <t>In Kalaripayattu, what is 'Kavi' used for?</t>
  </si>
  <si>
    <t>A) Weapon handling, B) Striking precision, C) Combat stances, D) Body conditioning</t>
  </si>
  <si>
    <t>B) Striking precision</t>
  </si>
  <si>
    <t>Which Kalaripayattu form is used to improve reflexes and agility?</t>
  </si>
  <si>
    <t>A) Adavus, B) Varma, C) Chuvadu, D) Kettu</t>
  </si>
  <si>
    <t>What is the main goal of 'Marma' in Kalaripayattu training?</t>
  </si>
  <si>
    <t>A) To improve combat stances, B) To target vital points, C) To enhance weapon skills, D) To practice footwork</t>
  </si>
  <si>
    <t>B) To target vital points</t>
  </si>
  <si>
    <t>In Kalaripayattu, what is the focus of 'Uzhichil' practice?</t>
  </si>
  <si>
    <t>A) Body conditioning, B) Weapon skills, C) Combat techniques, D) Ritualistic practices</t>
  </si>
  <si>
    <t>Which Kalaripayattu technique emphasizes circular and flowing movements?</t>
  </si>
  <si>
    <t>What is the role of 'Kavi' in Kalaripayattu training?</t>
  </si>
  <si>
    <t>A) To practice striking techniques, B) To develop footwork skills, C) To improve body flexibility, D) To perform rituals</t>
  </si>
  <si>
    <t>A) To practice striking techniques</t>
  </si>
  <si>
    <t>Which Kalaripayattu form is used to enhance footwork and agility?</t>
  </si>
  <si>
    <t>In Kalaripayattu, what does the term 'Marma' refer to?</t>
  </si>
  <si>
    <t>A) Body conditioning, B) Vital point strikes, C) Weapon techniques, D) Combat stances</t>
  </si>
  <si>
    <t>B) Vital point strikes</t>
  </si>
  <si>
    <t>What is the primary focus of 'Adavus' practice in Kalaripayattu?</t>
  </si>
  <si>
    <t>A) Combat stances, B) Technique execution, C) Body strength, D) Weapon handling</t>
  </si>
  <si>
    <t>B) Technique execution</t>
  </si>
  <si>
    <t>Which Kalaripayattu weapon is known for its effectiveness in both slashing and thrusting?</t>
  </si>
  <si>
    <t>In Kalaripayattu, what does 'Chuvadu' focus on?</t>
  </si>
  <si>
    <t>A) Weapon techniques, B) Body conditioning, C) Combat stances, D) Footwork</t>
  </si>
  <si>
    <t>Which Kalaripayattu form is used for improving agility and speed?</t>
  </si>
  <si>
    <t>What does 'Uzhichil' in Kalaripayattu primarily involve?</t>
  </si>
  <si>
    <t>A) Body massage and conditioning, B) Combat techniques, C) Weapon training, D) Ritualistic practices</t>
  </si>
  <si>
    <t>In Kalaripayattu, which technique is associated with vital point strikes?</t>
  </si>
  <si>
    <t>A) Varmam, B) Adavus, C) Kettu, D) Chuvadu</t>
  </si>
  <si>
    <t>In a Kalaripayattu sparring match, you notice your opponent is heavily relying on their footwork to evade attacks. Which technique should you focus on to counter this?</t>
  </si>
  <si>
    <t>A) Varmam, B) Adavus, C) Chuvadu, D) Kettu</t>
  </si>
  <si>
    <t>C) Chuvadu</t>
  </si>
  <si>
    <t>During a Kalaripayattu demonstration, you observe that the practitioner is using a long stick to perform various techniques. What form are they most likely practicing?</t>
  </si>
  <si>
    <t>A) Adavus, B) Kettu, C) Marma, D) Varma</t>
  </si>
  <si>
    <t>B) Kettu</t>
  </si>
  <si>
    <t>In a Kalaripayattu class, the instructor emphasizes the importance of precise strikes to vital points. Which technique is the instructor focusing on?</t>
  </si>
  <si>
    <t>A) Varmam, B) Chuvadu, C) Uzhichil, D) Kavi</t>
  </si>
  <si>
    <t>A practitioner is working on improving their body flexibility and conditioning. Which Kalaripayattu practice should they focus on?</t>
  </si>
  <si>
    <t>A) Adavus, B) Uzhichil, C) Marma, D) Kettu</t>
  </si>
  <si>
    <t>B) Uzhichil</t>
  </si>
  <si>
    <t>You are observing a Kalaripayattu practitioner performing circular and flowing movements. Which form are they likely demonstrating?</t>
  </si>
  <si>
    <t>A) Chuvadu, B) Varma, C) Adavus, D) Ketti</t>
  </si>
  <si>
    <t>B) Varma</t>
  </si>
  <si>
    <t>In a training session, a student is working on enhancing their ability to dodge and counter attacks. Which technique should they focus on?</t>
  </si>
  <si>
    <t>A) Kavi, B) Chuvadu, C) Marma, D) Adavus</t>
  </si>
  <si>
    <t>A Kalaripayattu practitioner is learning to handle a heavy, blunt weapon. Which weapon are they likely training with?</t>
  </si>
  <si>
    <t>C) Mace</t>
  </si>
  <si>
    <t>During a Kalaripayattu class, you are taught to focus on striking techniques that involve quick movements. Which form should you concentrate on?</t>
  </si>
  <si>
    <t>You are practicing Kalaripayattu and need to enhance your skill in targeting vital points. Which practice should you focus on?</t>
  </si>
  <si>
    <t>A) Marma, B) Adavus, C) Kavi, D) Uzhichil</t>
  </si>
  <si>
    <t>A) Marma</t>
  </si>
  <si>
    <t>In a Kalaripayattu training session, the focus is on developing quick and precise strikes. What technique is being practiced?</t>
  </si>
  <si>
    <t>During a Kalaripayattu demonstration, you see a practitioner using a dagger for both offensive and defensive techniques. Which weapon are they using?</t>
  </si>
  <si>
    <t>D) Dagger</t>
  </si>
  <si>
    <t>A practitioner is focusing on improving their agility and reaction time. Which Kalaripayattu practice is best suited for this goal?</t>
  </si>
  <si>
    <t>In a Kalaripayattu training session, you are asked to practice footwork techniques. Which form should you focus on?</t>
  </si>
  <si>
    <t>A) Adavus, B) Chuvadu, C) Marma, D) Uzhichil</t>
  </si>
  <si>
    <t>During a Kalaripayattu class, the instructor is demonstrating the use of a sword for cutting techniques. Which form are they likely teaching?</t>
  </si>
  <si>
    <t>A) Marma, B) Ketti, C) Adavus, D) Kati</t>
  </si>
  <si>
    <t>D) Kati</t>
  </si>
  <si>
    <t>You notice that a Kalaripayattu practitioner is focusing on body massage and conditioning as part of their training. What practice are they engaged in?</t>
  </si>
  <si>
    <t>A) Adavus, B) Uzhichil, C) Chuvadu, D) Varmam</t>
  </si>
  <si>
    <t>A Kalaripayattu practitioner is learning to use a long stick for striking. What is this technique known as?</t>
  </si>
  <si>
    <t>A) Marma, B) Kettu, C) Varma, D) Chuvadu</t>
  </si>
  <si>
    <t>In Kalaripayattu, you are instructed to focus on developing striking precision and speed. Which technique should you practice?</t>
  </si>
  <si>
    <t>A) Adavus, B) Kavi, C) Varma, D) Uzhichil</t>
  </si>
  <si>
    <t>C) Varma</t>
  </si>
  <si>
    <t>During a Kalaripayattu class, you are focusing on improving your strikes to vital points of the opponent. What technique are you practicing?</t>
  </si>
  <si>
    <t>A) Marma, B) Chuvadu, C) Uzhichil, D) Adavus</t>
  </si>
  <si>
    <t>You are learning to handle a weapon that is effective for both slashing and thrusting. What weapon are you using?</t>
  </si>
  <si>
    <t>In Kalaripayattu, you need to develop your ability to perform quick and effective footwork. Which practice is most relevant?</t>
  </si>
  <si>
    <t>A) Adavus, B) Chuvadu, C) Uzhichil, D) Marma</t>
  </si>
  <si>
    <t>A practitioner is focused on mastering defensive and evasive maneuvers. Which Kalaripayattu practice should they focus on?</t>
  </si>
  <si>
    <t>A) Adavus, B) Uzhichil, C) Chuvadu, D) Varma</t>
  </si>
  <si>
    <t>In a Kalaripayattu training session, you are working on body conditioning and strength. What practice is this likely to involve?</t>
  </si>
  <si>
    <t>A) Uzhichil, B) Adavus, C) Marma, D) Ketti</t>
  </si>
  <si>
    <t>During a Kalaripayattu class, the focus is on techniques that involve circular and flowing movements. What technique are you learning?</t>
  </si>
  <si>
    <t>A) Varma, B) Chuvadu, C) Adavus, D) Ketti</t>
  </si>
  <si>
    <t>A) Varma</t>
  </si>
  <si>
    <t>You observe a Kalaripayattu practitioner executing precise strikes aimed at specific body points. What technique are they practicing?</t>
  </si>
  <si>
    <t>A) Marma, B) Varmam, C) Chuvadu, D) Uzhichil</t>
  </si>
  <si>
    <t>A Kalaripayattu practitioner is training with a weapon that emphasizes heavy, blunt attacks. Which weapon are they using?</t>
  </si>
  <si>
    <t>In Kalaripayattu, you are asked to practice a form that emphasizes body flexibility and conditioning. What practice should you focus on?</t>
  </si>
  <si>
    <t>A) Uzhichil, B) Adavus, C) Marma, D) Chuvadu</t>
  </si>
  <si>
    <t>During a Kalaripayattu demonstration, you see techniques that involve rapid, precise strikes. Which form are they most likely demonstrating?</t>
  </si>
  <si>
    <t>In a Kalaripayattu training session, you are focusing on using a long stick for various techniques. What form is this associated with?</t>
  </si>
  <si>
    <t>A) Kettu, B) Marma, C) Varma, D) Adavus</t>
  </si>
  <si>
    <t>You are learning to improve your footwork to evade attacks in Kalaripayattu. Which practice should you focus on?</t>
  </si>
  <si>
    <t>In a Kalaripayattu class, you need to work on techniques that enhance striking precision. What practice should you concentrate on?</t>
  </si>
  <si>
    <t>A) Adavus, B) Kavi, C) Uzhichil, D) Varma</t>
  </si>
  <si>
    <t>D) Varma</t>
  </si>
  <si>
    <t>You are practicing a Kalaripayattu technique that targets vital points on the opponent's body. What is this technique called?</t>
  </si>
  <si>
    <t>A) Marma, B) Adavus, C) Ketti, D) Uzhichil</t>
  </si>
  <si>
    <t>During a Kalaripayattu session, you observe the use of a weapon for both offensive and defensive techniques. What weapon is this likely to be?</t>
  </si>
  <si>
    <t>In Kalaripayattu, which technique focuses on developing precise and rapid footwork?</t>
  </si>
  <si>
    <t>You are learning to execute striking techniques with a focus on precision. What Kalaripayattu practice is this related to?</t>
  </si>
  <si>
    <t>A) Varmam, B) Adavus, C) Chuvadu, D) Uzhichil</t>
  </si>
  <si>
    <t>A Kalaripayattu practitioner is concentrating on using a heavy weapon for powerful attacks. What weapon are they likely training with?</t>
  </si>
  <si>
    <t>In a Kalaripayattu training class, you need to enhance your footwork to evade attacks effectively. What technique should you focus on?</t>
  </si>
  <si>
    <t>A) Chuvadu, B) Varma, C) Marma, D) Adavus</t>
  </si>
  <si>
    <t>During a Kalaripayattu class, you are instructed to improve your ability to target specific points on the opponent's body. What practice are you engaged in?</t>
  </si>
  <si>
    <t>A) Marma, B) Varmam, C) Kettu, D) Uzhichil</t>
  </si>
  <si>
    <t>You are observing a practitioner using techniques that involve heavy, blunt force. What weapon are they most likely using?</t>
  </si>
  <si>
    <t>In Kalaripayattu, which practice is focused on enhancing flexibility and overall body conditioning?</t>
  </si>
  <si>
    <t>A practitioner is working on techniques that involve quick and precise movements. What form are they likely practicing?</t>
  </si>
  <si>
    <t>During a Kalaripayattu session, you are asked to focus on striking techniques with a long stick. What form should you concentrate on?</t>
  </si>
  <si>
    <t>A) Kettu, B) Marma, C) Uzhichil, D) Adavus</t>
  </si>
  <si>
    <t>You are learning techniques to improve your ability to dodge and counter attacks. What Kalaripayattu practice is relevant to this?</t>
  </si>
  <si>
    <t>A) Chuvadu, B) Varma, C) Adavus, D) Marma</t>
  </si>
  <si>
    <t>In Kalaripayattu, what practice involves focusing on precise strikes aimed at vital points?</t>
  </si>
  <si>
    <t>A) Varmam, B) Marma, C) Uzhichil, D) Adavus</t>
  </si>
  <si>
    <t>B) Marma</t>
  </si>
  <si>
    <t>A practitioner is training with a weapon that is used for both cutting and thrusting techniques. What weapon are they using?</t>
  </si>
  <si>
    <t>In a Kalaripayattu class, you are focusing on body conditioning and flexibility. Which practice is most relevant?</t>
  </si>
  <si>
    <t>During a Kalaripayattu demonstration, you notice the use of techniques that involve circular movements. What form is being showcased?</t>
  </si>
  <si>
    <t>A) Varma, B) Adavus, C) Chuvadu, D) Ketti</t>
  </si>
  <si>
    <t>You are observing a Kalaripayattu practitioner focusing on precise and quick strikes. What practice should they be concentrating on?</t>
  </si>
  <si>
    <t>A) Varmam, B) Chuvadu, C) Uzhichil, D) Adavus</t>
  </si>
  <si>
    <t>In Kalaripayattu, which technique is associated with the use of a weapon for powerful, blunt attacks?</t>
  </si>
  <si>
    <t>A) Mace, B) Sword, C) Spear, D) Dagger</t>
  </si>
  <si>
    <t>A) Mace</t>
  </si>
  <si>
    <t>You are practicing Kalaripayattu and need to enhance your footwork to evade attacks. What practice is this related to?</t>
  </si>
  <si>
    <t>In a Kalaripayattu class, you are focusing on techniques that involve precise strikes aimed at specific body points. What practice should you focus on?</t>
  </si>
  <si>
    <t>A) Marma, B) Adavus, C) Varma, D) Uzhichil</t>
  </si>
  <si>
    <t>During a Kalaripayattu session, you are training with a weapon known for its effectiveness in both slashing and thrusting. What weapon are you using?</t>
  </si>
  <si>
    <t>In Kalaripayattu, you are instructed to practice a form that enhances body conditioning and flexibility. What practice should you focus on?</t>
  </si>
  <si>
    <t>A) Uzhichil, B) Chuvadu, C) Marma, D) Adavus</t>
  </si>
  <si>
    <t>A Kalaripayattu practitioner is focusing on techniques that involve rapid and precise movements. What technique are they likely practicing?</t>
  </si>
  <si>
    <t>During a Kalaripayattu class, you are asked to work on your ability to evade attacks and counter effectively. Which technique is most relevant?</t>
  </si>
  <si>
    <t>A) Chuvadu, B) Uzhichil, C) Marma, D) Adavus</t>
  </si>
  <si>
    <t>In Kalaripayattu, which practice focuses on precise strikes to vital points?</t>
  </si>
  <si>
    <t>A) Marma, B) Varmam, C) Adavus, D) Uzhichil</t>
  </si>
  <si>
    <t>A practitioner is training with a weapon that is heavy and used for blunt force attacks. What weapon are they using?</t>
  </si>
  <si>
    <t>In a Kalaripayattu class, you are focusing on body flexibility and conditioning. What practice should you concentrate on?</t>
  </si>
  <si>
    <t>A) Uzhichil, B) Adavus, C) Varma, D) Chuvadu</t>
  </si>
  <si>
    <t>During a Kalaripayattu session, you observe techniques that involve rapid strikes and precise movements. What form is this likely to be?</t>
  </si>
  <si>
    <t>You are learning to use a long stick for various striking techniques. What form of Kalaripayattu is this practice associated with?</t>
  </si>
  <si>
    <t>A) Kettu, B) Chuvadu, C) Marma, D) Uzhichil</t>
  </si>
  <si>
    <t>In Kalaripayattu, you need to develop your ability to evade and counter attacks effectively. Which practice should you focus on?</t>
  </si>
  <si>
    <t>A Kalaripayattu practitioner is focusing on precise strikes aimed at vital points on the opponent's body. What technique are they using?</t>
  </si>
  <si>
    <t>During a Kalaripayattu demonstration, you see the use of a weapon for both cutting and thrusting techniques. What weapon is being used?</t>
  </si>
  <si>
    <t>In Kalaripayattu, which practice is focused on enhancing agility and overall body conditioning?</t>
  </si>
  <si>
    <t>A practitioner is mastering techniques that involve circular and flowing movements. What form are they practicing?</t>
  </si>
  <si>
    <t>You are practicing Kalaripayattu with a focus on quick and precise strikes. What practice is this associated with?</t>
  </si>
  <si>
    <t>In a Kalaripayattu class, you are asked to use a weapon known for its effectiveness in blunt force attacks. What weapon are you using?</t>
  </si>
  <si>
    <t>During Kalaripayattu training, which technique focuses on improving footwork to effectively evade and counter attacks?</t>
  </si>
  <si>
    <t>In Kalaripayattu, what practice emphasizes precise strikes aimed at specific points on the opponent's body?</t>
  </si>
  <si>
    <t>A Kalaripayattu practitioner is training with a weapon that is effective for both cutting and thrusting. What weapon are they using?</t>
  </si>
  <si>
    <t>In Kalaripayattu, you need to focus on enhancing body flexibility and overall conditioning. Which practice should you prioritize?</t>
  </si>
  <si>
    <t>During a Kalaripayattu class, you are working on techniques that involve circular and flowing movements. What form are you practicing?</t>
  </si>
  <si>
    <t>You are practicing Kalaripayattu with a focus on rapid and precise strikes. What practice is this related to?</t>
  </si>
  <si>
    <t>In a Kalaripayattu session, you are asked to use a weapon that emphasizes heavy, blunt attacks. What weapon are you using?</t>
  </si>
  <si>
    <t>In Kalaripayattu, which practice focuses on enhancing footwork for effective evasion and countering?</t>
  </si>
  <si>
    <t>A Kalaripayattu practitioner is focused on precise strikes aimed at vital points on the opponent's body. What technique should they practice?</t>
  </si>
  <si>
    <t>During a Kalaripayattu class, you see a weapon that is used for both cutting and thrusting techniques. What weapon is this?</t>
  </si>
  <si>
    <t>In Kalaripayattu, which practice is associated with body conditioning and flexibility?</t>
  </si>
  <si>
    <t>A practitioner is working on circular and flowing movements. What form are they practicing in Kalaripayattu?</t>
  </si>
  <si>
    <t>You are learning to execute quick and precise strikes in Kalaripayattu. Which practice should you focus on?</t>
  </si>
  <si>
    <t>In Kalaripayattu, you need to practice techniques that involve heavy, blunt weapon attacks. What weapon are you using?</t>
  </si>
  <si>
    <t>During a Kalaripayattu class, you are asked to enhance your footwork for effective evasion and countering. What technique should you focus on?</t>
  </si>
  <si>
    <t>In Kalaripayattu, what practice involves targeting specific points on the opponent’s body with precise strikes?</t>
  </si>
  <si>
    <t>You are using a weapon that is effective for both cutting and thrusting techniques in Kalaripayattu. What weapon are you using?</t>
  </si>
  <si>
    <t>In Kalaripayattu, which practice should you prioritize to enhance body flexibility and conditioning?</t>
  </si>
  <si>
    <t>During a Kalaripayattu training session, you focus on techniques involving circular movements. What form are you practicing?</t>
  </si>
  <si>
    <t>You are learning Kalaripayattu techniques with a focus on rapid and precise strikes. What practice is most relevant?</t>
  </si>
  <si>
    <t>In a Kalaripayattu class, you are using a weapon that emphasizes heavy, blunt force. What weapon are you using?</t>
  </si>
  <si>
    <t>In Kalaripayattu, which technique is used to improve the practitioner’s balance and coordination during combat?</t>
  </si>
  <si>
    <t>A) Chuvadu, B) Adavus, C) Varma, D) Uzhichil</t>
  </si>
  <si>
    <t>B) Adavus</t>
  </si>
  <si>
    <t>During a Kalaripayattu practice session, which practice focuses on enhancing agility and quick reflexes?</t>
  </si>
  <si>
    <t>A) Uzhichil, B) Marma, C) Adavus, D) Chuvadu</t>
  </si>
  <si>
    <t>D) Chuvadu</t>
  </si>
  <si>
    <t>If a Kalaripayattu practitioner is training with a stick and learning to strike with precision, what form are they likely practicing?</t>
  </si>
  <si>
    <t>A) Ketti, B) Marma, C) Uzhichil, D) Adavus</t>
  </si>
  <si>
    <t>A) Ketti</t>
  </si>
  <si>
    <t>In Kalaripayattu, which technique is designed to strengthen the core muscles and improve overall body conditioning?</t>
  </si>
  <si>
    <t>A) Uzhichil, B) Varma, C) Chuvadu, D) Marma</t>
  </si>
  <si>
    <t>During a training session, a Kalaripayattu practitioner is focusing on using a sword for both offensive and defensive moves. What practice is this related to?</t>
  </si>
  <si>
    <t>A) Adavus, B) Kettu, C) Chuvadu, D) Varma</t>
  </si>
  <si>
    <t>A Kalaripayattu practitioner is learning to counter opponent’s strikes with precise movements. Which technique should they practice?</t>
  </si>
  <si>
    <t>A) Marma, B) Varma, C) Uzhichil, D) Adavus</t>
  </si>
  <si>
    <t>You are training in Kalaripayattu and focusing on improving flexibility and stretching exercises. Which practice is most relevant?</t>
  </si>
  <si>
    <t>In a Kalaripayattu class, you are working with a long weapon designed for both cutting and thrusting. What weapon are you likely using?</t>
  </si>
  <si>
    <t>C) Spear</t>
  </si>
  <si>
    <t>You observe a Kalaripayattu practitioner performing techniques that involve circular and flowing motions. What practice are they demonstrating?</t>
  </si>
  <si>
    <t>A) Varma, B) Adavus, C) Ketti, D) Chuvadu</t>
  </si>
  <si>
    <t>In Kalaripayattu, which practice is used to enhance a practitioner's ability to execute rapid and accurate strikes?</t>
  </si>
  <si>
    <t>A) Varmam, B) Adavus, C) Uzhichil, D) Marma</t>
  </si>
  <si>
    <t>During a Kalaripayattu session, you need to improve your skills in evading attacks. What practice should you focus on?</t>
  </si>
  <si>
    <t>A Kalaripayattu practitioner is learning techniques to target specific pressure points on the opponent’s body. What technique are they using?</t>
  </si>
  <si>
    <t>A) Marma, B) Varma, C) Ketti, D) Uzhichil</t>
  </si>
  <si>
    <t>In Kalaripayattu, which practice involves techniques that focus on body conditioning and overall physical endurance?</t>
  </si>
  <si>
    <t>A) Uzhichil, B) Adavus, C) Marma, D) Varma</t>
  </si>
  <si>
    <t>During a Kalaripayattu class, you are working on mastering the use of a weapon for both offensive and defensive techniques. What weapon are you likely practicing with?</t>
  </si>
  <si>
    <t>A) Mace, B) Spear, C) Sword, D) Dagger</t>
  </si>
  <si>
    <t>In Kalaripayattu, which practice is focused on improving the precision and speed of your strikes?</t>
  </si>
  <si>
    <t>A) Varmam, B) Chuvadu, C) Adavus, D) Uzhichil</t>
  </si>
  <si>
    <t>You are observing a Kalaripayattu demonstration where the practitioner uses a weapon for powerful, blunt force attacks. What weapon are they using?</t>
  </si>
  <si>
    <t>During a Kalaripayattu training session, you focus on techniques that involve rapid footwork and agility. What practice are you working on?</t>
  </si>
  <si>
    <t>A) Chuvadu, B) Varma, C) Adavus, D) Uzhichil</t>
  </si>
  <si>
    <t>A practitioner is learning to perform precise strikes targeting vital points on the opponent. What technique should they practice?</t>
  </si>
  <si>
    <t>A) Marma, B) Varmam, C) Adavus, D) Ketti</t>
  </si>
  <si>
    <t>In Kalaripayattu, which practice is designed to develop overall body conditioning and flexibility?</t>
  </si>
  <si>
    <t>You are focusing on mastering techniques that involve both cutting and thrusting with a weapon. What weapon are you using?</t>
  </si>
  <si>
    <t>In Kalaripayattu, which technique should you practice to improve your ability to perform circular and flowing movements?</t>
  </si>
  <si>
    <t>During a Kalaripayattu class, you are concentrating on techniques to increase speed and precision in strikes. What practice is this related to?</t>
  </si>
  <si>
    <t>A) Varmam, B) Uzhichil, C) Chuvadu, D) Adavus</t>
  </si>
  <si>
    <t>In Kalaripayattu, you are training with a weapon used for both offensive and defensive techniques. What weapon are you likely using?</t>
  </si>
  <si>
    <t>You are learning techniques that focus on body conditioning and flexibility in Kalaripayattu. What practice is most relevant?</t>
  </si>
  <si>
    <t>During a Kalaripayattu session, you are asked to perform techniques that involve rapid, precise strikes with a long weapon. What form are you practicing?</t>
  </si>
  <si>
    <t>A) Ketti, B) Chuvadu, C) Marma, D) Uzhichil</t>
  </si>
  <si>
    <t>In Kalaripayattu, which practice should you focus on to improve your ability to evade and counter attacks effectively?</t>
  </si>
  <si>
    <t>A practitioner is training to use a weapon for powerful, blunt force attacks. What weapon are they using?</t>
  </si>
  <si>
    <t>In Kalaripayattu, you need to work on improving techniques that involve precise strikes to vital points. Which practice is most relevant?</t>
  </si>
  <si>
    <t>During a Kalaripayattu class, you are focusing on body conditioning and improving overall physical endurance. What practice should you prioritize?</t>
  </si>
  <si>
    <t>You are practicing Kalaripayattu with a focus on quick and effective strikes. Which practice is most relevant?</t>
  </si>
  <si>
    <t>In a Kalaripayattu session, you see a practitioner using a weapon that is effective for both cutting and thrusting. What weapon are they likely using?</t>
  </si>
  <si>
    <t>During a Kalaripayattu practice, you are focusing on techniques that involve circular and flowing movements. What practice is this associated with?</t>
  </si>
  <si>
    <t>You are learning Kalaripayattu techniques to enhance footwork and agility. What practice should you focus on?</t>
  </si>
  <si>
    <t>In Kalaripayattu, which practice should you concentrate on to improve precision in striking vital points?</t>
  </si>
  <si>
    <t>A) Varmam, B) Marma, C) Adavus, D) Uzhichil</t>
  </si>
  <si>
    <t>During Kalaripayattu training, you are asked to use a weapon that emphasizes powerful, blunt attacks. What weapon are you using?</t>
  </si>
  <si>
    <t>In Kalaripayattu, you are practicing techniques to enhance body flexibility and conditioning. What practice is most relevant?</t>
  </si>
  <si>
    <t>During a Kalaripayattu session, you focus on techniques that involve both offensive and defensive use of a weapon. What weapon are you likely using?</t>
  </si>
  <si>
    <t>In Kalaripayattu, which practice focuses on executing rapid and precise strikes with a long weapon?</t>
  </si>
  <si>
    <t>You are training in Kalaripayattu to improve your ability to perform circular movements. Which practice should you focus on?</t>
  </si>
  <si>
    <t>A) Varma, B) Adavus, C) Chuvadu, D) Uzhichil</t>
  </si>
  <si>
    <t>During a Kalaripayattu class, you are concentrating on techniques that enhance speed and precision. What practice is this related to?</t>
  </si>
  <si>
    <t>In Kalaripayattu, which technique should you practice to effectively evade and counter attacks?</t>
  </si>
  <si>
    <t>A Kalaripayattu practitioner is learning to strike with precision on specific pressure points. What technique are they using?</t>
  </si>
  <si>
    <t>In Kalaripayattu, you are focusing on improving body conditioning and endurance. What practice should you prioritize?</t>
  </si>
  <si>
    <t>You are learning techniques that involve both cutting and thrusting with a weapon. What weapon are you likely using in Kalaripayattu?</t>
  </si>
  <si>
    <t>During a Kalaripayattu class, you focus on mastering techniques that involve circular and flowing movements. What form are you practicing?</t>
  </si>
  <si>
    <t>In Kalaripayattu, which practice is designed to improve rapid and accurate striking skills?</t>
  </si>
  <si>
    <t>During a Kalaripayattu session, you are asked to use a weapon known for its effectiveness in both cutting and thrusting. What weapon are you using?</t>
  </si>
  <si>
    <t>In Kalaripayattu, which practice should you focus on to enhance body flexibility and conditioning?</t>
  </si>
  <si>
    <t>You are practicing Kalaripayattu techniques that involve rapid, precise strikes. What practice is most relevant?</t>
  </si>
  <si>
    <t>In a Kalaripayattu class, you are working on techniques that emphasize powerful, blunt attacks. What weapon are you likely using?</t>
  </si>
  <si>
    <t>During a Kalaripayattu training session, you need to improve techniques that involve effective evasion and counterattacks. What practice should you focus on?</t>
  </si>
  <si>
    <t>A Kalaripayattu practitioner is focusing on precision strikes to specific pressure points on an opponent’s body. What technique are they practicing?</t>
  </si>
  <si>
    <t>In Kalaripayattu, which practice focuses on improving body conditioning and flexibility?</t>
  </si>
  <si>
    <t>You are training in Kalaripayattu with a focus on quick and precise strikes. What practice should you emphasize?</t>
  </si>
  <si>
    <t>In a Kalaripayattu session, you observe the use of a weapon for both cutting and thrusting techniques. What weapon is being used?</t>
  </si>
  <si>
    <t>During Kalaripayattu training, you are focusing on circular and flowing techniques. What practice are you working on?</t>
  </si>
  <si>
    <t>You are practicing Kalaripayattu techniques to enhance agility and reflexes. Which practice is most relevant?</t>
  </si>
  <si>
    <t>In Kalaripayattu, which technique involves improving precision in striking vital points?</t>
  </si>
  <si>
    <t>During a Kalaripayattu class, you are learning to use a weapon for powerful and blunt force attacks. What weapon are you using?</t>
  </si>
  <si>
    <t>In Kalaripayattu, which practice should you focus on to enhance body conditioning and endurance?</t>
  </si>
  <si>
    <t>You are working on techniques that involve rapid, effective strikes with a weapon. What practice is most relevant?</t>
  </si>
  <si>
    <t>In Kalaripayattu, which practice is designed to improve the practitioner's ability to evade and counter attacks effectively?</t>
  </si>
  <si>
    <t>A Kalaripayattu practitioner is learning techniques to target specific pressure points on an opponent. What technique are they practicing?</t>
  </si>
  <si>
    <t>In Kalaripayattu, which practice is focused on body conditioning and improving overall physical endurance?</t>
  </si>
  <si>
    <t>During a Kalaripayattu class, you are asked to practice techniques that involve both offensive and defensive use of a weapon. What weapon are you likely using?</t>
  </si>
  <si>
    <t>In Kalaripayattu, which practice is designed to improve precision and speed in executing strikes?</t>
  </si>
  <si>
    <t>During a Kalaripayattu session, you are focusing on techniques involving circular and flowing movements. What practice is most relevant?</t>
  </si>
  <si>
    <t>You are learning Kalaripayattu techniques that enhance footwork and agility. What practice should you prioritize?</t>
  </si>
  <si>
    <t>In Kalaripayattu, which practice involves techniques to strike precise vital points?</t>
  </si>
  <si>
    <t>During a Kalaripayattu class, you are focusing on body conditioning and flexibility. What practice is most relevant?</t>
  </si>
  <si>
    <t>You are training in Kalaripayattu to perform rapid and precise strikes with a long weapon. What practice should you focus on?</t>
  </si>
  <si>
    <t>In Kalaripayattu, which practice is designed to enhance circular and flowing techniques?</t>
  </si>
  <si>
    <t>During a Kalaripayattu class, you need to enhance your agility and reflexes. What practice should you emphasize?</t>
  </si>
  <si>
    <t>In Kalaripayattu, which technique focuses on precise strikes to vital points on the opponent's body?</t>
  </si>
  <si>
    <t>During Kalaripayattu training, you are practicing techniques that involve powerful and blunt force attacks. What weapon are you likely using?</t>
  </si>
  <si>
    <t>In Kalaripayattu, which practice should you focus on to improve body conditioning and endurance?</t>
  </si>
  <si>
    <t>You are working on Kalaripayattu techniques that involve rapid and effective strikes. What practice is most relevant?</t>
  </si>
  <si>
    <t>In a Kalaripayattu class, you are concentrating on techniques that improve evasion and counterattacks. What practice should you focus on?</t>
  </si>
  <si>
    <t>A Kalaripayattu practitioner is learning techniques to strike specific pressure points on an opponent. What technique are they practicing?</t>
  </si>
  <si>
    <t>In Kalaripayattu, which practice is designed to improve overall body conditioning and flexibility?</t>
  </si>
  <si>
    <t>During a Kalaripayattu session, you are asked to practice techniques involving both offensive and defensive use of a weapon. What weapon are you using?</t>
  </si>
  <si>
    <t>In Kalaripayattu, which practice should you focus on to enhance precision and speed in striking techniques?</t>
  </si>
  <si>
    <t>During a Kalaripayattu class, you are focusing on mastering techniques that involve circular and flowing movements. What practice is most relevant?</t>
  </si>
  <si>
    <t>You are learning Kalaripayattu techniques to enhance agility and reflexes. What practice should you prioritize?</t>
  </si>
  <si>
    <t>In Kalaripayattu, which technique focuses on striking precise vital points?</t>
  </si>
  <si>
    <t>During Kalaripayattu training, you are focusing on powerful and blunt force techniques. What weapon are you likely using?</t>
  </si>
  <si>
    <t>You are practicing Kalaripayattu techniques involving rapid and precise strikes. What practice should you focus on?</t>
  </si>
  <si>
    <t>In Kalaripayattu, which practice is designed to improve the ability to evade and counter attacks effectively?</t>
  </si>
  <si>
    <t>A Kalaripayattu practitioner is focusing on precision strikes to specific pressure points. What technique are they practicing?</t>
  </si>
  <si>
    <t>During a Kalaripayattu session, you are focusing on the technique of attacking vital points to incapacitate an opponent quickly. What practice are you engaging in?</t>
  </si>
  <si>
    <t>You are practicing Kalaripayattu and are asked to demonstrate techniques that involve using a long weapon for both offense and defense. What weapon are you most likely using?</t>
  </si>
  <si>
    <t>In a Kalaripayattu class, you are working on techniques to improve your flexibility and body conditioning. Which practice should you focus on?</t>
  </si>
  <si>
    <t>You are learning a Kalaripayattu technique that emphasizes precise strikes to specific points on the opponent's body. What technique are you practicing?</t>
  </si>
  <si>
    <t>A) Marma, B) Varmam, C) Chuvadu, D) Adavus</t>
  </si>
  <si>
    <t>In Kalaripayattu, you need to enhance your ability to perform quick and effective footwork. What practice should you prioritize?</t>
  </si>
  <si>
    <t>During a Kalaripayattu class, you are practicing techniques that involve powerful strikes and blunt force. What weapon are you most likely using?</t>
  </si>
  <si>
    <t>You are learning Kalaripayattu techniques focused on improving your speed and accuracy with weapon strikes. What practice is most relevant?</t>
  </si>
  <si>
    <t>In Kalaripayattu, you are concentrating on techniques that enhance your ability to evade and counter attacks. What practice should you focus on?</t>
  </si>
  <si>
    <t>A Kalaripayattu practitioner is focusing on techniques to strike precise pressure points on an opponent. What technique are they working on?</t>
  </si>
  <si>
    <t>During a Kalaripayattu session, you are practicing body conditioning exercises to improve strength and flexibility. What practice are you engaged in?</t>
  </si>
  <si>
    <t>In Kalaripayattu, which practice involves techniques that use a weapon for powerful and sweeping attacks?</t>
  </si>
  <si>
    <t>You are working on Kalaripayattu techniques that require rapid and precise movements. What practice should you focus on?</t>
  </si>
  <si>
    <t>During a Kalaripayattu class, you are focusing on improving your agility and reflexes. What practice is most relevant?</t>
  </si>
  <si>
    <t>In Kalaripayattu, which technique emphasizes the use of specific pressure points to incapacitate an opponent?</t>
  </si>
  <si>
    <t>You are practicing Kalaripayattu and are asked to demonstrate techniques involving both offensive and defensive use of a weapon. What weapon are you using?</t>
  </si>
  <si>
    <t>In Kalaripayattu, which practice should you focus on to enhance your ability to strike with precision and speed?</t>
  </si>
  <si>
    <t>During a Kalaripayattu session, you are concentrating on circular and flowing movements. What practice is most relevant?</t>
  </si>
  <si>
    <t>You are training in Kalaripayattu to improve your footwork and agility. What practice should you prioritize?</t>
  </si>
  <si>
    <t>During Kalaripayattu training, you are focusing on powerful and blunt force techniques. What weapon are you using?</t>
  </si>
  <si>
    <t>You are working on Kalaripayattu techniques involving rapid and effective strikes. What practice is most relevant?</t>
  </si>
  <si>
    <t>In Kalaripayattu, which practice focuses on improving body conditioning and overall physical endurance?</t>
  </si>
  <si>
    <t>During a Kalaripayattu session, you are practicing techniques involving both offensive and defensive use of a weapon. What weapon are you using?</t>
  </si>
  <si>
    <t>You are learning Kalaripayattu techniques that emphasize rapid and effective footwork. What practice should you prioritize?</t>
  </si>
  <si>
    <t>In Kalaripayattu, which technique focuses on using specific pressure points to incapacitate an opponent?</t>
  </si>
  <si>
    <t>During Kalaripayattu training, you are concentrating on powerful and blunt force techniques. What weapon are you most likely using?</t>
  </si>
  <si>
    <t>In Kalaripayattu, which practice is designed to improve body conditioning and overall strength?</t>
  </si>
  <si>
    <t>You are focusing on Kalaripayattu techniques involving precise strikes and speed. What practice is most relevant?</t>
  </si>
  <si>
    <t>In Kalaripayattu, which practice involves improving agility and reflexes to evade and counter attacks?</t>
  </si>
  <si>
    <t>A Kalaripayattu practitioner is working on striking specific pressure points to incapacitate opponents. What technique are they using?</t>
  </si>
  <si>
    <t>In Kalaripayattu, which technique focuses on circular and flowing movements to enhance fluidity in combat?</t>
  </si>
  <si>
    <t>You are practicing Kalaripayattu techniques that involve powerful strikes and blunt force. What weapon are you using?</t>
  </si>
  <si>
    <t>In Kalaripayattu, which practice focuses on precise strikes to specific pressure points on the opponent?</t>
  </si>
  <si>
    <t>During Kalaripayattu training, you are focusing on improving overall body conditioning. What practice is most relevant?</t>
  </si>
  <si>
    <t>In Kalaripayattu, which technique is designed to enhance precision and speed in weapon strikes?</t>
  </si>
  <si>
    <t>In Kalaripayattu, which practice focuses on using specific pressure points to incapacitate an opponent quickly?</t>
  </si>
  <si>
    <t>During Kalaripayattu training, you are concentrating on techniques that involve powerful and blunt force attacks. What weapon are you using?</t>
  </si>
  <si>
    <t>In Kalaripayattu, which practice should you focus on to improve body conditioning and strength?</t>
  </si>
  <si>
    <t>You are focusing on Kalaripayattu techniques that involve precise strikes and rapid movements. What practice is most relevant?</t>
  </si>
  <si>
    <t>In Kalaripayattu, which practice involves techniques designed to improve agility and reflexes for evading attacks?</t>
  </si>
  <si>
    <t>A Kalaripayattu practitioner is learning techniques to strike precise pressure points on the opponent's body. What technique are they using?</t>
  </si>
  <si>
    <t>In Kalaripayattu, which technique focuses on circular and flowing movements to enhance fluidity and grace in combat?</t>
  </si>
  <si>
    <t>You are practicing Kalaripayattu techniques that involve powerful and blunt force strikes. What weapon are you most likely using?</t>
  </si>
  <si>
    <t>In Kalaripayattu, which practice should you focus on to enhance your precision and speed in strikes?</t>
  </si>
  <si>
    <t>During a Kalaripayattu class, you are concentrating on mastering techniques for rapid and effective footwork. What practice is most relevant?</t>
  </si>
  <si>
    <t>In Kalaripayattu, which technique focuses on the use of specific pressure points to quickly incapacitate an opponent?</t>
  </si>
  <si>
    <t>During Kalaripayattu training, you are focusing on techniques involving powerful and blunt force attacks. What weapon are you using?</t>
  </si>
  <si>
    <t>In Kalaripayattu, which practice focuses on improving overall body conditioning and endurance?</t>
  </si>
  <si>
    <t>You are practicing Kalaripayattu techniques that involve precise strikes and rapid movements. What practice is most relevant?</t>
  </si>
  <si>
    <t>In Kalaripayattu, which practice is designed to improve agility and reflexes for effective evasion and counterattacks?</t>
  </si>
  <si>
    <t>You are learning Kalaripayattu techniques that emphasize powerful and blunt force strikes. What weapon are you using?</t>
  </si>
  <si>
    <t>In Kalaripayattu, which practice is designed to enhance agility and reflexes for evading and countering attacks?</t>
  </si>
  <si>
    <t>A Kalaripayattu practitioner is learning techniques to strike specific pressure points on the opponent's body. What technique are they using?</t>
  </si>
  <si>
    <t>During Kalaripayattu training, you are concentrating on techniques involving powerful and blunt force attacks. What weapon are you using?</t>
  </si>
  <si>
    <t>In Kalaripayattu, which practice involves techniques designed to improve agility and reflexes for evading and countering attacks?</t>
  </si>
  <si>
    <t>A Kalaripayattu practitioner is focusing on striking specific pressure points to incapacitate an opponent quickly. What technique are they practicing?</t>
  </si>
  <si>
    <t>You are learning Kalaripayattu techniques that involve powerful and blunt force strikes. What weapon are you most likely using?</t>
  </si>
  <si>
    <t>In Kalaripayattu, which practice should you focus on to enhance precision and speed in weapon strikes?</t>
  </si>
  <si>
    <t>In Kalaripayattu, which practice focuses on the use of specific pressure points to incapacitate an opponent?</t>
  </si>
  <si>
    <t>During Kalaripayattu training, you are concentrating on techniques that involve powerful and blunt force strikes. What weapon are you using?</t>
  </si>
  <si>
    <t>During Kalaripayattu training, you are focusing on techniques involving powerful and blunt force strikes. What weapon are you using?</t>
  </si>
  <si>
    <t>In Kalaripayattu, which technique involves the use of a long weapon to strike from a distance?</t>
  </si>
  <si>
    <t>A) Varma, B) Adavus, C) Long Stick, D) Uzhichil</t>
  </si>
  <si>
    <t>C) Long Stick</t>
  </si>
  <si>
    <t>A practitioner is focusing on techniques to defend against low strikes. Which practice should they emphasize?</t>
  </si>
  <si>
    <t>A) Chuvadu, B) Varmam, C) Marma, D) Adavus</t>
  </si>
  <si>
    <t>In Kalaripayattu, what is the primary focus of the practice known as 'Varma'?</t>
  </si>
  <si>
    <t>A) Pressure points, B) Body conditioning, C) Weapon training, D) Footwork</t>
  </si>
  <si>
    <t>A practitioner needs to enhance their speed and agility for Kalaripayattu. What practice is most beneficial?</t>
  </si>
  <si>
    <t>In Kalaripayattu, which weapon is commonly used for techniques involving swift cuts and thrusts?</t>
  </si>
  <si>
    <t>During Kalaripayattu training, you are learning to deflect and counter strikes. What technique is most relevant?</t>
  </si>
  <si>
    <t>A practitioner in Kalaripayattu is focusing on improving their endurance. Which practice should they prioritize?</t>
  </si>
  <si>
    <t>In Kalaripayattu, which technique involves training with a weapon to develop precision and control?</t>
  </si>
  <si>
    <t>A) Adavus, B) Varma, C) Marma, D) Uzhichil</t>
  </si>
  <si>
    <t>A Kalaripayattu practitioner is learning to use pressure points to disable an opponent quickly. What technique are they using?</t>
  </si>
  <si>
    <t>In Kalaripayattu, which practice is essential for mastering the art of striking with precision and speed?</t>
  </si>
  <si>
    <t>During Kalaripayattu training, you are focusing on techniques that involve using a blunt weapon. What weapon are you likely training with?</t>
  </si>
  <si>
    <t>A Kalaripayattu practitioner is concentrating on enhancing their footwork for better mobility. What practice should they focus on?</t>
  </si>
  <si>
    <t>In Kalaripayattu, which technique involves the use of a spear for both defensive and offensive maneuvers?</t>
  </si>
  <si>
    <t>A) Adavus, B) Varmam, C) Spear Techniques, D) Uzhichil</t>
  </si>
  <si>
    <t>C) Spear Techniques</t>
  </si>
  <si>
    <t>You are learning Kalaripayattu techniques that emphasize the use of circular movements. What practice is most relevant?</t>
  </si>
  <si>
    <t>In Kalaripayattu, which practice focuses on using a dagger for close-combat techniques?</t>
  </si>
  <si>
    <t>A) Dagger Techniques, B) Varma, C) Adavus, D) Uzhichil</t>
  </si>
  <si>
    <t>A) Dagger Techniques</t>
  </si>
  <si>
    <t>A Kalaripayattu practitioner is working on techniques to improve their overall body strength. What practice should they focus on?</t>
  </si>
  <si>
    <t>During Kalaripayattu training, which practice involves enhancing coordination and synchronization of movements?</t>
  </si>
  <si>
    <t>In Kalaripayattu, what is the primary focus of the technique known as 'Marma'?</t>
  </si>
  <si>
    <t>A) Pressure points, B) Weapon handling, C) Body conditioning, D) Footwork</t>
  </si>
  <si>
    <t>A practitioner in Kalaripayattu is focusing on techniques to defend against overhead strikes. What practice is most beneficial?</t>
  </si>
  <si>
    <t>In Kalaripayattu, which weapon is most commonly used for techniques involving swift and precise strikes?</t>
  </si>
  <si>
    <t>During Kalaripayattu training, you are focusing on mastering techniques that involve using a long stick. What practice is most relevant?</t>
  </si>
  <si>
    <t>A) Long Stick Techniques, B) Varma, C) Adavus, D) Uzhichil</t>
  </si>
  <si>
    <t>A) Long Stick Techniques</t>
  </si>
  <si>
    <t>In Kalaripayattu, which technique is designed to improve the practitioner's agility and reflexes?</t>
  </si>
  <si>
    <t>A Kalaripayattu practitioner is learning techniques to perform precise and effective strikes with a dagger. What practice are they using?</t>
  </si>
  <si>
    <t>In Kalaripayattu, which practice focuses on body conditioning and endurance training?</t>
  </si>
  <si>
    <t>During Kalaripayattu training, you are learning to strike specific pressure points to incapacitate an opponent. What technique are you focusing on?</t>
  </si>
  <si>
    <t>In Kalaripayattu, which technique involves mastering the use of circular and flowing movements?</t>
  </si>
  <si>
    <t>You are practicing Kalaripayattu techniques that involve using a blunt weapon for powerful strikes. What weapon are you using?</t>
  </si>
  <si>
    <t>In Kalaripayattu, which practice is essential for improving footwork and defensive maneuvers?</t>
  </si>
  <si>
    <t>A Kalaripayattu practitioner is focusing on techniques to enhance their speed and precision with weapon strikes. What practice should they prioritize?</t>
  </si>
  <si>
    <t>In Kalaripayattu, which weapon is most effective for techniques involving long-range strikes and thrusts?</t>
  </si>
  <si>
    <t>A) Spear, B) Sword, C) Mace, D) Dagger</t>
  </si>
  <si>
    <t>During Kalaripayattu training, which practice should you focus on to enhance your ability to strike and defend simultaneously?</t>
  </si>
  <si>
    <t>In Kalaripayattu, which practice involves the use of a long weapon to develop reach and power in strikes?</t>
  </si>
  <si>
    <t>A Kalaripayattu practitioner is focusing on mastering techniques that involve quick and effective footwork. What practice are they engaging in?</t>
  </si>
  <si>
    <t>In Kalaripayattu, which technique is designed to enhance the practitioner's ability to deliver powerful and precise strikes?</t>
  </si>
  <si>
    <t>During Kalaripayattu training, you are learning techniques for close-combat with a small weapon. What weapon are you most likely using?</t>
  </si>
  <si>
    <t>A) Dagger, B) Sword, C) Mace, D) Spear</t>
  </si>
  <si>
    <t>A) Dagger</t>
  </si>
  <si>
    <t>In Kalaripayattu, which practice involves techniques that improve overall physical conditioning and endurance?</t>
  </si>
  <si>
    <t>A Kalaripayattu practitioner is learning techniques to enhance their ability to evade and counter attacks. What practice are they using?</t>
  </si>
  <si>
    <t>In Kalaripayattu, which weapon is used for techniques that involve swift and effective cuts and slashes?</t>
  </si>
  <si>
    <t>During Kalaripayattu training, which practice focuses on using a long weapon for both offensive and defensive maneuvers?</t>
  </si>
  <si>
    <t>In Kalaripayattu, which technique is crucial for mastering rapid and fluid movements in combat?</t>
  </si>
  <si>
    <t>A Kalaripayattu practitioner is focusing on techniques to strike specific pressure points on the body. What practice should they emphasize?</t>
  </si>
  <si>
    <t>In Kalaripayattu, which practice should you focus on to develop strength and endurance through physical conditioning?</t>
  </si>
  <si>
    <t>During Kalaripayattu training, which technique involves the use of a spear for long-range combat?</t>
  </si>
  <si>
    <t>A) Spear Techniques, B) Varma, C) Adavus, D) Uzhichil</t>
  </si>
  <si>
    <t>A) Spear Techniques</t>
  </si>
  <si>
    <t>In Kalaripayattu, which practice involves techniques to improve the practitioner's ability to move swiftly and evade attacks?</t>
  </si>
  <si>
    <t>A Kalaripayattu practitioner is learning techniques to handle a mace effectively. What practice are they focusing on?</t>
  </si>
  <si>
    <t>A) Mace Techniques, B) Varma, C) Adavus, D) Uzhichil</t>
  </si>
  <si>
    <t>A) Mace Techniques</t>
  </si>
  <si>
    <t>In Kalaripayattu, which practice is essential for mastering precise and powerful strikes with a sword?</t>
  </si>
  <si>
    <t>A) Sword Techniques, B) Varma, C) Adavus, D) Uzhichil</t>
  </si>
  <si>
    <t>A) Sword Techniques</t>
  </si>
  <si>
    <t>During Kalaripayattu training, which technique focuses on improving the practitioner's overall combat strategy and adaptability?</t>
  </si>
  <si>
    <t>In Kalaripayattu, which technique involves using a long weapon for both attacking and defending?</t>
  </si>
  <si>
    <t>A Kalaripayattu practitioner is learning techniques to enhance their ability to strike with precision and speed. What practice are they focusing on?</t>
  </si>
  <si>
    <t>In Kalaripayattu, which weapon is primarily used for techniques involving swift cuts and thrusts?</t>
  </si>
  <si>
    <t>During Kalaripayattu training, you are focusing on enhancing your ability to evade and counter strikes. What practice should you emphasize?</t>
  </si>
  <si>
    <t>In Kalaripayattu, which technique involves the use of a dagger for close-combat situations?</t>
  </si>
  <si>
    <t>A Kalaripayattu practitioner is focusing on techniques to improve overall physical strength and stamina. What practice should they prioritize?</t>
  </si>
  <si>
    <t>During Kalaripayattu training, which practice should you focus on to enhance your ability to execute precise and effective strikes with a weapon?</t>
  </si>
  <si>
    <t>In Kalaripayattu, which weapon is used for techniques that involve delivering powerful and precise strikes?</t>
  </si>
  <si>
    <t>A practitioner is learning Kalaripayattu techniques that emphasize using a long weapon for both offense and defense. What practice is most relevant?</t>
  </si>
  <si>
    <t>In Kalaripayattu, which technique is essential for mastering the art of using circular and flowing movements in combat?</t>
  </si>
  <si>
    <t>During Kalaripayattu training, which practice involves the use of specific pressure points to incapacitate an opponent?</t>
  </si>
  <si>
    <t>A Kalaripayattu practitioner is working on techniques that involve using a blunt weapon for powerful strikes. What weapon are they using?</t>
  </si>
  <si>
    <t>In Kalaripayattu, which practice focuses on body conditioning and improving overall physical endurance?</t>
  </si>
  <si>
    <t>During Kalaripayattu training, which technique should you focus on to enhance your agility and reflexes in combat?</t>
  </si>
  <si>
    <t>In Kalaripayattu, which technique involves the use of a long weapon for effective offensive and defensive maneuvers?</t>
  </si>
  <si>
    <t>A Kalaripayattu practitioner is focusing on techniques to improve their precision and speed with weapon strikes. What practice should they prioritize?</t>
  </si>
  <si>
    <t>In Kalaripayattu, which weapon is best suited for techniques involving swift and precise slashes?</t>
  </si>
  <si>
    <t>During Kalaripayattu training, which practice focuses on enhancing footwork and defensive capabilities?</t>
  </si>
  <si>
    <t>In Kalaripayattu, which practice should you emphasize to master the use of a dagger in close-combat scenarios?</t>
  </si>
  <si>
    <t>A Kalaripayattu practitioner is concentrating on techniques to develop overall body strength and conditioning. What practice should they focus on?</t>
  </si>
  <si>
    <t>During Kalaripayattu training, which technique involves the use of a long weapon to execute powerful strikes and defensive moves?</t>
  </si>
  <si>
    <t>In Kalaripayattu, which practice is crucial for improving the speed and effectiveness of weapon strikes?</t>
  </si>
  <si>
    <t>A Kalaripayattu practitioner is working on techniques to strike with precision and power. What practice are they most likely engaged in?</t>
  </si>
  <si>
    <t>In Kalaripayattu, which weapon is used for techniques involving quick and precise cuts and thrusts?</t>
  </si>
  <si>
    <t>During Kalaripayattu training, which practice focuses on enhancing the practitioner's ability to evade and counter attacks?</t>
  </si>
  <si>
    <t>In Kalaripayattu, which technique involves the use of a dagger for close-range combat?</t>
  </si>
  <si>
    <t>A Kalaripayattu practitioner is focusing on overall body conditioning and strength. What practice should they emphasize?</t>
  </si>
  <si>
    <t>During Kalaripayattu training, which technique involves using circular and flowing movements for effective combat?</t>
  </si>
  <si>
    <t>A Kalaripayattu practitioner is learning techniques to handle a mace effectively. What practice are they using?</t>
  </si>
  <si>
    <t>In Kalaripayattu, which practice is essential for mastering precise strikes and defensive techniques with a sword?</t>
  </si>
  <si>
    <t>During Kalaripayattu training, which practice focuses on improving overall combat strategy and adaptability?</t>
  </si>
  <si>
    <t>In Kalaripayattu, which technique involves using a long weapon for both offensive and defensive purposes?</t>
  </si>
  <si>
    <t>A Kalaripayattu practitioner is focusing on techniques that enhance their agility and reflexes in combat. What practice should they prioritize?</t>
  </si>
  <si>
    <t>In Kalaripayattu, which weapon is best suited for techniques involving swift and precise slashes and thrusts?</t>
  </si>
  <si>
    <t>During Kalaripayattu training, which practice focuses on developing footwork and defensive techniques?</t>
  </si>
  <si>
    <t>In Kalaripayattu, which technique involves the use of a dagger to perform effective close-combat techniques?</t>
  </si>
  <si>
    <t>A Kalaripayattu practitioner is concentrating on techniques to improve overall strength and endurance. What practice should they focus on?</t>
  </si>
  <si>
    <t>During Kalaripayattu training, which technique focuses on enhancing your ability to execute precise strikes with a long weapon?</t>
  </si>
  <si>
    <t>In Kalaripayattu, which practice should you focus on to master the art of delivering powerful and precise strikes?</t>
  </si>
  <si>
    <t>A Kalaripayattu practitioner is working on techniques that involve quick and effective weapon strikes. What practice are they focusing on?</t>
  </si>
  <si>
    <t>In Kalaripayattu, which technique is emphasized to improve the practitioner's ability to defend against multiple attackers?</t>
  </si>
  <si>
    <t>A) Uzhichil, B) Adavus, C) Chuvadu, D) Varmam</t>
  </si>
  <si>
    <t>A Kalaripayattu practitioner is training to enhance their precision and control with a spear. What practice are they engaged in?</t>
  </si>
  <si>
    <t>A) Spear Techniques, B) Adavus, C) Marma, D) Chuvadu</t>
  </si>
  <si>
    <t>During Kalaripayattu practice, which technique is crucial for mastering the art of quick counterattacks?</t>
  </si>
  <si>
    <t>A) Chuvadu, B) Varmam, C) Uzhichil, D) Adavus</t>
  </si>
  <si>
    <t>In Kalaripayattu, which weapon is primarily used for techniques that involve powerful and sweeping strikes?</t>
  </si>
  <si>
    <t>A Kalaripayattu practitioner is focusing on techniques to improve their agility and quick footwork. What practice should they prioritize?</t>
  </si>
  <si>
    <t>In Kalaripayattu, which practice involves the use of a long weapon for techniques that combine offense and defense?</t>
  </si>
  <si>
    <t>A Kalaripayattu practitioner is learning techniques to effectively use a dagger for close-range combat. What practice are they focusing on?</t>
  </si>
  <si>
    <t>During Kalaripayattu training, which technique is essential for developing the ability to deliver powerful strikes with a sword?</t>
  </si>
  <si>
    <t>A) Sword Techniques, B) Varma, C) Chuvadu, D) Adavus</t>
  </si>
  <si>
    <t>In Kalaripayattu, which practice involves techniques designed to incapacitate an opponent by targeting specific pressure points?</t>
  </si>
  <si>
    <t>A Kalaripayattu practitioner is concentrating on enhancing their ability to strike with precision and speed. What practice are they focusing on?</t>
  </si>
  <si>
    <t>In Kalaripayattu, which technique is essential for mastering the use of a mace in combat?</t>
  </si>
  <si>
    <t>During Kalaripayattu training, which practice focuses on body conditioning to improve overall strength and endurance?</t>
  </si>
  <si>
    <t>In Kalaripayattu, which technique involves using a long weapon to perform both offensive and defensive maneuvers?</t>
  </si>
  <si>
    <t>A Kalaripayattu practitioner is focusing on developing swift and effective footwork. What practice should they emphasize?</t>
  </si>
  <si>
    <t>In Kalaripayattu, which weapon is best suited for techniques involving rapid and precise cuts?</t>
  </si>
  <si>
    <t>During Kalaripayattu training, which practice involves the use of specific pressure points to enhance combat effectiveness?</t>
  </si>
  <si>
    <t>A Kalaripayattu practitioner is learning techniques to handle a spear effectively. What practice are they focusing on?</t>
  </si>
  <si>
    <t>In Kalaripayattu, which technique is crucial for mastering the art of evading and countering attacks?</t>
  </si>
  <si>
    <t>During Kalaripayattu training, which practice focuses on using a long weapon for effective combat techniques?</t>
  </si>
  <si>
    <t>In Kalaripayattu, which practice should you focus on to master the art of quick and powerful strikes with a sword?</t>
  </si>
  <si>
    <t>A Kalaripayattu practitioner is working on techniques to improve their physical conditioning and strength. What practice should they prioritize?</t>
  </si>
  <si>
    <t>During Kalaripayattu training, which technique focuses on improving agility and reflexes through specific footwork?</t>
  </si>
  <si>
    <t>In Kalaripayattu, which weapon is primarily used for techniques involving effective slashes and thrusts?</t>
  </si>
  <si>
    <t>A Kalaripayattu practitioner is learning techniques to enhance their ability to deliver powerful and precise strikes. What practice are they focusing on?</t>
  </si>
  <si>
    <t>In Kalaripayattu, which practice involves using specific pressure points to incapacitate an opponent?</t>
  </si>
  <si>
    <t>During Kalaripayattu training, which practice should you focus on to master the art of using a dagger in close-combat scenarios?</t>
  </si>
  <si>
    <t>A Kalaripayattu practitioner is concentrating on enhancing their physical strength and endurance. What practice should they prioritize?</t>
  </si>
  <si>
    <t>In Kalaripayattu, which technique involves using a long weapon for both offensive and defensive maneuvers?</t>
  </si>
  <si>
    <t>During Kalaripayattu training, which practice focuses on enhancing the ability to evade and counter attacks?</t>
  </si>
  <si>
    <t>In Kalaripayattu, which weapon is best suited for techniques that involve quick and precise cuts and thrusts?</t>
  </si>
  <si>
    <t>During Kalaripayattu training, which practice is essential for developing precise strikes with a sword?</t>
  </si>
  <si>
    <t>In Kalaripayattu, which technique is crucial for mastering the use of a spear for both attack and defense?</t>
  </si>
  <si>
    <t>A Kalaripayattu practitioner is focusing on techniques to improve their footwork and defensive skills. What practice should they emphasize?</t>
  </si>
  <si>
    <t>In Kalaripayattu, which practice focuses on the use of specific pressure points for combat effectiveness?</t>
  </si>
  <si>
    <t>During Kalaripayattu training, which practice involves techniques for precise and powerful strikes with a dagger?</t>
  </si>
  <si>
    <t>In Kalaripayattu, which technique should you focus on to develop overall body strength and conditioning?</t>
  </si>
  <si>
    <t>A Kalaripayattu practitioner is learning techniques to improve their speed and precision with weapon strikes. What practice are they focusing on?</t>
  </si>
  <si>
    <t>During Kalaripayattu training, which practice is essential for mastering the use of a long weapon in combat?</t>
  </si>
  <si>
    <t>In Kalaripayattu, which practice should be emphasized for effective use of a mace in combat?</t>
  </si>
  <si>
    <t>A Kalaripayattu practitioner is focusing on developing their footwork and defensive capabilities. What practice should they prioritize?</t>
  </si>
  <si>
    <t>In Kalaripayattu, which weapon is best suited for techniques involving swift and precise cuts and thrusts?</t>
  </si>
  <si>
    <t>During Kalaripayattu training, which technique is essential for mastering the use of a spear in combat?</t>
  </si>
  <si>
    <t>In Kalaripayattu, which practice focuses on using specific pressure points to incapacitate an opponent effectively?</t>
  </si>
  <si>
    <t>A Kalaripayattu practitioner is learning techniques to enhance their ability to strike quickly and accurately with a sword. What practice are they focusing on?</t>
  </si>
  <si>
    <t>During Kalaripayattu training, which technique involves the use of a long weapon for effective offensive and defensive maneuvers?</t>
  </si>
  <si>
    <t>In Kalaripayattu, which practice should be emphasized to develop the ability to handle a dagger effectively in close-combat scenarios?</t>
  </si>
  <si>
    <t>A Kalaripayattu practitioner is focusing on techniques to improve their overall physical conditioning. What practice should they prioritize?</t>
  </si>
  <si>
    <t>In Kalaripayattu, which technique is crucial for enhancing the ability to deliver powerful and precise strikes with a mace?</t>
  </si>
  <si>
    <t>During Kalaripayattu training, which practice focuses on developing agility and reflexes through specific techniques?</t>
  </si>
  <si>
    <t>In Kalaripayattu, which weapon is best suited for techniques that involve quick and precise strikes and cuts?</t>
  </si>
  <si>
    <t>A Kalaripayattu practitioner is learning techniques to handle a mace effectively in combat. What practice are they focusing on?</t>
  </si>
  <si>
    <t>During Kalaripayattu training, which practice is essential for mastering precise and powerful strikes with a dagger?</t>
  </si>
  <si>
    <t>In Kalaripayattu, which technique involves using a long weapon to execute both offensive and defensive moves?</t>
  </si>
  <si>
    <t>A Kalaripayattu practitioner is focusing on techniques to enhance their reflexes and speed. What practice should they prioritize?</t>
  </si>
  <si>
    <t>In Kalaripayattu, which weapon is primarily used for techniques involving swift and powerful strikes?</t>
  </si>
  <si>
    <t>During Kalaripayattu training, which technique focuses on using specific pressure points to incapacitate an opponent?</t>
  </si>
  <si>
    <t>A Kalaripayattu practitioner is learning techniques to improve their physical strength and endurance. What practice should they focus on?</t>
  </si>
  <si>
    <t>In Kalaripayattu, which technique should be emphasized to develop the ability to handle a dagger effectively?</t>
  </si>
  <si>
    <t>During Kalaripayattu training, which practice focuses on the effective use of a long weapon for both attack and defense?</t>
  </si>
  <si>
    <t>In Kalaripayattu, which practice should be prioritized to master the art of quick and precise strikes with a sword?</t>
  </si>
  <si>
    <t>A Kalaripayattu practitioner is focusing on techniques to enhance their agility and footwork. What practice should they emphasize?</t>
  </si>
  <si>
    <t>In Kalaripayattu, which weapon is best suited for techniques involving effective thrusts and cuts?</t>
  </si>
  <si>
    <t>During Kalaripayattu training, which practice involves using a spear for both offensive and defensive techniques?</t>
  </si>
  <si>
    <t>In Kalaripayattu, which technique is essential for mastering the use of a long weapon in various combat scenarios?</t>
  </si>
  <si>
    <t>A Kalaripayattu practitioner is focusing on improving their reflexes and ability to evade attacks. What practice should they prioritize?</t>
  </si>
  <si>
    <t>In Kalaripayattu, which practice involves targeting specific pressure points to enhance combat effectiveness?</t>
  </si>
  <si>
    <t>During Kalaripayattu training, which practice focuses on the use of a dagger for effective close-combat techniques?</t>
  </si>
  <si>
    <t>In Kalaripayattu, which technique should be emphasized to develop strength and conditioning for combat?</t>
  </si>
  <si>
    <t>A Kalaripayattu practitioner is focusing on techniques to enhance their speed and precision with a sword. What practice should they prioritize?</t>
  </si>
  <si>
    <t>During Kalaripayattu training, which practice is essential for mastering the use of a long weapon in different combat situations?</t>
  </si>
  <si>
    <t>In Kalaripayattu, which weapon is primarily used for techniques involving powerful and sweeping strikes?</t>
  </si>
  <si>
    <t>A Kalaripayattu practitioner is concentrating on techniques to improve their agility and defensive skills. What practice should they focus on?</t>
  </si>
  <si>
    <t>In Kalaripayattu, which practice involves the use of specific pressure points to incapacitate opponents effectively?</t>
  </si>
  <si>
    <t>During Kalaripayattu training, which technique should be emphasized to develop effective combat skills with a dagger?</t>
  </si>
  <si>
    <t>A Kalaripayattu practitioner is focusing on techniques to enhance their overall body strength and conditioning. What practice should they prioritize?</t>
  </si>
  <si>
    <t>In Kalaripayattu, which technique focuses on mastering the use of a long weapon for both offensive and defensive purposes?</t>
  </si>
  <si>
    <t>During Kalaripayattu training, which practice should you emphasize to develop precise and powerful strikes with a sword?</t>
  </si>
  <si>
    <t>A Kalaripayattu practitioner is working on improving their reflexes and ability to evade attacks. What practice should they focus on?</t>
  </si>
  <si>
    <t>In Kalaripayattu, which weapon is best suited for techniques that involve effective thrusts and cuts?</t>
  </si>
  <si>
    <t>During Kalaripayattu training, which practice focuses on the use of specific pressure points for effective combat?</t>
  </si>
  <si>
    <t>During Kalaripayattu training, which technique should be prioritized to develop effective combat skills with a dagger?</t>
  </si>
  <si>
    <t>In Kalaripayattu, which practice focuses on using a long weapon to perform both offensive and defensive maneuvers?</t>
  </si>
  <si>
    <t>A Kalaripayattu practitioner is focusing on techniques to enhance their agility and quick footwork. What practice should they prioritize?</t>
  </si>
  <si>
    <t>During Kalaripayattu training, which technique should be emphasized to develop precise strikes with a sword?</t>
  </si>
  <si>
    <t>In Kalaripayattu, what is the primary purpose of the 'Chuvadu' technique?</t>
  </si>
  <si>
    <t>A) Improve footwork, B) Enhance strength, C) Master weapon handling, D) Develop agility</t>
  </si>
  <si>
    <t>A Kalaripayattu practitioner is training to improve their defensive skills. Which practice should they focus on?</t>
  </si>
  <si>
    <t>A) Adavus, B) Uzhichil, C) Marma, D) Chuvadu</t>
  </si>
  <si>
    <t>During a Kalaripayattu session, which weapon is typically used to practice long-range strikes?</t>
  </si>
  <si>
    <t>In Kalaripayattu, which practice involves the use of pressure points to affect an opponent's energy flow?</t>
  </si>
  <si>
    <t>A Kalaripayattu practitioner wants to focus on improving their striking power. What technique should they emphasize?</t>
  </si>
  <si>
    <t>A) Sword Techniques, B) Mace Techniques, C) Chuvadu, D) Dagger Techniques</t>
  </si>
  <si>
    <t>B) Mace Techniques</t>
  </si>
  <si>
    <t>In Kalaripayattu, which practice is essential for mastering the use of a dagger in close combat?</t>
  </si>
  <si>
    <t>During Kalaripayattu training, which practice is crucial for developing overall body conditioning?</t>
  </si>
  <si>
    <t>In Kalaripayattu, what is the primary focus of 'Adavus' practice?</t>
  </si>
  <si>
    <t>A) Weapon techniques, B) Stance and movement, C) Pressure points, D) Body conditioning</t>
  </si>
  <si>
    <t>B) Stance and movement</t>
  </si>
  <si>
    <t>A practitioner in Kalaripayattu is working on their ability to strike with precision. What should they practice?</t>
  </si>
  <si>
    <t>A) Sword Techniques, B) Uzhichil, C) Marma, D) Chuvadu</t>
  </si>
  <si>
    <t>In Kalaripayattu, which weapon is most effective for techniques involving wide, sweeping strikes?</t>
  </si>
  <si>
    <t>During Kalaripayattu training, which practice focuses on refining the use of a long weapon for combat?</t>
  </si>
  <si>
    <t>In Kalaripayattu, which practice is essential for learning to handle multiple weapons effectively?</t>
  </si>
  <si>
    <t>A) Weapon Combinations, B) Marma, C) Adavus, D) Uzhichil</t>
  </si>
  <si>
    <t>A) Weapon Combinations</t>
  </si>
  <si>
    <t>A Kalaripayattu practitioner is focusing on improving their ability to evade attacks. What should they practice?</t>
  </si>
  <si>
    <t>In Kalaripayattu, which technique is crucial for mastering the use of a spear for both offense and defense?</t>
  </si>
  <si>
    <t>During Kalaripayattu training, which practice focuses on strengthening the core muscles for better stability?</t>
  </si>
  <si>
    <t>In Kalaripayattu, which weapon is primarily used for techniques involving quick, precise thrusts?</t>
  </si>
  <si>
    <t>A Kalaripayattu practitioner is learning techniques to improve their power and endurance. What should they focus on?</t>
  </si>
  <si>
    <t>During Kalaripayattu training, which practice should be emphasized to master the use of a sword in various combat scenarios?</t>
  </si>
  <si>
    <t>In Kalaripayattu, which technique focuses on the use of pressure points for enhancing combat efficiency?</t>
  </si>
  <si>
    <t>A) Marma, B) Varma, C) Adavus, D) Uzhichil</t>
  </si>
  <si>
    <t>A Kalaripayattu practitioner is focusing on techniques to handle a mace effectively. What should they prioritize?</t>
  </si>
  <si>
    <t>During Kalaripayattu training, which practice involves techniques for effective footwork and movement?</t>
  </si>
  <si>
    <t>In Kalaripayattu, which weapon is best suited for techniques that involve both offense and defense in close quarters?</t>
  </si>
  <si>
    <t>A) Dagger, B) Sword, C) Spear, D) Mace</t>
  </si>
  <si>
    <t>A Kalaripayattu practitioner is learning techniques to improve their ability to execute powerful strikes with a mace. What practice should they focus on?</t>
  </si>
  <si>
    <t>During Kalaripayattu training, which technique is essential for mastering quick and effective strikes with a sword?</t>
  </si>
  <si>
    <t>In Kalaripayattu, which practice focuses on using a long weapon for defensive maneuvers?</t>
  </si>
  <si>
    <t>A Kalaripayattu practitioner is focusing on techniques to enhance their precision with a dagger. What should they practice?</t>
  </si>
  <si>
    <t>In Kalaripayattu, which technique is crucial for developing the ability to perform high-impact strikes with a mace?</t>
  </si>
  <si>
    <t>During Kalaripayattu training, which practice involves enhancing overall strength and conditioning?</t>
  </si>
  <si>
    <t>In Kalaripayattu, which weapon is best for techniques that require swift and agile maneuvers?</t>
  </si>
  <si>
    <t>A Kalaripayattu practitioner is learning techniques to handle multiple weapons simultaneously. What practice are they focusing on?</t>
  </si>
  <si>
    <t>During Kalaripayattu training, which technique is essential for mastering footwork and movement strategies?</t>
  </si>
  <si>
    <t>In Kalaripayattu, which practice focuses on the use of a spear for long-range combat techniques?</t>
  </si>
  <si>
    <t>A Kalaripayattu practitioner is concentrating on improving their overall agility and reflexes. What should they practice?</t>
  </si>
  <si>
    <t>In Kalaripayattu, which technique is crucial for developing effective combat skills with a long weapon?</t>
  </si>
  <si>
    <t>During Kalaripayattu training, which practice focuses on using pressure points to incapacitate opponents?</t>
  </si>
  <si>
    <t>A Kalaripayattu practitioner is learning techniques to enhance their striking power with a sword. What should they prioritize?</t>
  </si>
  <si>
    <t>In Kalaripayattu, which weapon is most effective for techniques involving both offensive and defensive strikes?</t>
  </si>
  <si>
    <t>During Kalaripayattu training, which practice should be emphasized to develop quick and precise strikes with a dagger?</t>
  </si>
  <si>
    <t>A Kalaripayattu practitioner is focusing on techniques to enhance their footwork and movement. What should they practice?</t>
  </si>
  <si>
    <t>In Kalaripayattu, which technique focuses on using a long weapon for both offensive and defensive maneuvers?</t>
  </si>
  <si>
    <t>During Kalaripayattu training, which practice is essential for developing overall strength and conditioning?</t>
  </si>
  <si>
    <t>In Kalaripayattu, which weapon is primarily used for techniques involving quick thrusts and slashes?</t>
  </si>
  <si>
    <t>A Kalaripayattu practitioner is focusing on techniques to enhance their ability to handle a spear effectively. What practice should they emphasize?</t>
  </si>
  <si>
    <t>In Kalaripayattu, which technique is crucial for mastering precise and powerful strikes with a sword?</t>
  </si>
  <si>
    <t>During Kalaripayattu training, which practice involves improving agility and quick movement?</t>
  </si>
  <si>
    <t>A Kalaripayattu practitioner is working on techniques to enhance their power and precision with a mace. What should they prioritize?</t>
  </si>
  <si>
    <t>In Kalaripayattu, which practice focuses on using a long weapon for effective defensive techniques?</t>
  </si>
  <si>
    <t>During Kalaripayattu training, which technique should be emphasized to develop the ability to perform effective strikes with a dagger?</t>
  </si>
  <si>
    <t>A Kalaripayattu practitioner is focusing on techniques to improve their overall strength and conditioning for combat. What should they prioritize?</t>
  </si>
  <si>
    <t>In Kalaripayattu, which practice is essential for mastering the use of a sword in different combat situations?</t>
  </si>
  <si>
    <t>During Kalaripayattu training, which technique focuses on using pressure points to enhance combat effectiveness?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</si>
</sst>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0">
    <tableStyle count="4" pivot="0" name="Kabaddi-style">
      <tableStyleElement dxfId="1" type="headerRow"/>
      <tableStyleElement dxfId="2" type="firstRowStripe"/>
      <tableStyleElement dxfId="3" type="secondRowStripe"/>
      <tableStyleElement dxfId="4" size="0" type="wholeTable"/>
    </tableStyle>
    <tableStyle count="4" pivot="0" name="Kabaddi-style 2">
      <tableStyleElement dxfId="1" type="headerRow"/>
      <tableStyleElement dxfId="2" type="firstRowStripe"/>
      <tableStyleElement dxfId="3" type="secondRowStripe"/>
      <tableStyleElement dxfId="4" size="0" type="wholeTable"/>
    </tableStyle>
    <tableStyle count="4" pivot="0" name="Chess-style">
      <tableStyleElement dxfId="1" type="headerRow"/>
      <tableStyleElement dxfId="2" type="firstRowStripe"/>
      <tableStyleElement dxfId="3" type="secondRowStripe"/>
      <tableStyleElement dxfId="4" size="0" type="wholeTable"/>
    </tableStyle>
    <tableStyle count="4" pivot="0" name="Chess-style 2">
      <tableStyleElement dxfId="1" type="headerRow"/>
      <tableStyleElement dxfId="2" type="firstRowStripe"/>
      <tableStyleElement dxfId="3" type="secondRowStripe"/>
      <tableStyleElement dxfId="4" size="0" type="wholeTable"/>
    </tableStyle>
    <tableStyle count="4" pivot="0" name="Kho kho-style">
      <tableStyleElement dxfId="1" type="headerRow"/>
      <tableStyleElement dxfId="2" type="firstRowStripe"/>
      <tableStyleElement dxfId="3" type="secondRowStripe"/>
      <tableStyleElement dxfId="4" size="0" type="wholeTable"/>
    </tableStyle>
    <tableStyle count="4" pivot="0" name="Kho kho-style 2">
      <tableStyleElement dxfId="1" type="headerRow"/>
      <tableStyleElement dxfId="2" type="firstRowStripe"/>
      <tableStyleElement dxfId="3" type="secondRowStripe"/>
      <tableStyleElement dxfId="4" size="0" type="wholeTable"/>
    </tableStyle>
    <tableStyle count="4" pivot="0" name="Musti Yuddha-style">
      <tableStyleElement dxfId="1" type="headerRow"/>
      <tableStyleElement dxfId="2" type="firstRowStripe"/>
      <tableStyleElement dxfId="3" type="secondRowStripe"/>
      <tableStyleElement dxfId="4" size="0" type="wholeTable"/>
    </tableStyle>
    <tableStyle count="4" pivot="0" name="Musti Yuddha-style 2">
      <tableStyleElement dxfId="1" type="headerRow"/>
      <tableStyleElement dxfId="2" type="firstRowStripe"/>
      <tableStyleElement dxfId="3" type="secondRowStripe"/>
      <tableStyleElement dxfId="4" size="0" type="wholeTable"/>
    </tableStyle>
    <tableStyle count="4" pivot="0" name="Lagori-style">
      <tableStyleElement dxfId="1" type="headerRow"/>
      <tableStyleElement dxfId="2" type="firstRowStripe"/>
      <tableStyleElement dxfId="3" type="secondRowStripe"/>
      <tableStyleElement dxfId="4" size="0" type="wholeTable"/>
    </tableStyle>
    <tableStyle count="4" pivot="0" name="Lagori-style 2">
      <tableStyleElement dxfId="1" type="headerRow"/>
      <tableStyleElement dxfId="2" type="firstRowStripe"/>
      <tableStyleElement dxfId="3" type="secondRowStripe"/>
      <tableStyleElement dxfId="4" size="0" type="wholeTable"/>
    </tableStyle>
    <tableStyle count="4" pivot="0" name="Pambaram-style">
      <tableStyleElement dxfId="1" type="headerRow"/>
      <tableStyleElement dxfId="2" type="firstRowStripe"/>
      <tableStyleElement dxfId="3" type="secondRowStripe"/>
      <tableStyleElement dxfId="4" size="0" type="wholeTable"/>
    </tableStyle>
    <tableStyle count="4" pivot="0" name="Pambaram-style 2">
      <tableStyleElement dxfId="1" type="headerRow"/>
      <tableStyleElement dxfId="2" type="firstRowStripe"/>
      <tableStyleElement dxfId="3" type="secondRowStripe"/>
      <tableStyleElement dxfId="4" size="0" type="wholeTable"/>
    </tableStyle>
    <tableStyle count="4" pivot="0" name="Dhop Khel-style">
      <tableStyleElement dxfId="1" type="headerRow"/>
      <tableStyleElement dxfId="2" type="firstRowStripe"/>
      <tableStyleElement dxfId="3" type="secondRowStripe"/>
      <tableStyleElement dxfId="4" size="0" type="wholeTable"/>
    </tableStyle>
    <tableStyle count="4" pivot="0" name="Dhop Khel-style 2">
      <tableStyleElement dxfId="1" type="headerRow"/>
      <tableStyleElement dxfId="2" type="firstRowStripe"/>
      <tableStyleElement dxfId="3" type="secondRowStripe"/>
      <tableStyleElement dxfId="4" size="0" type="wholeTable"/>
    </tableStyle>
    <tableStyle count="4" pivot="0" name="Kanche-style">
      <tableStyleElement dxfId="1" type="headerRow"/>
      <tableStyleElement dxfId="2" type="firstRowStripe"/>
      <tableStyleElement dxfId="3" type="secondRowStripe"/>
      <tableStyleElement dxfId="4" size="0" type="wholeTable"/>
    </tableStyle>
    <tableStyle count="4" pivot="0" name="Kanche-style 2">
      <tableStyleElement dxfId="1" type="headerRow"/>
      <tableStyleElement dxfId="2" type="firstRowStripe"/>
      <tableStyleElement dxfId="3" type="secondRowStripe"/>
      <tableStyleElement dxfId="4" size="0" type="wholeTable"/>
    </tableStyle>
    <tableStyle count="4" pivot="0" name="Carrom-style">
      <tableStyleElement dxfId="1" type="headerRow"/>
      <tableStyleElement dxfId="2" type="firstRowStripe"/>
      <tableStyleElement dxfId="3" type="secondRowStripe"/>
      <tableStyleElement dxfId="4" size="0" type="wholeTable"/>
    </tableStyle>
    <tableStyle count="4" pivot="0" name="Carrom-style 2">
      <tableStyleElement dxfId="1" type="headerRow"/>
      <tableStyleElement dxfId="2" type="firstRowStripe"/>
      <tableStyleElement dxfId="3" type="secondRowStripe"/>
      <tableStyleElement dxfId="4" size="0" type="wholeTable"/>
    </tableStyle>
    <tableStyle count="4" pivot="0" name="Silambam-style">
      <tableStyleElement dxfId="1" type="headerRow"/>
      <tableStyleElement dxfId="2" type="firstRowStripe"/>
      <tableStyleElement dxfId="3" type="secondRowStripe"/>
      <tableStyleElement dxfId="4" size="0" type="wholeTable"/>
    </tableStyle>
    <tableStyle count="4" pivot="0" name="Silambam-style 2">
      <tableStyleElement dxfId="1" type="headerRow"/>
      <tableStyleElement dxfId="2" type="firstRowStripe"/>
      <tableStyleElement dxfId="3" type="secondRowStripe"/>
      <tableStyleElement dxfId="4" size="0" type="wholeTable"/>
    </tableStyle>
    <tableStyle count="4" pivot="0" name="Malakhamb-style">
      <tableStyleElement dxfId="1" type="headerRow"/>
      <tableStyleElement dxfId="2" type="firstRowStripe"/>
      <tableStyleElement dxfId="3" type="secondRowStripe"/>
      <tableStyleElement dxfId="4" size="0" type="wholeTable"/>
    </tableStyle>
    <tableStyle count="4" pivot="0" name="Malakhamb-style 2">
      <tableStyleElement dxfId="1" type="headerRow"/>
      <tableStyleElement dxfId="2" type="firstRowStripe"/>
      <tableStyleElement dxfId="3" type="secondRowStripe"/>
      <tableStyleElement dxfId="4" size="0" type="wholeTable"/>
    </tableStyle>
    <tableStyle count="4" pivot="0" name="Gilli Danda-style">
      <tableStyleElement dxfId="1" type="headerRow"/>
      <tableStyleElement dxfId="2" type="firstRowStripe"/>
      <tableStyleElement dxfId="3" type="secondRowStripe"/>
      <tableStyleElement dxfId="4" size="0" type="wholeTable"/>
    </tableStyle>
    <tableStyle count="4" pivot="0" name="Gilli Danda-style 2">
      <tableStyleElement dxfId="1" type="headerRow"/>
      <tableStyleElement dxfId="2" type="firstRowStripe"/>
      <tableStyleElement dxfId="3" type="secondRowStripe"/>
      <tableStyleElement dxfId="4" size="0" type="wholeTable"/>
    </tableStyle>
    <tableStyle count="4" pivot="0" name="Thang Ta-style">
      <tableStyleElement dxfId="1" type="headerRow"/>
      <tableStyleElement dxfId="2" type="firstRowStripe"/>
      <tableStyleElement dxfId="3" type="secondRowStripe"/>
      <tableStyleElement dxfId="4" size="0" type="wholeTable"/>
    </tableStyle>
    <tableStyle count="4" pivot="0" name="Thang Ta-style 2">
      <tableStyleElement dxfId="1" type="headerRow"/>
      <tableStyleElement dxfId="2" type="firstRowStripe"/>
      <tableStyleElement dxfId="3" type="secondRowStripe"/>
      <tableStyleElement dxfId="4" size="0" type="wholeTable"/>
    </tableStyle>
    <tableStyle count="4" pivot="0" name="Mukna-style">
      <tableStyleElement dxfId="1" type="headerRow"/>
      <tableStyleElement dxfId="2" type="firstRowStripe"/>
      <tableStyleElement dxfId="3" type="secondRowStripe"/>
      <tableStyleElement dxfId="4" size="0" type="wholeTable"/>
    </tableStyle>
    <tableStyle count="4" pivot="0" name="Mukna-style 2">
      <tableStyleElement dxfId="1" type="headerRow"/>
      <tableStyleElement dxfId="2" type="firstRowStripe"/>
      <tableStyleElement dxfId="3" type="secondRowStripe"/>
      <tableStyleElement dxfId="4" size="0" type="wholeTable"/>
    </tableStyle>
    <tableStyle count="4" pivot="0" name="Kalaripayattu-style">
      <tableStyleElement dxfId="1" type="headerRow"/>
      <tableStyleElement dxfId="2" type="firstRowStripe"/>
      <tableStyleElement dxfId="3" type="secondRowStripe"/>
      <tableStyleElement dxfId="4" size="0" type="wholeTable"/>
    </tableStyle>
    <tableStyle count="4" pivot="0" name="Kalaripayattu-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532" displayName="Table1" name="Table1" id="1">
  <tableColumns count="4">
    <tableColumn name="Question No." id="1"/>
    <tableColumn name="Question" id="2"/>
    <tableColumn name="Options" id="3"/>
    <tableColumn name="Answer" id="4"/>
  </tableColumns>
  <tableStyleInfo name="Kabaddi-style" showColumnStripes="0" showFirstColumn="1" showLastColumn="1" showRowStripes="1"/>
</table>
</file>

<file path=xl/tables/table2.xml><?xml version="1.0" encoding="utf-8"?>
<table xmlns="http://schemas.openxmlformats.org/spreadsheetml/2006/main" ref="F1:I532" displayName="Table2" name="Table2" id="2">
  <tableColumns count="4">
    <tableColumn name="प्रश्न सं." id="1"/>
    <tableColumn name="सवाल" id="2"/>
    <tableColumn name="विकल्प" id="3"/>
    <tableColumn name="उत्तर" id="4"/>
  </tableColumns>
  <tableStyleInfo name="Kabaddi-style 2" showColumnStripes="0" showFirstColumn="1" showLastColumn="1" showRowStripes="1"/>
</table>
</file>

<file path=xl/tables/table3.xml><?xml version="1.0" encoding="utf-8"?>
<table xmlns="http://schemas.openxmlformats.org/spreadsheetml/2006/main" ref="A1:D511" displayName="Table3" name="Table3" id="3">
  <tableColumns count="4">
    <tableColumn name="Question No." id="1"/>
    <tableColumn name="Question" id="2"/>
    <tableColumn name="Options" id="3"/>
    <tableColumn name="Answer" id="4"/>
  </tableColumns>
  <tableStyleInfo name="Chess-style" showColumnStripes="0" showFirstColumn="1" showLastColumn="1" showRowStripes="1"/>
</table>
</file>

<file path=xl/tables/table4.xml><?xml version="1.0" encoding="utf-8"?>
<table xmlns="http://schemas.openxmlformats.org/spreadsheetml/2006/main" ref="F1:I511" displayName="Table4" name="Table4" id="4">
  <tableColumns count="4">
    <tableColumn name="प्रश्न सं." id="1"/>
    <tableColumn name="सवाल" id="2"/>
    <tableColumn name="विकल्प" id="3"/>
    <tableColumn name="उत्तर" id="4"/>
  </tableColumns>
  <tableStyleInfo name="Chess-style 2" showColumnStripes="0" showFirstColumn="1" showLastColumn="1" showRowStripes="1"/>
</table>
</file>

<file path=xl/tables/table5.xml><?xml version="1.0" encoding="utf-8"?>
<table xmlns="http://schemas.openxmlformats.org/spreadsheetml/2006/main" ref="A1:D354" displayName="Table5" name="Table5" id="5">
  <tableColumns count="4">
    <tableColumn name="Question No." id="1"/>
    <tableColumn name="Question" id="2"/>
    <tableColumn name="Options" id="3"/>
    <tableColumn name="Answer" id="4"/>
  </tableColumns>
  <tableStyleInfo name="Kho kho-style" showColumnStripes="0" showFirstColumn="1" showLastColumn="1" showRowStripes="1"/>
</table>
</file>

<file path=xl/tables/table6.xml><?xml version="1.0" encoding="utf-8"?>
<table xmlns="http://schemas.openxmlformats.org/spreadsheetml/2006/main" ref="F1:I354" displayName="Table6" name="Table6" id="6">
  <tableColumns count="4">
    <tableColumn name="प्रश्न सं." id="1"/>
    <tableColumn name="सवाल" id="2"/>
    <tableColumn name="विकल्प" id="3"/>
    <tableColumn name="उत्तर" id="4"/>
  </tableColumns>
  <tableStyleInfo name="Kho kho-style 2" showColumnStripes="0" showFirstColumn="1" showLastColumn="1" showRowStripes="1"/>
</table>
</file>

<file path=xl/tables/table7.xml><?xml version="1.0" encoding="utf-8"?>
<table xmlns="http://schemas.openxmlformats.org/spreadsheetml/2006/main" ref="A1:D426" displayName="Table7" name="Table7" id="7">
  <tableColumns count="4">
    <tableColumn name="Question No." id="1"/>
    <tableColumn name="Question" id="2"/>
    <tableColumn name="Options" id="3"/>
    <tableColumn name="Answer" id="4"/>
  </tableColumns>
  <tableStyleInfo name="Musti Yuddha-style" showColumnStripes="0" showFirstColumn="1" showLastColumn="1" showRowStripes="1"/>
</table>
</file>

<file path=xl/tables/table8.xml><?xml version="1.0" encoding="utf-8"?>
<table xmlns="http://schemas.openxmlformats.org/spreadsheetml/2006/main" ref="F1:I426" displayName="Table8" name="Table8" id="8">
  <tableColumns count="4">
    <tableColumn name="प्रश्न सं." id="1"/>
    <tableColumn name="सवाल" id="2"/>
    <tableColumn name="विकल्प" id="3"/>
    <tableColumn name="उत्तर" id="4"/>
  </tableColumns>
  <tableStyleInfo name="Musti Yuddha-style 2" showColumnStripes="0" showFirstColumn="1" showLastColumn="1" showRowStripes="1"/>
</table>
</file>

<file path=xl/tables/table9.xml><?xml version="1.0" encoding="utf-8"?>
<table xmlns="http://schemas.openxmlformats.org/spreadsheetml/2006/main" ref="A1:D489" displayName="Table9" name="Table9" id="9">
  <tableColumns count="4">
    <tableColumn name="Question No." id="1"/>
    <tableColumn name="Question" id="2"/>
    <tableColumn name="Options" id="3"/>
    <tableColumn name="Answer" id="4"/>
  </tableColumns>
  <tableStyleInfo name="Lagori-style" showColumnStripes="0" showFirstColumn="1" showLastColumn="1" showRowStripes="1"/>
</table>
</file>

<file path=xl/tables/table10.xml><?xml version="1.0" encoding="utf-8"?>
<table xmlns="http://schemas.openxmlformats.org/spreadsheetml/2006/main" ref="F1:I489" displayName="Table10" name="Table10" id="10">
  <tableColumns count="4">
    <tableColumn name="प्रश्न सं." id="1"/>
    <tableColumn name="सवाल" id="2"/>
    <tableColumn name="विकल्प" id="3"/>
    <tableColumn name="उत्तर" id="4"/>
  </tableColumns>
  <tableStyleInfo name="Lagori-style 2" showColumnStripes="0" showFirstColumn="1" showLastColumn="1" showRowStripes="1"/>
</table>
</file>

<file path=xl/tables/table11.xml><?xml version="1.0" encoding="utf-8"?>
<table xmlns="http://schemas.openxmlformats.org/spreadsheetml/2006/main" ref="A1:D555" displayName="Table11" name="Table11" id="11">
  <tableColumns count="4">
    <tableColumn name="Question No." id="1"/>
    <tableColumn name="Question" id="2"/>
    <tableColumn name="Options" id="3"/>
    <tableColumn name="Answer" id="4"/>
  </tableColumns>
  <tableStyleInfo name="Pambaram-style" showColumnStripes="0" showFirstColumn="1" showLastColumn="1" showRowStripes="1"/>
</table>
</file>

<file path=xl/tables/table12.xml><?xml version="1.0" encoding="utf-8"?>
<table xmlns="http://schemas.openxmlformats.org/spreadsheetml/2006/main" ref="F1:I555" displayName="Table12" name="Table12" id="12">
  <tableColumns count="4">
    <tableColumn name="प्रश्न सं." id="1"/>
    <tableColumn name="सवाल" id="2"/>
    <tableColumn name="विकल्प" id="3"/>
    <tableColumn name="उत्तर" id="4"/>
  </tableColumns>
  <tableStyleInfo name="Pambaram-style 2" showColumnStripes="0" showFirstColumn="1" showLastColumn="1" showRowStripes="1"/>
</table>
</file>

<file path=xl/tables/table13.xml><?xml version="1.0" encoding="utf-8"?>
<table xmlns="http://schemas.openxmlformats.org/spreadsheetml/2006/main" ref="A1:D865" displayName="Table13" name="Table13" id="13">
  <tableColumns count="4">
    <tableColumn name="Question No." id="1"/>
    <tableColumn name="Question" id="2"/>
    <tableColumn name="Options" id="3"/>
    <tableColumn name="Answer" id="4"/>
  </tableColumns>
  <tableStyleInfo name="Dhop Khel-style" showColumnStripes="0" showFirstColumn="1" showLastColumn="1" showRowStripes="1"/>
</table>
</file>

<file path=xl/tables/table14.xml><?xml version="1.0" encoding="utf-8"?>
<table xmlns="http://schemas.openxmlformats.org/spreadsheetml/2006/main" ref="F1:I865" displayName="Table14" name="Table14" id="14">
  <tableColumns count="4">
    <tableColumn name="प्रश्न सं." id="1"/>
    <tableColumn name="सवाल" id="2"/>
    <tableColumn name="विकल्प" id="3"/>
    <tableColumn name="उत्तर" id="4"/>
  </tableColumns>
  <tableStyleInfo name="Dhop Khel-style 2" showColumnStripes="0" showFirstColumn="1" showLastColumn="1" showRowStripes="1"/>
</table>
</file>

<file path=xl/tables/table15.xml><?xml version="1.0" encoding="utf-8"?>
<table xmlns="http://schemas.openxmlformats.org/spreadsheetml/2006/main" ref="A1:D437" displayName="Table15" name="Table15" id="15">
  <tableColumns count="4">
    <tableColumn name="Question No." id="1"/>
    <tableColumn name="Question" id="2"/>
    <tableColumn name="Options" id="3"/>
    <tableColumn name="Answer" id="4"/>
  </tableColumns>
  <tableStyleInfo name="Kanche-style" showColumnStripes="0" showFirstColumn="1" showLastColumn="1" showRowStripes="1"/>
</table>
</file>

<file path=xl/tables/table16.xml><?xml version="1.0" encoding="utf-8"?>
<table xmlns="http://schemas.openxmlformats.org/spreadsheetml/2006/main" ref="F1:I437" displayName="Table16" name="Table16" id="16">
  <tableColumns count="4">
    <tableColumn name="प्रश्न सं." id="1"/>
    <tableColumn name="सवाल" id="2"/>
    <tableColumn name="विकल्प" id="3"/>
    <tableColumn name="उत्तर" id="4"/>
  </tableColumns>
  <tableStyleInfo name="Kanche-style 2" showColumnStripes="0" showFirstColumn="1" showLastColumn="1" showRowStripes="1"/>
</table>
</file>

<file path=xl/tables/table17.xml><?xml version="1.0" encoding="utf-8"?>
<table xmlns="http://schemas.openxmlformats.org/spreadsheetml/2006/main" ref="A1:D614" displayName="Table17" name="Table17" id="17">
  <tableColumns count="4">
    <tableColumn name="Question No." id="1"/>
    <tableColumn name="Question" id="2"/>
    <tableColumn name="Options" id="3"/>
    <tableColumn name="Answer" id="4"/>
  </tableColumns>
  <tableStyleInfo name="Carrom-style" showColumnStripes="0" showFirstColumn="1" showLastColumn="1" showRowStripes="1"/>
</table>
</file>

<file path=xl/tables/table18.xml><?xml version="1.0" encoding="utf-8"?>
<table xmlns="http://schemas.openxmlformats.org/spreadsheetml/2006/main" ref="F1:I614" displayName="Table18" name="Table18" id="18">
  <tableColumns count="4">
    <tableColumn name="प्रश्न सं." id="1"/>
    <tableColumn name="सवाल" id="2"/>
    <tableColumn name="विकल्प" id="3"/>
    <tableColumn name="उत्तर" id="4"/>
  </tableColumns>
  <tableStyleInfo name="Carrom-style 2" showColumnStripes="0" showFirstColumn="1" showLastColumn="1" showRowStripes="1"/>
</table>
</file>

<file path=xl/tables/table19.xml><?xml version="1.0" encoding="utf-8"?>
<table xmlns="http://schemas.openxmlformats.org/spreadsheetml/2006/main" ref="A1:D474" displayName="Table19" name="Table19" id="19">
  <tableColumns count="4">
    <tableColumn name="Question No." id="1"/>
    <tableColumn name="Question" id="2"/>
    <tableColumn name="Options" id="3"/>
    <tableColumn name="Answer" id="4"/>
  </tableColumns>
  <tableStyleInfo name="Silambam-style" showColumnStripes="0" showFirstColumn="1" showLastColumn="1" showRowStripes="1"/>
</table>
</file>

<file path=xl/tables/table20.xml><?xml version="1.0" encoding="utf-8"?>
<table xmlns="http://schemas.openxmlformats.org/spreadsheetml/2006/main" ref="F1:I474" displayName="Table20" name="Table20" id="20">
  <tableColumns count="4">
    <tableColumn name="प्रश्न सं." id="1"/>
    <tableColumn name="सवाल" id="2"/>
    <tableColumn name="विकल्प" id="3"/>
    <tableColumn name="उत्तर" id="4"/>
  </tableColumns>
  <tableStyleInfo name="Silambam-style 2" showColumnStripes="0" showFirstColumn="1" showLastColumn="1" showRowStripes="1"/>
</table>
</file>

<file path=xl/tables/table21.xml><?xml version="1.0" encoding="utf-8"?>
<table xmlns="http://schemas.openxmlformats.org/spreadsheetml/2006/main" ref="A1:D487" displayName="Table21" name="Table21" id="21">
  <tableColumns count="4">
    <tableColumn name="Question No." id="1"/>
    <tableColumn name="Question" id="2"/>
    <tableColumn name="Options" id="3"/>
    <tableColumn name="Answer" id="4"/>
  </tableColumns>
  <tableStyleInfo name="Malakhamb-style" showColumnStripes="0" showFirstColumn="1" showLastColumn="1" showRowStripes="1"/>
</table>
</file>

<file path=xl/tables/table22.xml><?xml version="1.0" encoding="utf-8"?>
<table xmlns="http://schemas.openxmlformats.org/spreadsheetml/2006/main" ref="F1:I487" displayName="Table22" name="Table22" id="22">
  <tableColumns count="4">
    <tableColumn name="प्रश्न सं." id="1"/>
    <tableColumn name="सवाल" id="2"/>
    <tableColumn name="विकल्प" id="3"/>
    <tableColumn name="उत्तर" id="4"/>
  </tableColumns>
  <tableStyleInfo name="Malakhamb-style 2" showColumnStripes="0" showFirstColumn="1" showLastColumn="1" showRowStripes="1"/>
</table>
</file>

<file path=xl/tables/table23.xml><?xml version="1.0" encoding="utf-8"?>
<table xmlns="http://schemas.openxmlformats.org/spreadsheetml/2006/main" ref="A1:D424" displayName="Table23" name="Table23" id="23">
  <tableColumns count="4">
    <tableColumn name="Question No." id="1"/>
    <tableColumn name="Question" id="2"/>
    <tableColumn name="Options" id="3"/>
    <tableColumn name="Answer" id="4"/>
  </tableColumns>
  <tableStyleInfo name="Gilli Danda-style" showColumnStripes="0" showFirstColumn="1" showLastColumn="1" showRowStripes="1"/>
</table>
</file>

<file path=xl/tables/table24.xml><?xml version="1.0" encoding="utf-8"?>
<table xmlns="http://schemas.openxmlformats.org/spreadsheetml/2006/main" ref="F1:I424" displayName="Table24" name="Table24" id="24">
  <tableColumns count="4">
    <tableColumn name="प्रश्न सं." id="1"/>
    <tableColumn name="सवाल" id="2"/>
    <tableColumn name="विकल्प" id="3"/>
    <tableColumn name="उत्तर" id="4"/>
  </tableColumns>
  <tableStyleInfo name="Gilli Danda-style 2" showColumnStripes="0" showFirstColumn="1" showLastColumn="1" showRowStripes="1"/>
</table>
</file>

<file path=xl/tables/table25.xml><?xml version="1.0" encoding="utf-8"?>
<table xmlns="http://schemas.openxmlformats.org/spreadsheetml/2006/main" ref="A1:D437" displayName="Table25" name="Table25" id="25">
  <tableColumns count="4">
    <tableColumn name="Question No." id="1"/>
    <tableColumn name="Question" id="2"/>
    <tableColumn name="Options" id="3"/>
    <tableColumn name="Answer" id="4"/>
  </tableColumns>
  <tableStyleInfo name="Thang Ta-style" showColumnStripes="0" showFirstColumn="1" showLastColumn="1" showRowStripes="1"/>
</table>
</file>

<file path=xl/tables/table26.xml><?xml version="1.0" encoding="utf-8"?>
<table xmlns="http://schemas.openxmlformats.org/spreadsheetml/2006/main" ref="F1:I437" displayName="Table26" name="Table26" id="26">
  <tableColumns count="4">
    <tableColumn name="प्रश्न सं." id="1"/>
    <tableColumn name="सवाल" id="2"/>
    <tableColumn name="विकल्प" id="3"/>
    <tableColumn name="उत्तर" id="4"/>
  </tableColumns>
  <tableStyleInfo name="Thang Ta-style 2" showColumnStripes="0" showFirstColumn="1" showLastColumn="1" showRowStripes="1"/>
</table>
</file>

<file path=xl/tables/table27.xml><?xml version="1.0" encoding="utf-8"?>
<table xmlns="http://schemas.openxmlformats.org/spreadsheetml/2006/main" ref="A1:D420" displayName="Table27" name="Table27" id="27">
  <tableColumns count="4">
    <tableColumn name="Question No." id="1"/>
    <tableColumn name="Question" id="2"/>
    <tableColumn name="Options" id="3"/>
    <tableColumn name="Answer" id="4"/>
  </tableColumns>
  <tableStyleInfo name="Mukna-style" showColumnStripes="0" showFirstColumn="1" showLastColumn="1" showRowStripes="1"/>
</table>
</file>

<file path=xl/tables/table28.xml><?xml version="1.0" encoding="utf-8"?>
<table xmlns="http://schemas.openxmlformats.org/spreadsheetml/2006/main" ref="F1:I420" displayName="Table28" name="Table28" id="28">
  <tableColumns count="4">
    <tableColumn name="प्रश्न सं." id="1"/>
    <tableColumn name="सवाल" id="2"/>
    <tableColumn name="विकल्प" id="3"/>
    <tableColumn name="उत्तर" id="4"/>
  </tableColumns>
  <tableStyleInfo name="Mukna-style 2" showColumnStripes="0" showFirstColumn="1" showLastColumn="1" showRowStripes="1"/>
</table>
</file>

<file path=xl/tables/table29.xml><?xml version="1.0" encoding="utf-8"?>
<table xmlns="http://schemas.openxmlformats.org/spreadsheetml/2006/main" ref="A1:D599" displayName="Table29" name="Table29" id="29">
  <tableColumns count="4">
    <tableColumn name="Question No." id="1"/>
    <tableColumn name="Question" id="2"/>
    <tableColumn name="Options" id="3"/>
    <tableColumn name="Answer" id="4"/>
  </tableColumns>
  <tableStyleInfo name="Kalaripayattu-style" showColumnStripes="0" showFirstColumn="1" showLastColumn="1" showRowStripes="1"/>
</table>
</file>

<file path=xl/tables/table30.xml><?xml version="1.0" encoding="utf-8"?>
<table xmlns="http://schemas.openxmlformats.org/spreadsheetml/2006/main" ref="F1:I599" displayName="Table30" name="Table30" id="30">
  <tableColumns count="4">
    <tableColumn name="प्रश्न सं." id="1"/>
    <tableColumn name="सवाल" id="2"/>
    <tableColumn name="विकल्प" id="3"/>
    <tableColumn name="उत्तर" id="4"/>
  </tableColumns>
  <tableStyleInfo name="Kalaripayattu-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9.xml"/><Relationship Id="rId5"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21.xml"/><Relationship Id="rId5"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3.xml"/><Relationship Id="rId5"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5.xml"/><Relationship Id="rId5" Type="http://schemas.openxmlformats.org/officeDocument/2006/relationships/table" Target="../tables/table2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7.xml"/><Relationship Id="rId5" Type="http://schemas.openxmlformats.org/officeDocument/2006/relationships/table" Target="../tables/table2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29.xml"/><Relationship Id="rId5"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37.25"/>
    <col customWidth="1" min="7" max="8" width="37.63"/>
    <col customWidth="1" min="9" max="9" width="20.38"/>
  </cols>
  <sheetData>
    <row r="1" ht="22.5" customHeight="1">
      <c r="A1" s="1" t="s">
        <v>0</v>
      </c>
      <c r="B1" s="1" t="s">
        <v>1</v>
      </c>
      <c r="C1" s="1" t="s">
        <v>2</v>
      </c>
      <c r="D1" s="1" t="s">
        <v>3</v>
      </c>
      <c r="F1" s="1" t="s">
        <v>4</v>
      </c>
      <c r="G1" s="1" t="s">
        <v>5</v>
      </c>
      <c r="H1" s="1" t="s">
        <v>6</v>
      </c>
      <c r="I1" s="1" t="s">
        <v>7</v>
      </c>
    </row>
    <row r="2" ht="22.5" customHeight="1">
      <c r="A2" s="2">
        <v>1.0</v>
      </c>
      <c r="B2" s="3" t="s">
        <v>8</v>
      </c>
      <c r="C2" s="3" t="s">
        <v>9</v>
      </c>
      <c r="D2" s="3" t="s">
        <v>10</v>
      </c>
      <c r="F2" s="3" t="str">
        <f>IFERROR(__xludf.DUMMYFUNCTION("GOOGLETRANSLATE(A2, ""en"", ""hi"")"),"1")</f>
        <v>1</v>
      </c>
      <c r="G2" s="3" t="str">
        <f>IFERROR(__xludf.DUMMYFUNCTION("GOOGLETRANSLATE(B2, ""en"", ""hi"")"),"कबड्डी मैच के दौरान, यदि कोई रेडर प्रतिद्वंद्वी के हाफ में प्रवेश करता है, प्रतिद्वंद्वी को छूता है, लेकिन बिना टैकल किए सीमा रेखा के बाहर चला जाता है, तो परिणाम क्या होगा?")</f>
        <v>कबड्डी मैच के दौरान, यदि कोई रेडर प्रतिद्वंद्वी के हाफ में प्रवेश करता है, प्रतिद्वंद्वी को छूता है, लेकिन बिना टैकल किए सीमा रेखा के बाहर चला जाता है, तो परिणाम क्या होगा?</v>
      </c>
      <c r="H2" s="3" t="str">
        <f>IFERROR(__xludf.DUMMYFUNCTION("GOOGLETRANSLATE(C2, ""en"", ""hi"")"),"A) रेडर आउट हो गया, B) डिफेंडर आउट हो गया, C) रेडर ने एक अंक अर्जित किया, D) दोनों टीमों को एक अंक मिला")</f>
        <v>A) रेडर आउट हो गया, B) डिफेंडर आउट हो गया, C) रेडर ने एक अंक अर्जित किया, D) दोनों टीमों को एक अंक मिला</v>
      </c>
      <c r="I2" s="3" t="str">
        <f>IFERROR(__xludf.DUMMYFUNCTION("GOOGLETRANSLATE(D2, ""en"", ""hi"")"),"A) रेडर बाहर है")</f>
        <v>A) रेडर बाहर है</v>
      </c>
    </row>
    <row r="3" ht="22.5" customHeight="1">
      <c r="A3" s="2">
        <v>2.0</v>
      </c>
      <c r="B3" s="3" t="s">
        <v>11</v>
      </c>
      <c r="C3" s="3" t="s">
        <v>12</v>
      </c>
      <c r="D3" s="3" t="s">
        <v>13</v>
      </c>
      <c r="F3" s="3" t="str">
        <f>IFERROR(__xludf.DUMMYFUNCTION("GOOGLETRANSLATE(A3, ""en"", ""hi"")"),"2")</f>
        <v>2</v>
      </c>
      <c r="G3" s="3" t="str">
        <f>IFERROR(__xludf.DUMMYFUNCTION("GOOGLETRANSLATE(B3, ""en"", ""hi"")"),"एक कबड्डी मैच में, टीम A के 6 खिलाड़ी मैट पर हैं और टीम B के 7 खिलाड़ी हैं। अगर टीम B का कोई खिलाड़ी बाहर चला जाए, तो क्या होगा?")</f>
        <v>एक कबड्डी मैच में, टीम A के 6 खिलाड़ी मैट पर हैं और टीम B के 7 खिलाड़ी हैं। अगर टीम B का कोई खिलाड़ी बाहर चला जाए, तो क्या होगा?</v>
      </c>
      <c r="H3" s="3" t="str">
        <f>IFERROR(__xludf.DUMMYFUNCTION("GOOGLETRANSLATE(C3, ""en"", ""hi"")"),"A) टीम B एक अंक खो देती है, B) टीम A एक अंक प्राप्त करती है, C) टीम B को खिलाड़ी को पुनर्जीवित करना होगा, D) टीम B 6 खिलाड़ियों के साथ खेलना जारी रखती है")</f>
        <v>A) टीम B एक अंक खो देती है, B) टीम A एक अंक प्राप्त करती है, C) टीम B को खिलाड़ी को पुनर्जीवित करना होगा, D) टीम B 6 खिलाड़ियों के साथ खेलना जारी रखती है</v>
      </c>
      <c r="I3" s="3" t="str">
        <f>IFERROR(__xludf.DUMMYFUNCTION("GOOGLETRANSLATE(D3, ""en"", ""hi"")"),"D) टीम B 6 खिलाड़ियों के साथ जारी है")</f>
        <v>D) टीम B 6 खिलाड़ियों के साथ जारी है</v>
      </c>
    </row>
    <row r="4" ht="22.5" customHeight="1">
      <c r="A4" s="2">
        <v>3.0</v>
      </c>
      <c r="B4" s="3" t="s">
        <v>14</v>
      </c>
      <c r="C4" s="3" t="s">
        <v>15</v>
      </c>
      <c r="D4" s="3" t="s">
        <v>16</v>
      </c>
      <c r="F4" s="3" t="str">
        <f>IFERROR(__xludf.DUMMYFUNCTION("GOOGLETRANSLATE(A4, ""en"", ""hi"")"),"3")</f>
        <v>3</v>
      </c>
      <c r="G4" s="3" t="str">
        <f>IFERROR(__xludf.DUMMYFUNCTION("GOOGLETRANSLATE(B4, ""en"", ""hi"")"),"यदि कोई रेडर सफलतापूर्वक दो डिफेंडरों को छू लेता है और बिना टैकल किए अपने हाफ में वापस लौट जाता है, तो रेडर की टीम को कितने अंक मिलते हैं?")</f>
        <v>यदि कोई रेडर सफलतापूर्वक दो डिफेंडरों को छू लेता है और बिना टैकल किए अपने हाफ में वापस लौट जाता है, तो रेडर की टीम को कितने अंक मिलते हैं?</v>
      </c>
      <c r="H4" s="3" t="str">
        <f>IFERROR(__xludf.DUMMYFUNCTION("GOOGLETRANSLATE(C4, ""en"", ""hi"")"),"A) 1 अंक, B) 2 अंक, C) 3 अंक, D) कोई अंक नहीं")</f>
        <v>A) 1 अंक, B) 2 अंक, C) 3 अंक, D) कोई अंक नहीं</v>
      </c>
      <c r="I4" s="3" t="str">
        <f>IFERROR(__xludf.DUMMYFUNCTION("GOOGLETRANSLATE(D4, ""en"", ""hi"")"),"बी) 2 अंक")</f>
        <v>बी) 2 अंक</v>
      </c>
    </row>
    <row r="5" ht="22.5" customHeight="1">
      <c r="A5" s="2">
        <v>4.0</v>
      </c>
      <c r="B5" s="3" t="s">
        <v>17</v>
      </c>
      <c r="C5" s="3" t="s">
        <v>18</v>
      </c>
      <c r="D5" s="3" t="s">
        <v>19</v>
      </c>
      <c r="F5" s="3" t="str">
        <f>IFERROR(__xludf.DUMMYFUNCTION("GOOGLETRANSLATE(A5, ""en"", ""hi"")"),"4")</f>
        <v>4</v>
      </c>
      <c r="G5" s="3" t="str">
        <f>IFERROR(__xludf.DUMMYFUNCTION("GOOGLETRANSLATE(B5, ""en"", ""hi"")"),"रेड के दौरान, रेडर को लगातार 'कबड्डी' का नारा लगाना चाहिए। अगर रेडर अपनी सीमा में वापस जाने से पहले नारा लगाना बंद कर दे, तो क्या होगा?")</f>
        <v>रेड के दौरान, रेडर को लगातार 'कबड्डी' का नारा लगाना चाहिए। अगर रेडर अपनी सीमा में वापस जाने से पहले नारा लगाना बंद कर दे, तो क्या होगा?</v>
      </c>
      <c r="H5" s="3" t="str">
        <f>IFERROR(__xludf.DUMMYFUNCTION("GOOGLETRANSLATE(C5, ""en"", ""hi"")"),"A) रेडर को आउट घोषित कर दिया जाता है, B) विरोधी टीम एक अंक खो देती है, C) रेड सफल हो जाती है, D) कोई कार्रवाई नहीं की जाती है")</f>
        <v>A) रेडर को आउट घोषित कर दिया जाता है, B) विरोधी टीम एक अंक खो देती है, C) रेड सफल हो जाती है, D) कोई कार्रवाई नहीं की जाती है</v>
      </c>
      <c r="I5" s="3" t="str">
        <f>IFERROR(__xludf.DUMMYFUNCTION("GOOGLETRANSLATE(D5, ""en"", ""hi"")"),"A) रेडर को आउट घोषित कर दिया गया है")</f>
        <v>A) रेडर को आउट घोषित कर दिया गया है</v>
      </c>
    </row>
    <row r="6" ht="22.5" customHeight="1">
      <c r="A6" s="2">
        <v>5.0</v>
      </c>
      <c r="B6" s="3" t="s">
        <v>20</v>
      </c>
      <c r="C6" s="3" t="s">
        <v>21</v>
      </c>
      <c r="D6" s="3" t="s">
        <v>22</v>
      </c>
      <c r="F6" s="3" t="str">
        <f>IFERROR(__xludf.DUMMYFUNCTION("GOOGLETRANSLATE(A6, ""en"", ""hi"")"),"5")</f>
        <v>5</v>
      </c>
      <c r="G6" s="3" t="str">
        <f>IFERROR(__xludf.DUMMYFUNCTION("GOOGLETRANSLATE(B6, ""en"", ""hi"")"),"कबड्डी मैच की शुरुआत में प्रत्येक टीम के लिए मैट पर अधिकतम कितने खिलाड़ियों को अनुमति दी जाती है?")</f>
        <v>कबड्डी मैच की शुरुआत में प्रत्येक टीम के लिए मैट पर अधिकतम कितने खिलाड़ियों को अनुमति दी जाती है?</v>
      </c>
      <c r="H6" s="3" t="str">
        <f>IFERROR(__xludf.DUMMYFUNCTION("GOOGLETRANSLATE(C6, ""en"", ""hi"")"),"A) 6 खिलाड़ी, B) 7 खिलाड़ी, C) 8 खिलाड़ी, D) 9 खिलाड़ी")</f>
        <v>A) 6 खिलाड़ी, B) 7 खिलाड़ी, C) 8 खिलाड़ी, D) 9 खिलाड़ी</v>
      </c>
      <c r="I6" s="3" t="str">
        <f>IFERROR(__xludf.DUMMYFUNCTION("GOOGLETRANSLATE(D6, ""en"", ""hi"")"),"बी) 7 खिलाड़ी")</f>
        <v>बी) 7 खिलाड़ी</v>
      </c>
    </row>
    <row r="7" ht="22.5" customHeight="1">
      <c r="A7" s="2">
        <v>6.0</v>
      </c>
      <c r="B7" s="3" t="s">
        <v>23</v>
      </c>
      <c r="C7" s="3" t="s">
        <v>24</v>
      </c>
      <c r="D7" s="3" t="s">
        <v>25</v>
      </c>
      <c r="F7" s="3" t="str">
        <f>IFERROR(__xludf.DUMMYFUNCTION("GOOGLETRANSLATE(A7, ""en"", ""hi"")"),"6")</f>
        <v>6</v>
      </c>
      <c r="G7" s="3" t="str">
        <f>IFERROR(__xludf.DUMMYFUNCTION("GOOGLETRANSLATE(B7, ""en"", ""hi"")"),"यदि कोई रेडर टैकल करते समय मिडलाइन को छू लेता है, तो परिणाम क्या होगा?")</f>
        <v>यदि कोई रेडर टैकल करते समय मिडलाइन को छू लेता है, तो परिणाम क्या होगा?</v>
      </c>
      <c r="H7" s="3" t="str">
        <f>IFERROR(__xludf.DUMMYFUNCTION("GOOGLETRANSLATE(C7, ""en"", ""hi"")"),"A) रेड को असफल माना जाता है, B) रेडर आउट हो जाता है, C) रेडर को एक अंक मिलता है, D) कोई अंक नहीं दिया जाता")</f>
        <v>A) रेड को असफल माना जाता है, B) रेडर आउट हो जाता है, C) रेडर को एक अंक मिलता है, D) कोई अंक नहीं दिया जाता</v>
      </c>
      <c r="I7" s="3" t="str">
        <f>IFERROR(__xludf.DUMMYFUNCTION("GOOGLETRANSLATE(D7, ""en"", ""hi"")"),"C) रेडर एक अंक अर्जित करता है")</f>
        <v>C) रेडर एक अंक अर्जित करता है</v>
      </c>
    </row>
    <row r="8" ht="22.5" customHeight="1">
      <c r="A8" s="2">
        <v>7.0</v>
      </c>
      <c r="B8" s="3" t="s">
        <v>26</v>
      </c>
      <c r="C8" s="3" t="s">
        <v>27</v>
      </c>
      <c r="D8" s="3" t="s">
        <v>28</v>
      </c>
      <c r="F8" s="3" t="str">
        <f>IFERROR(__xludf.DUMMYFUNCTION("GOOGLETRANSLATE(A8, ""en"", ""hi"")"),"7")</f>
        <v>7</v>
      </c>
      <c r="G8" s="3" t="str">
        <f>IFERROR(__xludf.DUMMYFUNCTION("GOOGLETRANSLATE(B8, ""en"", ""hi"")"),"निम्नलिखित में से कौन सी कबड्डी में वैध रक्षात्मक तकनीक नहीं है?")</f>
        <v>निम्नलिखित में से कौन सी कबड्डी में वैध रक्षात्मक तकनीक नहीं है?</v>
      </c>
      <c r="H8" s="3" t="str">
        <f>IFERROR(__xludf.DUMMYFUNCTION("GOOGLETRANSLATE(C8, ""en"", ""hi"")"),"A) एंकल होल्ड, B) ब्लॉक, C) चेन टैकल, D) पंच")</f>
        <v>A) एंकल होल्ड, B) ब्लॉक, C) चेन टैकल, D) पंच</v>
      </c>
      <c r="I8" s="3" t="str">
        <f>IFERROR(__xludf.DUMMYFUNCTION("GOOGLETRANSLATE(D8, ""en"", ""hi"")"),"डी) पंच")</f>
        <v>डी) पंच</v>
      </c>
    </row>
    <row r="9" ht="22.5" customHeight="1">
      <c r="A9" s="2">
        <v>8.0</v>
      </c>
      <c r="B9" s="3" t="s">
        <v>29</v>
      </c>
      <c r="C9" s="3" t="s">
        <v>30</v>
      </c>
      <c r="D9" s="3" t="s">
        <v>31</v>
      </c>
      <c r="F9" s="3" t="str">
        <f>IFERROR(__xludf.DUMMYFUNCTION("GOOGLETRANSLATE(A9, ""en"", ""hi"")"),"8")</f>
        <v>8</v>
      </c>
      <c r="G9" s="3" t="str">
        <f>IFERROR(__xludf.DUMMYFUNCTION("GOOGLETRANSLATE(B9, ""en"", ""hi"")"),"कबड्डी में यदि किसी टीम के सभी खिलाड़ी आउट घोषित कर दिए जाएं तो इसे क्या कहते हैं?")</f>
        <v>कबड्डी में यदि किसी टीम के सभी खिलाड़ी आउट घोषित कर दिए जाएं तो इसे क्या कहते हैं?</v>
      </c>
      <c r="H9" s="3" t="str">
        <f>IFERROR(__xludf.DUMMYFUNCTION("GOOGLETRANSLATE(C9, ""en"", ""hi"")"),"A) सुपर रेड, B) बोनस, C) ऑल-आउट, D) टाइम-आउट")</f>
        <v>A) सुपर रेड, B) बोनस, C) ऑल-आउट, D) टाइम-आउट</v>
      </c>
      <c r="I9" s="3" t="str">
        <f>IFERROR(__xludf.DUMMYFUNCTION("GOOGLETRANSLATE(D9, ""en"", ""hi"")"),"पुकारें")</f>
        <v>पुकारें</v>
      </c>
    </row>
    <row r="10" ht="22.5" customHeight="1">
      <c r="A10" s="2">
        <v>9.0</v>
      </c>
      <c r="B10" s="3" t="s">
        <v>32</v>
      </c>
      <c r="C10" s="3" t="s">
        <v>33</v>
      </c>
      <c r="D10" s="3" t="s">
        <v>16</v>
      </c>
      <c r="F10" s="3" t="str">
        <f>IFERROR(__xludf.DUMMYFUNCTION("GOOGLETRANSLATE(A10, ""en"", ""hi"")"),"9")</f>
        <v>9</v>
      </c>
      <c r="G10" s="3" t="str">
        <f>IFERROR(__xludf.DUMMYFUNCTION("GOOGLETRANSLATE(B10, ""en"", ""hi"")"),"यदि कोई टीम ऑल-आउट हो जाती है, तो विरोधी टीम को कितने अंक मिलते हैं?")</f>
        <v>यदि कोई टीम ऑल-आउट हो जाती है, तो विरोधी टीम को कितने अंक मिलते हैं?</v>
      </c>
      <c r="H10" s="3" t="str">
        <f>IFERROR(__xludf.DUMMYFUNCTION("GOOGLETRANSLATE(C10, ""en"", ""hi"")"),"A) 1 अंक, B) 2 अंक, C) 3 अंक, D) 5 अंक")</f>
        <v>A) 1 अंक, B) 2 अंक, C) 3 अंक, D) 5 अंक</v>
      </c>
      <c r="I10" s="3" t="str">
        <f>IFERROR(__xludf.DUMMYFUNCTION("GOOGLETRANSLATE(D10, ""en"", ""hi"")"),"बी) 2 अंक")</f>
        <v>बी) 2 अंक</v>
      </c>
    </row>
    <row r="11" ht="22.5" customHeight="1">
      <c r="A11" s="2">
        <v>10.0</v>
      </c>
      <c r="B11" s="3" t="s">
        <v>34</v>
      </c>
      <c r="C11" s="3" t="s">
        <v>35</v>
      </c>
      <c r="D11" s="3" t="s">
        <v>36</v>
      </c>
      <c r="F11" s="3" t="str">
        <f>IFERROR(__xludf.DUMMYFUNCTION("GOOGLETRANSLATE(A11, ""en"", ""hi"")"),"10")</f>
        <v>10</v>
      </c>
      <c r="G11" s="3" t="str">
        <f>IFERROR(__xludf.DUMMYFUNCTION("GOOGLETRANSLATE(B11, ""en"", ""hi"")"),"कबड्डी में एक रेडर को अपनी रेड पूरी करने में कितना समय लगता है?")</f>
        <v>कबड्डी में एक रेडर को अपनी रेड पूरी करने में कितना समय लगता है?</v>
      </c>
      <c r="H11" s="3" t="str">
        <f>IFERROR(__xludf.DUMMYFUNCTION("GOOGLETRANSLATE(C11, ""en"", ""hi"")"),"A) 10 सेकंड, B) 20 सेकंड, C) 30 सेकंड, D) 40 सेकंड")</f>
        <v>A) 10 सेकंड, B) 20 सेकंड, C) 30 सेकंड, D) 40 सेकंड</v>
      </c>
      <c r="I11" s="3" t="str">
        <f>IFERROR(__xludf.DUMMYFUNCTION("GOOGLETRANSLATE(D11, ""en"", ""hi"")"),"सी) 30 सेकंड")</f>
        <v>सी) 30 सेकंड</v>
      </c>
    </row>
    <row r="12" ht="22.5" customHeight="1">
      <c r="A12" s="2">
        <v>11.0</v>
      </c>
      <c r="B12" s="3" t="s">
        <v>37</v>
      </c>
      <c r="C12" s="3" t="s">
        <v>38</v>
      </c>
      <c r="D12" s="3" t="s">
        <v>39</v>
      </c>
      <c r="F12" s="3" t="str">
        <f>IFERROR(__xludf.DUMMYFUNCTION("GOOGLETRANSLATE(A12, ""en"", ""hi"")"),"11")</f>
        <v>11</v>
      </c>
      <c r="G12" s="3" t="str">
        <f>IFERROR(__xludf.DUMMYFUNCTION("GOOGLETRANSLATE(B12, ""en"", ""hi"")"),"कबड्डी में एक टीम को खेलते रहने के लिए न्यूनतम कितने खिलाड़ियों की आवश्यकता होती है?")</f>
        <v>कबड्डी में एक टीम को खेलते रहने के लिए न्यूनतम कितने खिलाड़ियों की आवश्यकता होती है?</v>
      </c>
      <c r="H12" s="3" t="str">
        <f>IFERROR(__xludf.DUMMYFUNCTION("GOOGLETRANSLATE(C12, ""en"", ""hi"")"),"A) 3 खिलाड़ी, B) 4 खिलाड़ी, C) 5 खिलाड़ी, D) 6 खिलाड़ी")</f>
        <v>A) 3 खिलाड़ी, B) 4 खिलाड़ी, C) 5 खिलाड़ी, D) 6 खिलाड़ी</v>
      </c>
      <c r="I12" s="3" t="str">
        <f>IFERROR(__xludf.DUMMYFUNCTION("GOOGLETRANSLATE(D12, ""en"", ""hi"")"),"बी) 4 खिलाड़ी")</f>
        <v>बी) 4 खिलाड़ी</v>
      </c>
    </row>
    <row r="13" ht="22.5" customHeight="1">
      <c r="A13" s="2">
        <v>12.0</v>
      </c>
      <c r="B13" s="3" t="s">
        <v>40</v>
      </c>
      <c r="C13" s="3" t="s">
        <v>41</v>
      </c>
      <c r="D13" s="3" t="s">
        <v>42</v>
      </c>
      <c r="F13" s="3" t="str">
        <f>IFERROR(__xludf.DUMMYFUNCTION("GOOGLETRANSLATE(A13, ""en"", ""hi"")"),"12")</f>
        <v>12</v>
      </c>
      <c r="G13" s="3" t="str">
        <f>IFERROR(__xludf.DUMMYFUNCTION("GOOGLETRANSLATE(B13, ""en"", ""hi"")"),"कबड्डी में, जब कोई रेडर एक ही रेड में तीन या अधिक अंक प्राप्त करता है तो उसे क्या कहा जाता है?")</f>
        <v>कबड्डी में, जब कोई रेडर एक ही रेड में तीन या अधिक अंक प्राप्त करता है तो उसे क्या कहा जाता है?</v>
      </c>
      <c r="H13" s="3" t="str">
        <f>IFERROR(__xludf.DUMMYFUNCTION("GOOGLETRANSLATE(C13, ""en"", ""hi"")"),"A) ऑल-आउट, B) बोनस, C) सुपर टैकल, D) सुपर रेड")</f>
        <v>A) ऑल-आउट, B) बोनस, C) सुपर टैकल, D) सुपर रेड</v>
      </c>
      <c r="I13" s="3" t="str">
        <f>IFERROR(__xludf.DUMMYFUNCTION("GOOGLETRANSLATE(D13, ""en"", ""hi"")"),"D) सुपर रेड")</f>
        <v>D) सुपर रेड</v>
      </c>
    </row>
    <row r="14" ht="22.5" customHeight="1">
      <c r="A14" s="2">
        <v>13.0</v>
      </c>
      <c r="B14" s="3" t="s">
        <v>43</v>
      </c>
      <c r="C14" s="3" t="s">
        <v>44</v>
      </c>
      <c r="D14" s="3" t="s">
        <v>45</v>
      </c>
      <c r="F14" s="3" t="str">
        <f>IFERROR(__xludf.DUMMYFUNCTION("GOOGLETRANSLATE(A14, ""en"", ""hi"")"),"13")</f>
        <v>13</v>
      </c>
      <c r="G14" s="3" t="str">
        <f>IFERROR(__xludf.DUMMYFUNCTION("GOOGLETRANSLATE(B14, ""en"", ""hi"")"),"कबड्डी में रेडर को अपने हाफ में वापस लौटने से रोकने के लिए कौन सी स्थिति जिम्मेदार है?")</f>
        <v>कबड्डी में रेडर को अपने हाफ में वापस लौटने से रोकने के लिए कौन सी स्थिति जिम्मेदार है?</v>
      </c>
      <c r="H14" s="3" t="str">
        <f>IFERROR(__xludf.DUMMYFUNCTION("GOOGLETRANSLATE(C14, ""en"", ""hi"")"),"A) रेडर, B) डिफेंडर, C) स्टॉपर, D) कैचर")</f>
        <v>A) रेडर, B) डिफेंडर, C) स्टॉपर, D) कैचर</v>
      </c>
      <c r="I14" s="3" t="str">
        <f>IFERROR(__xludf.DUMMYFUNCTION("GOOGLETRANSLATE(D14, ""en"", ""hi"")"),"बी) डिफेंडर")</f>
        <v>बी) डिफेंडर</v>
      </c>
    </row>
    <row r="15" ht="22.5" customHeight="1">
      <c r="A15" s="2">
        <v>14.0</v>
      </c>
      <c r="B15" s="3" t="s">
        <v>46</v>
      </c>
      <c r="C15" s="3" t="s">
        <v>47</v>
      </c>
      <c r="D15" s="3" t="s">
        <v>16</v>
      </c>
      <c r="F15" s="3" t="str">
        <f>IFERROR(__xludf.DUMMYFUNCTION("GOOGLETRANSLATE(A15, ""en"", ""hi"")"),"14")</f>
        <v>14</v>
      </c>
      <c r="G15" s="3" t="str">
        <f>IFERROR(__xludf.DUMMYFUNCTION("GOOGLETRANSLATE(B15, ""en"", ""hi"")"),"यदि कोई रेडर सुपर टैकल प्रयास के दौरान सफलतापूर्वक मिडलाइन को छू लेता है, तो रेडर की टीम कितने अंक अर्जित करती है?")</f>
        <v>यदि कोई रेडर सुपर टैकल प्रयास के दौरान सफलतापूर्वक मिडलाइन को छू लेता है, तो रेडर की टीम कितने अंक अर्जित करती है?</v>
      </c>
      <c r="H15" s="3" t="str">
        <f>IFERROR(__xludf.DUMMYFUNCTION("GOOGLETRANSLATE(C15, ""en"", ""hi"")"),"A) 1 अंक, B) 2 अंक, C) 3 अंक, D) 4 अंक")</f>
        <v>A) 1 अंक, B) 2 अंक, C) 3 अंक, D) 4 अंक</v>
      </c>
      <c r="I15" s="3" t="str">
        <f>IFERROR(__xludf.DUMMYFUNCTION("GOOGLETRANSLATE(D15, ""en"", ""hi"")"),"बी) 2 अंक")</f>
        <v>बी) 2 अंक</v>
      </c>
    </row>
    <row r="16" ht="22.5" customHeight="1">
      <c r="A16" s="2">
        <v>15.0</v>
      </c>
      <c r="B16" s="3" t="s">
        <v>48</v>
      </c>
      <c r="C16" s="3" t="s">
        <v>49</v>
      </c>
      <c r="D16" s="3" t="s">
        <v>50</v>
      </c>
      <c r="F16" s="3" t="str">
        <f>IFERROR(__xludf.DUMMYFUNCTION("GOOGLETRANSLATE(A16, ""en"", ""hi"")"),"15")</f>
        <v>15</v>
      </c>
      <c r="G16" s="3" t="str">
        <f>IFERROR(__xludf.DUMMYFUNCTION("GOOGLETRANSLATE(B16, ""en"", ""hi"")"),"यदि कोई रेडर प्रतिद्वंद्वी के हाफ में प्रवेश कर जाए, लेकिन किसी को छुए बिना वापस लौट जाए तो क्या होगा?")</f>
        <v>यदि कोई रेडर प्रतिद्वंद्वी के हाफ में प्रवेश कर जाए, लेकिन किसी को छुए बिना वापस लौट जाए तो क्या होगा?</v>
      </c>
      <c r="H16" s="3" t="str">
        <f>IFERROR(__xludf.DUMMYFUNCTION("GOOGLETRANSLATE(C16, ""en"", ""hi"")"),"A) रेडर को आउट घोषित कर दिया जाता है, B) कोई अंक नहीं मिलता है, C) रेडर को एक अंक मिलता है, D) प्रतिद्वंद्वी को एक अंक मिलता है")</f>
        <v>A) रेडर को आउट घोषित कर दिया जाता है, B) कोई अंक नहीं मिलता है, C) रेडर को एक अंक मिलता है, D) प्रतिद्वंद्वी को एक अंक मिलता है</v>
      </c>
      <c r="I16" s="3" t="str">
        <f>IFERROR(__xludf.DUMMYFUNCTION("GOOGLETRANSLATE(D16, ""en"", ""hi"")"),"B) कोई अंक नहीं दिया जाता")</f>
        <v>B) कोई अंक नहीं दिया जाता</v>
      </c>
    </row>
    <row r="17" ht="22.5" customHeight="1">
      <c r="A17" s="2">
        <v>16.0</v>
      </c>
      <c r="B17" s="3" t="s">
        <v>51</v>
      </c>
      <c r="C17" s="3" t="s">
        <v>33</v>
      </c>
      <c r="D17" s="3" t="s">
        <v>52</v>
      </c>
      <c r="F17" s="3" t="str">
        <f>IFERROR(__xludf.DUMMYFUNCTION("GOOGLETRANSLATE(A17, ""en"", ""hi"")"),"16")</f>
        <v>16</v>
      </c>
      <c r="G17" s="3" t="str">
        <f>IFERROR(__xludf.DUMMYFUNCTION("GOOGLETRANSLATE(B17, ""en"", ""hi"")"),"कबड्डी में सफल बोनस रेड करने पर एक टीम को कितने अंक मिलते हैं?")</f>
        <v>कबड्डी में सफल बोनस रेड करने पर एक टीम को कितने अंक मिलते हैं?</v>
      </c>
      <c r="H17" s="3" t="str">
        <f>IFERROR(__xludf.DUMMYFUNCTION("GOOGLETRANSLATE(C17, ""en"", ""hi"")"),"A) 1 अंक, B) 2 अंक, C) 3 अंक, D) 5 अंक")</f>
        <v>A) 1 अंक, B) 2 अंक, C) 3 अंक, D) 5 अंक</v>
      </c>
      <c r="I17" s="3" t="str">
        <f>IFERROR(__xludf.DUMMYFUNCTION("GOOGLETRANSLATE(D17, ""en"", ""hi"")"),"ए) 1 अंक")</f>
        <v>ए) 1 अंक</v>
      </c>
    </row>
    <row r="18" ht="22.5" customHeight="1">
      <c r="A18" s="2">
        <v>17.0</v>
      </c>
      <c r="B18" s="3" t="s">
        <v>53</v>
      </c>
      <c r="C18" s="3" t="s">
        <v>54</v>
      </c>
      <c r="D18" s="3" t="s">
        <v>55</v>
      </c>
      <c r="F18" s="3" t="str">
        <f>IFERROR(__xludf.DUMMYFUNCTION("GOOGLETRANSLATE(A18, ""en"", ""hi"")"),"17")</f>
        <v>17</v>
      </c>
      <c r="G18" s="3" t="str">
        <f>IFERROR(__xludf.DUMMYFUNCTION("GOOGLETRANSLATE(B18, ""en"", ""hi"")"),"कबड्डी मैच में निम्नलिखित में से किस स्थिति में सुपर टैकल होता है?")</f>
        <v>कबड्डी मैच में निम्नलिखित में से किस स्थिति में सुपर टैकल होता है?</v>
      </c>
      <c r="H18" s="3" t="str">
        <f>IFERROR(__xludf.DUMMYFUNCTION("GOOGLETRANSLATE(C18, ""en"", ""hi"")"),"A) दो डिफेंडर रेडर को टैकल करते हैं, B) रेडर को तीन या अधिक डिफेंडर टैकल करते हैं, C) रेडर मिडलाइन पार कर जाता है, D) डिफेंडर बाउंड्स से बाहर चला जाता है")</f>
        <v>A) दो डिफेंडर रेडर को टैकल करते हैं, B) रेडर को तीन या अधिक डिफेंडर टैकल करते हैं, C) रेडर मिडलाइन पार कर जाता है, D) डिफेंडर बाउंड्स से बाहर चला जाता है</v>
      </c>
      <c r="I18" s="3" t="str">
        <f>IFERROR(__xludf.DUMMYFUNCTION("GOOGLETRANSLATE(D18, ""en"", ""hi"")"),"बी) रेडर को तीन या अधिक डिफेंडरों द्वारा टैकल किया जाता है")</f>
        <v>बी) रेडर को तीन या अधिक डिफेंडरों द्वारा टैकल किया जाता है</v>
      </c>
    </row>
    <row r="19" ht="22.5" customHeight="1">
      <c r="A19" s="2">
        <v>18.0</v>
      </c>
      <c r="B19" s="3" t="s">
        <v>56</v>
      </c>
      <c r="C19" s="3" t="s">
        <v>57</v>
      </c>
      <c r="D19" s="3" t="s">
        <v>58</v>
      </c>
      <c r="F19" s="3" t="str">
        <f>IFERROR(__xludf.DUMMYFUNCTION("GOOGLETRANSLATE(A19, ""en"", ""hi"")"),"18")</f>
        <v>18</v>
      </c>
      <c r="G19" s="3" t="str">
        <f>IFERROR(__xludf.DUMMYFUNCTION("GOOGLETRANSLATE(B19, ""en"", ""hi"")"),"यदि कोई रेडर रेड के दौरान सीमा रेखा से बाहर चला जाए तो परिणाम क्या होगा?")</f>
        <v>यदि कोई रेडर रेड के दौरान सीमा रेखा से बाहर चला जाए तो परिणाम क्या होगा?</v>
      </c>
      <c r="H19" s="3" t="str">
        <f>IFERROR(__xludf.DUMMYFUNCTION("GOOGLETRANSLATE(C19, ""en"", ""hi"")"),"A) रेड जारी रहती है, B) प्रतिद्वंद्वी एक अंक अर्जित करता है, C) रेडर को आउट घोषित कर दिया जाता है, D) दोनों टीमें एक अंक खो देती हैं")</f>
        <v>A) रेड जारी रहती है, B) प्रतिद्वंद्वी एक अंक अर्जित करता है, C) रेडर को आउट घोषित कर दिया जाता है, D) दोनों टीमें एक अंक खो देती हैं</v>
      </c>
      <c r="I19" s="3" t="str">
        <f>IFERROR(__xludf.DUMMYFUNCTION("GOOGLETRANSLATE(D19, ""en"", ""hi"")"),"C) रेडर को आउट घोषित किया जाता है")</f>
        <v>C) रेडर को आउट घोषित किया जाता है</v>
      </c>
    </row>
    <row r="20" ht="22.5" customHeight="1">
      <c r="A20" s="2">
        <v>19.0</v>
      </c>
      <c r="B20" s="3" t="s">
        <v>59</v>
      </c>
      <c r="C20" s="3" t="s">
        <v>60</v>
      </c>
      <c r="D20" s="3" t="s">
        <v>61</v>
      </c>
      <c r="F20" s="3" t="str">
        <f>IFERROR(__xludf.DUMMYFUNCTION("GOOGLETRANSLATE(A20, ""en"", ""hi"")"),"19")</f>
        <v>19</v>
      </c>
      <c r="G20" s="3" t="str">
        <f>IFERROR(__xludf.DUMMYFUNCTION("GOOGLETRANSLATE(B20, ""en"", ""hi"")"),"कबड्डी में सुपर टैकल स्थिति के दौरान निम्नलिखित में से कौन सा कथन सत्य है?")</f>
        <v>कबड्डी में सुपर टैकल स्थिति के दौरान निम्नलिखित में से कौन सा कथन सत्य है?</v>
      </c>
      <c r="H20" s="3" t="str">
        <f>IFERROR(__xludf.DUMMYFUNCTION("GOOGLETRANSLATE(C20, ""en"", ""hi"")"),"A) रेडर को 2 अंक मिलते हैं, B) बचाव करने वाली टीम को 2 अंक मिलते हैं, C) दोनों टीमों को 1 अंक मिलते हैं, D) मैच रुक जाता है")</f>
        <v>A) रेडर को 2 अंक मिलते हैं, B) बचाव करने वाली टीम को 2 अंक मिलते हैं, C) दोनों टीमों को 1 अंक मिलते हैं, D) मैच रुक जाता है</v>
      </c>
      <c r="I20" s="3" t="str">
        <f>IFERROR(__xludf.DUMMYFUNCTION("GOOGLETRANSLATE(D20, ""en"", ""hi"")"),"B) बचाव करने वाली टीम को 2 अंक मिलते हैं")</f>
        <v>B) बचाव करने वाली टीम को 2 अंक मिलते हैं</v>
      </c>
    </row>
    <row r="21" ht="22.5" customHeight="1">
      <c r="A21" s="2">
        <v>20.0</v>
      </c>
      <c r="B21" s="3" t="s">
        <v>62</v>
      </c>
      <c r="C21" s="3" t="s">
        <v>15</v>
      </c>
      <c r="D21" s="3" t="s">
        <v>52</v>
      </c>
      <c r="F21" s="3" t="str">
        <f>IFERROR(__xludf.DUMMYFUNCTION("GOOGLETRANSLATE(A21, ""en"", ""hi"")"),"20")</f>
        <v>20</v>
      </c>
      <c r="G21" s="3" t="str">
        <f>IFERROR(__xludf.DUMMYFUNCTION("GOOGLETRANSLATE(B21, ""en"", ""hi"")"),"यदि कोई रेडर बिना स्कोर किए प्रतिद्वंद्वी के हाफ में टैकल हो जाता है, तो बचाव करने वाली टीम को कितने अंक मिलते हैं?")</f>
        <v>यदि कोई रेडर बिना स्कोर किए प्रतिद्वंद्वी के हाफ में टैकल हो जाता है, तो बचाव करने वाली टीम को कितने अंक मिलते हैं?</v>
      </c>
      <c r="H21" s="3" t="str">
        <f>IFERROR(__xludf.DUMMYFUNCTION("GOOGLETRANSLATE(C21, ""en"", ""hi"")"),"A) 1 अंक, B) 2 अंक, C) 3 अंक, D) कोई अंक नहीं")</f>
        <v>A) 1 अंक, B) 2 अंक, C) 3 अंक, D) कोई अंक नहीं</v>
      </c>
      <c r="I21" s="3" t="str">
        <f>IFERROR(__xludf.DUMMYFUNCTION("GOOGLETRANSLATE(D21, ""en"", ""hi"")"),"ए) 1 अंक")</f>
        <v>ए) 1 अंक</v>
      </c>
    </row>
    <row r="22" ht="22.5" customHeight="1">
      <c r="A22" s="2">
        <v>21.0</v>
      </c>
      <c r="B22" s="3" t="s">
        <v>63</v>
      </c>
      <c r="C22" s="3" t="s">
        <v>64</v>
      </c>
      <c r="D22" s="3" t="s">
        <v>65</v>
      </c>
      <c r="F22" s="3" t="str">
        <f>IFERROR(__xludf.DUMMYFUNCTION("GOOGLETRANSLATE(A22, ""en"", ""hi"")"),"21")</f>
        <v>21</v>
      </c>
      <c r="G22" s="3" t="str">
        <f>IFERROR(__xludf.DUMMYFUNCTION("GOOGLETRANSLATE(B22, ""en"", ""hi"")"),"कबड्डी मैच के दौरान, एक रेडर प्रतिद्वंद्वी को छूता है, लेकिन मिडलाइन तक पहुँचने से पहले ही टैकल हो जाता है। क्या होता है?")</f>
        <v>कबड्डी मैच के दौरान, एक रेडर प्रतिद्वंद्वी को छूता है, लेकिन मिडलाइन तक पहुँचने से पहले ही टैकल हो जाता है। क्या होता है?</v>
      </c>
      <c r="H22" s="3" t="str">
        <f>IFERROR(__xludf.DUMMYFUNCTION("GOOGLETRANSLATE(C22, ""en"", ""hi"")"),"A) रेडर की टीम को 1 अंक मिलता है, B) रेडर आउट हो जाता है, C) दोनों टीमों को 1 अंक मिलता है, D) डिफेंडर आउट हो जाता है")</f>
        <v>A) रेडर की टीम को 1 अंक मिलता है, B) रेडर आउट हो जाता है, C) दोनों टीमों को 1 अंक मिलता है, D) डिफेंडर आउट हो जाता है</v>
      </c>
      <c r="I22" s="3" t="str">
        <f>IFERROR(__xludf.DUMMYFUNCTION("GOOGLETRANSLATE(D22, ""en"", ""hi"")"),"बी) हमलावर बाहर है")</f>
        <v>बी) हमलावर बाहर है</v>
      </c>
    </row>
    <row r="23" ht="22.5" customHeight="1">
      <c r="A23" s="2">
        <v>22.0</v>
      </c>
      <c r="B23" s="3" t="s">
        <v>66</v>
      </c>
      <c r="C23" s="3" t="s">
        <v>67</v>
      </c>
      <c r="D23" s="3" t="s">
        <v>68</v>
      </c>
      <c r="F23" s="3" t="str">
        <f>IFERROR(__xludf.DUMMYFUNCTION("GOOGLETRANSLATE(A23, ""en"", ""hi"")"),"22")</f>
        <v>22</v>
      </c>
      <c r="G23" s="3" t="str">
        <f>IFERROR(__xludf.DUMMYFUNCTION("GOOGLETRANSLATE(B23, ""en"", ""hi"")"),"यदि कोई रेडर एक ही रेड में सभी विरोधियों को सफलतापूर्वक छू लेता है और अपने आधे हिस्से में वापस लौट जाता है, तो इसे क्या कहा जाता है?")</f>
        <v>यदि कोई रेडर एक ही रेड में सभी विरोधियों को सफलतापूर्वक छू लेता है और अपने आधे हिस्से में वापस लौट जाता है, तो इसे क्या कहा जाता है?</v>
      </c>
      <c r="H23" s="3" t="str">
        <f>IFERROR(__xludf.DUMMYFUNCTION("GOOGLETRANSLATE(C23, ""en"", ""hi"")"),"ए) सुपर रेड, बी) बोनस रेड, सी) ऑल-आउट, डी) रेड ऑन")</f>
        <v>ए) सुपर रेड, बी) बोनस रेड, सी) ऑल-आउट, डी) रेड ऑन</v>
      </c>
      <c r="I23" s="3" t="str">
        <f>IFERROR(__xludf.DUMMYFUNCTION("GOOGLETRANSLATE(D23, ""en"", ""hi"")"),"A) सुपर रेड")</f>
        <v>A) सुपर रेड</v>
      </c>
    </row>
    <row r="24" ht="22.5" customHeight="1">
      <c r="A24" s="2">
        <v>23.0</v>
      </c>
      <c r="B24" s="3" t="s">
        <v>69</v>
      </c>
      <c r="C24" s="3" t="s">
        <v>70</v>
      </c>
      <c r="D24" s="3" t="s">
        <v>71</v>
      </c>
      <c r="F24" s="3" t="str">
        <f>IFERROR(__xludf.DUMMYFUNCTION("GOOGLETRANSLATE(A24, ""en"", ""hi"")"),"23")</f>
        <v>23</v>
      </c>
      <c r="G24" s="3" t="str">
        <f>IFERROR(__xludf.DUMMYFUNCTION("GOOGLETRANSLATE(B24, ""en"", ""hi"")"),"जब रेडर बोनस लाइन से आगे चला जाता है, लेकिन किसी डिफेंडर को नहीं छूता है और उसे टैकल नहीं किया जाता है, तो परिणाम क्या होता है?")</f>
        <v>जब रेडर बोनस लाइन से आगे चला जाता है, लेकिन किसी डिफेंडर को नहीं छूता है और उसे टैकल नहीं किया जाता है, तो परिणाम क्या होता है?</v>
      </c>
      <c r="H24" s="3" t="str">
        <f>IFERROR(__xludf.DUMMYFUNCTION("GOOGLETRANSLATE(C24, ""en"", ""hi"")"),"A) रेडर की टीम एक अंक अर्जित करती है, B) बचाव करने वाली टीम एक अंक अर्जित करती है, C) कोई अंक नहीं दिया जाता है, D) दोनों टीमों को 1 अंक मिलता है")</f>
        <v>A) रेडर की टीम एक अंक अर्जित करती है, B) बचाव करने वाली टीम एक अंक अर्जित करती है, C) कोई अंक नहीं दिया जाता है, D) दोनों टीमों को 1 अंक मिलता है</v>
      </c>
      <c r="I24" s="3" t="str">
        <f>IFERROR(__xludf.DUMMYFUNCTION("GOOGLETRANSLATE(D24, ""en"", ""hi"")"),"A) रेडर की टीम एक अंक अर्जित करती है")</f>
        <v>A) रेडर की टीम एक अंक अर्जित करती है</v>
      </c>
    </row>
    <row r="25" ht="22.5" customHeight="1">
      <c r="A25" s="2">
        <v>24.0</v>
      </c>
      <c r="B25" s="3" t="s">
        <v>72</v>
      </c>
      <c r="C25" s="3" t="s">
        <v>73</v>
      </c>
      <c r="D25" s="3" t="s">
        <v>74</v>
      </c>
      <c r="F25" s="3" t="str">
        <f>IFERROR(__xludf.DUMMYFUNCTION("GOOGLETRANSLATE(A25, ""en"", ""hi"")"),"24")</f>
        <v>24</v>
      </c>
      <c r="G25" s="3" t="str">
        <f>IFERROR(__xludf.DUMMYFUNCTION("GOOGLETRANSLATE(B25, ""en"", ""hi"")"),"यदि एक ही टीम के दो रेडर एक ही समय में प्रतिद्वंद्वी टीम के हाफ में प्रवेश करते हैं, तो परिणाम क्या होगा?")</f>
        <v>यदि एक ही टीम के दो रेडर एक ही समय में प्रतिद्वंद्वी टीम के हाफ में प्रवेश करते हैं, तो परिणाम क्या होगा?</v>
      </c>
      <c r="H25" s="3" t="str">
        <f>IFERROR(__xludf.DUMMYFUNCTION("GOOGLETRANSLATE(C25, ""en"", ""hi"")"),"A) दोनों रेडर अंक अर्जित करते हैं, B) दोनों रेडर आउट घोषित कर दिए जाते हैं, C) केवल एक रेडर को जारी रखने की अनुमति दी जाती है, D) रेड को अवैध घोषित कर दिया जाता है")</f>
        <v>A) दोनों रेडर अंक अर्जित करते हैं, B) दोनों रेडर आउट घोषित कर दिए जाते हैं, C) केवल एक रेडर को जारी रखने की अनुमति दी जाती है, D) रेड को अवैध घोषित कर दिया जाता है</v>
      </c>
      <c r="I25" s="3" t="str">
        <f>IFERROR(__xludf.DUMMYFUNCTION("GOOGLETRANSLATE(D25, ""en"", ""hi"")"),"B) दोनों रेडर आउट घोषित कर दिए गए हैं")</f>
        <v>B) दोनों रेडर आउट घोषित कर दिए गए हैं</v>
      </c>
    </row>
    <row r="26" ht="22.5" customHeight="1">
      <c r="A26" s="2">
        <v>25.0</v>
      </c>
      <c r="B26" s="3" t="s">
        <v>75</v>
      </c>
      <c r="C26" s="3" t="s">
        <v>15</v>
      </c>
      <c r="D26" s="3" t="s">
        <v>52</v>
      </c>
      <c r="F26" s="3" t="str">
        <f>IFERROR(__xludf.DUMMYFUNCTION("GOOGLETRANSLATE(A26, ""en"", ""hi"")"),"25")</f>
        <v>25</v>
      </c>
      <c r="G26" s="3" t="str">
        <f>IFERROR(__xludf.DUMMYFUNCTION("GOOGLETRANSLATE(B26, ""en"", ""hi"")"),"कबड्डी में, यदि रेडर सफलतापूर्वक बोनस लाइन पार कर लेता है और बिना टैकल किए वापस लौटता है, तो रेडर की टीम को कितने अंक मिलते हैं?")</f>
        <v>कबड्डी में, यदि रेडर सफलतापूर्वक बोनस लाइन पार कर लेता है और बिना टैकल किए वापस लौटता है, तो रेडर की टीम को कितने अंक मिलते हैं?</v>
      </c>
      <c r="H26" s="3" t="str">
        <f>IFERROR(__xludf.DUMMYFUNCTION("GOOGLETRANSLATE(C26, ""en"", ""hi"")"),"A) 1 अंक, B) 2 अंक, C) 3 अंक, D) कोई अंक नहीं")</f>
        <v>A) 1 अंक, B) 2 अंक, C) 3 अंक, D) कोई अंक नहीं</v>
      </c>
      <c r="I26" s="3" t="str">
        <f>IFERROR(__xludf.DUMMYFUNCTION("GOOGLETRANSLATE(D26, ""en"", ""hi"")"),"ए) 1 अंक")</f>
        <v>ए) 1 अंक</v>
      </c>
    </row>
    <row r="27" ht="22.5" customHeight="1">
      <c r="A27" s="2">
        <v>26.0</v>
      </c>
      <c r="B27" s="3" t="s">
        <v>76</v>
      </c>
      <c r="C27" s="3" t="s">
        <v>77</v>
      </c>
      <c r="D27" s="3" t="s">
        <v>78</v>
      </c>
      <c r="F27" s="3" t="str">
        <f>IFERROR(__xludf.DUMMYFUNCTION("GOOGLETRANSLATE(A27, ""en"", ""hi"")"),"26")</f>
        <v>26</v>
      </c>
      <c r="G27" s="3" t="str">
        <f>IFERROR(__xludf.DUMMYFUNCTION("GOOGLETRANSLATE(B27, ""en"", ""hi"")"),"एक रेडर को बोनस अंक प्राप्त करने के लिए निम्नलिखित में से कौन सी शर्त पूरी होनी चाहिए?")</f>
        <v>एक रेडर को बोनस अंक प्राप्त करने के लिए निम्नलिखित में से कौन सी शर्त पूरी होनी चाहिए?</v>
      </c>
      <c r="H27" s="3" t="str">
        <f>IFERROR(__xludf.DUMMYFUNCTION("GOOGLETRANSLATE(C27, ""en"", ""hi"")"),"A) तीन डिफेंडर मैट पर होने चाहिए, B) चार डिफेंडर मैट पर होने चाहिए, C) छह डिफेंडर मैट पर होने चाहिए, D) सात डिफेंडर मैट पर होने चाहिए")</f>
        <v>A) तीन डिफेंडर मैट पर होने चाहिए, B) चार डिफेंडर मैट पर होने चाहिए, C) छह डिफेंडर मैट पर होने चाहिए, D) सात डिफेंडर मैट पर होने चाहिए</v>
      </c>
      <c r="I27" s="3" t="str">
        <f>IFERROR(__xludf.DUMMYFUNCTION("GOOGLETRANSLATE(D27, ""en"", ""hi"")"),"बी) चार डिफेंडर मैट पर होने चाहिए")</f>
        <v>बी) चार डिफेंडर मैट पर होने चाहिए</v>
      </c>
    </row>
    <row r="28" ht="22.5" customHeight="1">
      <c r="A28" s="2">
        <v>27.0</v>
      </c>
      <c r="B28" s="3" t="s">
        <v>79</v>
      </c>
      <c r="C28" s="3" t="s">
        <v>80</v>
      </c>
      <c r="D28" s="3" t="s">
        <v>81</v>
      </c>
      <c r="F28" s="3" t="str">
        <f>IFERROR(__xludf.DUMMYFUNCTION("GOOGLETRANSLATE(A28, ""en"", ""hi"")"),"27")</f>
        <v>27</v>
      </c>
      <c r="G28" s="3" t="str">
        <f>IFERROR(__xludf.DUMMYFUNCTION("GOOGLETRANSLATE(B28, ""en"", ""hi"")"),"यदि कोई डिफेंडर रेडर से निपटने का प्रयास करते समय सीमा रेखा से बाहर चला जाए तो क्या होगा?")</f>
        <v>यदि कोई डिफेंडर रेडर से निपटने का प्रयास करते समय सीमा रेखा से बाहर चला जाए तो क्या होगा?</v>
      </c>
      <c r="H28" s="3" t="str">
        <f>IFERROR(__xludf.DUMMYFUNCTION("GOOGLETRANSLATE(C28, ""en"", ""hi"")"),"A) डिफेंडर को आउट घोषित कर दिया जाता है, B) रेडर आउट हो जाता है, C) डिफेंडर और रेडर खेलना जारी रखते हैं, D) रेड को अमान्य माना जाता है")</f>
        <v>A) डिफेंडर को आउट घोषित कर दिया जाता है, B) रेडर आउट हो जाता है, C) डिफेंडर और रेडर खेलना जारी रखते हैं, D) रेड को अमान्य माना जाता है</v>
      </c>
      <c r="I28" s="3" t="str">
        <f>IFERROR(__xludf.DUMMYFUNCTION("GOOGLETRANSLATE(D28, ""en"", ""hi"")"),"A) डिफेंडर को आउट घोषित किया जाता है")</f>
        <v>A) डिफेंडर को आउट घोषित किया जाता है</v>
      </c>
    </row>
    <row r="29" ht="22.5" customHeight="1">
      <c r="A29" s="2">
        <v>28.0</v>
      </c>
      <c r="B29" s="3" t="s">
        <v>82</v>
      </c>
      <c r="C29" s="3" t="s">
        <v>83</v>
      </c>
      <c r="D29" s="3" t="s">
        <v>84</v>
      </c>
      <c r="F29" s="3" t="str">
        <f>IFERROR(__xludf.DUMMYFUNCTION("GOOGLETRANSLATE(A29, ""en"", ""hi"")"),"28")</f>
        <v>28</v>
      </c>
      <c r="G29" s="3" t="str">
        <f>IFERROR(__xludf.DUMMYFUNCTION("GOOGLETRANSLATE(B29, ""en"", ""hi"")"),"कबड्डी मैच के दौरान, जब किसी टीम के सभी डिफेंडर आउट घोषित कर दिए जाते हैं, तो परिणाम क्या होता है?")</f>
        <v>कबड्डी मैच के दौरान, जब किसी टीम के सभी डिफेंडर आउट घोषित कर दिए जाते हैं, तो परिणाम क्या होता है?</v>
      </c>
      <c r="H29" s="3" t="str">
        <f>IFERROR(__xludf.DUMMYFUNCTION("GOOGLETRANSLATE(C29, ""en"", ""hi"")"),"A) रेडर को 5 अंक मिलते हैं, B) मैच रुक जाता है, C) रेडर को 2 अंक और ऑल-आउट मिलता है, D) बचाव करने वाली टीम स्वतः ही जीत जाती है")</f>
        <v>A) रेडर को 5 अंक मिलते हैं, B) मैच रुक जाता है, C) रेडर को 2 अंक और ऑल-आउट मिलता है, D) बचाव करने वाली टीम स्वतः ही जीत जाती है</v>
      </c>
      <c r="I29" s="3" t="str">
        <f>IFERROR(__xludf.DUMMYFUNCTION("GOOGLETRANSLATE(D29, ""en"", ""hi"")"),"C) रेडर को 2 अंक और एक ‘ऑल-आउट’ मिलता है")</f>
        <v>C) रेडर को 2 अंक और एक ‘ऑल-आउट’ मिलता है</v>
      </c>
    </row>
    <row r="30" ht="22.5" customHeight="1">
      <c r="A30" s="2">
        <v>29.0</v>
      </c>
      <c r="B30" s="3" t="s">
        <v>85</v>
      </c>
      <c r="C30" s="3" t="s">
        <v>47</v>
      </c>
      <c r="D30" s="3" t="s">
        <v>16</v>
      </c>
      <c r="F30" s="3" t="str">
        <f>IFERROR(__xludf.DUMMYFUNCTION("GOOGLETRANSLATE(A30, ""en"", ""hi"")"),"29")</f>
        <v>29</v>
      </c>
      <c r="G30" s="3" t="str">
        <f>IFERROR(__xludf.DUMMYFUNCTION("GOOGLETRANSLATE(B30, ""en"", ""hi"")"),"ऐसी स्थिति में जहां केवल एक डिफेंडर मैट पर रहता है, रेडर डिफेंडर को सफलतापूर्वक छूकर और वापस लौटकर कितने अंक प्राप्त कर सकता है?")</f>
        <v>ऐसी स्थिति में जहां केवल एक डिफेंडर मैट पर रहता है, रेडर डिफेंडर को सफलतापूर्वक छूकर और वापस लौटकर कितने अंक प्राप्त कर सकता है?</v>
      </c>
      <c r="H30" s="3" t="str">
        <f>IFERROR(__xludf.DUMMYFUNCTION("GOOGLETRANSLATE(C30, ""en"", ""hi"")"),"A) 1 अंक, B) 2 अंक, C) 3 अंक, D) 4 अंक")</f>
        <v>A) 1 अंक, B) 2 अंक, C) 3 अंक, D) 4 अंक</v>
      </c>
      <c r="I30" s="3" t="str">
        <f>IFERROR(__xludf.DUMMYFUNCTION("GOOGLETRANSLATE(D30, ""en"", ""hi"")"),"बी) 2 अंक")</f>
        <v>बी) 2 अंक</v>
      </c>
    </row>
    <row r="31" ht="22.5" customHeight="1">
      <c r="A31" s="2">
        <v>30.0</v>
      </c>
      <c r="B31" s="3" t="s">
        <v>86</v>
      </c>
      <c r="C31" s="3" t="s">
        <v>87</v>
      </c>
      <c r="D31" s="3" t="s">
        <v>88</v>
      </c>
      <c r="F31" s="3" t="str">
        <f>IFERROR(__xludf.DUMMYFUNCTION("GOOGLETRANSLATE(A31, ""en"", ""hi"")"),"30")</f>
        <v>30</v>
      </c>
      <c r="G31" s="3" t="str">
        <f>IFERROR(__xludf.DUMMYFUNCTION("GOOGLETRANSLATE(B31, ""en"", ""hi"")"),"यदि कोई रेडर रेड शुरू करता है, लेकिन पूरे समय 'कबड्डी' का नारा लगाने में विफल रहता है, तो क्या होगा?")</f>
        <v>यदि कोई रेडर रेड शुरू करता है, लेकिन पूरे समय 'कबड्डी' का नारा लगाने में विफल रहता है, तो क्या होगा?</v>
      </c>
      <c r="H31" s="3" t="str">
        <f>IFERROR(__xludf.DUMMYFUNCTION("GOOGLETRANSLATE(C31, ""en"", ""hi"")"),"A) रेडर को जारी रखने की अनुमति दी जाती है, B) रेडर को आउट घोषित कर दिया जाता है, C) रेड को अवैध माना जाता है, D) रेड को समीक्षा के लिए रोक दिया जाता है")</f>
        <v>A) रेडर को जारी रखने की अनुमति दी जाती है, B) रेडर को आउट घोषित कर दिया जाता है, C) रेड को अवैध माना जाता है, D) रेड को समीक्षा के लिए रोक दिया जाता है</v>
      </c>
      <c r="I31" s="3" t="str">
        <f>IFERROR(__xludf.DUMMYFUNCTION("GOOGLETRANSLATE(D31, ""en"", ""hi"")"),"B) रेडर को आउट घोषित कर दिया जाता है")</f>
        <v>B) रेडर को आउट घोषित कर दिया जाता है</v>
      </c>
    </row>
    <row r="32" ht="22.5" customHeight="1">
      <c r="A32" s="2">
        <v>31.0</v>
      </c>
      <c r="B32" s="3" t="s">
        <v>89</v>
      </c>
      <c r="C32" s="3" t="s">
        <v>90</v>
      </c>
      <c r="D32" s="3" t="s">
        <v>91</v>
      </c>
      <c r="F32" s="3" t="str">
        <f>IFERROR(__xludf.DUMMYFUNCTION("GOOGLETRANSLATE(A32, ""en"", ""hi"")"),"31")</f>
        <v>31</v>
      </c>
      <c r="G32" s="3" t="str">
        <f>IFERROR(__xludf.DUMMYFUNCTION("GOOGLETRANSLATE(B32, ""en"", ""hi"")"),"कबड्डी मैच में, यदि कोई रेडर प्रतिद्वंद्वी टीम के कप्तान को छू लेता है, लेकिन वापस लौटने से पहले उसे टैकल कर दिया जाता है, तो परिणाम क्या होगा?")</f>
        <v>कबड्डी मैच में, यदि कोई रेडर प्रतिद्वंद्वी टीम के कप्तान को छू लेता है, लेकिन वापस लौटने से पहले उसे टैकल कर दिया जाता है, तो परिणाम क्या होगा?</v>
      </c>
      <c r="H32" s="3" t="str">
        <f>IFERROR(__xludf.DUMMYFUNCTION("GOOGLETRANSLATE(C32, ""en"", ""hi"")"),"A) रेडर को दोगुने अंक मिलते हैं, B) कप्तान को आउट घोषित कर दिया जाता है, C) रेडर को आउट घोषित कर दिया जाता है, D) दोनों टीमों के अंक कट जाते हैं")</f>
        <v>A) रेडर को दोगुने अंक मिलते हैं, B) कप्तान को आउट घोषित कर दिया जाता है, C) रेडर को आउट घोषित कर दिया जाता है, D) दोनों टीमों के अंक कट जाते हैं</v>
      </c>
      <c r="I32" s="3" t="str">
        <f>IFERROR(__xludf.DUMMYFUNCTION("GOOGLETRANSLATE(D32, ""en"", ""hi"")"),"C) रेडर को आउट घोषित कर दिया गया है")</f>
        <v>C) रेडर को आउट घोषित कर दिया गया है</v>
      </c>
    </row>
    <row r="33" ht="22.5" customHeight="1">
      <c r="A33" s="2">
        <v>32.0</v>
      </c>
      <c r="B33" s="3" t="s">
        <v>92</v>
      </c>
      <c r="C33" s="3" t="s">
        <v>47</v>
      </c>
      <c r="D33" s="3" t="s">
        <v>52</v>
      </c>
      <c r="F33" s="3" t="str">
        <f>IFERROR(__xludf.DUMMYFUNCTION("GOOGLETRANSLATE(A33, ""en"", ""hi"")"),"32")</f>
        <v>32</v>
      </c>
      <c r="G33" s="3" t="str">
        <f>IFERROR(__xludf.DUMMYFUNCTION("GOOGLETRANSLATE(B33, ""en"", ""hi"")"),"रेड के दौरान सफल टैकल करने पर एक टीम को कितने अंक मिलते हैं?")</f>
        <v>रेड के दौरान सफल टैकल करने पर एक टीम को कितने अंक मिलते हैं?</v>
      </c>
      <c r="H33" s="3" t="str">
        <f>IFERROR(__xludf.DUMMYFUNCTION("GOOGLETRANSLATE(C33, ""en"", ""hi"")"),"A) 1 अंक, B) 2 अंक, C) 3 अंक, D) 4 अंक")</f>
        <v>A) 1 अंक, B) 2 अंक, C) 3 अंक, D) 4 अंक</v>
      </c>
      <c r="I33" s="3" t="str">
        <f>IFERROR(__xludf.DUMMYFUNCTION("GOOGLETRANSLATE(D33, ""en"", ""hi"")"),"ए) 1 अंक")</f>
        <v>ए) 1 अंक</v>
      </c>
    </row>
    <row r="34" ht="22.5" customHeight="1">
      <c r="A34" s="2">
        <v>33.0</v>
      </c>
      <c r="B34" s="3" t="s">
        <v>93</v>
      </c>
      <c r="C34" s="3" t="s">
        <v>94</v>
      </c>
      <c r="D34" s="3" t="s">
        <v>95</v>
      </c>
      <c r="F34" s="3" t="str">
        <f>IFERROR(__xludf.DUMMYFUNCTION("GOOGLETRANSLATE(A34, ""en"", ""hi"")"),"33")</f>
        <v>33</v>
      </c>
      <c r="G34" s="3" t="str">
        <f>IFERROR(__xludf.DUMMYFUNCTION("GOOGLETRANSLATE(B34, ""en"", ""hi"")"),"कबड्डी मैच के दौरान, एक डिफेंडर रेडर को टैकल करने की कोशिश करता है, लेकिन गलती से बाउंड्री से बाहर चला जाता है। नतीजा क्या होता है?")</f>
        <v>कबड्डी मैच के दौरान, एक डिफेंडर रेडर को टैकल करने की कोशिश करता है, लेकिन गलती से बाउंड्री से बाहर चला जाता है। नतीजा क्या होता है?</v>
      </c>
      <c r="H34" s="3" t="str">
        <f>IFERROR(__xludf.DUMMYFUNCTION("GOOGLETRANSLATE(C34, ""en"", ""hi"")"),"A) रेडर को आउट घोषित कर दिया जाता है, B) डिफेंडर को आउट घोषित कर दिया जाता है, C) डिफेंडर खेल जारी रख सकता है, D) कोई अंक नहीं दिया जाता है")</f>
        <v>A) रेडर को आउट घोषित कर दिया जाता है, B) डिफेंडर को आउट घोषित कर दिया जाता है, C) डिफेंडर खेल जारी रख सकता है, D) कोई अंक नहीं दिया जाता है</v>
      </c>
      <c r="I34" s="3" t="str">
        <f>IFERROR(__xludf.DUMMYFUNCTION("GOOGLETRANSLATE(D34, ""en"", ""hi"")"),"B) डिफेंडर को आउट घोषित कर दिया जाता है")</f>
        <v>B) डिफेंडर को आउट घोषित कर दिया जाता है</v>
      </c>
    </row>
    <row r="35" ht="22.5" customHeight="1">
      <c r="A35" s="2">
        <v>34.0</v>
      </c>
      <c r="B35" s="3" t="s">
        <v>96</v>
      </c>
      <c r="C35" s="3" t="s">
        <v>97</v>
      </c>
      <c r="D35" s="3" t="s">
        <v>91</v>
      </c>
      <c r="F35" s="3" t="str">
        <f>IFERROR(__xludf.DUMMYFUNCTION("GOOGLETRANSLATE(A35, ""en"", ""hi"")"),"34")</f>
        <v>34</v>
      </c>
      <c r="G35" s="3" t="str">
        <f>IFERROR(__xludf.DUMMYFUNCTION("GOOGLETRANSLATE(B35, ""en"", ""hi"")"),"यदि कोई रेडर टैकल से बचने का प्रयास करते हुए प्रतिद्वंद्वी की सीमा रेखा से बाहर निकल जाता है तो क्या होता है?")</f>
        <v>यदि कोई रेडर टैकल से बचने का प्रयास करते हुए प्रतिद्वंद्वी की सीमा रेखा से बाहर निकल जाता है तो क्या होता है?</v>
      </c>
      <c r="H35" s="3" t="str">
        <f>IFERROR(__xludf.DUMMYFUNCTION("GOOGLETRANSLATE(C35, ""en"", ""hi"")"),"A) रेड जारी रहती है, B) रेडर को 1 अंक मिलता है, C) रेडर को आउट घोषित कर दिया जाता है, D) रेडर को दूसरा मौका मिलता है")</f>
        <v>A) रेड जारी रहती है, B) रेडर को 1 अंक मिलता है, C) रेडर को आउट घोषित कर दिया जाता है, D) रेडर को दूसरा मौका मिलता है</v>
      </c>
      <c r="I35" s="3" t="str">
        <f>IFERROR(__xludf.DUMMYFUNCTION("GOOGLETRANSLATE(D35, ""en"", ""hi"")"),"C) रेडर को आउट घोषित कर दिया गया है")</f>
        <v>C) रेडर को आउट घोषित कर दिया गया है</v>
      </c>
    </row>
    <row r="36" ht="22.5" customHeight="1">
      <c r="A36" s="2">
        <v>35.0</v>
      </c>
      <c r="B36" s="3" t="s">
        <v>98</v>
      </c>
      <c r="C36" s="3" t="s">
        <v>99</v>
      </c>
      <c r="D36" s="3" t="s">
        <v>100</v>
      </c>
      <c r="F36" s="3" t="str">
        <f>IFERROR(__xludf.DUMMYFUNCTION("GOOGLETRANSLATE(A36, ""en"", ""hi"")"),"35")</f>
        <v>35</v>
      </c>
      <c r="G36" s="3" t="str">
        <f>IFERROR(__xludf.DUMMYFUNCTION("GOOGLETRANSLATE(B36, ""en"", ""hi"")"),"निम्नलिखित में से कौन सी स्थिति कबड्डी में ‘सुपर रेड’ का कारण बनती है?")</f>
        <v>निम्नलिखित में से कौन सी स्थिति कबड्डी में ‘सुपर रेड’ का कारण बनती है?</v>
      </c>
      <c r="H36" s="3" t="str">
        <f>IFERROR(__xludf.DUMMYFUNCTION("GOOGLETRANSLATE(C36, ""en"", ""hi"")"),"A) रेडर को बोनस अंक मिलता है, B) रेडर को दो डिफेंडरों द्वारा टैकल किया जाता है, C) रेडर को रेड में 3 या अधिक अंक मिलते हैं, D) रेडर बाउंड्स से बाहर चला जाता है")</f>
        <v>A) रेडर को बोनस अंक मिलता है, B) रेडर को दो डिफेंडरों द्वारा टैकल किया जाता है, C) रेडर को रेड में 3 या अधिक अंक मिलते हैं, D) रेडर बाउंड्स से बाहर चला जाता है</v>
      </c>
      <c r="I36" s="3" t="str">
        <f>IFERROR(__xludf.DUMMYFUNCTION("GOOGLETRANSLATE(D36, ""en"", ""hi"")"),"C) रेडर एक रेड में 3 या अधिक अंक प्राप्त करता है")</f>
        <v>C) रेडर एक रेड में 3 या अधिक अंक प्राप्त करता है</v>
      </c>
    </row>
    <row r="37" ht="22.5" customHeight="1">
      <c r="A37" s="2">
        <v>36.0</v>
      </c>
      <c r="B37" s="3" t="s">
        <v>101</v>
      </c>
      <c r="C37" s="3" t="s">
        <v>102</v>
      </c>
      <c r="D37" s="3" t="s">
        <v>103</v>
      </c>
      <c r="F37" s="3" t="str">
        <f>IFERROR(__xludf.DUMMYFUNCTION("GOOGLETRANSLATE(A37, ""en"", ""hi"")"),"36")</f>
        <v>36</v>
      </c>
      <c r="G37" s="3" t="str">
        <f>IFERROR(__xludf.DUMMYFUNCTION("GOOGLETRANSLATE(B37, ""en"", ""hi"")"),"कबड्डी मैच में यदि कोई डिफेंडर सीमा से बाहर गए बिना रेडर को सफलतापूर्वक टैकल कर देता है, तो परिणाम क्या होगा?")</f>
        <v>कबड्डी मैच में यदि कोई डिफेंडर सीमा से बाहर गए बिना रेडर को सफलतापूर्वक टैकल कर देता है, तो परिणाम क्या होगा?</v>
      </c>
      <c r="H37" s="3" t="str">
        <f>IFERROR(__xludf.DUMMYFUNCTION("GOOGLETRANSLATE(C37, ""en"", ""hi"")"),"A) बचाव करने वाली टीम 1 अंक अर्जित करती है, B) बचाव करने वाली टीम 2 अंक अर्जित करती है, C) रेडर 1 अंक अर्जित करता है, D) रेड जारी रहती है")</f>
        <v>A) बचाव करने वाली टीम 1 अंक अर्जित करती है, B) बचाव करने वाली टीम 2 अंक अर्जित करती है, C) रेडर 1 अंक अर्जित करता है, D) रेड जारी रहती है</v>
      </c>
      <c r="I37" s="3" t="str">
        <f>IFERROR(__xludf.DUMMYFUNCTION("GOOGLETRANSLATE(D37, ""en"", ""hi"")"),"A) बचाव करने वाली टीम को 1 अंक मिलता है")</f>
        <v>A) बचाव करने वाली टीम को 1 अंक मिलता है</v>
      </c>
    </row>
    <row r="38" ht="22.5" customHeight="1">
      <c r="A38" s="2">
        <v>37.0</v>
      </c>
      <c r="B38" s="3" t="s">
        <v>104</v>
      </c>
      <c r="C38" s="3" t="s">
        <v>105</v>
      </c>
      <c r="D38" s="3" t="s">
        <v>106</v>
      </c>
      <c r="F38" s="3" t="str">
        <f>IFERROR(__xludf.DUMMYFUNCTION("GOOGLETRANSLATE(A38, ""en"", ""hi"")"),"37")</f>
        <v>37</v>
      </c>
      <c r="G38" s="3" t="str">
        <f>IFERROR(__xludf.DUMMYFUNCTION("GOOGLETRANSLATE(B38, ""en"", ""hi"")"),"कबड्डी में यदि कोई रेडर दो डिफेंडरों को छूकर वापस उनकी तरफ भाग जाए तो क्या होगा?")</f>
        <v>कबड्डी में यदि कोई रेडर दो डिफेंडरों को छूकर वापस उनकी तरफ भाग जाए तो क्या होगा?</v>
      </c>
      <c r="H38" s="3" t="str">
        <f>IFERROR(__xludf.DUMMYFUNCTION("GOOGLETRANSLATE(C38, ""en"", ""hi"")"),"A) रेडर को 2 अंक मिलते हैं, B) रेडर को आउट घोषित कर दिया जाता है, C) बचाव करने वाली टीम को 1 अंक मिलता है, D) रेड रद्द हो जाती है")</f>
        <v>A) रेडर को 2 अंक मिलते हैं, B) रेडर को आउट घोषित कर दिया जाता है, C) बचाव करने वाली टीम को 1 अंक मिलता है, D) रेड रद्द हो जाती है</v>
      </c>
      <c r="I38" s="3" t="str">
        <f>IFERROR(__xludf.DUMMYFUNCTION("GOOGLETRANSLATE(D38, ""en"", ""hi"")"),"A) रेडर को 2 अंक मिलते हैं")</f>
        <v>A) रेडर को 2 अंक मिलते हैं</v>
      </c>
    </row>
    <row r="39" ht="22.5" customHeight="1">
      <c r="A39" s="2">
        <v>38.0</v>
      </c>
      <c r="B39" s="3" t="s">
        <v>107</v>
      </c>
      <c r="C39" s="3" t="s">
        <v>108</v>
      </c>
      <c r="D39" s="3" t="s">
        <v>109</v>
      </c>
      <c r="F39" s="3" t="str">
        <f>IFERROR(__xludf.DUMMYFUNCTION("GOOGLETRANSLATE(A39, ""en"", ""hi"")"),"38")</f>
        <v>38</v>
      </c>
      <c r="G39" s="3" t="str">
        <f>IFERROR(__xludf.DUMMYFUNCTION("GOOGLETRANSLATE(B39, ""en"", ""hi"")"),"कबड्डी रेड के दौरान, एक डिफेंडर कानूनी टैकल से पहले रेडर की जर्सी खींच लेता है। नतीजा क्या होता है?")</f>
        <v>कबड्डी रेड के दौरान, एक डिफेंडर कानूनी टैकल से पहले रेडर की जर्सी खींच लेता है। नतीजा क्या होता है?</v>
      </c>
      <c r="H39" s="3" t="str">
        <f>IFERROR(__xludf.DUMMYFUNCTION("GOOGLETRANSLATE(C39, ""en"", ""hi"")"),"A) डिफेंडर को आउट घोषित कर दिया जाता है, B) रेडर आउट हो जाता है, C) रेड को अवैध माना जाता है, D) रेडर को एक अंक मिलता है")</f>
        <v>A) डिफेंडर को आउट घोषित कर दिया जाता है, B) रेडर आउट हो जाता है, C) रेड को अवैध माना जाता है, D) रेडर को एक अंक मिलता है</v>
      </c>
      <c r="I39" s="3" t="str">
        <f>IFERROR(__xludf.DUMMYFUNCTION("GOOGLETRANSLATE(D39, ""en"", ""hi"")"),"D) रेडर एक अंक अर्जित करता है")</f>
        <v>D) रेडर एक अंक अर्जित करता है</v>
      </c>
    </row>
    <row r="40" ht="22.5" customHeight="1">
      <c r="A40" s="2">
        <v>39.0</v>
      </c>
      <c r="B40" s="3" t="s">
        <v>110</v>
      </c>
      <c r="C40" s="3" t="s">
        <v>111</v>
      </c>
      <c r="D40" s="3" t="s">
        <v>88</v>
      </c>
      <c r="F40" s="3" t="str">
        <f>IFERROR(__xludf.DUMMYFUNCTION("GOOGLETRANSLATE(A40, ""en"", ""hi"")"),"39")</f>
        <v>39</v>
      </c>
      <c r="G40" s="3" t="str">
        <f>IFERROR(__xludf.DUMMYFUNCTION("GOOGLETRANSLATE(B40, ""en"", ""hi"")"),"जब कोई रेडर मध्य रेखा पार कर जाता है, लेकिन लगातार 'कबड्डी' का नारा लगाने में विफल रहता है, तो परिणाम क्या होता है?")</f>
        <v>जब कोई रेडर मध्य रेखा पार कर जाता है, लेकिन लगातार 'कबड्डी' का नारा लगाने में विफल रहता है, तो परिणाम क्या होता है?</v>
      </c>
      <c r="H40" s="3" t="str">
        <f>IFERROR(__xludf.DUMMYFUNCTION("GOOGLETRANSLATE(C40, ""en"", ""hi"")"),"A) रेडर को एक अंक मिलता है, B) रेडर को आउट घोषित कर दिया जाता है, C) कोई अंक नहीं मिलता, D) रेड रोक दी जाती है")</f>
        <v>A) रेडर को एक अंक मिलता है, B) रेडर को आउट घोषित कर दिया जाता है, C) कोई अंक नहीं मिलता, D) रेड रोक दी जाती है</v>
      </c>
      <c r="I40" s="3" t="str">
        <f>IFERROR(__xludf.DUMMYFUNCTION("GOOGLETRANSLATE(D40, ""en"", ""hi"")"),"B) रेडर को आउट घोषित कर दिया जाता है")</f>
        <v>B) रेडर को आउट घोषित कर दिया जाता है</v>
      </c>
    </row>
    <row r="41" ht="22.5" customHeight="1">
      <c r="A41" s="2">
        <v>40.0</v>
      </c>
      <c r="B41" s="3" t="s">
        <v>112</v>
      </c>
      <c r="C41" s="3" t="s">
        <v>113</v>
      </c>
      <c r="D41" s="3" t="s">
        <v>114</v>
      </c>
      <c r="F41" s="3" t="str">
        <f>IFERROR(__xludf.DUMMYFUNCTION("GOOGLETRANSLATE(A41, ""en"", ""hi"")"),"40")</f>
        <v>40</v>
      </c>
      <c r="G41" s="3" t="str">
        <f>IFERROR(__xludf.DUMMYFUNCTION("GOOGLETRANSLATE(B41, ""en"", ""hi"")"),"कबड्डी में, यदि किसी टीम के पास मैट पर 4 से कम खिलाड़ी हों तो परिणाम क्या होगा?")</f>
        <v>कबड्डी में, यदि किसी टीम के पास मैट पर 4 से कम खिलाड़ी हों तो परिणाम क्या होगा?</v>
      </c>
      <c r="H41" s="3" t="str">
        <f>IFERROR(__xludf.DUMMYFUNCTION("GOOGLETRANSLATE(C41, ""en"", ""hi"")"),"A) मैच सामान्य रूप से जारी रहता है, B) टीम मैच हार जाती है, C) टीम का एक खिलाड़ी पुनर्जीवित हो जाता है, D) विरोधी टीम जीत जाती है")</f>
        <v>A) मैच सामान्य रूप से जारी रहता है, B) टीम मैच हार जाती है, C) टीम का एक खिलाड़ी पुनर्जीवित हो जाता है, D) विरोधी टीम जीत जाती है</v>
      </c>
      <c r="I41" s="3" t="str">
        <f>IFERROR(__xludf.DUMMYFUNCTION("GOOGLETRANSLATE(D41, ""en"", ""hi"")"),"B) टीम मैच हार जाती है")</f>
        <v>B) टीम मैच हार जाती है</v>
      </c>
    </row>
    <row r="42" ht="22.5" customHeight="1">
      <c r="A42" s="2">
        <v>41.0</v>
      </c>
      <c r="B42" s="3" t="s">
        <v>115</v>
      </c>
      <c r="C42" s="3" t="s">
        <v>116</v>
      </c>
      <c r="D42" s="3" t="s">
        <v>117</v>
      </c>
      <c r="F42" s="3" t="str">
        <f>IFERROR(__xludf.DUMMYFUNCTION("GOOGLETRANSLATE(A42, ""en"", ""hi"")"),"41")</f>
        <v>41</v>
      </c>
      <c r="G42" s="3" t="str">
        <f>IFERROR(__xludf.DUMMYFUNCTION("GOOGLETRANSLATE(B42, ""en"", ""hi"")"),"जब कोई रेडर प्रतिद्वंद्वी की बोनस लाइन को पार करके सफलतापूर्वक अंक अर्जित करता है तो उसे क्या कहा जाता है?")</f>
        <v>जब कोई रेडर प्रतिद्वंद्वी की बोनस लाइन को पार करके सफलतापूर्वक अंक अर्जित करता है तो उसे क्या कहा जाता है?</v>
      </c>
      <c r="H42" s="3" t="str">
        <f>IFERROR(__xludf.DUMMYFUNCTION("GOOGLETRANSLATE(C42, ""en"", ""hi"")"),"A) ऑल-आउट, B) सुपर रेड, C) बोनस, D) सुपर टैकल")</f>
        <v>A) ऑल-आउट, B) सुपर रेड, C) बोनस, D) सुपर टैकल</v>
      </c>
      <c r="I42" s="3" t="str">
        <f>IFERROR(__xludf.DUMMYFUNCTION("GOOGLETRANSLATE(D42, ""en"", ""hi"")"),"सी) बोनस")</f>
        <v>सी) बोनस</v>
      </c>
    </row>
    <row r="43" ht="22.5" customHeight="1">
      <c r="A43" s="2">
        <v>42.0</v>
      </c>
      <c r="B43" s="3" t="s">
        <v>118</v>
      </c>
      <c r="C43" s="3" t="s">
        <v>119</v>
      </c>
      <c r="D43" s="3" t="s">
        <v>120</v>
      </c>
      <c r="F43" s="3" t="str">
        <f>IFERROR(__xludf.DUMMYFUNCTION("GOOGLETRANSLATE(A43, ""en"", ""hi"")"),"42")</f>
        <v>42</v>
      </c>
      <c r="G43" s="3" t="str">
        <f>IFERROR(__xludf.DUMMYFUNCTION("GOOGLETRANSLATE(B43, ""en"", ""hi"")"),"कबड्डी में किस क्रिया के परिणामस्वरूप सुपर टैकल होता है?")</f>
        <v>कबड्डी में किस क्रिया के परिणामस्वरूप सुपर टैकल होता है?</v>
      </c>
      <c r="H43" s="3" t="str">
        <f>IFERROR(__xludf.DUMMYFUNCTION("GOOGLETRANSLATE(C43, ""en"", ""hi"")"),"A) रेडर को 2 डिफेंडरों द्वारा टैकल किया जाता है, B) रेडर बोनस लाइन पार करता है, C) रेडर 3 अंक अर्जित करता है, D) रेडर को 3 या अधिक डिफेंडरों द्वारा टैकल किया जाता है")</f>
        <v>A) रेडर को 2 डिफेंडरों द्वारा टैकल किया जाता है, B) रेडर बोनस लाइन पार करता है, C) रेडर 3 अंक अर्जित करता है, D) रेडर को 3 या अधिक डिफेंडरों द्वारा टैकल किया जाता है</v>
      </c>
      <c r="I43" s="3" t="str">
        <f>IFERROR(__xludf.DUMMYFUNCTION("GOOGLETRANSLATE(D43, ""en"", ""hi"")"),"D) रेडर को 3 या अधिक डिफेंडरों द्वारा टैकल किया जाता है")</f>
        <v>D) रेडर को 3 या अधिक डिफेंडरों द्वारा टैकल किया जाता है</v>
      </c>
    </row>
    <row r="44" ht="22.5" customHeight="1">
      <c r="A44" s="2">
        <v>43.0</v>
      </c>
      <c r="B44" s="3" t="s">
        <v>121</v>
      </c>
      <c r="C44" s="3" t="s">
        <v>122</v>
      </c>
      <c r="D44" s="3" t="s">
        <v>61</v>
      </c>
      <c r="F44" s="3" t="str">
        <f>IFERROR(__xludf.DUMMYFUNCTION("GOOGLETRANSLATE(A44, ""en"", ""hi"")"),"43")</f>
        <v>43</v>
      </c>
      <c r="G44" s="3" t="str">
        <f>IFERROR(__xludf.DUMMYFUNCTION("GOOGLETRANSLATE(B44, ""en"", ""hi"")"),"क्या होता है जब कोई रेडर सफलतापूर्वक सुपर टैकल पूरा कर लेता है?")</f>
        <v>क्या होता है जब कोई रेडर सफलतापूर्वक सुपर टैकल पूरा कर लेता है?</v>
      </c>
      <c r="H44" s="3" t="str">
        <f>IFERROR(__xludf.DUMMYFUNCTION("GOOGLETRANSLATE(C44, ""en"", ""hi"")"),"A) रेडर की टीम 2 अंक अर्जित करती है, B) बचाव करने वाली टीम 2 अंक अर्जित करती है, C) बचाव करने वाली टीम 1 अंक अर्जित करती है, D) कोई अंक नहीं दिया जाता है")</f>
        <v>A) रेडर की टीम 2 अंक अर्जित करती है, B) बचाव करने वाली टीम 2 अंक अर्जित करती है, C) बचाव करने वाली टीम 1 अंक अर्जित करती है, D) कोई अंक नहीं दिया जाता है</v>
      </c>
      <c r="I44" s="3" t="str">
        <f>IFERROR(__xludf.DUMMYFUNCTION("GOOGLETRANSLATE(D44, ""en"", ""hi"")"),"B) बचाव करने वाली टीम को 2 अंक मिलते हैं")</f>
        <v>B) बचाव करने वाली टीम को 2 अंक मिलते हैं</v>
      </c>
    </row>
    <row r="45" ht="22.5" customHeight="1">
      <c r="A45" s="2">
        <v>44.0</v>
      </c>
      <c r="B45" s="3" t="s">
        <v>123</v>
      </c>
      <c r="C45" s="3" t="s">
        <v>124</v>
      </c>
      <c r="D45" s="3" t="s">
        <v>88</v>
      </c>
      <c r="F45" s="3" t="str">
        <f>IFERROR(__xludf.DUMMYFUNCTION("GOOGLETRANSLATE(A45, ""en"", ""hi"")"),"44")</f>
        <v>44</v>
      </c>
      <c r="G45" s="3" t="str">
        <f>IFERROR(__xludf.DUMMYFUNCTION("GOOGLETRANSLATE(B45, ""en"", ""hi"")"),"यदि कोई रेडर टैकल होने के बाद मिडलाइन पार करने का प्रयास करता है, तो क्या होगा?")</f>
        <v>यदि कोई रेडर टैकल होने के बाद मिडलाइन पार करने का प्रयास करता है, तो क्या होगा?</v>
      </c>
      <c r="H45" s="3" t="str">
        <f>IFERROR(__xludf.DUMMYFUNCTION("GOOGLETRANSLATE(C45, ""en"", ""hi"")"),"A) रेडर को 1 अंक मिलता है, B) रेडर को आउट घोषित कर दिया जाता है, C) डिफेंडर को आउट कर दिया जाता है, D) कोई अंक नहीं दिया जाता है")</f>
        <v>A) रेडर को 1 अंक मिलता है, B) रेडर को आउट घोषित कर दिया जाता है, C) डिफेंडर को आउट कर दिया जाता है, D) कोई अंक नहीं दिया जाता है</v>
      </c>
      <c r="I45" s="3" t="str">
        <f>IFERROR(__xludf.DUMMYFUNCTION("GOOGLETRANSLATE(D45, ""en"", ""hi"")"),"B) रेडर को आउट घोषित कर दिया जाता है")</f>
        <v>B) रेडर को आउट घोषित कर दिया जाता है</v>
      </c>
    </row>
    <row r="46" ht="22.5" customHeight="1">
      <c r="A46" s="2">
        <v>45.0</v>
      </c>
      <c r="B46" s="3" t="s">
        <v>125</v>
      </c>
      <c r="C46" s="3" t="s">
        <v>126</v>
      </c>
      <c r="D46" s="3" t="s">
        <v>42</v>
      </c>
      <c r="F46" s="3" t="str">
        <f>IFERROR(__xludf.DUMMYFUNCTION("GOOGLETRANSLATE(A46, ""en"", ""hi"")"),"45")</f>
        <v>45</v>
      </c>
      <c r="G46" s="3" t="str">
        <f>IFERROR(__xludf.DUMMYFUNCTION("GOOGLETRANSLATE(B46, ""en"", ""hi"")"),"कबड्डी में, यदि सभी 7 डिफेंडर मैट पर हों और एक रेडर 3 अंक अर्जित करता है, तो इसे क्या कहा जाता है?")</f>
        <v>कबड्डी में, यदि सभी 7 डिफेंडर मैट पर हों और एक रेडर 3 अंक अर्जित करता है, तो इसे क्या कहा जाता है?</v>
      </c>
      <c r="H46" s="3" t="str">
        <f>IFERROR(__xludf.DUMMYFUNCTION("GOOGLETRANSLATE(C46, ""en"", ""hi"")"),"A) बोनस रेड, B) सुपर टैकल, C) ऑल-आउट, D) सुपर रेड")</f>
        <v>A) बोनस रेड, B) सुपर टैकल, C) ऑल-आउट, D) सुपर रेड</v>
      </c>
      <c r="I46" s="3" t="str">
        <f>IFERROR(__xludf.DUMMYFUNCTION("GOOGLETRANSLATE(D46, ""en"", ""hi"")"),"D) सुपर रेड")</f>
        <v>D) सुपर रेड</v>
      </c>
    </row>
    <row r="47" ht="22.5" customHeight="1">
      <c r="A47" s="2">
        <v>46.0</v>
      </c>
      <c r="B47" s="3" t="s">
        <v>127</v>
      </c>
      <c r="C47" s="3" t="s">
        <v>128</v>
      </c>
      <c r="D47" s="3" t="s">
        <v>129</v>
      </c>
      <c r="F47" s="3" t="str">
        <f>IFERROR(__xludf.DUMMYFUNCTION("GOOGLETRANSLATE(A47, ""en"", ""hi"")"),"46")</f>
        <v>46</v>
      </c>
      <c r="G47" s="3" t="str">
        <f>IFERROR(__xludf.DUMMYFUNCTION("GOOGLETRANSLATE(B47, ""en"", ""hi"")"),"निम्नलिखित में से किसके परिणामस्वरूप कबड्डी में किसी टीम के अंक कट जाते हैं?")</f>
        <v>निम्नलिखित में से किसके परिणामस्वरूप कबड्डी में किसी टीम के अंक कट जाते हैं?</v>
      </c>
      <c r="H47" s="3" t="str">
        <f>IFERROR(__xludf.DUMMYFUNCTION("GOOGLETRANSLATE(C47, ""en"", ""hi"")"),"A) डिफेंडर सीमा से बाहर चला जाता है, B) रेडर डिफेंडर को छू लेता है, C) रेडर बोनस अंक अर्जित करता है, D) रेडर को आउट घोषित कर दिया जाता है")</f>
        <v>A) डिफेंडर सीमा से बाहर चला जाता है, B) रेडर डिफेंडर को छू लेता है, C) रेडर बोनस अंक अर्जित करता है, D) रेडर को आउट घोषित कर दिया जाता है</v>
      </c>
      <c r="I47" s="3" t="str">
        <f>IFERROR(__xludf.DUMMYFUNCTION("GOOGLETRANSLATE(D47, ""en"", ""hi"")"),"A) एक डिफेंडर सीमा से बाहर कदम रखता है")</f>
        <v>A) एक डिफेंडर सीमा से बाहर कदम रखता है</v>
      </c>
    </row>
    <row r="48" ht="22.5" customHeight="1">
      <c r="A48" s="2">
        <v>47.0</v>
      </c>
      <c r="B48" s="3" t="s">
        <v>130</v>
      </c>
      <c r="C48" s="3" t="s">
        <v>131</v>
      </c>
      <c r="D48" s="3" t="s">
        <v>65</v>
      </c>
      <c r="F48" s="3" t="str">
        <f>IFERROR(__xludf.DUMMYFUNCTION("GOOGLETRANSLATE(A48, ""en"", ""hi"")"),"47")</f>
        <v>47</v>
      </c>
      <c r="G48" s="3" t="str">
        <f>IFERROR(__xludf.DUMMYFUNCTION("GOOGLETRANSLATE(B48, ""en"", ""hi"")"),"यदि किसी रेडर को टैकल कर दिया जाता है, लेकिन वह समय समाप्त होने से पहले अपनी टीम में वापस नहीं लौटता है, तो क्या होगा?")</f>
        <v>यदि किसी रेडर को टैकल कर दिया जाता है, लेकिन वह समय समाप्त होने से पहले अपनी टीम में वापस नहीं लौटता है, तो क्या होगा?</v>
      </c>
      <c r="H48" s="3" t="str">
        <f>IFERROR(__xludf.DUMMYFUNCTION("GOOGLETRANSLATE(C48, ""en"", ""hi"")"),"A) रेडर को एक अंक मिलता है, B) रेडर आउट हो जाता है, C) रेड जारी रहती है, D) दोनों टीमों को 1 अंक मिलता है")</f>
        <v>A) रेडर को एक अंक मिलता है, B) रेडर आउट हो जाता है, C) रेड जारी रहती है, D) दोनों टीमों को 1 अंक मिलता है</v>
      </c>
      <c r="I48" s="3" t="str">
        <f>IFERROR(__xludf.DUMMYFUNCTION("GOOGLETRANSLATE(D48, ""en"", ""hi"")"),"बी) हमलावर बाहर है")</f>
        <v>बी) हमलावर बाहर है</v>
      </c>
    </row>
    <row r="49" ht="22.5" customHeight="1">
      <c r="A49" s="2">
        <v>48.0</v>
      </c>
      <c r="B49" s="3" t="s">
        <v>132</v>
      </c>
      <c r="C49" s="3" t="s">
        <v>133</v>
      </c>
      <c r="D49" s="3" t="s">
        <v>134</v>
      </c>
      <c r="F49" s="3" t="str">
        <f>IFERROR(__xludf.DUMMYFUNCTION("GOOGLETRANSLATE(A49, ""en"", ""hi"")"),"48")</f>
        <v>48</v>
      </c>
      <c r="G49" s="3" t="str">
        <f>IFERROR(__xludf.DUMMYFUNCTION("GOOGLETRANSLATE(B49, ""en"", ""hi"")"),"कबड्डी में क्या होता है जब एक रेडर कई डिफेंडरों को छू लेता है और बिना टैकल किए बच निकलता है?")</f>
        <v>कबड्डी में क्या होता है जब एक रेडर कई डिफेंडरों को छू लेता है और बिना टैकल किए बच निकलता है?</v>
      </c>
      <c r="H49" s="3" t="str">
        <f>IFERROR(__xludf.DUMMYFUNCTION("GOOGLETRANSLATE(C49, ""en"", ""hi"")"),"A) रेडर को 2 अंक मिलते हैं, B) डिफेंडर को 1 अंक मिलता है, C) रेड रद्द घोषित कर दी जाती है, D) रेडर को 3 अंक मिलते हैं")</f>
        <v>A) रेडर को 2 अंक मिलते हैं, B) डिफेंडर को 1 अंक मिलता है, C) रेड रद्द घोषित कर दी जाती है, D) रेडर को 3 अंक मिलते हैं</v>
      </c>
      <c r="I49" s="3" t="str">
        <f>IFERROR(__xludf.DUMMYFUNCTION("GOOGLETRANSLATE(D49, ""en"", ""hi"")"),"D) रेडर को 3 अंक मिलते हैं")</f>
        <v>D) रेडर को 3 अंक मिलते हैं</v>
      </c>
    </row>
    <row r="50" ht="22.5" customHeight="1">
      <c r="A50" s="2">
        <v>49.0</v>
      </c>
      <c r="B50" s="3" t="s">
        <v>135</v>
      </c>
      <c r="C50" s="3" t="s">
        <v>136</v>
      </c>
      <c r="D50" s="3" t="s">
        <v>137</v>
      </c>
      <c r="F50" s="3" t="str">
        <f>IFERROR(__xludf.DUMMYFUNCTION("GOOGLETRANSLATE(A50, ""en"", ""hi"")"),"49")</f>
        <v>49</v>
      </c>
      <c r="G50" s="3" t="str">
        <f>IFERROR(__xludf.DUMMYFUNCTION("GOOGLETRANSLATE(B50, ""en"", ""hi"")"),"कबड्डी मैच के दौरान, रेडर एक डिफेंडर को छू लेता है, लेकिन डिफेंडर का दावा है कि यह स्पर्श गलती से हुआ था। नतीजा क्या होता है?")</f>
        <v>कबड्डी मैच के दौरान, रेडर एक डिफेंडर को छू लेता है, लेकिन डिफेंडर का दावा है कि यह स्पर्श गलती से हुआ था। नतीजा क्या होता है?</v>
      </c>
      <c r="H50" s="3" t="str">
        <f>IFERROR(__xludf.DUMMYFUNCTION("GOOGLETRANSLATE(C50, ""en"", ""hi"")"),"A) डिफेंडर को आउट घोषित कर दिया जाता है, B) रेडर को आउट घोषित कर दिया जाता है, C) रेफरी रिव्यू के लिए कहता है, D) रेड अवैध है")</f>
        <v>A) डिफेंडर को आउट घोषित कर दिया जाता है, B) रेडर को आउट घोषित कर दिया जाता है, C) रेफरी रिव्यू के लिए कहता है, D) रेड अवैध है</v>
      </c>
      <c r="I50" s="3" t="str">
        <f>IFERROR(__xludf.DUMMYFUNCTION("GOOGLETRANSLATE(D50, ""en"", ""hi"")"),"A) डिफेंडर को आउट घोषित कर दिया जाता है")</f>
        <v>A) डिफेंडर को आउट घोषित कर दिया जाता है</v>
      </c>
    </row>
    <row r="51" ht="22.5" customHeight="1">
      <c r="A51" s="2">
        <v>50.0</v>
      </c>
      <c r="B51" s="3" t="s">
        <v>138</v>
      </c>
      <c r="C51" s="3" t="s">
        <v>139</v>
      </c>
      <c r="D51" s="3" t="s">
        <v>140</v>
      </c>
      <c r="F51" s="3" t="str">
        <f>IFERROR(__xludf.DUMMYFUNCTION("GOOGLETRANSLATE(A51, ""en"", ""hi"")"),"50")</f>
        <v>50</v>
      </c>
      <c r="G51" s="3" t="str">
        <f>IFERROR(__xludf.DUMMYFUNCTION("GOOGLETRANSLATE(B51, ""en"", ""hi"")"),"एक रेडर मिडलाइन पार कर जाता है, लेकिन अपने हाफ में लौटने से पहले ही उसे टैकल कर दिया जाता है। रेफरी क्या फैसला करता है?")</f>
        <v>एक रेडर मिडलाइन पार कर जाता है, लेकिन अपने हाफ में लौटने से पहले ही उसे टैकल कर दिया जाता है। रेफरी क्या फैसला करता है?</v>
      </c>
      <c r="H51" s="3" t="str">
        <f>IFERROR(__xludf.DUMMYFUNCTION("GOOGLETRANSLATE(C51, ""en"", ""hi"")"),"A) रेडर आउट हो गया है, B) रेड जारी है, C) बचाव करने वाली टीम 1 अंक अर्जित करती है, D) रेडर की टीम 1 अंक अर्जित करती है")</f>
        <v>A) रेडर आउट हो गया है, B) रेड जारी है, C) बचाव करने वाली टीम 1 अंक अर्जित करती है, D) रेडर की टीम 1 अंक अर्जित करती है</v>
      </c>
      <c r="I51" s="3" t="str">
        <f>IFERROR(__xludf.DUMMYFUNCTION("GOOGLETRANSLATE(D51, ""en"", ""hi"")"),"A) हमलावर बाहर है")</f>
        <v>A) हमलावर बाहर है</v>
      </c>
    </row>
    <row r="52" ht="22.5" customHeight="1">
      <c r="A52" s="2">
        <v>51.0</v>
      </c>
      <c r="B52" s="3" t="s">
        <v>141</v>
      </c>
      <c r="C52" s="3" t="s">
        <v>142</v>
      </c>
      <c r="D52" s="3" t="s">
        <v>65</v>
      </c>
      <c r="F52" s="3" t="str">
        <f>IFERROR(__xludf.DUMMYFUNCTION("GOOGLETRANSLATE(A52, ""en"", ""hi"")"),"51")</f>
        <v>51</v>
      </c>
      <c r="G52" s="3" t="str">
        <f>IFERROR(__xludf.DUMMYFUNCTION("GOOGLETRANSLATE(B52, ""en"", ""hi"")"),"यदि कोई रेडर बोनस लाइन को सफलतापूर्वक छू लेता है, लेकिन अपने हाफ में लौटने से पहले ही उसे टैकल कर दिया जाता है, तो क्या होगा?")</f>
        <v>यदि कोई रेडर बोनस लाइन को सफलतापूर्वक छू लेता है, लेकिन अपने हाफ में लौटने से पहले ही उसे टैकल कर दिया जाता है, तो क्या होगा?</v>
      </c>
      <c r="H52" s="3" t="str">
        <f>IFERROR(__xludf.DUMMYFUNCTION("GOOGLETRANSLATE(C52, ""en"", ""hi"")"),"A) रेडर की टीम 1 अंक अर्जित करती है, B) रेडर आउट हो जाता है, C) कोई अंक नहीं दिया जाता है, D) दोनों टीमों को 1 अंक मिलता है")</f>
        <v>A) रेडर की टीम 1 अंक अर्जित करती है, B) रेडर आउट हो जाता है, C) कोई अंक नहीं दिया जाता है, D) दोनों टीमों को 1 अंक मिलता है</v>
      </c>
      <c r="I52" s="3" t="str">
        <f>IFERROR(__xludf.DUMMYFUNCTION("GOOGLETRANSLATE(D52, ""en"", ""hi"")"),"बी) हमलावर बाहर है")</f>
        <v>बी) हमलावर बाहर है</v>
      </c>
    </row>
    <row r="53" ht="22.5" customHeight="1">
      <c r="A53" s="2">
        <v>52.0</v>
      </c>
      <c r="B53" s="3" t="s">
        <v>143</v>
      </c>
      <c r="C53" s="3" t="s">
        <v>144</v>
      </c>
      <c r="D53" s="3" t="s">
        <v>145</v>
      </c>
      <c r="F53" s="3" t="str">
        <f>IFERROR(__xludf.DUMMYFUNCTION("GOOGLETRANSLATE(A53, ""en"", ""hi"")"),"52")</f>
        <v>52</v>
      </c>
      <c r="G53" s="3" t="str">
        <f>IFERROR(__xludf.DUMMYFUNCTION("GOOGLETRANSLATE(B53, ""en"", ""hi"")"),"ऐसी स्थिति में जहां रेडर दो डिफेंडरों को छूकर मध्य रेखा तक पहुंच जाता है, लेकिन एक डिफेंडर नो टच का दावा करता है, तो परिणाम क्या होगा?")</f>
        <v>ऐसी स्थिति में जहां रेडर दो डिफेंडरों को छूकर मध्य रेखा तक पहुंच जाता है, लेकिन एक डिफेंडर नो टच का दावा करता है, तो परिणाम क्या होगा?</v>
      </c>
      <c r="H53" s="3" t="str">
        <f>IFERROR(__xludf.DUMMYFUNCTION("GOOGLETRANSLATE(C53, ""en"", ""hi"")"),"A) दोनों डिफेंडर आउट हो गए हैं, B) केवल एक डिफेंडर आउट हो गया है, C) रेड की समीक्षा की गई है, D) कोई अंक नहीं दिया गया है")</f>
        <v>A) दोनों डिफेंडर आउट हो गए हैं, B) केवल एक डिफेंडर आउट हो गया है, C) रेड की समीक्षा की गई है, D) कोई अंक नहीं दिया गया है</v>
      </c>
      <c r="I53" s="3" t="str">
        <f>IFERROR(__xludf.DUMMYFUNCTION("GOOGLETRANSLATE(D53, ""en"", ""hi"")"),"A) दोनों डिफेंडर आउट हो गए हैं")</f>
        <v>A) दोनों डिफेंडर आउट हो गए हैं</v>
      </c>
    </row>
    <row r="54" ht="22.5" customHeight="1">
      <c r="A54" s="2">
        <v>53.0</v>
      </c>
      <c r="B54" s="3" t="s">
        <v>146</v>
      </c>
      <c r="C54" s="3" t="s">
        <v>147</v>
      </c>
      <c r="D54" s="3" t="s">
        <v>148</v>
      </c>
      <c r="F54" s="3" t="str">
        <f>IFERROR(__xludf.DUMMYFUNCTION("GOOGLETRANSLATE(A54, ""en"", ""hi"")"),"53")</f>
        <v>53</v>
      </c>
      <c r="G54" s="3" t="str">
        <f>IFERROR(__xludf.DUMMYFUNCTION("GOOGLETRANSLATE(B54, ""en"", ""hi"")"),"यदि कोई डिफेंडर रेडर को टैकल करने का प्रयास करता है, लेकिन टैकल से पहले ही सीमा से बाहर चला जाता है, तो क्या होगा?")</f>
        <v>यदि कोई डिफेंडर रेडर को टैकल करने का प्रयास करता है, लेकिन टैकल से पहले ही सीमा से बाहर चला जाता है, तो क्या होगा?</v>
      </c>
      <c r="H54" s="3" t="str">
        <f>IFERROR(__xludf.DUMMYFUNCTION("GOOGLETRANSLATE(C54, ""en"", ""hi"")"),"A) रेडर आउट हो गया है, B) डिफेंडर आउट हो गया है, C) रेड जारी है, D) कोई अंक नहीं दिया गया है")</f>
        <v>A) रेडर आउट हो गया है, B) डिफेंडर आउट हो गया है, C) रेड जारी है, D) कोई अंक नहीं दिया गया है</v>
      </c>
      <c r="I54" s="3" t="str">
        <f>IFERROR(__xludf.DUMMYFUNCTION("GOOGLETRANSLATE(D54, ""en"", ""hi"")"),"B) डिफेंडर आउट हो गया है")</f>
        <v>B) डिफेंडर आउट हो गया है</v>
      </c>
    </row>
    <row r="55" ht="22.5" customHeight="1">
      <c r="A55" s="2">
        <v>54.0</v>
      </c>
      <c r="B55" s="3" t="s">
        <v>149</v>
      </c>
      <c r="C55" s="3" t="s">
        <v>150</v>
      </c>
      <c r="D55" s="3" t="s">
        <v>140</v>
      </c>
      <c r="F55" s="3" t="str">
        <f>IFERROR(__xludf.DUMMYFUNCTION("GOOGLETRANSLATE(A55, ""en"", ""hi"")"),"54")</f>
        <v>54</v>
      </c>
      <c r="G55" s="3" t="str">
        <f>IFERROR(__xludf.DUMMYFUNCTION("GOOGLETRANSLATE(B55, ""en"", ""hi"")"),"एक रेडर टैकल से बचने की कोशिश करता है लेकिन सीमा रेखा से बाहर निकल जाता है। नतीजा क्या होता है?")</f>
        <v>एक रेडर टैकल से बचने की कोशिश करता है लेकिन सीमा रेखा से बाहर निकल जाता है। नतीजा क्या होता है?</v>
      </c>
      <c r="H55" s="3" t="str">
        <f>IFERROR(__xludf.DUMMYFUNCTION("GOOGLETRANSLATE(C55, ""en"", ""hi"")"),"A) रेडर आउट हो गया है, B) डिफेंडर आउट हो गया है, C) दोनों खिलाड़ी खेलना जारी रखते हैं, D) रेड अवैध है")</f>
        <v>A) रेडर आउट हो गया है, B) डिफेंडर आउट हो गया है, C) दोनों खिलाड़ी खेलना जारी रखते हैं, D) रेड अवैध है</v>
      </c>
      <c r="I55" s="3" t="str">
        <f>IFERROR(__xludf.DUMMYFUNCTION("GOOGLETRANSLATE(D55, ""en"", ""hi"")"),"A) हमलावर बाहर है")</f>
        <v>A) हमलावर बाहर है</v>
      </c>
    </row>
    <row r="56" ht="22.5" customHeight="1">
      <c r="A56" s="2">
        <v>55.0</v>
      </c>
      <c r="B56" s="3" t="s">
        <v>151</v>
      </c>
      <c r="C56" s="3" t="s">
        <v>152</v>
      </c>
      <c r="D56" s="3" t="s">
        <v>140</v>
      </c>
      <c r="F56" s="3" t="str">
        <f>IFERROR(__xludf.DUMMYFUNCTION("GOOGLETRANSLATE(A56, ""en"", ""hi"")"),"55")</f>
        <v>55</v>
      </c>
      <c r="G56" s="3" t="str">
        <f>IFERROR(__xludf.DUMMYFUNCTION("GOOGLETRANSLATE(B56, ""en"", ""hi"")"),"कबड्डी मैच के दौरान, रेडर रेड करते समय 'कबड्डी' का नारा लगाता है, लेकिन नारा बंद होने से पहले वापस नहीं लौटता। क्या होता है?")</f>
        <v>कबड्डी मैच के दौरान, रेडर रेड करते समय 'कबड्डी' का नारा लगाता है, लेकिन नारा बंद होने से पहले वापस नहीं लौटता। क्या होता है?</v>
      </c>
      <c r="H56" s="3" t="str">
        <f>IFERROR(__xludf.DUMMYFUNCTION("GOOGLETRANSLATE(C56, ""en"", ""hi"")"),"A) रेडर आउट हो गया है, B) रेड जारी है, C) रेडर की टीम ने एक अंक अर्जित किया है, D) कोई कार्रवाई नहीं की गई है")</f>
        <v>A) रेडर आउट हो गया है, B) रेड जारी है, C) रेडर की टीम ने एक अंक अर्जित किया है, D) कोई कार्रवाई नहीं की गई है</v>
      </c>
      <c r="I56" s="3" t="str">
        <f>IFERROR(__xludf.DUMMYFUNCTION("GOOGLETRANSLATE(D56, ""en"", ""hi"")"),"A) हमलावर बाहर है")</f>
        <v>A) हमलावर बाहर है</v>
      </c>
    </row>
    <row r="57" ht="22.5" customHeight="1">
      <c r="A57" s="2">
        <v>56.0</v>
      </c>
      <c r="B57" s="3" t="s">
        <v>153</v>
      </c>
      <c r="C57" s="3" t="s">
        <v>154</v>
      </c>
      <c r="D57" s="3" t="s">
        <v>145</v>
      </c>
      <c r="F57" s="3" t="str">
        <f>IFERROR(__xludf.DUMMYFUNCTION("GOOGLETRANSLATE(A57, ""en"", ""hi"")"),"56")</f>
        <v>56</v>
      </c>
      <c r="G57" s="3" t="str">
        <f>IFERROR(__xludf.DUMMYFUNCTION("GOOGLETRANSLATE(B57, ""en"", ""hi"")"),"यदि कोई रेडर दो डिफेंडरों को छूता है और रेड के दौरान दोनों डिफेंडर सीमा से बाहर चले जाते हैं, तो परिणाम क्या होगा?")</f>
        <v>यदि कोई रेडर दो डिफेंडरों को छूता है और रेड के दौरान दोनों डिफेंडर सीमा से बाहर चले जाते हैं, तो परिणाम क्या होगा?</v>
      </c>
      <c r="H57" s="3" t="str">
        <f>IFERROR(__xludf.DUMMYFUNCTION("GOOGLETRANSLATE(C57, ""en"", ""hi"")"),"A) दोनों डिफेंडर आउट हो गए हैं, B) रेडर आउट हो गया है, C) कोई अंक नहीं दिया गया है, D) रेड जारी है")</f>
        <v>A) दोनों डिफेंडर आउट हो गए हैं, B) रेडर आउट हो गया है, C) कोई अंक नहीं दिया गया है, D) रेड जारी है</v>
      </c>
      <c r="I57" s="3" t="str">
        <f>IFERROR(__xludf.DUMMYFUNCTION("GOOGLETRANSLATE(D57, ""en"", ""hi"")"),"A) दोनों डिफेंडर आउट हो गए हैं")</f>
        <v>A) दोनों डिफेंडर आउट हो गए हैं</v>
      </c>
    </row>
    <row r="58" ht="22.5" customHeight="1">
      <c r="A58" s="2">
        <v>57.0</v>
      </c>
      <c r="B58" s="3" t="s">
        <v>155</v>
      </c>
      <c r="C58" s="3" t="s">
        <v>156</v>
      </c>
      <c r="D58" s="3" t="s">
        <v>157</v>
      </c>
      <c r="F58" s="3" t="str">
        <f>IFERROR(__xludf.DUMMYFUNCTION("GOOGLETRANSLATE(A58, ""en"", ""hi"")"),"57")</f>
        <v>57</v>
      </c>
      <c r="G58" s="3" t="str">
        <f>IFERROR(__xludf.DUMMYFUNCTION("GOOGLETRANSLATE(B58, ""en"", ""hi"")"),"जब कोई रेडर सफलतापूर्वक रेड पूरी कर लेता है, लेकिन बाद में सीमा से बाहर चला जाता है, तो परिणाम क्या होता है?")</f>
        <v>जब कोई रेडर सफलतापूर्वक रेड पूरी कर लेता है, लेकिन बाद में सीमा से बाहर चला जाता है, तो परिणाम क्या होता है?</v>
      </c>
      <c r="H58" s="3" t="str">
        <f>IFERROR(__xludf.DUMMYFUNCTION("GOOGLETRANSLATE(C58, ""en"", ""hi"")"),"A) रेड रद्द हो जाती है, B) रेडर आउट हो जाता है, C) रेडर की टीम को 1 अंक मिलता है, D) कोई अंक नहीं दिया जाता")</f>
        <v>A) रेड रद्द हो जाती है, B) रेडर आउट हो जाता है, C) रेडर की टीम को 1 अंक मिलता है, D) कोई अंक नहीं दिया जाता</v>
      </c>
      <c r="I58" s="3" t="str">
        <f>IFERROR(__xludf.DUMMYFUNCTION("GOOGLETRANSLATE(D58, ""en"", ""hi"")"),"C) रेडर की टीम को 1 अंक मिलता है")</f>
        <v>C) रेडर की टीम को 1 अंक मिलता है</v>
      </c>
    </row>
    <row r="59" ht="22.5" customHeight="1">
      <c r="A59" s="2">
        <v>58.0</v>
      </c>
      <c r="B59" s="3" t="s">
        <v>158</v>
      </c>
      <c r="C59" s="3" t="s">
        <v>159</v>
      </c>
      <c r="D59" s="3" t="s">
        <v>160</v>
      </c>
      <c r="F59" s="3" t="str">
        <f>IFERROR(__xludf.DUMMYFUNCTION("GOOGLETRANSLATE(A59, ""en"", ""hi"")"),"58")</f>
        <v>58</v>
      </c>
      <c r="G59" s="3" t="str">
        <f>IFERROR(__xludf.DUMMYFUNCTION("GOOGLETRANSLATE(B59, ""en"", ""hi"")"),"कबड्डी में, जब रेड के दौरान सभी डिफेंडरों को टैकल कर दिया जाता है तो क्या होता है?")</f>
        <v>कबड्डी में, जब रेड के दौरान सभी डिफेंडरों को टैकल कर दिया जाता है तो क्या होता है?</v>
      </c>
      <c r="H59" s="3" t="str">
        <f>IFERROR(__xludf.DUMMYFUNCTION("GOOGLETRANSLATE(C59, ""en"", ""hi"")"),"A) बचाव करने वाली टीम ऑल-आउट हो गई है, B) रेडर आउट हो गया है, C) रेड जारी है, D) रेडर ने 2 अंक बनाए हैं")</f>
        <v>A) बचाव करने वाली टीम ऑल-आउट हो गई है, B) रेडर आउट हो गया है, C) रेड जारी है, D) रेडर ने 2 अंक बनाए हैं</v>
      </c>
      <c r="I59" s="3" t="str">
        <f>IFERROR(__xludf.DUMMYFUNCTION("GOOGLETRANSLATE(D59, ""en"", ""hi"")"),"A) बचाव करने वाली टीम पूरी तरह से तैयार है")</f>
        <v>A) बचाव करने वाली टीम पूरी तरह से तैयार है</v>
      </c>
    </row>
    <row r="60" ht="22.5" customHeight="1">
      <c r="A60" s="2">
        <v>59.0</v>
      </c>
      <c r="B60" s="3" t="s">
        <v>161</v>
      </c>
      <c r="C60" s="3" t="s">
        <v>162</v>
      </c>
      <c r="D60" s="3" t="s">
        <v>140</v>
      </c>
      <c r="F60" s="3" t="str">
        <f>IFERROR(__xludf.DUMMYFUNCTION("GOOGLETRANSLATE(A60, ""en"", ""hi"")"),"59")</f>
        <v>59</v>
      </c>
      <c r="G60" s="3" t="str">
        <f>IFERROR(__xludf.DUMMYFUNCTION("GOOGLETRANSLATE(B60, ""en"", ""hi"")"),"यदि कोई रेडर रेड शुरू करता है, लेकिन 'कबड्डी' नहीं बोलता, तो निर्णय क्या होगा?")</f>
        <v>यदि कोई रेडर रेड शुरू करता है, लेकिन 'कबड्डी' नहीं बोलता, तो निर्णय क्या होगा?</v>
      </c>
      <c r="H60" s="3" t="str">
        <f>IFERROR(__xludf.DUMMYFUNCTION("GOOGLETRANSLATE(C60, ""en"", ""hi"")"),"A) रेडर आउट हो जाता है, B) रेड जारी रहती है, C) रेडर को एक और मौका दिया जाता है, D) कोई अंक नहीं दिया जाता")</f>
        <v>A) रेडर आउट हो जाता है, B) रेड जारी रहती है, C) रेडर को एक और मौका दिया जाता है, D) कोई अंक नहीं दिया जाता</v>
      </c>
      <c r="I60" s="3" t="str">
        <f>IFERROR(__xludf.DUMMYFUNCTION("GOOGLETRANSLATE(D60, ""en"", ""hi"")"),"A) हमलावर बाहर है")</f>
        <v>A) हमलावर बाहर है</v>
      </c>
    </row>
    <row r="61" ht="22.5" customHeight="1">
      <c r="A61" s="2">
        <v>60.0</v>
      </c>
      <c r="B61" s="3" t="s">
        <v>163</v>
      </c>
      <c r="C61" s="3" t="s">
        <v>164</v>
      </c>
      <c r="D61" s="3" t="s">
        <v>65</v>
      </c>
      <c r="F61" s="3" t="str">
        <f>IFERROR(__xludf.DUMMYFUNCTION("GOOGLETRANSLATE(A61, ""en"", ""hi"")"),"60")</f>
        <v>60</v>
      </c>
      <c r="G61" s="3" t="str">
        <f>IFERROR(__xludf.DUMMYFUNCTION("GOOGLETRANSLATE(B61, ""en"", ""hi"")"),"एक रेडर एक पैर से बोनस लाइन को छूता है, लेकिन मिडलाइन पार करने से पहले ही उसे टैकल कर दिया जाता है। नतीजा क्या होता है?")</f>
        <v>एक रेडर एक पैर से बोनस लाइन को छूता है, लेकिन मिडलाइन पार करने से पहले ही उसे टैकल कर दिया जाता है। नतीजा क्या होता है?</v>
      </c>
      <c r="H61" s="3" t="str">
        <f>IFERROR(__xludf.DUMMYFUNCTION("GOOGLETRANSLATE(C61, ""en"", ""hi"")"),"A) रेडर को 1 अंक मिलता है, B) रेडर आउट हो जाता है, C) रेड अमान्य हो जाती है, D) रेडर की टीम को 2 अंक मिलते हैं")</f>
        <v>A) रेडर को 1 अंक मिलता है, B) रेडर आउट हो जाता है, C) रेड अमान्य हो जाती है, D) रेडर की टीम को 2 अंक मिलते हैं</v>
      </c>
      <c r="I61" s="3" t="str">
        <f>IFERROR(__xludf.DUMMYFUNCTION("GOOGLETRANSLATE(D61, ""en"", ""hi"")"),"बी) हमलावर बाहर है")</f>
        <v>बी) हमलावर बाहर है</v>
      </c>
    </row>
    <row r="62" ht="22.5" customHeight="1">
      <c r="A62" s="2">
        <v>61.0</v>
      </c>
      <c r="B62" s="3" t="s">
        <v>165</v>
      </c>
      <c r="C62" s="3" t="s">
        <v>166</v>
      </c>
      <c r="D62" s="3" t="s">
        <v>167</v>
      </c>
      <c r="F62" s="3" t="str">
        <f>IFERROR(__xludf.DUMMYFUNCTION("GOOGLETRANSLATE(A62, ""en"", ""hi"")"),"61")</f>
        <v>61</v>
      </c>
      <c r="G62" s="3" t="str">
        <f>IFERROR(__xludf.DUMMYFUNCTION("GOOGLETRANSLATE(B62, ""en"", ""hi"")"),"कबड्डी में यदि डिफेंडर बिना वैध टैकल किए रेडर को पकड़ लेता है तो परिणाम क्या होगा?")</f>
        <v>कबड्डी में यदि डिफेंडर बिना वैध टैकल किए रेडर को पकड़ लेता है तो परिणाम क्या होगा?</v>
      </c>
      <c r="H62" s="3" t="str">
        <f>IFERROR(__xludf.DUMMYFUNCTION("GOOGLETRANSLATE(C62, ""en"", ""hi"")"),"A) डिफेंडर आउट हो गया है, B) रेडर आउट हो गया है, C) रेड रोक दी गई है, D) दोनों खिलाड़ी जारी हैं")</f>
        <v>A) डिफेंडर आउट हो गया है, B) रेडर आउट हो गया है, C) रेड रोक दी गई है, D) दोनों खिलाड़ी जारी हैं</v>
      </c>
      <c r="I62" s="3" t="str">
        <f>IFERROR(__xludf.DUMMYFUNCTION("GOOGLETRANSLATE(D62, ""en"", ""hi"")"),"A) डिफेंडर आउट हो गया है")</f>
        <v>A) डिफेंडर आउट हो गया है</v>
      </c>
    </row>
    <row r="63" ht="22.5" customHeight="1">
      <c r="A63" s="2">
        <v>62.0</v>
      </c>
      <c r="B63" s="3" t="s">
        <v>168</v>
      </c>
      <c r="C63" s="3" t="s">
        <v>169</v>
      </c>
      <c r="D63" s="3" t="s">
        <v>170</v>
      </c>
      <c r="F63" s="3" t="str">
        <f>IFERROR(__xludf.DUMMYFUNCTION("GOOGLETRANSLATE(A63, ""en"", ""hi"")"),"62")</f>
        <v>62</v>
      </c>
      <c r="G63" s="3" t="str">
        <f>IFERROR(__xludf.DUMMYFUNCTION("GOOGLETRANSLATE(B63, ""en"", ""hi"")"),"यदि रेडर बोनस का दावा करता है, लेकिन मैट पर चार से कम डिफेंडर हैं तो क्या होगा?")</f>
        <v>यदि रेडर बोनस का दावा करता है, लेकिन मैट पर चार से कम डिफेंडर हैं तो क्या होगा?</v>
      </c>
      <c r="H63" s="3" t="str">
        <f>IFERROR(__xludf.DUMMYFUNCTION("GOOGLETRANSLATE(C63, ""en"", ""hi"")"),"A) बोनस अस्वीकार कर दिया गया है, B) रेडर की टीम 1 अंक अर्जित करती है, C) रेड अमान्य है, D) डिफेंडर आउट हो गए हैं")</f>
        <v>A) बोनस अस्वीकार कर दिया गया है, B) रेडर की टीम 1 अंक अर्जित करती है, C) रेड अमान्य है, D) डिफेंडर आउट हो गए हैं</v>
      </c>
      <c r="I63" s="3" t="str">
        <f>IFERROR(__xludf.DUMMYFUNCTION("GOOGLETRANSLATE(D63, ""en"", ""hi"")"),"A) बोनस अस्वीकार कर दिया गया है")</f>
        <v>A) बोनस अस्वीकार कर दिया गया है</v>
      </c>
    </row>
    <row r="64" ht="22.5" customHeight="1">
      <c r="A64" s="2">
        <v>63.0</v>
      </c>
      <c r="B64" s="3" t="s">
        <v>171</v>
      </c>
      <c r="C64" s="3" t="s">
        <v>172</v>
      </c>
      <c r="D64" s="3" t="s">
        <v>140</v>
      </c>
      <c r="F64" s="3" t="str">
        <f>IFERROR(__xludf.DUMMYFUNCTION("GOOGLETRANSLATE(A64, ""en"", ""hi"")"),"63")</f>
        <v>63</v>
      </c>
      <c r="G64" s="3" t="str">
        <f>IFERROR(__xludf.DUMMYFUNCTION("GOOGLETRANSLATE(B64, ""en"", ""hi"")"),"कबड्डी मैच में यदि कोई रेडर किसी डिफेंडर या बोनस लाइन को छूने से पहले ही टैकल हो जाता है, तो परिणाम क्या होगा?")</f>
        <v>कबड्डी मैच में यदि कोई रेडर किसी डिफेंडर या बोनस लाइन को छूने से पहले ही टैकल हो जाता है, तो परिणाम क्या होगा?</v>
      </c>
      <c r="H64" s="3" t="str">
        <f>IFERROR(__xludf.DUMMYFUNCTION("GOOGLETRANSLATE(C64, ""en"", ""hi"")"),"A) रेडर आउट हो गया, B) बचाव करने वाली टीम ने एक अंक अर्जित किया, C) रेड जारी रही, D) दोनों टीमों ने एक अंक अर्जित किया")</f>
        <v>A) रेडर आउट हो गया, B) बचाव करने वाली टीम ने एक अंक अर्जित किया, C) रेड जारी रही, D) दोनों टीमों ने एक अंक अर्जित किया</v>
      </c>
      <c r="I64" s="3" t="str">
        <f>IFERROR(__xludf.DUMMYFUNCTION("GOOGLETRANSLATE(D64, ""en"", ""hi"")"),"A) हमलावर बाहर है")</f>
        <v>A) हमलावर बाहर है</v>
      </c>
    </row>
    <row r="65" ht="22.5" customHeight="1">
      <c r="A65" s="2">
        <v>64.0</v>
      </c>
      <c r="B65" s="3" t="s">
        <v>173</v>
      </c>
      <c r="C65" s="3" t="s">
        <v>174</v>
      </c>
      <c r="D65" s="3" t="s">
        <v>175</v>
      </c>
      <c r="F65" s="3" t="str">
        <f>IFERROR(__xludf.DUMMYFUNCTION("GOOGLETRANSLATE(A65, ""en"", ""hi"")"),"64")</f>
        <v>64</v>
      </c>
      <c r="G65" s="3" t="str">
        <f>IFERROR(__xludf.DUMMYFUNCTION("GOOGLETRANSLATE(B65, ""en"", ""hi"")"),"यदि कोई रेडर बोनस लाइन पर कदम रखता है, लेकिन कोई अंक नहीं दिया जाता है तो परिणाम क्या होगा?")</f>
        <v>यदि कोई रेडर बोनस लाइन पर कदम रखता है, लेकिन कोई अंक नहीं दिया जाता है तो परिणाम क्या होगा?</v>
      </c>
      <c r="H65" s="3" t="str">
        <f>IFERROR(__xludf.DUMMYFUNCTION("GOOGLETRANSLATE(C65, ""en"", ""hi"")"),"A) रेडर आउट हो गया है, B) डिफेंडर आउट हो गए हैं, C) मैट पर चार से कम डिफेंडर हैं, D) रेड अमान्य है")</f>
        <v>A) रेडर आउट हो गया है, B) डिफेंडर आउट हो गए हैं, C) मैट पर चार से कम डिफेंडर हैं, D) रेड अमान्य है</v>
      </c>
      <c r="I65" s="3" t="str">
        <f>IFERROR(__xludf.DUMMYFUNCTION("GOOGLETRANSLATE(D65, ""en"", ""hi"")"),"C) मैट पर चार से कम डिफेंडर हैं")</f>
        <v>C) मैट पर चार से कम डिफेंडर हैं</v>
      </c>
    </row>
    <row r="66" ht="22.5" customHeight="1">
      <c r="A66" s="2">
        <v>65.0</v>
      </c>
      <c r="B66" s="3" t="s">
        <v>176</v>
      </c>
      <c r="C66" s="3" t="s">
        <v>177</v>
      </c>
      <c r="D66" s="3" t="s">
        <v>178</v>
      </c>
      <c r="F66" s="3" t="str">
        <f>IFERROR(__xludf.DUMMYFUNCTION("GOOGLETRANSLATE(A66, ""en"", ""hi"")"),"65")</f>
        <v>65</v>
      </c>
      <c r="G66" s="3" t="str">
        <f>IFERROR(__xludf.DUMMYFUNCTION("GOOGLETRANSLATE(B66, ""en"", ""hi"")"),"एक डिफेंडर बिना शारीरिक संपर्क बनाए रेडर को ब्लॉक कर देता है। निर्णय क्या होता है?")</f>
        <v>एक डिफेंडर बिना शारीरिक संपर्क बनाए रेडर को ब्लॉक कर देता है। निर्णय क्या होता है?</v>
      </c>
      <c r="H66" s="3" t="str">
        <f>IFERROR(__xludf.DUMMYFUNCTION("GOOGLETRANSLATE(C66, ""en"", ""hi"")"),"A) रेडर आउट हो गया है, B) रेड जारी है, C) डिफेंडर आउट हो गया है, D) रेड की समीक्षा की गई है")</f>
        <v>A) रेडर आउट हो गया है, B) रेड जारी है, C) डिफेंडर आउट हो गया है, D) रेड की समीक्षा की गई है</v>
      </c>
      <c r="I66" s="3" t="str">
        <f>IFERROR(__xludf.DUMMYFUNCTION("GOOGLETRANSLATE(D66, ""en"", ""hi"")"),"बी) छापेमारी जारी है")</f>
        <v>बी) छापेमारी जारी है</v>
      </c>
    </row>
    <row r="67" ht="22.5" customHeight="1">
      <c r="A67" s="2">
        <v>66.0</v>
      </c>
      <c r="B67" s="3" t="s">
        <v>179</v>
      </c>
      <c r="C67" s="3" t="s">
        <v>180</v>
      </c>
      <c r="D67" s="3" t="s">
        <v>140</v>
      </c>
      <c r="F67" s="3" t="str">
        <f>IFERROR(__xludf.DUMMYFUNCTION("GOOGLETRANSLATE(A67, ""en"", ""hi"")"),"66")</f>
        <v>66</v>
      </c>
      <c r="G67" s="3" t="str">
        <f>IFERROR(__xludf.DUMMYFUNCTION("GOOGLETRANSLATE(B67, ""en"", ""hi"")"),"ऐसी स्थिति में जब कोई रेडर टच तो करता है लेकिन समय समाप्त होने से पहले मिडलाइन को पार नहीं कर पाता, तो क्या होगा?")</f>
        <v>ऐसी स्थिति में जब कोई रेडर टच तो करता है लेकिन समय समाप्त होने से पहले मिडलाइन को पार नहीं कर पाता, तो क्या होगा?</v>
      </c>
      <c r="H67" s="3" t="str">
        <f>IFERROR(__xludf.DUMMYFUNCTION("GOOGLETRANSLATE(C67, ""en"", ""hi"")"),"A) रेडर आउट हो गया, B) रेडर को 1 अंक मिला, C) रेड अमान्य है, D) डिफेंडर को एक अंक मिला")</f>
        <v>A) रेडर आउट हो गया, B) रेडर को 1 अंक मिला, C) रेड अमान्य है, D) डिफेंडर को एक अंक मिला</v>
      </c>
      <c r="I67" s="3" t="str">
        <f>IFERROR(__xludf.DUMMYFUNCTION("GOOGLETRANSLATE(D67, ""en"", ""hi"")"),"A) हमलावर बाहर है")</f>
        <v>A) हमलावर बाहर है</v>
      </c>
    </row>
    <row r="68" ht="22.5" customHeight="1">
      <c r="A68" s="2">
        <v>67.0</v>
      </c>
      <c r="B68" s="3" t="s">
        <v>181</v>
      </c>
      <c r="C68" s="3" t="s">
        <v>182</v>
      </c>
      <c r="D68" s="3" t="s">
        <v>167</v>
      </c>
      <c r="F68" s="3" t="str">
        <f>IFERROR(__xludf.DUMMYFUNCTION("GOOGLETRANSLATE(A68, ""en"", ""hi"")"),"67")</f>
        <v>67</v>
      </c>
      <c r="G68" s="3" t="str">
        <f>IFERROR(__xludf.DUMMYFUNCTION("GOOGLETRANSLATE(B68, ""en"", ""hi"")"),"यदि कोई डिफेंडर रेडर द्वारा छुए बिना ही सीमा से बाहर चला जाता है, तो परिणाम क्या होगा?")</f>
        <v>यदि कोई डिफेंडर रेडर द्वारा छुए बिना ही सीमा से बाहर चला जाता है, तो परिणाम क्या होगा?</v>
      </c>
      <c r="H68" s="3" t="str">
        <f>IFERROR(__xludf.DUMMYFUNCTION("GOOGLETRANSLATE(C68, ""en"", ""hi"")"),"A) डिफेंडर आउट हो गया है, B) रेडर आउट हो गया है, C) कोई अंक नहीं दिया गया है, D) रेड अमान्य है")</f>
        <v>A) डिफेंडर आउट हो गया है, B) रेडर आउट हो गया है, C) कोई अंक नहीं दिया गया है, D) रेड अमान्य है</v>
      </c>
      <c r="I68" s="3" t="str">
        <f>IFERROR(__xludf.DUMMYFUNCTION("GOOGLETRANSLATE(D68, ""en"", ""hi"")"),"A) डिफेंडर आउट हो गया है")</f>
        <v>A) डिफेंडर आउट हो गया है</v>
      </c>
    </row>
    <row r="69" ht="22.5" customHeight="1">
      <c r="A69" s="2">
        <v>68.0</v>
      </c>
      <c r="B69" s="3" t="s">
        <v>183</v>
      </c>
      <c r="C69" s="3" t="s">
        <v>184</v>
      </c>
      <c r="D69" s="3" t="s">
        <v>140</v>
      </c>
      <c r="F69" s="3" t="str">
        <f>IFERROR(__xludf.DUMMYFUNCTION("GOOGLETRANSLATE(A69, ""en"", ""hi"")"),"68")</f>
        <v>68</v>
      </c>
      <c r="G69" s="3" t="str">
        <f>IFERROR(__xludf.DUMMYFUNCTION("GOOGLETRANSLATE(B69, ""en"", ""hi"")"),"यदि कोई रेडर डिफेंडर को छूने के बाद वापस लौटने का प्रयास करते समय मिडलाइन पर से पकड़ खो देता है तो क्या होगा?")</f>
        <v>यदि कोई रेडर डिफेंडर को छूने के बाद वापस लौटने का प्रयास करते समय मिडलाइन पर से पकड़ खो देता है तो क्या होगा?</v>
      </c>
      <c r="H69" s="3" t="str">
        <f>IFERROR(__xludf.DUMMYFUNCTION("GOOGLETRANSLATE(C69, ""en"", ""hi"")"),"A) रेडर आउट हो गया है, B) डिफेंडर आउट हो गया है, C) रेड जारी है, D) रेड रद्द हो गई है")</f>
        <v>A) रेडर आउट हो गया है, B) डिफेंडर आउट हो गया है, C) रेड जारी है, D) रेड रद्द हो गई है</v>
      </c>
      <c r="I69" s="3" t="str">
        <f>IFERROR(__xludf.DUMMYFUNCTION("GOOGLETRANSLATE(D69, ""en"", ""hi"")"),"A) हमलावर बाहर है")</f>
        <v>A) हमलावर बाहर है</v>
      </c>
    </row>
    <row r="70" ht="22.5" customHeight="1">
      <c r="A70" s="2">
        <v>69.0</v>
      </c>
      <c r="B70" s="3" t="s">
        <v>185</v>
      </c>
      <c r="C70" s="3" t="s">
        <v>186</v>
      </c>
      <c r="D70" s="3" t="s">
        <v>88</v>
      </c>
      <c r="F70" s="3" t="str">
        <f>IFERROR(__xludf.DUMMYFUNCTION("GOOGLETRANSLATE(A70, ""en"", ""hi"")"),"69")</f>
        <v>69</v>
      </c>
      <c r="G70" s="3" t="str">
        <f>IFERROR(__xludf.DUMMYFUNCTION("GOOGLETRANSLATE(B70, ""en"", ""hi"")"),"यदि रेडर कई डिफेंडरों को छूता है, लेकिन अपने हाफ में वापस नहीं आ पाता, तो निर्णय क्या होगा?")</f>
        <v>यदि रेडर कई डिफेंडरों को छूता है, लेकिन अपने हाफ में वापस नहीं आ पाता, तो निर्णय क्या होगा?</v>
      </c>
      <c r="H70" s="3" t="str">
        <f>IFERROR(__xludf.DUMMYFUNCTION("GOOGLETRANSLATE(C70, ""en"", ""hi"")"),"A) रेडर को कोई अंक नहीं मिलता, B) रेडर को आउट घोषित कर दिया जाता है, C) डिफेंडर को 1 अंक मिलता है, D) रेड की समीक्षा की जाती है")</f>
        <v>A) रेडर को कोई अंक नहीं मिलता, B) रेडर को आउट घोषित कर दिया जाता है, C) डिफेंडर को 1 अंक मिलता है, D) रेड की समीक्षा की जाती है</v>
      </c>
      <c r="I70" s="3" t="str">
        <f>IFERROR(__xludf.DUMMYFUNCTION("GOOGLETRANSLATE(D70, ""en"", ""hi"")"),"B) रेडर को आउट घोषित कर दिया जाता है")</f>
        <v>B) रेडर को आउट घोषित कर दिया जाता है</v>
      </c>
    </row>
    <row r="71" ht="22.5" customHeight="1">
      <c r="A71" s="2">
        <v>70.0</v>
      </c>
      <c r="B71" s="3" t="s">
        <v>187</v>
      </c>
      <c r="C71" s="3" t="s">
        <v>188</v>
      </c>
      <c r="D71" s="3" t="s">
        <v>140</v>
      </c>
      <c r="F71" s="3" t="str">
        <f>IFERROR(__xludf.DUMMYFUNCTION("GOOGLETRANSLATE(A71, ""en"", ""hi"")"),"70")</f>
        <v>70</v>
      </c>
      <c r="G71" s="3" t="str">
        <f>IFERROR(__xludf.DUMMYFUNCTION("GOOGLETRANSLATE(B71, ""en"", ""hi"")"),"यदि कोई रेडर बोनस अर्जित करने का प्रयास करते समय सीमा से बाहर चला जाए तो क्या होगा?")</f>
        <v>यदि कोई रेडर बोनस अर्जित करने का प्रयास करते समय सीमा से बाहर चला जाए तो क्या होगा?</v>
      </c>
      <c r="H71" s="3" t="str">
        <f>IFERROR(__xludf.DUMMYFUNCTION("GOOGLETRANSLATE(C71, ""en"", ""hi"")"),"A) रेडर आउट हो गया है, B) रेडर 1 अंक अर्जित करता है, C) रेड रोक दी गई है, D) रेड जारी है")</f>
        <v>A) रेडर आउट हो गया है, B) रेडर 1 अंक अर्जित करता है, C) रेड रोक दी गई है, D) रेड जारी है</v>
      </c>
      <c r="I71" s="3" t="str">
        <f>IFERROR(__xludf.DUMMYFUNCTION("GOOGLETRANSLATE(D71, ""en"", ""hi"")"),"A) हमलावर बाहर है")</f>
        <v>A) हमलावर बाहर है</v>
      </c>
    </row>
    <row r="72" ht="22.5" customHeight="1">
      <c r="A72" s="2">
        <v>71.0</v>
      </c>
      <c r="B72" s="3" t="s">
        <v>189</v>
      </c>
      <c r="C72" s="3" t="s">
        <v>190</v>
      </c>
      <c r="D72" s="3" t="s">
        <v>148</v>
      </c>
      <c r="F72" s="3" t="str">
        <f>IFERROR(__xludf.DUMMYFUNCTION("GOOGLETRANSLATE(A72, ""en"", ""hi"")"),"71")</f>
        <v>71</v>
      </c>
      <c r="G72" s="3" t="str">
        <f>IFERROR(__xludf.DUMMYFUNCTION("GOOGLETRANSLATE(B72, ""en"", ""hi"")"),"कबड्डी में यदि कोई डिफेंडर रेडर को रोकने का प्रयास करता है, लेकिन सीमा रेखा से बाहर चला जाता है, तो परिणाम क्या होगा?")</f>
        <v>कबड्डी में यदि कोई डिफेंडर रेडर को रोकने का प्रयास करता है, लेकिन सीमा रेखा से बाहर चला जाता है, तो परिणाम क्या होगा?</v>
      </c>
      <c r="H72" s="3" t="str">
        <f>IFERROR(__xludf.DUMMYFUNCTION("GOOGLETRANSLATE(C72, ""en"", ""hi"")"),"A) रेडर को एक अंक मिलता है, B) डिफेंडर आउट हो जाता है, C) रेड रद्द हो जाती है, D) दोनों खिलाड़ी खेलना जारी रखते हैं")</f>
        <v>A) रेडर को एक अंक मिलता है, B) डिफेंडर आउट हो जाता है, C) रेड रद्द हो जाती है, D) दोनों खिलाड़ी खेलना जारी रखते हैं</v>
      </c>
      <c r="I72" s="3" t="str">
        <f>IFERROR(__xludf.DUMMYFUNCTION("GOOGLETRANSLATE(D72, ""en"", ""hi"")"),"B) डिफेंडर आउट हो गया है")</f>
        <v>B) डिफेंडर आउट हो गया है</v>
      </c>
    </row>
    <row r="73" ht="22.5" customHeight="1">
      <c r="A73" s="2">
        <v>72.0</v>
      </c>
      <c r="B73" s="3" t="s">
        <v>191</v>
      </c>
      <c r="C73" s="3" t="s">
        <v>192</v>
      </c>
      <c r="D73" s="3" t="s">
        <v>167</v>
      </c>
      <c r="F73" s="3" t="str">
        <f>IFERROR(__xludf.DUMMYFUNCTION("GOOGLETRANSLATE(A73, ""en"", ""hi"")"),"72")</f>
        <v>72</v>
      </c>
      <c r="G73" s="3" t="str">
        <f>IFERROR(__xludf.DUMMYFUNCTION("GOOGLETRANSLATE(B73, ""en"", ""hi"")"),"एक रेडर डिफेंडर को छूकर अपने हाफ में भाग जाता है, लेकिन डिफेंडर दावा करता है कि उसका छूना अवैध था। क्या होता है?")</f>
        <v>एक रेडर डिफेंडर को छूकर अपने हाफ में भाग जाता है, लेकिन डिफेंडर दावा करता है कि उसका छूना अवैध था। क्या होता है?</v>
      </c>
      <c r="H73" s="3" t="str">
        <f>IFERROR(__xludf.DUMMYFUNCTION("GOOGLETRANSLATE(C73, ""en"", ""hi"")"),"A) डिफेंडर आउट हो गया है, B) रेडर आउट घोषित हो गया है, C) रेड की समीक्षा की गई है, D) कोई अंक नहीं दिया गया है")</f>
        <v>A) डिफेंडर आउट हो गया है, B) रेडर आउट घोषित हो गया है, C) रेड की समीक्षा की गई है, D) कोई अंक नहीं दिया गया है</v>
      </c>
      <c r="I73" s="3" t="str">
        <f>IFERROR(__xludf.DUMMYFUNCTION("GOOGLETRANSLATE(D73, ""en"", ""hi"")"),"A) डिफेंडर आउट हो गया है")</f>
        <v>A) डिफेंडर आउट हो गया है</v>
      </c>
    </row>
    <row r="74" ht="22.5" customHeight="1">
      <c r="A74" s="2">
        <v>73.0</v>
      </c>
      <c r="B74" s="3" t="s">
        <v>193</v>
      </c>
      <c r="C74" s="3" t="s">
        <v>194</v>
      </c>
      <c r="D74" s="3" t="s">
        <v>195</v>
      </c>
      <c r="F74" s="3" t="str">
        <f>IFERROR(__xludf.DUMMYFUNCTION("GOOGLETRANSLATE(A74, ""en"", ""hi"")"),"73")</f>
        <v>73</v>
      </c>
      <c r="G74" s="3" t="str">
        <f>IFERROR(__xludf.DUMMYFUNCTION("GOOGLETRANSLATE(B74, ""en"", ""hi"")"),"क्या होता है जब रेडर रेड करते समय 'कबड्डी' का नारा लगाने में असफल रहता है, लेकिन एक अंक प्राप्त कर लेता है?")</f>
        <v>क्या होता है जब रेडर रेड करते समय 'कबड्डी' का नारा लगाने में असफल रहता है, लेकिन एक अंक प्राप्त कर लेता है?</v>
      </c>
      <c r="H74" s="3" t="str">
        <f>IFERROR(__xludf.DUMMYFUNCTION("GOOGLETRANSLATE(C74, ""en"", ""hi"")"),"A) रेडर को आउट घोषित कर दिया गया है, B) रेड अवैध है, C) डिफेंडर आउट है, D) रेडर को एक अंक प्राप्त होता है")</f>
        <v>A) रेडर को आउट घोषित कर दिया गया है, B) रेड अवैध है, C) डिफेंडर आउट है, D) रेडर को एक अंक प्राप्त होता है</v>
      </c>
      <c r="I74" s="3" t="str">
        <f>IFERROR(__xludf.DUMMYFUNCTION("GOOGLETRANSLATE(D74, ""en"", ""hi"")"),"A) रेडर को आउट घोषित कर दिया गया है")</f>
        <v>A) रेडर को आउट घोषित कर दिया गया है</v>
      </c>
    </row>
    <row r="75" ht="22.5" customHeight="1">
      <c r="A75" s="2">
        <v>74.0</v>
      </c>
      <c r="B75" s="3" t="s">
        <v>196</v>
      </c>
      <c r="C75" s="3" t="s">
        <v>197</v>
      </c>
      <c r="D75" s="3" t="s">
        <v>160</v>
      </c>
      <c r="F75" s="3" t="str">
        <f>IFERROR(__xludf.DUMMYFUNCTION("GOOGLETRANSLATE(A75, ""en"", ""hi"")"),"74")</f>
        <v>74</v>
      </c>
      <c r="G75" s="3" t="str">
        <f>IFERROR(__xludf.DUMMYFUNCTION("GOOGLETRANSLATE(B75, ""en"", ""hi"")"),"कबड्डी मैच में, यदि सभी डिफेंडर आउट हो जाएं और विरोधी टीम सफल रेड पूरी कर ले, तो क्या होगा?")</f>
        <v>कबड्डी मैच में, यदि सभी डिफेंडर आउट हो जाएं और विरोधी टीम सफल रेड पूरी कर ले, तो क्या होगा?</v>
      </c>
      <c r="H75" s="3" t="str">
        <f>IFERROR(__xludf.DUMMYFUNCTION("GOOGLETRANSLATE(C75, ""en"", ""hi"")"),"A) बचाव करने वाली टीम ऑल-आउट हो जाती है, B) रेड अमान्य हो जाती है, C) रेडर को 3 अंक मिलते हैं, D) कोई अंक नहीं मिलता")</f>
        <v>A) बचाव करने वाली टीम ऑल-आउट हो जाती है, B) रेड अमान्य हो जाती है, C) रेडर को 3 अंक मिलते हैं, D) कोई अंक नहीं मिलता</v>
      </c>
      <c r="I75" s="3" t="str">
        <f>IFERROR(__xludf.DUMMYFUNCTION("GOOGLETRANSLATE(D75, ""en"", ""hi"")"),"A) बचाव करने वाली टीम पूरी तरह से तैयार है")</f>
        <v>A) बचाव करने वाली टीम पूरी तरह से तैयार है</v>
      </c>
    </row>
    <row r="76" ht="22.5" customHeight="1">
      <c r="A76" s="2">
        <v>75.0</v>
      </c>
      <c r="B76" s="3" t="s">
        <v>198</v>
      </c>
      <c r="C76" s="3" t="s">
        <v>199</v>
      </c>
      <c r="D76" s="3" t="s">
        <v>140</v>
      </c>
      <c r="F76" s="3" t="str">
        <f>IFERROR(__xludf.DUMMYFUNCTION("GOOGLETRANSLATE(A76, ""en"", ""hi"")"),"75")</f>
        <v>75</v>
      </c>
      <c r="G76" s="3" t="str">
        <f>IFERROR(__xludf.DUMMYFUNCTION("GOOGLETRANSLATE(B76, ""en"", ""hi"")"),"एक रेडर एक डिफेंडर को छूता है, लेकिन टैकल होने से पहले बच नहीं पाता। फ़ैसला क्या है?")</f>
        <v>एक रेडर एक डिफेंडर को छूता है, लेकिन टैकल होने से पहले बच नहीं पाता। फ़ैसला क्या है?</v>
      </c>
      <c r="H76" s="3" t="str">
        <f>IFERROR(__xludf.DUMMYFUNCTION("GOOGLETRANSLATE(C76, ""en"", ""hi"")"),"A) रेडर आउट हो जाता है, B) रेडर को 1 अंक मिलता है, C) रेड रद्द हो जाती है, D) दोनों टीमों को एक-एक अंक मिलता है")</f>
        <v>A) रेडर आउट हो जाता है, B) रेडर को 1 अंक मिलता है, C) रेड रद्द हो जाती है, D) दोनों टीमों को एक-एक अंक मिलता है</v>
      </c>
      <c r="I76" s="3" t="str">
        <f>IFERROR(__xludf.DUMMYFUNCTION("GOOGLETRANSLATE(D76, ""en"", ""hi"")"),"A) हमलावर बाहर है")</f>
        <v>A) हमलावर बाहर है</v>
      </c>
    </row>
    <row r="77" ht="22.5" customHeight="1">
      <c r="A77" s="2">
        <v>76.0</v>
      </c>
      <c r="B77" s="3" t="s">
        <v>200</v>
      </c>
      <c r="C77" s="3" t="s">
        <v>201</v>
      </c>
      <c r="D77" s="3" t="s">
        <v>167</v>
      </c>
      <c r="F77" s="3" t="str">
        <f>IFERROR(__xludf.DUMMYFUNCTION("GOOGLETRANSLATE(A77, ""en"", ""hi"")"),"76")</f>
        <v>76</v>
      </c>
      <c r="G77" s="3" t="str">
        <f>IFERROR(__xludf.DUMMYFUNCTION("GOOGLETRANSLATE(B77, ""en"", ""hi"")"),"यदि कोई डिफेंडर रेडर से निपटने का प्रयास करते समय सीमा से बाहर चला जाता है तो परिणाम क्या होगा?")</f>
        <v>यदि कोई डिफेंडर रेडर से निपटने का प्रयास करते समय सीमा से बाहर चला जाता है तो परिणाम क्या होगा?</v>
      </c>
      <c r="H77" s="3" t="str">
        <f>IFERROR(__xludf.DUMMYFUNCTION("GOOGLETRANSLATE(C77, ""en"", ""hi"")"),"A) डिफेंडर आउट हो गया है, B) रेडर आउट हो गया है, C) रेड जारी है, D) कोई अंक नहीं दिया गया है")</f>
        <v>A) डिफेंडर आउट हो गया है, B) रेडर आउट हो गया है, C) रेड जारी है, D) कोई अंक नहीं दिया गया है</v>
      </c>
      <c r="I77" s="3" t="str">
        <f>IFERROR(__xludf.DUMMYFUNCTION("GOOGLETRANSLATE(D77, ""en"", ""hi"")"),"A) डिफेंडर आउट हो गया है")</f>
        <v>A) डिफेंडर आउट हो गया है</v>
      </c>
    </row>
    <row r="78" ht="22.5" customHeight="1">
      <c r="A78" s="2">
        <v>77.0</v>
      </c>
      <c r="B78" s="3" t="s">
        <v>202</v>
      </c>
      <c r="C78" s="3" t="s">
        <v>203</v>
      </c>
      <c r="D78" s="3" t="s">
        <v>204</v>
      </c>
      <c r="F78" s="3" t="str">
        <f>IFERROR(__xludf.DUMMYFUNCTION("GOOGLETRANSLATE(A78, ""en"", ""hi"")"),"77")</f>
        <v>77</v>
      </c>
      <c r="G78" s="3" t="str">
        <f>IFERROR(__xludf.DUMMYFUNCTION("GOOGLETRANSLATE(B78, ""en"", ""hi"")"),"कबड्डी में क्या होता है जब कोई रेडर टैकल से बचने की कोशिश करता है लेकिन बोनस लाइन को छू लेता है?")</f>
        <v>कबड्डी में क्या होता है जब कोई रेडर टैकल से बचने की कोशिश करता है लेकिन बोनस लाइन को छू लेता है?</v>
      </c>
      <c r="H78" s="3" t="str">
        <f>IFERROR(__xludf.DUMMYFUNCTION("GOOGLETRANSLATE(C78, ""en"", ""hi"")"),"A) रेडर को 1 अंक मिलता है, B) रेडर आउट हो जाता है, C) रेड रद्द हो जाती है, D) रेड जारी रहती है")</f>
        <v>A) रेडर को 1 अंक मिलता है, B) रेडर आउट हो जाता है, C) रेड रद्द हो जाती है, D) रेड जारी रहती है</v>
      </c>
      <c r="I78" s="3" t="str">
        <f>IFERROR(__xludf.DUMMYFUNCTION("GOOGLETRANSLATE(D78, ""en"", ""hi"")"),"A) रेडर को 1 अंक मिलता है")</f>
        <v>A) रेडर को 1 अंक मिलता है</v>
      </c>
    </row>
    <row r="79" ht="22.5" customHeight="1">
      <c r="A79" s="2">
        <v>78.0</v>
      </c>
      <c r="B79" s="3" t="s">
        <v>205</v>
      </c>
      <c r="C79" s="3" t="s">
        <v>206</v>
      </c>
      <c r="D79" s="3" t="s">
        <v>167</v>
      </c>
      <c r="F79" s="3" t="str">
        <f>IFERROR(__xludf.DUMMYFUNCTION("GOOGLETRANSLATE(A79, ""en"", ""hi"")"),"78")</f>
        <v>78</v>
      </c>
      <c r="G79" s="3" t="str">
        <f>IFERROR(__xludf.DUMMYFUNCTION("GOOGLETRANSLATE(B79, ""en"", ""hi"")"),"यदि किसी रेडर को टैकल करके नीचे गिरा दिया जाता है, लेकिन डिफेंडर सीमा से बाहर चला जाता है, तो परिणाम क्या होगा?")</f>
        <v>यदि किसी रेडर को टैकल करके नीचे गिरा दिया जाता है, लेकिन डिफेंडर सीमा से बाहर चला जाता है, तो परिणाम क्या होगा?</v>
      </c>
      <c r="H79" s="3" t="str">
        <f>IFERROR(__xludf.DUMMYFUNCTION("GOOGLETRANSLATE(C79, ""en"", ""hi"")"),"A) डिफेंडर आउट हो गया है, B) रेडर आउट हो गया है, C) कोई अंक नहीं दिया गया है, D) रेड जारी है")</f>
        <v>A) डिफेंडर आउट हो गया है, B) रेडर आउट हो गया है, C) कोई अंक नहीं दिया गया है, D) रेड जारी है</v>
      </c>
      <c r="I79" s="3" t="str">
        <f>IFERROR(__xludf.DUMMYFUNCTION("GOOGLETRANSLATE(D79, ""en"", ""hi"")"),"A) डिफेंडर आउट हो गया है")</f>
        <v>A) डिफेंडर आउट हो गया है</v>
      </c>
    </row>
    <row r="80" ht="22.5" customHeight="1">
      <c r="A80" s="2">
        <v>79.0</v>
      </c>
      <c r="B80" s="3" t="s">
        <v>207</v>
      </c>
      <c r="C80" s="3" t="s">
        <v>208</v>
      </c>
      <c r="D80" s="3" t="s">
        <v>167</v>
      </c>
      <c r="F80" s="3" t="str">
        <f>IFERROR(__xludf.DUMMYFUNCTION("GOOGLETRANSLATE(A80, ""en"", ""hi"")"),"79")</f>
        <v>79</v>
      </c>
      <c r="G80" s="3" t="str">
        <f>IFERROR(__xludf.DUMMYFUNCTION("GOOGLETRANSLATE(B80, ""en"", ""hi"")"),"एक डिफेंडर का दावा है कि रेडर ने उन्हें अवैध रूप से छुआ। अगर कोई फ़ाउल नहीं पाया जाता है तो फ़ैसला क्या होगा?")</f>
        <v>एक डिफेंडर का दावा है कि रेडर ने उन्हें अवैध रूप से छुआ। अगर कोई फ़ाउल नहीं पाया जाता है तो फ़ैसला क्या होगा?</v>
      </c>
      <c r="H80" s="3" t="str">
        <f>IFERROR(__xludf.DUMMYFUNCTION("GOOGLETRANSLATE(C80, ""en"", ""hi"")"),"A) डिफेंडर आउट हो गया है, B) रेडर आउट हो गया है, C) रेड की समीक्षा की गई है, D) कोई अंक नहीं दिया गया है")</f>
        <v>A) डिफेंडर आउट हो गया है, B) रेडर आउट हो गया है, C) रेड की समीक्षा की गई है, D) कोई अंक नहीं दिया गया है</v>
      </c>
      <c r="I80" s="3" t="str">
        <f>IFERROR(__xludf.DUMMYFUNCTION("GOOGLETRANSLATE(D80, ""en"", ""hi"")"),"A) डिफेंडर आउट हो गया है")</f>
        <v>A) डिफेंडर आउट हो गया है</v>
      </c>
    </row>
    <row r="81" ht="22.5" customHeight="1">
      <c r="A81" s="2">
        <v>80.0</v>
      </c>
      <c r="B81" s="3" t="s">
        <v>209</v>
      </c>
      <c r="C81" s="3" t="s">
        <v>210</v>
      </c>
      <c r="D81" s="3" t="s">
        <v>140</v>
      </c>
      <c r="F81" s="3" t="str">
        <f>IFERROR(__xludf.DUMMYFUNCTION("GOOGLETRANSLATE(A81, ""en"", ""hi"")"),"80")</f>
        <v>80</v>
      </c>
      <c r="G81" s="3" t="str">
        <f>IFERROR(__xludf.DUMMYFUNCTION("GOOGLETRANSLATE(B81, ""en"", ""hi"")"),"यदि कोई रेडर किसी डिफेंडर को सफलतापूर्वक छू लेता है, लेकिन अपने हाफ में लौटने से पहले बाउंड्स से बाहर चला जाता है, तो परिणाम क्या होगा?")</f>
        <v>यदि कोई रेडर किसी डिफेंडर को सफलतापूर्वक छू लेता है, लेकिन अपने हाफ में लौटने से पहले बाउंड्स से बाहर चला जाता है, तो परिणाम क्या होगा?</v>
      </c>
      <c r="H81" s="3" t="str">
        <f>IFERROR(__xludf.DUMMYFUNCTION("GOOGLETRANSLATE(C81, ""en"", ""hi"")"),"A) रेडर आउट हो गया है, B) डिफेंडर आउट हो गया है, C) रेड रोक दी गई है, D) दोनों खिलाड़ी आउट हो गए हैं")</f>
        <v>A) रेडर आउट हो गया है, B) डिफेंडर आउट हो गया है, C) रेड रोक दी गई है, D) दोनों खिलाड़ी आउट हो गए हैं</v>
      </c>
      <c r="I81" s="3" t="str">
        <f>IFERROR(__xludf.DUMMYFUNCTION("GOOGLETRANSLATE(D81, ""en"", ""hi"")"),"A) हमलावर बाहर है")</f>
        <v>A) हमलावर बाहर है</v>
      </c>
    </row>
    <row r="82" ht="22.5" customHeight="1">
      <c r="A82" s="2">
        <v>81.0</v>
      </c>
      <c r="B82" s="3" t="s">
        <v>211</v>
      </c>
      <c r="C82" s="3" t="s">
        <v>212</v>
      </c>
      <c r="D82" s="3" t="s">
        <v>140</v>
      </c>
      <c r="F82" s="3" t="str">
        <f>IFERROR(__xludf.DUMMYFUNCTION("GOOGLETRANSLATE(A82, ""en"", ""hi"")"),"81")</f>
        <v>81</v>
      </c>
      <c r="G82" s="3" t="str">
        <f>IFERROR(__xludf.DUMMYFUNCTION("GOOGLETRANSLATE(B82, ""en"", ""hi"")"),"यदि कोई रेडर डिफेंडर को छूने में सफल हो जाता है, लेकिन बोनस लाइन को छूने से पहले ही उसे टैकल कर दिया जाता है, तो परिणाम क्या होगा?")</f>
        <v>यदि कोई रेडर डिफेंडर को छूने में सफल हो जाता है, लेकिन बोनस लाइन को छूने से पहले ही उसे टैकल कर दिया जाता है, तो परिणाम क्या होगा?</v>
      </c>
      <c r="H82" s="3" t="str">
        <f>IFERROR(__xludf.DUMMYFUNCTION("GOOGLETRANSLATE(C82, ""en"", ""hi"")"),"A) रेडर आउट हो गया, B) रेडर को 1 अंक मिला, C) बचाव करने वाली टीम को 1 अंक मिला, D) रेड रद्द हो गई")</f>
        <v>A) रेडर आउट हो गया, B) रेडर को 1 अंक मिला, C) बचाव करने वाली टीम को 1 अंक मिला, D) रेड रद्द हो गई</v>
      </c>
      <c r="I82" s="3" t="str">
        <f>IFERROR(__xludf.DUMMYFUNCTION("GOOGLETRANSLATE(D82, ""en"", ""hi"")"),"A) हमलावर बाहर है")</f>
        <v>A) हमलावर बाहर है</v>
      </c>
    </row>
    <row r="83" ht="22.5" customHeight="1">
      <c r="A83" s="2">
        <v>82.0</v>
      </c>
      <c r="B83" s="3" t="s">
        <v>213</v>
      </c>
      <c r="C83" s="3" t="s">
        <v>214</v>
      </c>
      <c r="D83" s="3" t="s">
        <v>145</v>
      </c>
      <c r="F83" s="3" t="str">
        <f>IFERROR(__xludf.DUMMYFUNCTION("GOOGLETRANSLATE(A83, ""en"", ""hi"")"),"82")</f>
        <v>82</v>
      </c>
      <c r="G83" s="3" t="str">
        <f>IFERROR(__xludf.DUMMYFUNCTION("GOOGLETRANSLATE(B83, ""en"", ""hi"")"),"रेड के दौरान, यदि कोई रेडर दो डिफेंडरों को छू लेता है और फिर टैकल हो जाता है, तो डिफेंडरों का क्या होता है?")</f>
        <v>रेड के दौरान, यदि कोई रेडर दो डिफेंडरों को छू लेता है और फिर टैकल हो जाता है, तो डिफेंडरों का क्या होता है?</v>
      </c>
      <c r="H83" s="3" t="str">
        <f>IFERROR(__xludf.DUMMYFUNCTION("GOOGLETRANSLATE(C83, ""en"", ""hi"")"),"A) दोनों डिफेंडर आउट हो गए हैं, B) केवल एक डिफेंडर आउट हो गया है, C) रेड अवैध है, D) रेडर को 2 अंक मिलते हैं")</f>
        <v>A) दोनों डिफेंडर आउट हो गए हैं, B) केवल एक डिफेंडर आउट हो गया है, C) रेड अवैध है, D) रेडर को 2 अंक मिलते हैं</v>
      </c>
      <c r="I83" s="3" t="str">
        <f>IFERROR(__xludf.DUMMYFUNCTION("GOOGLETRANSLATE(D83, ""en"", ""hi"")"),"A) दोनों डिफेंडर आउट हो गए हैं")</f>
        <v>A) दोनों डिफेंडर आउट हो गए हैं</v>
      </c>
    </row>
    <row r="84" ht="22.5" customHeight="1">
      <c r="A84" s="2">
        <v>83.0</v>
      </c>
      <c r="B84" s="3" t="s">
        <v>215</v>
      </c>
      <c r="C84" s="3" t="s">
        <v>216</v>
      </c>
      <c r="D84" s="3" t="s">
        <v>167</v>
      </c>
      <c r="F84" s="3" t="str">
        <f>IFERROR(__xludf.DUMMYFUNCTION("GOOGLETRANSLATE(A84, ""en"", ""hi"")"),"83")</f>
        <v>83</v>
      </c>
      <c r="G84" s="3" t="str">
        <f>IFERROR(__xludf.DUMMYFUNCTION("GOOGLETRANSLATE(B84, ""en"", ""hi"")"),"यदि कोई डिफेंडर वैध टैकल किए बिना रेडर को पकड़ लेता है और सीमा से बाहर चला जाता है तो परिणाम क्या होगा?")</f>
        <v>यदि कोई डिफेंडर वैध टैकल किए बिना रेडर को पकड़ लेता है और सीमा से बाहर चला जाता है तो परिणाम क्या होगा?</v>
      </c>
      <c r="H84" s="3" t="str">
        <f>IFERROR(__xludf.DUMMYFUNCTION("GOOGLETRANSLATE(C84, ""en"", ""hi"")"),"A) डिफेंडर आउट हो गया है, B) रेडर आउट हो गया है, C) रेड जारी है, D) रेड की समीक्षा की गई है")</f>
        <v>A) डिफेंडर आउट हो गया है, B) रेडर आउट हो गया है, C) रेड जारी है, D) रेड की समीक्षा की गई है</v>
      </c>
      <c r="I84" s="3" t="str">
        <f>IFERROR(__xludf.DUMMYFUNCTION("GOOGLETRANSLATE(D84, ""en"", ""hi"")"),"A) डिफेंडर आउट हो गया है")</f>
        <v>A) डिफेंडर आउट हो गया है</v>
      </c>
    </row>
    <row r="85" ht="22.5" customHeight="1">
      <c r="A85" s="2">
        <v>84.0</v>
      </c>
      <c r="B85" s="3" t="s">
        <v>217</v>
      </c>
      <c r="C85" s="3" t="s">
        <v>218</v>
      </c>
      <c r="D85" s="3" t="s">
        <v>167</v>
      </c>
      <c r="F85" s="3" t="str">
        <f>IFERROR(__xludf.DUMMYFUNCTION("GOOGLETRANSLATE(A85, ""en"", ""hi"")"),"84")</f>
        <v>84</v>
      </c>
      <c r="G85" s="3" t="str">
        <f>IFERROR(__xludf.DUMMYFUNCTION("GOOGLETRANSLATE(B85, ""en"", ""hi"")"),"यदि कोई रेडर मध्य रेखा को पार कर जाता है और सफलतापूर्वक डिफेंडर को छू लेता है, लेकिन डिफेंडर रेडर के पैर को छू लेता है, तो क्या होगा?")</f>
        <v>यदि कोई रेडर मध्य रेखा को पार कर जाता है और सफलतापूर्वक डिफेंडर को छू लेता है, लेकिन डिफेंडर रेडर के पैर को छू लेता है, तो क्या होगा?</v>
      </c>
      <c r="H85" s="3" t="str">
        <f>IFERROR(__xludf.DUMMYFUNCTION("GOOGLETRANSLATE(C85, ""en"", ""hi"")"),"A) डिफेंडर आउट हो गया है, B) रेडर आउट हो गया है, C) रेड रोक दी गई है, D) दोनों खिलाड़ी आउट घोषित कर दिए गए हैं")</f>
        <v>A) डिफेंडर आउट हो गया है, B) रेडर आउट हो गया है, C) रेड रोक दी गई है, D) दोनों खिलाड़ी आउट घोषित कर दिए गए हैं</v>
      </c>
      <c r="I85" s="3" t="str">
        <f>IFERROR(__xludf.DUMMYFUNCTION("GOOGLETRANSLATE(D85, ""en"", ""hi"")"),"A) डिफेंडर आउट हो गया है")</f>
        <v>A) डिफेंडर आउट हो गया है</v>
      </c>
    </row>
    <row r="86" ht="22.5" customHeight="1">
      <c r="A86" s="2">
        <v>85.0</v>
      </c>
      <c r="B86" s="3" t="s">
        <v>219</v>
      </c>
      <c r="C86" s="3" t="s">
        <v>208</v>
      </c>
      <c r="D86" s="3" t="s">
        <v>167</v>
      </c>
      <c r="F86" s="3" t="str">
        <f>IFERROR(__xludf.DUMMYFUNCTION("GOOGLETRANSLATE(A86, ""en"", ""hi"")"),"85")</f>
        <v>85</v>
      </c>
      <c r="G86" s="3" t="str">
        <f>IFERROR(__xludf.DUMMYFUNCTION("GOOGLETRANSLATE(B86, ""en"", ""hi"")"),"जब कोई रेडर किसी डिफेंडर को छूने में सफल हो जाता है, लेकिन डिफेंडर दावा करता है कि यह स्पर्श आकस्मिक था, तो इसका परिणाम क्या होगा?")</f>
        <v>जब कोई रेडर किसी डिफेंडर को छूने में सफल हो जाता है, लेकिन डिफेंडर दावा करता है कि यह स्पर्श आकस्मिक था, तो इसका परिणाम क्या होगा?</v>
      </c>
      <c r="H86" s="3" t="str">
        <f>IFERROR(__xludf.DUMMYFUNCTION("GOOGLETRANSLATE(C86, ""en"", ""hi"")"),"A) डिफेंडर आउट हो गया है, B) रेडर आउट हो गया है, C) रेड की समीक्षा की गई है, D) कोई अंक नहीं दिया गया है")</f>
        <v>A) डिफेंडर आउट हो गया है, B) रेडर आउट हो गया है, C) रेड की समीक्षा की गई है, D) कोई अंक नहीं दिया गया है</v>
      </c>
      <c r="I86" s="3" t="str">
        <f>IFERROR(__xludf.DUMMYFUNCTION("GOOGLETRANSLATE(D86, ""en"", ""hi"")"),"A) डिफेंडर आउट हो गया है")</f>
        <v>A) डिफेंडर आउट हो गया है</v>
      </c>
    </row>
    <row r="87" ht="22.5" customHeight="1">
      <c r="A87" s="2">
        <v>86.0</v>
      </c>
      <c r="B87" s="3" t="s">
        <v>220</v>
      </c>
      <c r="C87" s="3" t="s">
        <v>221</v>
      </c>
      <c r="D87" s="3" t="s">
        <v>65</v>
      </c>
      <c r="F87" s="3" t="str">
        <f>IFERROR(__xludf.DUMMYFUNCTION("GOOGLETRANSLATE(A87, ""en"", ""hi"")"),"86")</f>
        <v>86</v>
      </c>
      <c r="G87" s="3" t="str">
        <f>IFERROR(__xludf.DUMMYFUNCTION("GOOGLETRANSLATE(B87, ""en"", ""hi"")"),"कबड्डी में, यदि रेडर का पैर बोनस लाइन को पार कर जाता है, लेकिन रेडर को वापस लौटने से पहले टैकल कर दिया जाता है, तो परिणाम क्या होगा?")</f>
        <v>कबड्डी में, यदि रेडर का पैर बोनस लाइन को पार कर जाता है, लेकिन रेडर को वापस लौटने से पहले टैकल कर दिया जाता है, तो परिणाम क्या होगा?</v>
      </c>
      <c r="H87" s="3" t="str">
        <f>IFERROR(__xludf.DUMMYFUNCTION("GOOGLETRANSLATE(C87, ""en"", ""hi"")"),"A) रेडर को 1 अंक मिलता है, B) रेडर आउट हो जाता है, C) रेड अमान्य हो जाती है, D) दोनों टीमों को 1 अंक मिलता है")</f>
        <v>A) रेडर को 1 अंक मिलता है, B) रेडर आउट हो जाता है, C) रेड अमान्य हो जाती है, D) दोनों टीमों को 1 अंक मिलता है</v>
      </c>
      <c r="I87" s="3" t="str">
        <f>IFERROR(__xludf.DUMMYFUNCTION("GOOGLETRANSLATE(D87, ""en"", ""hi"")"),"बी) हमलावर बाहर है")</f>
        <v>बी) हमलावर बाहर है</v>
      </c>
    </row>
    <row r="88" ht="22.5" customHeight="1">
      <c r="A88" s="2">
        <v>87.0</v>
      </c>
      <c r="B88" s="3" t="s">
        <v>222</v>
      </c>
      <c r="C88" s="3" t="s">
        <v>223</v>
      </c>
      <c r="D88" s="3" t="s">
        <v>224</v>
      </c>
      <c r="F88" s="3" t="str">
        <f>IFERROR(__xludf.DUMMYFUNCTION("GOOGLETRANSLATE(A88, ""en"", ""hi"")"),"87")</f>
        <v>87</v>
      </c>
      <c r="G88" s="3" t="str">
        <f>IFERROR(__xludf.DUMMYFUNCTION("GOOGLETRANSLATE(B88, ""en"", ""hi"")"),"यदि कोई रेडर सफलतापूर्वक तीन डिफेंडरों को छू लेता है और बिना टैकल किए अपने हाफ में वापस चला जाता है तो क्या होगा?")</f>
        <v>यदि कोई रेडर सफलतापूर्वक तीन डिफेंडरों को छू लेता है और बिना टैकल किए अपने हाफ में वापस चला जाता है तो क्या होगा?</v>
      </c>
      <c r="H88" s="3" t="str">
        <f>IFERROR(__xludf.DUMMYFUNCTION("GOOGLETRANSLATE(C88, ""en"", ""hi"")"),"A) रेडर को 3 अंक मिलते हैं, B) डिफेंडर ऑल-आउट हो जाते हैं, C) रेड अमान्य हो जाती है, D) रेडर को 2 अंक मिलते हैं")</f>
        <v>A) रेडर को 3 अंक मिलते हैं, B) डिफेंडर ऑल-आउट हो जाते हैं, C) रेड अमान्य हो जाती है, D) रेडर को 2 अंक मिलते हैं</v>
      </c>
      <c r="I88" s="3" t="str">
        <f>IFERROR(__xludf.DUMMYFUNCTION("GOOGLETRANSLATE(D88, ""en"", ""hi"")"),"A) रेडर को 3 अंक मिलते हैं")</f>
        <v>A) रेडर को 3 अंक मिलते हैं</v>
      </c>
    </row>
    <row r="89" ht="22.5" customHeight="1">
      <c r="A89" s="2">
        <v>88.0</v>
      </c>
      <c r="B89" s="3" t="s">
        <v>225</v>
      </c>
      <c r="C89" s="3" t="s">
        <v>208</v>
      </c>
      <c r="D89" s="3" t="s">
        <v>167</v>
      </c>
      <c r="F89" s="3" t="str">
        <f>IFERROR(__xludf.DUMMYFUNCTION("GOOGLETRANSLATE(A89, ""en"", ""hi"")"),"88")</f>
        <v>88</v>
      </c>
      <c r="G89" s="3" t="str">
        <f>IFERROR(__xludf.DUMMYFUNCTION("GOOGLETRANSLATE(B89, ""en"", ""hi"")"),"कबड्डी मैच के दौरान, यदि किसी रेडर को डिफेंडर द्वारा छुआ जाता है, लेकिन रेडर की टीम तर्क देती है कि यह स्पर्श अवैध था, तो निर्णय क्या होगा?")</f>
        <v>कबड्डी मैच के दौरान, यदि किसी रेडर को डिफेंडर द्वारा छुआ जाता है, लेकिन रेडर की टीम तर्क देती है कि यह स्पर्श अवैध था, तो निर्णय क्या होगा?</v>
      </c>
      <c r="H89" s="3" t="str">
        <f>IFERROR(__xludf.DUMMYFUNCTION("GOOGLETRANSLATE(C89, ""en"", ""hi"")"),"A) डिफेंडर आउट हो गया है, B) रेडर आउट हो गया है, C) रेड की समीक्षा की गई है, D) कोई अंक नहीं दिया गया है")</f>
        <v>A) डिफेंडर आउट हो गया है, B) रेडर आउट हो गया है, C) रेड की समीक्षा की गई है, D) कोई अंक नहीं दिया गया है</v>
      </c>
      <c r="I89" s="3" t="str">
        <f>IFERROR(__xludf.DUMMYFUNCTION("GOOGLETRANSLATE(D89, ""en"", ""hi"")"),"A) डिफेंडर आउट हो गया है")</f>
        <v>A) डिफेंडर आउट हो गया है</v>
      </c>
    </row>
    <row r="90" ht="22.5" customHeight="1">
      <c r="A90" s="2">
        <v>89.0</v>
      </c>
      <c r="B90" s="3" t="s">
        <v>226</v>
      </c>
      <c r="C90" s="3" t="s">
        <v>227</v>
      </c>
      <c r="D90" s="3" t="s">
        <v>140</v>
      </c>
      <c r="F90" s="3" t="str">
        <f>IFERROR(__xludf.DUMMYFUNCTION("GOOGLETRANSLATE(A90, ""en"", ""hi"")"),"89")</f>
        <v>89</v>
      </c>
      <c r="G90" s="3" t="str">
        <f>IFERROR(__xludf.DUMMYFUNCTION("GOOGLETRANSLATE(B90, ""en"", ""hi"")"),"यदि किसी डिफेंडर को टैकल किया जाता है, लेकिन वह रेडर को पकड़ लेता है और रेडर बाउंड्स से बाहर चला जाता है, तो परिणाम क्या होगा?")</f>
        <v>यदि किसी डिफेंडर को टैकल किया जाता है, लेकिन वह रेडर को पकड़ लेता है और रेडर बाउंड्स से बाहर चला जाता है, तो परिणाम क्या होगा?</v>
      </c>
      <c r="H90" s="3" t="str">
        <f>IFERROR(__xludf.DUMMYFUNCTION("GOOGLETRANSLATE(C90, ""en"", ""hi"")"),"A) रेडर आउट हो गया है, B) डिफेंडर आउट हो गया है, C) रेड अमान्य है, D) दोनों टीमों को 1 अंक मिलता है")</f>
        <v>A) रेडर आउट हो गया है, B) डिफेंडर आउट हो गया है, C) रेड अमान्य है, D) दोनों टीमों को 1 अंक मिलता है</v>
      </c>
      <c r="I90" s="3" t="str">
        <f>IFERROR(__xludf.DUMMYFUNCTION("GOOGLETRANSLATE(D90, ""en"", ""hi"")"),"A) हमलावर बाहर है")</f>
        <v>A) हमलावर बाहर है</v>
      </c>
    </row>
    <row r="91" ht="22.5" customHeight="1">
      <c r="A91" s="2">
        <v>90.0</v>
      </c>
      <c r="B91" s="3" t="s">
        <v>228</v>
      </c>
      <c r="C91" s="3" t="s">
        <v>229</v>
      </c>
      <c r="D91" s="3" t="s">
        <v>140</v>
      </c>
      <c r="F91" s="3" t="str">
        <f>IFERROR(__xludf.DUMMYFUNCTION("GOOGLETRANSLATE(A91, ""en"", ""hi"")"),"90")</f>
        <v>90</v>
      </c>
      <c r="G91" s="3" t="str">
        <f>IFERROR(__xludf.DUMMYFUNCTION("GOOGLETRANSLATE(B91, ""en"", ""hi"")"),"ऐसी स्थिति में जब कोई रेडर मिडलाइन पार कर जाता है और बोनस लाइन को छूने से पहले ही उसे टैकल कर दिया जाता है, तो क्या होगा?")</f>
        <v>ऐसी स्थिति में जब कोई रेडर मिडलाइन पार कर जाता है और बोनस लाइन को छूने से पहले ही उसे टैकल कर दिया जाता है, तो क्या होगा?</v>
      </c>
      <c r="H91" s="3" t="str">
        <f>IFERROR(__xludf.DUMMYFUNCTION("GOOGLETRANSLATE(C91, ""en"", ""hi"")"),"A) रेडर आउट हो गया, B) बचाव करने वाली टीम को 1 अंक मिला, C) रेडर को 1 अंक मिला, D) रेड जारी रही")</f>
        <v>A) रेडर आउट हो गया, B) बचाव करने वाली टीम को 1 अंक मिला, C) रेडर को 1 अंक मिला, D) रेड जारी रही</v>
      </c>
      <c r="I91" s="3" t="str">
        <f>IFERROR(__xludf.DUMMYFUNCTION("GOOGLETRANSLATE(D91, ""en"", ""hi"")"),"A) हमलावर बाहर है")</f>
        <v>A) हमलावर बाहर है</v>
      </c>
    </row>
    <row r="92" ht="22.5" customHeight="1">
      <c r="A92" s="2">
        <v>91.0</v>
      </c>
      <c r="B92" s="3" t="s">
        <v>230</v>
      </c>
      <c r="C92" s="3" t="s">
        <v>231</v>
      </c>
      <c r="D92" s="3" t="s">
        <v>232</v>
      </c>
      <c r="F92" s="3" t="str">
        <f>IFERROR(__xludf.DUMMYFUNCTION("GOOGLETRANSLATE(A92, ""en"", ""hi"")"),"91")</f>
        <v>91</v>
      </c>
      <c r="G92" s="3" t="str">
        <f>IFERROR(__xludf.DUMMYFUNCTION("GOOGLETRANSLATE(B92, ""en"", ""hi"")"),"यदि किसी रेडर को कई डिफेंडरों द्वारा टैकल किया जाता है, लेकिन वह पकड़े जाने से पहले कोर्ट के अपने हिस्से में वापस लौटने में सफल हो जाता है, तो क्या होगा?")</f>
        <v>यदि किसी रेडर को कई डिफेंडरों द्वारा टैकल किया जाता है, लेकिन वह पकड़े जाने से पहले कोर्ट के अपने हिस्से में वापस लौटने में सफल हो जाता है, तो क्या होगा?</v>
      </c>
      <c r="H92" s="3" t="str">
        <f>IFERROR(__xludf.DUMMYFUNCTION("GOOGLETRANSLATE(C92, ""en"", ""hi"")"),"A) रेडर को 2 अंक मिलते हैं, B) बचाव करने वाली टीम ऑल-आउट हो जाती है, C) रेडर को आउट घोषित कर दिया जाता है, D) रेड जारी रहती है")</f>
        <v>A) रेडर को 2 अंक मिलते हैं, B) बचाव करने वाली टीम ऑल-आउट हो जाती है, C) रेडर को आउट घोषित कर दिया जाता है, D) रेड जारी रहती है</v>
      </c>
      <c r="I92" s="3" t="str">
        <f>IFERROR(__xludf.DUMMYFUNCTION("GOOGLETRANSLATE(D92, ""en"", ""hi"")"),"A) रेडर को 2 अंक मिलते हैं")</f>
        <v>A) रेडर को 2 अंक मिलते हैं</v>
      </c>
    </row>
    <row r="93" ht="22.5" customHeight="1">
      <c r="A93" s="2">
        <v>92.0</v>
      </c>
      <c r="B93" s="3" t="s">
        <v>233</v>
      </c>
      <c r="C93" s="3" t="s">
        <v>234</v>
      </c>
      <c r="D93" s="3" t="s">
        <v>148</v>
      </c>
      <c r="F93" s="3" t="str">
        <f>IFERROR(__xludf.DUMMYFUNCTION("GOOGLETRANSLATE(A93, ""en"", ""hi"")"),"92")</f>
        <v>92</v>
      </c>
      <c r="G93" s="3" t="str">
        <f>IFERROR(__xludf.DUMMYFUNCTION("GOOGLETRANSLATE(B93, ""en"", ""hi"")"),"यदि किसी रेडर को आउट घोषित कर दिया जाता है, लेकिन उसे टैकल करने वाला डिफेंडर बाउंड्री से बाहर चला जाता है, तो परिणाम क्या होगा?")</f>
        <v>यदि किसी रेडर को आउट घोषित कर दिया जाता है, लेकिन उसे टैकल करने वाला डिफेंडर बाउंड्री से बाहर चला जाता है, तो परिणाम क्या होगा?</v>
      </c>
      <c r="H93" s="3" t="str">
        <f>IFERROR(__xludf.DUMMYFUNCTION("GOOGLETRANSLATE(C93, ""en"", ""hi"")"),"A) रेडर आउट हो गया है, B) डिफेंडर आउट हो गया है, C) दोनों खिलाड़ी आउट हो गए हैं, D) रेड अवैध है")</f>
        <v>A) रेडर आउट हो गया है, B) डिफेंडर आउट हो गया है, C) दोनों खिलाड़ी आउट हो गए हैं, D) रेड अवैध है</v>
      </c>
      <c r="I93" s="3" t="str">
        <f>IFERROR(__xludf.DUMMYFUNCTION("GOOGLETRANSLATE(D93, ""en"", ""hi"")"),"B) डिफेंडर आउट हो गया है")</f>
        <v>B) डिफेंडर आउट हो गया है</v>
      </c>
    </row>
    <row r="94" ht="22.5" customHeight="1">
      <c r="A94" s="2">
        <v>93.0</v>
      </c>
      <c r="B94" s="3" t="s">
        <v>235</v>
      </c>
      <c r="C94" s="3" t="s">
        <v>236</v>
      </c>
      <c r="D94" s="3" t="s">
        <v>237</v>
      </c>
      <c r="F94" s="3" t="str">
        <f>IFERROR(__xludf.DUMMYFUNCTION("GOOGLETRANSLATE(A94, ""en"", ""hi"")"),"93")</f>
        <v>93</v>
      </c>
      <c r="G94" s="3" t="str">
        <f>IFERROR(__xludf.DUMMYFUNCTION("GOOGLETRANSLATE(B94, ""en"", ""hi"")"),"कबड्डी में, यदि कोई रेडर सफल टच करता है, लेकिन उसे डिफेंडर द्वारा पकड़ लिया जाता है, जो पहले से ही सीमा से बाहर है, तो परिणाम क्या होगा?")</f>
        <v>कबड्डी में, यदि कोई रेडर सफल टच करता है, लेकिन उसे डिफेंडर द्वारा पकड़ लिया जाता है, जो पहले से ही सीमा से बाहर है, तो परिणाम क्या होगा?</v>
      </c>
      <c r="H94" s="3" t="str">
        <f>IFERROR(__xludf.DUMMYFUNCTION("GOOGLETRANSLATE(C94, ""en"", ""hi"")"),"A) रेडर को 1 अंक मिलता है, B) डिफेंडर आउट हो जाता है, C) रेडर आउट हो जाता है, D) रेड अमान्य हो जाती है")</f>
        <v>A) रेडर को 1 अंक मिलता है, B) डिफेंडर आउट हो जाता है, C) रेडर आउट हो जाता है, D) रेड अमान्य हो जाती है</v>
      </c>
      <c r="I94" s="3" t="str">
        <f>IFERROR(__xludf.DUMMYFUNCTION("GOOGLETRANSLATE(D94, ""en"", ""hi"")"),"A) रेडर को 1 अंक मिलता है")</f>
        <v>A) रेडर को 1 अंक मिलता है</v>
      </c>
    </row>
    <row r="95" ht="22.5" customHeight="1">
      <c r="A95" s="2">
        <v>94.0</v>
      </c>
      <c r="B95" s="3" t="s">
        <v>238</v>
      </c>
      <c r="C95" s="3" t="s">
        <v>239</v>
      </c>
      <c r="D95" s="3" t="s">
        <v>240</v>
      </c>
      <c r="F95" s="3" t="str">
        <f>IFERROR(__xludf.DUMMYFUNCTION("GOOGLETRANSLATE(A95, ""en"", ""hi"")"),"94")</f>
        <v>94</v>
      </c>
      <c r="G95" s="3" t="str">
        <f>IFERROR(__xludf.DUMMYFUNCTION("GOOGLETRANSLATE(B95, ""en"", ""hi"")"),"यदि कोई रेडर किसी डिफेंडर को छूता है और फिर डिफेंडर रेडर के पैर को छूता है, जबकि दोनों खिलाड़ी बाउंड्स में हैं, तो क्या होगा?")</f>
        <v>यदि कोई रेडर किसी डिफेंडर को छूता है और फिर डिफेंडर रेडर के पैर को छूता है, जबकि दोनों खिलाड़ी बाउंड्स में हैं, तो क्या होगा?</v>
      </c>
      <c r="H95" s="3" t="str">
        <f>IFERROR(__xludf.DUMMYFUNCTION("GOOGLETRANSLATE(C95, ""en"", ""hi"")"),"A) दोनों खिलाड़ी आउट हो गए हैं, B) रेडर आउट हो गया है, C) डिफेंडर आउट हो गया है, D) रेड की समीक्षा की गई है")</f>
        <v>A) दोनों खिलाड़ी आउट हो गए हैं, B) रेडर आउट हो गया है, C) डिफेंडर आउट हो गया है, D) रेड की समीक्षा की गई है</v>
      </c>
      <c r="I95" s="3" t="str">
        <f>IFERROR(__xludf.DUMMYFUNCTION("GOOGLETRANSLATE(D95, ""en"", ""hi"")"),"C) डिफेंडर आउट हो गया है")</f>
        <v>C) डिफेंडर आउट हो गया है</v>
      </c>
    </row>
    <row r="96" ht="22.5" customHeight="1">
      <c r="A96" s="2">
        <v>95.0</v>
      </c>
      <c r="B96" s="3" t="s">
        <v>241</v>
      </c>
      <c r="C96" s="3" t="s">
        <v>242</v>
      </c>
      <c r="D96" s="3" t="s">
        <v>65</v>
      </c>
      <c r="F96" s="3" t="str">
        <f>IFERROR(__xludf.DUMMYFUNCTION("GOOGLETRANSLATE(A96, ""en"", ""hi"")"),"95")</f>
        <v>95</v>
      </c>
      <c r="G96" s="3" t="str">
        <f>IFERROR(__xludf.DUMMYFUNCTION("GOOGLETRANSLATE(B96, ""en"", ""hi"")"),"यदि कोई रेडर सफलतापूर्वक बोनस अर्जित कर लेता है, लेकिन अपनी टीम में लौटने से पहले ही उसे टैकल कर दिया जाता है, तो परिणाम क्या होगा?")</f>
        <v>यदि कोई रेडर सफलतापूर्वक बोनस अर्जित कर लेता है, लेकिन अपनी टीम में लौटने से पहले ही उसे टैकल कर दिया जाता है, तो परिणाम क्या होगा?</v>
      </c>
      <c r="H96" s="3" t="str">
        <f>IFERROR(__xludf.DUMMYFUNCTION("GOOGLETRANSLATE(C96, ""en"", ""hi"")"),"A) रेडर की टीम 1 अंक अर्जित करती है, B) रेडर आउट हो जाता है, C) रेड अमान्य हो जाती है, D) डिफेंडर आउट हो जाता है")</f>
        <v>A) रेडर की टीम 1 अंक अर्जित करती है, B) रेडर आउट हो जाता है, C) रेड अमान्य हो जाती है, D) डिफेंडर आउट हो जाता है</v>
      </c>
      <c r="I96" s="3" t="str">
        <f>IFERROR(__xludf.DUMMYFUNCTION("GOOGLETRANSLATE(D96, ""en"", ""hi"")"),"बी) हमलावर बाहर है")</f>
        <v>बी) हमलावर बाहर है</v>
      </c>
    </row>
    <row r="97" ht="22.5" customHeight="1">
      <c r="A97" s="2">
        <v>96.0</v>
      </c>
      <c r="B97" s="3" t="s">
        <v>243</v>
      </c>
      <c r="C97" s="3" t="s">
        <v>244</v>
      </c>
      <c r="D97" s="3" t="s">
        <v>140</v>
      </c>
      <c r="F97" s="3" t="str">
        <f>IFERROR(__xludf.DUMMYFUNCTION("GOOGLETRANSLATE(A97, ""en"", ""hi"")"),"96")</f>
        <v>96</v>
      </c>
      <c r="G97" s="3" t="str">
        <f>IFERROR(__xludf.DUMMYFUNCTION("GOOGLETRANSLATE(B97, ""en"", ""hi"")"),"यदि कोई रेडर किसी डिफेंडर को छूता है, लेकिन वापस लौटने से पहले किसी अन्य डिफेंडर द्वारा उसे टैकल कर लिया जाता है, तो इसका परिणाम क्या होगा?")</f>
        <v>यदि कोई रेडर किसी डिफेंडर को छूता है, लेकिन वापस लौटने से पहले किसी अन्य डिफेंडर द्वारा उसे टैकल कर लिया जाता है, तो इसका परिणाम क्या होगा?</v>
      </c>
      <c r="H97" s="3" t="str">
        <f>IFERROR(__xludf.DUMMYFUNCTION("GOOGLETRANSLATE(C97, ""en"", ""hi"")"),"A) रेडर आउट हो गया, B) पहले टैकल करने वाला डिफेंडर आउट हो गया, C) दोनों डिफेंडर आउट हो गए, D) रेडर को 1 अंक मिला")</f>
        <v>A) रेडर आउट हो गया, B) पहले टैकल करने वाला डिफेंडर आउट हो गया, C) दोनों डिफेंडर आउट हो गए, D) रेडर को 1 अंक मिला</v>
      </c>
      <c r="I97" s="3" t="str">
        <f>IFERROR(__xludf.DUMMYFUNCTION("GOOGLETRANSLATE(D97, ""en"", ""hi"")"),"A) हमलावर बाहर है")</f>
        <v>A) हमलावर बाहर है</v>
      </c>
    </row>
    <row r="98" ht="22.5" customHeight="1">
      <c r="A98" s="2">
        <v>97.0</v>
      </c>
      <c r="B98" s="3" t="s">
        <v>245</v>
      </c>
      <c r="C98" s="3" t="s">
        <v>150</v>
      </c>
      <c r="D98" s="3" t="s">
        <v>148</v>
      </c>
      <c r="F98" s="3" t="str">
        <f>IFERROR(__xludf.DUMMYFUNCTION("GOOGLETRANSLATE(A98, ""en"", ""hi"")"),"97")</f>
        <v>97</v>
      </c>
      <c r="G98" s="3" t="str">
        <f>IFERROR(__xludf.DUMMYFUNCTION("GOOGLETRANSLATE(B98, ""en"", ""hi"")"),"रेड के दौरान, यदि कोई डिफेंडर सीमा से बाहर निकलते समय रेडर को पकड़ लेता है, तो क्या होता है?")</f>
        <v>रेड के दौरान, यदि कोई डिफेंडर सीमा से बाहर निकलते समय रेडर को पकड़ लेता है, तो क्या होता है?</v>
      </c>
      <c r="H98" s="3" t="str">
        <f>IFERROR(__xludf.DUMMYFUNCTION("GOOGLETRANSLATE(C98, ""en"", ""hi"")"),"A) रेडर आउट हो गया है, B) डिफेंडर आउट हो गया है, C) दोनों खिलाड़ी खेलना जारी रखते हैं, D) रेड अवैध है")</f>
        <v>A) रेडर आउट हो गया है, B) डिफेंडर आउट हो गया है, C) दोनों खिलाड़ी खेलना जारी रखते हैं, D) रेड अवैध है</v>
      </c>
      <c r="I98" s="3" t="str">
        <f>IFERROR(__xludf.DUMMYFUNCTION("GOOGLETRANSLATE(D98, ""en"", ""hi"")"),"B) डिफेंडर आउट हो गया है")</f>
        <v>B) डिफेंडर आउट हो गया है</v>
      </c>
    </row>
    <row r="99" ht="22.5" customHeight="1">
      <c r="A99" s="2">
        <v>98.0</v>
      </c>
      <c r="B99" s="3" t="s">
        <v>246</v>
      </c>
      <c r="C99" s="3" t="s">
        <v>247</v>
      </c>
      <c r="D99" s="3" t="s">
        <v>140</v>
      </c>
      <c r="F99" s="3" t="str">
        <f>IFERROR(__xludf.DUMMYFUNCTION("GOOGLETRANSLATE(A99, ""en"", ""hi"")"),"98")</f>
        <v>98</v>
      </c>
      <c r="G99" s="3" t="str">
        <f>IFERROR(__xludf.DUMMYFUNCTION("GOOGLETRANSLATE(B99, ""en"", ""hi"")"),"यदि कोई रेडर एक पैर से बोनस लाइन को छूता है लेकिन मध्य रेखा को पार नहीं करता है, तो निर्णय क्या होगा?")</f>
        <v>यदि कोई रेडर एक पैर से बोनस लाइन को छूता है लेकिन मध्य रेखा को पार नहीं करता है, तो निर्णय क्या होगा?</v>
      </c>
      <c r="H99" s="3" t="str">
        <f>IFERROR(__xludf.DUMMYFUNCTION("GOOGLETRANSLATE(C99, ""en"", ""hi"")"),"A) रेडर आउट हो गया है, B) रेडर को 1 अंक प्राप्त हुआ है, C) रेड जारी है, D) डिफेंडर आउट हो गया है")</f>
        <v>A) रेडर आउट हो गया है, B) रेडर को 1 अंक प्राप्त हुआ है, C) रेड जारी है, D) डिफेंडर आउट हो गया है</v>
      </c>
      <c r="I99" s="3" t="str">
        <f>IFERROR(__xludf.DUMMYFUNCTION("GOOGLETRANSLATE(D99, ""en"", ""hi"")"),"A) हमलावर बाहर है")</f>
        <v>A) हमलावर बाहर है</v>
      </c>
    </row>
    <row r="100" ht="22.5" customHeight="1">
      <c r="A100" s="2">
        <v>99.0</v>
      </c>
      <c r="B100" s="3" t="s">
        <v>248</v>
      </c>
      <c r="C100" s="3" t="s">
        <v>249</v>
      </c>
      <c r="D100" s="3" t="s">
        <v>140</v>
      </c>
      <c r="F100" s="3" t="str">
        <f>IFERROR(__xludf.DUMMYFUNCTION("GOOGLETRANSLATE(A100, ""en"", ""hi"")"),"99")</f>
        <v>99</v>
      </c>
      <c r="G100" s="3" t="str">
        <f>IFERROR(__xludf.DUMMYFUNCTION("GOOGLETRANSLATE(B100, ""en"", ""hi"")"),"यदि कोई रेडर डिफेंडर को छू लेता है, लेकिन समय समाप्त होने से पहले सफलतापूर्वक अपने हाफ में वापस नहीं लौट पाता है, तो क्या होगा?")</f>
        <v>यदि कोई रेडर डिफेंडर को छू लेता है, लेकिन समय समाप्त होने से पहले सफलतापूर्वक अपने हाफ में वापस नहीं लौट पाता है, तो क्या होगा?</v>
      </c>
      <c r="H100" s="3" t="str">
        <f>IFERROR(__xludf.DUMMYFUNCTION("GOOGLETRANSLATE(C100, ""en"", ""hi"")"),"A) रेडर आउट हो जाता है, B) रेडर की टीम को 1 अंक मिलता है, C) रेड की समीक्षा की जाती है, D) बचाव करने वाली टीम को एक अंक मिलता है")</f>
        <v>A) रेडर आउट हो जाता है, B) रेडर की टीम को 1 अंक मिलता है, C) रेड की समीक्षा की जाती है, D) बचाव करने वाली टीम को एक अंक मिलता है</v>
      </c>
      <c r="I100" s="3" t="str">
        <f>IFERROR(__xludf.DUMMYFUNCTION("GOOGLETRANSLATE(D100, ""en"", ""hi"")"),"A) हमलावर बाहर है")</f>
        <v>A) हमलावर बाहर है</v>
      </c>
    </row>
    <row r="101" ht="22.5" customHeight="1">
      <c r="A101" s="2">
        <v>100.0</v>
      </c>
      <c r="B101" s="3" t="s">
        <v>250</v>
      </c>
      <c r="C101" s="3" t="s">
        <v>251</v>
      </c>
      <c r="D101" s="3" t="s">
        <v>237</v>
      </c>
      <c r="F101" s="3" t="str">
        <f>IFERROR(__xludf.DUMMYFUNCTION("GOOGLETRANSLATE(A101, ""en"", ""hi"")"),"100")</f>
        <v>100</v>
      </c>
      <c r="G101" s="3" t="str">
        <f>IFERROR(__xludf.DUMMYFUNCTION("GOOGLETRANSLATE(B101, ""en"", ""hi"")"),"कबड्डी में, यदि किसी रेडर को सफलतापूर्वक टैकल कर लिया जाता है, लेकिन वह नीचे गिरने से ठीक पहले डिफेंडर को छूने में सफल हो जाता है, तो परिणाम क्या होगा?")</f>
        <v>कबड्डी में, यदि किसी रेडर को सफलतापूर्वक टैकल कर लिया जाता है, लेकिन वह नीचे गिरने से ठीक पहले डिफेंडर को छूने में सफल हो जाता है, तो परिणाम क्या होगा?</v>
      </c>
      <c r="H101" s="3" t="str">
        <f>IFERROR(__xludf.DUMMYFUNCTION("GOOGLETRANSLATE(C101, ""en"", ""hi"")"),"A) रेडर को 1 अंक मिलता है, B) रेडर आउट हो जाता है, C) डिफेंडर आउट हो जाता है, D) रेड रद्द हो जाती है")</f>
        <v>A) रेडर को 1 अंक मिलता है, B) रेडर आउट हो जाता है, C) डिफेंडर आउट हो जाता है, D) रेड रद्द हो जाती है</v>
      </c>
      <c r="I101" s="3" t="str">
        <f>IFERROR(__xludf.DUMMYFUNCTION("GOOGLETRANSLATE(D101, ""en"", ""hi"")"),"A) रेडर को 1 अंक मिलता है")</f>
        <v>A) रेडर को 1 अंक मिलता है</v>
      </c>
    </row>
    <row r="102" ht="22.5" customHeight="1">
      <c r="A102" s="2">
        <v>101.0</v>
      </c>
      <c r="B102" s="3" t="s">
        <v>252</v>
      </c>
      <c r="C102" s="3" t="s">
        <v>253</v>
      </c>
      <c r="D102" s="3" t="s">
        <v>167</v>
      </c>
      <c r="F102" s="3" t="str">
        <f>IFERROR(__xludf.DUMMYFUNCTION("GOOGLETRANSLATE(A102, ""en"", ""hi"")"),"101")</f>
        <v>101</v>
      </c>
      <c r="G102" s="3" t="str">
        <f>IFERROR(__xludf.DUMMYFUNCTION("GOOGLETRANSLATE(B102, ""en"", ""hi"")"),"यदि किसी रेडर को डिफेंडर द्वारा टैकल किया जाता है लेकिन डिफेंडर का पैर बाउंड्स से बाहर है, तो परिणाम क्या होगा?")</f>
        <v>यदि किसी रेडर को डिफेंडर द्वारा टैकल किया जाता है लेकिन डिफेंडर का पैर बाउंड्स से बाहर है, तो परिणाम क्या होगा?</v>
      </c>
      <c r="H102" s="3" t="str">
        <f>IFERROR(__xludf.DUMMYFUNCTION("GOOGLETRANSLATE(C102,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02" s="3" t="str">
        <f>IFERROR(__xludf.DUMMYFUNCTION("GOOGLETRANSLATE(D102, ""en"", ""hi"")"),"A) डिफेंडर आउट हो गया है")</f>
        <v>A) डिफेंडर आउट हो गया है</v>
      </c>
    </row>
    <row r="103" ht="22.5" customHeight="1">
      <c r="A103" s="2">
        <v>102.0</v>
      </c>
      <c r="B103" s="3" t="s">
        <v>254</v>
      </c>
      <c r="C103" s="3" t="s">
        <v>255</v>
      </c>
      <c r="D103" s="3" t="s">
        <v>65</v>
      </c>
      <c r="F103" s="3" t="str">
        <f>IFERROR(__xludf.DUMMYFUNCTION("GOOGLETRANSLATE(A103, ""en"", ""hi"")"),"102")</f>
        <v>102</v>
      </c>
      <c r="G103" s="3" t="str">
        <f>IFERROR(__xludf.DUMMYFUNCTION("GOOGLETRANSLATE(B103, ""en"", ""hi"")"),"यदि कोई रेडर बोनस लाइन को छूने में सफल हो जाता है, लेकिन वापस लौटने से पहले कई डिफेंडरों द्वारा उसे रोक लिया जाता है, तो क्या निर्णय लिया जाएगा?")</f>
        <v>यदि कोई रेडर बोनस लाइन को छूने में सफल हो जाता है, लेकिन वापस लौटने से पहले कई डिफेंडरों द्वारा उसे रोक लिया जाता है, तो क्या निर्णय लिया जाएगा?</v>
      </c>
      <c r="H103" s="3" t="str">
        <f>IFERROR(__xludf.DUMMYFUNCTION("GOOGLETRANSLATE(C103, ""en"", ""hi"")"),"A) रेडर को 1 अंक मिलता है, B) रेडर आउट हो जाता है, C) डिफेंडर आउट हो जाते हैं, D) रेड रद्द हो जाती है")</f>
        <v>A) रेडर को 1 अंक मिलता है, B) रेडर आउट हो जाता है, C) डिफेंडर आउट हो जाते हैं, D) रेड रद्द हो जाती है</v>
      </c>
      <c r="I103" s="3" t="str">
        <f>IFERROR(__xludf.DUMMYFUNCTION("GOOGLETRANSLATE(D103, ""en"", ""hi"")"),"बी) हमलावर बाहर है")</f>
        <v>बी) हमलावर बाहर है</v>
      </c>
    </row>
    <row r="104" ht="22.5" customHeight="1">
      <c r="A104" s="2">
        <v>103.0</v>
      </c>
      <c r="B104" s="3" t="s">
        <v>256</v>
      </c>
      <c r="C104" s="3" t="s">
        <v>257</v>
      </c>
      <c r="D104" s="3" t="s">
        <v>167</v>
      </c>
      <c r="F104" s="3" t="str">
        <f>IFERROR(__xludf.DUMMYFUNCTION("GOOGLETRANSLATE(A104, ""en"", ""hi"")"),"103")</f>
        <v>103</v>
      </c>
      <c r="G104" s="3" t="str">
        <f>IFERROR(__xludf.DUMMYFUNCTION("GOOGLETRANSLATE(B104, ""en"", ""hi"")"),"कबड्डी मैच में, यदि कोई डिफेंडर टैकल के प्रयास के दौरान सीमा से बाहर चला जाता है, तो परिणाम क्या होगा?")</f>
        <v>कबड्डी मैच में, यदि कोई डिफेंडर टैकल के प्रयास के दौरान सीमा से बाहर चला जाता है, तो परिणाम क्या होगा?</v>
      </c>
      <c r="H104" s="3" t="str">
        <f>IFERROR(__xludf.DUMMYFUNCTION("GOOGLETRANSLATE(C104, ""en"", ""hi"")"),"A) डिफेंडर आउट हो गया है, B) रेडर आउट हो गया है, C) रेड की समीक्षा की गई है, D) दोनों खिलाड़ी जारी हैं")</f>
        <v>A) डिफेंडर आउट हो गया है, B) रेडर आउट हो गया है, C) रेड की समीक्षा की गई है, D) दोनों खिलाड़ी जारी हैं</v>
      </c>
      <c r="I104" s="3" t="str">
        <f>IFERROR(__xludf.DUMMYFUNCTION("GOOGLETRANSLATE(D104, ""en"", ""hi"")"),"A) डिफेंडर आउट हो गया है")</f>
        <v>A) डिफेंडर आउट हो गया है</v>
      </c>
    </row>
    <row r="105" ht="22.5" customHeight="1">
      <c r="A105" s="2">
        <v>104.0</v>
      </c>
      <c r="B105" s="3" t="s">
        <v>258</v>
      </c>
      <c r="C105" s="3" t="s">
        <v>259</v>
      </c>
      <c r="D105" s="3" t="s">
        <v>148</v>
      </c>
      <c r="F105" s="3" t="str">
        <f>IFERROR(__xludf.DUMMYFUNCTION("GOOGLETRANSLATE(A105, ""en"", ""hi"")"),"104")</f>
        <v>104</v>
      </c>
      <c r="G105" s="3" t="str">
        <f>IFERROR(__xludf.DUMMYFUNCTION("GOOGLETRANSLATE(B105, ""en"", ""hi"")"),"क्या होता है जब किसी रेडर को डिफेंडर द्वारा छुआ जाता है लेकिन डिफेंडर सीमा से बाहर चला जाता है जबकि रेडर अभी भी खेल में है?")</f>
        <v>क्या होता है जब किसी रेडर को डिफेंडर द्वारा छुआ जाता है लेकिन डिफेंडर सीमा से बाहर चला जाता है जबकि रेडर अभी भी खेल में है?</v>
      </c>
      <c r="H105" s="3" t="str">
        <f>IFERROR(__xludf.DUMMYFUNCTION("GOOGLETRANSLATE(C105, ""en"", ""hi"")"),"A) रेडर को 1 अंक मिलता है, B) डिफेंडर आउट हो जाता है, C) रेड रद्द हो जाती है, D) रेडर आउट हो जाता है")</f>
        <v>A) रेडर को 1 अंक मिलता है, B) डिफेंडर आउट हो जाता है, C) रेड रद्द हो जाती है, D) रेडर आउट हो जाता है</v>
      </c>
      <c r="I105" s="3" t="str">
        <f>IFERROR(__xludf.DUMMYFUNCTION("GOOGLETRANSLATE(D105, ""en"", ""hi"")"),"B) डिफेंडर आउट हो गया है")</f>
        <v>B) डिफेंडर आउट हो गया है</v>
      </c>
    </row>
    <row r="106" ht="22.5" customHeight="1">
      <c r="A106" s="2">
        <v>105.0</v>
      </c>
      <c r="B106" s="3" t="s">
        <v>260</v>
      </c>
      <c r="C106" s="3" t="s">
        <v>261</v>
      </c>
      <c r="D106" s="3" t="s">
        <v>262</v>
      </c>
      <c r="F106" s="3" t="str">
        <f>IFERROR(__xludf.DUMMYFUNCTION("GOOGLETRANSLATE(A106, ""en"", ""hi"")"),"105")</f>
        <v>105</v>
      </c>
      <c r="G106" s="3" t="str">
        <f>IFERROR(__xludf.DUMMYFUNCTION("GOOGLETRANSLATE(B106, ""en"", ""hi"")"),"यदि किसी रेडर को आउट घोषित कर दिया जाता है, लेकिन बचाव करने वाली टीम तकनीकी फाउल में फंस जाती है, तो परिणाम क्या होगा?")</f>
        <v>यदि किसी रेडर को आउट घोषित कर दिया जाता है, लेकिन बचाव करने वाली टीम तकनीकी फाउल में फंस जाती है, तो परिणाम क्या होगा?</v>
      </c>
      <c r="H106" s="3" t="str">
        <f>IFERROR(__xludf.DUMMYFUNCTION("GOOGLETRANSLATE(C106, ""en"", ""hi"")"),"A) रेडर की टीम को 1 अंक मिलता है, B) रेडर आउट हो जाता है, C) बचाव करने वाली टीम को 1 अंक का नुकसान होता है, D) मैच रोक दिया जाता है")</f>
        <v>A) रेडर की टीम को 1 अंक मिलता है, B) रेडर आउट हो जाता है, C) बचाव करने वाली टीम को 1 अंक का नुकसान होता है, D) मैच रोक दिया जाता है</v>
      </c>
      <c r="I106" s="3" t="str">
        <f>IFERROR(__xludf.DUMMYFUNCTION("GOOGLETRANSLATE(D106, ""en"", ""hi"")"),"A) रेडर की टीम को 1 अंक मिलता है")</f>
        <v>A) रेडर की टीम को 1 अंक मिलता है</v>
      </c>
    </row>
    <row r="107" ht="22.5" customHeight="1">
      <c r="A107" s="2">
        <v>106.0</v>
      </c>
      <c r="B107" s="3" t="s">
        <v>263</v>
      </c>
      <c r="C107" s="3" t="s">
        <v>264</v>
      </c>
      <c r="D107" s="3" t="s">
        <v>167</v>
      </c>
      <c r="F107" s="3" t="str">
        <f>IFERROR(__xludf.DUMMYFUNCTION("GOOGLETRANSLATE(A107, ""en"", ""hi"")"),"106")</f>
        <v>106</v>
      </c>
      <c r="G107" s="3" t="str">
        <f>IFERROR(__xludf.DUMMYFUNCTION("GOOGLETRANSLATE(B107, ""en"", ""hi"")"),"रेड के दौरान यदि कोई रेडर डिफेंडर के पैर को छू लेता है और फिर उसे टैकल कर दिया जाता है, तो निर्णय क्या होगा?")</f>
        <v>रेड के दौरान यदि कोई रेडर डिफेंडर के पैर को छू लेता है और फिर उसे टैकल कर दिया जाता है, तो निर्णय क्या होगा?</v>
      </c>
      <c r="H107" s="3" t="str">
        <f>IFERROR(__xludf.DUMMYFUNCTION("GOOGLETRANSLATE(C107, ""en"", ""hi"")"),"A) डिफेंडर आउट हो गया है, B) रेडर आउट हो गया है, C) दोनों खिलाड़ी आउट घोषित हो गए हैं, D) रेड रद्द हो गई है")</f>
        <v>A) डिफेंडर आउट हो गया है, B) रेडर आउट हो गया है, C) दोनों खिलाड़ी आउट घोषित हो गए हैं, D) रेड रद्द हो गई है</v>
      </c>
      <c r="I107" s="3" t="str">
        <f>IFERROR(__xludf.DUMMYFUNCTION("GOOGLETRANSLATE(D107, ""en"", ""hi"")"),"A) डिफेंडर आउट हो गया है")</f>
        <v>A) डिफेंडर आउट हो गया है</v>
      </c>
    </row>
    <row r="108" ht="22.5" customHeight="1">
      <c r="A108" s="2">
        <v>107.0</v>
      </c>
      <c r="B108" s="3" t="s">
        <v>265</v>
      </c>
      <c r="C108" s="3" t="s">
        <v>266</v>
      </c>
      <c r="D108" s="3" t="s">
        <v>167</v>
      </c>
      <c r="F108" s="3" t="str">
        <f>IFERROR(__xludf.DUMMYFUNCTION("GOOGLETRANSLATE(A108, ""en"", ""hi"")"),"107")</f>
        <v>107</v>
      </c>
      <c r="G108" s="3" t="str">
        <f>IFERROR(__xludf.DUMMYFUNCTION("GOOGLETRANSLATE(B108, ""en"", ""hi"")"),"यदि कोई रेडर मध्य रेखा पार कर जाता है और उसे सीमा से बाहर जाने वाले डिफेंडर द्वारा टैकल कर दिया जाता है तो परिणाम क्या होगा?")</f>
        <v>यदि कोई रेडर मध्य रेखा पार कर जाता है और उसे सीमा से बाहर जाने वाले डिफेंडर द्वारा टैकल कर दिया जाता है तो परिणाम क्या होगा?</v>
      </c>
      <c r="H108" s="3" t="str">
        <f>IFERROR(__xludf.DUMMYFUNCTION("GOOGLETRANSLATE(C108, ""en"", ""hi"")"),"A) डिफेंडर आउट हो गया है, B) रेडर आउट हो गया है, C) दोनों खिलाड़ी आउट हो गए हैं, D) रेड की समीक्षा की गई है")</f>
        <v>A) डिफेंडर आउट हो गया है, B) रेडर आउट हो गया है, C) दोनों खिलाड़ी आउट हो गए हैं, D) रेड की समीक्षा की गई है</v>
      </c>
      <c r="I108" s="3" t="str">
        <f>IFERROR(__xludf.DUMMYFUNCTION("GOOGLETRANSLATE(D108, ""en"", ""hi"")"),"A) डिफेंडर आउट हो गया है")</f>
        <v>A) डिफेंडर आउट हो गया है</v>
      </c>
    </row>
    <row r="109" ht="22.5" customHeight="1">
      <c r="A109" s="2">
        <v>108.0</v>
      </c>
      <c r="B109" s="3" t="s">
        <v>267</v>
      </c>
      <c r="C109" s="3" t="s">
        <v>268</v>
      </c>
      <c r="D109" s="3" t="s">
        <v>148</v>
      </c>
      <c r="F109" s="3" t="str">
        <f>IFERROR(__xludf.DUMMYFUNCTION("GOOGLETRANSLATE(A109, ""en"", ""hi"")"),"108")</f>
        <v>108</v>
      </c>
      <c r="G109" s="3" t="str">
        <f>IFERROR(__xludf.DUMMYFUNCTION("GOOGLETRANSLATE(B109, ""en"", ""hi"")"),"यदि किसी रेडर को टैकल किया जाता है और दोनों खिलाड़ी एक ही समय पर बाउंड्स से बाहर चले जाते हैं तो क्या होगा?")</f>
        <v>यदि किसी रेडर को टैकल किया जाता है और दोनों खिलाड़ी एक ही समय पर बाउंड्स से बाहर चले जाते हैं तो क्या होगा?</v>
      </c>
      <c r="H109" s="3" t="str">
        <f>IFERROR(__xludf.DUMMYFUNCTION("GOOGLETRANSLATE(C109, ""en"", ""hi"")"),"A) रेडर आउट हो गया है, B) डिफेंडर आउट हो गया है, C) दोनों खिलाड़ी आउट घोषित हो गए हैं, D) रेड रद्द हो गई है")</f>
        <v>A) रेडर आउट हो गया है, B) डिफेंडर आउट हो गया है, C) दोनों खिलाड़ी आउट घोषित हो गए हैं, D) रेड रद्द हो गई है</v>
      </c>
      <c r="I109" s="3" t="str">
        <f>IFERROR(__xludf.DUMMYFUNCTION("GOOGLETRANSLATE(D109, ""en"", ""hi"")"),"B) डिफेंडर आउट हो गया है")</f>
        <v>B) डिफेंडर आउट हो गया है</v>
      </c>
    </row>
    <row r="110" ht="22.5" customHeight="1">
      <c r="A110" s="2">
        <v>109.0</v>
      </c>
      <c r="B110" s="3" t="s">
        <v>269</v>
      </c>
      <c r="C110" s="3" t="s">
        <v>270</v>
      </c>
      <c r="D110" s="3" t="s">
        <v>140</v>
      </c>
      <c r="F110" s="3" t="str">
        <f>IFERROR(__xludf.DUMMYFUNCTION("GOOGLETRANSLATE(A110, ""en"", ""hi"")"),"109")</f>
        <v>109</v>
      </c>
      <c r="G110" s="3" t="str">
        <f>IFERROR(__xludf.DUMMYFUNCTION("GOOGLETRANSLATE(B110, ""en"", ""hi"")"),"यदि कोई रेडर बोनस लाइन को छूता है, लेकिन अपने हाफ में लौटने से पहले ही उसे टैकल कर दिया जाता है, तो परिणाम क्या होगा?")</f>
        <v>यदि कोई रेडर बोनस लाइन को छूता है, लेकिन अपने हाफ में लौटने से पहले ही उसे टैकल कर दिया जाता है, तो परिणाम क्या होगा?</v>
      </c>
      <c r="H110" s="3" t="str">
        <f>IFERROR(__xludf.DUMMYFUNCTION("GOOGLETRANSLATE(C110, ""en"", ""hi"")"),"A) रेडर आउट हो गया है, B) रेडर 1 अंक अर्जित करता है, C) रेड की समीक्षा की जाती है, D) डिफेंडर आउट हो गए हैं")</f>
        <v>A) रेडर आउट हो गया है, B) रेडर 1 अंक अर्जित करता है, C) रेड की समीक्षा की जाती है, D) डिफेंडर आउट हो गए हैं</v>
      </c>
      <c r="I110" s="3" t="str">
        <f>IFERROR(__xludf.DUMMYFUNCTION("GOOGLETRANSLATE(D110, ""en"", ""hi"")"),"A) हमलावर बाहर है")</f>
        <v>A) हमलावर बाहर है</v>
      </c>
    </row>
    <row r="111" ht="22.5" customHeight="1">
      <c r="A111" s="2">
        <v>110.0</v>
      </c>
      <c r="B111" s="3" t="s">
        <v>271</v>
      </c>
      <c r="C111" s="3" t="s">
        <v>223</v>
      </c>
      <c r="D111" s="3" t="s">
        <v>224</v>
      </c>
      <c r="F111" s="3" t="str">
        <f>IFERROR(__xludf.DUMMYFUNCTION("GOOGLETRANSLATE(A111, ""en"", ""hi"")"),"110")</f>
        <v>110</v>
      </c>
      <c r="G111" s="3" t="str">
        <f>IFERROR(__xludf.DUMMYFUNCTION("GOOGLETRANSLATE(B111, ""en"", ""hi"")"),"एक रेड के दौरान, यदि रेडर को टैकल कर लिया जाता है, लेकिन वह नीचे गिरने से पहले तीन डिफेंडरों को छूने में सफल हो जाता है, तो परिणाम क्या होगा?")</f>
        <v>एक रेड के दौरान, यदि रेडर को टैकल कर लिया जाता है, लेकिन वह नीचे गिरने से पहले तीन डिफेंडरों को छूने में सफल हो जाता है, तो परिणाम क्या होगा?</v>
      </c>
      <c r="H111" s="3" t="str">
        <f>IFERROR(__xludf.DUMMYFUNCTION("GOOGLETRANSLATE(C111, ""en"", ""hi"")"),"A) रेडर को 3 अंक मिलते हैं, B) डिफेंडर ऑल-आउट हो जाते हैं, C) रेड अमान्य हो जाती है, D) रेडर को 2 अंक मिलते हैं")</f>
        <v>A) रेडर को 3 अंक मिलते हैं, B) डिफेंडर ऑल-आउट हो जाते हैं, C) रेड अमान्य हो जाती है, D) रेडर को 2 अंक मिलते हैं</v>
      </c>
      <c r="I111" s="3" t="str">
        <f>IFERROR(__xludf.DUMMYFUNCTION("GOOGLETRANSLATE(D111, ""en"", ""hi"")"),"A) रेडर को 3 अंक मिलते हैं")</f>
        <v>A) रेडर को 3 अंक मिलते हैं</v>
      </c>
    </row>
    <row r="112" ht="22.5" customHeight="1">
      <c r="A112" s="2">
        <v>111.0</v>
      </c>
      <c r="B112" s="3" t="s">
        <v>272</v>
      </c>
      <c r="C112" s="3" t="s">
        <v>273</v>
      </c>
      <c r="D112" s="3" t="s">
        <v>148</v>
      </c>
      <c r="F112" s="3" t="str">
        <f>IFERROR(__xludf.DUMMYFUNCTION("GOOGLETRANSLATE(A112, ""en"", ""hi"")"),"111")</f>
        <v>111</v>
      </c>
      <c r="G112" s="3" t="str">
        <f>IFERROR(__xludf.DUMMYFUNCTION("GOOGLETRANSLATE(B112, ""en"", ""hi"")"),"यदि किसी रेडर को सफलतापूर्वक टैकल कर लिया जाता है, लेकिन डिफेंडर टैकल से ठीक पहले रेडर के पैर को छू लेता है, तो क्या होगा?")</f>
        <v>यदि किसी रेडर को सफलतापूर्वक टैकल कर लिया जाता है, लेकिन डिफेंडर टैकल से ठीक पहले रेडर के पैर को छू लेता है, तो क्या होगा?</v>
      </c>
      <c r="H112" s="3" t="str">
        <f>IFERROR(__xludf.DUMMYFUNCTION("GOOGLETRANSLATE(C112, ""en"", ""hi"")"),"A) रेडर आउट हो गया है, B) डिफेंडर आउट हो गया है, C) दोनों खिलाड़ी आउट हो गए हैं, D) रेड की समीक्षा की गई है")</f>
        <v>A) रेडर आउट हो गया है, B) डिफेंडर आउट हो गया है, C) दोनों खिलाड़ी आउट हो गए हैं, D) रेड की समीक्षा की गई है</v>
      </c>
      <c r="I112" s="3" t="str">
        <f>IFERROR(__xludf.DUMMYFUNCTION("GOOGLETRANSLATE(D112, ""en"", ""hi"")"),"B) डिफेंडर आउट हो गया है")</f>
        <v>B) डिफेंडर आउट हो गया है</v>
      </c>
    </row>
    <row r="113" ht="22.5" customHeight="1">
      <c r="A113" s="2">
        <v>112.0</v>
      </c>
      <c r="B113" s="3" t="s">
        <v>274</v>
      </c>
      <c r="C113" s="3" t="s">
        <v>253</v>
      </c>
      <c r="D113" s="3" t="s">
        <v>167</v>
      </c>
      <c r="F113" s="3" t="str">
        <f>IFERROR(__xludf.DUMMYFUNCTION("GOOGLETRANSLATE(A113, ""en"", ""hi"")"),"112")</f>
        <v>112</v>
      </c>
      <c r="G113" s="3" t="str">
        <f>IFERROR(__xludf.DUMMYFUNCTION("GOOGLETRANSLATE(B113, ""en"", ""hi"")"),"यदि किसी रेडर को टैकल करके नीचे दबा दिया जाता है, लेकिन डिफेंडर का पैर सीमा से बाहर है, तो निर्णय क्या होगा?")</f>
        <v>यदि किसी रेडर को टैकल करके नीचे दबा दिया जाता है, लेकिन डिफेंडर का पैर सीमा से बाहर है, तो निर्णय क्या होगा?</v>
      </c>
      <c r="H113" s="3" t="str">
        <f>IFERROR(__xludf.DUMMYFUNCTION("GOOGLETRANSLATE(C113,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13" s="3" t="str">
        <f>IFERROR(__xludf.DUMMYFUNCTION("GOOGLETRANSLATE(D113, ""en"", ""hi"")"),"A) डिफेंडर आउट हो गया है")</f>
        <v>A) डिफेंडर आउट हो गया है</v>
      </c>
    </row>
    <row r="114" ht="22.5" customHeight="1">
      <c r="A114" s="2">
        <v>113.0</v>
      </c>
      <c r="B114" s="3" t="s">
        <v>275</v>
      </c>
      <c r="C114" s="3" t="s">
        <v>276</v>
      </c>
      <c r="D114" s="3" t="s">
        <v>277</v>
      </c>
      <c r="F114" s="3" t="str">
        <f>IFERROR(__xludf.DUMMYFUNCTION("GOOGLETRANSLATE(A114, ""en"", ""hi"")"),"113")</f>
        <v>113</v>
      </c>
      <c r="G114" s="3" t="str">
        <f>IFERROR(__xludf.DUMMYFUNCTION("GOOGLETRANSLATE(B114, ""en"", ""hi"")"),"कबड्डी में, यदि कोई रेडर किसी डिफेंडर को छूता है, लेकिन उसे किसी अन्य डिफेंडर द्वारा पकड़ लिया जाता है, जो खेल क्षेत्र में नहीं है, तो परिणाम क्या होगा?")</f>
        <v>कबड्डी में, यदि कोई रेडर किसी डिफेंडर को छूता है, लेकिन उसे किसी अन्य डिफेंडर द्वारा पकड़ लिया जाता है, जो खेल क्षेत्र में नहीं है, तो परिणाम क्या होगा?</v>
      </c>
      <c r="H114" s="3" t="str">
        <f>IFERROR(__xludf.DUMMYFUNCTION("GOOGLETRANSLATE(C114, ""en"", ""hi"")"),"A) पहले छूने वाला डिफेंडर आउट हो गया, B) रेडर आउट हो गया, C) दोनों डिफेंडर आउट हो गए, D) रेड अवैध हो गई")</f>
        <v>A) पहले छूने वाला डिफेंडर आउट हो गया, B) रेडर आउट हो गया, C) दोनों डिफेंडर आउट हो गए, D) रेड अवैध हो गई</v>
      </c>
      <c r="I114" s="3" t="str">
        <f>IFERROR(__xludf.DUMMYFUNCTION("GOOGLETRANSLATE(D114, ""en"", ""hi"")"),"A) जो डिफेंडर पहले छूता है वह आउट हो जाता है")</f>
        <v>A) जो डिफेंडर पहले छूता है वह आउट हो जाता है</v>
      </c>
    </row>
    <row r="115" ht="22.5" customHeight="1">
      <c r="A115" s="2">
        <v>114.0</v>
      </c>
      <c r="B115" s="3" t="s">
        <v>278</v>
      </c>
      <c r="C115" s="3" t="s">
        <v>279</v>
      </c>
      <c r="D115" s="3" t="s">
        <v>140</v>
      </c>
      <c r="F115" s="3" t="str">
        <f>IFERROR(__xludf.DUMMYFUNCTION("GOOGLETRANSLATE(A115, ""en"", ""hi"")"),"114")</f>
        <v>114</v>
      </c>
      <c r="G115" s="3" t="str">
        <f>IFERROR(__xludf.DUMMYFUNCTION("GOOGLETRANSLATE(B115, ""en"", ""hi"")"),"क्या होता है जब कोई रेडर मध्य रेखा पार कर जाता है और एक ही समय में कई डिफेंडरों द्वारा उसे टैकल कर दिया जाता है?")</f>
        <v>क्या होता है जब कोई रेडर मध्य रेखा पार कर जाता है और एक ही समय में कई डिफेंडरों द्वारा उसे टैकल कर दिया जाता है?</v>
      </c>
      <c r="H115" s="3" t="str">
        <f>IFERROR(__xludf.DUMMYFUNCTION("GOOGLETRANSLATE(C115, ""en"", ""hi"")"),"A) रेडर आउट हो गया है, B) सभी डिफेंडर आउट हो गए हैं, C) रेड की समीक्षा की गई है, D) रेडर 1 अंक अर्जित करता है")</f>
        <v>A) रेडर आउट हो गया है, B) सभी डिफेंडर आउट हो गए हैं, C) रेड की समीक्षा की गई है, D) रेडर 1 अंक अर्जित करता है</v>
      </c>
      <c r="I115" s="3" t="str">
        <f>IFERROR(__xludf.DUMMYFUNCTION("GOOGLETRANSLATE(D115, ""en"", ""hi"")"),"A) हमलावर बाहर है")</f>
        <v>A) हमलावर बाहर है</v>
      </c>
    </row>
    <row r="116" ht="22.5" customHeight="1">
      <c r="A116" s="2">
        <v>115.0</v>
      </c>
      <c r="B116" s="3" t="s">
        <v>280</v>
      </c>
      <c r="C116" s="3" t="s">
        <v>281</v>
      </c>
      <c r="D116" s="3" t="s">
        <v>148</v>
      </c>
      <c r="F116" s="3" t="str">
        <f>IFERROR(__xludf.DUMMYFUNCTION("GOOGLETRANSLATE(A116, ""en"", ""hi"")"),"115")</f>
        <v>115</v>
      </c>
      <c r="G116" s="3" t="str">
        <f>IFERROR(__xludf.DUMMYFUNCTION("GOOGLETRANSLATE(B116, ""en"", ""hi"")"),"यदि कोई रेडर किसी डिफेंडर को सफलतापूर्वक छू लेता है और डिफेंडर तुरन्त सीमा से बाहर चला जाता है, तो निर्णय क्या होगा?")</f>
        <v>यदि कोई रेडर किसी डिफेंडर को सफलतापूर्वक छू लेता है और डिफेंडर तुरन्त सीमा से बाहर चला जाता है, तो निर्णय क्या होगा?</v>
      </c>
      <c r="H116" s="3" t="str">
        <f>IFERROR(__xludf.DUMMYFUNCTION("GOOGLETRANSLATE(C116, ""en"", ""hi"")"),"A) रेडर को 1 अंक मिलता है, B) डिफेंडर आउट हो जाता है, C) दोनों खिलाड़ी आउट हो जाते हैं, D) रेड रद्द हो जाती है")</f>
        <v>A) रेडर को 1 अंक मिलता है, B) डिफेंडर आउट हो जाता है, C) दोनों खिलाड़ी आउट हो जाते हैं, D) रेड रद्द हो जाती है</v>
      </c>
      <c r="I116" s="3" t="str">
        <f>IFERROR(__xludf.DUMMYFUNCTION("GOOGLETRANSLATE(D116, ""en"", ""hi"")"),"B) डिफेंडर आउट हो गया है")</f>
        <v>B) डिफेंडर आउट हो गया है</v>
      </c>
    </row>
    <row r="117" ht="22.5" customHeight="1">
      <c r="A117" s="2">
        <v>116.0</v>
      </c>
      <c r="B117" s="3" t="s">
        <v>282</v>
      </c>
      <c r="C117" s="3" t="s">
        <v>283</v>
      </c>
      <c r="D117" s="3" t="s">
        <v>167</v>
      </c>
      <c r="F117" s="3" t="str">
        <f>IFERROR(__xludf.DUMMYFUNCTION("GOOGLETRANSLATE(A117, ""en"", ""hi"")"),"116")</f>
        <v>116</v>
      </c>
      <c r="G117" s="3" t="str">
        <f>IFERROR(__xludf.DUMMYFUNCTION("GOOGLETRANSLATE(B117, ""en"", ""hi"")"),"कबड्डी मैच में, यदि डिफेंडर रेडर की जर्सी पकड़ता है लेकिन रेडर बच निकलता है, तो परिणाम क्या होगा?")</f>
        <v>कबड्डी मैच में, यदि डिफेंडर रेडर की जर्सी पकड़ता है लेकिन रेडर बच निकलता है, तो परिणाम क्या होगा?</v>
      </c>
      <c r="H117" s="3" t="str">
        <f>IFERROR(__xludf.DUMMYFUNCTION("GOOGLETRANSLATE(C117, ""en"", ""hi"")"),"A) डिफेंडर आउट हो गया है, B) रेडर आउट हो गया है, C) दोनों खिलाड़ी खेल जारी रखते हैं, D) रेड अवैध है")</f>
        <v>A) डिफेंडर आउट हो गया है, B) रेडर आउट हो गया है, C) दोनों खिलाड़ी खेल जारी रखते हैं, D) रेड अवैध है</v>
      </c>
      <c r="I117" s="3" t="str">
        <f>IFERROR(__xludf.DUMMYFUNCTION("GOOGLETRANSLATE(D117, ""en"", ""hi"")"),"A) डिफेंडर आउट हो गया है")</f>
        <v>A) डिफेंडर आउट हो गया है</v>
      </c>
    </row>
    <row r="118" ht="22.5" customHeight="1">
      <c r="A118" s="2">
        <v>117.0</v>
      </c>
      <c r="B118" s="3" t="s">
        <v>284</v>
      </c>
      <c r="C118" s="3" t="s">
        <v>285</v>
      </c>
      <c r="D118" s="3" t="s">
        <v>140</v>
      </c>
      <c r="F118" s="3" t="str">
        <f>IFERROR(__xludf.DUMMYFUNCTION("GOOGLETRANSLATE(A118, ""en"", ""hi"")"),"117")</f>
        <v>117</v>
      </c>
      <c r="G118" s="3" t="str">
        <f>IFERROR(__xludf.DUMMYFUNCTION("GOOGLETRANSLATE(B118, ""en"", ""hi"")"),"यदि कोई रेडर किसी डिफेंडर को छूता है, लेकिन अपने हाफ में लौटने से पहले ही किसी अन्य डिफेंडर द्वारा उसे टैकल कर लिया जाता है, तो परिणाम क्या होगा?")</f>
        <v>यदि कोई रेडर किसी डिफेंडर को छूता है, लेकिन अपने हाफ में लौटने से पहले ही किसी अन्य डिफेंडर द्वारा उसे टैकल कर लिया जाता है, तो परिणाम क्या होगा?</v>
      </c>
      <c r="H118" s="3" t="str">
        <f>IFERROR(__xludf.DUMMYFUNCTION("GOOGLETRANSLATE(C118, ""en"", ""hi"")"),"A) रेडर आउट हो गया, B) पहले टैकल करने वाला डिफेंडर आउट हो गया, C) रेड की समीक्षा की गई, D) रेडर को 1 अंक मिला")</f>
        <v>A) रेडर आउट हो गया, B) पहले टैकल करने वाला डिफेंडर आउट हो गया, C) रेड की समीक्षा की गई, D) रेडर को 1 अंक मिला</v>
      </c>
      <c r="I118" s="3" t="str">
        <f>IFERROR(__xludf.DUMMYFUNCTION("GOOGLETRANSLATE(D118, ""en"", ""hi"")"),"A) हमलावर बाहर है")</f>
        <v>A) हमलावर बाहर है</v>
      </c>
    </row>
    <row r="119" ht="22.5" customHeight="1">
      <c r="A119" s="2">
        <v>118.0</v>
      </c>
      <c r="B119" s="3" t="s">
        <v>286</v>
      </c>
      <c r="C119" s="3" t="s">
        <v>287</v>
      </c>
      <c r="D119" s="3" t="s">
        <v>140</v>
      </c>
      <c r="F119" s="3" t="str">
        <f>IFERROR(__xludf.DUMMYFUNCTION("GOOGLETRANSLATE(A119, ""en"", ""hi"")"),"118")</f>
        <v>118</v>
      </c>
      <c r="G119" s="3" t="str">
        <f>IFERROR(__xludf.DUMMYFUNCTION("GOOGLETRANSLATE(B119, ""en"", ""hi"")"),"यदि कोई रेडर बोनस लाइन पार कर जाता है, लेकिन अपनी सीमा तक पहुंचने से पहले ही उसे रोक लिया जाता है, तो क्या होगा?")</f>
        <v>यदि कोई रेडर बोनस लाइन पार कर जाता है, लेकिन अपनी सीमा तक पहुंचने से पहले ही उसे रोक लिया जाता है, तो क्या होगा?</v>
      </c>
      <c r="H119" s="3" t="str">
        <f>IFERROR(__xludf.DUMMYFUNCTION("GOOGLETRANSLATE(C119, ""en"", ""hi"")"),"A) रेडर आउट हो जाता है, B) रेडर को 1 अंक मिलता है, C) रेड रद्द हो जाती है, D) बचाव करने वाली टीम को 1 अंक मिलता है")</f>
        <v>A) रेडर आउट हो जाता है, B) रेडर को 1 अंक मिलता है, C) रेड रद्द हो जाती है, D) बचाव करने वाली टीम को 1 अंक मिलता है</v>
      </c>
      <c r="I119" s="3" t="str">
        <f>IFERROR(__xludf.DUMMYFUNCTION("GOOGLETRANSLATE(D119, ""en"", ""hi"")"),"A) हमलावर बाहर है")</f>
        <v>A) हमलावर बाहर है</v>
      </c>
    </row>
    <row r="120" ht="22.5" customHeight="1">
      <c r="A120" s="2">
        <v>119.0</v>
      </c>
      <c r="B120" s="3" t="s">
        <v>288</v>
      </c>
      <c r="C120" s="3" t="s">
        <v>253</v>
      </c>
      <c r="D120" s="3" t="s">
        <v>167</v>
      </c>
      <c r="F120" s="3" t="str">
        <f>IFERROR(__xludf.DUMMYFUNCTION("GOOGLETRANSLATE(A120, ""en"", ""hi"")"),"119")</f>
        <v>119</v>
      </c>
      <c r="G120" s="3" t="str">
        <f>IFERROR(__xludf.DUMMYFUNCTION("GOOGLETRANSLATE(B120, ""en"", ""hi"")"),"रेड के दौरान, यदि डिफेंडर रेडर को पकड़ रहा है, लेकिन सीमा से बाहर चला जाता है, तो परिणाम क्या होगा?")</f>
        <v>रेड के दौरान, यदि डिफेंडर रेडर को पकड़ रहा है, लेकिन सीमा से बाहर चला जाता है, तो परिणाम क्या होगा?</v>
      </c>
      <c r="H120" s="3" t="str">
        <f>IFERROR(__xludf.DUMMYFUNCTION("GOOGLETRANSLATE(C120,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20" s="3" t="str">
        <f>IFERROR(__xludf.DUMMYFUNCTION("GOOGLETRANSLATE(D120, ""en"", ""hi"")"),"A) डिफेंडर आउट हो गया है")</f>
        <v>A) डिफेंडर आउट हो गया है</v>
      </c>
    </row>
    <row r="121" ht="22.5" customHeight="1">
      <c r="A121" s="2">
        <v>120.0</v>
      </c>
      <c r="B121" s="3" t="s">
        <v>289</v>
      </c>
      <c r="C121" s="3" t="s">
        <v>290</v>
      </c>
      <c r="D121" s="3" t="s">
        <v>140</v>
      </c>
      <c r="F121" s="3" t="str">
        <f>IFERROR(__xludf.DUMMYFUNCTION("GOOGLETRANSLATE(A121, ""en"", ""hi"")"),"120")</f>
        <v>120</v>
      </c>
      <c r="G121" s="3" t="str">
        <f>IFERROR(__xludf.DUMMYFUNCTION("GOOGLETRANSLATE(B121, ""en"", ""hi"")"),"यदि कोई रेडर दो डिफेंडरों को छूने में सफल हो जाता है, लेकिन वापस लौटने से पहले तीसरे डिफेंडर द्वारा टैकल कर लिया जाता है, तो क्या होगा?")</f>
        <v>यदि कोई रेडर दो डिफेंडरों को छूने में सफल हो जाता है, लेकिन वापस लौटने से पहले तीसरे डिफेंडर द्वारा टैकल कर लिया जाता है, तो क्या होगा?</v>
      </c>
      <c r="H121" s="3" t="str">
        <f>IFERROR(__xludf.DUMMYFUNCTION("GOOGLETRANSLATE(C121, ""en"", ""hi"")"),"A) रेडर आउट हो गया है, B) डिफेंडर ऑल-आउट हो गए हैं, C) रेडर को 2 अंक मिले हैं, D) रेड रद्द हो गई है")</f>
        <v>A) रेडर आउट हो गया है, B) डिफेंडर ऑल-आउट हो गए हैं, C) रेडर को 2 अंक मिले हैं, D) रेड रद्द हो गई है</v>
      </c>
      <c r="I121" s="3" t="str">
        <f>IFERROR(__xludf.DUMMYFUNCTION("GOOGLETRANSLATE(D121, ""en"", ""hi"")"),"A) हमलावर बाहर है")</f>
        <v>A) हमलावर बाहर है</v>
      </c>
    </row>
    <row r="122" ht="22.5" customHeight="1">
      <c r="A122" s="2">
        <v>121.0</v>
      </c>
      <c r="B122" s="3" t="s">
        <v>291</v>
      </c>
      <c r="C122" s="3" t="s">
        <v>292</v>
      </c>
      <c r="D122" s="3" t="s">
        <v>167</v>
      </c>
      <c r="F122" s="3" t="str">
        <f>IFERROR(__xludf.DUMMYFUNCTION("GOOGLETRANSLATE(A122, ""en"", ""hi"")"),"121")</f>
        <v>121</v>
      </c>
      <c r="G122" s="3" t="str">
        <f>IFERROR(__xludf.DUMMYFUNCTION("GOOGLETRANSLATE(B122, ""en"", ""hi"")"),"कबड्डी में, यदि किसी रेडर को टैकल किया जाता है और डिफेंडर का पैर बाउंड्री से बाहर हो जाता है, तो परिणाम क्या होगा?")</f>
        <v>कबड्डी में, यदि किसी रेडर को टैकल किया जाता है और डिफेंडर का पैर बाउंड्री से बाहर हो जाता है, तो परिणाम क्या होगा?</v>
      </c>
      <c r="H122" s="3" t="str">
        <f>IFERROR(__xludf.DUMMYFUNCTION("GOOGLETRANSLATE(C122, ""en"", ""hi"")"),"A) डिफेंडर आउट हो गया है, B) रेडर आउट हो गया है, C) दोनों खिलाड़ी आउट घोषित हो गए हैं, D) रेड जारी है")</f>
        <v>A) डिफेंडर आउट हो गया है, B) रेडर आउट हो गया है, C) दोनों खिलाड़ी आउट घोषित हो गए हैं, D) रेड जारी है</v>
      </c>
      <c r="I122" s="3" t="str">
        <f>IFERROR(__xludf.DUMMYFUNCTION("GOOGLETRANSLATE(D122, ""en"", ""hi"")"),"A) डिफेंडर आउट हो गया है")</f>
        <v>A) डिफेंडर आउट हो गया है</v>
      </c>
    </row>
    <row r="123" ht="22.5" customHeight="1">
      <c r="A123" s="2">
        <v>122.0</v>
      </c>
      <c r="B123" s="3" t="s">
        <v>293</v>
      </c>
      <c r="C123" s="3" t="s">
        <v>261</v>
      </c>
      <c r="D123" s="3" t="s">
        <v>262</v>
      </c>
      <c r="F123" s="3" t="str">
        <f>IFERROR(__xludf.DUMMYFUNCTION("GOOGLETRANSLATE(A123, ""en"", ""hi"")"),"122")</f>
        <v>122</v>
      </c>
      <c r="G123" s="3" t="str">
        <f>IFERROR(__xludf.DUMMYFUNCTION("GOOGLETRANSLATE(B123, ""en"", ""hi"")"),"यदि रेडर को आउट घोषित कर दिया जाए, लेकिन डिफेंडर को फाउल करते हुए पकड़ा जाए तो परिणाम क्या होगा?")</f>
        <v>यदि रेडर को आउट घोषित कर दिया जाए, लेकिन डिफेंडर को फाउल करते हुए पकड़ा जाए तो परिणाम क्या होगा?</v>
      </c>
      <c r="H123" s="3" t="str">
        <f>IFERROR(__xludf.DUMMYFUNCTION("GOOGLETRANSLATE(C123, ""en"", ""hi"")"),"A) रेडर की टीम को 1 अंक मिलता है, B) रेडर आउट हो जाता है, C) बचाव करने वाली टीम को 1 अंक का नुकसान होता है, D) मैच रोक दिया जाता है")</f>
        <v>A) रेडर की टीम को 1 अंक मिलता है, B) रेडर आउट हो जाता है, C) बचाव करने वाली टीम को 1 अंक का नुकसान होता है, D) मैच रोक दिया जाता है</v>
      </c>
      <c r="I123" s="3" t="str">
        <f>IFERROR(__xludf.DUMMYFUNCTION("GOOGLETRANSLATE(D123, ""en"", ""hi"")"),"A) रेडर की टीम को 1 अंक मिलता है")</f>
        <v>A) रेडर की टीम को 1 अंक मिलता है</v>
      </c>
    </row>
    <row r="124" ht="22.5" customHeight="1">
      <c r="A124" s="2">
        <v>123.0</v>
      </c>
      <c r="B124" s="3" t="s">
        <v>294</v>
      </c>
      <c r="C124" s="3" t="s">
        <v>295</v>
      </c>
      <c r="D124" s="3" t="s">
        <v>148</v>
      </c>
      <c r="F124" s="3" t="str">
        <f>IFERROR(__xludf.DUMMYFUNCTION("GOOGLETRANSLATE(A124, ""en"", ""hi"")"),"123")</f>
        <v>123</v>
      </c>
      <c r="G124" s="3" t="str">
        <f>IFERROR(__xludf.DUMMYFUNCTION("GOOGLETRANSLATE(B124, ""en"", ""hi"")"),"यदि कोई रेडर मध्य रेखा पार कर जाता है और उसे डिफेंडर छू लेता है जो सीमा से बाहर चला जाता है, तो क्या होगा?")</f>
        <v>यदि कोई रेडर मध्य रेखा पार कर जाता है और उसे डिफेंडर छू लेता है जो सीमा से बाहर चला जाता है, तो क्या होगा?</v>
      </c>
      <c r="H124" s="3" t="str">
        <f>IFERROR(__xludf.DUMMYFUNCTION("GOOGLETRANSLATE(C124, ""en"", ""hi"")"),"A) रेडर आउट हो गया है, B) डिफेंडर आउट हो गया है, C) दोनों खिलाड़ी आउट हो गए हैं, D) रेड जारी है")</f>
        <v>A) रेडर आउट हो गया है, B) डिफेंडर आउट हो गया है, C) दोनों खिलाड़ी आउट हो गए हैं, D) रेड जारी है</v>
      </c>
      <c r="I124" s="3" t="str">
        <f>IFERROR(__xludf.DUMMYFUNCTION("GOOGLETRANSLATE(D124, ""en"", ""hi"")"),"B) डिफेंडर आउट हो गया है")</f>
        <v>B) डिफेंडर आउट हो गया है</v>
      </c>
    </row>
    <row r="125" ht="22.5" customHeight="1">
      <c r="A125" s="2">
        <v>124.0</v>
      </c>
      <c r="B125" s="3" t="s">
        <v>296</v>
      </c>
      <c r="C125" s="3" t="s">
        <v>297</v>
      </c>
      <c r="D125" s="3" t="s">
        <v>140</v>
      </c>
      <c r="F125" s="3" t="str">
        <f>IFERROR(__xludf.DUMMYFUNCTION("GOOGLETRANSLATE(A125, ""en"", ""hi"")"),"124")</f>
        <v>124</v>
      </c>
      <c r="G125" s="3" t="str">
        <f>IFERROR(__xludf.DUMMYFUNCTION("GOOGLETRANSLATE(B125, ""en"", ""hi"")"),"यदि कोई रेडर बोनस लाइन को छू लेता है और फिर अपने हाफ में लौटने से पहले टैकल हो जाता है तो क्या होगा?")</f>
        <v>यदि कोई रेडर बोनस लाइन को छू लेता है और फिर अपने हाफ में लौटने से पहले टैकल हो जाता है तो क्या होगा?</v>
      </c>
      <c r="H125" s="3" t="str">
        <f>IFERROR(__xludf.DUMMYFUNCTION("GOOGLETRANSLATE(C125, ""en"", ""hi"")"),"A) रेडर आउट हो जाता है, B) रेडर 1 अंक अर्जित करता है, C) रेड रद्द हो जाती है, D) दोनों टीमों को 1 अंक मिलता है")</f>
        <v>A) रेडर आउट हो जाता है, B) रेडर 1 अंक अर्जित करता है, C) रेड रद्द हो जाती है, D) दोनों टीमों को 1 अंक मिलता है</v>
      </c>
      <c r="I125" s="3" t="str">
        <f>IFERROR(__xludf.DUMMYFUNCTION("GOOGLETRANSLATE(D125, ""en"", ""hi"")"),"A) हमलावर बाहर है")</f>
        <v>A) हमलावर बाहर है</v>
      </c>
    </row>
    <row r="126" ht="22.5" customHeight="1">
      <c r="A126" s="2">
        <v>125.0</v>
      </c>
      <c r="B126" s="3" t="s">
        <v>298</v>
      </c>
      <c r="C126" s="3" t="s">
        <v>299</v>
      </c>
      <c r="D126" s="3" t="s">
        <v>167</v>
      </c>
      <c r="F126" s="3" t="str">
        <f>IFERROR(__xludf.DUMMYFUNCTION("GOOGLETRANSLATE(A126, ""en"", ""hi"")"),"125")</f>
        <v>125</v>
      </c>
      <c r="G126" s="3" t="str">
        <f>IFERROR(__xludf.DUMMYFUNCTION("GOOGLETRANSLATE(B126, ""en"", ""hi"")"),"ऐसी स्थिति में जब किसी रेडर को टैकल किया जाता है लेकिन वह डिफेंडर के पैर को छू लेता है, तो परिणाम क्या होगा?")</f>
        <v>ऐसी स्थिति में जब किसी रेडर को टैकल किया जाता है लेकिन वह डिफेंडर के पैर को छू लेता है, तो परिणाम क्या होगा?</v>
      </c>
      <c r="H126" s="3" t="str">
        <f>IFERROR(__xludf.DUMMYFUNCTION("GOOGLETRANSLATE(C126, ""en"", ""hi"")"),"A) डिफेंडर आउट हो गया है, B) रेडर आउट हो गया है, C) दोनों खिलाड़ी आउट घोषित हो गए हैं, D) रेड की समीक्षा की गई है")</f>
        <v>A) डिफेंडर आउट हो गया है, B) रेडर आउट हो गया है, C) दोनों खिलाड़ी आउट घोषित हो गए हैं, D) रेड की समीक्षा की गई है</v>
      </c>
      <c r="I126" s="3" t="str">
        <f>IFERROR(__xludf.DUMMYFUNCTION("GOOGLETRANSLATE(D126, ""en"", ""hi"")"),"A) डिफेंडर आउट हो गया है")</f>
        <v>A) डिफेंडर आउट हो गया है</v>
      </c>
    </row>
    <row r="127" ht="22.5" customHeight="1">
      <c r="A127" s="2">
        <v>126.0</v>
      </c>
      <c r="B127" s="3" t="s">
        <v>300</v>
      </c>
      <c r="C127" s="3" t="s">
        <v>150</v>
      </c>
      <c r="D127" s="3" t="s">
        <v>148</v>
      </c>
      <c r="F127" s="3" t="str">
        <f>IFERROR(__xludf.DUMMYFUNCTION("GOOGLETRANSLATE(A127, ""en"", ""hi"")"),"126")</f>
        <v>126</v>
      </c>
      <c r="G127" s="3" t="str">
        <f>IFERROR(__xludf.DUMMYFUNCTION("GOOGLETRANSLATE(B127, ""en"", ""hi"")"),"यदि कोई डिफेंडर रेडर को पकड़ कर रखता है, लेकिन रेडर के खेल में रहते हुए वह सीमा से बाहर चला जाता है, तो क्या होगा?")</f>
        <v>यदि कोई डिफेंडर रेडर को पकड़ कर रखता है, लेकिन रेडर के खेल में रहते हुए वह सीमा से बाहर चला जाता है, तो क्या होगा?</v>
      </c>
      <c r="H127" s="3" t="str">
        <f>IFERROR(__xludf.DUMMYFUNCTION("GOOGLETRANSLATE(C127, ""en"", ""hi"")"),"A) रेडर आउट हो गया है, B) डिफेंडर आउट हो गया है, C) दोनों खिलाड़ी खेलना जारी रखते हैं, D) रेड अवैध है")</f>
        <v>A) रेडर आउट हो गया है, B) डिफेंडर आउट हो गया है, C) दोनों खिलाड़ी खेलना जारी रखते हैं, D) रेड अवैध है</v>
      </c>
      <c r="I127" s="3" t="str">
        <f>IFERROR(__xludf.DUMMYFUNCTION("GOOGLETRANSLATE(D127, ""en"", ""hi"")"),"B) डिफेंडर आउट हो गया है")</f>
        <v>B) डिफेंडर आउट हो गया है</v>
      </c>
    </row>
    <row r="128" ht="22.5" customHeight="1">
      <c r="A128" s="2">
        <v>127.0</v>
      </c>
      <c r="B128" s="3" t="s">
        <v>301</v>
      </c>
      <c r="C128" s="3" t="s">
        <v>302</v>
      </c>
      <c r="D128" s="3" t="s">
        <v>140</v>
      </c>
      <c r="F128" s="3" t="str">
        <f>IFERROR(__xludf.DUMMYFUNCTION("GOOGLETRANSLATE(A128, ""en"", ""hi"")"),"127")</f>
        <v>127</v>
      </c>
      <c r="G128" s="3" t="str">
        <f>IFERROR(__xludf.DUMMYFUNCTION("GOOGLETRANSLATE(B128, ""en"", ""hi"")"),"यदि कोई रेडर बोनस लाइन को छूता है, लेकिन अपनी टीम में लौटने से पहले ही उसे टैकल कर दिया जाता है, तो परिणाम क्या होगा?")</f>
        <v>यदि कोई रेडर बोनस लाइन को छूता है, लेकिन अपनी टीम में लौटने से पहले ही उसे टैकल कर दिया जाता है, तो परिणाम क्या होगा?</v>
      </c>
      <c r="H128" s="3" t="str">
        <f>IFERROR(__xludf.DUMMYFUNCTION("GOOGLETRANSLATE(C128, ""en"", ""hi"")"),"A) रेडर आउट हो जाता है, B) रेडर 1 अंक अर्जित करता है, C) रेड की समीक्षा की जाती है, D) बचाव करने वाली टीम एक अंक अर्जित करती है")</f>
        <v>A) रेडर आउट हो जाता है, B) रेडर 1 अंक अर्जित करता है, C) रेड की समीक्षा की जाती है, D) बचाव करने वाली टीम एक अंक अर्जित करती है</v>
      </c>
      <c r="I128" s="3" t="str">
        <f>IFERROR(__xludf.DUMMYFUNCTION("GOOGLETRANSLATE(D128, ""en"", ""hi"")"),"A) हमलावर बाहर है")</f>
        <v>A) हमलावर बाहर है</v>
      </c>
    </row>
    <row r="129" ht="22.5" customHeight="1">
      <c r="A129" s="2">
        <v>128.0</v>
      </c>
      <c r="B129" s="3" t="s">
        <v>303</v>
      </c>
      <c r="C129" s="3" t="s">
        <v>279</v>
      </c>
      <c r="D129" s="3" t="s">
        <v>140</v>
      </c>
      <c r="F129" s="3" t="str">
        <f>IFERROR(__xludf.DUMMYFUNCTION("GOOGLETRANSLATE(A129, ""en"", ""hi"")"),"128")</f>
        <v>128</v>
      </c>
      <c r="G129" s="3" t="str">
        <f>IFERROR(__xludf.DUMMYFUNCTION("GOOGLETRANSLATE(B129, ""en"", ""hi"")"),"छापे के दौरान, यदि कोई हमलावर किसी डिफेंडर को छूता है, लेकिन कई डिफेंडरों द्वारा उसे पकड़ लिया जाता है, तो परिणाम क्या होगा?")</f>
        <v>छापे के दौरान, यदि कोई हमलावर किसी डिफेंडर को छूता है, लेकिन कई डिफेंडरों द्वारा उसे पकड़ लिया जाता है, तो परिणाम क्या होगा?</v>
      </c>
      <c r="H129" s="3" t="str">
        <f>IFERROR(__xludf.DUMMYFUNCTION("GOOGLETRANSLATE(C129, ""en"", ""hi"")"),"A) रेडर आउट हो गया है, B) सभी डिफेंडर आउट हो गए हैं, C) रेड की समीक्षा की गई है, D) रेडर 1 अंक अर्जित करता है")</f>
        <v>A) रेडर आउट हो गया है, B) सभी डिफेंडर आउट हो गए हैं, C) रेड की समीक्षा की गई है, D) रेडर 1 अंक अर्जित करता है</v>
      </c>
      <c r="I129" s="3" t="str">
        <f>IFERROR(__xludf.DUMMYFUNCTION("GOOGLETRANSLATE(D129, ""en"", ""hi"")"),"A) हमलावर बाहर है")</f>
        <v>A) हमलावर बाहर है</v>
      </c>
    </row>
    <row r="130" ht="22.5" customHeight="1">
      <c r="A130" s="2">
        <v>129.0</v>
      </c>
      <c r="B130" s="3" t="s">
        <v>304</v>
      </c>
      <c r="C130" s="3" t="s">
        <v>305</v>
      </c>
      <c r="D130" s="3" t="s">
        <v>148</v>
      </c>
      <c r="F130" s="3" t="str">
        <f>IFERROR(__xludf.DUMMYFUNCTION("GOOGLETRANSLATE(A130, ""en"", ""hi"")"),"129")</f>
        <v>129</v>
      </c>
      <c r="G130" s="3" t="str">
        <f>IFERROR(__xludf.DUMMYFUNCTION("GOOGLETRANSLATE(B130, ""en"", ""hi"")"),"यदि किसी रेडर को डिफेंडर द्वारा टैकल किया जाता है जो सीमा से बाहर चला जाता है, लेकिन रेडर पहले ही मध्य रेखा पार कर चुका होता है, तो क्या होगा?")</f>
        <v>यदि किसी रेडर को डिफेंडर द्वारा टैकल किया जाता है जो सीमा से बाहर चला जाता है, लेकिन रेडर पहले ही मध्य रेखा पार कर चुका होता है, तो क्या होगा?</v>
      </c>
      <c r="H130" s="3" t="str">
        <f>IFERROR(__xludf.DUMMYFUNCTION("GOOGLETRANSLATE(C130, ""en"", ""hi"")"),"A) रेडर आउट हो गया है, B) डिफेंडर आउट हो गया है, C) रेड जारी है, D) दोनों खिलाड़ी आउट घोषित कर दिए गए हैं")</f>
        <v>A) रेडर आउट हो गया है, B) डिफेंडर आउट हो गया है, C) रेड जारी है, D) दोनों खिलाड़ी आउट घोषित कर दिए गए हैं</v>
      </c>
      <c r="I130" s="3" t="str">
        <f>IFERROR(__xludf.DUMMYFUNCTION("GOOGLETRANSLATE(D130, ""en"", ""hi"")"),"B) डिफेंडर आउट हो गया है")</f>
        <v>B) डिफेंडर आउट हो गया है</v>
      </c>
    </row>
    <row r="131" ht="22.5" customHeight="1">
      <c r="A131" s="2">
        <v>130.0</v>
      </c>
      <c r="B131" s="3" t="s">
        <v>306</v>
      </c>
      <c r="C131" s="3" t="s">
        <v>283</v>
      </c>
      <c r="D131" s="3" t="s">
        <v>167</v>
      </c>
      <c r="F131" s="3" t="str">
        <f>IFERROR(__xludf.DUMMYFUNCTION("GOOGLETRANSLATE(A131, ""en"", ""hi"")"),"130")</f>
        <v>130</v>
      </c>
      <c r="G131" s="3" t="str">
        <f>IFERROR(__xludf.DUMMYFUNCTION("GOOGLETRANSLATE(B131, ""en"", ""hi"")"),"कबड्डी में, यदि डिफेंडर रेडर को पकड़ लेता है लेकिन फिर सीमा से बाहर चला जाता है, तो परिणाम क्या होगा?")</f>
        <v>कबड्डी में, यदि डिफेंडर रेडर को पकड़ लेता है लेकिन फिर सीमा से बाहर चला जाता है, तो परिणाम क्या होगा?</v>
      </c>
      <c r="H131" s="3" t="str">
        <f>IFERROR(__xludf.DUMMYFUNCTION("GOOGLETRANSLATE(C131, ""en"", ""hi"")"),"A) डिफेंडर आउट हो गया है, B) रेडर आउट हो गया है, C) दोनों खिलाड़ी खेल जारी रखते हैं, D) रेड अवैध है")</f>
        <v>A) डिफेंडर आउट हो गया है, B) रेडर आउट हो गया है, C) दोनों खिलाड़ी खेल जारी रखते हैं, D) रेड अवैध है</v>
      </c>
      <c r="I131" s="3" t="str">
        <f>IFERROR(__xludf.DUMMYFUNCTION("GOOGLETRANSLATE(D131, ""en"", ""hi"")"),"A) डिफेंडर आउट हो गया है")</f>
        <v>A) डिफेंडर आउट हो गया है</v>
      </c>
    </row>
    <row r="132" ht="22.5" customHeight="1">
      <c r="A132" s="2">
        <v>131.0</v>
      </c>
      <c r="B132" s="3" t="s">
        <v>307</v>
      </c>
      <c r="C132" s="3" t="s">
        <v>308</v>
      </c>
      <c r="D132" s="3" t="s">
        <v>140</v>
      </c>
      <c r="F132" s="3" t="str">
        <f>IFERROR(__xludf.DUMMYFUNCTION("GOOGLETRANSLATE(A132, ""en"", ""hi"")"),"131")</f>
        <v>131</v>
      </c>
      <c r="G132" s="3" t="str">
        <f>IFERROR(__xludf.DUMMYFUNCTION("GOOGLETRANSLATE(B132, ""en"", ""hi"")"),"यदि कोई रेडर बोनस लाइन को छूता है, लेकिन मिडलाइन पार करने से पहले ही उसे टैकल कर दिया जाता है, तो निर्णय क्या होगा?")</f>
        <v>यदि कोई रेडर बोनस लाइन को छूता है, लेकिन मिडलाइन पार करने से पहले ही उसे टैकल कर दिया जाता है, तो निर्णय क्या होगा?</v>
      </c>
      <c r="H132" s="3" t="str">
        <f>IFERROR(__xludf.DUMMYFUNCTION("GOOGLETRANSLATE(C132, ""en"", ""hi"")"),"A) रेडर आउट हो जाता है, B) रेडर 1 अंक अर्जित करता है, C) रेड की समीक्षा की जाती है, D) बचाव करने वाली टीम 1 अंक अर्जित करती है")</f>
        <v>A) रेडर आउट हो जाता है, B) रेडर 1 अंक अर्जित करता है, C) रेड की समीक्षा की जाती है, D) बचाव करने वाली टीम 1 अंक अर्जित करती है</v>
      </c>
      <c r="I132" s="3" t="str">
        <f>IFERROR(__xludf.DUMMYFUNCTION("GOOGLETRANSLATE(D132, ""en"", ""hi"")"),"A) हमलावर बाहर है")</f>
        <v>A) हमलावर बाहर है</v>
      </c>
    </row>
    <row r="133" ht="22.5" customHeight="1">
      <c r="A133" s="2">
        <v>132.0</v>
      </c>
      <c r="B133" s="3" t="s">
        <v>309</v>
      </c>
      <c r="C133" s="3" t="s">
        <v>281</v>
      </c>
      <c r="D133" s="3" t="s">
        <v>237</v>
      </c>
      <c r="F133" s="3" t="str">
        <f>IFERROR(__xludf.DUMMYFUNCTION("GOOGLETRANSLATE(A133, ""en"", ""hi"")"),"132")</f>
        <v>132</v>
      </c>
      <c r="G133" s="3" t="str">
        <f>IFERROR(__xludf.DUMMYFUNCTION("GOOGLETRANSLATE(B133, ""en"", ""hi"")"),"रेड के दौरान, यदि रेडर किसी डिफेंडर को छू लेता है और डिफेंडर पहले से ही सीमा से बाहर है, तो क्या होगा?")</f>
        <v>रेड के दौरान, यदि रेडर किसी डिफेंडर को छू लेता है और डिफेंडर पहले से ही सीमा से बाहर है, तो क्या होगा?</v>
      </c>
      <c r="H133" s="3" t="str">
        <f>IFERROR(__xludf.DUMMYFUNCTION("GOOGLETRANSLATE(C133, ""en"", ""hi"")"),"A) रेडर को 1 अंक मिलता है, B) डिफेंडर आउट हो जाता है, C) दोनों खिलाड़ी आउट हो जाते हैं, D) रेड रद्द हो जाती है")</f>
        <v>A) रेडर को 1 अंक मिलता है, B) डिफेंडर आउट हो जाता है, C) दोनों खिलाड़ी आउट हो जाते हैं, D) रेड रद्द हो जाती है</v>
      </c>
      <c r="I133" s="3" t="str">
        <f>IFERROR(__xludf.DUMMYFUNCTION("GOOGLETRANSLATE(D133, ""en"", ""hi"")"),"A) रेडर को 1 अंक मिलता है")</f>
        <v>A) रेडर को 1 अंक मिलता है</v>
      </c>
    </row>
    <row r="134" ht="22.5" customHeight="1">
      <c r="A134" s="2">
        <v>133.0</v>
      </c>
      <c r="B134" s="3" t="s">
        <v>310</v>
      </c>
      <c r="C134" s="3" t="s">
        <v>295</v>
      </c>
      <c r="D134" s="3" t="s">
        <v>148</v>
      </c>
      <c r="F134" s="3" t="str">
        <f>IFERROR(__xludf.DUMMYFUNCTION("GOOGLETRANSLATE(A134, ""en"", ""hi"")"),"133")</f>
        <v>133</v>
      </c>
      <c r="G134" s="3" t="str">
        <f>IFERROR(__xludf.DUMMYFUNCTION("GOOGLETRANSLATE(B134, ""en"", ""hi"")"),"यदि किसी रेडर को डिफेंडर द्वारा छुआ जाता है, लेकिन डिफेंडर का पैर बाउंड्स से बाहर है, जबकि रेडर अभी भी बाउंड्स में है, तो परिणाम क्या होगा?")</f>
        <v>यदि किसी रेडर को डिफेंडर द्वारा छुआ जाता है, लेकिन डिफेंडर का पैर बाउंड्स से बाहर है, जबकि रेडर अभी भी बाउंड्स में है, तो परिणाम क्या होगा?</v>
      </c>
      <c r="H134" s="3" t="str">
        <f>IFERROR(__xludf.DUMMYFUNCTION("GOOGLETRANSLATE(C134, ""en"", ""hi"")"),"A) रेडर आउट हो गया है, B) डिफेंडर आउट हो गया है, C) दोनों खिलाड़ी आउट हो गए हैं, D) रेड जारी है")</f>
        <v>A) रेडर आउट हो गया है, B) डिफेंडर आउट हो गया है, C) दोनों खिलाड़ी आउट हो गए हैं, D) रेड जारी है</v>
      </c>
      <c r="I134" s="3" t="str">
        <f>IFERROR(__xludf.DUMMYFUNCTION("GOOGLETRANSLATE(D134, ""en"", ""hi"")"),"B) डिफेंडर आउट हो गया है")</f>
        <v>B) डिफेंडर आउट हो गया है</v>
      </c>
    </row>
    <row r="135" ht="22.5" customHeight="1">
      <c r="A135" s="2">
        <v>134.0</v>
      </c>
      <c r="B135" s="3" t="s">
        <v>311</v>
      </c>
      <c r="C135" s="3" t="s">
        <v>253</v>
      </c>
      <c r="D135" s="3" t="s">
        <v>167</v>
      </c>
      <c r="F135" s="3" t="str">
        <f>IFERROR(__xludf.DUMMYFUNCTION("GOOGLETRANSLATE(A135, ""en"", ""hi"")"),"134")</f>
        <v>134</v>
      </c>
      <c r="G135" s="3" t="str">
        <f>IFERROR(__xludf.DUMMYFUNCTION("GOOGLETRANSLATE(B135, ""en"", ""hi"")"),"कबड्डी मैच में यदि डिफेंडर रेडर को पकड़ लेता है लेकिन बाउंड्री से बाहर चला जाता है तो परिणाम क्या होगा?")</f>
        <v>कबड्डी मैच में यदि डिफेंडर रेडर को पकड़ लेता है लेकिन बाउंड्री से बाहर चला जाता है तो परिणाम क्या होगा?</v>
      </c>
      <c r="H135" s="3" t="str">
        <f>IFERROR(__xludf.DUMMYFUNCTION("GOOGLETRANSLATE(C135,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35" s="3" t="str">
        <f>IFERROR(__xludf.DUMMYFUNCTION("GOOGLETRANSLATE(D135, ""en"", ""hi"")"),"A) डिफेंडर आउट हो गया है")</f>
        <v>A) डिफेंडर आउट हो गया है</v>
      </c>
    </row>
    <row r="136" ht="22.5" customHeight="1">
      <c r="A136" s="2">
        <v>135.0</v>
      </c>
      <c r="B136" s="3" t="s">
        <v>312</v>
      </c>
      <c r="C136" s="3" t="s">
        <v>308</v>
      </c>
      <c r="D136" s="3" t="s">
        <v>140</v>
      </c>
      <c r="F136" s="3" t="str">
        <f>IFERROR(__xludf.DUMMYFUNCTION("GOOGLETRANSLATE(A136, ""en"", ""hi"")"),"135")</f>
        <v>135</v>
      </c>
      <c r="G136" s="3" t="str">
        <f>IFERROR(__xludf.DUMMYFUNCTION("GOOGLETRANSLATE(B136, ""en"", ""hi"")"),"यदि कोई रेडर बोनस लाइन को छूता है, लेकिन अपनी टीम में लौटने से पहले ही उसे टैकल कर दिया जाता है, तो क्या होगा?")</f>
        <v>यदि कोई रेडर बोनस लाइन को छूता है, लेकिन अपनी टीम में लौटने से पहले ही उसे टैकल कर दिया जाता है, तो क्या होगा?</v>
      </c>
      <c r="H136" s="3" t="str">
        <f>IFERROR(__xludf.DUMMYFUNCTION("GOOGLETRANSLATE(C136, ""en"", ""hi"")"),"A) रेडर आउट हो जाता है, B) रेडर 1 अंक अर्जित करता है, C) रेड की समीक्षा की जाती है, D) बचाव करने वाली टीम 1 अंक अर्जित करती है")</f>
        <v>A) रेडर आउट हो जाता है, B) रेडर 1 अंक अर्जित करता है, C) रेड की समीक्षा की जाती है, D) बचाव करने वाली टीम 1 अंक अर्जित करती है</v>
      </c>
      <c r="I136" s="3" t="str">
        <f>IFERROR(__xludf.DUMMYFUNCTION("GOOGLETRANSLATE(D136, ""en"", ""hi"")"),"A) हमलावर बाहर है")</f>
        <v>A) हमलावर बाहर है</v>
      </c>
    </row>
    <row r="137" ht="22.5" customHeight="1">
      <c r="A137" s="2">
        <v>136.0</v>
      </c>
      <c r="B137" s="3" t="s">
        <v>313</v>
      </c>
      <c r="C137" s="3" t="s">
        <v>314</v>
      </c>
      <c r="D137" s="3" t="s">
        <v>232</v>
      </c>
      <c r="F137" s="3" t="str">
        <f>IFERROR(__xludf.DUMMYFUNCTION("GOOGLETRANSLATE(A137, ""en"", ""hi"")"),"136")</f>
        <v>136</v>
      </c>
      <c r="G137" s="3" t="str">
        <f>IFERROR(__xludf.DUMMYFUNCTION("GOOGLETRANSLATE(B137, ""en"", ""hi"")"),"यदि कोई रेडर दो डिफेंडरों को छू लेता है और अपने हाफ में लौटने से पहले ही उसे टैकल कर लिया जाता है तो परिणाम क्या होगा?")</f>
        <v>यदि कोई रेडर दो डिफेंडरों को छू लेता है और अपने हाफ में लौटने से पहले ही उसे टैकल कर लिया जाता है तो परिणाम क्या होगा?</v>
      </c>
      <c r="H137" s="3" t="str">
        <f>IFERROR(__xludf.DUMMYFUNCTION("GOOGLETRANSLATE(C137, ""en"", ""hi"")"),"A) रेडर को 2 अंक मिलते हैं, B) रेडर आउट हो जाता है, C) दोनों डिफेंडर आउट हो जाते हैं, D) रेड रद्द हो जाती है")</f>
        <v>A) रेडर को 2 अंक मिलते हैं, B) रेडर आउट हो जाता है, C) दोनों डिफेंडर आउट हो जाते हैं, D) रेड रद्द हो जाती है</v>
      </c>
      <c r="I137" s="3" t="str">
        <f>IFERROR(__xludf.DUMMYFUNCTION("GOOGLETRANSLATE(D137, ""en"", ""hi"")"),"A) रेडर को 2 अंक मिलते हैं")</f>
        <v>A) रेडर को 2 अंक मिलते हैं</v>
      </c>
    </row>
    <row r="138" ht="22.5" customHeight="1">
      <c r="A138" s="2">
        <v>137.0</v>
      </c>
      <c r="B138" s="3" t="s">
        <v>315</v>
      </c>
      <c r="C138" s="3" t="s">
        <v>295</v>
      </c>
      <c r="D138" s="3" t="s">
        <v>148</v>
      </c>
      <c r="F138" s="3" t="str">
        <f>IFERROR(__xludf.DUMMYFUNCTION("GOOGLETRANSLATE(A138, ""en"", ""hi"")"),"137")</f>
        <v>137</v>
      </c>
      <c r="G138" s="3" t="str">
        <f>IFERROR(__xludf.DUMMYFUNCTION("GOOGLETRANSLATE(B138, ""en"", ""hi"")"),"यदि किसी रेडर को डिफेंडर की जर्सी पकड़े हुए टैकल किया जाता है और दोनों खिलाड़ी बाउंड्री से बाहर चले जाते हैं तो क्या होगा?")</f>
        <v>यदि किसी रेडर को डिफेंडर की जर्सी पकड़े हुए टैकल किया जाता है और दोनों खिलाड़ी बाउंड्री से बाहर चले जाते हैं तो क्या होगा?</v>
      </c>
      <c r="H138" s="3" t="str">
        <f>IFERROR(__xludf.DUMMYFUNCTION("GOOGLETRANSLATE(C138, ""en"", ""hi"")"),"A) रेडर आउट हो गया है, B) डिफेंडर आउट हो गया है, C) दोनों खिलाड़ी आउट हो गए हैं, D) रेड जारी है")</f>
        <v>A) रेडर आउट हो गया है, B) डिफेंडर आउट हो गया है, C) दोनों खिलाड़ी आउट हो गए हैं, D) रेड जारी है</v>
      </c>
      <c r="I138" s="3" t="str">
        <f>IFERROR(__xludf.DUMMYFUNCTION("GOOGLETRANSLATE(D138, ""en"", ""hi"")"),"B) डिफेंडर आउट हो गया है")</f>
        <v>B) डिफेंडर आउट हो गया है</v>
      </c>
    </row>
    <row r="139" ht="22.5" customHeight="1">
      <c r="A139" s="2">
        <v>138.0</v>
      </c>
      <c r="B139" s="3" t="s">
        <v>316</v>
      </c>
      <c r="C139" s="3" t="s">
        <v>266</v>
      </c>
      <c r="D139" s="3" t="s">
        <v>167</v>
      </c>
      <c r="F139" s="3" t="str">
        <f>IFERROR(__xludf.DUMMYFUNCTION("GOOGLETRANSLATE(A139, ""en"", ""hi"")"),"138")</f>
        <v>138</v>
      </c>
      <c r="G139" s="3" t="str">
        <f>IFERROR(__xludf.DUMMYFUNCTION("GOOGLETRANSLATE(B139, ""en"", ""hi"")"),"यदि कोई रेडर किसी डिफेंडर को छूता है लेकिन डिफेंडर रेडर को पकड़ते हुए सीमा से बाहर चला जाता है, तो परिणाम क्या होगा?")</f>
        <v>यदि कोई रेडर किसी डिफेंडर को छूता है लेकिन डिफेंडर रेडर को पकड़ते हुए सीमा से बाहर चला जाता है, तो परिणाम क्या होगा?</v>
      </c>
      <c r="H139" s="3" t="str">
        <f>IFERROR(__xludf.DUMMYFUNCTION("GOOGLETRANSLATE(C139, ""en"", ""hi"")"),"A) डिफेंडर आउट हो गया है, B) रेडर आउट हो गया है, C) दोनों खिलाड़ी आउट हो गए हैं, D) रेड की समीक्षा की गई है")</f>
        <v>A) डिफेंडर आउट हो गया है, B) रेडर आउट हो गया है, C) दोनों खिलाड़ी आउट हो गए हैं, D) रेड की समीक्षा की गई है</v>
      </c>
      <c r="I139" s="3" t="str">
        <f>IFERROR(__xludf.DUMMYFUNCTION("GOOGLETRANSLATE(D139, ""en"", ""hi"")"),"A) डिफेंडर आउट हो गया है")</f>
        <v>A) डिफेंडर आउट हो गया है</v>
      </c>
    </row>
    <row r="140" ht="22.5" customHeight="1">
      <c r="A140" s="2">
        <v>139.0</v>
      </c>
      <c r="B140" s="3" t="s">
        <v>317</v>
      </c>
      <c r="C140" s="3" t="s">
        <v>318</v>
      </c>
      <c r="D140" s="3" t="s">
        <v>140</v>
      </c>
      <c r="F140" s="3" t="str">
        <f>IFERROR(__xludf.DUMMYFUNCTION("GOOGLETRANSLATE(A140, ""en"", ""hi"")"),"139")</f>
        <v>139</v>
      </c>
      <c r="G140" s="3" t="str">
        <f>IFERROR(__xludf.DUMMYFUNCTION("GOOGLETRANSLATE(B140, ""en"", ""hi"")"),"ऐसी स्थिति में जहां एक रेडर को टैकल किया जाता है, लेकिन वह नीचे गिरने से पहले बोनस लाइन को छूने में सफल हो जाता है, तो निर्णय क्या होगा?")</f>
        <v>ऐसी स्थिति में जहां एक रेडर को टैकल किया जाता है, लेकिन वह नीचे गिरने से पहले बोनस लाइन को छूने में सफल हो जाता है, तो निर्णय क्या होगा?</v>
      </c>
      <c r="H140" s="3" t="str">
        <f>IFERROR(__xludf.DUMMYFUNCTION("GOOGLETRANSLATE(C140, ""en"", ""hi"")"),"A) रेडर आउट हो गया, B) रेडर को 1 अंक मिला, C) रेड अमान्य है, D) डिफेंडर आउट हो गया")</f>
        <v>A) रेडर आउट हो गया, B) रेडर को 1 अंक मिला, C) रेड अमान्य है, D) डिफेंडर आउट हो गया</v>
      </c>
      <c r="I140" s="3" t="str">
        <f>IFERROR(__xludf.DUMMYFUNCTION("GOOGLETRANSLATE(D140, ""en"", ""hi"")"),"A) हमलावर बाहर है")</f>
        <v>A) हमलावर बाहर है</v>
      </c>
    </row>
    <row r="141" ht="22.5" customHeight="1">
      <c r="A141" s="2">
        <v>140.0</v>
      </c>
      <c r="B141" s="3" t="s">
        <v>319</v>
      </c>
      <c r="C141" s="3" t="s">
        <v>320</v>
      </c>
      <c r="D141" s="3" t="s">
        <v>167</v>
      </c>
      <c r="F141" s="3" t="str">
        <f>IFERROR(__xludf.DUMMYFUNCTION("GOOGLETRANSLATE(A141, ""en"", ""hi"")"),"140")</f>
        <v>140</v>
      </c>
      <c r="G141" s="3" t="str">
        <f>IFERROR(__xludf.DUMMYFUNCTION("GOOGLETRANSLATE(B141, ""en"", ""hi"")"),"यदि किसी रेडर को टैकल किया जाता है और डिफेंडर रेडर को पकड़ते हुए सीमा से बाहर चला जाता है, तो परिणाम क्या होगा?")</f>
        <v>यदि किसी रेडर को टैकल किया जाता है और डिफेंडर रेडर को पकड़ते हुए सीमा से बाहर चला जाता है, तो परिणाम क्या होगा?</v>
      </c>
      <c r="H141" s="3" t="str">
        <f>IFERROR(__xludf.DUMMYFUNCTION("GOOGLETRANSLATE(C141, ""en"", ""hi"")"),"A) डिफेंडर आउट हो गया है, B) रेडर आउट हो गया है, C) दोनों खिलाड़ी खेलना जारी रखते हैं, D) रेड रद्द हो गई है")</f>
        <v>A) डिफेंडर आउट हो गया है, B) रेडर आउट हो गया है, C) दोनों खिलाड़ी खेलना जारी रखते हैं, D) रेड रद्द हो गई है</v>
      </c>
      <c r="I141" s="3" t="str">
        <f>IFERROR(__xludf.DUMMYFUNCTION("GOOGLETRANSLATE(D141, ""en"", ""hi"")"),"A) डिफेंडर आउट हो गया है")</f>
        <v>A) डिफेंडर आउट हो गया है</v>
      </c>
    </row>
    <row r="142" ht="22.5" customHeight="1">
      <c r="A142" s="2">
        <v>141.0</v>
      </c>
      <c r="B142" s="3" t="s">
        <v>321</v>
      </c>
      <c r="C142" s="3" t="s">
        <v>322</v>
      </c>
      <c r="D142" s="3" t="s">
        <v>140</v>
      </c>
      <c r="F142" s="3" t="str">
        <f>IFERROR(__xludf.DUMMYFUNCTION("GOOGLETRANSLATE(A142, ""en"", ""hi"")"),"141")</f>
        <v>141</v>
      </c>
      <c r="G142" s="3" t="str">
        <f>IFERROR(__xludf.DUMMYFUNCTION("GOOGLETRANSLATE(B142, ""en"", ""hi"")"),"यदि कोई रेडर किसी डिफेंडर को छू लेता है और उसे कोई अन्य डिफेंडर टैकल कर लेता है, जो कि बाउंड्स से बाहर है, तो क्या होगा?")</f>
        <v>यदि कोई रेडर किसी डिफेंडर को छू लेता है और उसे कोई अन्य डिफेंडर टैकल कर लेता है, जो कि बाउंड्स से बाहर है, तो क्या होगा?</v>
      </c>
      <c r="H142" s="3" t="str">
        <f>IFERROR(__xludf.DUMMYFUNCTION("GOOGLETRANSLATE(C142, ""en"", ""hi"")"),"A) रेडर आउट हो गया है, B) पहले टैकल करने वाला डिफेंडर आउट हो गया है, C) दोनों डिफेंडर आउट हो गए हैं, D) रेड की समीक्षा की गई है")</f>
        <v>A) रेडर आउट हो गया है, B) पहले टैकल करने वाला डिफेंडर आउट हो गया है, C) दोनों डिफेंडर आउट हो गए हैं, D) रेड की समीक्षा की गई है</v>
      </c>
      <c r="I142" s="3" t="str">
        <f>IFERROR(__xludf.DUMMYFUNCTION("GOOGLETRANSLATE(D142, ""en"", ""hi"")"),"A) हमलावर बाहर है")</f>
        <v>A) हमलावर बाहर है</v>
      </c>
    </row>
    <row r="143" ht="22.5" customHeight="1">
      <c r="A143" s="2">
        <v>142.0</v>
      </c>
      <c r="B143" s="3" t="s">
        <v>323</v>
      </c>
      <c r="C143" s="3" t="s">
        <v>253</v>
      </c>
      <c r="D143" s="3" t="s">
        <v>167</v>
      </c>
      <c r="F143" s="3" t="str">
        <f>IFERROR(__xludf.DUMMYFUNCTION("GOOGLETRANSLATE(A143, ""en"", ""hi"")"),"142")</f>
        <v>142</v>
      </c>
      <c r="G143" s="3" t="str">
        <f>IFERROR(__xludf.DUMMYFUNCTION("GOOGLETRANSLATE(B143, ""en"", ""hi"")"),"रेड के दौरान, यदि रेडर को डिफेंडर द्वारा छुआ जाता है लेकिन डिफेंडर का पैर सीमा से बाहर है, तो क्या होगा?")</f>
        <v>रेड के दौरान, यदि रेडर को डिफेंडर द्वारा छुआ जाता है लेकिन डिफेंडर का पैर सीमा से बाहर है, तो क्या होगा?</v>
      </c>
      <c r="H143" s="3" t="str">
        <f>IFERROR(__xludf.DUMMYFUNCTION("GOOGLETRANSLATE(C143,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43" s="3" t="str">
        <f>IFERROR(__xludf.DUMMYFUNCTION("GOOGLETRANSLATE(D143, ""en"", ""hi"")"),"A) डिफेंडर आउट हो गया है")</f>
        <v>A) डिफेंडर आउट हो गया है</v>
      </c>
    </row>
    <row r="144" ht="22.5" customHeight="1">
      <c r="A144" s="2">
        <v>143.0</v>
      </c>
      <c r="B144" s="3" t="s">
        <v>324</v>
      </c>
      <c r="C144" s="3" t="s">
        <v>325</v>
      </c>
      <c r="D144" s="3" t="s">
        <v>140</v>
      </c>
      <c r="F144" s="3" t="str">
        <f>IFERROR(__xludf.DUMMYFUNCTION("GOOGLETRANSLATE(A144, ""en"", ""hi"")"),"143")</f>
        <v>143</v>
      </c>
      <c r="G144" s="3" t="str">
        <f>IFERROR(__xludf.DUMMYFUNCTION("GOOGLETRANSLATE(B144, ""en"", ""hi"")"),"यदि कोई रेडर बोनस लाइन को छूता है, लेकिन अपने हाफ तक पहुंचने से पहले ही उसे टैकल कर दिया जाता है, तो परिणाम क्या होगा?")</f>
        <v>यदि कोई रेडर बोनस लाइन को छूता है, लेकिन अपने हाफ तक पहुंचने से पहले ही उसे टैकल कर दिया जाता है, तो परिणाम क्या होगा?</v>
      </c>
      <c r="H144" s="3" t="str">
        <f>IFERROR(__xludf.DUMMYFUNCTION("GOOGLETRANSLATE(C144, ""en"", ""hi"")"),"A) रेडर आउट हो जाता है, B) रेडर 1 अंक अर्जित करता है, C) रेड अमान्य हो जाती है, D) बचाव करने वाली टीम को एक अंक मिलता है")</f>
        <v>A) रेडर आउट हो जाता है, B) रेडर 1 अंक अर्जित करता है, C) रेड अमान्य हो जाती है, D) बचाव करने वाली टीम को एक अंक मिलता है</v>
      </c>
      <c r="I144" s="3" t="str">
        <f>IFERROR(__xludf.DUMMYFUNCTION("GOOGLETRANSLATE(D144, ""en"", ""hi"")"),"A) हमलावर बाहर है")</f>
        <v>A) हमलावर बाहर है</v>
      </c>
    </row>
    <row r="145" ht="22.5" customHeight="1">
      <c r="A145" s="2">
        <v>144.0</v>
      </c>
      <c r="B145" s="3" t="s">
        <v>326</v>
      </c>
      <c r="C145" s="3" t="s">
        <v>253</v>
      </c>
      <c r="D145" s="3" t="s">
        <v>167</v>
      </c>
      <c r="F145" s="3" t="str">
        <f>IFERROR(__xludf.DUMMYFUNCTION("GOOGLETRANSLATE(A145, ""en"", ""hi"")"),"144")</f>
        <v>144</v>
      </c>
      <c r="G145" s="3" t="str">
        <f>IFERROR(__xludf.DUMMYFUNCTION("GOOGLETRANSLATE(B145, ""en"", ""hi"")"),"कबड्डी मैच में, यदि कोई रेडर किसी डिफेंडर को छूता है लेकिन डिफेंडर रेडर को पकड़ते हुए सीमा से बाहर चला जाता है, तो परिणाम क्या होगा?")</f>
        <v>कबड्डी मैच में, यदि कोई रेडर किसी डिफेंडर को छूता है लेकिन डिफेंडर रेडर को पकड़ते हुए सीमा से बाहर चला जाता है, तो परिणाम क्या होगा?</v>
      </c>
      <c r="H145" s="3" t="str">
        <f>IFERROR(__xludf.DUMMYFUNCTION("GOOGLETRANSLATE(C145,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45" s="3" t="str">
        <f>IFERROR(__xludf.DUMMYFUNCTION("GOOGLETRANSLATE(D145, ""en"", ""hi"")"),"A) डिफेंडर आउट हो गया है")</f>
        <v>A) डिफेंडर आउट हो गया है</v>
      </c>
    </row>
    <row r="146" ht="22.5" customHeight="1">
      <c r="A146" s="2">
        <v>145.0</v>
      </c>
      <c r="B146" s="3" t="s">
        <v>327</v>
      </c>
      <c r="C146" s="3" t="s">
        <v>328</v>
      </c>
      <c r="D146" s="3" t="s">
        <v>167</v>
      </c>
      <c r="F146" s="3" t="str">
        <f>IFERROR(__xludf.DUMMYFUNCTION("GOOGLETRANSLATE(A146, ""en"", ""hi"")"),"145")</f>
        <v>145</v>
      </c>
      <c r="G146" s="3" t="str">
        <f>IFERROR(__xludf.DUMMYFUNCTION("GOOGLETRANSLATE(B146, ""en"", ""hi"")"),"क्या होता है जब किसी रेडर को टैकल किया जाता है और डिफेंडर रेडर को पकड़ कर रखता है लेकिन सीमा से बाहर चला जाता है?")</f>
        <v>क्या होता है जब किसी रेडर को टैकल किया जाता है और डिफेंडर रेडर को पकड़ कर रखता है लेकिन सीमा से बाहर चला जाता है?</v>
      </c>
      <c r="H146" s="3" t="str">
        <f>IFERROR(__xludf.DUMMYFUNCTION("GOOGLETRANSLATE(C146, ""en"", ""hi"")"),"A) डिफेंडर आउट हो गया है, B) रेडर आउट हो गया है, C) दोनों खिलाड़ी खेल जारी रखते हैं, D) रेड की समीक्षा की जाती है")</f>
        <v>A) डिफेंडर आउट हो गया है, B) रेडर आउट हो गया है, C) दोनों खिलाड़ी खेल जारी रखते हैं, D) रेड की समीक्षा की जाती है</v>
      </c>
      <c r="I146" s="3" t="str">
        <f>IFERROR(__xludf.DUMMYFUNCTION("GOOGLETRANSLATE(D146, ""en"", ""hi"")"),"A) डिफेंडर आउट हो गया है")</f>
        <v>A) डिफेंडर आउट हो गया है</v>
      </c>
    </row>
    <row r="147" ht="22.5" customHeight="1">
      <c r="A147" s="2">
        <v>146.0</v>
      </c>
      <c r="B147" s="3" t="s">
        <v>329</v>
      </c>
      <c r="C147" s="3" t="s">
        <v>279</v>
      </c>
      <c r="D147" s="3" t="s">
        <v>140</v>
      </c>
      <c r="F147" s="3" t="str">
        <f>IFERROR(__xludf.DUMMYFUNCTION("GOOGLETRANSLATE(A147, ""en"", ""hi"")"),"146")</f>
        <v>146</v>
      </c>
      <c r="G147" s="3" t="str">
        <f>IFERROR(__xludf.DUMMYFUNCTION("GOOGLETRANSLATE(B147, ""en"", ""hi"")"),"यदि कोई रेडर मध्य रेखा पार कर जाता है और एक साथ कई डिफेंडरों द्वारा उसे टैकल कर दिया जाता है, तो परिणाम क्या होगा?")</f>
        <v>यदि कोई रेडर मध्य रेखा पार कर जाता है और एक साथ कई डिफेंडरों द्वारा उसे टैकल कर दिया जाता है, तो परिणाम क्या होगा?</v>
      </c>
      <c r="H147" s="3" t="str">
        <f>IFERROR(__xludf.DUMMYFUNCTION("GOOGLETRANSLATE(C147, ""en"", ""hi"")"),"A) रेडर आउट हो गया है, B) सभी डिफेंडर आउट हो गए हैं, C) रेड की समीक्षा की गई है, D) रेडर 1 अंक अर्जित करता है")</f>
        <v>A) रेडर आउट हो गया है, B) सभी डिफेंडर आउट हो गए हैं, C) रेड की समीक्षा की गई है, D) रेडर 1 अंक अर्जित करता है</v>
      </c>
      <c r="I147" s="3" t="str">
        <f>IFERROR(__xludf.DUMMYFUNCTION("GOOGLETRANSLATE(D147, ""en"", ""hi"")"),"A) हमलावर बाहर है")</f>
        <v>A) हमलावर बाहर है</v>
      </c>
    </row>
    <row r="148" ht="22.5" customHeight="1">
      <c r="A148" s="2">
        <v>147.0</v>
      </c>
      <c r="B148" s="3" t="s">
        <v>330</v>
      </c>
      <c r="C148" s="3" t="s">
        <v>331</v>
      </c>
      <c r="D148" s="3" t="s">
        <v>148</v>
      </c>
      <c r="F148" s="3" t="str">
        <f>IFERROR(__xludf.DUMMYFUNCTION("GOOGLETRANSLATE(A148, ""en"", ""hi"")"),"147")</f>
        <v>147</v>
      </c>
      <c r="G148" s="3" t="str">
        <f>IFERROR(__xludf.DUMMYFUNCTION("GOOGLETRANSLATE(B148, ""en"", ""hi"")"),"रेड के दौरान, यदि कोई रेडर किसी डिफेंडर को छू लेता है और डिफेंडर तुरन्त सीमा से बाहर चला जाता है, तो क्या होता है?")</f>
        <v>रेड के दौरान, यदि कोई रेडर किसी डिफेंडर को छू लेता है और डिफेंडर तुरन्त सीमा से बाहर चला जाता है, तो क्या होता है?</v>
      </c>
      <c r="H148" s="3" t="str">
        <f>IFERROR(__xludf.DUMMYFUNCTION("GOOGLETRANSLATE(C148, ""en"", ""hi"")"),"A) रेडर को 1 अंक मिलता है, B) डिफेंडर आउट हो जाता है, C) दोनों खिलाड़ी आउट हो जाते हैं, D) रेड अमान्य हो जाती है")</f>
        <v>A) रेडर को 1 अंक मिलता है, B) डिफेंडर आउट हो जाता है, C) दोनों खिलाड़ी आउट हो जाते हैं, D) रेड अमान्य हो जाती है</v>
      </c>
      <c r="I148" s="3" t="str">
        <f>IFERROR(__xludf.DUMMYFUNCTION("GOOGLETRANSLATE(D148, ""en"", ""hi"")"),"B) डिफेंडर आउट हो गया है")</f>
        <v>B) डिफेंडर आउट हो गया है</v>
      </c>
    </row>
    <row r="149" ht="22.5" customHeight="1">
      <c r="A149" s="2">
        <v>148.0</v>
      </c>
      <c r="B149" s="3" t="s">
        <v>332</v>
      </c>
      <c r="C149" s="3" t="s">
        <v>314</v>
      </c>
      <c r="D149" s="3" t="s">
        <v>232</v>
      </c>
      <c r="F149" s="3" t="str">
        <f>IFERROR(__xludf.DUMMYFUNCTION("GOOGLETRANSLATE(A149, ""en"", ""hi"")"),"148")</f>
        <v>148</v>
      </c>
      <c r="G149" s="3" t="str">
        <f>IFERROR(__xludf.DUMMYFUNCTION("GOOGLETRANSLATE(B149, ""en"", ""hi"")"),"यदि किसी रेडर को सफलतापूर्वक टैकल कर लिया जाता है, लेकिन नीचे गिरने से पहले वह दो डिफेंडरों को छू लेता है, तो क्या होगा?")</f>
        <v>यदि किसी रेडर को सफलतापूर्वक टैकल कर लिया जाता है, लेकिन नीचे गिरने से पहले वह दो डिफेंडरों को छू लेता है, तो क्या होगा?</v>
      </c>
      <c r="H149" s="3" t="str">
        <f>IFERROR(__xludf.DUMMYFUNCTION("GOOGLETRANSLATE(C149, ""en"", ""hi"")"),"A) रेडर को 2 अंक मिलते हैं, B) रेडर आउट हो जाता है, C) दोनों डिफेंडर आउट हो जाते हैं, D) रेड रद्द हो जाती है")</f>
        <v>A) रेडर को 2 अंक मिलते हैं, B) रेडर आउट हो जाता है, C) दोनों डिफेंडर आउट हो जाते हैं, D) रेड रद्द हो जाती है</v>
      </c>
      <c r="I149" s="3" t="str">
        <f>IFERROR(__xludf.DUMMYFUNCTION("GOOGLETRANSLATE(D149, ""en"", ""hi"")"),"A) रेडर को 2 अंक मिलते हैं")</f>
        <v>A) रेडर को 2 अंक मिलते हैं</v>
      </c>
    </row>
    <row r="150" ht="22.5" customHeight="1">
      <c r="A150" s="2">
        <v>149.0</v>
      </c>
      <c r="B150" s="3" t="s">
        <v>333</v>
      </c>
      <c r="C150" s="3" t="s">
        <v>334</v>
      </c>
      <c r="D150" s="3" t="s">
        <v>140</v>
      </c>
      <c r="F150" s="3" t="str">
        <f>IFERROR(__xludf.DUMMYFUNCTION("GOOGLETRANSLATE(A150, ""en"", ""hi"")"),"149")</f>
        <v>149</v>
      </c>
      <c r="G150" s="3" t="str">
        <f>IFERROR(__xludf.DUMMYFUNCTION("GOOGLETRANSLATE(B150, ""en"", ""hi"")"),"कबड्डी मैच में, यदि कोई रेडर बोनस लाइन को छूता है, लेकिन मिडलाइन पार करने से पहले डिफेंडर द्वारा उसे टैकल कर दिया जाता है, तो निर्णय क्या होगा?")</f>
        <v>कबड्डी मैच में, यदि कोई रेडर बोनस लाइन को छूता है, लेकिन मिडलाइन पार करने से पहले डिफेंडर द्वारा उसे टैकल कर दिया जाता है, तो निर्णय क्या होगा?</v>
      </c>
      <c r="H150" s="3" t="str">
        <f>IFERROR(__xludf.DUMMYFUNCTION("GOOGLETRANSLATE(C150, ""en"", ""hi"")"),"A) रेडर आउट हो जाता है, B) रेडर 1 अंक अर्जित करता है, C) रेड की समीक्षा की जाती है, D) बचाव करने वाली टीम को एक अंक मिलता है")</f>
        <v>A) रेडर आउट हो जाता है, B) रेडर 1 अंक अर्जित करता है, C) रेड की समीक्षा की जाती है, D) बचाव करने वाली टीम को एक अंक मिलता है</v>
      </c>
      <c r="I150" s="3" t="str">
        <f>IFERROR(__xludf.DUMMYFUNCTION("GOOGLETRANSLATE(D150, ""en"", ""hi"")"),"A) हमलावर बाहर है")</f>
        <v>A) हमलावर बाहर है</v>
      </c>
    </row>
    <row r="151" ht="22.5" customHeight="1">
      <c r="A151" s="2">
        <v>150.0</v>
      </c>
      <c r="B151" s="3" t="s">
        <v>335</v>
      </c>
      <c r="C151" s="3" t="s">
        <v>223</v>
      </c>
      <c r="D151" s="3" t="s">
        <v>224</v>
      </c>
      <c r="F151" s="3" t="str">
        <f>IFERROR(__xludf.DUMMYFUNCTION("GOOGLETRANSLATE(A151, ""en"", ""hi"")"),"150")</f>
        <v>150</v>
      </c>
      <c r="G151" s="3" t="str">
        <f>IFERROR(__xludf.DUMMYFUNCTION("GOOGLETRANSLATE(B151, ""en"", ""hi"")"),"यदि कोई रेडर तीन डिफेंडरों को छूने में सफल हो जाता है और बिना टैकल किए अपने हाफ में वापस लौट जाता है तो परिणाम क्या होगा?")</f>
        <v>यदि कोई रेडर तीन डिफेंडरों को छूने में सफल हो जाता है और बिना टैकल किए अपने हाफ में वापस लौट जाता है तो परिणाम क्या होगा?</v>
      </c>
      <c r="H151" s="3" t="str">
        <f>IFERROR(__xludf.DUMMYFUNCTION("GOOGLETRANSLATE(C151, ""en"", ""hi"")"),"A) रेडर को 3 अंक मिलते हैं, B) डिफेंडर ऑल-आउट हो जाते हैं, C) रेड अमान्य हो जाती है, D) रेडर को 2 अंक मिलते हैं")</f>
        <v>A) रेडर को 3 अंक मिलते हैं, B) डिफेंडर ऑल-आउट हो जाते हैं, C) रेड अमान्य हो जाती है, D) रेडर को 2 अंक मिलते हैं</v>
      </c>
      <c r="I151" s="3" t="str">
        <f>IFERROR(__xludf.DUMMYFUNCTION("GOOGLETRANSLATE(D151, ""en"", ""hi"")"),"A) रेडर को 3 अंक मिलते हैं")</f>
        <v>A) रेडर को 3 अंक मिलते हैं</v>
      </c>
    </row>
    <row r="152" ht="22.5" customHeight="1">
      <c r="A152" s="2">
        <v>151.0</v>
      </c>
      <c r="B152" s="3" t="s">
        <v>336</v>
      </c>
      <c r="C152" s="3" t="s">
        <v>328</v>
      </c>
      <c r="D152" s="3" t="s">
        <v>167</v>
      </c>
      <c r="F152" s="3" t="str">
        <f>IFERROR(__xludf.DUMMYFUNCTION("GOOGLETRANSLATE(A152, ""en"", ""hi"")"),"151")</f>
        <v>151</v>
      </c>
      <c r="G152" s="3" t="str">
        <f>IFERROR(__xludf.DUMMYFUNCTION("GOOGLETRANSLATE(B152, ""en"", ""hi"")"),"यदि किसी रेडर को टैकल किया जाता है और डिफेंडर रेडर को पकड़ते हुए सीमा से बाहर चला जाता है, तो क्या होगा?")</f>
        <v>यदि किसी रेडर को टैकल किया जाता है और डिफेंडर रेडर को पकड़ते हुए सीमा से बाहर चला जाता है, तो क्या होगा?</v>
      </c>
      <c r="H152" s="3" t="str">
        <f>IFERROR(__xludf.DUMMYFUNCTION("GOOGLETRANSLATE(C152, ""en"", ""hi"")"),"A) डिफेंडर आउट हो गया है, B) रेडर आउट हो गया है, C) दोनों खिलाड़ी खेल जारी रखते हैं, D) रेड की समीक्षा की जाती है")</f>
        <v>A) डिफेंडर आउट हो गया है, B) रेडर आउट हो गया है, C) दोनों खिलाड़ी खेल जारी रखते हैं, D) रेड की समीक्षा की जाती है</v>
      </c>
      <c r="I152" s="3" t="str">
        <f>IFERROR(__xludf.DUMMYFUNCTION("GOOGLETRANSLATE(D152, ""en"", ""hi"")"),"A) डिफेंडर आउट हो गया है")</f>
        <v>A) डिफेंडर आउट हो गया है</v>
      </c>
    </row>
    <row r="153" ht="22.5" customHeight="1">
      <c r="A153" s="2">
        <v>152.0</v>
      </c>
      <c r="B153" s="3" t="s">
        <v>337</v>
      </c>
      <c r="C153" s="3" t="s">
        <v>320</v>
      </c>
      <c r="D153" s="3" t="s">
        <v>167</v>
      </c>
      <c r="F153" s="3" t="str">
        <f>IFERROR(__xludf.DUMMYFUNCTION("GOOGLETRANSLATE(A153, ""en"", ""hi"")"),"152")</f>
        <v>152</v>
      </c>
      <c r="G153" s="3" t="str">
        <f>IFERROR(__xludf.DUMMYFUNCTION("GOOGLETRANSLATE(B153, ""en"", ""hi"")"),"रेड के दौरान, यदि कोई डिफेंडर रेडर को पकड़ते हुए सीमा से बाहर चला जाता है, तो परिणाम क्या होगा?")</f>
        <v>रेड के दौरान, यदि कोई डिफेंडर रेडर को पकड़ते हुए सीमा से बाहर चला जाता है, तो परिणाम क्या होगा?</v>
      </c>
      <c r="H153" s="3" t="str">
        <f>IFERROR(__xludf.DUMMYFUNCTION("GOOGLETRANSLATE(C153, ""en"", ""hi"")"),"A) डिफेंडर आउट हो गया है, B) रेडर आउट हो गया है, C) दोनों खिलाड़ी खेलना जारी रखते हैं, D) रेड रद्द हो गई है")</f>
        <v>A) डिफेंडर आउट हो गया है, B) रेडर आउट हो गया है, C) दोनों खिलाड़ी खेलना जारी रखते हैं, D) रेड रद्द हो गई है</v>
      </c>
      <c r="I153" s="3" t="str">
        <f>IFERROR(__xludf.DUMMYFUNCTION("GOOGLETRANSLATE(D153, ""en"", ""hi"")"),"A) डिफेंडर आउट हो गया है")</f>
        <v>A) डिफेंडर आउट हो गया है</v>
      </c>
    </row>
    <row r="154" ht="22.5" customHeight="1">
      <c r="A154" s="2">
        <v>153.0</v>
      </c>
      <c r="B154" s="3" t="s">
        <v>338</v>
      </c>
      <c r="C154" s="3" t="s">
        <v>339</v>
      </c>
      <c r="D154" s="3" t="s">
        <v>140</v>
      </c>
      <c r="F154" s="3" t="str">
        <f>IFERROR(__xludf.DUMMYFUNCTION("GOOGLETRANSLATE(A154, ""en"", ""hi"")"),"153")</f>
        <v>153</v>
      </c>
      <c r="G154" s="3" t="str">
        <f>IFERROR(__xludf.DUMMYFUNCTION("GOOGLETRANSLATE(B154, ""en"", ""hi"")"),"यदि किसी रेडर को टैकल कर लिया जाता है, लेकिन वह नीचे गिरने से ठीक पहले बोनस लाइन को छूने में सफल हो जाता है, तो क्या होगा?")</f>
        <v>यदि किसी रेडर को टैकल कर लिया जाता है, लेकिन वह नीचे गिरने से ठीक पहले बोनस लाइन को छूने में सफल हो जाता है, तो क्या होगा?</v>
      </c>
      <c r="H154" s="3" t="str">
        <f>IFERROR(__xludf.DUMMYFUNCTION("GOOGLETRANSLATE(C154, ""en"", ""hi"")"),"A) रेडर आउट हो गया, B) रेडर को 1 अंक मिला, C) रेड की समीक्षा की गई, D) डिफेंडर आउट हो गया")</f>
        <v>A) रेडर आउट हो गया, B) रेडर को 1 अंक मिला, C) रेड की समीक्षा की गई, D) डिफेंडर आउट हो गया</v>
      </c>
      <c r="I154" s="3" t="str">
        <f>IFERROR(__xludf.DUMMYFUNCTION("GOOGLETRANSLATE(D154, ""en"", ""hi"")"),"A) हमलावर बाहर है")</f>
        <v>A) हमलावर बाहर है</v>
      </c>
    </row>
    <row r="155" ht="22.5" customHeight="1">
      <c r="A155" s="2">
        <v>154.0</v>
      </c>
      <c r="B155" s="3" t="s">
        <v>340</v>
      </c>
      <c r="C155" s="3" t="s">
        <v>295</v>
      </c>
      <c r="D155" s="3" t="s">
        <v>148</v>
      </c>
      <c r="F155" s="3" t="str">
        <f>IFERROR(__xludf.DUMMYFUNCTION("GOOGLETRANSLATE(A155, ""en"", ""hi"")"),"154")</f>
        <v>154</v>
      </c>
      <c r="G155" s="3" t="str">
        <f>IFERROR(__xludf.DUMMYFUNCTION("GOOGLETRANSLATE(B155, ""en"", ""hi"")"),"यदि कोई रेडर किसी डिफेंडर को छूता है और डिफेंडर का पैर बाउंड्री से बाहर हो जाता है, जबकि रेडर अभी भी खेल में है, तो परिणाम क्या होगा?")</f>
        <v>यदि कोई रेडर किसी डिफेंडर को छूता है और डिफेंडर का पैर बाउंड्री से बाहर हो जाता है, जबकि रेडर अभी भी खेल में है, तो परिणाम क्या होगा?</v>
      </c>
      <c r="H155" s="3" t="str">
        <f>IFERROR(__xludf.DUMMYFUNCTION("GOOGLETRANSLATE(C155, ""en"", ""hi"")"),"A) रेडर आउट हो गया है, B) डिफेंडर आउट हो गया है, C) दोनों खिलाड़ी आउट हो गए हैं, D) रेड जारी है")</f>
        <v>A) रेडर आउट हो गया है, B) डिफेंडर आउट हो गया है, C) दोनों खिलाड़ी आउट हो गए हैं, D) रेड जारी है</v>
      </c>
      <c r="I155" s="3" t="str">
        <f>IFERROR(__xludf.DUMMYFUNCTION("GOOGLETRANSLATE(D155, ""en"", ""hi"")"),"B) डिफेंडर आउट हो गया है")</f>
        <v>B) डिफेंडर आउट हो गया है</v>
      </c>
    </row>
    <row r="156" ht="22.5" customHeight="1">
      <c r="A156" s="2">
        <v>155.0</v>
      </c>
      <c r="B156" s="3" t="s">
        <v>341</v>
      </c>
      <c r="C156" s="3" t="s">
        <v>342</v>
      </c>
      <c r="D156" s="3" t="s">
        <v>88</v>
      </c>
      <c r="F156" s="3" t="str">
        <f>IFERROR(__xludf.DUMMYFUNCTION("GOOGLETRANSLATE(A156, ""en"", ""hi"")"),"155")</f>
        <v>155</v>
      </c>
      <c r="G156" s="3" t="str">
        <f>IFERROR(__xludf.DUMMYFUNCTION("GOOGLETRANSLATE(B156, ""en"", ""hi"")"),"कबड्डी मैच के दौरान, रेडर रेड मारने जाता है, लेकिन 25 सेकंड तक बिना किसी डिफेंडर को छुए, विरोधी टीम के हाफ में ही रहता है। नतीजा क्या होता है?")</f>
        <v>कबड्डी मैच के दौरान, रेडर रेड मारने जाता है, लेकिन 25 सेकंड तक बिना किसी डिफेंडर को छुए, विरोधी टीम के हाफ में ही रहता है। नतीजा क्या होता है?</v>
      </c>
      <c r="H156" s="3" t="str">
        <f>IFERROR(__xludf.DUMMYFUNCTION("GOOGLETRANSLATE(C156, ""en"", ""hi"")"),"A) रेडर को 1 अंक मिलता है, B) रेडर को आउट घोषित कर दिया जाता है, C) रेड अमान्य हो जाती है, D) बचाव करने वाली टीम को 1 अंक मिलता है")</f>
        <v>A) रेडर को 1 अंक मिलता है, B) रेडर को आउट घोषित कर दिया जाता है, C) रेड अमान्य हो जाती है, D) बचाव करने वाली टीम को 1 अंक मिलता है</v>
      </c>
      <c r="I156" s="3" t="str">
        <f>IFERROR(__xludf.DUMMYFUNCTION("GOOGLETRANSLATE(D156, ""en"", ""hi"")"),"B) रेडर को आउट घोषित कर दिया जाता है")</f>
        <v>B) रेडर को आउट घोषित कर दिया जाता है</v>
      </c>
    </row>
    <row r="157" ht="22.5" customHeight="1">
      <c r="A157" s="2">
        <v>156.0</v>
      </c>
      <c r="B157" s="3" t="s">
        <v>343</v>
      </c>
      <c r="C157" s="3" t="s">
        <v>344</v>
      </c>
      <c r="D157" s="3" t="s">
        <v>345</v>
      </c>
      <c r="F157" s="3" t="str">
        <f>IFERROR(__xludf.DUMMYFUNCTION("GOOGLETRANSLATE(A157, ""en"", ""hi"")"),"156")</f>
        <v>156</v>
      </c>
      <c r="G157" s="3" t="str">
        <f>IFERROR(__xludf.DUMMYFUNCTION("GOOGLETRANSLATE(B157, ""en"", ""hi"")"),"यदि कोई डिफेंडर किसी रेडर का रास्ता रोक लेता है, लेकिन रेडर बिना टैकल किए सफलतापूर्वक बच निकलता है और मध्य रेखा पार कर जाता है, तो क्या होगा?")</f>
        <v>यदि कोई डिफेंडर किसी रेडर का रास्ता रोक लेता है, लेकिन रेडर बिना टैकल किए सफलतापूर्वक बच निकलता है और मध्य रेखा पार कर जाता है, तो क्या होगा?</v>
      </c>
      <c r="H157" s="3" t="str">
        <f>IFERROR(__xludf.DUMMYFUNCTION("GOOGLETRANSLATE(C157, ""en"", ""hi"")"),"A) रेडर आउट हो गया है, B) रेडर 1 अंक अर्जित करता है, C) डिफेंडर आउट हो गया है, D) रेड जारी है")</f>
        <v>A) रेडर आउट हो गया है, B) रेडर 1 अंक अर्जित करता है, C) डिफेंडर आउट हो गया है, D) रेड जारी है</v>
      </c>
      <c r="I157" s="3" t="str">
        <f>IFERROR(__xludf.DUMMYFUNCTION("GOOGLETRANSLATE(D157, ""en"", ""hi"")"),"B) रेडर को 1 अंक मिलता है")</f>
        <v>B) रेडर को 1 अंक मिलता है</v>
      </c>
    </row>
    <row r="158" ht="22.5" customHeight="1">
      <c r="A158" s="2">
        <v>157.0</v>
      </c>
      <c r="B158" s="3" t="s">
        <v>346</v>
      </c>
      <c r="C158" s="3" t="s">
        <v>347</v>
      </c>
      <c r="D158" s="3" t="s">
        <v>140</v>
      </c>
      <c r="F158" s="3" t="str">
        <f>IFERROR(__xludf.DUMMYFUNCTION("GOOGLETRANSLATE(A158, ""en"", ""hi"")"),"157")</f>
        <v>157</v>
      </c>
      <c r="G158" s="3" t="str">
        <f>IFERROR(__xludf.DUMMYFUNCTION("GOOGLETRANSLATE(B158, ""en"", ""hi"")"),"यदि कोई हमलावर गलती से किसी भी रक्षक को छुए बिना लॉबी क्षेत्र में प्रवेश कर जाए तो क्या होगा?")</f>
        <v>यदि कोई हमलावर गलती से किसी भी रक्षक को छुए बिना लॉबी क्षेत्र में प्रवेश कर जाए तो क्या होगा?</v>
      </c>
      <c r="H158" s="3" t="str">
        <f>IFERROR(__xludf.DUMMYFUNCTION("GOOGLETRANSLATE(C158, ""en"", ""hi"")"),"A) रेडर आउट हो गया है, B) रेड अवैध है, C) बचाव करने वाली टीम को एक अंक मिलता है, D) रेड जारी रहती है")</f>
        <v>A) रेडर आउट हो गया है, B) रेड अवैध है, C) बचाव करने वाली टीम को एक अंक मिलता है, D) रेड जारी रहती है</v>
      </c>
      <c r="I158" s="3" t="str">
        <f>IFERROR(__xludf.DUMMYFUNCTION("GOOGLETRANSLATE(D158, ""en"", ""hi"")"),"A) हमलावर बाहर है")</f>
        <v>A) हमलावर बाहर है</v>
      </c>
    </row>
    <row r="159" ht="22.5" customHeight="1">
      <c r="A159" s="2">
        <v>158.0</v>
      </c>
      <c r="B159" s="3" t="s">
        <v>348</v>
      </c>
      <c r="C159" s="3" t="s">
        <v>349</v>
      </c>
      <c r="D159" s="3" t="s">
        <v>232</v>
      </c>
      <c r="F159" s="3" t="str">
        <f>IFERROR(__xludf.DUMMYFUNCTION("GOOGLETRANSLATE(A159, ""en"", ""hi"")"),"158")</f>
        <v>158</v>
      </c>
      <c r="G159" s="3" t="str">
        <f>IFERROR(__xludf.DUMMYFUNCTION("GOOGLETRANSLATE(B159, ""en"", ""hi"")"),"सुपर टैकल के दौरान, एक रेडर को दो डिफेंडरों ने पकड़ रखा है। अगर रेडर बचकर अपने हाफ में वापस आ जाए तो क्या होगा?")</f>
        <v>सुपर टैकल के दौरान, एक रेडर को दो डिफेंडरों ने पकड़ रखा है। अगर रेडर बचकर अपने हाफ में वापस आ जाए तो क्या होगा?</v>
      </c>
      <c r="H159" s="3" t="str">
        <f>IFERROR(__xludf.DUMMYFUNCTION("GOOGLETRANSLATE(C159, ""en"", ""hi"")"),"A) रेडर को 2 अंक मिलते हैं, B) बचाव करने वाली टीम को 1 अंक मिलता है, C) रेड की समीक्षा की जाती है, D) रेडर आउट हो जाता है")</f>
        <v>A) रेडर को 2 अंक मिलते हैं, B) बचाव करने वाली टीम को 1 अंक मिलता है, C) रेड की समीक्षा की जाती है, D) रेडर आउट हो जाता है</v>
      </c>
      <c r="I159" s="3" t="str">
        <f>IFERROR(__xludf.DUMMYFUNCTION("GOOGLETRANSLATE(D159, ""en"", ""hi"")"),"A) रेडर को 2 अंक मिलते हैं")</f>
        <v>A) रेडर को 2 अंक मिलते हैं</v>
      </c>
    </row>
    <row r="160" ht="22.5" customHeight="1">
      <c r="A160" s="2">
        <v>159.0</v>
      </c>
      <c r="B160" s="3" t="s">
        <v>350</v>
      </c>
      <c r="C160" s="3" t="s">
        <v>351</v>
      </c>
      <c r="D160" s="3" t="s">
        <v>237</v>
      </c>
      <c r="F160" s="3" t="str">
        <f>IFERROR(__xludf.DUMMYFUNCTION("GOOGLETRANSLATE(A160, ""en"", ""hi"")"),"159")</f>
        <v>159</v>
      </c>
      <c r="G160" s="3" t="str">
        <f>IFERROR(__xludf.DUMMYFUNCTION("GOOGLETRANSLATE(B160, ""en"", ""hi"")"),"कबड्डी के एक मैच में, एक रेडर दो डिफेंडरों को छूने की कोशिश करता है, लेकिन टैकल होने से पहले वह केवल एक को ही छू पाता है। नतीजा क्या होता है?")</f>
        <v>कबड्डी के एक मैच में, एक रेडर दो डिफेंडरों को छूने की कोशिश करता है, लेकिन टैकल होने से पहले वह केवल एक को ही छू पाता है। नतीजा क्या होता है?</v>
      </c>
      <c r="H160" s="3" t="str">
        <f>IFERROR(__xludf.DUMMYFUNCTION("GOOGLETRANSLATE(C160, ""en"", ""hi"")"),"A) रेडर 1 अंक अर्जित करता है, B) रेडर 2 अंक अर्जित करता है, C) रेड रद्द हो जाती है, D) रेडर आउट हो जाता है")</f>
        <v>A) रेडर 1 अंक अर्जित करता है, B) रेडर 2 अंक अर्जित करता है, C) रेड रद्द हो जाती है, D) रेडर आउट हो जाता है</v>
      </c>
      <c r="I160" s="3" t="str">
        <f>IFERROR(__xludf.DUMMYFUNCTION("GOOGLETRANSLATE(D160, ""en"", ""hi"")"),"A) रेडर को 1 अंक मिलता है")</f>
        <v>A) रेडर को 1 अंक मिलता है</v>
      </c>
    </row>
    <row r="161" ht="22.5" customHeight="1">
      <c r="A161" s="2">
        <v>160.0</v>
      </c>
      <c r="B161" s="3" t="s">
        <v>352</v>
      </c>
      <c r="C161" s="3" t="s">
        <v>353</v>
      </c>
      <c r="D161" s="3" t="s">
        <v>354</v>
      </c>
      <c r="F161" s="3" t="str">
        <f>IFERROR(__xludf.DUMMYFUNCTION("GOOGLETRANSLATE(A161, ""en"", ""hi"")"),"160")</f>
        <v>160</v>
      </c>
      <c r="G161" s="3" t="str">
        <f>IFERROR(__xludf.DUMMYFUNCTION("GOOGLETRANSLATE(B161, ""en"", ""hi"")"),"यदि कोई रेडर किसी डिफेंडर को छूता है और दोनों एक साथ सीमा से बाहर चले जाते हैं, तो क्या होगा?")</f>
        <v>यदि कोई रेडर किसी डिफेंडर को छूता है और दोनों एक साथ सीमा से बाहर चले जाते हैं, तो क्या होगा?</v>
      </c>
      <c r="H161" s="3" t="str">
        <f>IFERROR(__xludf.DUMMYFUNCTION("GOOGLETRANSLATE(C161, ""en"", ""hi"")"),"A) दोनों आउट घोषित कर दिए जाते हैं, B) रेडर आउट घोषित कर दिया जाता है, C) डिफेंडर आउट घोषित कर दिया जाता है, D) रेड जारी रहती है")</f>
        <v>A) दोनों आउट घोषित कर दिए जाते हैं, B) रेडर आउट घोषित कर दिया जाता है, C) डिफेंडर आउट घोषित कर दिया जाता है, D) रेड जारी रहती है</v>
      </c>
      <c r="I161" s="3" t="str">
        <f>IFERROR(__xludf.DUMMYFUNCTION("GOOGLETRANSLATE(D161, ""en"", ""hi"")"),"A) दोनों आउट घोषित किये गए")</f>
        <v>A) दोनों आउट घोषित किये गए</v>
      </c>
    </row>
    <row r="162" ht="22.5" customHeight="1">
      <c r="A162" s="2">
        <v>161.0</v>
      </c>
      <c r="B162" s="3" t="s">
        <v>355</v>
      </c>
      <c r="C162" s="3" t="s">
        <v>356</v>
      </c>
      <c r="D162" s="3" t="s">
        <v>65</v>
      </c>
      <c r="F162" s="3" t="str">
        <f>IFERROR(__xludf.DUMMYFUNCTION("GOOGLETRANSLATE(A162, ""en"", ""hi"")"),"161")</f>
        <v>161</v>
      </c>
      <c r="G162" s="3" t="str">
        <f>IFERROR(__xludf.DUMMYFUNCTION("GOOGLETRANSLATE(B162, ""en"", ""hi"")"),"एक रेडर बोनस लाइन को छूता है और उसी समय एक डिफेंडर उसे पकड़ लेता है। अगर रेडर को उसके हाफ में लौटने से पहले ही टैकल कर दिया जाए तो क्या होगा?")</f>
        <v>एक रेडर बोनस लाइन को छूता है और उसी समय एक डिफेंडर उसे पकड़ लेता है। अगर रेडर को उसके हाफ में लौटने से पहले ही टैकल कर दिया जाए तो क्या होगा?</v>
      </c>
      <c r="H162" s="3" t="str">
        <f>IFERROR(__xludf.DUMMYFUNCTION("GOOGLETRANSLATE(C162, ""en"", ""hi"")"),"A) रेडर को 1 अंक मिलता है, B) रेडर आउट हो जाता है, C) डिफेंडर को 1 अंक मिलता है, D) रेड की समीक्षा की जाती है")</f>
        <v>A) रेडर को 1 अंक मिलता है, B) रेडर आउट हो जाता है, C) डिफेंडर को 1 अंक मिलता है, D) रेड की समीक्षा की जाती है</v>
      </c>
      <c r="I162" s="3" t="str">
        <f>IFERROR(__xludf.DUMMYFUNCTION("GOOGLETRANSLATE(D162, ""en"", ""hi"")"),"बी) हमलावर बाहर है")</f>
        <v>बी) हमलावर बाहर है</v>
      </c>
    </row>
    <row r="163" ht="22.5" customHeight="1">
      <c r="A163" s="2">
        <v>162.0</v>
      </c>
      <c r="B163" s="3" t="s">
        <v>357</v>
      </c>
      <c r="C163" s="3" t="s">
        <v>358</v>
      </c>
      <c r="D163" s="3" t="s">
        <v>224</v>
      </c>
      <c r="F163" s="3" t="str">
        <f>IFERROR(__xludf.DUMMYFUNCTION("GOOGLETRANSLATE(A163, ""en"", ""hi"")"),"162")</f>
        <v>162</v>
      </c>
      <c r="G163" s="3" t="str">
        <f>IFERROR(__xludf.DUMMYFUNCTION("GOOGLETRANSLATE(B163, ""en"", ""hi"")"),"यदि किसी रेडर को सफलतापूर्वक टैकल कर लिया जाता है, लेकिन वह नीचे गिराए जाने से पहले तीन डिफेंडरों को छूने में सफल हो जाता है, तो क्या होगा?")</f>
        <v>यदि किसी रेडर को सफलतापूर्वक टैकल कर लिया जाता है, लेकिन वह नीचे गिराए जाने से पहले तीन डिफेंडरों को छूने में सफल हो जाता है, तो क्या होगा?</v>
      </c>
      <c r="H163" s="3" t="str">
        <f>IFERROR(__xludf.DUMMYFUNCTION("GOOGLETRANSLATE(C163, ""en"", ""hi"")"),"A) रेडर को 3 अंक मिलते हैं, B) रेडर को आउट घोषित कर दिया जाता है, C) सभी डिफेंडरों को आउट घोषित कर दिया जाता है, D) रेड रद्द हो जाती है")</f>
        <v>A) रेडर को 3 अंक मिलते हैं, B) रेडर को आउट घोषित कर दिया जाता है, C) सभी डिफेंडरों को आउट घोषित कर दिया जाता है, D) रेड रद्द हो जाती है</v>
      </c>
      <c r="I163" s="3" t="str">
        <f>IFERROR(__xludf.DUMMYFUNCTION("GOOGLETRANSLATE(D163, ""en"", ""hi"")"),"A) रेडर को 3 अंक मिलते हैं")</f>
        <v>A) रेडर को 3 अंक मिलते हैं</v>
      </c>
    </row>
    <row r="164" ht="22.5" customHeight="1">
      <c r="A164" s="2">
        <v>163.0</v>
      </c>
      <c r="B164" s="3" t="s">
        <v>359</v>
      </c>
      <c r="C164" s="3" t="s">
        <v>360</v>
      </c>
      <c r="D164" s="3" t="s">
        <v>148</v>
      </c>
      <c r="F164" s="3" t="str">
        <f>IFERROR(__xludf.DUMMYFUNCTION("GOOGLETRANSLATE(A164, ""en"", ""hi"")"),"163")</f>
        <v>163</v>
      </c>
      <c r="G164" s="3" t="str">
        <f>IFERROR(__xludf.DUMMYFUNCTION("GOOGLETRANSLATE(B164, ""en"", ""hi"")"),"ऐसी स्थिति में, जहां कोई रेडर मध्य रेखा पार कर जाता है, लेकिन उसे ऐसे डिफेंडर द्वारा टैकल कर दिया जाता है, जिसका पैर सीमा से बाहर है, तो निर्णय क्या होगा?")</f>
        <v>ऐसी स्थिति में, जहां कोई रेडर मध्य रेखा पार कर जाता है, लेकिन उसे ऐसे डिफेंडर द्वारा टैकल कर दिया जाता है, जिसका पैर सीमा से बाहर है, तो निर्णय क्या होगा?</v>
      </c>
      <c r="H164" s="3" t="str">
        <f>IFERROR(__xludf.DUMMYFUNCTION("GOOGLETRANSLATE(C164, ""en"", ""hi"")"),"A) रेडर आउट हो गया है, B) डिफेंडर आउट हो गया है, C) रेड अवैध है, D) रेड जारी है")</f>
        <v>A) रेडर आउट हो गया है, B) डिफेंडर आउट हो गया है, C) रेड अवैध है, D) रेड जारी है</v>
      </c>
      <c r="I164" s="3" t="str">
        <f>IFERROR(__xludf.DUMMYFUNCTION("GOOGLETRANSLATE(D164, ""en"", ""hi"")"),"B) डिफेंडर आउट हो गया है")</f>
        <v>B) डिफेंडर आउट हो गया है</v>
      </c>
    </row>
    <row r="165" ht="22.5" customHeight="1">
      <c r="A165" s="2">
        <v>164.0</v>
      </c>
      <c r="B165" s="3" t="s">
        <v>361</v>
      </c>
      <c r="C165" s="3" t="s">
        <v>362</v>
      </c>
      <c r="D165" s="3" t="s">
        <v>363</v>
      </c>
      <c r="F165" s="3" t="str">
        <f>IFERROR(__xludf.DUMMYFUNCTION("GOOGLETRANSLATE(A165, ""en"", ""hi"")"),"164")</f>
        <v>164</v>
      </c>
      <c r="G165" s="3" t="str">
        <f>IFERROR(__xludf.DUMMYFUNCTION("GOOGLETRANSLATE(B165, ""en"", ""hi"")"),"यदि रेडर लॉबी क्षेत्र में प्रवेश करता है, लेकिन अपने हाफ में लौटने से पहले किसी डिफेंडर को नहीं छूता है, तो परिणाम क्या होगा?")</f>
        <v>यदि रेडर लॉबी क्षेत्र में प्रवेश करता है, लेकिन अपने हाफ में लौटने से पहले किसी डिफेंडर को नहीं छूता है, तो परिणाम क्या होगा?</v>
      </c>
      <c r="H165" s="3" t="str">
        <f>IFERROR(__xludf.DUMMYFUNCTION("GOOGLETRANSLATE(C165, ""en"", ""hi"")"),"A) रेड अवैध है, B) रेडर 1 अंक अर्जित करता है, C) रेडर आउट हो जाता है, D) रेड जारी रहती है")</f>
        <v>A) रेड अवैध है, B) रेडर 1 अंक अर्जित करता है, C) रेडर आउट हो जाता है, D) रेड जारी रहती है</v>
      </c>
      <c r="I165" s="3" t="str">
        <f>IFERROR(__xludf.DUMMYFUNCTION("GOOGLETRANSLATE(D165, ""en"", ""hi"")"),"C) हमलावर बाहर है")</f>
        <v>C) हमलावर बाहर है</v>
      </c>
    </row>
    <row r="166" ht="22.5" customHeight="1">
      <c r="A166" s="2">
        <v>165.0</v>
      </c>
      <c r="B166" s="3" t="s">
        <v>364</v>
      </c>
      <c r="C166" s="3" t="s">
        <v>365</v>
      </c>
      <c r="D166" s="3" t="s">
        <v>366</v>
      </c>
      <c r="F166" s="3" t="str">
        <f>IFERROR(__xludf.DUMMYFUNCTION("GOOGLETRANSLATE(A166, ""en"", ""hi"")"),"165")</f>
        <v>165</v>
      </c>
      <c r="G166" s="3" t="str">
        <f>IFERROR(__xludf.DUMMYFUNCTION("GOOGLETRANSLATE(B166, ""en"", ""hi"")"),"कबड्डी रेड के दौरान, यदि रेडर दो डिफेंडरों को छू लेता है और वे उसे टैकल करते समय सीमा से बाहर चले जाते हैं, तो क्या होता है?")</f>
        <v>कबड्डी रेड के दौरान, यदि रेडर दो डिफेंडरों को छू लेता है और वे उसे टैकल करते समय सीमा से बाहर चले जाते हैं, तो क्या होता है?</v>
      </c>
      <c r="H166" s="3" t="str">
        <f>IFERROR(__xludf.DUMMYFUNCTION("GOOGLETRANSLATE(C166, ""en"", ""hi"")"),"A) रेडर आउट हो गया है, B) डिफेंडर आउट हो गए हैं, C) डिफेंडर और रेडर दोनों आउट हो गए हैं, D) रेड अवैध है")</f>
        <v>A) रेडर आउट हो गया है, B) डिफेंडर आउट हो गए हैं, C) डिफेंडर और रेडर दोनों आउट हो गए हैं, D) रेड अवैध है</v>
      </c>
      <c r="I166" s="3" t="str">
        <f>IFERROR(__xludf.DUMMYFUNCTION("GOOGLETRANSLATE(D166, ""en"", ""hi"")"),"बी) डिफेंडर बाहर हैं")</f>
        <v>बी) डिफेंडर बाहर हैं</v>
      </c>
    </row>
    <row r="167" ht="22.5" customHeight="1">
      <c r="A167" s="2">
        <v>166.0</v>
      </c>
      <c r="B167" s="3" t="s">
        <v>367</v>
      </c>
      <c r="C167" s="3" t="s">
        <v>150</v>
      </c>
      <c r="D167" s="3" t="s">
        <v>148</v>
      </c>
      <c r="F167" s="3" t="str">
        <f>IFERROR(__xludf.DUMMYFUNCTION("GOOGLETRANSLATE(A167, ""en"", ""hi"")"),"166")</f>
        <v>166</v>
      </c>
      <c r="G167" s="3" t="str">
        <f>IFERROR(__xludf.DUMMYFUNCTION("GOOGLETRANSLATE(B167, ""en"", ""hi"")"),"यदि कोई रेडर किसी डिफेंडर को हाथ से छूने का प्रयास करता है, लेकिन डिफेंडर का पैर सीमा रेखा के बाहर है, तो परिणाम क्या होगा?")</f>
        <v>यदि कोई रेडर किसी डिफेंडर को हाथ से छूने का प्रयास करता है, लेकिन डिफेंडर का पैर सीमा रेखा के बाहर है, तो परिणाम क्या होगा?</v>
      </c>
      <c r="H167" s="3" t="str">
        <f>IFERROR(__xludf.DUMMYFUNCTION("GOOGLETRANSLATE(C167, ""en"", ""hi"")"),"A) रेडर आउट हो गया है, B) डिफेंडर आउट हो गया है, C) दोनों खिलाड़ी खेलना जारी रखते हैं, D) रेड अवैध है")</f>
        <v>A) रेडर आउट हो गया है, B) डिफेंडर आउट हो गया है, C) दोनों खिलाड़ी खेलना जारी रखते हैं, D) रेड अवैध है</v>
      </c>
      <c r="I167" s="3" t="str">
        <f>IFERROR(__xludf.DUMMYFUNCTION("GOOGLETRANSLATE(D167, ""en"", ""hi"")"),"B) डिफेंडर आउट हो गया है")</f>
        <v>B) डिफेंडर आउट हो गया है</v>
      </c>
    </row>
    <row r="168" ht="22.5" customHeight="1">
      <c r="A168" s="2">
        <v>167.0</v>
      </c>
      <c r="B168" s="3" t="s">
        <v>368</v>
      </c>
      <c r="C168" s="3" t="s">
        <v>369</v>
      </c>
      <c r="D168" s="3" t="s">
        <v>65</v>
      </c>
      <c r="F168" s="3" t="str">
        <f>IFERROR(__xludf.DUMMYFUNCTION("GOOGLETRANSLATE(A168, ""en"", ""hi"")"),"167")</f>
        <v>167</v>
      </c>
      <c r="G168" s="3" t="str">
        <f>IFERROR(__xludf.DUMMYFUNCTION("GOOGLETRANSLATE(B168, ""en"", ""hi"")"),"करो या मरो वाली रेड के दौरान, यदि रेडर बोनस लाइन को छू लेता है, लेकिन किसी भी डिफेंडर को छूने का प्रयास नहीं करता है, तो क्या होगा?")</f>
        <v>करो या मरो वाली रेड के दौरान, यदि रेडर बोनस लाइन को छू लेता है, लेकिन किसी भी डिफेंडर को छूने का प्रयास नहीं करता है, तो क्या होगा?</v>
      </c>
      <c r="H168" s="3" t="str">
        <f>IFERROR(__xludf.DUMMYFUNCTION("GOOGLETRANSLATE(C168, ""en"", ""hi"")"),"A) रेडर को 1 अंक मिलता है, B) रेडर आउट हो जाता है, C) रेड जारी रहती है, D) रेड रद्द हो जाती है")</f>
        <v>A) रेडर को 1 अंक मिलता है, B) रेडर आउट हो जाता है, C) रेड जारी रहती है, D) रेड रद्द हो जाती है</v>
      </c>
      <c r="I168" s="3" t="str">
        <f>IFERROR(__xludf.DUMMYFUNCTION("GOOGLETRANSLATE(D168, ""en"", ""hi"")"),"बी) हमलावर बाहर है")</f>
        <v>बी) हमलावर बाहर है</v>
      </c>
    </row>
    <row r="169" ht="22.5" customHeight="1">
      <c r="A169" s="2">
        <v>168.0</v>
      </c>
      <c r="B169" s="3" t="s">
        <v>370</v>
      </c>
      <c r="C169" s="3" t="s">
        <v>371</v>
      </c>
      <c r="D169" s="3" t="s">
        <v>140</v>
      </c>
      <c r="F169" s="3" t="str">
        <f>IFERROR(__xludf.DUMMYFUNCTION("GOOGLETRANSLATE(A169, ""en"", ""hi"")"),"168")</f>
        <v>168</v>
      </c>
      <c r="G169" s="3" t="str">
        <f>IFERROR(__xludf.DUMMYFUNCTION("GOOGLETRANSLATE(B169, ""en"", ""hi"")"),"यदि कोई रेडर प्रतिद्वंद्वी के हाफ में प्रवेश करता है, लेकिन लगातार 'कबड्डी' नहीं बोल पाता है और उसे टैकल कर दिया जाता है, तो निर्णय क्या होगा?")</f>
        <v>यदि कोई रेडर प्रतिद्वंद्वी के हाफ में प्रवेश करता है, लेकिन लगातार 'कबड्डी' नहीं बोल पाता है और उसे टैकल कर दिया जाता है, तो निर्णय क्या होगा?</v>
      </c>
      <c r="H169" s="3" t="str">
        <f>IFERROR(__xludf.DUMMYFUNCTION("GOOGLETRANSLATE(C169, ""en"", ""hi"")"),"A) रेडर आउट हो गया है, B) डिफेंडर आउट हो गया है, C) रेड अवैध है, D) रेड की समीक्षा की गई है")</f>
        <v>A) रेडर आउट हो गया है, B) डिफेंडर आउट हो गया है, C) रेड अवैध है, D) रेड की समीक्षा की गई है</v>
      </c>
      <c r="I169" s="3" t="str">
        <f>IFERROR(__xludf.DUMMYFUNCTION("GOOGLETRANSLATE(D169, ""en"", ""hi"")"),"A) हमलावर बाहर है")</f>
        <v>A) हमलावर बाहर है</v>
      </c>
    </row>
    <row r="170" ht="22.5" customHeight="1">
      <c r="A170" s="2">
        <v>169.0</v>
      </c>
      <c r="B170" s="3" t="s">
        <v>372</v>
      </c>
      <c r="C170" s="3" t="s">
        <v>373</v>
      </c>
      <c r="D170" s="3" t="s">
        <v>65</v>
      </c>
      <c r="F170" s="3" t="str">
        <f>IFERROR(__xludf.DUMMYFUNCTION("GOOGLETRANSLATE(A170, ""en"", ""hi"")"),"169")</f>
        <v>169</v>
      </c>
      <c r="G170" s="3" t="str">
        <f>IFERROR(__xludf.DUMMYFUNCTION("GOOGLETRANSLATE(B170, ""en"", ""hi"")"),"सुपर रेड में, रेडर तीन डिफेंडरों को छूता है, लेकिन मिडलाइन पार करने से पहले ही सीमा से बाहर निकल जाता है। क्या होता है?")</f>
        <v>सुपर रेड में, रेडर तीन डिफेंडरों को छूता है, लेकिन मिडलाइन पार करने से पहले ही सीमा से बाहर निकल जाता है। क्या होता है?</v>
      </c>
      <c r="H170" s="3" t="str">
        <f>IFERROR(__xludf.DUMMYFUNCTION("GOOGLETRANSLATE(C170, ""en"", ""hi"")"),"A) रेडर को 3 अंक मिलते हैं, B) रेडर आउट हो जाता है, C) रेड अमान्य हो जाती है, D) बचाव करने वाली टीम को 1 अंक मिलता है")</f>
        <v>A) रेडर को 3 अंक मिलते हैं, B) रेडर आउट हो जाता है, C) रेड अमान्य हो जाती है, D) बचाव करने वाली टीम को 1 अंक मिलता है</v>
      </c>
      <c r="I170" s="3" t="str">
        <f>IFERROR(__xludf.DUMMYFUNCTION("GOOGLETRANSLATE(D170, ""en"", ""hi"")"),"बी) हमलावर बाहर है")</f>
        <v>बी) हमलावर बाहर है</v>
      </c>
    </row>
    <row r="171" ht="22.5" customHeight="1">
      <c r="A171" s="2">
        <v>170.0</v>
      </c>
      <c r="B171" s="3" t="s">
        <v>374</v>
      </c>
      <c r="C171" s="3" t="s">
        <v>375</v>
      </c>
      <c r="D171" s="3" t="s">
        <v>65</v>
      </c>
      <c r="F171" s="3" t="str">
        <f>IFERROR(__xludf.DUMMYFUNCTION("GOOGLETRANSLATE(A171, ""en"", ""hi"")"),"170")</f>
        <v>170</v>
      </c>
      <c r="G171" s="3" t="str">
        <f>IFERROR(__xludf.DUMMYFUNCTION("GOOGLETRANSLATE(B171, ""en"", ""hi"")"),"यदि किसी रेडर को बोनस लाइन को छूने के बाद लेकिन मिडलाइन को पार करने से पहले टैकल कर दिया जाता है, तो परिणाम क्या होगा?")</f>
        <v>यदि किसी रेडर को बोनस लाइन को छूने के बाद लेकिन मिडलाइन को पार करने से पहले टैकल कर दिया जाता है, तो परिणाम क्या होगा?</v>
      </c>
      <c r="H171" s="3" t="str">
        <f>IFERROR(__xludf.DUMMYFUNCTION("GOOGLETRANSLATE(C171, ""en"", ""hi"")"),"A) रेडर 1 अंक अर्जित करता है, B) रेडर आउट हो जाता है, C) रेड जारी रहती है, D) रेड की समीक्षा की जाती है")</f>
        <v>A) रेडर 1 अंक अर्जित करता है, B) रेडर आउट हो जाता है, C) रेड जारी रहती है, D) रेड की समीक्षा की जाती है</v>
      </c>
      <c r="I171" s="3" t="str">
        <f>IFERROR(__xludf.DUMMYFUNCTION("GOOGLETRANSLATE(D171, ""en"", ""hi"")"),"बी) हमलावर बाहर है")</f>
        <v>बी) हमलावर बाहर है</v>
      </c>
    </row>
    <row r="172" ht="22.5" customHeight="1">
      <c r="A172" s="2">
        <v>171.0</v>
      </c>
      <c r="B172" s="3" t="s">
        <v>376</v>
      </c>
      <c r="C172" s="3" t="s">
        <v>253</v>
      </c>
      <c r="D172" s="3" t="s">
        <v>167</v>
      </c>
      <c r="F172" s="3" t="str">
        <f>IFERROR(__xludf.DUMMYFUNCTION("GOOGLETRANSLATE(A172, ""en"", ""hi"")"),"171")</f>
        <v>171</v>
      </c>
      <c r="G172" s="3" t="str">
        <f>IFERROR(__xludf.DUMMYFUNCTION("GOOGLETRANSLATE(B172, ""en"", ""hi"")"),"यदि कोई डिफेंडर रेडर का रास्ता रोक लेता है, लेकिन टैकल के दौरान सीमा से बाहर चला जाता है, तो क्या होगा?")</f>
        <v>यदि कोई डिफेंडर रेडर का रास्ता रोक लेता है, लेकिन टैकल के दौरान सीमा से बाहर चला जाता है, तो क्या होगा?</v>
      </c>
      <c r="H172" s="3" t="str">
        <f>IFERROR(__xludf.DUMMYFUNCTION("GOOGLETRANSLATE(C172,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72" s="3" t="str">
        <f>IFERROR(__xludf.DUMMYFUNCTION("GOOGLETRANSLATE(D172, ""en"", ""hi"")"),"A) डिफेंडर आउट हो गया है")</f>
        <v>A) डिफेंडर आउट हो गया है</v>
      </c>
    </row>
    <row r="173" ht="22.5" customHeight="1">
      <c r="A173" s="2">
        <v>172.0</v>
      </c>
      <c r="B173" s="3" t="s">
        <v>377</v>
      </c>
      <c r="C173" s="3" t="s">
        <v>378</v>
      </c>
      <c r="D173" s="3" t="s">
        <v>363</v>
      </c>
      <c r="F173" s="3" t="str">
        <f>IFERROR(__xludf.DUMMYFUNCTION("GOOGLETRANSLATE(A173, ""en"", ""hi"")"),"172")</f>
        <v>172</v>
      </c>
      <c r="G173" s="3" t="str">
        <f>IFERROR(__xludf.DUMMYFUNCTION("GOOGLETRANSLATE(B173, ""en"", ""hi"")"),"कबड्डी मैच के दौरान, एक रेडर एक ही रेड में चार डिफेंडरों को छू लेता है। अगर रेडर को वापस लौटने से पहले ही टैकल कर दिया जाए, तो क्या होगा?")</f>
        <v>कबड्डी मैच के दौरान, एक रेडर एक ही रेड में चार डिफेंडरों को छू लेता है। अगर रेडर को वापस लौटने से पहले ही टैकल कर दिया जाए, तो क्या होगा?</v>
      </c>
      <c r="H173" s="3" t="str">
        <f>IFERROR(__xludf.DUMMYFUNCTION("GOOGLETRANSLATE(C173, ""en"", ""hi"")"),"A) रेडर को 4 अंक मिलते हैं, B) डिफेंडर आउट हो जाते हैं, C) रेडर आउट हो जाता है, D) रेड रद्द हो जाती है")</f>
        <v>A) रेडर को 4 अंक मिलते हैं, B) डिफेंडर आउट हो जाते हैं, C) रेडर आउट हो जाता है, D) रेड रद्द हो जाती है</v>
      </c>
      <c r="I173" s="3" t="str">
        <f>IFERROR(__xludf.DUMMYFUNCTION("GOOGLETRANSLATE(D173, ""en"", ""hi"")"),"C) हमलावर बाहर है")</f>
        <v>C) हमलावर बाहर है</v>
      </c>
    </row>
    <row r="174" ht="22.5" customHeight="1">
      <c r="A174" s="2">
        <v>173.0</v>
      </c>
      <c r="B174" s="3" t="s">
        <v>379</v>
      </c>
      <c r="C174" s="3" t="s">
        <v>380</v>
      </c>
      <c r="D174" s="3" t="s">
        <v>140</v>
      </c>
      <c r="F174" s="3" t="str">
        <f>IFERROR(__xludf.DUMMYFUNCTION("GOOGLETRANSLATE(A174, ""en"", ""hi"")"),"173")</f>
        <v>173</v>
      </c>
      <c r="G174" s="3" t="str">
        <f>IFERROR(__xludf.DUMMYFUNCTION("GOOGLETRANSLATE(B174, ""en"", ""hi"")"),"करो या मरो वाली रेड में, यदि कोई रेडर कोई सफल टच नहीं करता है और उसे टैकल कर दिया जाता है, तो परिणाम क्या होगा?")</f>
        <v>करो या मरो वाली रेड में, यदि कोई रेडर कोई सफल टच नहीं करता है और उसे टैकल कर दिया जाता है, तो परिणाम क्या होगा?</v>
      </c>
      <c r="H174" s="3" t="str">
        <f>IFERROR(__xludf.DUMMYFUNCTION("GOOGLETRANSLATE(C174, ""en"", ""hi"")"),"A) रेडर आउट हो जाता है, B) रेड रद्द हो जाती है, C) बचाव करने वाली टीम को 1 अंक मिलता है, D) रेडर को 1 अंक मिलता है")</f>
        <v>A) रेडर आउट हो जाता है, B) रेड रद्द हो जाती है, C) बचाव करने वाली टीम को 1 अंक मिलता है, D) रेडर को 1 अंक मिलता है</v>
      </c>
      <c r="I174" s="3" t="str">
        <f>IFERROR(__xludf.DUMMYFUNCTION("GOOGLETRANSLATE(D174, ""en"", ""hi"")"),"A) हमलावर बाहर है")</f>
        <v>A) हमलावर बाहर है</v>
      </c>
    </row>
    <row r="175" ht="22.5" customHeight="1">
      <c r="A175" s="2">
        <v>174.0</v>
      </c>
      <c r="B175" s="3" t="s">
        <v>381</v>
      </c>
      <c r="C175" s="3" t="s">
        <v>382</v>
      </c>
      <c r="D175" s="3" t="s">
        <v>383</v>
      </c>
      <c r="F175" s="3" t="str">
        <f>IFERROR(__xludf.DUMMYFUNCTION("GOOGLETRANSLATE(A175, ""en"", ""hi"")"),"174")</f>
        <v>174</v>
      </c>
      <c r="G175" s="3" t="str">
        <f>IFERROR(__xludf.DUMMYFUNCTION("GOOGLETRANSLATE(B175, ""en"", ""hi"")"),"यदि कोई रेडर किसी डिफेंडर को छूने में सफल हो जाता है, जिसे पहले ही खेल से बाहर घोषित कर दिया गया है, तो परिणाम क्या होगा?")</f>
        <v>यदि कोई रेडर किसी डिफेंडर को छूने में सफल हो जाता है, जिसे पहले ही खेल से बाहर घोषित कर दिया गया है, तो परिणाम क्या होगा?</v>
      </c>
      <c r="H175" s="3" t="str">
        <f>IFERROR(__xludf.DUMMYFUNCTION("GOOGLETRANSLATE(C175, ""en"", ""hi"")"),"A) रेडर 1 अंक अर्जित करता है, B) डिफेंडर खेलने के लिए वापस आता है, C) रेडर आउट हो जाता है, D) रेड रद्द हो जाती है")</f>
        <v>A) रेडर 1 अंक अर्जित करता है, B) डिफेंडर खेलने के लिए वापस आता है, C) रेडर आउट हो जाता है, D) रेड रद्द हो जाती है</v>
      </c>
      <c r="I175" s="3" t="str">
        <f>IFERROR(__xludf.DUMMYFUNCTION("GOOGLETRANSLATE(D175, ""en"", ""hi"")"),"D) छापा शून्य है")</f>
        <v>D) छापा शून्य है</v>
      </c>
    </row>
    <row r="176" ht="22.5" customHeight="1">
      <c r="A176" s="2">
        <v>175.0</v>
      </c>
      <c r="B176" s="3" t="s">
        <v>384</v>
      </c>
      <c r="C176" s="3" t="s">
        <v>253</v>
      </c>
      <c r="D176" s="3" t="s">
        <v>167</v>
      </c>
      <c r="F176" s="3" t="str">
        <f>IFERROR(__xludf.DUMMYFUNCTION("GOOGLETRANSLATE(A176, ""en"", ""hi"")"),"175")</f>
        <v>175</v>
      </c>
      <c r="G176" s="3" t="str">
        <f>IFERROR(__xludf.DUMMYFUNCTION("GOOGLETRANSLATE(B176, ""en"", ""hi"")"),"यदि कोई डिफेंडर किसी रेडर को सफलतापूर्वक टैकल कर लेता है, लेकिन ऐसा करते समय वह सीमा से बाहर चला जाता है, तो परिणाम क्या होगा?")</f>
        <v>यदि कोई डिफेंडर किसी रेडर को सफलतापूर्वक टैकल कर लेता है, लेकिन ऐसा करते समय वह सीमा से बाहर चला जाता है, तो परिणाम क्या होगा?</v>
      </c>
      <c r="H176" s="3" t="str">
        <f>IFERROR(__xludf.DUMMYFUNCTION("GOOGLETRANSLATE(C176, ""en"", ""hi"")"),"A) डिफेंडर आउट हो गया है, B) रेडर आउट हो गया है, C) दोनों खिलाड़ी आउट हो गए हैं, D) रेड जारी है")</f>
        <v>A) डिफेंडर आउट हो गया है, B) रेडर आउट हो गया है, C) दोनों खिलाड़ी आउट हो गए हैं, D) रेड जारी है</v>
      </c>
      <c r="I176" s="3" t="str">
        <f>IFERROR(__xludf.DUMMYFUNCTION("GOOGLETRANSLATE(D176, ""en"", ""hi"")"),"A) डिफेंडर आउट हो गया है")</f>
        <v>A) डिफेंडर आउट हो गया है</v>
      </c>
    </row>
    <row r="177" ht="22.5" customHeight="1">
      <c r="A177" s="2">
        <v>176.0</v>
      </c>
      <c r="B177" s="3" t="s">
        <v>385</v>
      </c>
      <c r="C177" s="3" t="s">
        <v>386</v>
      </c>
      <c r="D177" s="3" t="s">
        <v>140</v>
      </c>
      <c r="F177" s="3" t="str">
        <f>IFERROR(__xludf.DUMMYFUNCTION("GOOGLETRANSLATE(A177, ""en"", ""hi"")"),"176")</f>
        <v>176</v>
      </c>
      <c r="G177" s="3" t="str">
        <f>IFERROR(__xludf.DUMMYFUNCTION("GOOGLETRANSLATE(B177, ""en"", ""hi"")"),"यदि कोई हमलावर किसी भी रक्षक को छूने से पहले ही लॉबी में प्रवेश कर जाता है तो क्या होगा?")</f>
        <v>यदि कोई हमलावर किसी भी रक्षक को छूने से पहले ही लॉबी में प्रवेश कर जाता है तो क्या होगा?</v>
      </c>
      <c r="H177" s="3" t="str">
        <f>IFERROR(__xludf.DUMMYFUNCTION("GOOGLETRANSLATE(C177, ""en"", ""hi"")"),"A) रेडर आउट हो गया है, B) रेड जारी है, C) रेड रद्द हो गई है, D) रेडर 1 अंक अर्जित करता है")</f>
        <v>A) रेडर आउट हो गया है, B) रेड जारी है, C) रेड रद्द हो गई है, D) रेडर 1 अंक अर्जित करता है</v>
      </c>
      <c r="I177" s="3" t="str">
        <f>IFERROR(__xludf.DUMMYFUNCTION("GOOGLETRANSLATE(D177, ""en"", ""hi"")"),"A) हमलावर बाहर है")</f>
        <v>A) हमलावर बाहर है</v>
      </c>
    </row>
    <row r="178" ht="22.5" customHeight="1">
      <c r="A178" s="2">
        <v>177.0</v>
      </c>
      <c r="B178" s="3" t="s">
        <v>387</v>
      </c>
      <c r="C178" s="3" t="s">
        <v>388</v>
      </c>
      <c r="D178" s="3" t="s">
        <v>237</v>
      </c>
      <c r="F178" s="3" t="str">
        <f>IFERROR(__xludf.DUMMYFUNCTION("GOOGLETRANSLATE(A178, ""en"", ""hi"")"),"177")</f>
        <v>177</v>
      </c>
      <c r="G178" s="3" t="str">
        <f>IFERROR(__xludf.DUMMYFUNCTION("GOOGLETRANSLATE(B178, ""en"", ""hi"")"),"सुपर टैकल में, यदि रेडर दो अन्य द्वारा टैकल किये जाने से पहले किसी डिफेंडर को छू लेता है, तो क्या होता है?")</f>
        <v>सुपर टैकल में, यदि रेडर दो अन्य द्वारा टैकल किये जाने से पहले किसी डिफेंडर को छू लेता है, तो क्या होता है?</v>
      </c>
      <c r="H178" s="3" t="str">
        <f>IFERROR(__xludf.DUMMYFUNCTION("GOOGLETRANSLATE(C178, ""en"", ""hi"")"),"A) रेडर को 1 अंक मिलता है, B) रेडर आउट हो जाता है, C) डिफेंडर आउट हो जाते हैं, D) रेड अमान्य हो जाती है")</f>
        <v>A) रेडर को 1 अंक मिलता है, B) रेडर आउट हो जाता है, C) डिफेंडर आउट हो जाते हैं, D) रेड अमान्य हो जाती है</v>
      </c>
      <c r="I178" s="3" t="str">
        <f>IFERROR(__xludf.DUMMYFUNCTION("GOOGLETRANSLATE(D178, ""en"", ""hi"")"),"A) रेडर को 1 अंक मिलता है")</f>
        <v>A) रेडर को 1 अंक मिलता है</v>
      </c>
    </row>
    <row r="179" ht="22.5" customHeight="1">
      <c r="A179" s="2">
        <v>178.0</v>
      </c>
      <c r="B179" s="3" t="s">
        <v>389</v>
      </c>
      <c r="C179" s="3" t="s">
        <v>390</v>
      </c>
      <c r="D179" s="3" t="s">
        <v>391</v>
      </c>
      <c r="F179" s="3" t="str">
        <f>IFERROR(__xludf.DUMMYFUNCTION("GOOGLETRANSLATE(A179, ""en"", ""hi"")"),"178")</f>
        <v>178</v>
      </c>
      <c r="G179" s="3" t="str">
        <f>IFERROR(__xludf.DUMMYFUNCTION("GOOGLETRANSLATE(B179, ""en"", ""hi"")"),"कबड्डी रेड के दौरान, यदि रेडर सफलतापूर्वक बच निकलता है, लेकिन मध्य रेखा पार करने के बाद उसे डिफेंडर द्वारा छू लिया जाता है, तो क्या होगा?")</f>
        <v>कबड्डी रेड के दौरान, यदि रेडर सफलतापूर्वक बच निकलता है, लेकिन मध्य रेखा पार करने के बाद उसे डिफेंडर द्वारा छू लिया जाता है, तो क्या होगा?</v>
      </c>
      <c r="H179" s="3" t="str">
        <f>IFERROR(__xludf.DUMMYFUNCTION("GOOGLETRANSLATE(C179, ""en"", ""hi"")"),"A) रेड अवैध है, B) रेडर आउट है, C) रेड अमान्य है, D) रेडर 1 अंक अर्जित करता है")</f>
        <v>A) रेड अवैध है, B) रेडर आउट है, C) रेड अमान्य है, D) रेडर 1 अंक अर्जित करता है</v>
      </c>
      <c r="I179" s="3" t="str">
        <f>IFERROR(__xludf.DUMMYFUNCTION("GOOGLETRANSLATE(D179, ""en"", ""hi"")"),"D) रेडर को 1 अंक मिलता है")</f>
        <v>D) रेडर को 1 अंक मिलता है</v>
      </c>
    </row>
    <row r="180" ht="22.5" customHeight="1">
      <c r="A180" s="2">
        <v>179.0</v>
      </c>
      <c r="B180" s="3" t="s">
        <v>392</v>
      </c>
      <c r="C180" s="3" t="s">
        <v>393</v>
      </c>
      <c r="D180" s="3" t="s">
        <v>232</v>
      </c>
      <c r="F180" s="3" t="str">
        <f>IFERROR(__xludf.DUMMYFUNCTION("GOOGLETRANSLATE(A180, ""en"", ""hi"")"),"179")</f>
        <v>179</v>
      </c>
      <c r="G180" s="3" t="str">
        <f>IFERROR(__xludf.DUMMYFUNCTION("GOOGLETRANSLATE(B180, ""en"", ""hi"")"),"कबड्डी मैच के दौरान, यदि कोई रेडर रेड करता है और दो डिफेंडरों को छूता है, लेकिन तीसरा डिफेंडर उसे टैकल कर लेता है, जो कि सीमा से बाहर है, तो क्या होगा?")</f>
        <v>कबड्डी मैच के दौरान, यदि कोई रेडर रेड करता है और दो डिफेंडरों को छूता है, लेकिन तीसरा डिफेंडर उसे टैकल कर लेता है, जो कि सीमा से बाहर है, तो क्या होगा?</v>
      </c>
      <c r="H180" s="3" t="str">
        <f>IFERROR(__xludf.DUMMYFUNCTION("GOOGLETRANSLATE(C180, ""en"", ""hi"")"),"A) रेडर को 2 अंक मिलते हैं, B) रेडर आउट हो जाता है, C) डिफेंडर आउट हो जाता है, D) रेड अमान्य हो जाती है")</f>
        <v>A) रेडर को 2 अंक मिलते हैं, B) रेडर आउट हो जाता है, C) डिफेंडर आउट हो जाता है, D) रेड अमान्य हो जाती है</v>
      </c>
      <c r="I180" s="3" t="str">
        <f>IFERROR(__xludf.DUMMYFUNCTION("GOOGLETRANSLATE(D180, ""en"", ""hi"")"),"A) रेडर को 2 अंक मिलते हैं")</f>
        <v>A) रेडर को 2 अंक मिलते हैं</v>
      </c>
    </row>
    <row r="181" ht="22.5" customHeight="1">
      <c r="A181" s="2">
        <v>180.0</v>
      </c>
      <c r="B181" s="3" t="s">
        <v>394</v>
      </c>
      <c r="C181" s="3" t="s">
        <v>395</v>
      </c>
      <c r="D181" s="3" t="s">
        <v>237</v>
      </c>
      <c r="F181" s="3" t="str">
        <f>IFERROR(__xludf.DUMMYFUNCTION("GOOGLETRANSLATE(A181, ""en"", ""hi"")"),"180")</f>
        <v>180</v>
      </c>
      <c r="G181" s="3" t="str">
        <f>IFERROR(__xludf.DUMMYFUNCTION("GOOGLETRANSLATE(B181, ""en"", ""hi"")"),"यदि कोई रेडर किसी डिफेंडर को छूता है और तुरंत ही उसे किसी अन्य डिफेंडर द्वारा टैकल कर लिया जाता है, जिसका पैर सीमा से बाहर है, तो परिणाम क्या होगा?")</f>
        <v>यदि कोई रेडर किसी डिफेंडर को छूता है और तुरंत ही उसे किसी अन्य डिफेंडर द्वारा टैकल कर लिया जाता है, जिसका पैर सीमा से बाहर है, तो परिणाम क्या होगा?</v>
      </c>
      <c r="H181" s="3" t="str">
        <f>IFERROR(__xludf.DUMMYFUNCTION("GOOGLETRANSLATE(C181, ""en"", ""hi"")"),"A) रेडर 1 अंक अर्जित करता है, B) रेडर आउट हो जाता है, C) बचाव करने वाली टीम 1 अंक अर्जित करती है, D) दोनों खिलाड़ी आउट हो जाते हैं")</f>
        <v>A) रेडर 1 अंक अर्जित करता है, B) रेडर आउट हो जाता है, C) बचाव करने वाली टीम 1 अंक अर्जित करती है, D) दोनों खिलाड़ी आउट हो जाते हैं</v>
      </c>
      <c r="I181" s="3" t="str">
        <f>IFERROR(__xludf.DUMMYFUNCTION("GOOGLETRANSLATE(D181, ""en"", ""hi"")"),"A) रेडर को 1 अंक मिलता है")</f>
        <v>A) रेडर को 1 अंक मिलता है</v>
      </c>
    </row>
    <row r="182" ht="22.5" customHeight="1">
      <c r="A182" s="2">
        <v>181.0</v>
      </c>
      <c r="B182" s="3" t="s">
        <v>396</v>
      </c>
      <c r="C182" s="3" t="s">
        <v>397</v>
      </c>
      <c r="D182" s="3" t="s">
        <v>148</v>
      </c>
      <c r="F182" s="3" t="str">
        <f>IFERROR(__xludf.DUMMYFUNCTION("GOOGLETRANSLATE(A182, ""en"", ""hi"")"),"181")</f>
        <v>181</v>
      </c>
      <c r="G182" s="3" t="str">
        <f>IFERROR(__xludf.DUMMYFUNCTION("GOOGLETRANSLATE(B182, ""en"", ""hi"")"),"यदि कोई रेडर सफलतापूर्वक एक डिफेंडर को छू लेता है और अपने हाफ में वापस लौट जाता है, लेकिन उसे एक डिफेंडर द्वारा टैकल कर लिया जाता है, जिसका पैर मिडलाइन के ऊपर है, तो क्या होगा?")</f>
        <v>यदि कोई रेडर सफलतापूर्वक एक डिफेंडर को छू लेता है और अपने हाफ में वापस लौट जाता है, लेकिन उसे एक डिफेंडर द्वारा टैकल कर लिया जाता है, जिसका पैर मिडलाइन के ऊपर है, तो क्या होगा?</v>
      </c>
      <c r="H182" s="3" t="str">
        <f>IFERROR(__xludf.DUMMYFUNCTION("GOOGLETRANSLATE(C182,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182" s="3" t="str">
        <f>IFERROR(__xludf.DUMMYFUNCTION("GOOGLETRANSLATE(D182, ""en"", ""hi"")"),"B) डिफेंडर आउट हो गया है")</f>
        <v>B) डिफेंडर आउट हो गया है</v>
      </c>
    </row>
    <row r="183" ht="22.5" customHeight="1">
      <c r="A183" s="2">
        <v>182.0</v>
      </c>
      <c r="B183" s="3" t="s">
        <v>398</v>
      </c>
      <c r="C183" s="3" t="s">
        <v>399</v>
      </c>
      <c r="D183" s="3" t="s">
        <v>65</v>
      </c>
      <c r="F183" s="3" t="str">
        <f>IFERROR(__xludf.DUMMYFUNCTION("GOOGLETRANSLATE(A183, ""en"", ""hi"")"),"182")</f>
        <v>182</v>
      </c>
      <c r="G183" s="3" t="str">
        <f>IFERROR(__xludf.DUMMYFUNCTION("GOOGLETRANSLATE(B183, ""en"", ""hi"")"),"कबड्डी मैच के दौरान, एक रेडर को बोनस लाइन छूने के बाद लेकिन मिडलाइन पार करने से पहले ही टैकल कर दिया जाता है। फ़ैसला क्या होता है?")</f>
        <v>कबड्डी मैच के दौरान, एक रेडर को बोनस लाइन छूने के बाद लेकिन मिडलाइन पार करने से पहले ही टैकल कर दिया जाता है। फ़ैसला क्या होता है?</v>
      </c>
      <c r="H183" s="3" t="str">
        <f>IFERROR(__xludf.DUMMYFUNCTION("GOOGLETRANSLATE(C183, ""en"", ""hi"")"),"A) रेडर को 1 अंक मिलता है, B) रेडर आउट हो जाता है, C) रेड अमान्य हो जाती है, D) रेड जारी रहती है")</f>
        <v>A) रेडर को 1 अंक मिलता है, B) रेडर आउट हो जाता है, C) रेड अमान्य हो जाती है, D) रेड जारी रहती है</v>
      </c>
      <c r="I183" s="3" t="str">
        <f>IFERROR(__xludf.DUMMYFUNCTION("GOOGLETRANSLATE(D183, ""en"", ""hi"")"),"बी) हमलावर बाहर है")</f>
        <v>बी) हमलावर बाहर है</v>
      </c>
    </row>
    <row r="184" ht="22.5" customHeight="1">
      <c r="A184" s="2">
        <v>183.0</v>
      </c>
      <c r="B184" s="3" t="s">
        <v>400</v>
      </c>
      <c r="C184" s="3" t="s">
        <v>184</v>
      </c>
      <c r="D184" s="3" t="s">
        <v>383</v>
      </c>
      <c r="F184" s="3" t="str">
        <f>IFERROR(__xludf.DUMMYFUNCTION("GOOGLETRANSLATE(A184, ""en"", ""hi"")"),"183")</f>
        <v>183</v>
      </c>
      <c r="G184" s="3" t="str">
        <f>IFERROR(__xludf.DUMMYFUNCTION("GOOGLETRANSLATE(B184, ""en"", ""hi"")"),"यदि कोई रेडर रेड करता है और उसे किसी डिफेंडर द्वारा छुआ जाता है, जिसे पहले ही खेल से बाहर घोषित किया जा चुका है, तो क्या होगा?")</f>
        <v>यदि कोई रेडर रेड करता है और उसे किसी डिफेंडर द्वारा छुआ जाता है, जिसे पहले ही खेल से बाहर घोषित किया जा चुका है, तो क्या होगा?</v>
      </c>
      <c r="H184" s="3" t="str">
        <f>IFERROR(__xludf.DUMMYFUNCTION("GOOGLETRANSLATE(C184, ""en"", ""hi"")"),"A) रेडर आउट हो गया है, B) डिफेंडर आउट हो गया है, C) रेड जारी है, D) रेड रद्द हो गई है")</f>
        <v>A) रेडर आउट हो गया है, B) डिफेंडर आउट हो गया है, C) रेड जारी है, D) रेड रद्द हो गई है</v>
      </c>
      <c r="I184" s="3" t="str">
        <f>IFERROR(__xludf.DUMMYFUNCTION("GOOGLETRANSLATE(D184, ""en"", ""hi"")"),"D) छापा शून्य है")</f>
        <v>D) छापा शून्य है</v>
      </c>
    </row>
    <row r="185" ht="22.5" customHeight="1">
      <c r="A185" s="2">
        <v>184.0</v>
      </c>
      <c r="B185" s="3" t="s">
        <v>401</v>
      </c>
      <c r="C185" s="3" t="s">
        <v>402</v>
      </c>
      <c r="D185" s="3" t="s">
        <v>148</v>
      </c>
      <c r="F185" s="3" t="str">
        <f>IFERROR(__xludf.DUMMYFUNCTION("GOOGLETRANSLATE(A185, ""en"", ""hi"")"),"184")</f>
        <v>184</v>
      </c>
      <c r="G185" s="3" t="str">
        <f>IFERROR(__xludf.DUMMYFUNCTION("GOOGLETRANSLATE(B185, ""en"", ""hi"")"),"यदि कोई रेडर किसी डिफेंडर को छूता है लेकिन डिफेंडर का पैर लॉबी क्षेत्र में है तो क्या होगा?")</f>
        <v>यदि कोई रेडर किसी डिफेंडर को छूता है लेकिन डिफेंडर का पैर लॉबी क्षेत्र में है तो क्या होगा?</v>
      </c>
      <c r="H185" s="3" t="str">
        <f>IFERROR(__xludf.DUMMYFUNCTION("GOOGLETRANSLATE(C185, ""en"", ""hi"")"),"A) रेडर आउट हो गया है, B) डिफेंडर आउट हो गया है, C) रेड वैध है, D) रेड की समीक्षा की गई है")</f>
        <v>A) रेडर आउट हो गया है, B) डिफेंडर आउट हो गया है, C) रेड वैध है, D) रेड की समीक्षा की गई है</v>
      </c>
      <c r="I185" s="3" t="str">
        <f>IFERROR(__xludf.DUMMYFUNCTION("GOOGLETRANSLATE(D185, ""en"", ""hi"")"),"B) डिफेंडर आउट हो गया है")</f>
        <v>B) डिफेंडर आउट हो गया है</v>
      </c>
    </row>
    <row r="186" ht="22.5" customHeight="1">
      <c r="A186" s="2">
        <v>185.0</v>
      </c>
      <c r="B186" s="3" t="s">
        <v>403</v>
      </c>
      <c r="C186" s="3" t="s">
        <v>404</v>
      </c>
      <c r="D186" s="3" t="s">
        <v>232</v>
      </c>
      <c r="F186" s="3" t="str">
        <f>IFERROR(__xludf.DUMMYFUNCTION("GOOGLETRANSLATE(A186, ""en"", ""hi"")"),"185")</f>
        <v>185</v>
      </c>
      <c r="G186" s="3" t="str">
        <f>IFERROR(__xludf.DUMMYFUNCTION("GOOGLETRANSLATE(B186, ""en"", ""hi"")"),"यदि कोई रेडर दो डिफेंडरों को छूता है और उसे एक डिफेंडर द्वारा टैकल कर दिया जाता है जो सीमा से बाहर है, तो परिणाम क्या होगा?")</f>
        <v>यदि कोई रेडर दो डिफेंडरों को छूता है और उसे एक डिफेंडर द्वारा टैकल कर दिया जाता है जो सीमा से बाहर है, तो परिणाम क्या होगा?</v>
      </c>
      <c r="H186" s="3" t="str">
        <f>IFERROR(__xludf.DUMMYFUNCTION("GOOGLETRANSLATE(C186, ""en"", ""hi"")"),"A) रेडर को 2 अंक मिलते हैं, B) रेडर आउट हो जाता है, C) बचाव करने वाली टीम को 1 अंक मिलता है, D) रेड रद्द हो जाती है")</f>
        <v>A) रेडर को 2 अंक मिलते हैं, B) रेडर आउट हो जाता है, C) बचाव करने वाली टीम को 1 अंक मिलता है, D) रेड रद्द हो जाती है</v>
      </c>
      <c r="I186" s="3" t="str">
        <f>IFERROR(__xludf.DUMMYFUNCTION("GOOGLETRANSLATE(D186, ""en"", ""hi"")"),"A) रेडर को 2 अंक मिलते हैं")</f>
        <v>A) रेडर को 2 अंक मिलते हैं</v>
      </c>
    </row>
    <row r="187" ht="22.5" customHeight="1">
      <c r="A187" s="2">
        <v>186.0</v>
      </c>
      <c r="B187" s="3" t="s">
        <v>405</v>
      </c>
      <c r="C187" s="3" t="s">
        <v>251</v>
      </c>
      <c r="D187" s="3" t="s">
        <v>237</v>
      </c>
      <c r="F187" s="3" t="str">
        <f>IFERROR(__xludf.DUMMYFUNCTION("GOOGLETRANSLATE(A187, ""en"", ""hi"")"),"186")</f>
        <v>186</v>
      </c>
      <c r="G187" s="3" t="str">
        <f>IFERROR(__xludf.DUMMYFUNCTION("GOOGLETRANSLATE(B187, ""en"", ""hi"")"),"रेड के दौरान, यदि रेडर किसी डिफेंडर को छू लेता है और तुरंत ही खेल क्षेत्र के बाहर खड़े डिफेंडर द्वारा उसे टैकल कर लिया जाता है, तो क्या होगा?")</f>
        <v>रेड के दौरान, यदि रेडर किसी डिफेंडर को छू लेता है और तुरंत ही खेल क्षेत्र के बाहर खड़े डिफेंडर द्वारा उसे टैकल कर लिया जाता है, तो क्या होगा?</v>
      </c>
      <c r="H187" s="3" t="str">
        <f>IFERROR(__xludf.DUMMYFUNCTION("GOOGLETRANSLATE(C187, ""en"", ""hi"")"),"A) रेडर को 1 अंक मिलता है, B) रेडर आउट हो जाता है, C) डिफेंडर आउट हो जाता है, D) रेड रद्द हो जाती है")</f>
        <v>A) रेडर को 1 अंक मिलता है, B) रेडर आउट हो जाता है, C) डिफेंडर आउट हो जाता है, D) रेड रद्द हो जाती है</v>
      </c>
      <c r="I187" s="3" t="str">
        <f>IFERROR(__xludf.DUMMYFUNCTION("GOOGLETRANSLATE(D187, ""en"", ""hi"")"),"A) रेडर को 1 अंक मिलता है")</f>
        <v>A) रेडर को 1 अंक मिलता है</v>
      </c>
    </row>
    <row r="188" ht="22.5" customHeight="1">
      <c r="A188" s="2">
        <v>187.0</v>
      </c>
      <c r="B188" s="3" t="s">
        <v>406</v>
      </c>
      <c r="C188" s="3" t="s">
        <v>295</v>
      </c>
      <c r="D188" s="3" t="s">
        <v>148</v>
      </c>
      <c r="F188" s="3" t="str">
        <f>IFERROR(__xludf.DUMMYFUNCTION("GOOGLETRANSLATE(A188, ""en"", ""hi"")"),"187")</f>
        <v>187</v>
      </c>
      <c r="G188" s="3" t="str">
        <f>IFERROR(__xludf.DUMMYFUNCTION("GOOGLETRANSLATE(B188, ""en"", ""hi"")"),"कबड्डी मैच में, यदि किसी रेडर को किसी डिफेंडर द्वारा सफलतापूर्वक टैकल कर दिया जाता है, जो टैकल से पहले ही सीमा से बाहर चला गया था, तो क्या होगा?")</f>
        <v>कबड्डी मैच में, यदि किसी रेडर को किसी डिफेंडर द्वारा सफलतापूर्वक टैकल कर दिया जाता है, जो टैकल से पहले ही सीमा से बाहर चला गया था, तो क्या होगा?</v>
      </c>
      <c r="H188" s="3" t="str">
        <f>IFERROR(__xludf.DUMMYFUNCTION("GOOGLETRANSLATE(C188, ""en"", ""hi"")"),"A) रेडर आउट हो गया है, B) डिफेंडर आउट हो गया है, C) दोनों खिलाड़ी आउट हो गए हैं, D) रेड जारी है")</f>
        <v>A) रेडर आउट हो गया है, B) डिफेंडर आउट हो गया है, C) दोनों खिलाड़ी आउट हो गए हैं, D) रेड जारी है</v>
      </c>
      <c r="I188" s="3" t="str">
        <f>IFERROR(__xludf.DUMMYFUNCTION("GOOGLETRANSLATE(D188, ""en"", ""hi"")"),"B) डिफेंडर आउट हो गया है")</f>
        <v>B) डिफेंडर आउट हो गया है</v>
      </c>
    </row>
    <row r="189" ht="22.5" customHeight="1">
      <c r="A189" s="2">
        <v>188.0</v>
      </c>
      <c r="B189" s="3" t="s">
        <v>407</v>
      </c>
      <c r="C189" s="3" t="s">
        <v>408</v>
      </c>
      <c r="D189" s="3" t="s">
        <v>65</v>
      </c>
      <c r="F189" s="3" t="str">
        <f>IFERROR(__xludf.DUMMYFUNCTION("GOOGLETRANSLATE(A189, ""en"", ""hi"")"),"188")</f>
        <v>188</v>
      </c>
      <c r="G189" s="3" t="str">
        <f>IFERROR(__xludf.DUMMYFUNCTION("GOOGLETRANSLATE(B189, ""en"", ""hi"")"),"यदि कोई रेडर बोनस लाइन को छू लेता है, लेकिन मिडलाइन को पार नहीं कर पाता है और उसे टैकल कर दिया जाता है तो क्या होगा?")</f>
        <v>यदि कोई रेडर बोनस लाइन को छू लेता है, लेकिन मिडलाइन को पार नहीं कर पाता है और उसे टैकल कर दिया जाता है तो क्या होगा?</v>
      </c>
      <c r="H189" s="3" t="str">
        <f>IFERROR(__xludf.DUMMYFUNCTION("GOOGLETRANSLATE(C189, ""en"", ""hi"")"),"A) रेडर को 1 अंक मिलता है, B) रेडर आउट हो जाता है, C) रेड अमान्य हो जाती है, D) बचाव करने वाली टीम को 1 अंक मिलता है")</f>
        <v>A) रेडर को 1 अंक मिलता है, B) रेडर आउट हो जाता है, C) रेड अमान्य हो जाती है, D) बचाव करने वाली टीम को 1 अंक मिलता है</v>
      </c>
      <c r="I189" s="3" t="str">
        <f>IFERROR(__xludf.DUMMYFUNCTION("GOOGLETRANSLATE(D189, ""en"", ""hi"")"),"बी) हमलावर बाहर है")</f>
        <v>बी) हमलावर बाहर है</v>
      </c>
    </row>
    <row r="190" ht="22.5" customHeight="1">
      <c r="A190" s="2">
        <v>189.0</v>
      </c>
      <c r="B190" s="3" t="s">
        <v>409</v>
      </c>
      <c r="C190" s="3" t="s">
        <v>410</v>
      </c>
      <c r="D190" s="3" t="s">
        <v>167</v>
      </c>
      <c r="F190" s="3" t="str">
        <f>IFERROR(__xludf.DUMMYFUNCTION("GOOGLETRANSLATE(A190, ""en"", ""hi"")"),"189")</f>
        <v>189</v>
      </c>
      <c r="G190" s="3" t="str">
        <f>IFERROR(__xludf.DUMMYFUNCTION("GOOGLETRANSLATE(B190, ""en"", ""hi"")"),"यदि कोई डिफेंडर रेडर को पकड़ रहा है और रेडर के खेल में रहते हुए वह सीमा से बाहर चला जाता है, तो परिणाम क्या होगा?")</f>
        <v>यदि कोई डिफेंडर रेडर को पकड़ रहा है और रेडर के खेल में रहते हुए वह सीमा से बाहर चला जाता है, तो परिणाम क्या होगा?</v>
      </c>
      <c r="H190" s="3" t="str">
        <f>IFERROR(__xludf.DUMMYFUNCTION("GOOGLETRANSLATE(C190, ""en"", ""hi"")"),"A) डिफेंडर आउट हो गया है, B) रेडर आउट हो गया है, C) रेड की समीक्षा की गई है, D) रेडर को 1 अंक मिला है")</f>
        <v>A) डिफेंडर आउट हो गया है, B) रेडर आउट हो गया है, C) रेड की समीक्षा की गई है, D) रेडर को 1 अंक मिला है</v>
      </c>
      <c r="I190" s="3" t="str">
        <f>IFERROR(__xludf.DUMMYFUNCTION("GOOGLETRANSLATE(D190, ""en"", ""hi"")"),"A) डिफेंडर आउट हो गया है")</f>
        <v>A) डिफेंडर आउट हो गया है</v>
      </c>
    </row>
    <row r="191" ht="22.5" customHeight="1">
      <c r="A191" s="2">
        <v>190.0</v>
      </c>
      <c r="B191" s="3" t="s">
        <v>411</v>
      </c>
      <c r="C191" s="3" t="s">
        <v>412</v>
      </c>
      <c r="D191" s="3" t="s">
        <v>140</v>
      </c>
      <c r="F191" s="3" t="str">
        <f>IFERROR(__xludf.DUMMYFUNCTION("GOOGLETRANSLATE(A191, ""en"", ""hi"")"),"190")</f>
        <v>190</v>
      </c>
      <c r="G191" s="3" t="str">
        <f>IFERROR(__xludf.DUMMYFUNCTION("GOOGLETRANSLATE(B191, ""en"", ""hi"")"),"रेड के दौरान, यदि रेडर किसी डिफेंडर को छू लेता है और फिर सीमा से बाहर चला जाता है, तो क्या होता है?")</f>
        <v>रेड के दौरान, यदि रेडर किसी डिफेंडर को छू लेता है और फिर सीमा से बाहर चला जाता है, तो क्या होता है?</v>
      </c>
      <c r="H191" s="3" t="str">
        <f>IFERROR(__xludf.DUMMYFUNCTION("GOOGLETRANSLATE(C191, ""en"", ""hi"")"),"A) रेडर आउट हो गया, B) रेडर 1 अंक अर्जित करता है, C) डिफेंडर आउट हो गया, D) रेड रद्द हो गई")</f>
        <v>A) रेडर आउट हो गया, B) रेडर 1 अंक अर्जित करता है, C) डिफेंडर आउट हो गया, D) रेड रद्द हो गई</v>
      </c>
      <c r="I191" s="3" t="str">
        <f>IFERROR(__xludf.DUMMYFUNCTION("GOOGLETRANSLATE(D191, ""en"", ""hi"")"),"A) हमलावर बाहर है")</f>
        <v>A) हमलावर बाहर है</v>
      </c>
    </row>
    <row r="192" ht="22.5" customHeight="1">
      <c r="A192" s="2">
        <v>191.0</v>
      </c>
      <c r="B192" s="3" t="s">
        <v>413</v>
      </c>
      <c r="C192" s="3" t="s">
        <v>414</v>
      </c>
      <c r="D192" s="3" t="s">
        <v>415</v>
      </c>
      <c r="F192" s="3" t="str">
        <f>IFERROR(__xludf.DUMMYFUNCTION("GOOGLETRANSLATE(A192, ""en"", ""hi"")"),"191")</f>
        <v>191</v>
      </c>
      <c r="G192" s="3" t="str">
        <f>IFERROR(__xludf.DUMMYFUNCTION("GOOGLETRANSLATE(B192, ""en"", ""hi"")"),"यदि कोई रेडर मध्य रेखा को पार कर जाता है और कई डिफेंडरों द्वारा उसे छुआ जाता है, लेकिन वह बिना टैकल किए अपने हाफ में वापस लौटने में सफल हो जाता है, तो परिणाम क्या होगा?")</f>
        <v>यदि कोई रेडर मध्य रेखा को पार कर जाता है और कई डिफेंडरों द्वारा उसे छुआ जाता है, लेकिन वह बिना टैकल किए अपने हाफ में वापस लौटने में सफल हो जाता है, तो परिणाम क्या होगा?</v>
      </c>
      <c r="H192" s="3" t="str">
        <f>IFERROR(__xludf.DUMMYFUNCTION("GOOGLETRANSLATE(C192, ""en"", ""hi"")"),"A) रेडर को डिफेंडरों की संख्या के आधार पर अंक मिलते हैं, B) रेडर आउट हो जाता है, C) डिफेंडर आउट हो जाते हैं, D) रेड की समीक्षा की जाती है")</f>
        <v>A) रेडर को डिफेंडरों की संख्या के आधार पर अंक मिलते हैं, B) रेडर आउट हो जाता है, C) डिफेंडर आउट हो जाते हैं, D) रेड की समीक्षा की जाती है</v>
      </c>
      <c r="I192" s="3" t="str">
        <f>IFERROR(__xludf.DUMMYFUNCTION("GOOGLETRANSLATE(D192, ""en"", ""hi"")"),"A) रेडर को डिफेंडरों की संख्या के आधार पर अंक मिलते हैं")</f>
        <v>A) रेडर को डिफेंडरों की संख्या के आधार पर अंक मिलते हैं</v>
      </c>
    </row>
    <row r="193" ht="22.5" customHeight="1">
      <c r="A193" s="2">
        <v>192.0</v>
      </c>
      <c r="B193" s="3" t="s">
        <v>416</v>
      </c>
      <c r="C193" s="3" t="s">
        <v>417</v>
      </c>
      <c r="D193" s="3" t="s">
        <v>167</v>
      </c>
      <c r="F193" s="3" t="str">
        <f>IFERROR(__xludf.DUMMYFUNCTION("GOOGLETRANSLATE(A193, ""en"", ""hi"")"),"192")</f>
        <v>192</v>
      </c>
      <c r="G193" s="3" t="str">
        <f>IFERROR(__xludf.DUMMYFUNCTION("GOOGLETRANSLATE(B193, ""en"", ""hi"")"),"यदि किसी रेडर को डिफेंडर द्वारा टैकल कर दिया जाता है, जबकि डिफेंडर का पैर अभी भी लॉबी क्षेत्र में है, तो परिणाम क्या होगा?")</f>
        <v>यदि किसी रेडर को डिफेंडर द्वारा टैकल कर दिया जाता है, जबकि डिफेंडर का पैर अभी भी लॉबी क्षेत्र में है, तो परिणाम क्या होगा?</v>
      </c>
      <c r="H193" s="3" t="str">
        <f>IFERROR(__xludf.DUMMYFUNCTION("GOOGLETRANSLATE(C193, ""en"", ""hi"")"),"A) डिफेंडर आउट है, B) रेडर आउट है, C) रेड वैध है, D) रेड अवैध है")</f>
        <v>A) डिफेंडर आउट है, B) रेडर आउट है, C) रेड वैध है, D) रेड अवैध है</v>
      </c>
      <c r="I193" s="3" t="str">
        <f>IFERROR(__xludf.DUMMYFUNCTION("GOOGLETRANSLATE(D193, ""en"", ""hi"")"),"A) डिफेंडर आउट हो गया है")</f>
        <v>A) डिफेंडर आउट हो गया है</v>
      </c>
    </row>
    <row r="194" ht="22.5" customHeight="1">
      <c r="A194" s="2">
        <v>193.0</v>
      </c>
      <c r="B194" s="3" t="s">
        <v>418</v>
      </c>
      <c r="C194" s="3" t="s">
        <v>419</v>
      </c>
      <c r="D194" s="3" t="s">
        <v>140</v>
      </c>
      <c r="F194" s="3" t="str">
        <f>IFERROR(__xludf.DUMMYFUNCTION("GOOGLETRANSLATE(A194, ""en"", ""hi"")"),"193")</f>
        <v>193</v>
      </c>
      <c r="G194" s="3" t="str">
        <f>IFERROR(__xludf.DUMMYFUNCTION("GOOGLETRANSLATE(B194, ""en"", ""hi"")"),"करो या मरो वाली रेड में, यदि रेडर किसी भी डिफेंडर को छूने में विफल रहता है और उसे टैकल कर दिया जाता है, तो निर्णय क्या होगा?")</f>
        <v>करो या मरो वाली रेड में, यदि रेडर किसी भी डिफेंडर को छूने में विफल रहता है और उसे टैकल कर दिया जाता है, तो निर्णय क्या होगा?</v>
      </c>
      <c r="H194" s="3" t="str">
        <f>IFERROR(__xludf.DUMMYFUNCTION("GOOGLETRANSLATE(C194, ""en"", ""hi"")"),"A) रेडर आउट हो गया है, B) रेड वैध है, C) बचाव करने वाली टीम 1 अंक अर्जित करती है, D) रेडर 1 अंक अर्जित करता है")</f>
        <v>A) रेडर आउट हो गया है, B) रेड वैध है, C) बचाव करने वाली टीम 1 अंक अर्जित करती है, D) रेडर 1 अंक अर्जित करता है</v>
      </c>
      <c r="I194" s="3" t="str">
        <f>IFERROR(__xludf.DUMMYFUNCTION("GOOGLETRANSLATE(D194, ""en"", ""hi"")"),"A) हमलावर बाहर है")</f>
        <v>A) हमलावर बाहर है</v>
      </c>
    </row>
    <row r="195" ht="22.5" customHeight="1">
      <c r="A195" s="2">
        <v>194.0</v>
      </c>
      <c r="B195" s="3" t="s">
        <v>420</v>
      </c>
      <c r="C195" s="3" t="s">
        <v>421</v>
      </c>
      <c r="D195" s="3" t="s">
        <v>65</v>
      </c>
      <c r="F195" s="3" t="str">
        <f>IFERROR(__xludf.DUMMYFUNCTION("GOOGLETRANSLATE(A195, ""en"", ""hi"")"),"194")</f>
        <v>194</v>
      </c>
      <c r="G195" s="3" t="str">
        <f>IFERROR(__xludf.DUMMYFUNCTION("GOOGLETRANSLATE(B195, ""en"", ""hi"")"),"यदि कोई रेडर बोनस लाइन को सफलतापूर्वक छू लेता है, लेकिन मिडलाइन पार करने से पहले ही उसे टैकल कर दिया जाता है, तो क्या होगा?")</f>
        <v>यदि कोई रेडर बोनस लाइन को सफलतापूर्वक छू लेता है, लेकिन मिडलाइन पार करने से पहले ही उसे टैकल कर दिया जाता है, तो क्या होगा?</v>
      </c>
      <c r="H195" s="3" t="str">
        <f>IFERROR(__xludf.DUMMYFUNCTION("GOOGLETRANSLATE(C195, ""en"", ""hi"")"),"A) रेडर 1 अंक अर्जित करता है, B) रेडर आउट हो जाता है, C) रेड रद्द हो जाती है, D) रेड जारी रहती है")</f>
        <v>A) रेडर 1 अंक अर्जित करता है, B) रेडर आउट हो जाता है, C) रेड रद्द हो जाती है, D) रेड जारी रहती है</v>
      </c>
      <c r="I195" s="3" t="str">
        <f>IFERROR(__xludf.DUMMYFUNCTION("GOOGLETRANSLATE(D195, ""en"", ""hi"")"),"बी) हमलावर बाहर है")</f>
        <v>बी) हमलावर बाहर है</v>
      </c>
    </row>
    <row r="196" ht="22.5" customHeight="1">
      <c r="A196" s="2">
        <v>195.0</v>
      </c>
      <c r="B196" s="3" t="s">
        <v>422</v>
      </c>
      <c r="C196" s="3" t="s">
        <v>423</v>
      </c>
      <c r="D196" s="3" t="s">
        <v>232</v>
      </c>
      <c r="F196" s="3" t="str">
        <f>IFERROR(__xludf.DUMMYFUNCTION("GOOGLETRANSLATE(A196, ""en"", ""hi"")"),"195")</f>
        <v>195</v>
      </c>
      <c r="G196" s="3" t="str">
        <f>IFERROR(__xludf.DUMMYFUNCTION("GOOGLETRANSLATE(B196, ""en"", ""hi"")"),"यदि किसी रेडर को दो डिफेंडरों द्वारा पकड़ लिया जाए जो दोनों ही सीमा से बाहर हैं तो क्या होगा?")</f>
        <v>यदि किसी रेडर को दो डिफेंडरों द्वारा पकड़ लिया जाए जो दोनों ही सीमा से बाहर हैं तो क्या होगा?</v>
      </c>
      <c r="H196" s="3" t="str">
        <f>IFERROR(__xludf.DUMMYFUNCTION("GOOGLETRANSLATE(C196, ""en"", ""hi"")"),"A) रेडर को 2 अंक मिलते हैं, B) रेडर आउट हो जाता है, C) बचाव करने वाली टीम को 2 अंक मिलते हैं, D) रेड की समीक्षा की जाती है")</f>
        <v>A) रेडर को 2 अंक मिलते हैं, B) रेडर आउट हो जाता है, C) बचाव करने वाली टीम को 2 अंक मिलते हैं, D) रेड की समीक्षा की जाती है</v>
      </c>
      <c r="I196" s="3" t="str">
        <f>IFERROR(__xludf.DUMMYFUNCTION("GOOGLETRANSLATE(D196, ""en"", ""hi"")"),"A) रेडर को 2 अंक मिलते हैं")</f>
        <v>A) रेडर को 2 अंक मिलते हैं</v>
      </c>
    </row>
    <row r="197" ht="22.5" customHeight="1">
      <c r="A197" s="2">
        <v>196.0</v>
      </c>
      <c r="B197" s="3" t="s">
        <v>424</v>
      </c>
      <c r="C197" s="3" t="s">
        <v>234</v>
      </c>
      <c r="D197" s="3" t="s">
        <v>148</v>
      </c>
      <c r="F197" s="3" t="str">
        <f>IFERROR(__xludf.DUMMYFUNCTION("GOOGLETRANSLATE(A197, ""en"", ""hi"")"),"196")</f>
        <v>196</v>
      </c>
      <c r="G197" s="3" t="str">
        <f>IFERROR(__xludf.DUMMYFUNCTION("GOOGLETRANSLATE(B197, ""en"", ""hi"")"),"कबड्डी मैच के दौरान यदि कोई रेडर कोर्ट से बाहर खड़े डिफेंडर को छू लेता है तो परिणाम क्या होगा?")</f>
        <v>कबड्डी मैच के दौरान यदि कोई रेडर कोर्ट से बाहर खड़े डिफेंडर को छू लेता है तो परिणाम क्या होगा?</v>
      </c>
      <c r="H197" s="3" t="str">
        <f>IFERROR(__xludf.DUMMYFUNCTION("GOOGLETRANSLATE(C197, ""en"", ""hi"")"),"A) रेडर आउट हो गया है, B) डिफेंडर आउट हो गया है, C) दोनों खिलाड़ी आउट हो गए हैं, D) रेड अवैध है")</f>
        <v>A) रेडर आउट हो गया है, B) डिफेंडर आउट हो गया है, C) दोनों खिलाड़ी आउट हो गए हैं, D) रेड अवैध है</v>
      </c>
      <c r="I197" s="3" t="str">
        <f>IFERROR(__xludf.DUMMYFUNCTION("GOOGLETRANSLATE(D197, ""en"", ""hi"")"),"B) डिफेंडर आउट हो गया है")</f>
        <v>B) डिफेंडर आउट हो गया है</v>
      </c>
    </row>
    <row r="198" ht="22.5" customHeight="1">
      <c r="A198" s="2">
        <v>197.0</v>
      </c>
      <c r="B198" s="3" t="s">
        <v>425</v>
      </c>
      <c r="C198" s="3" t="s">
        <v>426</v>
      </c>
      <c r="D198" s="3" t="s">
        <v>224</v>
      </c>
      <c r="F198" s="3" t="str">
        <f>IFERROR(__xludf.DUMMYFUNCTION("GOOGLETRANSLATE(A198, ""en"", ""hi"")"),"197")</f>
        <v>197</v>
      </c>
      <c r="G198" s="3" t="str">
        <f>IFERROR(__xludf.DUMMYFUNCTION("GOOGLETRANSLATE(B198, ""en"", ""hi"")"),"यदि कोई रेडर मध्य रेखा को पार कर तीन डिफेंडरों को छूता है, लेकिन चौथा डिफेंडर उसे टैकल कर लेता है, जो सीमा से बाहर है, तो निर्णय क्या होगा?")</f>
        <v>यदि कोई रेडर मध्य रेखा को पार कर तीन डिफेंडरों को छूता है, लेकिन चौथा डिफेंडर उसे टैकल कर लेता है, जो सीमा से बाहर है, तो निर्णय क्या होगा?</v>
      </c>
      <c r="H198" s="3" t="str">
        <f>IFERROR(__xludf.DUMMYFUNCTION("GOOGLETRANSLATE(C198, ""en"", ""hi"")"),"A) रेडर को 3 अंक मिलते हैं, B) रेडर आउट हो जाता है, C) रेड रद्द हो जाती है, D) बचाव करने वाली टीम को 1 अंक मिलता है")</f>
        <v>A) रेडर को 3 अंक मिलते हैं, B) रेडर आउट हो जाता है, C) रेड रद्द हो जाती है, D) बचाव करने वाली टीम को 1 अंक मिलता है</v>
      </c>
      <c r="I198" s="3" t="str">
        <f>IFERROR(__xludf.DUMMYFUNCTION("GOOGLETRANSLATE(D198, ""en"", ""hi"")"),"A) रेडर को 3 अंक मिलते हैं")</f>
        <v>A) रेडर को 3 अंक मिलते हैं</v>
      </c>
    </row>
    <row r="199" ht="22.5" customHeight="1">
      <c r="A199" s="2">
        <v>198.0</v>
      </c>
      <c r="B199" s="3" t="s">
        <v>427</v>
      </c>
      <c r="C199" s="3" t="s">
        <v>428</v>
      </c>
      <c r="D199" s="3" t="s">
        <v>167</v>
      </c>
      <c r="F199" s="3" t="str">
        <f>IFERROR(__xludf.DUMMYFUNCTION("GOOGLETRANSLATE(A199, ""en"", ""hi"")"),"198")</f>
        <v>198</v>
      </c>
      <c r="G199" s="3" t="str">
        <f>IFERROR(__xludf.DUMMYFUNCTION("GOOGLETRANSLATE(B199, ""en"", ""hi"")"),"यदि कोई डिफेंडर किसी रेडर को टैकल करता है और उसका पैर मिडलाइन के ऊपर होता है तो परिणाम क्या होगा?")</f>
        <v>यदि कोई डिफेंडर किसी रेडर को टैकल करता है और उसका पैर मिडलाइन के ऊपर होता है तो परिणाम क्या होगा?</v>
      </c>
      <c r="H199" s="3" t="str">
        <f>IFERROR(__xludf.DUMMYFUNCTION("GOOGLETRANSLATE(C199, ""en"", ""hi"")"),"A) डिफेंडर आउट हो गया है, B) रेडर आउट हो गया है, C) रेड अवैध है, D) रेड जारी है")</f>
        <v>A) डिफेंडर आउट हो गया है, B) रेडर आउट हो गया है, C) रेड अवैध है, D) रेड जारी है</v>
      </c>
      <c r="I199" s="3" t="str">
        <f>IFERROR(__xludf.DUMMYFUNCTION("GOOGLETRANSLATE(D199, ""en"", ""hi"")"),"A) डिफेंडर आउट हो गया है")</f>
        <v>A) डिफेंडर आउट हो गया है</v>
      </c>
    </row>
    <row r="200" ht="22.5" customHeight="1">
      <c r="A200" s="2">
        <v>199.0</v>
      </c>
      <c r="B200" s="3" t="s">
        <v>429</v>
      </c>
      <c r="C200" s="3" t="s">
        <v>430</v>
      </c>
      <c r="D200" s="3" t="s">
        <v>140</v>
      </c>
      <c r="F200" s="3" t="str">
        <f>IFERROR(__xludf.DUMMYFUNCTION("GOOGLETRANSLATE(A200, ""en"", ""hi"")"),"199")</f>
        <v>199</v>
      </c>
      <c r="G200" s="3" t="str">
        <f>IFERROR(__xludf.DUMMYFUNCTION("GOOGLETRANSLATE(B200, ""en"", ""hi"")"),"यदि किसी रेडर को बोनस लाइन को छूने के बाद लेकिन सफल टच करने से पहले ही टैकल कर दिया जाता है, तो क्या होगा?")</f>
        <v>यदि किसी रेडर को बोनस लाइन को छूने के बाद लेकिन सफल टच करने से पहले ही टैकल कर दिया जाता है, तो क्या होगा?</v>
      </c>
      <c r="H200" s="3" t="str">
        <f>IFERROR(__xludf.DUMMYFUNCTION("GOOGLETRANSLATE(C200, ""en"", ""hi"")"),"A) रेडर आउट हो जाता है, B) रेडर 1 अंक अर्जित करता है, C) रेड रद्द हो जाती है, D) बचाव करने वाली टीम 1 अंक अर्जित करती है")</f>
        <v>A) रेडर आउट हो जाता है, B) रेडर 1 अंक अर्जित करता है, C) रेड रद्द हो जाती है, D) बचाव करने वाली टीम 1 अंक अर्जित करती है</v>
      </c>
      <c r="I200" s="3" t="str">
        <f>IFERROR(__xludf.DUMMYFUNCTION("GOOGLETRANSLATE(D200, ""en"", ""hi"")"),"A) हमलावर बाहर है")</f>
        <v>A) हमलावर बाहर है</v>
      </c>
    </row>
    <row r="201" ht="22.5" customHeight="1">
      <c r="A201" s="2">
        <v>200.0</v>
      </c>
      <c r="B201" s="3" t="s">
        <v>431</v>
      </c>
      <c r="C201" s="3" t="s">
        <v>432</v>
      </c>
      <c r="D201" s="3" t="s">
        <v>237</v>
      </c>
      <c r="F201" s="3" t="str">
        <f>IFERROR(__xludf.DUMMYFUNCTION("GOOGLETRANSLATE(A201, ""en"", ""hi"")"),"200")</f>
        <v>200</v>
      </c>
      <c r="G201" s="3" t="str">
        <f>IFERROR(__xludf.DUMMYFUNCTION("GOOGLETRANSLATE(B201, ""en"", ""hi"")"),"कबड्डी रेड के दौरान, यदि कोई रेडर सफलतापूर्वक एक डिफेंडर को छू लेता है और तुरंत ही दो अन्य डिफेंडर उसे टैकल कर लेते हैं, तो परिणाम क्या होगा?")</f>
        <v>कबड्डी रेड के दौरान, यदि कोई रेडर सफलतापूर्वक एक डिफेंडर को छू लेता है और तुरंत ही दो अन्य डिफेंडर उसे टैकल कर लेते हैं, तो परिणाम क्या होगा?</v>
      </c>
      <c r="H201" s="3" t="str">
        <f>IFERROR(__xludf.DUMMYFUNCTION("GOOGLETRANSLATE(C201, ""en"", ""hi"")"),"A) रेडर को 1 अंक मिलता है, B) रेडर आउट हो जाता है, C) बचाव करने वाली टीम को 2 अंक मिलते हैं, D) रेड रद्द हो जाती है")</f>
        <v>A) रेडर को 1 अंक मिलता है, B) रेडर आउट हो जाता है, C) बचाव करने वाली टीम को 2 अंक मिलते हैं, D) रेड रद्द हो जाती है</v>
      </c>
      <c r="I201" s="3" t="str">
        <f>IFERROR(__xludf.DUMMYFUNCTION("GOOGLETRANSLATE(D201, ""en"", ""hi"")"),"A) रेडर को 1 अंक मिलता है")</f>
        <v>A) रेडर को 1 अंक मिलता है</v>
      </c>
    </row>
    <row r="202" ht="22.5" customHeight="1">
      <c r="A202" s="2">
        <v>201.0</v>
      </c>
      <c r="B202" s="3" t="s">
        <v>433</v>
      </c>
      <c r="C202" s="3" t="s">
        <v>434</v>
      </c>
      <c r="D202" s="3" t="s">
        <v>237</v>
      </c>
      <c r="F202" s="3" t="str">
        <f>IFERROR(__xludf.DUMMYFUNCTION("GOOGLETRANSLATE(A202, ""en"", ""hi"")"),"201")</f>
        <v>201</v>
      </c>
      <c r="G202" s="3" t="str">
        <f>IFERROR(__xludf.DUMMYFUNCTION("GOOGLETRANSLATE(B202, ""en"", ""hi"")"),"यदि किसी रेडर को डिफेंडर को छूने के बाद लेकिन अपने हाफ में लौटने से पहले टैकल कर दिया जाता है, और डिफेंडर बाउंड्स से बाहर हो जाता है, तो निर्णय क्या होगा?")</f>
        <v>यदि किसी रेडर को डिफेंडर को छूने के बाद लेकिन अपने हाफ में लौटने से पहले टैकल कर दिया जाता है, और डिफेंडर बाउंड्स से बाहर हो जाता है, तो निर्णय क्या होगा?</v>
      </c>
      <c r="H202" s="3" t="str">
        <f>IFERROR(__xludf.DUMMYFUNCTION("GOOGLETRANSLATE(C202, ""en"", ""hi"")"),"A) रेडर को 1 अंक मिलता है, B) रेडर आउट हो जाता है, C) डिफेंडर आउट हो जाता है, D) रेड की समीक्षा की जाती है")</f>
        <v>A) रेडर को 1 अंक मिलता है, B) रेडर आउट हो जाता है, C) डिफेंडर आउट हो जाता है, D) रेड की समीक्षा की जाती है</v>
      </c>
      <c r="I202" s="3" t="str">
        <f>IFERROR(__xludf.DUMMYFUNCTION("GOOGLETRANSLATE(D202, ""en"", ""hi"")"),"A) रेडर को 1 अंक मिलता है")</f>
        <v>A) रेडर को 1 अंक मिलता है</v>
      </c>
    </row>
    <row r="203" ht="22.5" customHeight="1">
      <c r="A203" s="2">
        <v>202.0</v>
      </c>
      <c r="B203" s="3" t="s">
        <v>435</v>
      </c>
      <c r="C203" s="3" t="s">
        <v>436</v>
      </c>
      <c r="D203" s="3" t="s">
        <v>148</v>
      </c>
      <c r="F203" s="3" t="str">
        <f>IFERROR(__xludf.DUMMYFUNCTION("GOOGLETRANSLATE(A203, ""en"", ""hi"")"),"202")</f>
        <v>202</v>
      </c>
      <c r="G203" s="3" t="str">
        <f>IFERROR(__xludf.DUMMYFUNCTION("GOOGLETRANSLATE(B203, ""en"", ""hi"")"),"कबड्डी मैच में, यदि कोई रेडर मध्य रेखा पार कर जाता है, लेकिन कोर्ट से बाहर खड़े डिफेंडर द्वारा उसे रोक लिया जाता है, तो परिणाम क्या होगा?")</f>
        <v>कबड्डी मैच में, यदि कोई रेडर मध्य रेखा पार कर जाता है, लेकिन कोर्ट से बाहर खड़े डिफेंडर द्वारा उसे रोक लिया जाता है, तो परिणाम क्या होगा?</v>
      </c>
      <c r="H203" s="3" t="str">
        <f>IFERROR(__xludf.DUMMYFUNCTION("GOOGLETRANSLATE(C203, ""en"", ""hi"")"),"A) रेडर आउट हो गया है, B) डिफेंडर आउट हो गया है, C) रेडर 1 अंक अर्जित करता है, D) रेड जारी रहती है")</f>
        <v>A) रेडर आउट हो गया है, B) डिफेंडर आउट हो गया है, C) रेडर 1 अंक अर्जित करता है, D) रेड जारी रहती है</v>
      </c>
      <c r="I203" s="3" t="str">
        <f>IFERROR(__xludf.DUMMYFUNCTION("GOOGLETRANSLATE(D203, ""en"", ""hi"")"),"B) डिफेंडर आउट हो गया है")</f>
        <v>B) डिफेंडर आउट हो गया है</v>
      </c>
    </row>
    <row r="204" ht="22.5" customHeight="1">
      <c r="A204" s="2">
        <v>203.0</v>
      </c>
      <c r="B204" s="3" t="s">
        <v>437</v>
      </c>
      <c r="C204" s="3" t="s">
        <v>438</v>
      </c>
      <c r="D204" s="3" t="s">
        <v>148</v>
      </c>
      <c r="F204" s="3" t="str">
        <f>IFERROR(__xludf.DUMMYFUNCTION("GOOGLETRANSLATE(A204, ""en"", ""hi"")"),"203")</f>
        <v>203</v>
      </c>
      <c r="G204" s="3" t="str">
        <f>IFERROR(__xludf.DUMMYFUNCTION("GOOGLETRANSLATE(B204, ""en"", ""hi"")"),"यदि कोई रेडर दो डिफेंडरों को छूने में सफल हो जाता है, लेकिन तुरंत ही उसे एक डिफेंडर द्वारा टैकल कर लिया जाता है, जिसका पैर लॉबी क्षेत्र में है, तो क्या होगा?")</f>
        <v>यदि कोई रेडर दो डिफेंडरों को छूने में सफल हो जाता है, लेकिन तुरंत ही उसे एक डिफेंडर द्वारा टैकल कर लिया जाता है, जिसका पैर लॉबी क्षेत्र में है, तो क्या होगा?</v>
      </c>
      <c r="H204" s="3" t="str">
        <f>IFERROR(__xludf.DUMMYFUNCTION("GOOGLETRANSLATE(C204, ""en"", ""hi"")"),"A) रेडर को 2 अंक मिलते हैं, B) डिफेंडर आउट हो जाता है, C) रेडर आउट हो जाता है, D) रेड अमान्य हो जाती है")</f>
        <v>A) रेडर को 2 अंक मिलते हैं, B) डिफेंडर आउट हो जाता है, C) रेडर आउट हो जाता है, D) रेड अमान्य हो जाती है</v>
      </c>
      <c r="I204" s="3" t="str">
        <f>IFERROR(__xludf.DUMMYFUNCTION("GOOGLETRANSLATE(D204, ""en"", ""hi"")"),"B) डिफेंडर आउट हो गया है")</f>
        <v>B) डिफेंडर आउट हो गया है</v>
      </c>
    </row>
    <row r="205" ht="22.5" customHeight="1">
      <c r="A205" s="2">
        <v>204.0</v>
      </c>
      <c r="B205" s="3" t="s">
        <v>439</v>
      </c>
      <c r="C205" s="3" t="s">
        <v>408</v>
      </c>
      <c r="D205" s="3" t="s">
        <v>65</v>
      </c>
      <c r="F205" s="3" t="str">
        <f>IFERROR(__xludf.DUMMYFUNCTION("GOOGLETRANSLATE(A205, ""en"", ""hi"")"),"204")</f>
        <v>204</v>
      </c>
      <c r="G205" s="3" t="str">
        <f>IFERROR(__xludf.DUMMYFUNCTION("GOOGLETRANSLATE(B205, ""en"", ""hi"")"),"रेड के दौरान, यदि रेडर बोनस लाइन को छू लेता है और मिडलाइन पर लौटने से पहले ही उसे टैकल कर दिया जाता है, तो परिणाम क्या होगा?")</f>
        <v>रेड के दौरान, यदि रेडर बोनस लाइन को छू लेता है और मिडलाइन पर लौटने से पहले ही उसे टैकल कर दिया जाता है, तो परिणाम क्या होगा?</v>
      </c>
      <c r="H205" s="3" t="str">
        <f>IFERROR(__xludf.DUMMYFUNCTION("GOOGLETRANSLATE(C205, ""en"", ""hi"")"),"A) रेडर को 1 अंक मिलता है, B) रेडर आउट हो जाता है, C) रेड अमान्य हो जाती है, D) बचाव करने वाली टीम को 1 अंक मिलता है")</f>
        <v>A) रेडर को 1 अंक मिलता है, B) रेडर आउट हो जाता है, C) रेड अमान्य हो जाती है, D) बचाव करने वाली टीम को 1 अंक मिलता है</v>
      </c>
      <c r="I205" s="3" t="str">
        <f>IFERROR(__xludf.DUMMYFUNCTION("GOOGLETRANSLATE(D205, ""en"", ""hi"")"),"बी) हमलावर बाहर है")</f>
        <v>बी) हमलावर बाहर है</v>
      </c>
    </row>
    <row r="206" ht="22.5" customHeight="1">
      <c r="A206" s="2">
        <v>205.0</v>
      </c>
      <c r="B206" s="3" t="s">
        <v>440</v>
      </c>
      <c r="C206" s="3" t="s">
        <v>441</v>
      </c>
      <c r="D206" s="3" t="s">
        <v>148</v>
      </c>
      <c r="F206" s="3" t="str">
        <f>IFERROR(__xludf.DUMMYFUNCTION("GOOGLETRANSLATE(A206, ""en"", ""hi"")"),"205")</f>
        <v>205</v>
      </c>
      <c r="G206" s="3" t="str">
        <f>IFERROR(__xludf.DUMMYFUNCTION("GOOGLETRANSLATE(B206, ""en"", ""hi"")"),"यदि कोई रेडर किसी डिफेंडर को छूता है लेकिन डिफेंडर का पैर खेल क्षेत्र के बाहर है और रेडर को टैकल कर दिया जाता है तो परिणाम क्या होगा?")</f>
        <v>यदि कोई रेडर किसी डिफेंडर को छूता है लेकिन डिफेंडर का पैर खेल क्षेत्र के बाहर है और रेडर को टैकल कर दिया जाता है तो परिणाम क्या होगा?</v>
      </c>
      <c r="H206" s="3" t="str">
        <f>IFERROR(__xludf.DUMMYFUNCTION("GOOGLETRANSLATE(C206,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06" s="3" t="str">
        <f>IFERROR(__xludf.DUMMYFUNCTION("GOOGLETRANSLATE(D206, ""en"", ""hi"")"),"B) डिफेंडर आउट हो गया है")</f>
        <v>B) डिफेंडर आउट हो गया है</v>
      </c>
    </row>
    <row r="207" ht="22.5" customHeight="1">
      <c r="A207" s="2">
        <v>206.0</v>
      </c>
      <c r="B207" s="3" t="s">
        <v>442</v>
      </c>
      <c r="C207" s="3" t="s">
        <v>443</v>
      </c>
      <c r="D207" s="3" t="s">
        <v>167</v>
      </c>
      <c r="F207" s="3" t="str">
        <f>IFERROR(__xludf.DUMMYFUNCTION("GOOGLETRANSLATE(A207, ""en"", ""hi"")"),"206")</f>
        <v>206</v>
      </c>
      <c r="G207" s="3" t="str">
        <f>IFERROR(__xludf.DUMMYFUNCTION("GOOGLETRANSLATE(B207, ""en"", ""hi"")"),"यदि कोई डिफेंडर सीमा से बाहर निकलते समय रेडर के पैर को छू लेता है, तो क्या होता है?")</f>
        <v>यदि कोई डिफेंडर सीमा से बाहर निकलते समय रेडर के पैर को छू लेता है, तो क्या होता है?</v>
      </c>
      <c r="H207" s="3" t="str">
        <f>IFERROR(__xludf.DUMMYFUNCTION("GOOGLETRANSLATE(C207, ""en"", ""hi"")"),"A) डिफेंडर आउट हो गया है, B) रेडर आउट हो गया है, C) रेड की समीक्षा की गई है, D) रेड जारी है")</f>
        <v>A) डिफेंडर आउट हो गया है, B) रेडर आउट हो गया है, C) रेड की समीक्षा की गई है, D) रेड जारी है</v>
      </c>
      <c r="I207" s="3" t="str">
        <f>IFERROR(__xludf.DUMMYFUNCTION("GOOGLETRANSLATE(D207, ""en"", ""hi"")"),"A) डिफेंडर आउट हो गया है")</f>
        <v>A) डिफेंडर आउट हो गया है</v>
      </c>
    </row>
    <row r="208" ht="22.5" customHeight="1">
      <c r="A208" s="2">
        <v>207.0</v>
      </c>
      <c r="B208" s="3" t="s">
        <v>444</v>
      </c>
      <c r="C208" s="3" t="s">
        <v>445</v>
      </c>
      <c r="D208" s="3" t="s">
        <v>232</v>
      </c>
      <c r="F208" s="3" t="str">
        <f>IFERROR(__xludf.DUMMYFUNCTION("GOOGLETRANSLATE(A208, ""en"", ""hi"")"),"207")</f>
        <v>207</v>
      </c>
      <c r="G208" s="3" t="str">
        <f>IFERROR(__xludf.DUMMYFUNCTION("GOOGLETRANSLATE(B208, ""en"", ""hi"")"),"सुपर टैकल स्थिति में, यदि रेडर दो डिफेंडरों को छूता है, लेकिन कोर्ट से बाहर मौजूद तीसरे डिफेंडर द्वारा उसे टैकल कर लिया जाता है, तो परिणाम क्या होगा?")</f>
        <v>सुपर टैकल स्थिति में, यदि रेडर दो डिफेंडरों को छूता है, लेकिन कोर्ट से बाहर मौजूद तीसरे डिफेंडर द्वारा उसे टैकल कर लिया जाता है, तो परिणाम क्या होगा?</v>
      </c>
      <c r="H208" s="3" t="str">
        <f>IFERROR(__xludf.DUMMYFUNCTION("GOOGLETRANSLATE(C208, ""en"", ""hi"")"),"A) रेडर को 2 अंक मिलते हैं, B) रेडर आउट हो जाता है, C) डिफेंडर आउट हो जाता है, D) रेड रद्द हो जाती है")</f>
        <v>A) रेडर को 2 अंक मिलते हैं, B) रेडर आउट हो जाता है, C) डिफेंडर आउट हो जाता है, D) रेड रद्द हो जाती है</v>
      </c>
      <c r="I208" s="3" t="str">
        <f>IFERROR(__xludf.DUMMYFUNCTION("GOOGLETRANSLATE(D208, ""en"", ""hi"")"),"A) रेडर को 2 अंक मिलते हैं")</f>
        <v>A) रेडर को 2 अंक मिलते हैं</v>
      </c>
    </row>
    <row r="209" ht="22.5" customHeight="1">
      <c r="A209" s="2">
        <v>208.0</v>
      </c>
      <c r="B209" s="3" t="s">
        <v>446</v>
      </c>
      <c r="C209" s="3" t="s">
        <v>447</v>
      </c>
      <c r="D209" s="3" t="s">
        <v>240</v>
      </c>
      <c r="F209" s="3" t="str">
        <f>IFERROR(__xludf.DUMMYFUNCTION("GOOGLETRANSLATE(A209, ""en"", ""hi"")"),"208")</f>
        <v>208</v>
      </c>
      <c r="G209" s="3" t="str">
        <f>IFERROR(__xludf.DUMMYFUNCTION("GOOGLETRANSLATE(B209, ""en"", ""hi"")"),"यदि कोई रेडर मध्य रेखा पार कर जाता है और दो डिफेंडर उसे छू लेते हैं, लेकिन एक डिफेंडर का पैर लॉबी क्षेत्र में है तो क्या होगा?")</f>
        <v>यदि कोई रेडर मध्य रेखा पार कर जाता है और दो डिफेंडर उसे छू लेते हैं, लेकिन एक डिफेंडर का पैर लॉबी क्षेत्र में है तो क्या होगा?</v>
      </c>
      <c r="H209" s="3" t="str">
        <f>IFERROR(__xludf.DUMMYFUNCTION("GOOGLETRANSLATE(C209, ""en"", ""hi"")"),"A) रेडर 2 अंक अर्जित करता है, B) रेडर आउट हो जाता है, C) डिफेंडर आउट हो जाता है, D) रेड जारी रहती है")</f>
        <v>A) रेडर 2 अंक अर्जित करता है, B) रेडर आउट हो जाता है, C) डिफेंडर आउट हो जाता है, D) रेड जारी रहती है</v>
      </c>
      <c r="I209" s="3" t="str">
        <f>IFERROR(__xludf.DUMMYFUNCTION("GOOGLETRANSLATE(D209, ""en"", ""hi"")"),"C) डिफेंडर आउट हो गया है")</f>
        <v>C) डिफेंडर आउट हो गया है</v>
      </c>
    </row>
    <row r="210" ht="22.5" customHeight="1">
      <c r="A210" s="2">
        <v>209.0</v>
      </c>
      <c r="B210" s="3" t="s">
        <v>448</v>
      </c>
      <c r="C210" s="3" t="s">
        <v>449</v>
      </c>
      <c r="D210" s="3" t="s">
        <v>237</v>
      </c>
      <c r="F210" s="3" t="str">
        <f>IFERROR(__xludf.DUMMYFUNCTION("GOOGLETRANSLATE(A210, ""en"", ""hi"")"),"209")</f>
        <v>209</v>
      </c>
      <c r="G210" s="3" t="str">
        <f>IFERROR(__xludf.DUMMYFUNCTION("GOOGLETRANSLATE(B210, ""en"", ""hi"")"),"यदि कोई रेडर किसी डिफेंडर को छूता है और उसे दूसरा डिफेंडर टैकल कर देता है, जो जमीन को नहीं छू रहा है, तो परिणाम क्या होगा?")</f>
        <v>यदि कोई रेडर किसी डिफेंडर को छूता है और उसे दूसरा डिफेंडर टैकल कर देता है, जो जमीन को नहीं छू रहा है, तो परिणाम क्या होगा?</v>
      </c>
      <c r="H210" s="3" t="str">
        <f>IFERROR(__xludf.DUMMYFUNCTION("GOOGLETRANSLATE(C210, ""en"", ""hi"")"),"A) रेडर को 1 अंक मिलता है, B) रेडर आउट हो जाता है, C) दूसरा डिफेंडर आउट हो जाता है, D) रेड अमान्य हो जाती है")</f>
        <v>A) रेडर को 1 अंक मिलता है, B) रेडर आउट हो जाता है, C) दूसरा डिफेंडर आउट हो जाता है, D) रेड अमान्य हो जाती है</v>
      </c>
      <c r="I210" s="3" t="str">
        <f>IFERROR(__xludf.DUMMYFUNCTION("GOOGLETRANSLATE(D210, ""en"", ""hi"")"),"A) रेडर को 1 अंक मिलता है")</f>
        <v>A) रेडर को 1 अंक मिलता है</v>
      </c>
    </row>
    <row r="211" ht="22.5" customHeight="1">
      <c r="A211" s="2">
        <v>210.0</v>
      </c>
      <c r="B211" s="3" t="s">
        <v>450</v>
      </c>
      <c r="C211" s="3" t="s">
        <v>397</v>
      </c>
      <c r="D211" s="3" t="s">
        <v>237</v>
      </c>
      <c r="F211" s="3" t="str">
        <f>IFERROR(__xludf.DUMMYFUNCTION("GOOGLETRANSLATE(A211, ""en"", ""hi"")"),"210")</f>
        <v>210</v>
      </c>
      <c r="G211" s="3" t="str">
        <f>IFERROR(__xludf.DUMMYFUNCTION("GOOGLETRANSLATE(B211, ""en"", ""hi"")"),"रेड के दौरान, यदि रेडर बोनस लाइन को छूता है और कोर्ट से बाहर खड़े डिफेंडर द्वारा उसे टैकल कर दिया जाता है, तो परिणाम क्या होगा?")</f>
        <v>रेड के दौरान, यदि रेडर बोनस लाइन को छूता है और कोर्ट से बाहर खड़े डिफेंडर द्वारा उसे टैकल कर दिया जाता है, तो परिणाम क्या होगा?</v>
      </c>
      <c r="H211" s="3" t="str">
        <f>IFERROR(__xludf.DUMMYFUNCTION("GOOGLETRANSLATE(C211,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11" s="3" t="str">
        <f>IFERROR(__xludf.DUMMYFUNCTION("GOOGLETRANSLATE(D211, ""en"", ""hi"")"),"A) रेडर को 1 अंक मिलता है")</f>
        <v>A) रेडर को 1 अंक मिलता है</v>
      </c>
    </row>
    <row r="212" ht="22.5" customHeight="1">
      <c r="A212" s="2">
        <v>211.0</v>
      </c>
      <c r="B212" s="3" t="s">
        <v>451</v>
      </c>
      <c r="C212" s="3" t="s">
        <v>452</v>
      </c>
      <c r="D212" s="3" t="s">
        <v>167</v>
      </c>
      <c r="F212" s="3" t="str">
        <f>IFERROR(__xludf.DUMMYFUNCTION("GOOGLETRANSLATE(A212, ""en"", ""hi"")"),"211")</f>
        <v>211</v>
      </c>
      <c r="G212" s="3" t="str">
        <f>IFERROR(__xludf.DUMMYFUNCTION("GOOGLETRANSLATE(B212, ""en"", ""hi"")"),"यदि कोई डिफेंडर रेडर को टैकल करता है, लेकिन टैकल करते समय उसका पैर बाउंड्स से बाहर होता है, तो क्या होगा?")</f>
        <v>यदि कोई डिफेंडर रेडर को टैकल करता है, लेकिन टैकल करते समय उसका पैर बाउंड्स से बाहर होता है, तो क्या होगा?</v>
      </c>
      <c r="H212" s="3" t="str">
        <f>IFERROR(__xludf.DUMMYFUNCTION("GOOGLETRANSLATE(C212, ""en"", ""hi"")"),"A) डिफेंडर आउट हो गया है, B) रेडर आउट हो गया है, C) रेड रद्द हो गई है, D) रेड जारी है")</f>
        <v>A) डिफेंडर आउट हो गया है, B) रेडर आउट हो गया है, C) रेड रद्द हो गई है, D) रेड जारी है</v>
      </c>
      <c r="I212" s="3" t="str">
        <f>IFERROR(__xludf.DUMMYFUNCTION("GOOGLETRANSLATE(D212, ""en"", ""hi"")"),"A) डिफेंडर आउट हो गया है")</f>
        <v>A) डिफेंडर आउट हो गया है</v>
      </c>
    </row>
    <row r="213" ht="22.5" customHeight="1">
      <c r="A213" s="2">
        <v>212.0</v>
      </c>
      <c r="B213" s="3" t="s">
        <v>453</v>
      </c>
      <c r="C213" s="3" t="s">
        <v>454</v>
      </c>
      <c r="D213" s="3" t="s">
        <v>148</v>
      </c>
      <c r="F213" s="3" t="str">
        <f>IFERROR(__xludf.DUMMYFUNCTION("GOOGLETRANSLATE(A213, ""en"", ""hi"")"),"212")</f>
        <v>212</v>
      </c>
      <c r="G213" s="3" t="str">
        <f>IFERROR(__xludf.DUMMYFUNCTION("GOOGLETRANSLATE(B213, ""en"", ""hi"")"),"यदि कोई रेडर तीन डिफेंडरों को छूता है और लॉबी क्षेत्र में आने वाले डिफेंडर द्वारा उसे टैकल कर दिया जाता है, तो क्या होगा?")</f>
        <v>यदि कोई रेडर तीन डिफेंडरों को छूता है और लॉबी क्षेत्र में आने वाले डिफेंडर द्वारा उसे टैकल कर दिया जाता है, तो क्या होगा?</v>
      </c>
      <c r="H213" s="3" t="str">
        <f>IFERROR(__xludf.DUMMYFUNCTION("GOOGLETRANSLATE(C213, ""en"", ""hi"")"),"A) रेडर को 3 अंक मिलते हैं, B) डिफेंडर आउट हो जाता है, C) रेड रद्द हो जाती है, D) रेडर आउट हो जाता है")</f>
        <v>A) रेडर को 3 अंक मिलते हैं, B) डिफेंडर आउट हो जाता है, C) रेड रद्द हो जाती है, D) रेडर आउट हो जाता है</v>
      </c>
      <c r="I213" s="3" t="str">
        <f>IFERROR(__xludf.DUMMYFUNCTION("GOOGLETRANSLATE(D213, ""en"", ""hi"")"),"B) डिफेंडर आउट हो गया है")</f>
        <v>B) डिफेंडर आउट हो गया है</v>
      </c>
    </row>
    <row r="214" ht="22.5" customHeight="1">
      <c r="A214" s="2">
        <v>213.0</v>
      </c>
      <c r="B214" s="3" t="s">
        <v>455</v>
      </c>
      <c r="C214" s="3" t="s">
        <v>397</v>
      </c>
      <c r="D214" s="3" t="s">
        <v>148</v>
      </c>
      <c r="F214" s="3" t="str">
        <f>IFERROR(__xludf.DUMMYFUNCTION("GOOGLETRANSLATE(A214, ""en"", ""hi"")"),"213")</f>
        <v>213</v>
      </c>
      <c r="G214" s="3" t="str">
        <f>IFERROR(__xludf.DUMMYFUNCTION("GOOGLETRANSLATE(B214, ""en"", ""hi"")"),"कबड्डी मैच के दौरान, यदि किसी रेडर को ऐसे डिफेंडर द्वारा टैकल किया जाता है जिसका पैर लाइन पर है लेकिन बाउंड्स में नहीं है, तो निर्णय क्या होगा?")</f>
        <v>कबड्डी मैच के दौरान, यदि किसी रेडर को ऐसे डिफेंडर द्वारा टैकल किया जाता है जिसका पैर लाइन पर है लेकिन बाउंड्स में नहीं है, तो निर्णय क्या होगा?</v>
      </c>
      <c r="H214" s="3" t="str">
        <f>IFERROR(__xludf.DUMMYFUNCTION("GOOGLETRANSLATE(C214,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14" s="3" t="str">
        <f>IFERROR(__xludf.DUMMYFUNCTION("GOOGLETRANSLATE(D214, ""en"", ""hi"")"),"B) डिफेंडर आउट हो गया है")</f>
        <v>B) डिफेंडर आउट हो गया है</v>
      </c>
    </row>
    <row r="215" ht="22.5" customHeight="1">
      <c r="A215" s="2">
        <v>214.0</v>
      </c>
      <c r="B215" s="3" t="s">
        <v>456</v>
      </c>
      <c r="C215" s="3" t="s">
        <v>457</v>
      </c>
      <c r="D215" s="3" t="s">
        <v>458</v>
      </c>
      <c r="F215" s="3" t="str">
        <f>IFERROR(__xludf.DUMMYFUNCTION("GOOGLETRANSLATE(A215, ""en"", ""hi"")"),"214")</f>
        <v>214</v>
      </c>
      <c r="G215" s="3" t="str">
        <f>IFERROR(__xludf.DUMMYFUNCTION("GOOGLETRANSLATE(B215, ""en"", ""hi"")"),"यदि कोई रेडर दो डिफेंडरों को छूता है और तीसरा डिफेंडर उसे टैकल कर देता है, जो खेल क्षेत्र में नहीं है, तो क्या होगा?")</f>
        <v>यदि कोई रेडर दो डिफेंडरों को छूता है और तीसरा डिफेंडर उसे टैकल कर देता है, जो खेल क्षेत्र में नहीं है, तो क्या होगा?</v>
      </c>
      <c r="H215" s="3" t="str">
        <f>IFERROR(__xludf.DUMMYFUNCTION("GOOGLETRANSLATE(C215, ""en"", ""hi"")"),"A) रेडर को 2 अंक मिलते हैं, B) रेडर आउट हो जाता है, C) तीसरा डिफेंडर आउट हो जाता है, D) रेड रद्द हो जाती है")</f>
        <v>A) रेडर को 2 अंक मिलते हैं, B) रेडर आउट हो जाता है, C) तीसरा डिफेंडर आउट हो जाता है, D) रेड रद्द हो जाती है</v>
      </c>
      <c r="I215" s="3" t="str">
        <f>IFERROR(__xludf.DUMMYFUNCTION("GOOGLETRANSLATE(D215, ""en"", ""hi"")"),"C) तीसरा डिफेंडर आउट हो गया है")</f>
        <v>C) तीसरा डिफेंडर आउट हो गया है</v>
      </c>
    </row>
    <row r="216" ht="22.5" customHeight="1">
      <c r="A216" s="2">
        <v>215.0</v>
      </c>
      <c r="B216" s="3" t="s">
        <v>459</v>
      </c>
      <c r="C216" s="3" t="s">
        <v>460</v>
      </c>
      <c r="D216" s="3" t="s">
        <v>65</v>
      </c>
      <c r="F216" s="3" t="str">
        <f>IFERROR(__xludf.DUMMYFUNCTION("GOOGLETRANSLATE(A216, ""en"", ""hi"")"),"215")</f>
        <v>215</v>
      </c>
      <c r="G216" s="3" t="str">
        <f>IFERROR(__xludf.DUMMYFUNCTION("GOOGLETRANSLATE(B216, ""en"", ""hi"")"),"यदि कोई रेडर बोनस लाइन को छू लेता है और बचाव करने वाली टीम मध्य रेखा पार करने से पहले रेडर को सफलतापूर्वक टैकल कर लेती है तो क्या होगा?")</f>
        <v>यदि कोई रेडर बोनस लाइन को छू लेता है और बचाव करने वाली टीम मध्य रेखा पार करने से पहले रेडर को सफलतापूर्वक टैकल कर लेती है तो क्या होगा?</v>
      </c>
      <c r="H216" s="3" t="str">
        <f>IFERROR(__xludf.DUMMYFUNCTION("GOOGLETRANSLATE(C216, ""en"", ""hi"")"),"A) रेडर को 1 अंक मिलता है, B) रेडर आउट हो जाता है, C) बचाव करने वाली टीम को 1 अंक मिलता है, D) रेड अमान्य हो जाती है")</f>
        <v>A) रेडर को 1 अंक मिलता है, B) रेडर आउट हो जाता है, C) बचाव करने वाली टीम को 1 अंक मिलता है, D) रेड अमान्य हो जाती है</v>
      </c>
      <c r="I216" s="3" t="str">
        <f>IFERROR(__xludf.DUMMYFUNCTION("GOOGLETRANSLATE(D216, ""en"", ""hi"")"),"बी) हमलावर बाहर है")</f>
        <v>बी) हमलावर बाहर है</v>
      </c>
    </row>
    <row r="217" ht="22.5" customHeight="1">
      <c r="A217" s="2">
        <v>216.0</v>
      </c>
      <c r="B217" s="3" t="s">
        <v>461</v>
      </c>
      <c r="C217" s="3" t="s">
        <v>266</v>
      </c>
      <c r="D217" s="3" t="s">
        <v>167</v>
      </c>
      <c r="F217" s="3" t="str">
        <f>IFERROR(__xludf.DUMMYFUNCTION("GOOGLETRANSLATE(A217, ""en"", ""hi"")"),"216")</f>
        <v>216</v>
      </c>
      <c r="G217" s="3" t="str">
        <f>IFERROR(__xludf.DUMMYFUNCTION("GOOGLETRANSLATE(B217, ""en"", ""hi"")"),"कबड्डी मैच में, यदि डिफेंडर रेडर को पकड़ रहा है और बाउंड्री से बाहर चला जाता है, तो डिफेंडर के साथ क्या होता है?")</f>
        <v>कबड्डी मैच में, यदि डिफेंडर रेडर को पकड़ रहा है और बाउंड्री से बाहर चला जाता है, तो डिफेंडर के साथ क्या होता है?</v>
      </c>
      <c r="H217" s="3" t="str">
        <f>IFERROR(__xludf.DUMMYFUNCTION("GOOGLETRANSLATE(C217, ""en"", ""hi"")"),"A) डिफेंडर आउट हो गया है, B) रेडर आउट हो गया है, C) दोनों खिलाड़ी आउट हो गए हैं, D) रेड की समीक्षा की गई है")</f>
        <v>A) डिफेंडर आउट हो गया है, B) रेडर आउट हो गया है, C) दोनों खिलाड़ी आउट हो गए हैं, D) रेड की समीक्षा की गई है</v>
      </c>
      <c r="I217" s="3" t="str">
        <f>IFERROR(__xludf.DUMMYFUNCTION("GOOGLETRANSLATE(D217, ""en"", ""hi"")"),"A) डिफेंडर आउट हो गया है")</f>
        <v>A) डिफेंडर आउट हो गया है</v>
      </c>
    </row>
    <row r="218" ht="22.5" customHeight="1">
      <c r="A218" s="2">
        <v>217.0</v>
      </c>
      <c r="B218" s="3" t="s">
        <v>462</v>
      </c>
      <c r="C218" s="3" t="s">
        <v>463</v>
      </c>
      <c r="D218" s="3" t="s">
        <v>237</v>
      </c>
      <c r="F218" s="3" t="str">
        <f>IFERROR(__xludf.DUMMYFUNCTION("GOOGLETRANSLATE(A218, ""en"", ""hi"")"),"217")</f>
        <v>217</v>
      </c>
      <c r="G218" s="3" t="str">
        <f>IFERROR(__xludf.DUMMYFUNCTION("GOOGLETRANSLATE(B218, ""en"", ""hi"")"),"यदि किसी रेडर को टैकल किया जाता है, लेकिन वह एक डिफेंडर को छूने में सफल हो जाता है, तथा उसके बाद दूसरे डिफेंडर उसे गिरा देता है, तो परिणाम क्या होगा?")</f>
        <v>यदि किसी रेडर को टैकल किया जाता है, लेकिन वह एक डिफेंडर को छूने में सफल हो जाता है, तथा उसके बाद दूसरे डिफेंडर उसे गिरा देता है, तो परिणाम क्या होगा?</v>
      </c>
      <c r="H218" s="3" t="str">
        <f>IFERROR(__xludf.DUMMYFUNCTION("GOOGLETRANSLATE(C218, ""en"", ""hi"")"),"A) रेडर को 1 अंक मिलता है, B) रेडर आउट हो जाता है, C) पहले टैकल करने वाला डिफेंडर आउट हो जाता है, D) रेड रद्द हो जाती है")</f>
        <v>A) रेडर को 1 अंक मिलता है, B) रेडर आउट हो जाता है, C) पहले टैकल करने वाला डिफेंडर आउट हो जाता है, D) रेड रद्द हो जाती है</v>
      </c>
      <c r="I218" s="3" t="str">
        <f>IFERROR(__xludf.DUMMYFUNCTION("GOOGLETRANSLATE(D218, ""en"", ""hi"")"),"A) रेडर को 1 अंक मिलता है")</f>
        <v>A) रेडर को 1 अंक मिलता है</v>
      </c>
    </row>
    <row r="219" ht="22.5" customHeight="1">
      <c r="A219" s="2">
        <v>218.0</v>
      </c>
      <c r="B219" s="3" t="s">
        <v>464</v>
      </c>
      <c r="C219" s="3" t="s">
        <v>465</v>
      </c>
      <c r="D219" s="3" t="s">
        <v>240</v>
      </c>
      <c r="F219" s="3" t="str">
        <f>IFERROR(__xludf.DUMMYFUNCTION("GOOGLETRANSLATE(A219, ""en"", ""hi"")"),"218")</f>
        <v>218</v>
      </c>
      <c r="G219" s="3" t="str">
        <f>IFERROR(__xludf.DUMMYFUNCTION("GOOGLETRANSLATE(B219, ""en"", ""hi"")"),"कबड्डी मैच के दौरान, यदि कोई रेडर दो डिफेंडरों को छूता है, लेकिन उसे सीमा से बाहर निकले डिफेंडर द्वारा टैकल कर लिया जाता है, तो क्या होगा?")</f>
        <v>कबड्डी मैच के दौरान, यदि कोई रेडर दो डिफेंडरों को छूता है, लेकिन उसे सीमा से बाहर निकले डिफेंडर द्वारा टैकल कर लिया जाता है, तो क्या होगा?</v>
      </c>
      <c r="H219" s="3" t="str">
        <f>IFERROR(__xludf.DUMMYFUNCTION("GOOGLETRANSLATE(C219, ""en"", ""hi"")"),"A) रेडर को 2 अंक मिलते हैं, B) रेडर आउट हो जाता है, C) डिफेंडर आउट हो जाता है, D) रेड की समीक्षा की जाती है")</f>
        <v>A) रेडर को 2 अंक मिलते हैं, B) रेडर आउट हो जाता है, C) डिफेंडर आउट हो जाता है, D) रेड की समीक्षा की जाती है</v>
      </c>
      <c r="I219" s="3" t="str">
        <f>IFERROR(__xludf.DUMMYFUNCTION("GOOGLETRANSLATE(D219, ""en"", ""hi"")"),"C) डिफेंडर आउट हो गया है")</f>
        <v>C) डिफेंडर आउट हो गया है</v>
      </c>
    </row>
    <row r="220" ht="22.5" customHeight="1">
      <c r="A220" s="2">
        <v>219.0</v>
      </c>
      <c r="B220" s="3" t="s">
        <v>466</v>
      </c>
      <c r="C220" s="3" t="s">
        <v>408</v>
      </c>
      <c r="D220" s="3" t="s">
        <v>65</v>
      </c>
      <c r="F220" s="3" t="str">
        <f>IFERROR(__xludf.DUMMYFUNCTION("GOOGLETRANSLATE(A220, ""en"", ""hi"")"),"219")</f>
        <v>219</v>
      </c>
      <c r="G220" s="3" t="str">
        <f>IFERROR(__xludf.DUMMYFUNCTION("GOOGLETRANSLATE(B220, ""en"", ""hi"")"),"यदि कोई रेडर बोनस लाइन को सफलतापूर्वक छूने के बाद भी टैकल हो जाता है, लेकिन मिडलाइन को पार नहीं कर पाता है, तो क्या होगा?")</f>
        <v>यदि कोई रेडर बोनस लाइन को सफलतापूर्वक छूने के बाद भी टैकल हो जाता है, लेकिन मिडलाइन को पार नहीं कर पाता है, तो क्या होगा?</v>
      </c>
      <c r="H220" s="3" t="str">
        <f>IFERROR(__xludf.DUMMYFUNCTION("GOOGLETRANSLATE(C220, ""en"", ""hi"")"),"A) रेडर को 1 अंक मिलता है, B) रेडर आउट हो जाता है, C) रेड अमान्य हो जाती है, D) बचाव करने वाली टीम को 1 अंक मिलता है")</f>
        <v>A) रेडर को 1 अंक मिलता है, B) रेडर आउट हो जाता है, C) रेड अमान्य हो जाती है, D) बचाव करने वाली टीम को 1 अंक मिलता है</v>
      </c>
      <c r="I220" s="3" t="str">
        <f>IFERROR(__xludf.DUMMYFUNCTION("GOOGLETRANSLATE(D220, ""en"", ""hi"")"),"बी) हमलावर बाहर है")</f>
        <v>बी) हमलावर बाहर है</v>
      </c>
    </row>
    <row r="221" ht="22.5" customHeight="1">
      <c r="A221" s="2">
        <v>220.0</v>
      </c>
      <c r="B221" s="3" t="s">
        <v>467</v>
      </c>
      <c r="C221" s="3" t="s">
        <v>468</v>
      </c>
      <c r="D221" s="3" t="s">
        <v>167</v>
      </c>
      <c r="F221" s="3" t="str">
        <f>IFERROR(__xludf.DUMMYFUNCTION("GOOGLETRANSLATE(A221, ""en"", ""hi"")"),"220")</f>
        <v>220</v>
      </c>
      <c r="G221" s="3" t="str">
        <f>IFERROR(__xludf.DUMMYFUNCTION("GOOGLETRANSLATE(B221, ""en"", ""hi"")"),"यदि सफल टैकल करते समय डिफेंडर का पैर लॉबी में पड़ जाए तो परिणाम क्या होगा?")</f>
        <v>यदि सफल टैकल करते समय डिफेंडर का पैर लॉबी में पड़ जाए तो परिणाम क्या होगा?</v>
      </c>
      <c r="H221" s="3" t="str">
        <f>IFERROR(__xludf.DUMMYFUNCTION("GOOGLETRANSLATE(C221, ""en"", ""hi"")"),"A) डिफेंडर आउट हो गया है, B) रेडर आउट हो गया है, C) रेड जारी है, D) रेड अवैध है")</f>
        <v>A) डिफेंडर आउट हो गया है, B) रेडर आउट हो गया है, C) रेड जारी है, D) रेड अवैध है</v>
      </c>
      <c r="I221" s="3" t="str">
        <f>IFERROR(__xludf.DUMMYFUNCTION("GOOGLETRANSLATE(D221, ""en"", ""hi"")"),"A) डिफेंडर आउट हो गया है")</f>
        <v>A) डिफेंडर आउट हो गया है</v>
      </c>
    </row>
    <row r="222" ht="22.5" customHeight="1">
      <c r="A222" s="2">
        <v>221.0</v>
      </c>
      <c r="B222" s="3" t="s">
        <v>469</v>
      </c>
      <c r="C222" s="3" t="s">
        <v>470</v>
      </c>
      <c r="D222" s="3" t="s">
        <v>471</v>
      </c>
      <c r="F222" s="3" t="str">
        <f>IFERROR(__xludf.DUMMYFUNCTION("GOOGLETRANSLATE(A222, ""en"", ""hi"")"),"221")</f>
        <v>221</v>
      </c>
      <c r="G222" s="3" t="str">
        <f>IFERROR(__xludf.DUMMYFUNCTION("GOOGLETRANSLATE(B222, ""en"", ""hi"")"),"कबड्डी रेड के दौरान, यदि कोई रेडर एक डिफेंडर को छूता है लेकिन दूसरा डिफेंडर कोर्ट से बाहर है, तो परिणाम क्या होगा?")</f>
        <v>कबड्डी रेड के दौरान, यदि कोई रेडर एक डिफेंडर को छूता है लेकिन दूसरा डिफेंडर कोर्ट से बाहर है, तो परिणाम क्या होगा?</v>
      </c>
      <c r="H222" s="3" t="str">
        <f>IFERROR(__xludf.DUMMYFUNCTION("GOOGLETRANSLATE(C222, ""en"", ""hi"")"),"A) रेडर को 1 अंक मिलता है, B) रेडर आउट हो जाता है, C) दूसरा डिफेंडर आउट हो जाता है, D) रेड की समीक्षा की जाती है")</f>
        <v>A) रेडर को 1 अंक मिलता है, B) रेडर आउट हो जाता है, C) दूसरा डिफेंडर आउट हो जाता है, D) रेड की समीक्षा की जाती है</v>
      </c>
      <c r="I222" s="3" t="str">
        <f>IFERROR(__xludf.DUMMYFUNCTION("GOOGLETRANSLATE(D222, ""en"", ""hi"")"),"C) दूसरा डिफेंडर आउट हो गया है")</f>
        <v>C) दूसरा डिफेंडर आउट हो गया है</v>
      </c>
    </row>
    <row r="223" ht="22.5" customHeight="1">
      <c r="A223" s="2">
        <v>222.0</v>
      </c>
      <c r="B223" s="3" t="s">
        <v>472</v>
      </c>
      <c r="C223" s="3" t="s">
        <v>473</v>
      </c>
      <c r="D223" s="3" t="s">
        <v>148</v>
      </c>
      <c r="F223" s="3" t="str">
        <f>IFERROR(__xludf.DUMMYFUNCTION("GOOGLETRANSLATE(A223, ""en"", ""hi"")"),"222")</f>
        <v>222</v>
      </c>
      <c r="G223" s="3" t="str">
        <f>IFERROR(__xludf.DUMMYFUNCTION("GOOGLETRANSLATE(B223, ""en"", ""hi"")"),"यदि कोई रेडर तीन डिफेंडरों को छूता है, लेकिन उसे एक डिफेंडर द्वारा टैकल कर दिया जाता है, जिसका पैर मध्य रेखा के ऊपर है, तो परिणाम क्या होगा?")</f>
        <v>यदि कोई रेडर तीन डिफेंडरों को छूता है, लेकिन उसे एक डिफेंडर द्वारा टैकल कर दिया जाता है, जिसका पैर मध्य रेखा के ऊपर है, तो परिणाम क्या होगा?</v>
      </c>
      <c r="H223" s="3" t="str">
        <f>IFERROR(__xludf.DUMMYFUNCTION("GOOGLETRANSLATE(C223, ""en"", ""hi"")"),"A) रेडर को 3 अंक मिलते हैं, B) डिफेंडर आउट हो जाता है, C) रेडर आउट हो जाता है, D) रेड अमान्य हो जाती है")</f>
        <v>A) रेडर को 3 अंक मिलते हैं, B) डिफेंडर आउट हो जाता है, C) रेडर आउट हो जाता है, D) रेड अमान्य हो जाती है</v>
      </c>
      <c r="I223" s="3" t="str">
        <f>IFERROR(__xludf.DUMMYFUNCTION("GOOGLETRANSLATE(D223, ""en"", ""hi"")"),"B) डिफेंडर आउट हो गया है")</f>
        <v>B) डिफेंडर आउट हो गया है</v>
      </c>
    </row>
    <row r="224" ht="22.5" customHeight="1">
      <c r="A224" s="2">
        <v>223.0</v>
      </c>
      <c r="B224" s="3" t="s">
        <v>474</v>
      </c>
      <c r="C224" s="3" t="s">
        <v>475</v>
      </c>
      <c r="D224" s="3" t="s">
        <v>148</v>
      </c>
      <c r="F224" s="3" t="str">
        <f>IFERROR(__xludf.DUMMYFUNCTION("GOOGLETRANSLATE(A224, ""en"", ""hi"")"),"223")</f>
        <v>223</v>
      </c>
      <c r="G224" s="3" t="str">
        <f>IFERROR(__xludf.DUMMYFUNCTION("GOOGLETRANSLATE(B224, ""en"", ""hi"")"),"कबड्डी मैच में, यदि कोई रेडर किसी डिफेंडर को छू लेता है और उसे कोई अन्य डिफेंडर टैकल कर लेता है, जो टैकल के दौरान सीमा से बाहर चला जाता है, तो परिणाम क्या होगा?")</f>
        <v>कबड्डी मैच में, यदि कोई रेडर किसी डिफेंडर को छू लेता है और उसे कोई अन्य डिफेंडर टैकल कर लेता है, जो टैकल के दौरान सीमा से बाहर चला जाता है, तो परिणाम क्या होगा?</v>
      </c>
      <c r="H224" s="3" t="str">
        <f>IFERROR(__xludf.DUMMYFUNCTION("GOOGLETRANSLATE(C224,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24" s="3" t="str">
        <f>IFERROR(__xludf.DUMMYFUNCTION("GOOGLETRANSLATE(D224, ""en"", ""hi"")"),"B) डिफेंडर आउट हो गया है")</f>
        <v>B) डिफेंडर आउट हो गया है</v>
      </c>
    </row>
    <row r="225" ht="22.5" customHeight="1">
      <c r="A225" s="2">
        <v>224.0</v>
      </c>
      <c r="B225" s="3" t="s">
        <v>476</v>
      </c>
      <c r="C225" s="3" t="s">
        <v>477</v>
      </c>
      <c r="D225" s="3" t="s">
        <v>65</v>
      </c>
      <c r="F225" s="3" t="str">
        <f>IFERROR(__xludf.DUMMYFUNCTION("GOOGLETRANSLATE(A225, ""en"", ""hi"")"),"224")</f>
        <v>224</v>
      </c>
      <c r="G225" s="3" t="str">
        <f>IFERROR(__xludf.DUMMYFUNCTION("GOOGLETRANSLATE(B225, ""en"", ""hi"")"),"यदि किसी रेडर को बोनस लाइन को छूने के बाद लेकिन आगे कोई टच करने से पहले ही टैकल कर दिया जाता है, तो परिणाम क्या होगा?")</f>
        <v>यदि किसी रेडर को बोनस लाइन को छूने के बाद लेकिन आगे कोई टच करने से पहले ही टैकल कर दिया जाता है, तो परिणाम क्या होगा?</v>
      </c>
      <c r="H225" s="3" t="str">
        <f>IFERROR(__xludf.DUMMYFUNCTION("GOOGLETRANSLATE(C225, ""en"", ""hi"")"),"A) रेडर को 1 अंक मिलता है, B) रेडर आउट हो जाता है, C) रेड रद्द हो जाती है, D) बचाव करने वाली टीम को 1 अंक मिलता है")</f>
        <v>A) रेडर को 1 अंक मिलता है, B) रेडर आउट हो जाता है, C) रेड रद्द हो जाती है, D) बचाव करने वाली टीम को 1 अंक मिलता है</v>
      </c>
      <c r="I225" s="3" t="str">
        <f>IFERROR(__xludf.DUMMYFUNCTION("GOOGLETRANSLATE(D225, ""en"", ""hi"")"),"बी) हमलावर बाहर है")</f>
        <v>बी) हमलावर बाहर है</v>
      </c>
    </row>
    <row r="226" ht="22.5" customHeight="1">
      <c r="A226" s="2">
        <v>225.0</v>
      </c>
      <c r="B226" s="3" t="s">
        <v>478</v>
      </c>
      <c r="C226" s="3" t="s">
        <v>393</v>
      </c>
      <c r="D226" s="3" t="s">
        <v>240</v>
      </c>
      <c r="F226" s="3" t="str">
        <f>IFERROR(__xludf.DUMMYFUNCTION("GOOGLETRANSLATE(A226, ""en"", ""hi"")"),"225")</f>
        <v>225</v>
      </c>
      <c r="G226" s="3" t="str">
        <f>IFERROR(__xludf.DUMMYFUNCTION("GOOGLETRANSLATE(B226, ""en"", ""hi"")"),"कबड्डी रेड के दौरान, यदि रेडर दो डिफेंडरों को छूता है और उसे एक डिफेंडर द्वारा टैकल किया जाता है जिसका पैर लॉबी क्षेत्र में है, तो निर्णय क्या होगा?")</f>
        <v>कबड्डी रेड के दौरान, यदि रेडर दो डिफेंडरों को छूता है और उसे एक डिफेंडर द्वारा टैकल किया जाता है जिसका पैर लॉबी क्षेत्र में है, तो निर्णय क्या होगा?</v>
      </c>
      <c r="H226" s="3" t="str">
        <f>IFERROR(__xludf.DUMMYFUNCTION("GOOGLETRANSLATE(C226, ""en"", ""hi"")"),"A) रेडर को 2 अंक मिलते हैं, B) रेडर आउट हो जाता है, C) डिफेंडर आउट हो जाता है, D) रेड अमान्य हो जाती है")</f>
        <v>A) रेडर को 2 अंक मिलते हैं, B) रेडर आउट हो जाता है, C) डिफेंडर आउट हो जाता है, D) रेड अमान्य हो जाती है</v>
      </c>
      <c r="I226" s="3" t="str">
        <f>IFERROR(__xludf.DUMMYFUNCTION("GOOGLETRANSLATE(D226, ""en"", ""hi"")"),"C) डिफेंडर आउट हो गया है")</f>
        <v>C) डिफेंडर आउट हो गया है</v>
      </c>
    </row>
    <row r="227" ht="22.5" customHeight="1">
      <c r="A227" s="2">
        <v>226.0</v>
      </c>
      <c r="B227" s="3" t="s">
        <v>479</v>
      </c>
      <c r="C227" s="3" t="s">
        <v>251</v>
      </c>
      <c r="D227" s="3" t="s">
        <v>237</v>
      </c>
      <c r="F227" s="3" t="str">
        <f>IFERROR(__xludf.DUMMYFUNCTION("GOOGLETRANSLATE(A227, ""en"", ""hi"")"),"226")</f>
        <v>226</v>
      </c>
      <c r="G227" s="3" t="str">
        <f>IFERROR(__xludf.DUMMYFUNCTION("GOOGLETRANSLATE(B227, ""en"", ""hi"")"),"यदि किसी रेडर को किसी डिफेंडर द्वारा टैकल किया जाता है जो कोर्ट से बाहर है, लेकिन गिरने से पहले एक डिफेंडर को छूने में सफल हो जाता है, तो परिणाम क्या होगा?")</f>
        <v>यदि किसी रेडर को किसी डिफेंडर द्वारा टैकल किया जाता है जो कोर्ट से बाहर है, लेकिन गिरने से पहले एक डिफेंडर को छूने में सफल हो जाता है, तो परिणाम क्या होगा?</v>
      </c>
      <c r="H227" s="3" t="str">
        <f>IFERROR(__xludf.DUMMYFUNCTION("GOOGLETRANSLATE(C227, ""en"", ""hi"")"),"A) रेडर को 1 अंक मिलता है, B) रेडर आउट हो जाता है, C) डिफेंडर आउट हो जाता है, D) रेड रद्द हो जाती है")</f>
        <v>A) रेडर को 1 अंक मिलता है, B) रेडर आउट हो जाता है, C) डिफेंडर आउट हो जाता है, D) रेड रद्द हो जाती है</v>
      </c>
      <c r="I227" s="3" t="str">
        <f>IFERROR(__xludf.DUMMYFUNCTION("GOOGLETRANSLATE(D227, ""en"", ""hi"")"),"A) रेडर को 1 अंक मिलता है")</f>
        <v>A) रेडर को 1 अंक मिलता है</v>
      </c>
    </row>
    <row r="228" ht="22.5" customHeight="1">
      <c r="A228" s="2">
        <v>227.0</v>
      </c>
      <c r="B228" s="3" t="s">
        <v>480</v>
      </c>
      <c r="C228" s="3" t="s">
        <v>408</v>
      </c>
      <c r="D228" s="3" t="s">
        <v>65</v>
      </c>
      <c r="F228" s="3" t="str">
        <f>IFERROR(__xludf.DUMMYFUNCTION("GOOGLETRANSLATE(A228, ""en"", ""hi"")"),"227")</f>
        <v>227</v>
      </c>
      <c r="G228" s="3" t="str">
        <f>IFERROR(__xludf.DUMMYFUNCTION("GOOGLETRANSLATE(B228, ""en"", ""hi"")"),"यदि कोई रेडर मध्य रेखा को पार कर बोनस लाइन को छूता है, लेकिन डिफेंडर को छूने से पहले ही उसे टैकल कर दिया जाता है, तो परिणाम क्या होगा?")</f>
        <v>यदि कोई रेडर मध्य रेखा को पार कर बोनस लाइन को छूता है, लेकिन डिफेंडर को छूने से पहले ही उसे टैकल कर दिया जाता है, तो परिणाम क्या होगा?</v>
      </c>
      <c r="H228" s="3" t="str">
        <f>IFERROR(__xludf.DUMMYFUNCTION("GOOGLETRANSLATE(C228, ""en"", ""hi"")"),"A) रेडर को 1 अंक मिलता है, B) रेडर आउट हो जाता है, C) रेड अमान्य हो जाती है, D) बचाव करने वाली टीम को 1 अंक मिलता है")</f>
        <v>A) रेडर को 1 अंक मिलता है, B) रेडर आउट हो जाता है, C) रेड अमान्य हो जाती है, D) बचाव करने वाली टीम को 1 अंक मिलता है</v>
      </c>
      <c r="I228" s="3" t="str">
        <f>IFERROR(__xludf.DUMMYFUNCTION("GOOGLETRANSLATE(D228, ""en"", ""hi"")"),"बी) हमलावर बाहर है")</f>
        <v>बी) हमलावर बाहर है</v>
      </c>
    </row>
    <row r="229" ht="22.5" customHeight="1">
      <c r="A229" s="2">
        <v>228.0</v>
      </c>
      <c r="B229" s="3" t="s">
        <v>481</v>
      </c>
      <c r="C229" s="3" t="s">
        <v>266</v>
      </c>
      <c r="D229" s="3" t="s">
        <v>167</v>
      </c>
      <c r="F229" s="3" t="str">
        <f>IFERROR(__xludf.DUMMYFUNCTION("GOOGLETRANSLATE(A229, ""en"", ""hi"")"),"228")</f>
        <v>228</v>
      </c>
      <c r="G229" s="3" t="str">
        <f>IFERROR(__xludf.DUMMYFUNCTION("GOOGLETRANSLATE(B229, ""en"", ""hi"")"),"कबड्डी मैच के दौरान यदि डिफेंडर रेडर को पकड़ता है और पकड़ते समय सीमा से बाहर चला जाता है, तो परिणाम क्या होगा?")</f>
        <v>कबड्डी मैच के दौरान यदि डिफेंडर रेडर को पकड़ता है और पकड़ते समय सीमा से बाहर चला जाता है, तो परिणाम क्या होगा?</v>
      </c>
      <c r="H229" s="3" t="str">
        <f>IFERROR(__xludf.DUMMYFUNCTION("GOOGLETRANSLATE(C229, ""en"", ""hi"")"),"A) डिफेंडर आउट हो गया है, B) रेडर आउट हो गया है, C) दोनों खिलाड़ी आउट हो गए हैं, D) रेड की समीक्षा की गई है")</f>
        <v>A) डिफेंडर आउट हो गया है, B) रेडर आउट हो गया है, C) दोनों खिलाड़ी आउट हो गए हैं, D) रेड की समीक्षा की गई है</v>
      </c>
      <c r="I229" s="3" t="str">
        <f>IFERROR(__xludf.DUMMYFUNCTION("GOOGLETRANSLATE(D229, ""en"", ""hi"")"),"A) डिफेंडर आउट हो गया है")</f>
        <v>A) डिफेंडर आउट हो गया है</v>
      </c>
    </row>
    <row r="230" ht="22.5" customHeight="1">
      <c r="A230" s="2">
        <v>229.0</v>
      </c>
      <c r="B230" s="3" t="s">
        <v>482</v>
      </c>
      <c r="C230" s="3" t="s">
        <v>483</v>
      </c>
      <c r="D230" s="3" t="s">
        <v>237</v>
      </c>
      <c r="F230" s="3" t="str">
        <f>IFERROR(__xludf.DUMMYFUNCTION("GOOGLETRANSLATE(A230, ""en"", ""hi"")"),"229")</f>
        <v>229</v>
      </c>
      <c r="G230" s="3" t="str">
        <f>IFERROR(__xludf.DUMMYFUNCTION("GOOGLETRANSLATE(B230, ""en"", ""hi"")"),"यदि कोई रेडर किसी डिफेंडर को छूता है और दूसरा डिफेंडर, जिसका पैर जमीन पर नहीं है, उसे टैकल कर लेता है, तो क्या होगा?")</f>
        <v>यदि कोई रेडर किसी डिफेंडर को छूता है और दूसरा डिफेंडर, जिसका पैर जमीन पर नहीं है, उसे टैकल कर लेता है, तो क्या होगा?</v>
      </c>
      <c r="H230" s="3" t="str">
        <f>IFERROR(__xludf.DUMMYFUNCTION("GOOGLETRANSLATE(C230, ""en"", ""hi"")"),"A) रेडर को 1 अंक मिलता है, B) रेडर आउट हो जाता है, C) दूसरा डिफेंडर आउट हो जाता है, D) रेड रद्द हो जाती है")</f>
        <v>A) रेडर को 1 अंक मिलता है, B) रेडर आउट हो जाता है, C) दूसरा डिफेंडर आउट हो जाता है, D) रेड रद्द हो जाती है</v>
      </c>
      <c r="I230" s="3" t="str">
        <f>IFERROR(__xludf.DUMMYFUNCTION("GOOGLETRANSLATE(D230, ""en"", ""hi"")"),"A) रेडर को 1 अंक मिलता है")</f>
        <v>A) रेडर को 1 अंक मिलता है</v>
      </c>
    </row>
    <row r="231" ht="22.5" customHeight="1">
      <c r="A231" s="2">
        <v>230.0</v>
      </c>
      <c r="B231" s="3" t="s">
        <v>484</v>
      </c>
      <c r="C231" s="3" t="s">
        <v>397</v>
      </c>
      <c r="D231" s="3" t="s">
        <v>148</v>
      </c>
      <c r="F231" s="3" t="str">
        <f>IFERROR(__xludf.DUMMYFUNCTION("GOOGLETRANSLATE(A231, ""en"", ""hi"")"),"230")</f>
        <v>230</v>
      </c>
      <c r="G231" s="3" t="str">
        <f>IFERROR(__xludf.DUMMYFUNCTION("GOOGLETRANSLATE(B231, ""en"", ""hi"")"),"यदि कोई रेडर सफल टच करता है और उसे किसी डिफेंडर द्वारा टैकल कर दिया जाता है, जिसका पैर लॉबी क्षेत्र में है, तो क्या होगा?")</f>
        <v>यदि कोई रेडर सफल टच करता है और उसे किसी डिफेंडर द्वारा टैकल कर दिया जाता है, जिसका पैर लॉबी क्षेत्र में है, तो क्या होगा?</v>
      </c>
      <c r="H231" s="3" t="str">
        <f>IFERROR(__xludf.DUMMYFUNCTION("GOOGLETRANSLATE(C231,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31" s="3" t="str">
        <f>IFERROR(__xludf.DUMMYFUNCTION("GOOGLETRANSLATE(D231, ""en"", ""hi"")"),"B) डिफेंडर आउट हो गया है")</f>
        <v>B) डिफेंडर आउट हो गया है</v>
      </c>
    </row>
    <row r="232" ht="22.5" customHeight="1">
      <c r="A232" s="2">
        <v>231.0</v>
      </c>
      <c r="B232" s="3" t="s">
        <v>485</v>
      </c>
      <c r="C232" s="3" t="s">
        <v>251</v>
      </c>
      <c r="D232" s="3" t="s">
        <v>237</v>
      </c>
      <c r="F232" s="3" t="str">
        <f>IFERROR(__xludf.DUMMYFUNCTION("GOOGLETRANSLATE(A232, ""en"", ""hi"")"),"231")</f>
        <v>231</v>
      </c>
      <c r="G232" s="3" t="str">
        <f>IFERROR(__xludf.DUMMYFUNCTION("GOOGLETRANSLATE(B232, ""en"", ""hi"")"),"कबड्डी मैच में, यदि किसी रेडर को खेल क्षेत्र के बाहर खड़े डिफेंडर द्वारा टैकल किया जाता है, लेकिन रेडर ने एक डिफेंडर को छू लिया है, तो निर्णय क्या होगा?")</f>
        <v>कबड्डी मैच में, यदि किसी रेडर को खेल क्षेत्र के बाहर खड़े डिफेंडर द्वारा टैकल किया जाता है, लेकिन रेडर ने एक डिफेंडर को छू लिया है, तो निर्णय क्या होगा?</v>
      </c>
      <c r="H232" s="3" t="str">
        <f>IFERROR(__xludf.DUMMYFUNCTION("GOOGLETRANSLATE(C232, ""en"", ""hi"")"),"A) रेडर को 1 अंक मिलता है, B) रेडर आउट हो जाता है, C) डिफेंडर आउट हो जाता है, D) रेड रद्द हो जाती है")</f>
        <v>A) रेडर को 1 अंक मिलता है, B) रेडर आउट हो जाता है, C) डिफेंडर आउट हो जाता है, D) रेड रद्द हो जाती है</v>
      </c>
      <c r="I232" s="3" t="str">
        <f>IFERROR(__xludf.DUMMYFUNCTION("GOOGLETRANSLATE(D232, ""en"", ""hi"")"),"A) रेडर को 1 अंक मिलता है")</f>
        <v>A) रेडर को 1 अंक मिलता है</v>
      </c>
    </row>
    <row r="233" ht="22.5" customHeight="1">
      <c r="A233" s="2">
        <v>232.0</v>
      </c>
      <c r="B233" s="3" t="s">
        <v>486</v>
      </c>
      <c r="C233" s="3" t="s">
        <v>408</v>
      </c>
      <c r="D233" s="3" t="s">
        <v>65</v>
      </c>
      <c r="F233" s="3" t="str">
        <f>IFERROR(__xludf.DUMMYFUNCTION("GOOGLETRANSLATE(A233, ""en"", ""hi"")"),"232")</f>
        <v>232</v>
      </c>
      <c r="G233" s="3" t="str">
        <f>IFERROR(__xludf.DUMMYFUNCTION("GOOGLETRANSLATE(B233, ""en"", ""hi"")"),"यदि कोई रेडर बोनस लाइन को छूने के बाद टैकल हो जाता है, लेकिन मिडलाइन को पार नहीं करता है, तो क्या होगा?")</f>
        <v>यदि कोई रेडर बोनस लाइन को छूने के बाद टैकल हो जाता है, लेकिन मिडलाइन को पार नहीं करता है, तो क्या होगा?</v>
      </c>
      <c r="H233" s="3" t="str">
        <f>IFERROR(__xludf.DUMMYFUNCTION("GOOGLETRANSLATE(C233, ""en"", ""hi"")"),"A) रेडर को 1 अंक मिलता है, B) रेडर आउट हो जाता है, C) रेड अमान्य हो जाती है, D) बचाव करने वाली टीम को 1 अंक मिलता है")</f>
        <v>A) रेडर को 1 अंक मिलता है, B) रेडर आउट हो जाता है, C) रेड अमान्य हो जाती है, D) बचाव करने वाली टीम को 1 अंक मिलता है</v>
      </c>
      <c r="I233" s="3" t="str">
        <f>IFERROR(__xludf.DUMMYFUNCTION("GOOGLETRANSLATE(D233, ""en"", ""hi"")"),"बी) हमलावर बाहर है")</f>
        <v>बी) हमलावर बाहर है</v>
      </c>
    </row>
    <row r="234" ht="22.5" customHeight="1">
      <c r="A234" s="2">
        <v>233.0</v>
      </c>
      <c r="B234" s="3" t="s">
        <v>487</v>
      </c>
      <c r="C234" s="3" t="s">
        <v>443</v>
      </c>
      <c r="D234" s="3" t="s">
        <v>167</v>
      </c>
      <c r="F234" s="3" t="str">
        <f>IFERROR(__xludf.DUMMYFUNCTION("GOOGLETRANSLATE(A234, ""en"", ""hi"")"),"233")</f>
        <v>233</v>
      </c>
      <c r="G234" s="3" t="str">
        <f>IFERROR(__xludf.DUMMYFUNCTION("GOOGLETRANSLATE(B234, ""en"", ""hi"")"),"यदि रेड के दौरान डिफेंडर को सीमा से बाहर निकलते समय रेडर द्वारा टैकल कर दिया जाता है तो परिणाम क्या होगा?")</f>
        <v>यदि रेड के दौरान डिफेंडर को सीमा से बाहर निकलते समय रेडर द्वारा टैकल कर दिया जाता है तो परिणाम क्या होगा?</v>
      </c>
      <c r="H234" s="3" t="str">
        <f>IFERROR(__xludf.DUMMYFUNCTION("GOOGLETRANSLATE(C234, ""en"", ""hi"")"),"A) डिफेंडर आउट हो गया है, B) रेडर आउट हो गया है, C) रेड की समीक्षा की गई है, D) रेड जारी है")</f>
        <v>A) डिफेंडर आउट हो गया है, B) रेडर आउट हो गया है, C) रेड की समीक्षा की गई है, D) रेड जारी है</v>
      </c>
      <c r="I234" s="3" t="str">
        <f>IFERROR(__xludf.DUMMYFUNCTION("GOOGLETRANSLATE(D234, ""en"", ""hi"")"),"A) डिफेंडर आउट हो गया है")</f>
        <v>A) डिफेंडर आउट हो गया है</v>
      </c>
    </row>
    <row r="235" ht="22.5" customHeight="1">
      <c r="A235" s="2">
        <v>234.0</v>
      </c>
      <c r="B235" s="3" t="s">
        <v>488</v>
      </c>
      <c r="C235" s="3" t="s">
        <v>457</v>
      </c>
      <c r="D235" s="3" t="s">
        <v>458</v>
      </c>
      <c r="F235" s="3" t="str">
        <f>IFERROR(__xludf.DUMMYFUNCTION("GOOGLETRANSLATE(A235, ""en"", ""hi"")"),"234")</f>
        <v>234</v>
      </c>
      <c r="G235" s="3" t="str">
        <f>IFERROR(__xludf.DUMMYFUNCTION("GOOGLETRANSLATE(B235, ""en"", ""hi"")"),"यदि कोई रेडर दो डिफेंडरों को छूता है और लॉबी क्षेत्र में आने वाले तीसरे डिफेंडर द्वारा उसे टैकल कर दिया जाता है, तो क्या होगा?")</f>
        <v>यदि कोई रेडर दो डिफेंडरों को छूता है और लॉबी क्षेत्र में आने वाले तीसरे डिफेंडर द्वारा उसे टैकल कर दिया जाता है, तो क्या होगा?</v>
      </c>
      <c r="H235" s="3" t="str">
        <f>IFERROR(__xludf.DUMMYFUNCTION("GOOGLETRANSLATE(C235, ""en"", ""hi"")"),"A) रेडर को 2 अंक मिलते हैं, B) रेडर आउट हो जाता है, C) तीसरा डिफेंडर आउट हो जाता है, D) रेड रद्द हो जाती है")</f>
        <v>A) रेडर को 2 अंक मिलते हैं, B) रेडर आउट हो जाता है, C) तीसरा डिफेंडर आउट हो जाता है, D) रेड रद्द हो जाती है</v>
      </c>
      <c r="I235" s="3" t="str">
        <f>IFERROR(__xludf.DUMMYFUNCTION("GOOGLETRANSLATE(D235, ""en"", ""hi"")"),"C) तीसरा डिफेंडर आउट हो गया है")</f>
        <v>C) तीसरा डिफेंडर आउट हो गया है</v>
      </c>
    </row>
    <row r="236" ht="22.5" customHeight="1">
      <c r="A236" s="2">
        <v>235.0</v>
      </c>
      <c r="B236" s="3" t="s">
        <v>489</v>
      </c>
      <c r="C236" s="3" t="s">
        <v>397</v>
      </c>
      <c r="D236" s="3" t="s">
        <v>148</v>
      </c>
      <c r="F236" s="3" t="str">
        <f>IFERROR(__xludf.DUMMYFUNCTION("GOOGLETRANSLATE(A236, ""en"", ""hi"")"),"235")</f>
        <v>235</v>
      </c>
      <c r="G236" s="3" t="str">
        <f>IFERROR(__xludf.DUMMYFUNCTION("GOOGLETRANSLATE(B236, ""en"", ""hi"")"),"कबड्डी मैच के दौरान, यदि कोई रेडर किसी डिफेंडर को छू लेता है और तुरंत ही कोई दूसरा डिफेंडर उसे टैकल कर लेता है, जिसका पैर लाइन पर है, तो निर्णय क्या होगा?")</f>
        <v>कबड्डी मैच के दौरान, यदि कोई रेडर किसी डिफेंडर को छू लेता है और तुरंत ही कोई दूसरा डिफेंडर उसे टैकल कर लेता है, जिसका पैर लाइन पर है, तो निर्णय क्या होगा?</v>
      </c>
      <c r="H236" s="3" t="str">
        <f>IFERROR(__xludf.DUMMYFUNCTION("GOOGLETRANSLATE(C236,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36" s="3" t="str">
        <f>IFERROR(__xludf.DUMMYFUNCTION("GOOGLETRANSLATE(D236, ""en"", ""hi"")"),"B) डिफेंडर आउट हो गया है")</f>
        <v>B) डिफेंडर आउट हो गया है</v>
      </c>
    </row>
    <row r="237" ht="22.5" customHeight="1">
      <c r="A237" s="2">
        <v>236.0</v>
      </c>
      <c r="B237" s="3" t="s">
        <v>490</v>
      </c>
      <c r="C237" s="3" t="s">
        <v>491</v>
      </c>
      <c r="D237" s="3" t="s">
        <v>237</v>
      </c>
      <c r="F237" s="3" t="str">
        <f>IFERROR(__xludf.DUMMYFUNCTION("GOOGLETRANSLATE(A237, ""en"", ""hi"")"),"236")</f>
        <v>236</v>
      </c>
      <c r="G237" s="3" t="str">
        <f>IFERROR(__xludf.DUMMYFUNCTION("GOOGLETRANSLATE(B237, ""en"", ""hi"")"),"यदि कोई रेडर मध्य रेखा को पार कर बोनस लाइन को छूता है, लेकिन कोर्ट से बाहर खड़े डिफेंडर द्वारा उसे टैकल कर दिया जाता है, तो परिणाम क्या होगा?")</f>
        <v>यदि कोई रेडर मध्य रेखा को पार कर बोनस लाइन को छूता है, लेकिन कोर्ट से बाहर खड़े डिफेंडर द्वारा उसे टैकल कर दिया जाता है, तो परिणाम क्या होगा?</v>
      </c>
      <c r="H237" s="3" t="str">
        <f>IFERROR(__xludf.DUMMYFUNCTION("GOOGLETRANSLATE(C237, ""en"", ""hi"")"),"A) रेडर को 1 अंक मिलता है, B) रेडर आउट हो जाता है, C) डिफेंडर आउट हो जाता है, D) रेड अमान्य हो जाती है")</f>
        <v>A) रेडर को 1 अंक मिलता है, B) रेडर आउट हो जाता है, C) डिफेंडर आउट हो जाता है, D) रेड अमान्य हो जाती है</v>
      </c>
      <c r="I237" s="3" t="str">
        <f>IFERROR(__xludf.DUMMYFUNCTION("GOOGLETRANSLATE(D237, ""en"", ""hi"")"),"A) रेडर को 1 अंक मिलता है")</f>
        <v>A) रेडर को 1 अंक मिलता है</v>
      </c>
    </row>
    <row r="238" ht="22.5" customHeight="1">
      <c r="A238" s="2">
        <v>237.0</v>
      </c>
      <c r="B238" s="3" t="s">
        <v>492</v>
      </c>
      <c r="C238" s="3" t="s">
        <v>475</v>
      </c>
      <c r="D238" s="3" t="s">
        <v>148</v>
      </c>
      <c r="F238" s="3" t="str">
        <f>IFERROR(__xludf.DUMMYFUNCTION("GOOGLETRANSLATE(A238, ""en"", ""hi"")"),"237")</f>
        <v>237</v>
      </c>
      <c r="G238" s="3" t="str">
        <f>IFERROR(__xludf.DUMMYFUNCTION("GOOGLETRANSLATE(B238, ""en"", ""hi"")"),"यदि कोई डिफेंडर किसी रेडर को तब टैकल करता है जब उसका पैर मिडलाइन के ऊपर है लेकिन फिर भी वह बाउंड्स में है, तो परिणाम क्या होगा?")</f>
        <v>यदि कोई डिफेंडर किसी रेडर को तब टैकल करता है जब उसका पैर मिडलाइन के ऊपर है लेकिन फिर भी वह बाउंड्स में है, तो परिणाम क्या होगा?</v>
      </c>
      <c r="H238" s="3" t="str">
        <f>IFERROR(__xludf.DUMMYFUNCTION("GOOGLETRANSLATE(C238,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38" s="3" t="str">
        <f>IFERROR(__xludf.DUMMYFUNCTION("GOOGLETRANSLATE(D238, ""en"", ""hi"")"),"B) डिफेंडर आउट हो गया है")</f>
        <v>B) डिफेंडर आउट हो गया है</v>
      </c>
    </row>
    <row r="239" ht="22.5" customHeight="1">
      <c r="A239" s="2">
        <v>238.0</v>
      </c>
      <c r="B239" s="3" t="s">
        <v>493</v>
      </c>
      <c r="C239" s="3" t="s">
        <v>251</v>
      </c>
      <c r="D239" s="3" t="s">
        <v>240</v>
      </c>
      <c r="F239" s="3" t="str">
        <f>IFERROR(__xludf.DUMMYFUNCTION("GOOGLETRANSLATE(A239, ""en"", ""hi"")"),"238")</f>
        <v>238</v>
      </c>
      <c r="G239" s="3" t="str">
        <f>IFERROR(__xludf.DUMMYFUNCTION("GOOGLETRANSLATE(B239, ""en"", ""hi"")"),"कबड्डी मैच के दौरान, यदि कोई रेडर किसी डिफेंडर को छूता है, लेकिन उसे ऐसे डिफेंडर द्वारा टैकल कर दिया जाता है जिसका पैर लॉबी क्षेत्र में है, तो निर्णय क्या होगा?")</f>
        <v>कबड्डी मैच के दौरान, यदि कोई रेडर किसी डिफेंडर को छूता है, लेकिन उसे ऐसे डिफेंडर द्वारा टैकल कर दिया जाता है जिसका पैर लॉबी क्षेत्र में है, तो निर्णय क्या होगा?</v>
      </c>
      <c r="H239" s="3" t="str">
        <f>IFERROR(__xludf.DUMMYFUNCTION("GOOGLETRANSLATE(C239, ""en"", ""hi"")"),"A) रेडर को 1 अंक मिलता है, B) रेडर आउट हो जाता है, C) डिफेंडर आउट हो जाता है, D) रेड रद्द हो जाती है")</f>
        <v>A) रेडर को 1 अंक मिलता है, B) रेडर आउट हो जाता है, C) डिफेंडर आउट हो जाता है, D) रेड रद्द हो जाती है</v>
      </c>
      <c r="I239" s="3" t="str">
        <f>IFERROR(__xludf.DUMMYFUNCTION("GOOGLETRANSLATE(D239, ""en"", ""hi"")"),"C) डिफेंडर आउट हो गया है")</f>
        <v>C) डिफेंडर आउट हो गया है</v>
      </c>
    </row>
    <row r="240" ht="22.5" customHeight="1">
      <c r="A240" s="2">
        <v>239.0</v>
      </c>
      <c r="B240" s="3" t="s">
        <v>494</v>
      </c>
      <c r="C240" s="3" t="s">
        <v>216</v>
      </c>
      <c r="D240" s="3" t="s">
        <v>167</v>
      </c>
      <c r="F240" s="3" t="str">
        <f>IFERROR(__xludf.DUMMYFUNCTION("GOOGLETRANSLATE(A240, ""en"", ""hi"")"),"239")</f>
        <v>239</v>
      </c>
      <c r="G240" s="3" t="str">
        <f>IFERROR(__xludf.DUMMYFUNCTION("GOOGLETRANSLATE(B240, ""en"", ""hi"")"),"यदि किसी रेडर को किसी डिफेंडर द्वारा टैकल कर दिया जाए जो सीमा से बाहर जा रहा है, जबकि रेडर अभी भी सीमा के अंदर है, तो क्या होगा?")</f>
        <v>यदि किसी रेडर को किसी डिफेंडर द्वारा टैकल कर दिया जाए जो सीमा से बाहर जा रहा है, जबकि रेडर अभी भी सीमा के अंदर है, तो क्या होगा?</v>
      </c>
      <c r="H240" s="3" t="str">
        <f>IFERROR(__xludf.DUMMYFUNCTION("GOOGLETRANSLATE(C240, ""en"", ""hi"")"),"A) डिफेंडर आउट हो गया है, B) रेडर आउट हो गया है, C) रेड जारी है, D) रेड की समीक्षा की गई है")</f>
        <v>A) डिफेंडर आउट हो गया है, B) रेडर आउट हो गया है, C) रेड जारी है, D) रेड की समीक्षा की गई है</v>
      </c>
      <c r="I240" s="3" t="str">
        <f>IFERROR(__xludf.DUMMYFUNCTION("GOOGLETRANSLATE(D240, ""en"", ""hi"")"),"A) डिफेंडर आउट हो गया है")</f>
        <v>A) डिफेंडर आउट हो गया है</v>
      </c>
    </row>
    <row r="241" ht="22.5" customHeight="1">
      <c r="A241" s="2">
        <v>240.0</v>
      </c>
      <c r="B241" s="3" t="s">
        <v>495</v>
      </c>
      <c r="C241" s="3" t="s">
        <v>441</v>
      </c>
      <c r="D241" s="3" t="s">
        <v>496</v>
      </c>
      <c r="F241" s="3" t="str">
        <f>IFERROR(__xludf.DUMMYFUNCTION("GOOGLETRANSLATE(A241, ""en"", ""hi"")"),"240")</f>
        <v>240</v>
      </c>
      <c r="G241" s="3" t="str">
        <f>IFERROR(__xludf.DUMMYFUNCTION("GOOGLETRANSLATE(B241, ""en"", ""hi"")"),"कबड्डी मैच के दौरान, यदि कोई रेडर बोनस लाइन को छूता है और उसे तुरंत एक डिफेंडर द्वारा टैकल कर दिया जाता है, जिसका पैर मिडलाइन पर है, तो परिणाम क्या होगा?")</f>
        <v>कबड्डी मैच के दौरान, यदि कोई रेडर बोनस लाइन को छूता है और उसे तुरंत एक डिफेंडर द्वारा टैकल कर दिया जाता है, जिसका पैर मिडलाइन पर है, तो परिणाम क्या होगा?</v>
      </c>
      <c r="H241" s="3" t="str">
        <f>IFERROR(__xludf.DUMMYFUNCTION("GOOGLETRANSLATE(C241,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41" s="3" t="str">
        <f>IFERROR(__xludf.DUMMYFUNCTION("GOOGLETRANSLATE(D241, ""en"", ""hi"")"),"A) रेडर को 1 अंक मिलता है, B) डिफेंडर आउट हो जाता है")</f>
        <v>A) रेडर को 1 अंक मिलता है, B) डिफेंडर आउट हो जाता है</v>
      </c>
    </row>
    <row r="242" ht="22.5" customHeight="1">
      <c r="A242" s="2">
        <v>241.0</v>
      </c>
      <c r="B242" s="3" t="s">
        <v>497</v>
      </c>
      <c r="C242" s="3" t="s">
        <v>498</v>
      </c>
      <c r="D242" s="3" t="s">
        <v>499</v>
      </c>
      <c r="F242" s="3" t="str">
        <f>IFERROR(__xludf.DUMMYFUNCTION("GOOGLETRANSLATE(A242, ""en"", ""hi"")"),"241")</f>
        <v>241</v>
      </c>
      <c r="G242" s="3" t="str">
        <f>IFERROR(__xludf.DUMMYFUNCTION("GOOGLETRANSLATE(B242, ""en"", ""hi"")"),"यदि कोई रेडर तीन डिफेंडरों को छूने में सफल हो जाता है और उसे चौथा डिफेंडर टैकल कर देता है, जो सीमा से बाहर है, तो क्या होगा?")</f>
        <v>यदि कोई रेडर तीन डिफेंडरों को छूने में सफल हो जाता है और उसे चौथा डिफेंडर टैकल कर देता है, जो सीमा से बाहर है, तो क्या होगा?</v>
      </c>
      <c r="H242" s="3" t="str">
        <f>IFERROR(__xludf.DUMMYFUNCTION("GOOGLETRANSLATE(C242, ""en"", ""hi"")"),"A) रेडर को 3 अंक मिलते हैं, B) रेडर आउट हो जाता है, C) चौथा डिफेंडर आउट हो जाता है, D) रेड की समीक्षा की जाती है")</f>
        <v>A) रेडर को 3 अंक मिलते हैं, B) रेडर आउट हो जाता है, C) चौथा डिफेंडर आउट हो जाता है, D) रेड की समीक्षा की जाती है</v>
      </c>
      <c r="I242" s="3" t="str">
        <f>IFERROR(__xludf.DUMMYFUNCTION("GOOGLETRANSLATE(D242, ""en"", ""hi"")"),"A) रेडर को 3 अंक मिलते हैं, C) चौथा डिफेंडर आउट हो जाता है")</f>
        <v>A) रेडर को 3 अंक मिलते हैं, C) चौथा डिफेंडर आउट हो जाता है</v>
      </c>
    </row>
    <row r="243" ht="22.5" customHeight="1">
      <c r="A243" s="2">
        <v>242.0</v>
      </c>
      <c r="B243" s="3" t="s">
        <v>500</v>
      </c>
      <c r="C243" s="3" t="s">
        <v>438</v>
      </c>
      <c r="D243" s="3" t="s">
        <v>501</v>
      </c>
      <c r="F243" s="3" t="str">
        <f>IFERROR(__xludf.DUMMYFUNCTION("GOOGLETRANSLATE(A243, ""en"", ""hi"")"),"242")</f>
        <v>242</v>
      </c>
      <c r="G243" s="3" t="str">
        <f>IFERROR(__xludf.DUMMYFUNCTION("GOOGLETRANSLATE(B243, ""en"", ""hi"")"),"यदि कोई रेडर दो डिफेंडरों को छूता है और उसे किसी ऐसे डिफेंडर द्वारा टैकल कर दिया जाता है जिसका पैर लॉबी क्षेत्र में है और रेडर बाहर है तो क्या होगा?")</f>
        <v>यदि कोई रेडर दो डिफेंडरों को छूता है और उसे किसी ऐसे डिफेंडर द्वारा टैकल कर दिया जाता है जिसका पैर लॉबी क्षेत्र में है और रेडर बाहर है तो क्या होगा?</v>
      </c>
      <c r="H243" s="3" t="str">
        <f>IFERROR(__xludf.DUMMYFUNCTION("GOOGLETRANSLATE(C243, ""en"", ""hi"")"),"A) रेडर को 2 अंक मिलते हैं, B) डिफेंडर आउट हो जाता है, C) रेडर आउट हो जाता है, D) रेड अमान्य हो जाती है")</f>
        <v>A) रेडर को 2 अंक मिलते हैं, B) डिफेंडर आउट हो जाता है, C) रेडर आउट हो जाता है, D) रेड अमान्य हो जाती है</v>
      </c>
      <c r="I243" s="3" t="str">
        <f>IFERROR(__xludf.DUMMYFUNCTION("GOOGLETRANSLATE(D243, ""en"", ""hi"")"),"B) डिफेंडर आउट हो गया है, C) रेडर आउट हो गया है")</f>
        <v>B) डिफेंडर आउट हो गया है, C) रेडर आउट हो गया है</v>
      </c>
    </row>
    <row r="244" ht="22.5" customHeight="1">
      <c r="A244" s="2">
        <v>243.0</v>
      </c>
      <c r="B244" s="3" t="s">
        <v>502</v>
      </c>
      <c r="C244" s="3" t="s">
        <v>503</v>
      </c>
      <c r="D244" s="3" t="s">
        <v>504</v>
      </c>
      <c r="F244" s="3" t="str">
        <f>IFERROR(__xludf.DUMMYFUNCTION("GOOGLETRANSLATE(A244, ""en"", ""hi"")"),"243")</f>
        <v>243</v>
      </c>
      <c r="G244" s="3" t="str">
        <f>IFERROR(__xludf.DUMMYFUNCTION("GOOGLETRANSLATE(B244, ""en"", ""hi"")"),"रेड के दौरान, यदि कोई रेडर मध्य रेखा को पार कर जाता है और एक डिफेंडर को छूता है, लेकिन लाइन पर मौजूद दूसरे डिफेंडर द्वारा उसे टैकल कर लिया जाता है, तो परिणाम क्या होगा?")</f>
        <v>रेड के दौरान, यदि कोई रेडर मध्य रेखा को पार कर जाता है और एक डिफेंडर को छूता है, लेकिन लाइन पर मौजूद दूसरे डिफेंडर द्वारा उसे टैकल कर लिया जाता है, तो परिणाम क्या होगा?</v>
      </c>
      <c r="H244" s="3" t="str">
        <f>IFERROR(__xludf.DUMMYFUNCTION("GOOGLETRANSLATE(C244, ""en"", ""hi"")"),"A) रेडर को 1 अंक मिलता है, B) दूसरा डिफेंडर आउट हो जाता है, C) रेडर आउट हो जाता है, D) रेड की समीक्षा की जाती है")</f>
        <v>A) रेडर को 1 अंक मिलता है, B) दूसरा डिफेंडर आउट हो जाता है, C) रेडर आउट हो जाता है, D) रेड की समीक्षा की जाती है</v>
      </c>
      <c r="I244" s="3" t="str">
        <f>IFERROR(__xludf.DUMMYFUNCTION("GOOGLETRANSLATE(D244, ""en"", ""hi"")"),"A) रेडर को 1 अंक मिलता है, B) दूसरा डिफेंडर आउट हो जाता है")</f>
        <v>A) रेडर को 1 अंक मिलता है, B) दूसरा डिफेंडर आउट हो जाता है</v>
      </c>
    </row>
    <row r="245" ht="22.5" customHeight="1">
      <c r="A245" s="2">
        <v>244.0</v>
      </c>
      <c r="B245" s="3" t="s">
        <v>505</v>
      </c>
      <c r="C245" s="3" t="s">
        <v>506</v>
      </c>
      <c r="D245" s="3" t="s">
        <v>507</v>
      </c>
      <c r="F245" s="3" t="str">
        <f>IFERROR(__xludf.DUMMYFUNCTION("GOOGLETRANSLATE(A245, ""en"", ""hi"")"),"244")</f>
        <v>244</v>
      </c>
      <c r="G245" s="3" t="str">
        <f>IFERROR(__xludf.DUMMYFUNCTION("GOOGLETRANSLATE(B245, ""en"", ""hi"")"),"यदि कोई रेडर किसी डिफेंडर को छू लेता है और कोर्ट से बाहर मौजूद किसी अन्य डिफेंडर द्वारा उसे टैकल कर दिया जाता है, लेकिन रेडर आउट नहीं होता है, तो क्या होगा?")</f>
        <v>यदि कोई रेडर किसी डिफेंडर को छू लेता है और कोर्ट से बाहर मौजूद किसी अन्य डिफेंडर द्वारा उसे टैकल कर दिया जाता है, लेकिन रेडर आउट नहीं होता है, तो क्या होगा?</v>
      </c>
      <c r="H245" s="3" t="str">
        <f>IFERROR(__xludf.DUMMYFUNCTION("GOOGLETRANSLATE(C245, ""en"", ""hi"")"),"A) रेडर को 1 अंक मिलता है, B) पहला डिफेंडर आउट हो जाता है, C) दूसरा डिफेंडर आउट हो जाता है, D) रेड जारी रहती है")</f>
        <v>A) रेडर को 1 अंक मिलता है, B) पहला डिफेंडर आउट हो जाता है, C) दूसरा डिफेंडर आउट हो जाता है, D) रेड जारी रहती है</v>
      </c>
      <c r="I245" s="3" t="str">
        <f>IFERROR(__xludf.DUMMYFUNCTION("GOOGLETRANSLATE(D245, ""en"", ""hi"")"),"A) रेडर को 1 अंक मिलता है, B) पहला डिफेंडर आउट हो जाता है")</f>
        <v>A) रेडर को 1 अंक मिलता है, B) पहला डिफेंडर आउट हो जाता है</v>
      </c>
    </row>
    <row r="246" ht="22.5" customHeight="1">
      <c r="A246" s="2">
        <v>245.0</v>
      </c>
      <c r="B246" s="3" t="s">
        <v>508</v>
      </c>
      <c r="C246" s="3" t="s">
        <v>509</v>
      </c>
      <c r="D246" s="3" t="s">
        <v>510</v>
      </c>
      <c r="F246" s="3" t="str">
        <f>IFERROR(__xludf.DUMMYFUNCTION("GOOGLETRANSLATE(A246, ""en"", ""hi"")"),"245")</f>
        <v>245</v>
      </c>
      <c r="G246" s="3" t="str">
        <f>IFERROR(__xludf.DUMMYFUNCTION("GOOGLETRANSLATE(B246, ""en"", ""hi"")"),"यदि कोई रेडर दो डिफेंडरों को छू लेता है और उसे एक डिफेंडर द्वारा टैकल कर दिया जाता है जो सीमा से बाहर जा रहा है, लेकिन टैकल होने से पहले तीसरे डिफेंडर को छूने में सफल हो जाता है, तो क्या होगा?")</f>
        <v>यदि कोई रेडर दो डिफेंडरों को छू लेता है और उसे एक डिफेंडर द्वारा टैकल कर दिया जाता है जो सीमा से बाहर जा रहा है, लेकिन टैकल होने से पहले तीसरे डिफेंडर को छूने में सफल हो जाता है, तो क्या होगा?</v>
      </c>
      <c r="H246" s="3" t="str">
        <f>IFERROR(__xludf.DUMMYFUNCTION("GOOGLETRANSLATE(C246, ""en"", ""hi"")"),"A) रेडर को 2 अंक मिलते हैं, B) जो डिफेंडर सीमा से बाहर है वह आउट हो जाता है, C) तीसरा डिफेंडर आउट हो जाता है, D) रेड रद्द हो जाती है")</f>
        <v>A) रेडर को 2 अंक मिलते हैं, B) जो डिफेंडर सीमा से बाहर है वह आउट हो जाता है, C) तीसरा डिफेंडर आउट हो जाता है, D) रेड रद्द हो जाती है</v>
      </c>
      <c r="I246" s="3" t="str">
        <f>IFERROR(__xludf.DUMMYFUNCTION("GOOGLETRANSLATE(D246, ""en"", ""hi"")"),"A) रेडर को 2 अंक मिलते हैं, B) जो डिफेंडर बाउंड्स से बाहर है वह आउट हो जाता है, C) तीसरा डिफेंडर आउट हो जाता है")</f>
        <v>A) रेडर को 2 अंक मिलते हैं, B) जो डिफेंडर बाउंड्स से बाहर है वह आउट हो जाता है, C) तीसरा डिफेंडर आउट हो जाता है</v>
      </c>
    </row>
    <row r="247" ht="22.5" customHeight="1">
      <c r="A247" s="2">
        <v>246.0</v>
      </c>
      <c r="B247" s="3" t="s">
        <v>511</v>
      </c>
      <c r="C247" s="3" t="s">
        <v>438</v>
      </c>
      <c r="D247" s="3" t="s">
        <v>501</v>
      </c>
      <c r="F247" s="3" t="str">
        <f>IFERROR(__xludf.DUMMYFUNCTION("GOOGLETRANSLATE(A247, ""en"", ""hi"")"),"246")</f>
        <v>246</v>
      </c>
      <c r="G247" s="3" t="str">
        <f>IFERROR(__xludf.DUMMYFUNCTION("GOOGLETRANSLATE(B247, ""en"", ""hi"")"),"कबड्डी मैच में, यदि कोई डिफेंडर रेडर को तब टैकल करता है जब उसका पैर लॉबी क्षेत्र में हो और रेडर ने दो डिफेंडरों को छू लिया हो, तो परिणाम क्या होगा?")</f>
        <v>कबड्डी मैच में, यदि कोई डिफेंडर रेडर को तब टैकल करता है जब उसका पैर लॉबी क्षेत्र में हो और रेडर ने दो डिफेंडरों को छू लिया हो, तो परिणाम क्या होगा?</v>
      </c>
      <c r="H247" s="3" t="str">
        <f>IFERROR(__xludf.DUMMYFUNCTION("GOOGLETRANSLATE(C247, ""en"", ""hi"")"),"A) रेडर को 2 अंक मिलते हैं, B) डिफेंडर आउट हो जाता है, C) रेडर आउट हो जाता है, D) रेड अमान्य हो जाती है")</f>
        <v>A) रेडर को 2 अंक मिलते हैं, B) डिफेंडर आउट हो जाता है, C) रेडर आउट हो जाता है, D) रेड अमान्य हो जाती है</v>
      </c>
      <c r="I247" s="3" t="str">
        <f>IFERROR(__xludf.DUMMYFUNCTION("GOOGLETRANSLATE(D247, ""en"", ""hi"")"),"B) डिफेंडर आउट हो गया है, C) रेडर आउट हो गया है")</f>
        <v>B) डिफेंडर आउट हो गया है, C) रेडर आउट हो गया है</v>
      </c>
    </row>
    <row r="248" ht="22.5" customHeight="1">
      <c r="A248" s="2">
        <v>247.0</v>
      </c>
      <c r="B248" s="3" t="s">
        <v>512</v>
      </c>
      <c r="C248" s="3" t="s">
        <v>513</v>
      </c>
      <c r="D248" s="3" t="s">
        <v>514</v>
      </c>
      <c r="F248" s="3" t="str">
        <f>IFERROR(__xludf.DUMMYFUNCTION("GOOGLETRANSLATE(A248, ""en"", ""hi"")"),"247")</f>
        <v>247</v>
      </c>
      <c r="G248" s="3" t="str">
        <f>IFERROR(__xludf.DUMMYFUNCTION("GOOGLETRANSLATE(B248, ""en"", ""hi"")"),"यदि कोई रेडर एक डिफेंडर को छूता है और लॉबी क्षेत्र में मौजूद किसी अन्य डिफेंडर द्वारा उसे टैकल कर दिया जाता है, तो परिणाम क्या होगा?")</f>
        <v>यदि कोई रेडर एक डिफेंडर को छूता है और लॉबी क्षेत्र में मौजूद किसी अन्य डिफेंडर द्वारा उसे टैकल कर दिया जाता है, तो परिणाम क्या होगा?</v>
      </c>
      <c r="H248" s="3" t="str">
        <f>IFERROR(__xludf.DUMMYFUNCTION("GOOGLETRANSLATE(C248, ""en"", ""hi"")"),"A) रेडर 1 अंक अर्जित करता है, B) दूसरा डिफेंडर आउट हो जाता है, C) रेडर आउट हो जाता है, D) रेड जारी रहती है")</f>
        <v>A) रेडर 1 अंक अर्जित करता है, B) दूसरा डिफेंडर आउट हो जाता है, C) रेडर आउट हो जाता है, D) रेड जारी रहती है</v>
      </c>
      <c r="I248" s="3" t="str">
        <f>IFERROR(__xludf.DUMMYFUNCTION("GOOGLETRANSLATE(D248, ""en"", ""hi"")"),"B) दूसरा डिफेंडर आउट हो गया है, C) रेडर आउट हो गया है")</f>
        <v>B) दूसरा डिफेंडर आउट हो गया है, C) रेडर आउट हो गया है</v>
      </c>
    </row>
    <row r="249" ht="22.5" customHeight="1">
      <c r="A249" s="2">
        <v>248.0</v>
      </c>
      <c r="B249" s="3" t="s">
        <v>515</v>
      </c>
      <c r="C249" s="3" t="s">
        <v>236</v>
      </c>
      <c r="D249" s="3" t="s">
        <v>496</v>
      </c>
      <c r="F249" s="3" t="str">
        <f>IFERROR(__xludf.DUMMYFUNCTION("GOOGLETRANSLATE(A249, ""en"", ""hi"")"),"248")</f>
        <v>248</v>
      </c>
      <c r="G249" s="3" t="str">
        <f>IFERROR(__xludf.DUMMYFUNCTION("GOOGLETRANSLATE(B249, ""en"", ""hi"")"),"कबड्डी रेड के दौरान, यदि किसी रेडर को ऐसे डिफेंडर द्वारा टैकल किया जाता है जिसका पैर मिडलाइन के ऊपर है लेकिन फिर भी बाउंड्स में है, तो क्या होगा?")</f>
        <v>कबड्डी रेड के दौरान, यदि किसी रेडर को ऐसे डिफेंडर द्वारा टैकल किया जाता है जिसका पैर मिडलाइन के ऊपर है लेकिन फिर भी बाउंड्स में है, तो क्या होगा?</v>
      </c>
      <c r="H249" s="3" t="str">
        <f>IFERROR(__xludf.DUMMYFUNCTION("GOOGLETRANSLATE(C249, ""en"", ""hi"")"),"A) रेडर को 1 अंक मिलता है, B) डिफेंडर आउट हो जाता है, C) रेडर आउट हो जाता है, D) रेड अमान्य हो जाती है")</f>
        <v>A) रेडर को 1 अंक मिलता है, B) डिफेंडर आउट हो जाता है, C) रेडर आउट हो जाता है, D) रेड अमान्य हो जाती है</v>
      </c>
      <c r="I249" s="3" t="str">
        <f>IFERROR(__xludf.DUMMYFUNCTION("GOOGLETRANSLATE(D249, ""en"", ""hi"")"),"A) रेडर को 1 अंक मिलता है, B) डिफेंडर आउट हो जाता है")</f>
        <v>A) रेडर को 1 अंक मिलता है, B) डिफेंडर आउट हो जाता है</v>
      </c>
    </row>
    <row r="250" ht="22.5" customHeight="1">
      <c r="A250" s="2">
        <v>249.0</v>
      </c>
      <c r="B250" s="3" t="s">
        <v>516</v>
      </c>
      <c r="C250" s="3" t="s">
        <v>434</v>
      </c>
      <c r="D250" s="3" t="s">
        <v>517</v>
      </c>
      <c r="F250" s="3" t="str">
        <f>IFERROR(__xludf.DUMMYFUNCTION("GOOGLETRANSLATE(A250, ""en"", ""hi"")"),"249")</f>
        <v>249</v>
      </c>
      <c r="G250" s="3" t="str">
        <f>IFERROR(__xludf.DUMMYFUNCTION("GOOGLETRANSLATE(B250, ""en"", ""hi"")"),"यदि कोई रेडर मध्य रेखा को पार कर बोनस लाइन को छूता है, लेकिन उसे सीमा से बाहर निकल रहे डिफेंडर द्वारा रोक लिया जाता है, तो परिणाम क्या होगा?")</f>
        <v>यदि कोई रेडर मध्य रेखा को पार कर बोनस लाइन को छूता है, लेकिन उसे सीमा से बाहर निकल रहे डिफेंडर द्वारा रोक लिया जाता है, तो परिणाम क्या होगा?</v>
      </c>
      <c r="H250" s="3" t="str">
        <f>IFERROR(__xludf.DUMMYFUNCTION("GOOGLETRANSLATE(C250, ""en"", ""hi"")"),"A) रेडर को 1 अंक मिलता है, B) रेडर आउट हो जाता है, C) डिफेंडर आउट हो जाता है, D) रेड की समीक्षा की जाती है")</f>
        <v>A) रेडर को 1 अंक मिलता है, B) रेडर आउट हो जाता है, C) डिफेंडर आउट हो जाता है, D) रेड की समीक्षा की जाती है</v>
      </c>
      <c r="I250" s="3" t="str">
        <f>IFERROR(__xludf.DUMMYFUNCTION("GOOGLETRANSLATE(D250, ""en"", ""hi"")"),"A) रेडर को 1 अंक मिलता है, C) डिफेंडर आउट हो जाता है")</f>
        <v>A) रेडर को 1 अंक मिलता है, C) डिफेंडर आउट हो जाता है</v>
      </c>
    </row>
    <row r="251" ht="22.5" customHeight="1">
      <c r="A251" s="2">
        <v>250.0</v>
      </c>
      <c r="B251" s="3" t="s">
        <v>518</v>
      </c>
      <c r="C251" s="3" t="s">
        <v>475</v>
      </c>
      <c r="D251" s="3" t="s">
        <v>496</v>
      </c>
      <c r="F251" s="3" t="str">
        <f>IFERROR(__xludf.DUMMYFUNCTION("GOOGLETRANSLATE(A251, ""en"", ""hi"")"),"250")</f>
        <v>250</v>
      </c>
      <c r="G251" s="3" t="str">
        <f>IFERROR(__xludf.DUMMYFUNCTION("GOOGLETRANSLATE(B251, ""en"", ""hi"")"),"यदि कोई डिफेंडर किसी रेडर को तब टैकल करता है जब उसका पैर बाउंड्स से बाहर हो, लेकिन रेडर किसी डिफेंडर को छू लेता है, तो निर्णय क्या होगा?")</f>
        <v>यदि कोई डिफेंडर किसी रेडर को तब टैकल करता है जब उसका पैर बाउंड्स से बाहर हो, लेकिन रेडर किसी डिफेंडर को छू लेता है, तो निर्णय क्या होगा?</v>
      </c>
      <c r="H251" s="3" t="str">
        <f>IFERROR(__xludf.DUMMYFUNCTION("GOOGLETRANSLATE(C251,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51" s="3" t="str">
        <f>IFERROR(__xludf.DUMMYFUNCTION("GOOGLETRANSLATE(D251, ""en"", ""hi"")"),"A) रेडर को 1 अंक मिलता है, B) डिफेंडर आउट हो जाता है")</f>
        <v>A) रेडर को 1 अंक मिलता है, B) डिफेंडर आउट हो जाता है</v>
      </c>
    </row>
    <row r="252" ht="22.5" customHeight="1">
      <c r="A252" s="2">
        <v>251.0</v>
      </c>
      <c r="B252" s="3" t="s">
        <v>519</v>
      </c>
      <c r="C252" s="3" t="s">
        <v>520</v>
      </c>
      <c r="D252" s="3" t="s">
        <v>521</v>
      </c>
      <c r="F252" s="3" t="str">
        <f>IFERROR(__xludf.DUMMYFUNCTION("GOOGLETRANSLATE(A252, ""en"", ""hi"")"),"251")</f>
        <v>251</v>
      </c>
      <c r="G252" s="3" t="str">
        <f>IFERROR(__xludf.DUMMYFUNCTION("GOOGLETRANSLATE(B252, ""en"", ""hi"")"),"कबड्डी मैच के दौरान, यदि एक रेडर दो डिफेंडरों को सफलतापूर्वक छूने के बाद टैकल हो जाता है, लेकिन दूसरा डिफेंडर सीमा से बाहर निकल जाता है, तो परिणाम क्या होगा?")</f>
        <v>कबड्डी मैच के दौरान, यदि एक रेडर दो डिफेंडरों को सफलतापूर्वक छूने के बाद टैकल हो जाता है, लेकिन दूसरा डिफेंडर सीमा से बाहर निकल जाता है, तो परिणाम क्या होगा?</v>
      </c>
      <c r="H252" s="3" t="str">
        <f>IFERROR(__xludf.DUMMYFUNCTION("GOOGLETRANSLATE(C252, ""en"", ""hi"")"),"A) रेडर को 2 अंक मिलते हैं, B) दूसरा डिफेंडर आउट हो जाता है, C) पहला डिफेंडर आउट हो जाता है, D) रेड अमान्य हो जाती है")</f>
        <v>A) रेडर को 2 अंक मिलते हैं, B) दूसरा डिफेंडर आउट हो जाता है, C) पहला डिफेंडर आउट हो जाता है, D) रेड अमान्य हो जाती है</v>
      </c>
      <c r="I252" s="3" t="str">
        <f>IFERROR(__xludf.DUMMYFUNCTION("GOOGLETRANSLATE(D252, ""en"", ""hi"")"),"A) रेडर को 2 अंक मिलते हैं, B) दूसरा डिफेंडर आउट हो जाता है")</f>
        <v>A) रेडर को 2 अंक मिलते हैं, B) दूसरा डिफेंडर आउट हो जाता है</v>
      </c>
    </row>
    <row r="253" ht="22.5" customHeight="1">
      <c r="A253" s="2">
        <v>252.0</v>
      </c>
      <c r="B253" s="3" t="s">
        <v>522</v>
      </c>
      <c r="C253" s="3" t="s">
        <v>523</v>
      </c>
      <c r="D253" s="3" t="s">
        <v>496</v>
      </c>
      <c r="F253" s="3" t="str">
        <f>IFERROR(__xludf.DUMMYFUNCTION("GOOGLETRANSLATE(A253, ""en"", ""hi"")"),"252")</f>
        <v>252</v>
      </c>
      <c r="G253" s="3" t="str">
        <f>IFERROR(__xludf.DUMMYFUNCTION("GOOGLETRANSLATE(B253, ""en"", ""hi"")"),"यदि कोई रेडर बोनस लाइन को छूता है और उसे ऐसे डिफेंडर द्वारा टैकल कर दिया जाता है जिसका पैर मिडलाइन पर है तो क्या होगा?")</f>
        <v>यदि कोई रेडर बोनस लाइन को छूता है और उसे ऐसे डिफेंडर द्वारा टैकल कर दिया जाता है जिसका पैर मिडलाइन पर है तो क्या होगा?</v>
      </c>
      <c r="H253" s="3" t="str">
        <f>IFERROR(__xludf.DUMMYFUNCTION("GOOGLETRANSLATE(C253, ""en"", ""hi"")"),"A) रेडर 1 अंक अर्जित करता है, B) रेडर आउट हो जाता है, C) डिफेंडर आउट हो जाता है, D) रेड जारी रहती है")</f>
        <v>A) रेडर 1 अंक अर्जित करता है, B) रेडर आउट हो जाता है, C) डिफेंडर आउट हो जाता है, D) रेड जारी रहती है</v>
      </c>
      <c r="I253" s="3" t="str">
        <f>IFERROR(__xludf.DUMMYFUNCTION("GOOGLETRANSLATE(D253, ""en"", ""hi"")"),"A) रेडर को 1 अंक मिलता है, B) डिफेंडर आउट हो जाता है")</f>
        <v>A) रेडर को 1 अंक मिलता है, B) डिफेंडर आउट हो जाता है</v>
      </c>
    </row>
    <row r="254" ht="22.5" customHeight="1">
      <c r="A254" s="2">
        <v>253.0</v>
      </c>
      <c r="B254" s="3" t="s">
        <v>524</v>
      </c>
      <c r="C254" s="3" t="s">
        <v>266</v>
      </c>
      <c r="D254" s="3" t="s">
        <v>167</v>
      </c>
      <c r="F254" s="3" t="str">
        <f>IFERROR(__xludf.DUMMYFUNCTION("GOOGLETRANSLATE(A254, ""en"", ""hi"")"),"253")</f>
        <v>253</v>
      </c>
      <c r="G254" s="3" t="str">
        <f>IFERROR(__xludf.DUMMYFUNCTION("GOOGLETRANSLATE(B254, ""en"", ""hi"")"),"यदि कोई डिफेंडर रेडर को पकड़ रहा है और सीमा से बाहर चला जाता है, तो परिणाम क्या होगा?")</f>
        <v>यदि कोई डिफेंडर रेडर को पकड़ रहा है और सीमा से बाहर चला जाता है, तो परिणाम क्या होगा?</v>
      </c>
      <c r="H254" s="3" t="str">
        <f>IFERROR(__xludf.DUMMYFUNCTION("GOOGLETRANSLATE(C254, ""en"", ""hi"")"),"A) डिफेंडर आउट हो गया है, B) रेडर आउट हो गया है, C) दोनों खिलाड़ी आउट हो गए हैं, D) रेड की समीक्षा की गई है")</f>
        <v>A) डिफेंडर आउट हो गया है, B) रेडर आउट हो गया है, C) दोनों खिलाड़ी आउट हो गए हैं, D) रेड की समीक्षा की गई है</v>
      </c>
      <c r="I254" s="3" t="str">
        <f>IFERROR(__xludf.DUMMYFUNCTION("GOOGLETRANSLATE(D254, ""en"", ""hi"")"),"A) डिफेंडर आउट हो गया है")</f>
        <v>A) डिफेंडर आउट हो गया है</v>
      </c>
    </row>
    <row r="255" ht="22.5" customHeight="1">
      <c r="A255" s="2">
        <v>254.0</v>
      </c>
      <c r="B255" s="3" t="s">
        <v>525</v>
      </c>
      <c r="C255" s="3" t="s">
        <v>526</v>
      </c>
      <c r="D255" s="3" t="s">
        <v>527</v>
      </c>
      <c r="F255" s="3" t="str">
        <f>IFERROR(__xludf.DUMMYFUNCTION("GOOGLETRANSLATE(A255, ""en"", ""hi"")"),"254")</f>
        <v>254</v>
      </c>
      <c r="G255" s="3" t="str">
        <f>IFERROR(__xludf.DUMMYFUNCTION("GOOGLETRANSLATE(B255, ""en"", ""hi"")"),"कबड्डी मैच के दौरान, यदि कोई रेडर दो डिफेंडरों को छूता है और तीसरा डिफेंडर उसे टैकल कर देता है, जो लाइन पर तो है, लेकिन बाउंड्स में नहीं है, तो परिणाम क्या होगा?")</f>
        <v>कबड्डी मैच के दौरान, यदि कोई रेडर दो डिफेंडरों को छूता है और तीसरा डिफेंडर उसे टैकल कर देता है, जो लाइन पर तो है, लेकिन बाउंड्स में नहीं है, तो परिणाम क्या होगा?</v>
      </c>
      <c r="H255" s="3" t="str">
        <f>IFERROR(__xludf.DUMMYFUNCTION("GOOGLETRANSLATE(C255, ""en"", ""hi"")"),"A) रेडर को 2 अंक मिलते हैं, B) तीसरा डिफेंडर आउट हो जाता है, C) रेडर आउट हो जाता है, D) रेड अमान्य हो जाती है")</f>
        <v>A) रेडर को 2 अंक मिलते हैं, B) तीसरा डिफेंडर आउट हो जाता है, C) रेडर आउट हो जाता है, D) रेड अमान्य हो जाती है</v>
      </c>
      <c r="I255" s="3" t="str">
        <f>IFERROR(__xludf.DUMMYFUNCTION("GOOGLETRANSLATE(D255, ""en"", ""hi"")"),"B) तीसरा डिफेंडर आउट हो गया है, C) रेडर आउट हो गया है")</f>
        <v>B) तीसरा डिफेंडर आउट हो गया है, C) रेडर आउट हो गया है</v>
      </c>
    </row>
    <row r="256" ht="22.5" customHeight="1">
      <c r="A256" s="2">
        <v>255.0</v>
      </c>
      <c r="B256" s="3" t="s">
        <v>528</v>
      </c>
      <c r="C256" s="3" t="s">
        <v>513</v>
      </c>
      <c r="D256" s="3" t="s">
        <v>514</v>
      </c>
      <c r="F256" s="3" t="str">
        <f>IFERROR(__xludf.DUMMYFUNCTION("GOOGLETRANSLATE(A256, ""en"", ""hi"")"),"255")</f>
        <v>255</v>
      </c>
      <c r="G256" s="3" t="str">
        <f>IFERROR(__xludf.DUMMYFUNCTION("GOOGLETRANSLATE(B256, ""en"", ""hi"")"),"यदि कोई रेडर एक डिफेंडर को छूता है और तुरंत ही उसे दूसरे डिफेंडर द्वारा टैकल कर लिया जाता है, जिसका पैर बाउंड्स से बाहर है, तो परिणाम क्या होगा?")</f>
        <v>यदि कोई रेडर एक डिफेंडर को छूता है और तुरंत ही उसे दूसरे डिफेंडर द्वारा टैकल कर लिया जाता है, जिसका पैर बाउंड्स से बाहर है, तो परिणाम क्या होगा?</v>
      </c>
      <c r="H256" s="3" t="str">
        <f>IFERROR(__xludf.DUMMYFUNCTION("GOOGLETRANSLATE(C256, ""en"", ""hi"")"),"A) रेडर 1 अंक अर्जित करता है, B) दूसरा डिफेंडर आउट हो जाता है, C) रेडर आउट हो जाता है, D) रेड जारी रहती है")</f>
        <v>A) रेडर 1 अंक अर्जित करता है, B) दूसरा डिफेंडर आउट हो जाता है, C) रेडर आउट हो जाता है, D) रेड जारी रहती है</v>
      </c>
      <c r="I256" s="3" t="str">
        <f>IFERROR(__xludf.DUMMYFUNCTION("GOOGLETRANSLATE(D256, ""en"", ""hi"")"),"B) दूसरा डिफेंडर आउट हो गया है, C) रेडर आउट हो गया है")</f>
        <v>B) दूसरा डिफेंडर आउट हो गया है, C) रेडर आउट हो गया है</v>
      </c>
    </row>
    <row r="257" ht="22.5" customHeight="1">
      <c r="A257" s="2">
        <v>256.0</v>
      </c>
      <c r="B257" s="3" t="s">
        <v>529</v>
      </c>
      <c r="C257" s="3" t="s">
        <v>530</v>
      </c>
      <c r="D257" s="3" t="s">
        <v>531</v>
      </c>
      <c r="F257" s="3" t="str">
        <f>IFERROR(__xludf.DUMMYFUNCTION("GOOGLETRANSLATE(A257, ""en"", ""hi"")"),"256")</f>
        <v>256</v>
      </c>
      <c r="G257" s="3" t="str">
        <f>IFERROR(__xludf.DUMMYFUNCTION("GOOGLETRANSLATE(B257, ""en"", ""hi"")"),"यदि कोई रेडर तीन डिफेंडरों को छूता है और उसे चौथे डिफेंडर द्वारा टैकल किया जाता है, जिसका पैर लॉबी क्षेत्र में है, तो निर्णय क्या होगा?")</f>
        <v>यदि कोई रेडर तीन डिफेंडरों को छूता है और उसे चौथे डिफेंडर द्वारा टैकल किया जाता है, जिसका पैर लॉबी क्षेत्र में है, तो निर्णय क्या होगा?</v>
      </c>
      <c r="H257" s="3" t="str">
        <f>IFERROR(__xludf.DUMMYFUNCTION("GOOGLETRANSLATE(C257, ""en"", ""hi"")"),"A) रेडर को 3 अंक मिलते हैं, B) चौथा डिफेंडर आउट हो जाता है, C) रेडर आउट हो जाता है, D) रेड की समीक्षा की जाती है")</f>
        <v>A) रेडर को 3 अंक मिलते हैं, B) चौथा डिफेंडर आउट हो जाता है, C) रेडर आउट हो जाता है, D) रेड की समीक्षा की जाती है</v>
      </c>
      <c r="I257" s="3" t="str">
        <f>IFERROR(__xludf.DUMMYFUNCTION("GOOGLETRANSLATE(D257, ""en"", ""hi"")"),"A) रेडर को 3 अंक मिलते हैं, B) चौथा डिफेंडर आउट हो जाता है")</f>
        <v>A) रेडर को 3 अंक मिलते हैं, B) चौथा डिफेंडर आउट हो जाता है</v>
      </c>
    </row>
    <row r="258" ht="22.5" customHeight="1">
      <c r="A258" s="2">
        <v>257.0</v>
      </c>
      <c r="B258" s="3" t="s">
        <v>532</v>
      </c>
      <c r="C258" s="3" t="s">
        <v>397</v>
      </c>
      <c r="D258" s="3" t="s">
        <v>496</v>
      </c>
      <c r="F258" s="3" t="str">
        <f>IFERROR(__xludf.DUMMYFUNCTION("GOOGLETRANSLATE(A258, ""en"", ""hi"")"),"257")</f>
        <v>257</v>
      </c>
      <c r="G258" s="3" t="str">
        <f>IFERROR(__xludf.DUMMYFUNCTION("GOOGLETRANSLATE(B258, ""en"", ""hi"")"),"कबड्डी रेड के दौरान, यदि कोई रेडर बोनस लाइन को छूता है, लेकिन उसे डिफेंडर द्वारा टैकल कर दिया जाता है, जो कि सीमा से बाहर है, तो क्या होगा?")</f>
        <v>कबड्डी रेड के दौरान, यदि कोई रेडर बोनस लाइन को छूता है, लेकिन उसे डिफेंडर द्वारा टैकल कर दिया जाता है, जो कि सीमा से बाहर है, तो क्या होगा?</v>
      </c>
      <c r="H258" s="3" t="str">
        <f>IFERROR(__xludf.DUMMYFUNCTION("GOOGLETRANSLATE(C258,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58" s="3" t="str">
        <f>IFERROR(__xludf.DUMMYFUNCTION("GOOGLETRANSLATE(D258, ""en"", ""hi"")"),"A) रेडर को 1 अंक मिलता है, B) डिफेंडर आउट हो जाता है")</f>
        <v>A) रेडर को 1 अंक मिलता है, B) डिफेंडर आउट हो जाता है</v>
      </c>
    </row>
    <row r="259" ht="22.5" customHeight="1">
      <c r="A259" s="2">
        <v>258.0</v>
      </c>
      <c r="B259" s="3" t="s">
        <v>533</v>
      </c>
      <c r="C259" s="3" t="s">
        <v>441</v>
      </c>
      <c r="D259" s="3" t="s">
        <v>496</v>
      </c>
      <c r="F259" s="3" t="str">
        <f>IFERROR(__xludf.DUMMYFUNCTION("GOOGLETRANSLATE(A259, ""en"", ""hi"")"),"258")</f>
        <v>258</v>
      </c>
      <c r="G259" s="3" t="str">
        <f>IFERROR(__xludf.DUMMYFUNCTION("GOOGLETRANSLATE(B259, ""en"", ""hi"")"),"यदि कोई डिफेंडर सीमा से बाहर निकलते समय रेडर को टैकल करता है और रेडर किसी एक डिफेंडर को छू लेता है, तो परिणाम क्या होगा?")</f>
        <v>यदि कोई डिफेंडर सीमा से बाहर निकलते समय रेडर को टैकल करता है और रेडर किसी एक डिफेंडर को छू लेता है, तो परिणाम क्या होगा?</v>
      </c>
      <c r="H259" s="3" t="str">
        <f>IFERROR(__xludf.DUMMYFUNCTION("GOOGLETRANSLATE(C259,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59" s="3" t="str">
        <f>IFERROR(__xludf.DUMMYFUNCTION("GOOGLETRANSLATE(D259, ""en"", ""hi"")"),"A) रेडर को 1 अंक मिलता है, B) डिफेंडर आउट हो जाता है")</f>
        <v>A) रेडर को 1 अंक मिलता है, B) डिफेंडर आउट हो जाता है</v>
      </c>
    </row>
    <row r="260" ht="22.5" customHeight="1">
      <c r="A260" s="2">
        <v>259.0</v>
      </c>
      <c r="B260" s="3" t="s">
        <v>534</v>
      </c>
      <c r="C260" s="3" t="s">
        <v>535</v>
      </c>
      <c r="D260" s="3" t="s">
        <v>536</v>
      </c>
      <c r="F260" s="3" t="str">
        <f>IFERROR(__xludf.DUMMYFUNCTION("GOOGLETRANSLATE(A260, ""en"", ""hi"")"),"259")</f>
        <v>259</v>
      </c>
      <c r="G260" s="3" t="str">
        <f>IFERROR(__xludf.DUMMYFUNCTION("GOOGLETRANSLATE(B260, ""en"", ""hi"")"),"क्या होगा यदि किसी रेडर को ऐसे डिफेंडर द्वारा टैकल किया जाए जिसका पैर मिडलाइन के ऊपर है लेकिन बाउंड्स में नहीं है, जबकि रेडर ने दो डिफेंडर्स को छू लिया है?")</f>
        <v>क्या होगा यदि किसी रेडर को ऐसे डिफेंडर द्वारा टैकल किया जाए जिसका पैर मिडलाइन के ऊपर है लेकिन बाउंड्स में नहीं है, जबकि रेडर ने दो डिफेंडर्स को छू लिया है?</v>
      </c>
      <c r="H260" s="3" t="str">
        <f>IFERROR(__xludf.DUMMYFUNCTION("GOOGLETRANSLATE(C260, ""en"", ""hi"")"),"A) रेडर 2 अंक अर्जित करता है, B) डिफेंडर आउट हो जाता है, C) रेडर आउट हो जाता है, D) रेड जारी रहती है")</f>
        <v>A) रेडर 2 अंक अर्जित करता है, B) डिफेंडर आउट हो जाता है, C) रेडर आउट हो जाता है, D) रेड जारी रहती है</v>
      </c>
      <c r="I260" s="3" t="str">
        <f>IFERROR(__xludf.DUMMYFUNCTION("GOOGLETRANSLATE(D260, ""en"", ""hi"")"),"A) रेडर को 2 अंक मिलते हैं, B) डिफेंडर आउट हो जाता है")</f>
        <v>A) रेडर को 2 अंक मिलते हैं, B) डिफेंडर आउट हो जाता है</v>
      </c>
    </row>
    <row r="261" ht="22.5" customHeight="1">
      <c r="A261" s="2">
        <v>260.0</v>
      </c>
      <c r="B261" s="3" t="s">
        <v>537</v>
      </c>
      <c r="C261" s="3" t="s">
        <v>434</v>
      </c>
      <c r="D261" s="3" t="s">
        <v>517</v>
      </c>
      <c r="F261" s="3" t="str">
        <f>IFERROR(__xludf.DUMMYFUNCTION("GOOGLETRANSLATE(A261, ""en"", ""hi"")"),"260")</f>
        <v>260</v>
      </c>
      <c r="G261" s="3" t="str">
        <f>IFERROR(__xludf.DUMMYFUNCTION("GOOGLETRANSLATE(B261, ""en"", ""hi"")"),"यदि कोई रेडर बोनस लाइन को छूने के बाद टैकल किया जाता है, लेकिन मिडलाइन को पार नहीं करता है और डिफेंडर सीमा से बाहर निकल जाता है, तो परिणाम क्या होगा?")</f>
        <v>यदि कोई रेडर बोनस लाइन को छूने के बाद टैकल किया जाता है, लेकिन मिडलाइन को पार नहीं करता है और डिफेंडर सीमा से बाहर निकल जाता है, तो परिणाम क्या होगा?</v>
      </c>
      <c r="H261" s="3" t="str">
        <f>IFERROR(__xludf.DUMMYFUNCTION("GOOGLETRANSLATE(C261, ""en"", ""hi"")"),"A) रेडर को 1 अंक मिलता है, B) रेडर आउट हो जाता है, C) डिफेंडर आउट हो जाता है, D) रेड की समीक्षा की जाती है")</f>
        <v>A) रेडर को 1 अंक मिलता है, B) रेडर आउट हो जाता है, C) डिफेंडर आउट हो जाता है, D) रेड की समीक्षा की जाती है</v>
      </c>
      <c r="I261" s="3" t="str">
        <f>IFERROR(__xludf.DUMMYFUNCTION("GOOGLETRANSLATE(D261, ""en"", ""hi"")"),"A) रेडर को 1 अंक मिलता है, C) डिफेंडर आउट हो जाता है")</f>
        <v>A) रेडर को 1 अंक मिलता है, C) डिफेंडर आउट हो जाता है</v>
      </c>
    </row>
    <row r="262" ht="22.5" customHeight="1">
      <c r="A262" s="2">
        <v>261.0</v>
      </c>
      <c r="B262" s="3" t="s">
        <v>538</v>
      </c>
      <c r="C262" s="3" t="s">
        <v>539</v>
      </c>
      <c r="D262" s="3" t="s">
        <v>527</v>
      </c>
      <c r="F262" s="3" t="str">
        <f>IFERROR(__xludf.DUMMYFUNCTION("GOOGLETRANSLATE(A262, ""en"", ""hi"")"),"261")</f>
        <v>261</v>
      </c>
      <c r="G262" s="3" t="str">
        <f>IFERROR(__xludf.DUMMYFUNCTION("GOOGLETRANSLATE(B262, ""en"", ""hi"")"),"रेड के दौरान, यदि कोई रेडर दो डिफेंडरों को छूता है और तीसरा डिफेंडर, जिसका पैर लाइन पर है, उसे टैकल कर लेता है, तो परिणाम क्या होगा?")</f>
        <v>रेड के दौरान, यदि कोई रेडर दो डिफेंडरों को छूता है और तीसरा डिफेंडर, जिसका पैर लाइन पर है, उसे टैकल कर लेता है, तो परिणाम क्या होगा?</v>
      </c>
      <c r="H262" s="3" t="str">
        <f>IFERROR(__xludf.DUMMYFUNCTION("GOOGLETRANSLATE(C262, ""en"", ""hi"")"),"A) रेडर को 2 अंक मिलते हैं, B) तीसरा डिफेंडर आउट हो जाता है, C) रेडर आउट हो जाता है, D) रेड रद्द हो जाती है")</f>
        <v>A) रेडर को 2 अंक मिलते हैं, B) तीसरा डिफेंडर आउट हो जाता है, C) रेडर आउट हो जाता है, D) रेड रद्द हो जाती है</v>
      </c>
      <c r="I262" s="3" t="str">
        <f>IFERROR(__xludf.DUMMYFUNCTION("GOOGLETRANSLATE(D262, ""en"", ""hi"")"),"B) तीसरा डिफेंडर आउट हो गया है, C) रेडर आउट हो गया है")</f>
        <v>B) तीसरा डिफेंडर आउट हो गया है, C) रेडर आउट हो गया है</v>
      </c>
    </row>
    <row r="263" ht="22.5" customHeight="1">
      <c r="A263" s="2">
        <v>262.0</v>
      </c>
      <c r="B263" s="3" t="s">
        <v>540</v>
      </c>
      <c r="C263" s="3" t="s">
        <v>397</v>
      </c>
      <c r="D263" s="3" t="s">
        <v>501</v>
      </c>
      <c r="F263" s="3" t="str">
        <f>IFERROR(__xludf.DUMMYFUNCTION("GOOGLETRANSLATE(A263, ""en"", ""hi"")"),"262")</f>
        <v>262</v>
      </c>
      <c r="G263" s="3" t="str">
        <f>IFERROR(__xludf.DUMMYFUNCTION("GOOGLETRANSLATE(B263, ""en"", ""hi"")"),"यदि कोई रेडर सफल टच करता है और लॉबी क्षेत्र में प्रवेश कर रहे डिफेंडर द्वारा उसे टैकल कर दिया जाता है तो क्या होगा?")</f>
        <v>यदि कोई रेडर सफल टच करता है और लॉबी क्षेत्र में प्रवेश कर रहे डिफेंडर द्वारा उसे टैकल कर दिया जाता है तो क्या होगा?</v>
      </c>
      <c r="H263" s="3" t="str">
        <f>IFERROR(__xludf.DUMMYFUNCTION("GOOGLETRANSLATE(C263,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63" s="3" t="str">
        <f>IFERROR(__xludf.DUMMYFUNCTION("GOOGLETRANSLATE(D263, ""en"", ""hi"")"),"B) डिफेंडर आउट हो गया है, C) रेडर आउट हो गया है")</f>
        <v>B) डिफेंडर आउट हो गया है, C) रेडर आउट हो गया है</v>
      </c>
    </row>
    <row r="264" ht="22.5" customHeight="1">
      <c r="A264" s="2">
        <v>263.0</v>
      </c>
      <c r="B264" s="3" t="s">
        <v>541</v>
      </c>
      <c r="C264" s="3" t="s">
        <v>523</v>
      </c>
      <c r="D264" s="3" t="s">
        <v>517</v>
      </c>
      <c r="F264" s="3" t="str">
        <f>IFERROR(__xludf.DUMMYFUNCTION("GOOGLETRANSLATE(A264, ""en"", ""hi"")"),"263")</f>
        <v>263</v>
      </c>
      <c r="G264" s="3" t="str">
        <f>IFERROR(__xludf.DUMMYFUNCTION("GOOGLETRANSLATE(B264, ""en"", ""hi"")"),"यदि कोई रेडर मध्य रेखा को पार कर बोनस लाइन को छूता है, लेकिन उसे सीमा से बाहर खड़े डिफेंडर द्वारा रोक लिया जाता है, तो परिणाम क्या होगा?")</f>
        <v>यदि कोई रेडर मध्य रेखा को पार कर बोनस लाइन को छूता है, लेकिन उसे सीमा से बाहर खड़े डिफेंडर द्वारा रोक लिया जाता है, तो परिणाम क्या होगा?</v>
      </c>
      <c r="H264" s="3" t="str">
        <f>IFERROR(__xludf.DUMMYFUNCTION("GOOGLETRANSLATE(C264, ""en"", ""hi"")"),"A) रेडर 1 अंक अर्जित करता है, B) रेडर आउट हो जाता है, C) डिफेंडर आउट हो जाता है, D) रेड जारी रहती है")</f>
        <v>A) रेडर 1 अंक अर्जित करता है, B) रेडर आउट हो जाता है, C) डिफेंडर आउट हो जाता है, D) रेड जारी रहती है</v>
      </c>
      <c r="I264" s="3" t="str">
        <f>IFERROR(__xludf.DUMMYFUNCTION("GOOGLETRANSLATE(D264, ""en"", ""hi"")"),"A) रेडर को 1 अंक मिलता है, C) डिफेंडर आउट हो जाता है")</f>
        <v>A) रेडर को 1 अंक मिलता है, C) डिफेंडर आउट हो जाता है</v>
      </c>
    </row>
    <row r="265" ht="22.5" customHeight="1">
      <c r="A265" s="2">
        <v>264.0</v>
      </c>
      <c r="B265" s="3" t="s">
        <v>542</v>
      </c>
      <c r="C265" s="3" t="s">
        <v>441</v>
      </c>
      <c r="D265" s="3" t="s">
        <v>501</v>
      </c>
      <c r="F265" s="3" t="str">
        <f>IFERROR(__xludf.DUMMYFUNCTION("GOOGLETRANSLATE(A265, ""en"", ""hi"")"),"264")</f>
        <v>264</v>
      </c>
      <c r="G265" s="3" t="str">
        <f>IFERROR(__xludf.DUMMYFUNCTION("GOOGLETRANSLATE(B265, ""en"", ""hi"")"),"कबड्डी मैच के दौरान, यदि कोई रेडर किसी डिफेंडर को छू लेता है और उसे एक डिफेंडर द्वारा टैकल कर दिया जाता है, जिसका पैर लॉबी क्षेत्र में है, तो परिणाम क्या होगा?")</f>
        <v>कबड्डी मैच के दौरान, यदि कोई रेडर किसी डिफेंडर को छू लेता है और उसे एक डिफेंडर द्वारा टैकल कर दिया जाता है, जिसका पैर लॉबी क्षेत्र में है, तो परिणाम क्या होगा?</v>
      </c>
      <c r="H265" s="3" t="str">
        <f>IFERROR(__xludf.DUMMYFUNCTION("GOOGLETRANSLATE(C265,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65" s="3" t="str">
        <f>IFERROR(__xludf.DUMMYFUNCTION("GOOGLETRANSLATE(D265, ""en"", ""hi"")"),"B) डिफेंडर आउट हो गया है, C) रेडर आउट हो गया है")</f>
        <v>B) डिफेंडर आउट हो गया है, C) रेडर आउट हो गया है</v>
      </c>
    </row>
    <row r="266" ht="22.5" customHeight="1">
      <c r="A266" s="2">
        <v>265.0</v>
      </c>
      <c r="B266" s="3" t="s">
        <v>543</v>
      </c>
      <c r="C266" s="3" t="s">
        <v>438</v>
      </c>
      <c r="D266" s="3" t="s">
        <v>501</v>
      </c>
      <c r="F266" s="3" t="str">
        <f>IFERROR(__xludf.DUMMYFUNCTION("GOOGLETRANSLATE(A266, ""en"", ""hi"")"),"265")</f>
        <v>265</v>
      </c>
      <c r="G266" s="3" t="str">
        <f>IFERROR(__xludf.DUMMYFUNCTION("GOOGLETRANSLATE(B266, ""en"", ""hi"")"),"यदि किसी रेडर को खेल क्षेत्र के बाहर खड़े डिफेंडर द्वारा टैकल किया जाता है तथा रेडर ने दो डिफेंडरों को छू लिया है, तो क्या होगा?")</f>
        <v>यदि किसी रेडर को खेल क्षेत्र के बाहर खड़े डिफेंडर द्वारा टैकल किया जाता है तथा रेडर ने दो डिफेंडरों को छू लिया है, तो क्या होगा?</v>
      </c>
      <c r="H266" s="3" t="str">
        <f>IFERROR(__xludf.DUMMYFUNCTION("GOOGLETRANSLATE(C266, ""en"", ""hi"")"),"A) रेडर को 2 अंक मिलते हैं, B) डिफेंडर आउट हो जाता है, C) रेडर आउट हो जाता है, D) रेड अमान्य हो जाती है")</f>
        <v>A) रेडर को 2 अंक मिलते हैं, B) डिफेंडर आउट हो जाता है, C) रेडर आउट हो जाता है, D) रेड अमान्य हो जाती है</v>
      </c>
      <c r="I266" s="3" t="str">
        <f>IFERROR(__xludf.DUMMYFUNCTION("GOOGLETRANSLATE(D266, ""en"", ""hi"")"),"B) डिफेंडर आउट हो गया है, C) रेडर आउट हो गया है")</f>
        <v>B) डिफेंडर आउट हो गया है, C) रेडर आउट हो गया है</v>
      </c>
    </row>
    <row r="267" ht="22.5" customHeight="1">
      <c r="A267" s="2">
        <v>266.0</v>
      </c>
      <c r="B267" s="3" t="s">
        <v>544</v>
      </c>
      <c r="C267" s="3" t="s">
        <v>434</v>
      </c>
      <c r="D267" s="3" t="s">
        <v>517</v>
      </c>
      <c r="F267" s="3" t="str">
        <f>IFERROR(__xludf.DUMMYFUNCTION("GOOGLETRANSLATE(A267, ""en"", ""hi"")"),"266")</f>
        <v>266</v>
      </c>
      <c r="G267" s="3" t="str">
        <f>IFERROR(__xludf.DUMMYFUNCTION("GOOGLETRANSLATE(B267, ""en"", ""hi"")"),"यदि कोई रेडर बोनस लाइन को छूता है, लेकिन उसे एक डिफेंडर द्वारा टैकल कर दिया जाता है, जो मिडलाइन पर है, लेकिन बाउंड्स में नहीं है, तो क्या होगा?")</f>
        <v>यदि कोई रेडर बोनस लाइन को छूता है, लेकिन उसे एक डिफेंडर द्वारा टैकल कर दिया जाता है, जो मिडलाइन पर है, लेकिन बाउंड्स में नहीं है, तो क्या होगा?</v>
      </c>
      <c r="H267" s="3" t="str">
        <f>IFERROR(__xludf.DUMMYFUNCTION("GOOGLETRANSLATE(C267, ""en"", ""hi"")"),"A) रेडर को 1 अंक मिलता है, B) रेडर आउट हो जाता है, C) डिफेंडर आउट हो जाता है, D) रेड की समीक्षा की जाती है")</f>
        <v>A) रेडर को 1 अंक मिलता है, B) रेडर आउट हो जाता है, C) डिफेंडर आउट हो जाता है, D) रेड की समीक्षा की जाती है</v>
      </c>
      <c r="I267" s="3" t="str">
        <f>IFERROR(__xludf.DUMMYFUNCTION("GOOGLETRANSLATE(D267, ""en"", ""hi"")"),"A) रेडर को 1 अंक मिलता है, C) डिफेंडर आउट हो जाता है")</f>
        <v>A) रेडर को 1 अंक मिलता है, C) डिफेंडर आउट हो जाता है</v>
      </c>
    </row>
    <row r="268" ht="22.5" customHeight="1">
      <c r="A268" s="2">
        <v>267.0</v>
      </c>
      <c r="B268" s="3" t="s">
        <v>545</v>
      </c>
      <c r="C268" s="3" t="s">
        <v>397</v>
      </c>
      <c r="D268" s="3" t="s">
        <v>501</v>
      </c>
      <c r="F268" s="3" t="str">
        <f>IFERROR(__xludf.DUMMYFUNCTION("GOOGLETRANSLATE(A268, ""en"", ""hi"")"),"267")</f>
        <v>267</v>
      </c>
      <c r="G268" s="3" t="str">
        <f>IFERROR(__xludf.DUMMYFUNCTION("GOOGLETRANSLATE(B268, ""en"", ""hi"")"),"यदि कोई रेडर सफल टच करता है और उसे ऐसे डिफेंडर द्वारा टैकल कर दिया जाता है जिसका पैर लॉबी क्षेत्र में है, तो परिणाम क्या होगा?")</f>
        <v>यदि कोई रेडर सफल टच करता है और उसे ऐसे डिफेंडर द्वारा टैकल कर दिया जाता है जिसका पैर लॉबी क्षेत्र में है, तो परिणाम क्या होगा?</v>
      </c>
      <c r="H268" s="3" t="str">
        <f>IFERROR(__xludf.DUMMYFUNCTION("GOOGLETRANSLATE(C268,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68" s="3" t="str">
        <f>IFERROR(__xludf.DUMMYFUNCTION("GOOGLETRANSLATE(D268, ""en"", ""hi"")"),"B) डिफेंडर आउट हो गया है, C) रेडर आउट हो गया है")</f>
        <v>B) डिफेंडर आउट हो गया है, C) रेडर आउट हो गया है</v>
      </c>
    </row>
    <row r="269" ht="22.5" customHeight="1">
      <c r="A269" s="2">
        <v>268.0</v>
      </c>
      <c r="B269" s="3" t="s">
        <v>546</v>
      </c>
      <c r="C269" s="3" t="s">
        <v>547</v>
      </c>
      <c r="D269" s="3" t="s">
        <v>548</v>
      </c>
      <c r="F269" s="3" t="str">
        <f>IFERROR(__xludf.DUMMYFUNCTION("GOOGLETRANSLATE(A269, ""en"", ""hi"")"),"268")</f>
        <v>268</v>
      </c>
      <c r="G269" s="3" t="str">
        <f>IFERROR(__xludf.DUMMYFUNCTION("GOOGLETRANSLATE(B269, ""en"", ""hi"")"),"कबड्डी रेड के दौरान, यदि किसी रेडर को डिफेंडर द्वारा टैकल किया जाता है, जो सीमा से बाहर निकल रहा है, लेकिन तीन डिफेंडरों को छू चुका है, तो क्या होगा?")</f>
        <v>कबड्डी रेड के दौरान, यदि किसी रेडर को डिफेंडर द्वारा टैकल किया जाता है, जो सीमा से बाहर निकल रहा है, लेकिन तीन डिफेंडरों को छू चुका है, तो क्या होगा?</v>
      </c>
      <c r="H269" s="3" t="str">
        <f>IFERROR(__xludf.DUMMYFUNCTION("GOOGLETRANSLATE(C269, ""en"", ""hi"")"),"A) रेडर 3 अंक अर्जित करता है, B) डिफेंडर आउट हो जाता है, C) रेडर आउट हो जाता है, D) रेड जारी रहती है")</f>
        <v>A) रेडर 3 अंक अर्जित करता है, B) डिफेंडर आउट हो जाता है, C) रेडर आउट हो जाता है, D) रेड जारी रहती है</v>
      </c>
      <c r="I269" s="3" t="str">
        <f>IFERROR(__xludf.DUMMYFUNCTION("GOOGLETRANSLATE(D269, ""en"", ""hi"")"),"A) रेडर को 3 अंक मिलते हैं, B) डिफेंडर आउट हो जाता है")</f>
        <v>A) रेडर को 3 अंक मिलते हैं, B) डिफेंडर आउट हो जाता है</v>
      </c>
    </row>
    <row r="270" ht="22.5" customHeight="1">
      <c r="A270" s="2">
        <v>269.0</v>
      </c>
      <c r="B270" s="3" t="s">
        <v>549</v>
      </c>
      <c r="C270" s="3" t="s">
        <v>550</v>
      </c>
      <c r="D270" s="3" t="s">
        <v>551</v>
      </c>
      <c r="F270" s="3" t="str">
        <f>IFERROR(__xludf.DUMMYFUNCTION("GOOGLETRANSLATE(A270, ""en"", ""hi"")"),"269")</f>
        <v>269</v>
      </c>
      <c r="G270" s="3" t="str">
        <f>IFERROR(__xludf.DUMMYFUNCTION("GOOGLETRANSLATE(B270, ""en"", ""hi"")"),"यदि कोई रेडर दो डिफेंडरों को छू लेता है और तीसरा डिफेंडर उसे टैकल कर लेता है, जो सीमा से बाहर है, लेकिन रेडर आउट नहीं है, तो क्या होगा?")</f>
        <v>यदि कोई रेडर दो डिफेंडरों को छू लेता है और तीसरा डिफेंडर उसे टैकल कर लेता है, जो सीमा से बाहर है, लेकिन रेडर आउट नहीं है, तो क्या होगा?</v>
      </c>
      <c r="H270" s="3" t="str">
        <f>IFERROR(__xludf.DUMMYFUNCTION("GOOGLETRANSLATE(C270, ""en"", ""hi"")"),"A) रेडर को 2 अंक मिलते हैं, B) तीसरा डिफेंडर आउट हो जाता है, C) रेडर आउट हो जाता है, D) रेड की समीक्षा की जाती है")</f>
        <v>A) रेडर को 2 अंक मिलते हैं, B) तीसरा डिफेंडर आउट हो जाता है, C) रेडर आउट हो जाता है, D) रेड की समीक्षा की जाती है</v>
      </c>
      <c r="I270" s="3" t="str">
        <f>IFERROR(__xludf.DUMMYFUNCTION("GOOGLETRANSLATE(D270, ""en"", ""hi"")"),"A) रेडर को 2 अंक मिलते हैं, B) तीसरा डिफेंडर आउट हो जाता है")</f>
        <v>A) रेडर को 2 अंक मिलते हैं, B) तीसरा डिफेंडर आउट हो जाता है</v>
      </c>
    </row>
    <row r="271" ht="22.5" customHeight="1">
      <c r="A271" s="2">
        <v>270.0</v>
      </c>
      <c r="B271" s="3" t="s">
        <v>552</v>
      </c>
      <c r="C271" s="3" t="s">
        <v>475</v>
      </c>
      <c r="D271" s="3" t="s">
        <v>496</v>
      </c>
      <c r="F271" s="3" t="str">
        <f>IFERROR(__xludf.DUMMYFUNCTION("GOOGLETRANSLATE(A271, ""en"", ""hi"")"),"270")</f>
        <v>270</v>
      </c>
      <c r="G271" s="3" t="str">
        <f>IFERROR(__xludf.DUMMYFUNCTION("GOOGLETRANSLATE(B271, ""en"", ""hi"")"),"यदि कोई रेडर किसी डिफेंडर को छूता है और उसे ऐसे डिफेंडर द्वारा टैकल किया जाता है जिसका पैर लाइन पर है लेकिन बाउंड्स में है, तो परिणाम क्या होगा?")</f>
        <v>यदि कोई रेडर किसी डिफेंडर को छूता है और उसे ऐसे डिफेंडर द्वारा टैकल किया जाता है जिसका पैर लाइन पर है लेकिन बाउंड्स में है, तो परिणाम क्या होगा?</v>
      </c>
      <c r="H271" s="3" t="str">
        <f>IFERROR(__xludf.DUMMYFUNCTION("GOOGLETRANSLATE(C271,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71" s="3" t="str">
        <f>IFERROR(__xludf.DUMMYFUNCTION("GOOGLETRANSLATE(D271, ""en"", ""hi"")"),"A) रेडर को 1 अंक मिलता है, B) डिफेंडर आउट हो जाता है")</f>
        <v>A) रेडर को 1 अंक मिलता है, B) डिफेंडर आउट हो जाता है</v>
      </c>
    </row>
    <row r="272" ht="22.5" customHeight="1">
      <c r="A272" s="2">
        <v>271.0</v>
      </c>
      <c r="B272" s="3" t="s">
        <v>553</v>
      </c>
      <c r="C272" s="3" t="s">
        <v>236</v>
      </c>
      <c r="D272" s="3" t="s">
        <v>501</v>
      </c>
      <c r="F272" s="3" t="str">
        <f>IFERROR(__xludf.DUMMYFUNCTION("GOOGLETRANSLATE(A272, ""en"", ""hi"")"),"271")</f>
        <v>271</v>
      </c>
      <c r="G272" s="3" t="str">
        <f>IFERROR(__xludf.DUMMYFUNCTION("GOOGLETRANSLATE(B272, ""en"", ""hi"")"),"कबड्डी मैच के दौरान, यदि कोई डिफेंडर ऐसे रेडर को टैकल करता है जिसका पैर मिडलाइन पर है लेकिन बाउंड्स में है, तो परिणाम क्या होगा?")</f>
        <v>कबड्डी मैच के दौरान, यदि कोई डिफेंडर ऐसे रेडर को टैकल करता है जिसका पैर मिडलाइन पर है लेकिन बाउंड्स में है, तो परिणाम क्या होगा?</v>
      </c>
      <c r="H272" s="3" t="str">
        <f>IFERROR(__xludf.DUMMYFUNCTION("GOOGLETRANSLATE(C272, ""en"", ""hi"")"),"A) रेडर को 1 अंक मिलता है, B) डिफेंडर आउट हो जाता है, C) रेडर आउट हो जाता है, D) रेड अमान्य हो जाती है")</f>
        <v>A) रेडर को 1 अंक मिलता है, B) डिफेंडर आउट हो जाता है, C) रेडर आउट हो जाता है, D) रेड अमान्य हो जाती है</v>
      </c>
      <c r="I272" s="3" t="str">
        <f>IFERROR(__xludf.DUMMYFUNCTION("GOOGLETRANSLATE(D272, ""en"", ""hi"")"),"B) डिफेंडर आउट हो गया है, C) रेडर आउट हो गया है")</f>
        <v>B) डिफेंडर आउट हो गया है, C) रेडर आउट हो गया है</v>
      </c>
    </row>
    <row r="273" ht="22.5" customHeight="1">
      <c r="A273" s="2">
        <v>272.0</v>
      </c>
      <c r="B273" s="3" t="s">
        <v>554</v>
      </c>
      <c r="C273" s="3" t="s">
        <v>475</v>
      </c>
      <c r="D273" s="3" t="s">
        <v>501</v>
      </c>
      <c r="F273" s="3" t="str">
        <f>IFERROR(__xludf.DUMMYFUNCTION("GOOGLETRANSLATE(A273, ""en"", ""hi"")"),"272")</f>
        <v>272</v>
      </c>
      <c r="G273" s="3" t="str">
        <f>IFERROR(__xludf.DUMMYFUNCTION("GOOGLETRANSLATE(B273, ""en"", ""hi"")"),"यदि कोई रेडर बोनस लाइन को छूता है और लॉबी क्षेत्र में प्रवेश कर रहे डिफेंडर द्वारा तुरंत उसे टैकल कर लिया जाता है तो क्या होगा?")</f>
        <v>यदि कोई रेडर बोनस लाइन को छूता है और लॉबी क्षेत्र में प्रवेश कर रहे डिफेंडर द्वारा तुरंत उसे टैकल कर लिया जाता है तो क्या होगा?</v>
      </c>
      <c r="H273" s="3" t="str">
        <f>IFERROR(__xludf.DUMMYFUNCTION("GOOGLETRANSLATE(C273,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73" s="3" t="str">
        <f>IFERROR(__xludf.DUMMYFUNCTION("GOOGLETRANSLATE(D273, ""en"", ""hi"")"),"B) डिफेंडर आउट हो गया है, C) रेडर आउट हो गया है")</f>
        <v>B) डिफेंडर आउट हो गया है, C) रेडर आउट हो गया है</v>
      </c>
    </row>
    <row r="274" ht="22.5" customHeight="1">
      <c r="A274" s="2">
        <v>273.0</v>
      </c>
      <c r="B274" s="3" t="s">
        <v>555</v>
      </c>
      <c r="C274" s="3" t="s">
        <v>556</v>
      </c>
      <c r="D274" s="3" t="s">
        <v>501</v>
      </c>
      <c r="F274" s="3" t="str">
        <f>IFERROR(__xludf.DUMMYFUNCTION("GOOGLETRANSLATE(A274, ""en"", ""hi"")"),"273")</f>
        <v>273</v>
      </c>
      <c r="G274" s="3" t="str">
        <f>IFERROR(__xludf.DUMMYFUNCTION("GOOGLETRANSLATE(B274, ""en"", ""hi"")"),"यदि कोई डिफेंडर किसी रेडर को तब टैकल करता है जब उसका पैर लॉबी क्षेत्र में हो और रेडर ने दो डिफेंडरों को छू लिया हो, तो परिणाम क्या होगा?")</f>
        <v>यदि कोई डिफेंडर किसी रेडर को तब टैकल करता है जब उसका पैर लॉबी क्षेत्र में हो और रेडर ने दो डिफेंडरों को छू लिया हो, तो परिणाम क्या होगा?</v>
      </c>
      <c r="H274" s="3" t="str">
        <f>IFERROR(__xludf.DUMMYFUNCTION("GOOGLETRANSLATE(C274, ""en"", ""hi"")"),"A) रेडर को 2 अंक मिलते हैं, B) डिफेंडर आउट हो जाता है, C) रेडर आउट हो जाता है, D) रेड की समीक्षा की जाती है")</f>
        <v>A) रेडर को 2 अंक मिलते हैं, B) डिफेंडर आउट हो जाता है, C) रेडर आउट हो जाता है, D) रेड की समीक्षा की जाती है</v>
      </c>
      <c r="I274" s="3" t="str">
        <f>IFERROR(__xludf.DUMMYFUNCTION("GOOGLETRANSLATE(D274, ""en"", ""hi"")"),"B) डिफेंडर आउट हो गया है, C) रेडर आउट हो गया है")</f>
        <v>B) डिफेंडर आउट हो गया है, C) रेडर आउट हो गया है</v>
      </c>
    </row>
    <row r="275" ht="22.5" customHeight="1">
      <c r="A275" s="2">
        <v>274.0</v>
      </c>
      <c r="B275" s="3" t="s">
        <v>557</v>
      </c>
      <c r="C275" s="3" t="s">
        <v>475</v>
      </c>
      <c r="D275" s="3" t="s">
        <v>496</v>
      </c>
      <c r="F275" s="3" t="str">
        <f>IFERROR(__xludf.DUMMYFUNCTION("GOOGLETRANSLATE(A275, ""en"", ""hi"")"),"274")</f>
        <v>274</v>
      </c>
      <c r="G275" s="3" t="str">
        <f>IFERROR(__xludf.DUMMYFUNCTION("GOOGLETRANSLATE(B275, ""en"", ""hi"")"),"रेड के दौरान, यदि कोई रेडर किसी डिफेंडर को छू लेता है और उसे ऐसे डिफेंडर द्वारा टैकल कर दिया जाता है जो बाउंड्स में है लेकिन खेल क्षेत्र से बाहर है, तो क्या होगा?")</f>
        <v>रेड के दौरान, यदि कोई रेडर किसी डिफेंडर को छू लेता है और उसे ऐसे डिफेंडर द्वारा टैकल कर दिया जाता है जो बाउंड्स में है लेकिन खेल क्षेत्र से बाहर है, तो क्या होगा?</v>
      </c>
      <c r="H275" s="3" t="str">
        <f>IFERROR(__xludf.DUMMYFUNCTION("GOOGLETRANSLATE(C275,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75" s="3" t="str">
        <f>IFERROR(__xludf.DUMMYFUNCTION("GOOGLETRANSLATE(D275, ""en"", ""hi"")"),"A) रेडर को 1 अंक मिलता है, B) डिफेंडर आउट हो जाता है")</f>
        <v>A) रेडर को 1 अंक मिलता है, B) डिफेंडर आउट हो जाता है</v>
      </c>
    </row>
    <row r="276" ht="22.5" customHeight="1">
      <c r="A276" s="2">
        <v>275.0</v>
      </c>
      <c r="B276" s="3" t="s">
        <v>558</v>
      </c>
      <c r="C276" s="3" t="s">
        <v>465</v>
      </c>
      <c r="D276" s="3" t="s">
        <v>559</v>
      </c>
      <c r="F276" s="3" t="str">
        <f>IFERROR(__xludf.DUMMYFUNCTION("GOOGLETRANSLATE(A276, ""en"", ""hi"")"),"275")</f>
        <v>275</v>
      </c>
      <c r="G276" s="3" t="str">
        <f>IFERROR(__xludf.DUMMYFUNCTION("GOOGLETRANSLATE(B276, ""en"", ""hi"")"),"यदि कोई रेडर मध्य रेखा को पार कर जाता है और दो डिफेंडरों को छू लेता है, लेकिन उसे एक डिफेंडर द्वारा टैकल कर लिया जाता है जो सीमा से बाहर है, तो क्या होगा?")</f>
        <v>यदि कोई रेडर मध्य रेखा को पार कर जाता है और दो डिफेंडरों को छू लेता है, लेकिन उसे एक डिफेंडर द्वारा टैकल कर लिया जाता है जो सीमा से बाहर है, तो क्या होगा?</v>
      </c>
      <c r="H276" s="3" t="str">
        <f>IFERROR(__xludf.DUMMYFUNCTION("GOOGLETRANSLATE(C276, ""en"", ""hi"")"),"A) रेडर को 2 अंक मिलते हैं, B) रेडर आउट हो जाता है, C) डिफेंडर आउट हो जाता है, D) रेड की समीक्षा की जाती है")</f>
        <v>A) रेडर को 2 अंक मिलते हैं, B) रेडर आउट हो जाता है, C) डिफेंडर आउट हो जाता है, D) रेड की समीक्षा की जाती है</v>
      </c>
      <c r="I276" s="3" t="str">
        <f>IFERROR(__xludf.DUMMYFUNCTION("GOOGLETRANSLATE(D276, ""en"", ""hi"")"),"A) रेडर को 2 अंक मिलते हैं, C) डिफेंडर आउट हो जाता है")</f>
        <v>A) रेडर को 2 अंक मिलते हैं, C) डिफेंडर आउट हो जाता है</v>
      </c>
    </row>
    <row r="277" ht="22.5" customHeight="1">
      <c r="A277" s="2">
        <v>276.0</v>
      </c>
      <c r="B277" s="3" t="s">
        <v>560</v>
      </c>
      <c r="C277" s="3" t="s">
        <v>441</v>
      </c>
      <c r="D277" s="3" t="s">
        <v>496</v>
      </c>
      <c r="F277" s="3" t="str">
        <f>IFERROR(__xludf.DUMMYFUNCTION("GOOGLETRANSLATE(A277, ""en"", ""hi"")"),"276")</f>
        <v>276</v>
      </c>
      <c r="G277" s="3" t="str">
        <f>IFERROR(__xludf.DUMMYFUNCTION("GOOGLETRANSLATE(B277, ""en"", ""hi"")"),"यदि कोई रेडर सीमा से बाहर निकलते समय डिफेंडर द्वारा टैकल किया जाता है और रेडर ने एक डिफेंडर को छू लिया है, तो परिणाम क्या होगा?")</f>
        <v>यदि कोई रेडर सीमा से बाहर निकलते समय डिफेंडर द्वारा टैकल किया जाता है और रेडर ने एक डिफेंडर को छू लिया है, तो परिणाम क्या होगा?</v>
      </c>
      <c r="H277" s="3" t="str">
        <f>IFERROR(__xludf.DUMMYFUNCTION("GOOGLETRANSLATE(C277,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77" s="3" t="str">
        <f>IFERROR(__xludf.DUMMYFUNCTION("GOOGLETRANSLATE(D277, ""en"", ""hi"")"),"A) रेडर को 1 अंक मिलता है, B) डिफेंडर आउट हो जाता है")</f>
        <v>A) रेडर को 1 अंक मिलता है, B) डिफेंडर आउट हो जाता है</v>
      </c>
    </row>
    <row r="278" ht="22.5" customHeight="1">
      <c r="A278" s="2">
        <v>277.0</v>
      </c>
      <c r="B278" s="3" t="s">
        <v>561</v>
      </c>
      <c r="C278" s="3" t="s">
        <v>475</v>
      </c>
      <c r="D278" s="3" t="s">
        <v>501</v>
      </c>
      <c r="F278" s="3" t="str">
        <f>IFERROR(__xludf.DUMMYFUNCTION("GOOGLETRANSLATE(A278, ""en"", ""hi"")"),"277")</f>
        <v>277</v>
      </c>
      <c r="G278" s="3" t="str">
        <f>IFERROR(__xludf.DUMMYFUNCTION("GOOGLETRANSLATE(B278, ""en"", ""hi"")"),"कबड्डी मैच के दौरान, यदि कोई रेडर बोनस लाइन को छूता है और उसे एक डिफेंडर द्वारा टैकल कर दिया जाता है, जिसका पैर लॉबी क्षेत्र में है, तो परिणाम क्या होगा?")</f>
        <v>कबड्डी मैच के दौरान, यदि कोई रेडर बोनस लाइन को छूता है और उसे एक डिफेंडर द्वारा टैकल कर दिया जाता है, जिसका पैर लॉबी क्षेत्र में है, तो परिणाम क्या होगा?</v>
      </c>
      <c r="H278" s="3" t="str">
        <f>IFERROR(__xludf.DUMMYFUNCTION("GOOGLETRANSLATE(C278,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78" s="3" t="str">
        <f>IFERROR(__xludf.DUMMYFUNCTION("GOOGLETRANSLATE(D278, ""en"", ""hi"")"),"B) डिफेंडर आउट हो गया है, C) रेडर आउट हो गया है")</f>
        <v>B) डिफेंडर आउट हो गया है, C) रेडर आउट हो गया है</v>
      </c>
    </row>
    <row r="279" ht="22.5" customHeight="1">
      <c r="A279" s="2">
        <v>278.0</v>
      </c>
      <c r="B279" s="3" t="s">
        <v>562</v>
      </c>
      <c r="C279" s="3" t="s">
        <v>397</v>
      </c>
      <c r="D279" s="3" t="s">
        <v>496</v>
      </c>
      <c r="F279" s="3" t="str">
        <f>IFERROR(__xludf.DUMMYFUNCTION("GOOGLETRANSLATE(A279, ""en"", ""hi"")"),"278")</f>
        <v>278</v>
      </c>
      <c r="G279" s="3" t="str">
        <f>IFERROR(__xludf.DUMMYFUNCTION("GOOGLETRANSLATE(B279, ""en"", ""hi"")"),"यदि कोई रेडर सफल टच करता है और उसे तुरंत ही सीमा से बाहर निकल रहे डिफेंडर द्वारा टैकल कर लिया जाता है तो परिणाम क्या होगा?")</f>
        <v>यदि कोई रेडर सफल टच करता है और उसे तुरंत ही सीमा से बाहर निकल रहे डिफेंडर द्वारा टैकल कर लिया जाता है तो परिणाम क्या होगा?</v>
      </c>
      <c r="H279" s="3" t="str">
        <f>IFERROR(__xludf.DUMMYFUNCTION("GOOGLETRANSLATE(C279,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79" s="3" t="str">
        <f>IFERROR(__xludf.DUMMYFUNCTION("GOOGLETRANSLATE(D279, ""en"", ""hi"")"),"A) रेडर को 1 अंक मिलता है, B) डिफेंडर आउट हो जाता है")</f>
        <v>A) रेडर को 1 अंक मिलता है, B) डिफेंडर आउट हो जाता है</v>
      </c>
    </row>
    <row r="280" ht="22.5" customHeight="1">
      <c r="A280" s="2">
        <v>279.0</v>
      </c>
      <c r="B280" s="3" t="s">
        <v>563</v>
      </c>
      <c r="C280" s="3" t="s">
        <v>523</v>
      </c>
      <c r="D280" s="3" t="s">
        <v>517</v>
      </c>
      <c r="F280" s="3" t="str">
        <f>IFERROR(__xludf.DUMMYFUNCTION("GOOGLETRANSLATE(A280, ""en"", ""hi"")"),"279")</f>
        <v>279</v>
      </c>
      <c r="G280" s="3" t="str">
        <f>IFERROR(__xludf.DUMMYFUNCTION("GOOGLETRANSLATE(B280, ""en"", ""hi"")"),"यदि कोई रेडर बोनस लाइन को छूने के बाद टैकल हो जाता है, लेकिन मिडलाइन को पार नहीं करता है और डिफेंडर बाउंड्स में है, तो क्या होगा?")</f>
        <v>यदि कोई रेडर बोनस लाइन को छूने के बाद टैकल हो जाता है, लेकिन मिडलाइन को पार नहीं करता है और डिफेंडर बाउंड्स में है, तो क्या होगा?</v>
      </c>
      <c r="H280" s="3" t="str">
        <f>IFERROR(__xludf.DUMMYFUNCTION("GOOGLETRANSLATE(C280, ""en"", ""hi"")"),"A) रेडर 1 अंक अर्जित करता है, B) रेडर आउट हो जाता है, C) डिफेंडर आउट हो जाता है, D) रेड जारी रहती है")</f>
        <v>A) रेडर 1 अंक अर्जित करता है, B) रेडर आउट हो जाता है, C) डिफेंडर आउट हो जाता है, D) रेड जारी रहती है</v>
      </c>
      <c r="I280" s="3" t="str">
        <f>IFERROR(__xludf.DUMMYFUNCTION("GOOGLETRANSLATE(D280, ""en"", ""hi"")"),"A) रेडर को 1 अंक मिलता है, C) डिफेंडर आउट हो जाता है")</f>
        <v>A) रेडर को 1 अंक मिलता है, C) डिफेंडर आउट हो जाता है</v>
      </c>
    </row>
    <row r="281" ht="22.5" customHeight="1">
      <c r="A281" s="2">
        <v>280.0</v>
      </c>
      <c r="B281" s="3" t="s">
        <v>564</v>
      </c>
      <c r="C281" s="3" t="s">
        <v>550</v>
      </c>
      <c r="D281" s="3" t="s">
        <v>551</v>
      </c>
      <c r="F281" s="3" t="str">
        <f>IFERROR(__xludf.DUMMYFUNCTION("GOOGLETRANSLATE(A281, ""en"", ""hi"")"),"280")</f>
        <v>280</v>
      </c>
      <c r="G281" s="3" t="str">
        <f>IFERROR(__xludf.DUMMYFUNCTION("GOOGLETRANSLATE(B281, ""en"", ""hi"")"),"कबड्डी रेड के दौरान, यदि कोई रेडर दो डिफेंडरों को छू लेता है और उसे तीसरे डिफेंडर द्वारा टैकल कर दिया जाता है जो कि सीमा से बाहर है, तो परिणाम क्या होगा?")</f>
        <v>कबड्डी रेड के दौरान, यदि कोई रेडर दो डिफेंडरों को छू लेता है और उसे तीसरे डिफेंडर द्वारा टैकल कर दिया जाता है जो कि सीमा से बाहर है, तो परिणाम क्या होगा?</v>
      </c>
      <c r="H281" s="3" t="str">
        <f>IFERROR(__xludf.DUMMYFUNCTION("GOOGLETRANSLATE(C281, ""en"", ""hi"")"),"A) रेडर को 2 अंक मिलते हैं, B) तीसरा डिफेंडर आउट हो जाता है, C) रेडर आउट हो जाता है, D) रेड की समीक्षा की जाती है")</f>
        <v>A) रेडर को 2 अंक मिलते हैं, B) तीसरा डिफेंडर आउट हो जाता है, C) रेडर आउट हो जाता है, D) रेड की समीक्षा की जाती है</v>
      </c>
      <c r="I281" s="3" t="str">
        <f>IFERROR(__xludf.DUMMYFUNCTION("GOOGLETRANSLATE(D281, ""en"", ""hi"")"),"A) रेडर को 2 अंक मिलते हैं, B) तीसरा डिफेंडर आउट हो जाता है")</f>
        <v>A) रेडर को 2 अंक मिलते हैं, B) तीसरा डिफेंडर आउट हो जाता है</v>
      </c>
    </row>
    <row r="282" ht="22.5" customHeight="1">
      <c r="A282" s="2">
        <v>281.0</v>
      </c>
      <c r="B282" s="3" t="s">
        <v>565</v>
      </c>
      <c r="C282" s="3" t="s">
        <v>441</v>
      </c>
      <c r="D282" s="3" t="s">
        <v>496</v>
      </c>
      <c r="F282" s="3" t="str">
        <f>IFERROR(__xludf.DUMMYFUNCTION("GOOGLETRANSLATE(A282, ""en"", ""hi"")"),"281")</f>
        <v>281</v>
      </c>
      <c r="G282" s="3" t="str">
        <f>IFERROR(__xludf.DUMMYFUNCTION("GOOGLETRANSLATE(B282, ""en"", ""hi"")"),"यदि किसी रेडर को किसी डिफेंडर द्वारा टैकल किया जाता है जिसका पैर मिडलाइन पर है और रेडर ने एक डिफेंडर को छू लिया है तो क्या होगा?")</f>
        <v>यदि किसी रेडर को किसी डिफेंडर द्वारा टैकल किया जाता है जिसका पैर मिडलाइन पर है और रेडर ने एक डिफेंडर को छू लिया है तो क्या होगा?</v>
      </c>
      <c r="H282" s="3" t="str">
        <f>IFERROR(__xludf.DUMMYFUNCTION("GOOGLETRANSLATE(C282,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82" s="3" t="str">
        <f>IFERROR(__xludf.DUMMYFUNCTION("GOOGLETRANSLATE(D282, ""en"", ""hi"")"),"A) रेडर को 1 अंक मिलता है, B) डिफेंडर आउट हो जाता है")</f>
        <v>A) रेडर को 1 अंक मिलता है, B) डिफेंडर आउट हो जाता है</v>
      </c>
    </row>
    <row r="283" ht="22.5" customHeight="1">
      <c r="A283" s="2">
        <v>282.0</v>
      </c>
      <c r="B283" s="3" t="s">
        <v>566</v>
      </c>
      <c r="C283" s="3" t="s">
        <v>567</v>
      </c>
      <c r="D283" s="3" t="s">
        <v>568</v>
      </c>
      <c r="F283" s="3" t="str">
        <f>IFERROR(__xludf.DUMMYFUNCTION("GOOGLETRANSLATE(A283, ""en"", ""hi"")"),"282")</f>
        <v>282</v>
      </c>
      <c r="G283" s="3" t="str">
        <f>IFERROR(__xludf.DUMMYFUNCTION("GOOGLETRANSLATE(B283, ""en"", ""hi"")"),"कबड्डी मैच के दौरान, यदि कोई रेडर दो डिफेंडरों को छूता है और उसे एक डिफेंडर द्वारा टैकल किया जाता है जिसका पैर मिडलाइन पर है लेकिन बाउंड्स में नहीं है, तो परिणाम क्या होगा?")</f>
        <v>कबड्डी मैच के दौरान, यदि कोई रेडर दो डिफेंडरों को छूता है और उसे एक डिफेंडर द्वारा टैकल किया जाता है जिसका पैर मिडलाइन पर है लेकिन बाउंड्स में नहीं है, तो परिणाम क्या होगा?</v>
      </c>
      <c r="H283" s="3" t="str">
        <f>IFERROR(__xludf.DUMMYFUNCTION("GOOGLETRANSLATE(C283, ""en"", ""hi"")"),"A) रेडर को 2 अंक मिलते हैं, B) दूसरा डिफेंडर आउट हो जाता है, C) मिडलाइन पर मौजूद डिफेंडर आउट हो जाता है, D) रेडर आउट हो जाता है")</f>
        <v>A) रेडर को 2 अंक मिलते हैं, B) दूसरा डिफेंडर आउट हो जाता है, C) मिडलाइन पर मौजूद डिफेंडर आउट हो जाता है, D) रेडर आउट हो जाता है</v>
      </c>
      <c r="I283" s="3" t="str">
        <f>IFERROR(__xludf.DUMMYFUNCTION("GOOGLETRANSLATE(D283, ""en"", ""hi"")"),"B) दूसरा डिफेंडर आउट हो गया है, C) मिडलाइन पर मौजूद डिफेंडर आउट हो गया है")</f>
        <v>B) दूसरा डिफेंडर आउट हो गया है, C) मिडलाइन पर मौजूद डिफेंडर आउट हो गया है</v>
      </c>
    </row>
    <row r="284" ht="22.5" customHeight="1">
      <c r="A284" s="2">
        <v>283.0</v>
      </c>
      <c r="B284" s="3" t="s">
        <v>569</v>
      </c>
      <c r="C284" s="3" t="s">
        <v>475</v>
      </c>
      <c r="D284" s="3" t="s">
        <v>501</v>
      </c>
      <c r="F284" s="3" t="str">
        <f>IFERROR(__xludf.DUMMYFUNCTION("GOOGLETRANSLATE(A284, ""en"", ""hi"")"),"283")</f>
        <v>283</v>
      </c>
      <c r="G284" s="3" t="str">
        <f>IFERROR(__xludf.DUMMYFUNCTION("GOOGLETRANSLATE(B284, ""en"", ""hi"")"),"यदि कोई रेडर सफलतापूर्वक एक डिफेंडर को छू लेता है और उसे एक डिफेंडर द्वारा टैकल कर दिया जाता है जिसका पैर लॉबी क्षेत्र में है, तो क्या होगा?")</f>
        <v>यदि कोई रेडर सफलतापूर्वक एक डिफेंडर को छू लेता है और उसे एक डिफेंडर द्वारा टैकल कर दिया जाता है जिसका पैर लॉबी क्षेत्र में है, तो क्या होगा?</v>
      </c>
      <c r="H284" s="3" t="str">
        <f>IFERROR(__xludf.DUMMYFUNCTION("GOOGLETRANSLATE(C284,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84" s="3" t="str">
        <f>IFERROR(__xludf.DUMMYFUNCTION("GOOGLETRANSLATE(D284, ""en"", ""hi"")"),"B) डिफेंडर आउट हो गया है, C) रेडर आउट हो गया है")</f>
        <v>B) डिफेंडर आउट हो गया है, C) रेडर आउट हो गया है</v>
      </c>
    </row>
    <row r="285" ht="22.5" customHeight="1">
      <c r="A285" s="2">
        <v>284.0</v>
      </c>
      <c r="B285" s="3" t="s">
        <v>570</v>
      </c>
      <c r="C285" s="3" t="s">
        <v>397</v>
      </c>
      <c r="D285" s="3" t="s">
        <v>496</v>
      </c>
      <c r="F285" s="3" t="str">
        <f>IFERROR(__xludf.DUMMYFUNCTION("GOOGLETRANSLATE(A285, ""en"", ""hi"")"),"284")</f>
        <v>284</v>
      </c>
      <c r="G285" s="3" t="str">
        <f>IFERROR(__xludf.DUMMYFUNCTION("GOOGLETRANSLATE(B285, ""en"", ""hi"")"),"यदि कोई रेडर बोनस लाइन को छूता है और उसे किसी डिफेंडर द्वारा टैकल कर दिया जाता है जो सीमा से बाहर निकल रहा है लेकिन अभी भी खेल में है तो क्या होगा?")</f>
        <v>यदि कोई रेडर बोनस लाइन को छूता है और उसे किसी डिफेंडर द्वारा टैकल कर दिया जाता है जो सीमा से बाहर निकल रहा है लेकिन अभी भी खेल में है तो क्या होगा?</v>
      </c>
      <c r="H285" s="3" t="str">
        <f>IFERROR(__xludf.DUMMYFUNCTION("GOOGLETRANSLATE(C285,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85" s="3" t="str">
        <f>IFERROR(__xludf.DUMMYFUNCTION("GOOGLETRANSLATE(D285, ""en"", ""hi"")"),"A) रेडर को 1 अंक मिलता है, B) डिफेंडर आउट हो जाता है")</f>
        <v>A) रेडर को 1 अंक मिलता है, B) डिफेंडर आउट हो जाता है</v>
      </c>
    </row>
    <row r="286" ht="22.5" customHeight="1">
      <c r="A286" s="2">
        <v>285.0</v>
      </c>
      <c r="B286" s="3" t="s">
        <v>571</v>
      </c>
      <c r="C286" s="3" t="s">
        <v>572</v>
      </c>
      <c r="D286" s="3" t="s">
        <v>527</v>
      </c>
      <c r="F286" s="3" t="str">
        <f>IFERROR(__xludf.DUMMYFUNCTION("GOOGLETRANSLATE(A286, ""en"", ""hi"")"),"285")</f>
        <v>285</v>
      </c>
      <c r="G286" s="3" t="str">
        <f>IFERROR(__xludf.DUMMYFUNCTION("GOOGLETRANSLATE(B286, ""en"", ""hi"")"),"यदि कोई रेडर तीन डिफेंडरों को छूता है और उसे एक डिफेंडर द्वारा टैकल किया जाता है जो लाइन पर है लेकिन बाउंड्स में नहीं है, तो परिणाम क्या होगा?")</f>
        <v>यदि कोई रेडर तीन डिफेंडरों को छूता है और उसे एक डिफेंडर द्वारा टैकल किया जाता है जो लाइन पर है लेकिन बाउंड्स में नहीं है, तो परिणाम क्या होगा?</v>
      </c>
      <c r="H286" s="3" t="str">
        <f>IFERROR(__xludf.DUMMYFUNCTION("GOOGLETRANSLATE(C286, ""en"", ""hi"")"),"A) रेडर 3 अंक अर्जित करता है, B) तीसरा डिफेंडर आउट हो जाता है, C) रेडर आउट हो जाता है, D) रेड जारी रहती है")</f>
        <v>A) रेडर 3 अंक अर्जित करता है, B) तीसरा डिफेंडर आउट हो जाता है, C) रेडर आउट हो जाता है, D) रेड जारी रहती है</v>
      </c>
      <c r="I286" s="3" t="str">
        <f>IFERROR(__xludf.DUMMYFUNCTION("GOOGLETRANSLATE(D286, ""en"", ""hi"")"),"B) तीसरा डिफेंडर आउट हो गया है, C) रेडर आउट हो गया है")</f>
        <v>B) तीसरा डिफेंडर आउट हो गया है, C) रेडर आउट हो गया है</v>
      </c>
    </row>
    <row r="287" ht="22.5" customHeight="1">
      <c r="A287" s="2">
        <v>286.0</v>
      </c>
      <c r="B287" s="3" t="s">
        <v>573</v>
      </c>
      <c r="C287" s="3" t="s">
        <v>236</v>
      </c>
      <c r="D287" s="3" t="s">
        <v>501</v>
      </c>
      <c r="F287" s="3" t="str">
        <f>IFERROR(__xludf.DUMMYFUNCTION("GOOGLETRANSLATE(A287, ""en"", ""hi"")"),"286")</f>
        <v>286</v>
      </c>
      <c r="G287" s="3" t="str">
        <f>IFERROR(__xludf.DUMMYFUNCTION("GOOGLETRANSLATE(B287, ""en"", ""hi"")"),"कबड्डी रेड के दौरान, यदि कोई रेडर बोनस लाइन को छूता है और लॉबी क्षेत्र में प्रवेश कर रहे डिफेंडर द्वारा उसे टैकल कर दिया जाता है, तो क्या होगा?")</f>
        <v>कबड्डी रेड के दौरान, यदि कोई रेडर बोनस लाइन को छूता है और लॉबी क्षेत्र में प्रवेश कर रहे डिफेंडर द्वारा उसे टैकल कर दिया जाता है, तो क्या होगा?</v>
      </c>
      <c r="H287" s="3" t="str">
        <f>IFERROR(__xludf.DUMMYFUNCTION("GOOGLETRANSLATE(C287, ""en"", ""hi"")"),"A) रेडर को 1 अंक मिलता है, B) डिफेंडर आउट हो जाता है, C) रेडर आउट हो जाता है, D) रेड अमान्य हो जाती है")</f>
        <v>A) रेडर को 1 अंक मिलता है, B) डिफेंडर आउट हो जाता है, C) रेडर आउट हो जाता है, D) रेड अमान्य हो जाती है</v>
      </c>
      <c r="I287" s="3" t="str">
        <f>IFERROR(__xludf.DUMMYFUNCTION("GOOGLETRANSLATE(D287, ""en"", ""hi"")"),"B) डिफेंडर आउट हो गया है, C) रेडर आउट हो गया है")</f>
        <v>B) डिफेंडर आउट हो गया है, C) रेडर आउट हो गया है</v>
      </c>
    </row>
    <row r="288" ht="22.5" customHeight="1">
      <c r="A288" s="2">
        <v>287.0</v>
      </c>
      <c r="B288" s="3" t="s">
        <v>574</v>
      </c>
      <c r="C288" s="3" t="s">
        <v>575</v>
      </c>
      <c r="D288" s="3" t="s">
        <v>576</v>
      </c>
      <c r="F288" s="3" t="str">
        <f>IFERROR(__xludf.DUMMYFUNCTION("GOOGLETRANSLATE(A288, ""en"", ""hi"")"),"287")</f>
        <v>287</v>
      </c>
      <c r="G288" s="3" t="str">
        <f>IFERROR(__xludf.DUMMYFUNCTION("GOOGLETRANSLATE(B288, ""en"", ""hi"")"),"क्या होगा यदि किसी रेडर को ऐसे डिफेंडर द्वारा टैकल किया जाए जिसका पैर मिडलाइन पर हो, जबकि रेडर ने दो डिफेंडरों को छू लिया हो?")</f>
        <v>क्या होगा यदि किसी रेडर को ऐसे डिफेंडर द्वारा टैकल किया जाए जिसका पैर मिडलाइन पर हो, जबकि रेडर ने दो डिफेंडरों को छू लिया हो?</v>
      </c>
      <c r="H288" s="3" t="str">
        <f>IFERROR(__xludf.DUMMYFUNCTION("GOOGLETRANSLATE(C288, ""en"", ""hi"")"),"A) रेडर को 2 अंक मिलते हैं, B) मिडलाइन पर डिफेंडर आउट हो जाता है, C) दूसरा डिफेंडर आउट हो जाता है, D) रेडर आउट हो जाता है")</f>
        <v>A) रेडर को 2 अंक मिलते हैं, B) मिडलाइन पर डिफेंडर आउट हो जाता है, C) दूसरा डिफेंडर आउट हो जाता है, D) रेडर आउट हो जाता है</v>
      </c>
      <c r="I288" s="3" t="str">
        <f>IFERROR(__xludf.DUMMYFUNCTION("GOOGLETRANSLATE(D288, ""en"", ""hi"")"),"B) मध्य रेखा पर मौजूद डिफेंडर आउट हो गया है, C) दूसरा डिफेंडर आउट हो गया है")</f>
        <v>B) मध्य रेखा पर मौजूद डिफेंडर आउट हो गया है, C) दूसरा डिफेंडर आउट हो गया है</v>
      </c>
    </row>
    <row r="289" ht="22.5" customHeight="1">
      <c r="A289" s="2">
        <v>288.0</v>
      </c>
      <c r="B289" s="3" t="s">
        <v>577</v>
      </c>
      <c r="C289" s="3" t="s">
        <v>475</v>
      </c>
      <c r="D289" s="3" t="s">
        <v>496</v>
      </c>
      <c r="F289" s="3" t="str">
        <f>IFERROR(__xludf.DUMMYFUNCTION("GOOGLETRANSLATE(A289, ""en"", ""hi"")"),"288")</f>
        <v>288</v>
      </c>
      <c r="G289" s="3" t="str">
        <f>IFERROR(__xludf.DUMMYFUNCTION("GOOGLETRANSLATE(B289, ""en"", ""hi"")"),"यदि कोई डिफेंडर किसी रेडर को टैकल करता है जिसका पैर बाउंड्स से बाहर है और रेडर ने एक डिफेंडर को छू लिया है, तो परिणाम क्या होगा?")</f>
        <v>यदि कोई डिफेंडर किसी रेडर को टैकल करता है जिसका पैर बाउंड्स से बाहर है और रेडर ने एक डिफेंडर को छू लिया है, तो परिणाम क्या होगा?</v>
      </c>
      <c r="H289" s="3" t="str">
        <f>IFERROR(__xludf.DUMMYFUNCTION("GOOGLETRANSLATE(C289,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89" s="3" t="str">
        <f>IFERROR(__xludf.DUMMYFUNCTION("GOOGLETRANSLATE(D289, ""en"", ""hi"")"),"A) रेडर को 1 अंक मिलता है, B) डिफेंडर आउट हो जाता है")</f>
        <v>A) रेडर को 1 अंक मिलता है, B) डिफेंडर आउट हो जाता है</v>
      </c>
    </row>
    <row r="290" ht="22.5" customHeight="1">
      <c r="A290" s="2">
        <v>289.0</v>
      </c>
      <c r="B290" s="3" t="s">
        <v>578</v>
      </c>
      <c r="C290" s="3" t="s">
        <v>579</v>
      </c>
      <c r="D290" s="3" t="s">
        <v>521</v>
      </c>
      <c r="F290" s="3" t="str">
        <f>IFERROR(__xludf.DUMMYFUNCTION("GOOGLETRANSLATE(A290, ""en"", ""hi"")"),"289")</f>
        <v>289</v>
      </c>
      <c r="G290" s="3" t="str">
        <f>IFERROR(__xludf.DUMMYFUNCTION("GOOGLETRANSLATE(B290, ""en"", ""hi"")"),"कबड्डी मैच के दौरान, यदि कोई रेडर दो डिफेंडरों को छू लेता है और उसे एक डिफेंडर द्वारा टैकल कर दिया जाता है जो कि बाउंड्स से बाहर है लेकिन अभी भी खेल में है, तो परिणाम क्या होगा?")</f>
        <v>कबड्डी मैच के दौरान, यदि कोई रेडर दो डिफेंडरों को छू लेता है और उसे एक डिफेंडर द्वारा टैकल कर दिया जाता है जो कि बाउंड्स से बाहर है लेकिन अभी भी खेल में है, तो परिणाम क्या होगा?</v>
      </c>
      <c r="H290" s="3" t="str">
        <f>IFERROR(__xludf.DUMMYFUNCTION("GOOGLETRANSLATE(C290, ""en"", ""hi"")"),"A) रेडर को 2 अंक मिलते हैं, B) दूसरा डिफेंडर आउट हो जाता है, C) बाउंड्स से बाहर का डिफेंडर आउट हो जाता है, D) रेड की समीक्षा की जाती है")</f>
        <v>A) रेडर को 2 अंक मिलते हैं, B) दूसरा डिफेंडर आउट हो जाता है, C) बाउंड्स से बाहर का डिफेंडर आउट हो जाता है, D) रेड की समीक्षा की जाती है</v>
      </c>
      <c r="I290" s="3" t="str">
        <f>IFERROR(__xludf.DUMMYFUNCTION("GOOGLETRANSLATE(D290, ""en"", ""hi"")"),"A) रेडर को 2 अंक मिलते हैं, B) दूसरा डिफेंडर आउट हो जाता है")</f>
        <v>A) रेडर को 2 अंक मिलते हैं, B) दूसरा डिफेंडर आउट हो जाता है</v>
      </c>
    </row>
    <row r="291" ht="22.5" customHeight="1">
      <c r="A291" s="2">
        <v>290.0</v>
      </c>
      <c r="B291" s="3" t="s">
        <v>580</v>
      </c>
      <c r="C291" s="3" t="s">
        <v>475</v>
      </c>
      <c r="D291" s="3" t="s">
        <v>501</v>
      </c>
      <c r="F291" s="3" t="str">
        <f>IFERROR(__xludf.DUMMYFUNCTION("GOOGLETRANSLATE(A291, ""en"", ""hi"")"),"290")</f>
        <v>290</v>
      </c>
      <c r="G291" s="3" t="str">
        <f>IFERROR(__xludf.DUMMYFUNCTION("GOOGLETRANSLATE(B291, ""en"", ""hi"")"),"यदि किसी रेडर को लॉबी क्षेत्र में मौजूद डिफेंडर द्वारा टैकल कर दिया जाता है और रेडर ने बोनस लाइन को छू लिया है तो क्या होगा?")</f>
        <v>यदि किसी रेडर को लॉबी क्षेत्र में मौजूद डिफेंडर द्वारा टैकल कर दिया जाता है और रेडर ने बोनस लाइन को छू लिया है तो क्या होगा?</v>
      </c>
      <c r="H291" s="3" t="str">
        <f>IFERROR(__xludf.DUMMYFUNCTION("GOOGLETRANSLATE(C291,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91" s="3" t="str">
        <f>IFERROR(__xludf.DUMMYFUNCTION("GOOGLETRANSLATE(D291, ""en"", ""hi"")"),"B) डिफेंडर आउट हो गया है, C) रेडर आउट हो गया है")</f>
        <v>B) डिफेंडर आउट हो गया है, C) रेडर आउट हो गया है</v>
      </c>
    </row>
    <row r="292" ht="22.5" customHeight="1">
      <c r="A292" s="2">
        <v>291.0</v>
      </c>
      <c r="B292" s="3" t="s">
        <v>581</v>
      </c>
      <c r="C292" s="3" t="s">
        <v>582</v>
      </c>
      <c r="D292" s="3" t="s">
        <v>583</v>
      </c>
      <c r="F292" s="3" t="str">
        <f>IFERROR(__xludf.DUMMYFUNCTION("GOOGLETRANSLATE(A292, ""en"", ""hi"")"),"291")</f>
        <v>291</v>
      </c>
      <c r="G292" s="3" t="str">
        <f>IFERROR(__xludf.DUMMYFUNCTION("GOOGLETRANSLATE(B292, ""en"", ""hi"")"),"यदि कोई रेडर तीन डिफेंडरों को छूने के बाद टैकल किया जाता है और चौथा डिफेंडर लाइन पर है लेकिन बाउंड्स में नहीं है, तो परिणाम क्या होगा?")</f>
        <v>यदि कोई रेडर तीन डिफेंडरों को छूने के बाद टैकल किया जाता है और चौथा डिफेंडर लाइन पर है लेकिन बाउंड्स में नहीं है, तो परिणाम क्या होगा?</v>
      </c>
      <c r="H292" s="3" t="str">
        <f>IFERROR(__xludf.DUMMYFUNCTION("GOOGLETRANSLATE(C292, ""en"", ""hi"")"),"A) रेडर को 3 अंक मिलते हैं, B) चौथा डिफेंडर आउट हो जाता है, C) रेडर आउट हो जाता है, D) रेड रद्द हो जाती है")</f>
        <v>A) रेडर को 3 अंक मिलते हैं, B) चौथा डिफेंडर आउट हो जाता है, C) रेडर आउट हो जाता है, D) रेड रद्द हो जाती है</v>
      </c>
      <c r="I292" s="3" t="str">
        <f>IFERROR(__xludf.DUMMYFUNCTION("GOOGLETRANSLATE(D292, ""en"", ""hi"")"),"B) चौथा डिफेंडर आउट हो गया है, C) रेडर आउट हो गया है")</f>
        <v>B) चौथा डिफेंडर आउट हो गया है, C) रेडर आउट हो गया है</v>
      </c>
    </row>
    <row r="293" ht="22.5" customHeight="1">
      <c r="A293" s="2">
        <v>292.0</v>
      </c>
      <c r="B293" s="3" t="s">
        <v>584</v>
      </c>
      <c r="C293" s="3" t="s">
        <v>397</v>
      </c>
      <c r="D293" s="3" t="s">
        <v>501</v>
      </c>
      <c r="F293" s="3" t="str">
        <f>IFERROR(__xludf.DUMMYFUNCTION("GOOGLETRANSLATE(A293, ""en"", ""hi"")"),"292")</f>
        <v>292</v>
      </c>
      <c r="G293" s="3" t="str">
        <f>IFERROR(__xludf.DUMMYFUNCTION("GOOGLETRANSLATE(B293, ""en"", ""hi"")"),"रेड के दौरान, यदि कोई रेडर बोनस लाइन को छूता है, लेकिन लॉबी क्षेत्र में प्रवेश कर रहे डिफेंडर द्वारा उसे रोक लिया जाता है, तो क्या होगा?")</f>
        <v>रेड के दौरान, यदि कोई रेडर बोनस लाइन को छूता है, लेकिन लॉबी क्षेत्र में प्रवेश कर रहे डिफेंडर द्वारा उसे रोक लिया जाता है, तो क्या होगा?</v>
      </c>
      <c r="H293" s="3" t="str">
        <f>IFERROR(__xludf.DUMMYFUNCTION("GOOGLETRANSLATE(C293,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93" s="3" t="str">
        <f>IFERROR(__xludf.DUMMYFUNCTION("GOOGLETRANSLATE(D293, ""en"", ""hi"")"),"B) डिफेंडर आउट हो गया है, C) रेडर आउट हो गया है")</f>
        <v>B) डिफेंडर आउट हो गया है, C) रेडर आउट हो गया है</v>
      </c>
    </row>
    <row r="294" ht="22.5" customHeight="1">
      <c r="A294" s="2">
        <v>293.0</v>
      </c>
      <c r="B294" s="3" t="s">
        <v>585</v>
      </c>
      <c r="C294" s="3" t="s">
        <v>441</v>
      </c>
      <c r="D294" s="3" t="s">
        <v>501</v>
      </c>
      <c r="F294" s="3" t="str">
        <f>IFERROR(__xludf.DUMMYFUNCTION("GOOGLETRANSLATE(A294, ""en"", ""hi"")"),"293")</f>
        <v>293</v>
      </c>
      <c r="G294" s="3" t="str">
        <f>IFERROR(__xludf.DUMMYFUNCTION("GOOGLETRANSLATE(B294, ""en"", ""hi"")"),"यदि कोई डिफेंडर किसी रेडर को टैकल करता है जबकि डिफेंडर का पैर मिडलाइन पर है और रेडर ने एक डिफेंडर को छू लिया है, तो क्या होगा?")</f>
        <v>यदि कोई डिफेंडर किसी रेडर को टैकल करता है जबकि डिफेंडर का पैर मिडलाइन पर है और रेडर ने एक डिफेंडर को छू लिया है, तो क्या होगा?</v>
      </c>
      <c r="H294" s="3" t="str">
        <f>IFERROR(__xludf.DUMMYFUNCTION("GOOGLETRANSLATE(C294,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94" s="3" t="str">
        <f>IFERROR(__xludf.DUMMYFUNCTION("GOOGLETRANSLATE(D294, ""en"", ""hi"")"),"B) डिफेंडर आउट हो गया है, C) रेडर आउट हो गया है")</f>
        <v>B) डिफेंडर आउट हो गया है, C) रेडर आउट हो गया है</v>
      </c>
    </row>
    <row r="295" ht="22.5" customHeight="1">
      <c r="A295" s="2">
        <v>294.0</v>
      </c>
      <c r="B295" s="3" t="s">
        <v>586</v>
      </c>
      <c r="C295" s="3" t="s">
        <v>475</v>
      </c>
      <c r="D295" s="3" t="s">
        <v>501</v>
      </c>
      <c r="F295" s="3" t="str">
        <f>IFERROR(__xludf.DUMMYFUNCTION("GOOGLETRANSLATE(A295, ""en"", ""hi"")"),"294")</f>
        <v>294</v>
      </c>
      <c r="G295" s="3" t="str">
        <f>IFERROR(__xludf.DUMMYFUNCTION("GOOGLETRANSLATE(B295, ""en"", ""hi"")"),"यदि कोई रेडर सफल टच करता है और उसे तुरंत ही किसी डिफेंडर द्वारा टैकल कर लिया जाता है, जिसका पैर लॉबी क्षेत्र में है, तो क्या होगा?")</f>
        <v>यदि कोई रेडर सफल टच करता है और उसे तुरंत ही किसी डिफेंडर द्वारा टैकल कर लिया जाता है, जिसका पैर लॉबी क्षेत्र में है, तो क्या होगा?</v>
      </c>
      <c r="H295" s="3" t="str">
        <f>IFERROR(__xludf.DUMMYFUNCTION("GOOGLETRANSLATE(C295,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95" s="3" t="str">
        <f>IFERROR(__xludf.DUMMYFUNCTION("GOOGLETRANSLATE(D295, ""en"", ""hi"")"),"B) डिफेंडर आउट हो गया है, C) रेडर आउट हो गया है")</f>
        <v>B) डिफेंडर आउट हो गया है, C) रेडर आउट हो गया है</v>
      </c>
    </row>
    <row r="296" ht="22.5" customHeight="1">
      <c r="A296" s="2">
        <v>295.0</v>
      </c>
      <c r="B296" s="3" t="s">
        <v>587</v>
      </c>
      <c r="C296" s="3" t="s">
        <v>397</v>
      </c>
      <c r="D296" s="3" t="s">
        <v>496</v>
      </c>
      <c r="F296" s="3" t="str">
        <f>IFERROR(__xludf.DUMMYFUNCTION("GOOGLETRANSLATE(A296, ""en"", ""hi"")"),"295")</f>
        <v>295</v>
      </c>
      <c r="G296" s="3" t="str">
        <f>IFERROR(__xludf.DUMMYFUNCTION("GOOGLETRANSLATE(B296, ""en"", ""hi"")"),"कबड्डी मैच के दौरान, यदि किसी रेडर को ऐसे डिफेंडर द्वारा टैकल किया जाता है जो बाउंड्स से बाहर है और बोनस लाइन को छू चुका है, तो परिणाम क्या होगा?")</f>
        <v>कबड्डी मैच के दौरान, यदि किसी रेडर को ऐसे डिफेंडर द्वारा टैकल किया जाता है जो बाउंड्स से बाहर है और बोनस लाइन को छू चुका है, तो परिणाम क्या होगा?</v>
      </c>
      <c r="H296" s="3" t="str">
        <f>IFERROR(__xludf.DUMMYFUNCTION("GOOGLETRANSLATE(C296, ""en"", ""hi"")"),"A) रेडर को 1 अंक मिलता है, B) डिफेंडर आउट हो जाता है, C) रेडर आउट हो जाता है, D) रेड की समीक्षा की जाती है")</f>
        <v>A) रेडर को 1 अंक मिलता है, B) डिफेंडर आउट हो जाता है, C) रेडर आउट हो जाता है, D) रेड की समीक्षा की जाती है</v>
      </c>
      <c r="I296" s="3" t="str">
        <f>IFERROR(__xludf.DUMMYFUNCTION("GOOGLETRANSLATE(D296, ""en"", ""hi"")"),"A) रेडर को 1 अंक मिलता है, B) डिफेंडर आउट हो जाता है")</f>
        <v>A) रेडर को 1 अंक मिलता है, B) डिफेंडर आउट हो जाता है</v>
      </c>
    </row>
    <row r="297" ht="22.5" customHeight="1">
      <c r="A297" s="2">
        <v>296.0</v>
      </c>
      <c r="B297" s="3" t="s">
        <v>588</v>
      </c>
      <c r="C297" s="3" t="s">
        <v>589</v>
      </c>
      <c r="D297" s="3" t="s">
        <v>514</v>
      </c>
      <c r="F297" s="3" t="str">
        <f>IFERROR(__xludf.DUMMYFUNCTION("GOOGLETRANSLATE(A297, ""en"", ""hi"")"),"296")</f>
        <v>296</v>
      </c>
      <c r="G297" s="3" t="str">
        <f>IFERROR(__xludf.DUMMYFUNCTION("GOOGLETRANSLATE(B297, ""en"", ""hi"")"),"यदि किसी रेडर को लाइन पर खड़े डिफेंडर द्वारा टैकल किया जाता है और रेडर ने दो डिफेंडरों को छू लिया है तो क्या होगा?")</f>
        <v>यदि किसी रेडर को लाइन पर खड़े डिफेंडर द्वारा टैकल किया जाता है और रेडर ने दो डिफेंडरों को छू लिया है तो क्या होगा?</v>
      </c>
      <c r="H297" s="3" t="str">
        <f>IFERROR(__xludf.DUMMYFUNCTION("GOOGLETRANSLATE(C297, ""en"", ""hi"")"),"A) रेडर 2 अंक अर्जित करता है, B) दूसरा डिफेंडर आउट हो जाता है, C) रेडर आउट हो जाता है, D) रेड जारी रहती है")</f>
        <v>A) रेडर 2 अंक अर्जित करता है, B) दूसरा डिफेंडर आउट हो जाता है, C) रेडर आउट हो जाता है, D) रेड जारी रहती है</v>
      </c>
      <c r="I297" s="3" t="str">
        <f>IFERROR(__xludf.DUMMYFUNCTION("GOOGLETRANSLATE(D297, ""en"", ""hi"")"),"B) दूसरा डिफेंडर आउट हो गया है, C) रेडर आउट हो गया है")</f>
        <v>B) दूसरा डिफेंडर आउट हो गया है, C) रेडर आउट हो गया है</v>
      </c>
    </row>
    <row r="298" ht="22.5" customHeight="1">
      <c r="A298" s="2">
        <v>297.0</v>
      </c>
      <c r="B298" s="3" t="s">
        <v>590</v>
      </c>
      <c r="C298" s="3" t="s">
        <v>441</v>
      </c>
      <c r="D298" s="3" t="s">
        <v>496</v>
      </c>
      <c r="F298" s="3" t="str">
        <f>IFERROR(__xludf.DUMMYFUNCTION("GOOGLETRANSLATE(A298, ""en"", ""hi"")"),"297")</f>
        <v>297</v>
      </c>
      <c r="G298" s="3" t="str">
        <f>IFERROR(__xludf.DUMMYFUNCTION("GOOGLETRANSLATE(B298, ""en"", ""hi"")"),"यदि कोई डिफेंडर किसी रेडर को टैकल करता है जो सीमा से बाहर जा रहा है और रेडर ने एक डिफेंडर को छू लिया है, तो क्या होगा?")</f>
        <v>यदि कोई डिफेंडर किसी रेडर को टैकल करता है जो सीमा से बाहर जा रहा है और रेडर ने एक डिफेंडर को छू लिया है, तो क्या होगा?</v>
      </c>
      <c r="H298" s="3" t="str">
        <f>IFERROR(__xludf.DUMMYFUNCTION("GOOGLETRANSLATE(C298, ""en"", ""hi"")"),"A) रेडर को 1 अंक मिलता है, B) डिफेंडर आउट हो जाता है, C) रेडर आउट हो जाता है, D) रेड रद्द हो जाती है")</f>
        <v>A) रेडर को 1 अंक मिलता है, B) डिफेंडर आउट हो जाता है, C) रेडर आउट हो जाता है, D) रेड रद्द हो जाती है</v>
      </c>
      <c r="I298" s="3" t="str">
        <f>IFERROR(__xludf.DUMMYFUNCTION("GOOGLETRANSLATE(D298, ""en"", ""hi"")"),"A) रेडर को 1 अंक मिलता है, B) डिफेंडर आउट हो जाता है")</f>
        <v>A) रेडर को 1 अंक मिलता है, B) डिफेंडर आउट हो जाता है</v>
      </c>
    </row>
    <row r="299" ht="22.5" customHeight="1">
      <c r="A299" s="2">
        <v>298.0</v>
      </c>
      <c r="B299" s="3" t="s">
        <v>591</v>
      </c>
      <c r="C299" s="3" t="s">
        <v>475</v>
      </c>
      <c r="D299" s="3" t="s">
        <v>501</v>
      </c>
      <c r="F299" s="3" t="str">
        <f>IFERROR(__xludf.DUMMYFUNCTION("GOOGLETRANSLATE(A299, ""en"", ""hi"")"),"298")</f>
        <v>298</v>
      </c>
      <c r="G299" s="3" t="str">
        <f>IFERROR(__xludf.DUMMYFUNCTION("GOOGLETRANSLATE(B299, ""en"", ""hi"")"),"कबड्डी रेड के दौरान, यदि कोई रेडर बोनस लाइन को छूता है और उसे एक डिफेंडर द्वारा टैकल कर दिया जाता है, जिसका पैर लॉबी क्षेत्र में है, तो परिणाम क्या होगा?")</f>
        <v>कबड्डी रेड के दौरान, यदि कोई रेडर बोनस लाइन को छूता है और उसे एक डिफेंडर द्वारा टैकल कर दिया जाता है, जिसका पैर लॉबी क्षेत्र में है, तो परिणाम क्या होगा?</v>
      </c>
      <c r="H299" s="3" t="str">
        <f>IFERROR(__xludf.DUMMYFUNCTION("GOOGLETRANSLATE(C299,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299" s="3" t="str">
        <f>IFERROR(__xludf.DUMMYFUNCTION("GOOGLETRANSLATE(D299, ""en"", ""hi"")"),"B) डिफेंडर आउट हो गया है, C) रेडर आउट हो गया है")</f>
        <v>B) डिफेंडर आउट हो गया है, C) रेडर आउट हो गया है</v>
      </c>
    </row>
    <row r="300" ht="22.5" customHeight="1">
      <c r="A300" s="2">
        <v>299.0</v>
      </c>
      <c r="B300" s="3" t="s">
        <v>592</v>
      </c>
      <c r="C300" s="3" t="s">
        <v>556</v>
      </c>
      <c r="D300" s="3" t="s">
        <v>501</v>
      </c>
      <c r="F300" s="3" t="str">
        <f>IFERROR(__xludf.DUMMYFUNCTION("GOOGLETRANSLATE(A300, ""en"", ""hi"")"),"299")</f>
        <v>299</v>
      </c>
      <c r="G300" s="3" t="str">
        <f>IFERROR(__xludf.DUMMYFUNCTION("GOOGLETRANSLATE(B300, ""en"", ""hi"")"),"यदि कोई रेडर दो डिफेंडरों को छूता है और उसे एक डिफेंडर द्वारा टैकल कर दिया जाता है जो लॉबी क्षेत्र में प्रवेश कर रहा है लेकिन पूरी तरह से सीमा के अंदर नहीं है तो क्या होगा?")</f>
        <v>यदि कोई रेडर दो डिफेंडरों को छूता है और उसे एक डिफेंडर द्वारा टैकल कर दिया जाता है जो लॉबी क्षेत्र में प्रवेश कर रहा है लेकिन पूरी तरह से सीमा के अंदर नहीं है तो क्या होगा?</v>
      </c>
      <c r="H300" s="3" t="str">
        <f>IFERROR(__xludf.DUMMYFUNCTION("GOOGLETRANSLATE(C300, ""en"", ""hi"")"),"A) रेडर को 2 अंक मिलते हैं, B) डिफेंडर आउट हो जाता है, C) रेडर आउट हो जाता है, D) रेड की समीक्षा की जाती है")</f>
        <v>A) रेडर को 2 अंक मिलते हैं, B) डिफेंडर आउट हो जाता है, C) रेडर आउट हो जाता है, D) रेड की समीक्षा की जाती है</v>
      </c>
      <c r="I300" s="3" t="str">
        <f>IFERROR(__xludf.DUMMYFUNCTION("GOOGLETRANSLATE(D300, ""en"", ""hi"")"),"B) डिफेंडर आउट हो गया है, C) रेडर आउट हो गया है")</f>
        <v>B) डिफेंडर आउट हो गया है, C) रेडर आउट हो गया है</v>
      </c>
    </row>
    <row r="301" ht="22.5" customHeight="1">
      <c r="A301" s="2">
        <v>300.0</v>
      </c>
      <c r="B301" s="3" t="s">
        <v>593</v>
      </c>
      <c r="C301" s="3" t="s">
        <v>594</v>
      </c>
      <c r="D301" s="3" t="s">
        <v>595</v>
      </c>
      <c r="F301" s="3" t="str">
        <f>IFERROR(__xludf.DUMMYFUNCTION("GOOGLETRANSLATE(A301, ""en"", ""hi"")"),"300")</f>
        <v>300</v>
      </c>
      <c r="G301" s="3" t="str">
        <f>IFERROR(__xludf.DUMMYFUNCTION("GOOGLETRANSLATE(B301, ""en"", ""hi"")"),"यदि कोई डिफेंडर ऐसे रेडर को टैकल करता है जिसका पैर मिडलाइन पर है और रेडर ने तीन डिफेंडरों को छू लिया है, तो परिणाम क्या होगा?")</f>
        <v>यदि कोई डिफेंडर ऐसे रेडर को टैकल करता है जिसका पैर मिडलाइन पर है और रेडर ने तीन डिफेंडरों को छू लिया है, तो परिणाम क्या होगा?</v>
      </c>
      <c r="H301" s="3" t="str">
        <f>IFERROR(__xludf.DUMMYFUNCTION("GOOGLETRANSLATE(C301, ""en"", ""hi"")"),"A) रेडर को 3 अंक मिलते हैं, B) मिडलाइन पर डिफेंडर आउट हो जाता है, C) रेडर आउट हो जाता है, D) रेड अमान्य हो जाती है")</f>
        <v>A) रेडर को 3 अंक मिलते हैं, B) मिडलाइन पर डिफेंडर आउट हो जाता है, C) रेडर आउट हो जाता है, D) रेड अमान्य हो जाती है</v>
      </c>
      <c r="I301" s="3" t="str">
        <f>IFERROR(__xludf.DUMMYFUNCTION("GOOGLETRANSLATE(D301, ""en"", ""hi"")"),"B) मध्य रेखा पर डिफेंडर आउट हो गया है, C) रेडर आउट हो गया है")</f>
        <v>B) मध्य रेखा पर डिफेंडर आउट हो गया है, C) रेडर आउट हो गया है</v>
      </c>
    </row>
    <row r="302" ht="22.5" customHeight="1">
      <c r="A302" s="2">
        <v>301.0</v>
      </c>
      <c r="B302" s="3" t="s">
        <v>596</v>
      </c>
      <c r="C302" s="3" t="s">
        <v>475</v>
      </c>
      <c r="D302" s="3" t="s">
        <v>496</v>
      </c>
      <c r="F302" s="3" t="str">
        <f>IFERROR(__xludf.DUMMYFUNCTION("GOOGLETRANSLATE(A302, ""en"", ""hi"")"),"301")</f>
        <v>301</v>
      </c>
      <c r="G302" s="3" t="str">
        <f>IFERROR(__xludf.DUMMYFUNCTION("GOOGLETRANSLATE(B302, ""en"", ""hi"")"),"रेड के दौरान, यदि किसी रेडर को किसी डिफेंडर द्वारा टैकल किया जाता है जो कि बाउंड्स से बाहर है और रेडर ने बोनस लाइन को छू लिया है, तो क्या होगा?")</f>
        <v>रेड के दौरान, यदि किसी रेडर को किसी डिफेंडर द्वारा टैकल किया जाता है जो कि बाउंड्स से बाहर है और रेडर ने बोनस लाइन को छू लिया है, तो क्या होगा?</v>
      </c>
      <c r="H302" s="3" t="str">
        <f>IFERROR(__xludf.DUMMYFUNCTION("GOOGLETRANSLATE(C302, ""en"", ""hi"")"),"A) रेडर 1 अंक अर्जित करता है, B) डिफेंडर आउट हो जाता है, C) रेडर आउट हो जाता है, D) रेड जारी रहती है")</f>
        <v>A) रेडर 1 अंक अर्जित करता है, B) डिफेंडर आउट हो जाता है, C) रेडर आउट हो जाता है, D) रेड जारी रहती है</v>
      </c>
      <c r="I302" s="3" t="str">
        <f>IFERROR(__xludf.DUMMYFUNCTION("GOOGLETRANSLATE(D302, ""en"", ""hi"")"),"A) रेडर को 1 अंक मिलता है, B) डिफेंडर आउट हो जाता है")</f>
        <v>A) रेडर को 1 अंक मिलता है, B) डिफेंडर आउट हो जाता है</v>
      </c>
    </row>
    <row r="303" ht="22.5" customHeight="1">
      <c r="A303" s="2">
        <v>302.0</v>
      </c>
      <c r="B303" s="3" t="s">
        <v>597</v>
      </c>
      <c r="C303" s="3" t="s">
        <v>598</v>
      </c>
      <c r="D303" s="3" t="s">
        <v>599</v>
      </c>
      <c r="F303" s="3" t="str">
        <f>IFERROR(__xludf.DUMMYFUNCTION("GOOGLETRANSLATE(A303, ""en"", ""hi"")"),"302")</f>
        <v>302</v>
      </c>
      <c r="G303" s="3" t="str">
        <f>IFERROR(__xludf.DUMMYFUNCTION("GOOGLETRANSLATE(B303, ""en"", ""hi"")"),"एक पेशेवर कबड्डी मैच में, यदि कोई रेडर सफलतापूर्वक प्रतिद्वंद्वी को टैग कर देता है और टैग किए बिना अपने हाफ में वापस लौट जाता है, तो क्या होता है?")</f>
        <v>एक पेशेवर कबड्डी मैच में, यदि कोई रेडर सफलतापूर्वक प्रतिद्वंद्वी को टैग कर देता है और टैग किए बिना अपने हाफ में वापस लौट जाता है, तो क्या होता है?</v>
      </c>
      <c r="H303" s="3" t="str">
        <f>IFERROR(__xludf.DUMMYFUNCTION("GOOGLETRANSLATE(C303, ""en"", ""hi"")"),"A) रेडर को 2 अंक मिलते हैं, B) रेडर को 1 अंक मिलता है, C) रेडर आउट हो जाता है, D) प्रतिद्वंद्वी टीम को 2 अंक मिलते हैं")</f>
        <v>A) रेडर को 2 अंक मिलते हैं, B) रेडर को 1 अंक मिलता है, C) रेडर आउट हो जाता है, D) प्रतिद्वंद्वी टीम को 2 अंक मिलते हैं</v>
      </c>
      <c r="I303" s="3" t="str">
        <f>IFERROR(__xludf.DUMMYFUNCTION("GOOGLETRANSLATE(D303, ""en"", ""hi"")"),"B) रेडर को 1 अंक मिलता है")</f>
        <v>B) रेडर को 1 अंक मिलता है</v>
      </c>
    </row>
    <row r="304" ht="22.5" customHeight="1">
      <c r="A304" s="2">
        <v>303.0</v>
      </c>
      <c r="B304" s="3" t="s">
        <v>600</v>
      </c>
      <c r="C304" s="3" t="s">
        <v>601</v>
      </c>
      <c r="D304" s="3" t="s">
        <v>602</v>
      </c>
      <c r="F304" s="3" t="str">
        <f>IFERROR(__xludf.DUMMYFUNCTION("GOOGLETRANSLATE(A304, ""en"", ""hi"")"),"303")</f>
        <v>303</v>
      </c>
      <c r="G304" s="3" t="str">
        <f>IFERROR(__xludf.DUMMYFUNCTION("GOOGLETRANSLATE(B304, ""en"", ""hi"")"),"कबड्डी मैच के दौरान किसी भी समय प्रत्येक टीम के कितने खिलाड़ी मैदान पर होते हैं?")</f>
        <v>कबड्डी मैच के दौरान किसी भी समय प्रत्येक टीम के कितने खिलाड़ी मैदान पर होते हैं?</v>
      </c>
      <c r="H304" s="3" t="str">
        <f>IFERROR(__xludf.DUMMYFUNCTION("GOOGLETRANSLATE(C304, ""en"", ""hi"")"),"ए) 5, बी) 7, सी) 6, डी) 8")</f>
        <v>ए) 5, बी) 7, सी) 6, डी) 8</v>
      </c>
      <c r="I304" s="3" t="str">
        <f>IFERROR(__xludf.DUMMYFUNCTION("GOOGLETRANSLATE(D304, ""en"", ""hi"")"),"बी) 7")</f>
        <v>बी) 7</v>
      </c>
    </row>
    <row r="305" ht="22.5" customHeight="1">
      <c r="A305" s="2">
        <v>304.0</v>
      </c>
      <c r="B305" s="3" t="s">
        <v>603</v>
      </c>
      <c r="C305" s="3" t="s">
        <v>604</v>
      </c>
      <c r="D305" s="3" t="s">
        <v>605</v>
      </c>
      <c r="F305" s="3" t="str">
        <f>IFERROR(__xludf.DUMMYFUNCTION("GOOGLETRANSLATE(A305, ""en"", ""hi"")"),"304")</f>
        <v>304</v>
      </c>
      <c r="G305" s="3" t="str">
        <f>IFERROR(__xludf.DUMMYFUNCTION("GOOGLETRANSLATE(B305, ""en"", ""hi"")"),"यदि कोई कबड्डी खिलाड़ी रेड करते समय अपनी सांस रोककर 'कबड्डी' चिल्लाता है, तो इस तकनीक को क्या कहा जाता है?")</f>
        <v>यदि कोई कबड्डी खिलाड़ी रेड करते समय अपनी सांस रोककर 'कबड्डी' चिल्लाता है, तो इस तकनीक को क्या कहा जाता है?</v>
      </c>
      <c r="H305" s="3" t="str">
        <f>IFERROR(__xludf.DUMMYFUNCTION("GOOGLETRANSLATE(C305, ""en"", ""hi"")"),"ए) बोनस रेड, बी) सुपर रेड, सी) करो या मरो रेड, डी) चैंट्स")</f>
        <v>ए) बोनस रेड, बी) सुपर रेड, सी) करो या मरो रेड, डी) चैंट्स</v>
      </c>
      <c r="I305" s="3" t="str">
        <f>IFERROR(__xludf.DUMMYFUNCTION("GOOGLETRANSLATE(D305, ""en"", ""hi"")"),"D) मंत्रोच्चार")</f>
        <v>D) मंत्रोच्चार</v>
      </c>
    </row>
    <row r="306" ht="22.5" customHeight="1">
      <c r="A306" s="2">
        <v>305.0</v>
      </c>
      <c r="B306" s="3" t="s">
        <v>606</v>
      </c>
      <c r="C306" s="3" t="s">
        <v>607</v>
      </c>
      <c r="D306" s="3" t="s">
        <v>608</v>
      </c>
      <c r="F306" s="3" t="str">
        <f>IFERROR(__xludf.DUMMYFUNCTION("GOOGLETRANSLATE(A306, ""en"", ""hi"")"),"305")</f>
        <v>305</v>
      </c>
      <c r="G306" s="3" t="str">
        <f>IFERROR(__xludf.DUMMYFUNCTION("GOOGLETRANSLATE(B306, ""en"", ""hi"")"),"कबड्डी में एक टीम एक रेड में अधिकतम कितने अंक बना सकती है?")</f>
        <v>कबड्डी में एक टीम एक रेड में अधिकतम कितने अंक बना सकती है?</v>
      </c>
      <c r="H306" s="3" t="str">
        <f>IFERROR(__xludf.DUMMYFUNCTION("GOOGLETRANSLATE(C306, ""en"", ""hi"")"),"ए) 1, बी) 2, सी) 3, डी) 4")</f>
        <v>ए) 1, बी) 2, सी) 3, डी) 4</v>
      </c>
      <c r="I306" s="3" t="str">
        <f>IFERROR(__xludf.DUMMYFUNCTION("GOOGLETRANSLATE(D306, ""en"", ""hi"")"),"बी) 2")</f>
        <v>बी) 2</v>
      </c>
    </row>
    <row r="307" ht="22.5" customHeight="1">
      <c r="A307" s="2">
        <v>306.0</v>
      </c>
      <c r="B307" s="3" t="s">
        <v>609</v>
      </c>
      <c r="C307" s="3" t="s">
        <v>610</v>
      </c>
      <c r="D307" s="3" t="s">
        <v>88</v>
      </c>
      <c r="F307" s="3" t="str">
        <f>IFERROR(__xludf.DUMMYFUNCTION("GOOGLETRANSLATE(A307, ""en"", ""hi"")"),"306")</f>
        <v>306</v>
      </c>
      <c r="G307" s="3" t="str">
        <f>IFERROR(__xludf.DUMMYFUNCTION("GOOGLETRANSLATE(B307, ""en"", ""hi"")"),"यदि कोई रेडर मैदान के प्रतिद्वंद्वी हिस्से में फंस जाता है और निर्धारित समय के भीतर वापस लौटने में विफल रहता है तो क्या होगा?")</f>
        <v>यदि कोई रेडर मैदान के प्रतिद्वंद्वी हिस्से में फंस जाता है और निर्धारित समय के भीतर वापस लौटने में विफल रहता है तो क्या होगा?</v>
      </c>
      <c r="H307" s="3" t="str">
        <f>IFERROR(__xludf.DUMMYFUNCTION("GOOGLETRANSLATE(C307, ""en"", ""hi"")"),"A) रेडर टीम के लिए 2 अंक अर्जित करता है, B) रेडर को आउट घोषित कर दिया जाता है, C) प्रतिद्वंद्वी टीम को 1 अंक मिलता है, D) खेल बिना किसी पेनल्टी के जारी रहता है")</f>
        <v>A) रेडर टीम के लिए 2 अंक अर्जित करता है, B) रेडर को आउट घोषित कर दिया जाता है, C) प्रतिद्वंद्वी टीम को 1 अंक मिलता है, D) खेल बिना किसी पेनल्टी के जारी रहता है</v>
      </c>
      <c r="I307" s="3" t="str">
        <f>IFERROR(__xludf.DUMMYFUNCTION("GOOGLETRANSLATE(D307, ""en"", ""hi"")"),"B) रेडर को आउट घोषित कर दिया जाता है")</f>
        <v>B) रेडर को आउट घोषित कर दिया जाता है</v>
      </c>
    </row>
    <row r="308" ht="22.5" customHeight="1">
      <c r="A308" s="2">
        <v>307.0</v>
      </c>
      <c r="B308" s="3" t="s">
        <v>611</v>
      </c>
      <c r="C308" s="3" t="s">
        <v>612</v>
      </c>
      <c r="D308" s="3" t="s">
        <v>613</v>
      </c>
      <c r="F308" s="3" t="str">
        <f>IFERROR(__xludf.DUMMYFUNCTION("GOOGLETRANSLATE(A308, ""en"", ""hi"")"),"307")</f>
        <v>307</v>
      </c>
      <c r="G308" s="3" t="str">
        <f>IFERROR(__xludf.DUMMYFUNCTION("GOOGLETRANSLATE(B308, ""en"", ""hi"")"),"कबड्डी मैच के दौरान यदि कोई खिलाड़ी सीमा से बाहर हो जाए तो क्या परिणाम होगा?")</f>
        <v>कबड्डी मैच के दौरान यदि कोई खिलाड़ी सीमा से बाहर हो जाए तो क्या परिणाम होगा?</v>
      </c>
      <c r="H308" s="3" t="str">
        <f>IFERROR(__xludf.DUMMYFUNCTION("GOOGLETRANSLATE(C308, ""en"", ""hi"")"),"A) खिलाड़ी को 1 अंक दिया जाता है, B) खिलाड़ी को आउट माना जाता है, C) खिलाड़ी पर 2 अंक का जुर्माना लगाया जाता है, D) खेल रोक दिया जाता है")</f>
        <v>A) खिलाड़ी को 1 अंक दिया जाता है, B) खिलाड़ी को आउट माना जाता है, C) खिलाड़ी पर 2 अंक का जुर्माना लगाया जाता है, D) खेल रोक दिया जाता है</v>
      </c>
      <c r="I308" s="3" t="str">
        <f>IFERROR(__xludf.DUMMYFUNCTION("GOOGLETRANSLATE(D308, ""en"", ""hi"")"),"B) खिलाड़ी को आउट माना जाता है")</f>
        <v>B) खिलाड़ी को आउट माना जाता है</v>
      </c>
    </row>
    <row r="309" ht="22.5" customHeight="1">
      <c r="A309" s="2">
        <v>308.0</v>
      </c>
      <c r="B309" s="3" t="s">
        <v>614</v>
      </c>
      <c r="C309" s="3" t="s">
        <v>615</v>
      </c>
      <c r="D309" s="3" t="s">
        <v>616</v>
      </c>
      <c r="F309" s="3" t="str">
        <f>IFERROR(__xludf.DUMMYFUNCTION("GOOGLETRANSLATE(A309, ""en"", ""hi"")"),"308")</f>
        <v>308</v>
      </c>
      <c r="G309" s="3" t="str">
        <f>IFERROR(__xludf.DUMMYFUNCTION("GOOGLETRANSLATE(B309, ""en"", ""hi"")"),"कबड्डी में, डिफेंडर द्वारा रेडर को अपने हाफ में लौटने से रोकने के लिए उसे छूने के कार्य को क्या कहते हैं?")</f>
        <v>कबड्डी में, डिफेंडर द्वारा रेडर को अपने हाफ में लौटने से रोकने के लिए उसे छूने के कार्य को क्या कहते हैं?</v>
      </c>
      <c r="H309" s="3" t="str">
        <f>IFERROR(__xludf.DUMMYFUNCTION("GOOGLETRANSLATE(C309, ""en"", ""hi"")"),"A) टैकल, B) टच, C) रेड, D) कैच")</f>
        <v>A) टैकल, B) टच, C) रेड, D) कैच</v>
      </c>
      <c r="I309" s="3" t="str">
        <f>IFERROR(__xludf.DUMMYFUNCTION("GOOGLETRANSLATE(D309, ""en"", ""hi"")"),"ए) टैकल")</f>
        <v>ए) टैकल</v>
      </c>
    </row>
    <row r="310" ht="22.5" customHeight="1">
      <c r="A310" s="2">
        <v>309.0</v>
      </c>
      <c r="B310" s="3" t="s">
        <v>617</v>
      </c>
      <c r="C310" s="3" t="s">
        <v>618</v>
      </c>
      <c r="D310" s="3" t="s">
        <v>619</v>
      </c>
      <c r="F310" s="3" t="str">
        <f>IFERROR(__xludf.DUMMYFUNCTION("GOOGLETRANSLATE(A310, ""en"", ""hi"")"),"309")</f>
        <v>309</v>
      </c>
      <c r="G310" s="3" t="str">
        <f>IFERROR(__xludf.DUMMYFUNCTION("GOOGLETRANSLATE(B310, ""en"", ""hi"")"),"कबड्डी मैच के दौरान खेल में देरी होने पर किसी टीम पर क्या जुर्माना लगाया जाएगा?")</f>
        <v>कबड्डी मैच के दौरान खेल में देरी होने पर किसी टीम पर क्या जुर्माना लगाया जाएगा?</v>
      </c>
      <c r="H310" s="3" t="str">
        <f>IFERROR(__xludf.DUMMYFUNCTION("GOOGLETRANSLATE(C310, ""en"", ""hi"")"),"A) प्रतिद्वंद्वी टीम को 1 अंक मिलता है, B) टीम को चेतावनी दी जाती है, C) मैच रोक दिया जाता है, D) टीम को 2 अंक गंवाने पड़ते हैं")</f>
        <v>A) प्रतिद्वंद्वी टीम को 1 अंक मिलता है, B) टीम को चेतावनी दी जाती है, C) मैच रोक दिया जाता है, D) टीम को 2 अंक गंवाने पड़ते हैं</v>
      </c>
      <c r="I310" s="3" t="str">
        <f>IFERROR(__xludf.DUMMYFUNCTION("GOOGLETRANSLATE(D310, ""en"", ""hi"")"),"A) प्रतिद्वंद्वी टीम को 1 अंक मिलता है")</f>
        <v>A) प्रतिद्वंद्वी टीम को 1 अंक मिलता है</v>
      </c>
    </row>
    <row r="311" ht="22.5" customHeight="1">
      <c r="A311" s="2">
        <v>310.0</v>
      </c>
      <c r="B311" s="3" t="s">
        <v>620</v>
      </c>
      <c r="C311" s="3" t="s">
        <v>621</v>
      </c>
      <c r="D311" s="3" t="s">
        <v>622</v>
      </c>
      <c r="F311" s="3" t="str">
        <f>IFERROR(__xludf.DUMMYFUNCTION("GOOGLETRANSLATE(A311, ""en"", ""hi"")"),"310")</f>
        <v>310</v>
      </c>
      <c r="G311" s="3" t="str">
        <f>IFERROR(__xludf.DUMMYFUNCTION("GOOGLETRANSLATE(B311, ""en"", ""hi"")"),"एक मानक कबड्डी मैच में प्रत्येक हाफ कितने समय का होता है?")</f>
        <v>एक मानक कबड्डी मैच में प्रत्येक हाफ कितने समय का होता है?</v>
      </c>
      <c r="H311" s="3" t="str">
        <f>IFERROR(__xludf.DUMMYFUNCTION("GOOGLETRANSLATE(C311, ""en"", ""hi"")"),"A) 10 मिनट, B) 15 मिनट, C) 20 मिनट, D) 25 मिनट")</f>
        <v>A) 10 मिनट, B) 15 मिनट, C) 20 मिनट, D) 25 मिनट</v>
      </c>
      <c r="I311" s="3" t="str">
        <f>IFERROR(__xludf.DUMMYFUNCTION("GOOGLETRANSLATE(D311, ""en"", ""hi"")"),"सी) 20 मिनट")</f>
        <v>सी) 20 मिनट</v>
      </c>
    </row>
    <row r="312" ht="22.5" customHeight="1">
      <c r="A312" s="2">
        <v>311.0</v>
      </c>
      <c r="B312" s="3" t="s">
        <v>623</v>
      </c>
      <c r="C312" s="3" t="s">
        <v>624</v>
      </c>
      <c r="D312" s="3" t="s">
        <v>625</v>
      </c>
      <c r="F312" s="3" t="str">
        <f>IFERROR(__xludf.DUMMYFUNCTION("GOOGLETRANSLATE(A312, ""en"", ""hi"")"),"311")</f>
        <v>311</v>
      </c>
      <c r="G312" s="3" t="str">
        <f>IFERROR(__xludf.DUMMYFUNCTION("GOOGLETRANSLATE(B312, ""en"", ""hi"")"),"कबड्डी में, जब कोई रेडर सफलतापूर्वक प्रतिद्वंद्वी को टैग कर देता है और टैग किए बिना अपने हाफ में वापस लौट जाता है, तो उसे क्या कहते हैं?")</f>
        <v>कबड्डी में, जब कोई रेडर सफलतापूर्वक प्रतिद्वंद्वी को टैग कर देता है और टैग किए बिना अपने हाफ में वापस लौट जाता है, तो उसे क्या कहते हैं?</v>
      </c>
      <c r="H312" s="3" t="str">
        <f>IFERROR(__xludf.DUMMYFUNCTION("GOOGLETRANSLATE(C312, ""en"", ""hi"")"),"ए) सफल रेड, बी) बोनस रेड, सी) सुपर रेड, डी) टचडाउन")</f>
        <v>ए) सफल रेड, बी) बोनस रेड, सी) सुपर रेड, डी) टचडाउन</v>
      </c>
      <c r="I312" s="3" t="str">
        <f>IFERROR(__xludf.DUMMYFUNCTION("GOOGLETRANSLATE(D312, ""en"", ""hi"")"),"ए) सफल छापेमारी")</f>
        <v>ए) सफल छापेमारी</v>
      </c>
    </row>
    <row r="313" ht="22.5" customHeight="1">
      <c r="A313" s="2">
        <v>312.0</v>
      </c>
      <c r="B313" s="3" t="s">
        <v>626</v>
      </c>
      <c r="C313" s="3" t="s">
        <v>627</v>
      </c>
      <c r="D313" s="3" t="s">
        <v>628</v>
      </c>
      <c r="F313" s="3" t="str">
        <f>IFERROR(__xludf.DUMMYFUNCTION("GOOGLETRANSLATE(A313, ""en"", ""hi"")"),"312")</f>
        <v>312</v>
      </c>
      <c r="G313" s="3" t="str">
        <f>IFERROR(__xludf.DUMMYFUNCTION("GOOGLETRANSLATE(B313, ""en"", ""hi"")"),"कबड्डी में 'डू-ऑर-डाई रेड' शब्द का क्या अर्थ है?")</f>
        <v>कबड्डी में 'डू-ऑर-डाई रेड' शब्द का क्या अर्थ है?</v>
      </c>
      <c r="H313" s="3" t="str">
        <f>IFERROR(__xludf.DUMMYFUNCTION("GOOGLETRANSLATE(C313, ""en"", ""hi"")"),"ए) एक रेड जिसमें रेडर को स्कोर करना होगा या आउट होना होगा, बी) एक रेड जिसमें रेडर को अतिरिक्त अंक मिलेंगे, सी) एक रेड जो मैच को आगे बढ़ाएगी, डी) एक रेड जो पेनल्टी की ओर ले जाएगी")</f>
        <v>ए) एक रेड जिसमें रेडर को स्कोर करना होगा या आउट होना होगा, बी) एक रेड जिसमें रेडर को अतिरिक्त अंक मिलेंगे, सी) एक रेड जो मैच को आगे बढ़ाएगी, डी) एक रेड जो पेनल्टी की ओर ले जाएगी</v>
      </c>
      <c r="I313" s="3" t="str">
        <f>IFERROR(__xludf.DUMMYFUNCTION("GOOGLETRANSLATE(D313, ""en"", ""hi"")"),"A) एक रेड जिसमें रेडर को स्कोर करना होगा या आउट होना होगा")</f>
        <v>A) एक रेड जिसमें रेडर को स्कोर करना होगा या आउट होना होगा</v>
      </c>
    </row>
    <row r="314" ht="22.5" customHeight="1">
      <c r="A314" s="2">
        <v>313.0</v>
      </c>
      <c r="B314" s="3" t="s">
        <v>629</v>
      </c>
      <c r="C314" s="3" t="s">
        <v>630</v>
      </c>
      <c r="D314" s="3" t="s">
        <v>631</v>
      </c>
      <c r="F314" s="3" t="str">
        <f>IFERROR(__xludf.DUMMYFUNCTION("GOOGLETRANSLATE(A314, ""en"", ""hi"")"),"313")</f>
        <v>313</v>
      </c>
      <c r="G314" s="3" t="str">
        <f>IFERROR(__xludf.DUMMYFUNCTION("GOOGLETRANSLATE(B314, ""en"", ""hi"")"),"कबड्डी टीम में रेडिंग और अंक अर्जित करने के लिए कौन सा स्थान जिम्मेदार होता है?")</f>
        <v>कबड्डी टीम में रेडिंग और अंक अर्जित करने के लिए कौन सा स्थान जिम्मेदार होता है?</v>
      </c>
      <c r="H314" s="3" t="str">
        <f>IFERROR(__xludf.DUMMYFUNCTION("GOOGLETRANSLATE(C314, ""en"", ""hi"")"),"A) रेडर, B) डिफेंडर, C) गोलकीपर, D) मिडफील्डर")</f>
        <v>A) रेडर, B) डिफेंडर, C) गोलकीपर, D) मिडफील्डर</v>
      </c>
      <c r="I314" s="3" t="str">
        <f>IFERROR(__xludf.DUMMYFUNCTION("GOOGLETRANSLATE(D314, ""en"", ""hi"")"),"ए) रेडर")</f>
        <v>ए) रेडर</v>
      </c>
    </row>
    <row r="315" ht="22.5" customHeight="1">
      <c r="A315" s="2">
        <v>314.0</v>
      </c>
      <c r="B315" s="3" t="s">
        <v>632</v>
      </c>
      <c r="C315" s="3" t="s">
        <v>633</v>
      </c>
      <c r="D315" s="3" t="s">
        <v>634</v>
      </c>
      <c r="F315" s="3" t="str">
        <f>IFERROR(__xludf.DUMMYFUNCTION("GOOGLETRANSLATE(A315, ""en"", ""hi"")"),"314")</f>
        <v>314</v>
      </c>
      <c r="G315" s="3" t="str">
        <f>IFERROR(__xludf.DUMMYFUNCTION("GOOGLETRANSLATE(B315, ""en"", ""hi"")"),"कबड्डी मैच के दौरान, खेल शुरू करने के लिए एक टीम में मैदान पर न्यूनतम कितने खिलाड़ी होने चाहिए?")</f>
        <v>कबड्डी मैच के दौरान, खेल शुरू करने के लिए एक टीम में मैदान पर न्यूनतम कितने खिलाड़ी होने चाहिए?</v>
      </c>
      <c r="H315" s="3" t="str">
        <f>IFERROR(__xludf.DUMMYFUNCTION("GOOGLETRANSLATE(C315, ""en"", ""hi"")"),"ए) 5, बी) 6, सी) 7, डी) 8")</f>
        <v>ए) 5, बी) 6, सी) 7, डी) 8</v>
      </c>
      <c r="I315" s="3" t="str">
        <f>IFERROR(__xludf.DUMMYFUNCTION("GOOGLETRANSLATE(D315, ""en"", ""hi"")"),"सी) 7")</f>
        <v>सी) 7</v>
      </c>
    </row>
    <row r="316" ht="22.5" customHeight="1">
      <c r="A316" s="2">
        <v>315.0</v>
      </c>
      <c r="B316" s="3" t="s">
        <v>635</v>
      </c>
      <c r="C316" s="3" t="s">
        <v>636</v>
      </c>
      <c r="D316" s="3" t="s">
        <v>637</v>
      </c>
      <c r="F316" s="3" t="str">
        <f>IFERROR(__xludf.DUMMYFUNCTION("GOOGLETRANSLATE(A316, ""en"", ""hi"")"),"315")</f>
        <v>315</v>
      </c>
      <c r="G316" s="3" t="str">
        <f>IFERROR(__xludf.DUMMYFUNCTION("GOOGLETRANSLATE(B316, ""en"", ""hi"")"),"कबड्डी में यदि कोई रेडर आउट घोषित कर दिया जाता है तो कौन सी टीम को अंक मिलता है?")</f>
        <v>कबड्डी में यदि कोई रेडर आउट घोषित कर दिया जाता है तो कौन सी टीम को अंक मिलता है?</v>
      </c>
      <c r="H316" s="3" t="str">
        <f>IFERROR(__xludf.DUMMYFUNCTION("GOOGLETRANSLATE(C316, ""en"", ""hi"")"),"A) छापा मारने वाली टीम, B) बचाव करने वाली टीम, C) दोनों टीमें, D) कोई नहीं")</f>
        <v>A) छापा मारने वाली टीम, B) बचाव करने वाली टीम, C) दोनों टीमें, D) कोई नहीं</v>
      </c>
      <c r="I316" s="3" t="str">
        <f>IFERROR(__xludf.DUMMYFUNCTION("GOOGLETRANSLATE(D316, ""en"", ""hi"")"),"बी) बचाव दल")</f>
        <v>बी) बचाव दल</v>
      </c>
    </row>
    <row r="317" ht="22.5" customHeight="1">
      <c r="A317" s="2">
        <v>316.0</v>
      </c>
      <c r="B317" s="3" t="s">
        <v>638</v>
      </c>
      <c r="C317" s="3" t="s">
        <v>639</v>
      </c>
      <c r="D317" s="3" t="s">
        <v>640</v>
      </c>
      <c r="F317" s="3" t="str">
        <f>IFERROR(__xludf.DUMMYFUNCTION("GOOGLETRANSLATE(A317, ""en"", ""hi"")"),"316")</f>
        <v>316</v>
      </c>
      <c r="G317" s="3" t="str">
        <f>IFERROR(__xludf.DUMMYFUNCTION("GOOGLETRANSLATE(B317, ""en"", ""hi"")"),"यदि कबड्डी मैच में दो हाफ हों तो उसकी अवधि कितनी होगी?")</f>
        <v>यदि कबड्डी मैच में दो हाफ हों तो उसकी अवधि कितनी होगी?</v>
      </c>
      <c r="H317" s="3" t="str">
        <f>IFERROR(__xludf.DUMMYFUNCTION("GOOGLETRANSLATE(C317, ""en"", ""hi"")"),"A) 30 मिनट, B) 40 मिनट, C) 50 मिनट, D) 60 मिनट")</f>
        <v>A) 30 मिनट, B) 40 मिनट, C) 50 मिनट, D) 60 मिनट</v>
      </c>
      <c r="I317" s="3" t="str">
        <f>IFERROR(__xludf.DUMMYFUNCTION("GOOGLETRANSLATE(D317, ""en"", ""hi"")"),"बी) 40 मिनट")</f>
        <v>बी) 40 मिनट</v>
      </c>
    </row>
    <row r="318" ht="22.5" customHeight="1">
      <c r="A318" s="2">
        <v>317.0</v>
      </c>
      <c r="B318" s="3" t="s">
        <v>641</v>
      </c>
      <c r="C318" s="3" t="s">
        <v>642</v>
      </c>
      <c r="D318" s="3" t="s">
        <v>643</v>
      </c>
      <c r="F318" s="3" t="str">
        <f>IFERROR(__xludf.DUMMYFUNCTION("GOOGLETRANSLATE(A318, ""en"", ""hi"")"),"317")</f>
        <v>317</v>
      </c>
      <c r="G318" s="3" t="str">
        <f>IFERROR(__xludf.DUMMYFUNCTION("GOOGLETRANSLATE(B318, ""en"", ""hi"")"),"कबड्डी में, जब कोई रेडर सफलतापूर्वक डिफेंडर को छूकर अपने हाफ में वापस लौट जाता है तो उसे क्या कहते हैं?")</f>
        <v>कबड्डी में, जब कोई रेडर सफलतापूर्वक डिफेंडर को छूकर अपने हाफ में वापस लौट जाता है तो उसे क्या कहते हैं?</v>
      </c>
      <c r="H318" s="3" t="str">
        <f>IFERROR(__xludf.DUMMYFUNCTION("GOOGLETRANSLATE(C318, ""en"", ""hi"")"),"A) बोनस, B) टच पॉइंट, C) रेड पॉइंट, D) सुपर पॉइंट")</f>
        <v>A) बोनस, B) टच पॉइंट, C) रेड पॉइंट, D) सुपर पॉइंट</v>
      </c>
      <c r="I318" s="3" t="str">
        <f>IFERROR(__xludf.DUMMYFUNCTION("GOOGLETRANSLATE(D318, ""en"", ""hi"")"),"सी) रेड प्वाइंट")</f>
        <v>सी) रेड प्वाइंट</v>
      </c>
    </row>
    <row r="319" ht="22.5" customHeight="1">
      <c r="A319" s="2">
        <v>318.0</v>
      </c>
      <c r="B319" s="3" t="s">
        <v>644</v>
      </c>
      <c r="C319" s="3" t="s">
        <v>645</v>
      </c>
      <c r="D319" s="3" t="s">
        <v>65</v>
      </c>
      <c r="F319" s="3" t="str">
        <f>IFERROR(__xludf.DUMMYFUNCTION("GOOGLETRANSLATE(A319, ""en"", ""hi"")"),"318")</f>
        <v>318</v>
      </c>
      <c r="G319" s="3" t="str">
        <f>IFERROR(__xludf.DUMMYFUNCTION("GOOGLETRANSLATE(B319, ""en"", ""hi"")"),"यदि कबड्डी का रेडर मध्य रेखा पार कर जाता है और प्रतिद्वंद्वी को नहीं छूता है, तो क्या होता है?")</f>
        <v>यदि कबड्डी का रेडर मध्य रेखा पार कर जाता है और प्रतिद्वंद्वी को नहीं छूता है, तो क्या होता है?</v>
      </c>
      <c r="H319" s="3" t="str">
        <f>IFERROR(__xludf.DUMMYFUNCTION("GOOGLETRANSLATE(C319, ""en"", ""hi"")"),"A) रेडर को 1 अंक मिलता है, B) रेडर आउट हो जाता है, C) विरोधी टीम को 2 अंक मिलते हैं, D) खेल रोक दिया जाता है")</f>
        <v>A) रेडर को 1 अंक मिलता है, B) रेडर आउट हो जाता है, C) विरोधी टीम को 2 अंक मिलते हैं, D) खेल रोक दिया जाता है</v>
      </c>
      <c r="I319" s="3" t="str">
        <f>IFERROR(__xludf.DUMMYFUNCTION("GOOGLETRANSLATE(D319, ""en"", ""hi"")"),"बी) हमलावर बाहर है")</f>
        <v>बी) हमलावर बाहर है</v>
      </c>
    </row>
    <row r="320" ht="22.5" customHeight="1">
      <c r="A320" s="2">
        <v>319.0</v>
      </c>
      <c r="B320" s="3" t="s">
        <v>646</v>
      </c>
      <c r="C320" s="3" t="s">
        <v>647</v>
      </c>
      <c r="D320" s="3" t="s">
        <v>637</v>
      </c>
      <c r="F320" s="3" t="str">
        <f>IFERROR(__xludf.DUMMYFUNCTION("GOOGLETRANSLATE(A320, ""en"", ""hi"")"),"319")</f>
        <v>319</v>
      </c>
      <c r="G320" s="3" t="str">
        <f>IFERROR(__xludf.DUMMYFUNCTION("GOOGLETRANSLATE(B320, ""en"", ""hi"")"),"यदि कोई कबड्डी खिलाड़ी रेड मारने का प्रयास करते समय पकड़ा जाता है और वापस नहीं लौट पाता है तो किस टीम को अंक मिलता है?")</f>
        <v>यदि कोई कबड्डी खिलाड़ी रेड मारने का प्रयास करते समय पकड़ा जाता है और वापस नहीं लौट पाता है तो किस टीम को अंक मिलता है?</v>
      </c>
      <c r="H320" s="3" t="str">
        <f>IFERROR(__xludf.DUMMYFUNCTION("GOOGLETRANSLATE(C320, ""en"", ""hi"")"),"A) छापा मारने वाली टीम, B) बचाव करने वाली टीम, C) दोनों टीमें, D) कोई अंक नहीं दिया जाता")</f>
        <v>A) छापा मारने वाली टीम, B) बचाव करने वाली टीम, C) दोनों टीमें, D) कोई अंक नहीं दिया जाता</v>
      </c>
      <c r="I320" s="3" t="str">
        <f>IFERROR(__xludf.DUMMYFUNCTION("GOOGLETRANSLATE(D320, ""en"", ""hi"")"),"बी) बचाव दल")</f>
        <v>बी) बचाव दल</v>
      </c>
    </row>
    <row r="321" ht="22.5" customHeight="1">
      <c r="A321" s="2">
        <v>320.0</v>
      </c>
      <c r="B321" s="3" t="s">
        <v>648</v>
      </c>
      <c r="C321" s="3" t="s">
        <v>649</v>
      </c>
      <c r="D321" s="3" t="s">
        <v>650</v>
      </c>
      <c r="F321" s="3" t="str">
        <f>IFERROR(__xludf.DUMMYFUNCTION("GOOGLETRANSLATE(A321, ""en"", ""hi"")"),"320")</f>
        <v>320</v>
      </c>
      <c r="G321" s="3" t="str">
        <f>IFERROR(__xludf.DUMMYFUNCTION("GOOGLETRANSLATE(B321, ""en"", ""hi"")"),"कबड्डी में यदि कोई टीम तकनीकी गलती करती है तो क्या कार्रवाई की जाती है?")</f>
        <v>कबड्डी में यदि कोई टीम तकनीकी गलती करती है तो क्या कार्रवाई की जाती है?</v>
      </c>
      <c r="H321" s="3" t="str">
        <f>IFERROR(__xludf.DUMMYFUNCTION("GOOGLETRANSLATE(C321, ""en"", ""hi"")"),"A) प्रतिद्वंद्वी टीम को 1 अंक दिया जाता है, B) टीम पर 2 अंकों का जुर्माना लगाया जाता है, C) मैच रोक दिया जाता है, D) टीम को चेतावनी दी जाती है")</f>
        <v>A) प्रतिद्वंद्वी टीम को 1 अंक दिया जाता है, B) टीम पर 2 अंकों का जुर्माना लगाया जाता है, C) मैच रोक दिया जाता है, D) टीम को चेतावनी दी जाती है</v>
      </c>
      <c r="I321" s="3" t="str">
        <f>IFERROR(__xludf.DUMMYFUNCTION("GOOGLETRANSLATE(D321, ""en"", ""hi"")"),"A) प्रतिद्वंद्वी टीम को 1 अंक दिया जाता है")</f>
        <v>A) प्रतिद्वंद्वी टीम को 1 अंक दिया जाता है</v>
      </c>
    </row>
    <row r="322" ht="22.5" customHeight="1">
      <c r="A322" s="2">
        <v>321.0</v>
      </c>
      <c r="B322" s="3" t="s">
        <v>651</v>
      </c>
      <c r="C322" s="3" t="s">
        <v>652</v>
      </c>
      <c r="D322" s="3" t="s">
        <v>616</v>
      </c>
      <c r="F322" s="3" t="str">
        <f>IFERROR(__xludf.DUMMYFUNCTION("GOOGLETRANSLATE(A322, ""en"", ""hi"")"),"321")</f>
        <v>321</v>
      </c>
      <c r="G322" s="3" t="str">
        <f>IFERROR(__xludf.DUMMYFUNCTION("GOOGLETRANSLATE(B322, ""en"", ""hi"")"),"कबड्डी में डिफेंडर द्वारा रेडर को स्कोर करने से रोकने के लिए निम्नलिखित में से कौन सी रणनीति अपनाई जाती है?")</f>
        <v>कबड्डी में डिफेंडर द्वारा रेडर को स्कोर करने से रोकने के लिए निम्नलिखित में से कौन सी रणनीति अपनाई जाती है?</v>
      </c>
      <c r="H322" s="3" t="str">
        <f>IFERROR(__xludf.DUMMYFUNCTION("GOOGLETRANSLATE(C322, ""en"", ""hi"")"),"A) टैकल, B) रेड, C) कैच, D) थ्रो")</f>
        <v>A) टैकल, B) रेड, C) कैच, D) थ्रो</v>
      </c>
      <c r="I322" s="3" t="str">
        <f>IFERROR(__xludf.DUMMYFUNCTION("GOOGLETRANSLATE(D322, ""en"", ""hi"")"),"ए) टैकल")</f>
        <v>ए) टैकल</v>
      </c>
    </row>
    <row r="323" ht="22.5" customHeight="1">
      <c r="A323" s="2">
        <v>322.0</v>
      </c>
      <c r="B323" s="3" t="s">
        <v>653</v>
      </c>
      <c r="C323" s="3" t="s">
        <v>47</v>
      </c>
      <c r="D323" s="3" t="s">
        <v>52</v>
      </c>
      <c r="F323" s="3" t="str">
        <f>IFERROR(__xludf.DUMMYFUNCTION("GOOGLETRANSLATE(A323, ""en"", ""hi"")"),"322")</f>
        <v>322</v>
      </c>
      <c r="G323" s="3" t="str">
        <f>IFERROR(__xludf.DUMMYFUNCTION("GOOGLETRANSLATE(B323, ""en"", ""hi"")"),"यदि रेडर सफलतापूर्वक प्रतिद्वंद्वी को टैग कर देता है और टैग किए बिना वापस लौटता है तो कबड्डी टीम को कितने अंक दिए जाते हैं?")</f>
        <v>यदि रेडर सफलतापूर्वक प्रतिद्वंद्वी को टैग कर देता है और टैग किए बिना वापस लौटता है तो कबड्डी टीम को कितने अंक दिए जाते हैं?</v>
      </c>
      <c r="H323" s="3" t="str">
        <f>IFERROR(__xludf.DUMMYFUNCTION("GOOGLETRANSLATE(C323, ""en"", ""hi"")"),"A) 1 अंक, B) 2 अंक, C) 3 अंक, D) 4 अंक")</f>
        <v>A) 1 अंक, B) 2 अंक, C) 3 अंक, D) 4 अंक</v>
      </c>
      <c r="I323" s="3" t="str">
        <f>IFERROR(__xludf.DUMMYFUNCTION("GOOGLETRANSLATE(D323, ""en"", ""hi"")"),"ए) 1 अंक")</f>
        <v>ए) 1 अंक</v>
      </c>
    </row>
    <row r="324" ht="22.5" customHeight="1">
      <c r="A324" s="2">
        <v>323.0</v>
      </c>
      <c r="B324" s="3" t="s">
        <v>654</v>
      </c>
      <c r="C324" s="3" t="s">
        <v>655</v>
      </c>
      <c r="D324" s="3" t="s">
        <v>656</v>
      </c>
      <c r="F324" s="3" t="str">
        <f>IFERROR(__xludf.DUMMYFUNCTION("GOOGLETRANSLATE(A324, ""en"", ""hi"")"),"323")</f>
        <v>323</v>
      </c>
      <c r="G324" s="3" t="str">
        <f>IFERROR(__xludf.DUMMYFUNCTION("GOOGLETRANSLATE(B324, ""en"", ""hi"")"),"कबड्डी मैच में यदि कोई खिलाड़ी घायल हो जाए और खेल जारी न रख सके तो क्या होगा?")</f>
        <v>कबड्डी मैच में यदि कोई खिलाड़ी घायल हो जाए और खेल जारी न रख सके तो क्या होगा?</v>
      </c>
      <c r="H324" s="3" t="str">
        <f>IFERROR(__xludf.DUMMYFUNCTION("GOOGLETRANSLATE(C324, ""en"", ""hi"")"),"A) खिलाड़ी को प्रतिस्थापित किया जाता है, B) मैच रोक दिया जाता है, C) खिलाड़ी को 1 अंक दिया जाता है, D) विरोधी टीम को 2 अंक मिलते हैं")</f>
        <v>A) खिलाड़ी को प्रतिस्थापित किया जाता है, B) मैच रोक दिया जाता है, C) खिलाड़ी को 1 अंक दिया जाता है, D) विरोधी टीम को 2 अंक मिलते हैं</v>
      </c>
      <c r="I324" s="3" t="str">
        <f>IFERROR(__xludf.DUMMYFUNCTION("GOOGLETRANSLATE(D324, ""en"", ""hi"")"),"A) खिलाड़ी को प्रतिस्थापित किया जाता है")</f>
        <v>A) खिलाड़ी को प्रतिस्थापित किया जाता है</v>
      </c>
    </row>
    <row r="325" ht="22.5" customHeight="1">
      <c r="A325" s="2">
        <v>324.0</v>
      </c>
      <c r="B325" s="3" t="s">
        <v>657</v>
      </c>
      <c r="C325" s="3" t="s">
        <v>658</v>
      </c>
      <c r="D325" s="3" t="s">
        <v>659</v>
      </c>
      <c r="F325" s="3" t="str">
        <f>IFERROR(__xludf.DUMMYFUNCTION("GOOGLETRANSLATE(A325, ""en"", ""hi"")"),"324")</f>
        <v>324</v>
      </c>
      <c r="G325" s="3" t="str">
        <f>IFERROR(__xludf.DUMMYFUNCTION("GOOGLETRANSLATE(B325, ""en"", ""hi"")"),"उस क्षण के लिए क्या शब्द प्रयोग किया जाता है जब कबड्डी रेडर स्कोर करने में असफल हो जाता है या प्रतिद्वंद्वी के हाफ में फंस जाता है?")</f>
        <v>उस क्षण के लिए क्या शब्द प्रयोग किया जाता है जब कबड्डी रेडर स्कोर करने में असफल हो जाता है या प्रतिद्वंद्वी के हाफ में फंस जाता है?</v>
      </c>
      <c r="H325" s="3" t="str">
        <f>IFERROR(__xludf.DUMMYFUNCTION("GOOGLETRANSLATE(C325, ""en"", ""hi"")"),"ए) असफल रेड, बी) आउट, सी) टर्नओवर, डी) पेनल्टी")</f>
        <v>ए) असफल रेड, बी) आउट, सी) टर्नओवर, डी) पेनल्टी</v>
      </c>
      <c r="I325" s="3" t="str">
        <f>IFERROR(__xludf.DUMMYFUNCTION("GOOGLETRANSLATE(D325, ""en"", ""hi"")"),"बी) बाहर")</f>
        <v>बी) बाहर</v>
      </c>
    </row>
    <row r="326" ht="22.5" customHeight="1">
      <c r="A326" s="2">
        <v>325.0</v>
      </c>
      <c r="B326" s="3" t="s">
        <v>660</v>
      </c>
      <c r="C326" s="3" t="s">
        <v>661</v>
      </c>
      <c r="D326" s="3" t="s">
        <v>662</v>
      </c>
      <c r="F326" s="3" t="str">
        <f>IFERROR(__xludf.DUMMYFUNCTION("GOOGLETRANSLATE(A326, ""en"", ""hi"")"),"325")</f>
        <v>325</v>
      </c>
      <c r="G326" s="3" t="str">
        <f>IFERROR(__xludf.DUMMYFUNCTION("GOOGLETRANSLATE(B326, ""en"", ""hi"")"),"कबड्डी में 'बोनस लाइन' का उद्देश्य क्या है?")</f>
        <v>कबड्डी में 'बोनस लाइन' का उद्देश्य क्या है?</v>
      </c>
      <c r="H326" s="3" t="str">
        <f>IFERROR(__xludf.DUMMYFUNCTION("GOOGLETRANSLATE(C326, ""en"", ""hi"")"),"A) अतिरिक्त अंक प्रदान करने के लिए, B) मैदान के अंत को इंगित करने के लिए, C) बोनस अंक के लिए क्षेत्र को चिह्नित करने के लिए, D) खेल की शुरुआत को परिभाषित करने के लिए")</f>
        <v>A) अतिरिक्त अंक प्रदान करने के लिए, B) मैदान के अंत को इंगित करने के लिए, C) बोनस अंक के लिए क्षेत्र को चिह्नित करने के लिए, D) खेल की शुरुआत को परिभाषित करने के लिए</v>
      </c>
      <c r="I326" s="3" t="str">
        <f>IFERROR(__xludf.DUMMYFUNCTION("GOOGLETRANSLATE(D326, ""en"", ""hi"")"),"C) बोनस अंक के लिए क्षेत्र को चिह्नित करना")</f>
        <v>C) बोनस अंक के लिए क्षेत्र को चिह्नित करना</v>
      </c>
    </row>
    <row r="327" ht="22.5" customHeight="1">
      <c r="A327" s="2">
        <v>326.0</v>
      </c>
      <c r="B327" s="3" t="s">
        <v>663</v>
      </c>
      <c r="C327" s="3" t="s">
        <v>664</v>
      </c>
      <c r="D327" s="3" t="s">
        <v>665</v>
      </c>
      <c r="F327" s="3" t="str">
        <f>IFERROR(__xludf.DUMMYFUNCTION("GOOGLETRANSLATE(A327, ""en"", ""hi"")"),"326")</f>
        <v>326</v>
      </c>
      <c r="G327" s="3" t="str">
        <f>IFERROR(__xludf.DUMMYFUNCTION("GOOGLETRANSLATE(B327, ""en"", ""hi"")"),"कबड्डी मैच के दौरान यदि बचाव करने वाली टीम फाउल कर दे तो क्या होगा?")</f>
        <v>कबड्डी मैच के दौरान यदि बचाव करने वाली टीम फाउल कर दे तो क्या होगा?</v>
      </c>
      <c r="H327" s="3" t="str">
        <f>IFERROR(__xludf.DUMMYFUNCTION("GOOGLETRANSLATE(C327, ""en"", ""hi"")"),"A) रेड करने वाली टीम को एक अंक मिलता है, B) बचाव करने वाली टीम को दंडित किया जाता है, C) मैच रोक दिया जाता है, D) बचाव करने वाली टीम को प्रतिस्थापित किया जाता है")</f>
        <v>A) रेड करने वाली टीम को एक अंक मिलता है, B) बचाव करने वाली टीम को दंडित किया जाता है, C) मैच रोक दिया जाता है, D) बचाव करने वाली टीम को प्रतिस्थापित किया जाता है</v>
      </c>
      <c r="I327" s="3" t="str">
        <f>IFERROR(__xludf.DUMMYFUNCTION("GOOGLETRANSLATE(D327, ""en"", ""hi"")"),"A) छापा मारने वाली टीम को एक अंक मिलता है")</f>
        <v>A) छापा मारने वाली टीम को एक अंक मिलता है</v>
      </c>
    </row>
    <row r="328" ht="22.5" customHeight="1">
      <c r="A328" s="2">
        <v>327.0</v>
      </c>
      <c r="B328" s="3" t="s">
        <v>666</v>
      </c>
      <c r="C328" s="3" t="s">
        <v>667</v>
      </c>
      <c r="D328" s="3" t="s">
        <v>668</v>
      </c>
      <c r="F328" s="3" t="str">
        <f>IFERROR(__xludf.DUMMYFUNCTION("GOOGLETRANSLATE(A328, ""en"", ""hi"")"),"327")</f>
        <v>327</v>
      </c>
      <c r="G328" s="3" t="str">
        <f>IFERROR(__xludf.DUMMYFUNCTION("GOOGLETRANSLATE(B328, ""en"", ""hi"")"),"कबड्डी की उस तकनीक का क्या नाम है जिसमें रेडर रेड करते समय लगातार 'कबड्डी' का नारा लगाता है?")</f>
        <v>कबड्डी की उस तकनीक का क्या नाम है जिसमें रेडर रेड करते समय लगातार 'कबड्डी' का नारा लगाता है?</v>
      </c>
      <c r="H328" s="3" t="str">
        <f>IFERROR(__xludf.DUMMYFUNCTION("GOOGLETRANSLATE(C328, ""en"", ""hi"")"),"A) निरंतर छापा, B) मंत्र छापा, C) श्वास छापा, D) समय छापा")</f>
        <v>A) निरंतर छापा, B) मंत्र छापा, C) श्वास छापा, D) समय छापा</v>
      </c>
      <c r="I328" s="3" t="str">
        <f>IFERROR(__xludf.DUMMYFUNCTION("GOOGLETRANSLATE(D328, ""en"", ""hi"")"),"सी) सांस छापे")</f>
        <v>सी) सांस छापे</v>
      </c>
    </row>
    <row r="329" ht="22.5" customHeight="1">
      <c r="A329" s="2">
        <v>328.0</v>
      </c>
      <c r="B329" s="3" t="s">
        <v>669</v>
      </c>
      <c r="C329" s="3" t="s">
        <v>670</v>
      </c>
      <c r="D329" s="3" t="s">
        <v>671</v>
      </c>
      <c r="F329" s="3" t="str">
        <f>IFERROR(__xludf.DUMMYFUNCTION("GOOGLETRANSLATE(A329, ""en"", ""hi"")"),"328")</f>
        <v>328</v>
      </c>
      <c r="G329" s="3" t="str">
        <f>IFERROR(__xludf.DUMMYFUNCTION("GOOGLETRANSLATE(B329, ""en"", ""hi"")"),"कबड्डी में 'सुपर टैकल' शब्द का क्या अर्थ है?")</f>
        <v>कबड्डी में 'सुपर टैकल' शब्द का क्या अर्थ है?</v>
      </c>
      <c r="H329" s="3" t="str">
        <f>IFERROR(__xludf.DUMMYFUNCTION("GOOGLETRANSLATE(C329, ""en"", ""hi"")"),"A) सभी डिफेंडरों द्वारा सफल टैकल, B) एक टैकल जो अतिरिक्त अंक अर्जित करता है, C) एक डिफेंडर द्वारा किया गया टैकल, D) एक टैकल जिसके परिणामस्वरूप पेनल्टी होती है")</f>
        <v>A) सभी डिफेंडरों द्वारा सफल टैकल, B) एक टैकल जो अतिरिक्त अंक अर्जित करता है, C) एक डिफेंडर द्वारा किया गया टैकल, D) एक टैकल जिसके परिणामस्वरूप पेनल्टी होती है</v>
      </c>
      <c r="I329" s="3" t="str">
        <f>IFERROR(__xludf.DUMMYFUNCTION("GOOGLETRANSLATE(D329, ""en"", ""hi"")"),"A) सभी डिफेंडरों द्वारा सफल टैकल")</f>
        <v>A) सभी डिफेंडरों द्वारा सफल टैकल</v>
      </c>
    </row>
    <row r="330" ht="22.5" customHeight="1">
      <c r="A330" s="2">
        <v>329.0</v>
      </c>
      <c r="B330" s="3" t="s">
        <v>672</v>
      </c>
      <c r="C330" s="3" t="s">
        <v>673</v>
      </c>
      <c r="D330" s="3" t="s">
        <v>674</v>
      </c>
      <c r="F330" s="3" t="str">
        <f>IFERROR(__xludf.DUMMYFUNCTION("GOOGLETRANSLATE(A330, ""en"", ""hi"")"),"329")</f>
        <v>329</v>
      </c>
      <c r="G330" s="3" t="str">
        <f>IFERROR(__xludf.DUMMYFUNCTION("GOOGLETRANSLATE(B330, ""en"", ""hi"")"),"कबड्डी मैच में यदि कोई रेडर प्रतिद्वंद्वी को छूता है और सांस रोककर अपने हाफ में वापस लौटता है, तो परिणाम क्या होगा?")</f>
        <v>कबड्डी मैच में यदि कोई रेडर प्रतिद्वंद्वी को छूता है और सांस रोककर अपने हाफ में वापस लौटता है, तो परिणाम क्या होगा?</v>
      </c>
      <c r="H330" s="3" t="str">
        <f>IFERROR(__xludf.DUMMYFUNCTION("GOOGLETRANSLATE(C330, ""en"", ""hi"")"),"A) रेडर को 2 अंक दिए जाते हैं, B) रेडर को 1 अंक दिया जाता है, C) प्रतिद्वंद्वी टीम को 1 अंक मिलता है, D) रेडर आउट हो जाता है")</f>
        <v>A) रेडर को 2 अंक दिए जाते हैं, B) रेडर को 1 अंक दिया जाता है, C) प्रतिद्वंद्वी टीम को 1 अंक मिलता है, D) रेडर आउट हो जाता है</v>
      </c>
      <c r="I330" s="3" t="str">
        <f>IFERROR(__xludf.DUMMYFUNCTION("GOOGLETRANSLATE(D330, ""en"", ""hi"")"),"B) रेडर को 1 अंक दिया जाता है")</f>
        <v>B) रेडर को 1 अंक दिया जाता है</v>
      </c>
    </row>
    <row r="331" ht="22.5" customHeight="1">
      <c r="A331" s="2">
        <v>330.0</v>
      </c>
      <c r="B331" s="3" t="s">
        <v>675</v>
      </c>
      <c r="C331" s="3" t="s">
        <v>676</v>
      </c>
      <c r="D331" s="3" t="s">
        <v>674</v>
      </c>
      <c r="F331" s="3" t="str">
        <f>IFERROR(__xludf.DUMMYFUNCTION("GOOGLETRANSLATE(A331, ""en"", ""hi"")"),"330")</f>
        <v>330</v>
      </c>
      <c r="G331" s="3" t="str">
        <f>IFERROR(__xludf.DUMMYFUNCTION("GOOGLETRANSLATE(B331, ""en"", ""hi"")"),"क्या होगा यदि कबड्डी रेडर को डिफेंडरों द्वारा पकड़ लिया जाए, लेकिन टैकल होने से पहले वह उनमें से किसी एक को टैग करने में सफल हो जाता है?")</f>
        <v>क्या होगा यदि कबड्डी रेडर को डिफेंडरों द्वारा पकड़ लिया जाए, लेकिन टैकल होने से पहले वह उनमें से किसी एक को टैग करने में सफल हो जाता है?</v>
      </c>
      <c r="H331" s="3" t="str">
        <f>IFERROR(__xludf.DUMMYFUNCTION("GOOGLETRANSLATE(C331, ""en"", ""hi"")"),"A) रेडर को 2 अंक दिए जाते हैं, B) रेडर को 1 अंक दिया जाता है, C) रेडर आउट हो जाता है, D) बचाव करने वाली टीम को 1 अंक मिलता है")</f>
        <v>A) रेडर को 2 अंक दिए जाते हैं, B) रेडर को 1 अंक दिया जाता है, C) रेडर आउट हो जाता है, D) बचाव करने वाली टीम को 1 अंक मिलता है</v>
      </c>
      <c r="I331" s="3" t="str">
        <f>IFERROR(__xludf.DUMMYFUNCTION("GOOGLETRANSLATE(D331, ""en"", ""hi"")"),"B) रेडर को 1 अंक दिया जाता है")</f>
        <v>B) रेडर को 1 अंक दिया जाता है</v>
      </c>
    </row>
    <row r="332" ht="22.5" customHeight="1">
      <c r="A332" s="2">
        <v>331.0</v>
      </c>
      <c r="B332" s="3" t="s">
        <v>677</v>
      </c>
      <c r="C332" s="3" t="s">
        <v>678</v>
      </c>
      <c r="D332" s="3" t="s">
        <v>679</v>
      </c>
      <c r="F332" s="3" t="str">
        <f>IFERROR(__xludf.DUMMYFUNCTION("GOOGLETRANSLATE(A332, ""en"", ""hi"")"),"331")</f>
        <v>331</v>
      </c>
      <c r="G332" s="3" t="str">
        <f>IFERROR(__xludf.DUMMYFUNCTION("GOOGLETRANSLATE(B332, ""en"", ""hi"")"),"कबड्डी मैच में यदि कोई रेडर अपनी रेड के दौरान फाउल करता है, तो उसकी टीम के लिए दंड क्या है?")</f>
        <v>कबड्डी मैच में यदि कोई रेडर अपनी रेड के दौरान फाउल करता है, तो उसकी टीम के लिए दंड क्या है?</v>
      </c>
      <c r="H332" s="3" t="str">
        <f>IFERROR(__xludf.DUMMYFUNCTION("GOOGLETRANSLATE(C332, ""en"", ""hi"")"),"A) टीम 1 अंक खो देती है, B) टीम को चेतावनी दी जाती है, C) प्रतिद्वंद्वी टीम को 1 अंक मिलता है, D) मैच रोक दिया जाता है")</f>
        <v>A) टीम 1 अंक खो देती है, B) टीम को चेतावनी दी जाती है, C) प्रतिद्वंद्वी टीम को 1 अंक मिलता है, D) मैच रोक दिया जाता है</v>
      </c>
      <c r="I332" s="3" t="str">
        <f>IFERROR(__xludf.DUMMYFUNCTION("GOOGLETRANSLATE(D332, ""en"", ""hi"")"),"C) प्रतिद्वंद्वी टीम को 1 अंक मिलता है")</f>
        <v>C) प्रतिद्वंद्वी टीम को 1 अंक मिलता है</v>
      </c>
    </row>
    <row r="333" ht="22.5" customHeight="1">
      <c r="A333" s="2">
        <v>332.0</v>
      </c>
      <c r="B333" s="3" t="s">
        <v>680</v>
      </c>
      <c r="C333" s="3" t="s">
        <v>607</v>
      </c>
      <c r="D333" s="3" t="s">
        <v>608</v>
      </c>
      <c r="F333" s="3" t="str">
        <f>IFERROR(__xludf.DUMMYFUNCTION("GOOGLETRANSLATE(A333, ""en"", ""hi"")"),"332")</f>
        <v>332</v>
      </c>
      <c r="G333" s="3" t="str">
        <f>IFERROR(__xludf.DUMMYFUNCTION("GOOGLETRANSLATE(B333, ""en"", ""hi"")"),"कबड्डी मैच के दौरान, यदि कोई टीम 3 डिफेंडरों को छूती है तो वह एक रेड से अधिकतम कितने अंक प्राप्त कर सकती है?")</f>
        <v>कबड्डी मैच के दौरान, यदि कोई टीम 3 डिफेंडरों को छूती है तो वह एक रेड से अधिकतम कितने अंक प्राप्त कर सकती है?</v>
      </c>
      <c r="H333" s="3" t="str">
        <f>IFERROR(__xludf.DUMMYFUNCTION("GOOGLETRANSLATE(C333, ""en"", ""hi"")"),"ए) 1, बी) 2, सी) 3, डी) 4")</f>
        <v>ए) 1, बी) 2, सी) 3, डी) 4</v>
      </c>
      <c r="I333" s="3" t="str">
        <f>IFERROR(__xludf.DUMMYFUNCTION("GOOGLETRANSLATE(D333, ""en"", ""hi"")"),"बी) 2")</f>
        <v>बी) 2</v>
      </c>
    </row>
    <row r="334" ht="22.5" customHeight="1">
      <c r="A334" s="2">
        <v>333.0</v>
      </c>
      <c r="B334" s="3" t="s">
        <v>681</v>
      </c>
      <c r="C334" s="3" t="s">
        <v>682</v>
      </c>
      <c r="D334" s="3" t="s">
        <v>204</v>
      </c>
      <c r="F334" s="3" t="str">
        <f>IFERROR(__xludf.DUMMYFUNCTION("GOOGLETRANSLATE(A334, ""en"", ""hi"")"),"333")</f>
        <v>333</v>
      </c>
      <c r="G334" s="3" t="str">
        <f>IFERROR(__xludf.DUMMYFUNCTION("GOOGLETRANSLATE(B334, ""en"", ""hi"")"),"यदि कोई कबड्डी रेडर सफलतापूर्वक प्रतिद्वंद्वी को टैग कर देता है और रेडर को तुरंत टैकल कर लिया जाता है, तो क्या होता है?")</f>
        <v>यदि कोई कबड्डी रेडर सफलतापूर्वक प्रतिद्वंद्वी को टैग कर देता है और रेडर को तुरंत टैकल कर लिया जाता है, तो क्या होता है?</v>
      </c>
      <c r="H334" s="3" t="str">
        <f>IFERROR(__xludf.DUMMYFUNCTION("GOOGLETRANSLATE(C334, ""en"", ""hi"")"),"A) रेडर को 1 अंक मिलता है, B) रेडर को 2 अंक मिलते हैं, C) रेडर आउट हो जाता है, D) बचाव करने वाली टीम को 1 अंक मिलता है")</f>
        <v>A) रेडर को 1 अंक मिलता है, B) रेडर को 2 अंक मिलते हैं, C) रेडर आउट हो जाता है, D) बचाव करने वाली टीम को 1 अंक मिलता है</v>
      </c>
      <c r="I334" s="3" t="str">
        <f>IFERROR(__xludf.DUMMYFUNCTION("GOOGLETRANSLATE(D334, ""en"", ""hi"")"),"A) रेडर को 1 अंक मिलता है")</f>
        <v>A) रेडर को 1 अंक मिलता है</v>
      </c>
    </row>
    <row r="335" ht="22.5" customHeight="1">
      <c r="A335" s="2">
        <v>334.0</v>
      </c>
      <c r="B335" s="3" t="s">
        <v>683</v>
      </c>
      <c r="C335" s="3" t="s">
        <v>684</v>
      </c>
      <c r="D335" s="3" t="s">
        <v>685</v>
      </c>
      <c r="F335" s="3" t="str">
        <f>IFERROR(__xludf.DUMMYFUNCTION("GOOGLETRANSLATE(A335, ""en"", ""hi"")"),"334")</f>
        <v>334</v>
      </c>
      <c r="G335" s="3" t="str">
        <f>IFERROR(__xludf.DUMMYFUNCTION("GOOGLETRANSLATE(B335, ""en"", ""hi"")"),"कबड्डी में 'रेड टाइम' का क्या अर्थ है?")</f>
        <v>कबड्डी में 'रेड टाइम' का क्या अर्थ है?</v>
      </c>
      <c r="H335" s="3" t="str">
        <f>IFERROR(__xludf.DUMMYFUNCTION("GOOGLETRANSLATE(C335, ""en"", ""hi"")"),"A) रेड में लगा समय, B) रेडर को वापस लौटने में लगा समय, C) मैच का कुल समय, D) टाइमआउट का समय")</f>
        <v>A) रेड में लगा समय, B) रेडर को वापस लौटने में लगा समय, C) मैच का कुल समय, D) टाइमआउट का समय</v>
      </c>
      <c r="I335" s="3" t="str">
        <f>IFERROR(__xludf.DUMMYFUNCTION("GOOGLETRANSLATE(D335, ""en"", ""hi"")"),"बी) हमलावर को वापस लौटने में लगने वाला समय")</f>
        <v>बी) हमलावर को वापस लौटने में लगने वाला समय</v>
      </c>
    </row>
    <row r="336" ht="22.5" customHeight="1">
      <c r="A336" s="2">
        <v>335.0</v>
      </c>
      <c r="B336" s="3" t="s">
        <v>686</v>
      </c>
      <c r="C336" s="3" t="s">
        <v>687</v>
      </c>
      <c r="D336" s="3" t="s">
        <v>688</v>
      </c>
      <c r="F336" s="3" t="str">
        <f>IFERROR(__xludf.DUMMYFUNCTION("GOOGLETRANSLATE(A336, ""en"", ""hi"")"),"335")</f>
        <v>335</v>
      </c>
      <c r="G336" s="3" t="str">
        <f>IFERROR(__xludf.DUMMYFUNCTION("GOOGLETRANSLATE(B336, ""en"", ""hi"")"),"कबड्डी में उस रेड के लिए क्या शब्द प्रयुक्त होता है, जहां रेडर किसी डिफेंडर को छूने में असमर्थ होता है और उसे टैकल कर दिया जाता है?")</f>
        <v>कबड्डी में उस रेड के लिए क्या शब्द प्रयुक्त होता है, जहां रेडर किसी डिफेंडर को छूने में असमर्थ होता है और उसे टैकल कर दिया जाता है?</v>
      </c>
      <c r="H336" s="3" t="str">
        <f>IFERROR(__xludf.DUMMYFUNCTION("GOOGLETRANSLATE(C336, ""en"", ""hi"")"),"A) असफल छापा, B) बोनस छापा, C) सुपर छापा, D) मृत छापा")</f>
        <v>A) असफल छापा, B) बोनस छापा, C) सुपर छापा, D) मृत छापा</v>
      </c>
      <c r="I336" s="3" t="str">
        <f>IFERROR(__xludf.DUMMYFUNCTION("GOOGLETRANSLATE(D336, ""en"", ""hi"")"),"ए) असफल छापा")</f>
        <v>ए) असफल छापा</v>
      </c>
    </row>
    <row r="337" ht="22.5" customHeight="1">
      <c r="A337" s="2">
        <v>336.0</v>
      </c>
      <c r="B337" s="3" t="s">
        <v>689</v>
      </c>
      <c r="C337" s="3" t="s">
        <v>690</v>
      </c>
      <c r="D337" s="3" t="s">
        <v>691</v>
      </c>
      <c r="F337" s="3" t="str">
        <f>IFERROR(__xludf.DUMMYFUNCTION("GOOGLETRANSLATE(A337, ""en"", ""hi"")"),"336")</f>
        <v>336</v>
      </c>
      <c r="G337" s="3" t="str">
        <f>IFERROR(__xludf.DUMMYFUNCTION("GOOGLETRANSLATE(B337, ""en"", ""hi"")"),"कबड्डी में 'बोनस लाइन' का क्या महत्व है?")</f>
        <v>कबड्डी में 'बोनस लाइन' का क्या महत्व है?</v>
      </c>
      <c r="H337" s="3" t="str">
        <f>IFERROR(__xludf.DUMMYFUNCTION("GOOGLETRANSLATE(C337, ""en"", ""hi"")"),"A) यह बोनस अंक के लिए क्षेत्र को चिह्नित करता है, B) यह वह रेखा है जहां से मैच शुरू होता है, C) यह खिलाड़ी प्रतिस्थापन के लिए रेखा है, D) यह मैदान के अंत को चिह्नित करता है")</f>
        <v>A) यह बोनस अंक के लिए क्षेत्र को चिह्नित करता है, B) यह वह रेखा है जहां से मैच शुरू होता है, C) यह खिलाड़ी प्रतिस्थापन के लिए रेखा है, D) यह मैदान के अंत को चिह्नित करता है</v>
      </c>
      <c r="I337" s="3" t="str">
        <f>IFERROR(__xludf.DUMMYFUNCTION("GOOGLETRANSLATE(D337, ""en"", ""hi"")"),"A) यह बोनस अंक के लिए क्षेत्र को चिह्नित करता है")</f>
        <v>A) यह बोनस अंक के लिए क्षेत्र को चिह्नित करता है</v>
      </c>
    </row>
    <row r="338" ht="22.5" customHeight="1">
      <c r="A338" s="2">
        <v>337.0</v>
      </c>
      <c r="B338" s="3" t="s">
        <v>692</v>
      </c>
      <c r="C338" s="3" t="s">
        <v>607</v>
      </c>
      <c r="D338" s="3" t="s">
        <v>608</v>
      </c>
      <c r="F338" s="3" t="str">
        <f>IFERROR(__xludf.DUMMYFUNCTION("GOOGLETRANSLATE(A338, ""en"", ""hi"")"),"337")</f>
        <v>337</v>
      </c>
      <c r="G338" s="3" t="str">
        <f>IFERROR(__xludf.DUMMYFUNCTION("GOOGLETRANSLATE(B338, ""en"", ""hi"")"),"कबड्डी मैच के दौरान प्रत्येक टीम को कितने टाइमआउट की अनुमति होती है?")</f>
        <v>कबड्डी मैच के दौरान प्रत्येक टीम को कितने टाइमआउट की अनुमति होती है?</v>
      </c>
      <c r="H338" s="3" t="str">
        <f>IFERROR(__xludf.DUMMYFUNCTION("GOOGLETRANSLATE(C338, ""en"", ""hi"")"),"ए) 1, बी) 2, सी) 3, डी) 4")</f>
        <v>ए) 1, बी) 2, सी) 3, डी) 4</v>
      </c>
      <c r="I338" s="3" t="str">
        <f>IFERROR(__xludf.DUMMYFUNCTION("GOOGLETRANSLATE(D338, ""en"", ""hi"")"),"बी) 2")</f>
        <v>बी) 2</v>
      </c>
    </row>
    <row r="339" ht="22.5" customHeight="1">
      <c r="A339" s="2">
        <v>338.0</v>
      </c>
      <c r="B339" s="3" t="s">
        <v>693</v>
      </c>
      <c r="C339" s="3" t="s">
        <v>694</v>
      </c>
      <c r="D339" s="3" t="s">
        <v>695</v>
      </c>
      <c r="F339" s="3" t="str">
        <f>IFERROR(__xludf.DUMMYFUNCTION("GOOGLETRANSLATE(A339, ""en"", ""hi"")"),"338")</f>
        <v>338</v>
      </c>
      <c r="G339" s="3" t="str">
        <f>IFERROR(__xludf.DUMMYFUNCTION("GOOGLETRANSLATE(B339, ""en"", ""hi"")"),"यदि किसी कबड्डी रेडर को टैकल कर दिया जाता है और रेफरी 'रेड कार्ड' का संकेत देता है, तो इसका क्या मतलब है?")</f>
        <v>यदि किसी कबड्डी रेडर को टैकल कर दिया जाता है और रेफरी 'रेड कार्ड' का संकेत देता है, तो इसका क्या मतलब है?</v>
      </c>
      <c r="H339" s="3" t="str">
        <f>IFERROR(__xludf.DUMMYFUNCTION("GOOGLETRANSLATE(C339, ""en"", ""hi"")"),"A) रेडर को दंडित किया जाता है, B) रेडर को मैच से बाहर कर दिया जाता है, C) रेडर को 1 अंक दिया जाता है, D) रेडर को चेतावनी दी जाती है")</f>
        <v>A) रेडर को दंडित किया जाता है, B) रेडर को मैच से बाहर कर दिया जाता है, C) रेडर को 1 अंक दिया जाता है, D) रेडर को चेतावनी दी जाती है</v>
      </c>
      <c r="I339" s="3" t="str">
        <f>IFERROR(__xludf.DUMMYFUNCTION("GOOGLETRANSLATE(D339, ""en"", ""hi"")"),"B) रेडर मैच से बाहर हो गया है")</f>
        <v>B) रेडर मैच से बाहर हो गया है</v>
      </c>
    </row>
    <row r="340" ht="22.5" customHeight="1">
      <c r="A340" s="2">
        <v>339.0</v>
      </c>
      <c r="B340" s="3" t="s">
        <v>696</v>
      </c>
      <c r="C340" s="3" t="s">
        <v>697</v>
      </c>
      <c r="D340" s="3" t="s">
        <v>363</v>
      </c>
      <c r="F340" s="3" t="str">
        <f>IFERROR(__xludf.DUMMYFUNCTION("GOOGLETRANSLATE(A340, ""en"", ""hi"")"),"339")</f>
        <v>339</v>
      </c>
      <c r="G340" s="3" t="str">
        <f>IFERROR(__xludf.DUMMYFUNCTION("GOOGLETRANSLATE(B340, ""en"", ""hi"")"),"कबड्डी मैच के दौरान, यदि रेडर का पैर मध्य रेखा को पार कर जाए, लेकिन किसी डिफेंडर को न छुए, तो परिणाम क्या होगा?")</f>
        <v>कबड्डी मैच के दौरान, यदि रेडर का पैर मध्य रेखा को पार कर जाए, लेकिन किसी डिफेंडर को न छुए, तो परिणाम क्या होगा?</v>
      </c>
      <c r="H340" s="3" t="str">
        <f>IFERROR(__xludf.DUMMYFUNCTION("GOOGLETRANSLATE(C340, ""en"", ""hi"")"),"A) रेडर को 2 अंक मिलते हैं, B) रेडर को 1 अंक मिलता है, C) रेडर आउट हो जाता है, D) बचाव करने वाली टीम को 1 अंक मिलता है")</f>
        <v>A) रेडर को 2 अंक मिलते हैं, B) रेडर को 1 अंक मिलता है, C) रेडर आउट हो जाता है, D) बचाव करने वाली टीम को 1 अंक मिलता है</v>
      </c>
      <c r="I340" s="3" t="str">
        <f>IFERROR(__xludf.DUMMYFUNCTION("GOOGLETRANSLATE(D340, ""en"", ""hi"")"),"C) हमलावर बाहर है")</f>
        <v>C) हमलावर बाहर है</v>
      </c>
    </row>
    <row r="341" ht="22.5" customHeight="1">
      <c r="A341" s="2">
        <v>340.0</v>
      </c>
      <c r="B341" s="3" t="s">
        <v>698</v>
      </c>
      <c r="C341" s="3" t="s">
        <v>699</v>
      </c>
      <c r="D341" s="3" t="s">
        <v>700</v>
      </c>
      <c r="F341" s="3" t="str">
        <f>IFERROR(__xludf.DUMMYFUNCTION("GOOGLETRANSLATE(A341, ""en"", ""hi"")"),"340")</f>
        <v>340</v>
      </c>
      <c r="G341" s="3" t="str">
        <f>IFERROR(__xludf.DUMMYFUNCTION("GOOGLETRANSLATE(B341, ""en"", ""hi"")"),"कबड्डी में, एक सफल रक्षात्मक चाल के लिए क्या शब्द है, जहां सभी रक्षक हमलावर से निपटने के लिए सहयोग करते हैं?")</f>
        <v>कबड्डी में, एक सफल रक्षात्मक चाल के लिए क्या शब्द है, जहां सभी रक्षक हमलावर से निपटने के लिए सहयोग करते हैं?</v>
      </c>
      <c r="H341" s="3" t="str">
        <f>IFERROR(__xludf.DUMMYFUNCTION("GOOGLETRANSLATE(C341, ""en"", ""hi"")"),"A) सुपर टैकल, B) मेगा टैकल, C) टीम टैकल, D) ऑल-आउट")</f>
        <v>A) सुपर टैकल, B) मेगा टैकल, C) टीम टैकल, D) ऑल-आउट</v>
      </c>
      <c r="I341" s="3" t="str">
        <f>IFERROR(__xludf.DUMMYFUNCTION("GOOGLETRANSLATE(D341, ""en"", ""hi"")"),"ए) सुपर टैकल")</f>
        <v>ए) सुपर टैकल</v>
      </c>
    </row>
    <row r="342" ht="22.5" customHeight="1">
      <c r="A342" s="2">
        <v>341.0</v>
      </c>
      <c r="B342" s="3" t="s">
        <v>701</v>
      </c>
      <c r="C342" s="3" t="s">
        <v>702</v>
      </c>
      <c r="D342" s="3" t="s">
        <v>703</v>
      </c>
      <c r="F342" s="3" t="str">
        <f>IFERROR(__xludf.DUMMYFUNCTION("GOOGLETRANSLATE(A342, ""en"", ""hi"")"),"341")</f>
        <v>341</v>
      </c>
      <c r="G342" s="3" t="str">
        <f>IFERROR(__xludf.DUMMYFUNCTION("GOOGLETRANSLATE(B342, ""en"", ""hi"")"),"कबड्डी मैच में 'करो या मरो रेड' का क्या मतलब है?")</f>
        <v>कबड्डी मैच में 'करो या मरो रेड' का क्या मतलब है?</v>
      </c>
      <c r="H342" s="3" t="str">
        <f>IFERROR(__xludf.DUMMYFUNCTION("GOOGLETRANSLATE(C342, ""en"", ""hi"")"),"ए) एक रेड जिसमें रेडर को स्कोर करना होगा या आउट होना होगा, बी) एक रेड जो मैच की अवधि बढ़ाती है, सी) एक रेड जो बोनस अंक प्रदान करती है, डी) एक रेड जो पेनल्टी की ओर ले जाती है")</f>
        <v>ए) एक रेड जिसमें रेडर को स्कोर करना होगा या आउट होना होगा, बी) एक रेड जो मैच की अवधि बढ़ाती है, सी) एक रेड जो बोनस अंक प्रदान करती है, डी) एक रेड जो पेनल्टी की ओर ले जाती है</v>
      </c>
      <c r="I342" s="3" t="str">
        <f>IFERROR(__xludf.DUMMYFUNCTION("GOOGLETRANSLATE(D342, ""en"", ""hi"")"),"A) एक रेड जिसमें रेडर को स्कोर करना होगा या आउट होना होगा")</f>
        <v>A) एक रेड जिसमें रेडर को स्कोर करना होगा या आउट होना होगा</v>
      </c>
    </row>
    <row r="343" ht="22.5" customHeight="1">
      <c r="A343" s="2">
        <v>342.0</v>
      </c>
      <c r="B343" s="3" t="s">
        <v>704</v>
      </c>
      <c r="C343" s="3" t="s">
        <v>705</v>
      </c>
      <c r="D343" s="3" t="s">
        <v>706</v>
      </c>
      <c r="F343" s="3" t="str">
        <f>IFERROR(__xludf.DUMMYFUNCTION("GOOGLETRANSLATE(A343, ""en"", ""hi"")"),"342")</f>
        <v>342</v>
      </c>
      <c r="G343" s="3" t="str">
        <f>IFERROR(__xludf.DUMMYFUNCTION("GOOGLETRANSLATE(B343, ""en"", ""hi"")"),"यदि कबड्डी रेडर को कई डिफेंडरों द्वारा टैकल किया जा रहा हो तो उसे क्या कदम उठाना चाहिए?")</f>
        <v>यदि कबड्डी रेडर को कई डिफेंडरों द्वारा टैकल किया जा रहा हो तो उसे क्या कदम उठाना चाहिए?</v>
      </c>
      <c r="H343" s="3" t="str">
        <f>IFERROR(__xludf.DUMMYFUNCTION("GOOGLETRANSLATE(C343, ""en"", ""hi"")"),"ए) सुपर रेड का प्रयास करें, बी) बोनस रेड का प्रयास करें, सी) अपने आधे हिस्से में वापस लौटें, डी) रोकें और पुनः आरंभ करें")</f>
        <v>ए) सुपर रेड का प्रयास करें, बी) बोनस रेड का प्रयास करें, सी) अपने आधे हिस्से में वापस लौटें, डी) रोकें और पुनः आरंभ करें</v>
      </c>
      <c r="I343" s="3" t="str">
        <f>IFERROR(__xludf.DUMMYFUNCTION("GOOGLETRANSLATE(D343, ""en"", ""hi"")"),"C) अपने आधे हिस्से में लौटना")</f>
        <v>C) अपने आधे हिस्से में लौटना</v>
      </c>
    </row>
    <row r="344" ht="22.5" customHeight="1">
      <c r="A344" s="2">
        <v>343.0</v>
      </c>
      <c r="B344" s="3" t="s">
        <v>707</v>
      </c>
      <c r="C344" s="3" t="s">
        <v>708</v>
      </c>
      <c r="D344" s="3" t="s">
        <v>709</v>
      </c>
      <c r="F344" s="3" t="str">
        <f>IFERROR(__xludf.DUMMYFUNCTION("GOOGLETRANSLATE(A344, ""en"", ""hi"")"),"343")</f>
        <v>343</v>
      </c>
      <c r="G344" s="3" t="str">
        <f>IFERROR(__xludf.DUMMYFUNCTION("GOOGLETRANSLATE(B344, ""en"", ""hi"")"),"यदि कोई कबड्डी टीम 'ऑल-आउट' स्कोर करती है, तो इसका क्या अर्थ है?")</f>
        <v>यदि कोई कबड्डी टीम 'ऑल-आउट' स्कोर करती है, तो इसका क्या अर्थ है?</v>
      </c>
      <c r="H344" s="3" t="str">
        <f>IFERROR(__xludf.DUMMYFUNCTION("GOOGLETRANSLATE(C344, ""en"", ""hi"")"),"A) विरोधी टीम के सभी डिफेंडर आउट हो गए हैं, B) सभी रेडर आउट हो गए हैं, C) मैच खत्म हो गया है, D) टीम को 5 अंक मिले हैं")</f>
        <v>A) विरोधी टीम के सभी डिफेंडर आउट हो गए हैं, B) सभी रेडर आउट हो गए हैं, C) मैच खत्म हो गया है, D) टीम को 5 अंक मिले हैं</v>
      </c>
      <c r="I344" s="3" t="str">
        <f>IFERROR(__xludf.DUMMYFUNCTION("GOOGLETRANSLATE(D344, ""en"", ""hi"")"),"A) विरोधी टीम के सभी डिफेंडर आउट हो जाते हैं")</f>
        <v>A) विरोधी टीम के सभी डिफेंडर आउट हो जाते हैं</v>
      </c>
    </row>
    <row r="345" ht="22.5" customHeight="1">
      <c r="A345" s="2">
        <v>344.0</v>
      </c>
      <c r="B345" s="3" t="s">
        <v>710</v>
      </c>
      <c r="C345" s="3" t="s">
        <v>711</v>
      </c>
      <c r="D345" s="3" t="s">
        <v>65</v>
      </c>
      <c r="F345" s="3" t="str">
        <f>IFERROR(__xludf.DUMMYFUNCTION("GOOGLETRANSLATE(A345, ""en"", ""hi"")"),"344")</f>
        <v>344</v>
      </c>
      <c r="G345" s="3" t="str">
        <f>IFERROR(__xludf.DUMMYFUNCTION("GOOGLETRANSLATE(B345, ""en"", ""hi"")"),"कबड्डी मैच के दौरान, यदि रेडर बाउंड्री से बाहर हो लेकिन डिफेंडर को छू ले तो परिणाम क्या होगा?")</f>
        <v>कबड्डी मैच के दौरान, यदि रेडर बाउंड्री से बाहर हो लेकिन डिफेंडर को छू ले तो परिणाम क्या होगा?</v>
      </c>
      <c r="H345" s="3" t="str">
        <f>IFERROR(__xludf.DUMMYFUNCTION("GOOGLETRANSLATE(C345, ""en"", ""hi"")"),"A) रेडर को 1 अंक मिलता है, B) रेडर आउट हो जाता है, C) बचाव करने वाली टीम को 2 अंक मिलते हैं, D) खेल रोक दिया जाता है")</f>
        <v>A) रेडर को 1 अंक मिलता है, B) रेडर आउट हो जाता है, C) बचाव करने वाली टीम को 2 अंक मिलते हैं, D) खेल रोक दिया जाता है</v>
      </c>
      <c r="I345" s="3" t="str">
        <f>IFERROR(__xludf.DUMMYFUNCTION("GOOGLETRANSLATE(D345, ""en"", ""hi"")"),"बी) हमलावर बाहर है")</f>
        <v>बी) हमलावर बाहर है</v>
      </c>
    </row>
    <row r="346" ht="22.5" customHeight="1">
      <c r="A346" s="2">
        <v>345.0</v>
      </c>
      <c r="B346" s="3" t="s">
        <v>712</v>
      </c>
      <c r="C346" s="3" t="s">
        <v>713</v>
      </c>
      <c r="D346" s="3" t="s">
        <v>714</v>
      </c>
      <c r="F346" s="3" t="str">
        <f>IFERROR(__xludf.DUMMYFUNCTION("GOOGLETRANSLATE(A346, ""en"", ""hi"")"),"345")</f>
        <v>345</v>
      </c>
      <c r="G346" s="3" t="str">
        <f>IFERROR(__xludf.DUMMYFUNCTION("GOOGLETRANSLATE(B346, ""en"", ""hi"")"),"कबड्डी में, रेड के दौरान एक रेडर 'कबड्डी' का नारा लगाते हुए अधिकतम कितनी देर तक अपनी सांस रोक सकता है?")</f>
        <v>कबड्डी में, रेड के दौरान एक रेडर 'कबड्डी' का नारा लगाते हुए अधिकतम कितनी देर तक अपनी सांस रोक सकता है?</v>
      </c>
      <c r="H346" s="3" t="str">
        <f>IFERROR(__xludf.DUMMYFUNCTION("GOOGLETRANSLATE(C346, ""en"", ""hi"")"),"A) 10 सेकंड, B) 15 सेकंड, C) 20 सेकंड, D) 30 सेकंड")</f>
        <v>A) 10 सेकंड, B) 15 सेकंड, C) 20 सेकंड, D) 30 सेकंड</v>
      </c>
      <c r="I346" s="3" t="str">
        <f>IFERROR(__xludf.DUMMYFUNCTION("GOOGLETRANSLATE(D346, ""en"", ""hi"")"),"बी) 15 सेकंड")</f>
        <v>बी) 15 सेकंड</v>
      </c>
    </row>
    <row r="347" ht="22.5" customHeight="1">
      <c r="A347" s="2">
        <v>346.0</v>
      </c>
      <c r="B347" s="3" t="s">
        <v>715</v>
      </c>
      <c r="C347" s="3" t="s">
        <v>716</v>
      </c>
      <c r="D347" s="3" t="s">
        <v>140</v>
      </c>
      <c r="F347" s="3" t="str">
        <f>IFERROR(__xludf.DUMMYFUNCTION("GOOGLETRANSLATE(A347, ""en"", ""hi"")"),"346")</f>
        <v>346</v>
      </c>
      <c r="G347" s="3" t="str">
        <f>IFERROR(__xludf.DUMMYFUNCTION("GOOGLETRANSLATE(B347, ""en"", ""hi"")"),"यदि कोई कबड्डी रेडर बोनस लाइन पार कर जाए और किसी डिफेंडर को छूने से पहले ही उसे टैकल कर दिया जाए तो क्या होगा?")</f>
        <v>यदि कोई कबड्डी रेडर बोनस लाइन पार कर जाए और किसी डिफेंडर को छूने से पहले ही उसे टैकल कर दिया जाए तो क्या होगा?</v>
      </c>
      <c r="H347" s="3" t="str">
        <f>IFERROR(__xludf.DUMMYFUNCTION("GOOGLETRANSLATE(C347, ""en"", ""hi"")"),"A) रेडर आउट हो जाता है, B) रेडर को 2 अंक मिलते हैं, C) बचाव करने वाली टीम को 1 अंक मिलता है, D) रेडर को बोनस अंक दिया जाता है")</f>
        <v>A) रेडर आउट हो जाता है, B) रेडर को 2 अंक मिलते हैं, C) बचाव करने वाली टीम को 1 अंक मिलता है, D) रेडर को बोनस अंक दिया जाता है</v>
      </c>
      <c r="I347" s="3" t="str">
        <f>IFERROR(__xludf.DUMMYFUNCTION("GOOGLETRANSLATE(D347, ""en"", ""hi"")"),"A) हमलावर बाहर है")</f>
        <v>A) हमलावर बाहर है</v>
      </c>
    </row>
    <row r="348" ht="22.5" customHeight="1">
      <c r="A348" s="2">
        <v>347.0</v>
      </c>
      <c r="B348" s="3" t="s">
        <v>717</v>
      </c>
      <c r="C348" s="3" t="s">
        <v>718</v>
      </c>
      <c r="D348" s="3" t="s">
        <v>719</v>
      </c>
      <c r="F348" s="3" t="str">
        <f>IFERROR(__xludf.DUMMYFUNCTION("GOOGLETRANSLATE(A348, ""en"", ""hi"")"),"347")</f>
        <v>347</v>
      </c>
      <c r="G348" s="3" t="str">
        <f>IFERROR(__xludf.DUMMYFUNCTION("GOOGLETRANSLATE(B348, ""en"", ""hi"")"),"कबड्डी में किस क्रिया के कारण किसी टीम को अत्यधिक देरी के लिए अंक कटौती के साथ दंडित किया जाता है?")</f>
        <v>कबड्डी में किस क्रिया के कारण किसी टीम को अत्यधिक देरी के लिए अंक कटौती के साथ दंडित किया जाता है?</v>
      </c>
      <c r="H348" s="3" t="str">
        <f>IFERROR(__xludf.DUMMYFUNCTION("GOOGLETRANSLATE(C348, ""en"", ""hi"")"),"ए) प्रतिस्थापन में देरी, बी) मैच की शुरुआत में देरी, सी) टाइमआउट के बाद पुनः आरंभ करने में देरी, डी) रेडिंग में देरी")</f>
        <v>ए) प्रतिस्थापन में देरी, बी) मैच की शुरुआत में देरी, सी) टाइमआउट के बाद पुनः आरंभ करने में देरी, डी) रेडिंग में देरी</v>
      </c>
      <c r="I348" s="3" t="str">
        <f>IFERROR(__xludf.DUMMYFUNCTION("GOOGLETRANSLATE(D348, ""en"", ""hi"")"),"D) छापेमारी में देरी")</f>
        <v>D) छापेमारी में देरी</v>
      </c>
    </row>
    <row r="349" ht="22.5" customHeight="1">
      <c r="A349" s="2">
        <v>348.0</v>
      </c>
      <c r="B349" s="3" t="s">
        <v>720</v>
      </c>
      <c r="C349" s="3" t="s">
        <v>721</v>
      </c>
      <c r="D349" s="3" t="s">
        <v>722</v>
      </c>
      <c r="F349" s="3" t="str">
        <f>IFERROR(__xludf.DUMMYFUNCTION("GOOGLETRANSLATE(A349, ""en"", ""hi"")"),"348")</f>
        <v>348</v>
      </c>
      <c r="G349" s="3" t="str">
        <f>IFERROR(__xludf.DUMMYFUNCTION("GOOGLETRANSLATE(B349, ""en"", ""hi"")"),"कबड्डी मैच के दौरान यदि रेडर को सफलतापूर्वक टैकल कर दिया जाता है और कोई अंक नहीं मिलता है, तो आगे क्या होगा?")</f>
        <v>कबड्डी मैच के दौरान यदि रेडर को सफलतापूर्वक टैकल कर दिया जाता है और कोई अंक नहीं मिलता है, तो आगे क्या होगा?</v>
      </c>
      <c r="H349" s="3" t="str">
        <f>IFERROR(__xludf.DUMMYFUNCTION("GOOGLETRANSLATE(C349, ""en"", ""hi"")"),"A) बचाव करने वाली टीम को 1 अंक मिलता है, B) छापा मारने वाली टीम को 1 अंक मिलता है, C) अंकों में कोई परिवर्तन किए बिना खेल जारी रहता है, D) मैच रोक दिया जाता है")</f>
        <v>A) बचाव करने वाली टीम को 1 अंक मिलता है, B) छापा मारने वाली टीम को 1 अंक मिलता है, C) अंकों में कोई परिवर्तन किए बिना खेल जारी रहता है, D) मैच रोक दिया जाता है</v>
      </c>
      <c r="I349" s="3" t="str">
        <f>IFERROR(__xludf.DUMMYFUNCTION("GOOGLETRANSLATE(D349, ""en"", ""hi"")"),"A) बचाव करने वाली टीम को 1 अंक मिलता है")</f>
        <v>A) बचाव करने वाली टीम को 1 अंक मिलता है</v>
      </c>
    </row>
    <row r="350" ht="22.5" customHeight="1">
      <c r="A350" s="2">
        <v>349.0</v>
      </c>
      <c r="B350" s="3" t="s">
        <v>723</v>
      </c>
      <c r="C350" s="3" t="s">
        <v>724</v>
      </c>
      <c r="D350" s="3" t="s">
        <v>725</v>
      </c>
      <c r="F350" s="3" t="str">
        <f>IFERROR(__xludf.DUMMYFUNCTION("GOOGLETRANSLATE(A350, ""en"", ""hi"")"),"349")</f>
        <v>349</v>
      </c>
      <c r="G350" s="3" t="str">
        <f>IFERROR(__xludf.DUMMYFUNCTION("GOOGLETRANSLATE(B350, ""en"", ""hi"")"),"यदि मैच के दौरान किसी कबड्डी खिलाड़ी को प्रतिस्थापित किया जाता है, तो एक टीम कितनी बार प्रतिस्थापन कर सकती है?")</f>
        <v>यदि मैच के दौरान किसी कबड्डी खिलाड़ी को प्रतिस्थापित किया जाता है, तो एक टीम कितनी बार प्रतिस्थापन कर सकती है?</v>
      </c>
      <c r="H350" s="3" t="str">
        <f>IFERROR(__xludf.DUMMYFUNCTION("GOOGLETRANSLATE(C350, ""en"", ""hi"")"),"ए) असीमित, बी) 2, सी) 3, डी) 4")</f>
        <v>ए) असीमित, बी) 2, सी) 3, डी) 4</v>
      </c>
      <c r="I350" s="3" t="str">
        <f>IFERROR(__xludf.DUMMYFUNCTION("GOOGLETRANSLATE(D350, ""en"", ""hi"")"),"ए) असीमित")</f>
        <v>ए) असीमित</v>
      </c>
    </row>
    <row r="351" ht="22.5" customHeight="1">
      <c r="A351" s="2">
        <v>350.0</v>
      </c>
      <c r="B351" s="3" t="s">
        <v>726</v>
      </c>
      <c r="C351" s="3" t="s">
        <v>727</v>
      </c>
      <c r="D351" s="3" t="s">
        <v>728</v>
      </c>
      <c r="F351" s="3" t="str">
        <f>IFERROR(__xludf.DUMMYFUNCTION("GOOGLETRANSLATE(A351, ""en"", ""hi"")"),"350")</f>
        <v>350</v>
      </c>
      <c r="G351" s="3" t="str">
        <f>IFERROR(__xludf.DUMMYFUNCTION("GOOGLETRANSLATE(B351, ""en"", ""hi"")"),"कबड्डी में 'रेड लाइन' शब्द का क्या अर्थ है?")</f>
        <v>कबड्डी में 'रेड लाइन' शब्द का क्या अर्थ है?</v>
      </c>
      <c r="H351" s="3" t="str">
        <f>IFERROR(__xludf.DUMMYFUNCTION("GOOGLETRANSLATE(C351, ""en"", ""hi"")"),"A) वह रेखा जहाँ से रेडर अपनी रेड शुरू करता है, B) वह रेखा जो मैदान के अंत को चिह्नित करती है, C) वह रेखा जहाँ डिफेंडर खड़े होते हैं, D) खिलाड़ी प्रतिस्थापन के लिए रेखा")</f>
        <v>A) वह रेखा जहाँ से रेडर अपनी रेड शुरू करता है, B) वह रेखा जो मैदान के अंत को चिह्नित करती है, C) वह रेखा जहाँ डिफेंडर खड़े होते हैं, D) खिलाड़ी प्रतिस्थापन के लिए रेखा</v>
      </c>
      <c r="I351" s="3" t="str">
        <f>IFERROR(__xludf.DUMMYFUNCTION("GOOGLETRANSLATE(D351, ""en"", ""hi"")"),"A) वह रेखा जहाँ से हमलावर अपना हमला शुरू करता है")</f>
        <v>A) वह रेखा जहाँ से हमलावर अपना हमला शुरू करता है</v>
      </c>
    </row>
    <row r="352" ht="22.5" customHeight="1">
      <c r="A352" s="2">
        <v>351.0</v>
      </c>
      <c r="B352" s="3" t="s">
        <v>729</v>
      </c>
      <c r="C352" s="3" t="s">
        <v>730</v>
      </c>
      <c r="D352" s="3" t="s">
        <v>65</v>
      </c>
      <c r="F352" s="3" t="str">
        <f>IFERROR(__xludf.DUMMYFUNCTION("GOOGLETRANSLATE(A352, ""en"", ""hi"")"),"351")</f>
        <v>351</v>
      </c>
      <c r="G352" s="3" t="str">
        <f>IFERROR(__xludf.DUMMYFUNCTION("GOOGLETRANSLATE(B352, ""en"", ""hi"")"),"यदि कबड्डी रेडर प्रतिद्वंद्वी को छूता है और वापस लौटने से पहले मध्य रेखा को पार कर जाता है तो क्या दंड है?")</f>
        <v>यदि कबड्डी रेडर प्रतिद्वंद्वी को छूता है और वापस लौटने से पहले मध्य रेखा को पार कर जाता है तो क्या दंड है?</v>
      </c>
      <c r="H352" s="3" t="str">
        <f>IFERROR(__xludf.DUMMYFUNCTION("GOOGLETRANSLATE(C352, ""en"", ""hi"")"),"A) रेडर को 1 अंक दिया जाता है, B) रेडर आउट हो जाता है, C) बचाव करने वाली टीम को 1 अंक मिलता है, D) मैच रोक दिया जाता है")</f>
        <v>A) रेडर को 1 अंक दिया जाता है, B) रेडर आउट हो जाता है, C) बचाव करने वाली टीम को 1 अंक मिलता है, D) मैच रोक दिया जाता है</v>
      </c>
      <c r="I352" s="3" t="str">
        <f>IFERROR(__xludf.DUMMYFUNCTION("GOOGLETRANSLATE(D352, ""en"", ""hi"")"),"बी) हमलावर बाहर है")</f>
        <v>बी) हमलावर बाहर है</v>
      </c>
    </row>
    <row r="353" ht="22.5" customHeight="1">
      <c r="A353" s="2">
        <v>352.0</v>
      </c>
      <c r="B353" s="3" t="s">
        <v>731</v>
      </c>
      <c r="C353" s="3" t="s">
        <v>47</v>
      </c>
      <c r="D353" s="3" t="s">
        <v>52</v>
      </c>
      <c r="F353" s="3" t="str">
        <f>IFERROR(__xludf.DUMMYFUNCTION("GOOGLETRANSLATE(A353, ""en"", ""hi"")"),"352")</f>
        <v>352</v>
      </c>
      <c r="G353" s="3" t="str">
        <f>IFERROR(__xludf.DUMMYFUNCTION("GOOGLETRANSLATE(B353, ""en"", ""hi"")"),"कबड्डी में यदि कोई टीम तकनीकी फ़ाउल करती है तो विरोधी टीम को कितने अंक मिलते हैं?")</f>
        <v>कबड्डी में यदि कोई टीम तकनीकी फ़ाउल करती है तो विरोधी टीम को कितने अंक मिलते हैं?</v>
      </c>
      <c r="H353" s="3" t="str">
        <f>IFERROR(__xludf.DUMMYFUNCTION("GOOGLETRANSLATE(C353, ""en"", ""hi"")"),"A) 1 अंक, B) 2 अंक, C) 3 अंक, D) 4 अंक")</f>
        <v>A) 1 अंक, B) 2 अंक, C) 3 अंक, D) 4 अंक</v>
      </c>
      <c r="I353" s="3" t="str">
        <f>IFERROR(__xludf.DUMMYFUNCTION("GOOGLETRANSLATE(D353, ""en"", ""hi"")"),"ए) 1 अंक")</f>
        <v>ए) 1 अंक</v>
      </c>
    </row>
    <row r="354" ht="22.5" customHeight="1">
      <c r="A354" s="2">
        <v>353.0</v>
      </c>
      <c r="B354" s="3" t="s">
        <v>732</v>
      </c>
      <c r="C354" s="3" t="s">
        <v>733</v>
      </c>
      <c r="D354" s="3" t="s">
        <v>734</v>
      </c>
      <c r="F354" s="3" t="str">
        <f>IFERROR(__xludf.DUMMYFUNCTION("GOOGLETRANSLATE(A354, ""en"", ""hi"")"),"353")</f>
        <v>353</v>
      </c>
      <c r="G354" s="3" t="str">
        <f>IFERROR(__xludf.DUMMYFUNCTION("GOOGLETRANSLATE(B354, ""en"", ""hi"")"),"कबड्डी में डिफेंडर की भूमिका क्या है?")</f>
        <v>कबड्डी में डिफेंडर की भूमिका क्या है?</v>
      </c>
      <c r="H354" s="3" t="str">
        <f>IFERROR(__xludf.DUMMYFUNCTION("GOOGLETRANSLATE(C354, ""en"", ""hi"")"),"A) रेडिंग करके अंक प्राप्त करना, B) रेडर को स्कोर करने से रोकना, C) रेडर को बदलना, D) टीम को प्रशिक्षित करना")</f>
        <v>A) रेडिंग करके अंक प्राप्त करना, B) रेडर को स्कोर करने से रोकना, C) रेडर को बदलना, D) टीम को प्रशिक्षित करना</v>
      </c>
      <c r="I354" s="3" t="str">
        <f>IFERROR(__xludf.DUMMYFUNCTION("GOOGLETRANSLATE(D354, ""en"", ""hi"")"),"बी) रेडर को स्कोर करने से रोकने के लिए")</f>
        <v>बी) रेडर को स्कोर करने से रोकने के लिए</v>
      </c>
    </row>
    <row r="355" ht="22.5" customHeight="1">
      <c r="A355" s="2">
        <v>354.0</v>
      </c>
      <c r="B355" s="3" t="s">
        <v>735</v>
      </c>
      <c r="C355" s="3" t="s">
        <v>47</v>
      </c>
      <c r="D355" s="3" t="s">
        <v>16</v>
      </c>
      <c r="F355" s="3" t="str">
        <f>IFERROR(__xludf.DUMMYFUNCTION("GOOGLETRANSLATE(A355, ""en"", ""hi"")"),"354")</f>
        <v>354</v>
      </c>
      <c r="G355" s="3" t="str">
        <f>IFERROR(__xludf.DUMMYFUNCTION("GOOGLETRANSLATE(B355, ""en"", ""hi"")"),"कबड्डी मैच के दौरान, यदि रेडर सफलतापूर्वक दो विरोधियों को टैग करता है और वापस लौटता है, तो उस रेड का कुल स्कोर क्या है?")</f>
        <v>कबड्डी मैच के दौरान, यदि रेडर सफलतापूर्वक दो विरोधियों को टैग करता है और वापस लौटता है, तो उस रेड का कुल स्कोर क्या है?</v>
      </c>
      <c r="H355" s="3" t="str">
        <f>IFERROR(__xludf.DUMMYFUNCTION("GOOGLETRANSLATE(C355, ""en"", ""hi"")"),"A) 1 अंक, B) 2 अंक, C) 3 अंक, D) 4 अंक")</f>
        <v>A) 1 अंक, B) 2 अंक, C) 3 अंक, D) 4 अंक</v>
      </c>
      <c r="I355" s="3" t="str">
        <f>IFERROR(__xludf.DUMMYFUNCTION("GOOGLETRANSLATE(D355, ""en"", ""hi"")"),"बी) 2 अंक")</f>
        <v>बी) 2 अंक</v>
      </c>
    </row>
    <row r="356" ht="22.5" customHeight="1">
      <c r="A356" s="2">
        <v>355.0</v>
      </c>
      <c r="B356" s="3" t="s">
        <v>736</v>
      </c>
      <c r="C356" s="3" t="s">
        <v>737</v>
      </c>
      <c r="D356" s="3" t="s">
        <v>738</v>
      </c>
      <c r="F356" s="3" t="str">
        <f>IFERROR(__xludf.DUMMYFUNCTION("GOOGLETRANSLATE(A356, ""en"", ""hi"")"),"355")</f>
        <v>355</v>
      </c>
      <c r="G356" s="3" t="str">
        <f>IFERROR(__xludf.DUMMYFUNCTION("GOOGLETRANSLATE(B356, ""en"", ""hi"")"),"यदि कोई कबड्डी खिलाड़ी चोट के कारण मैदान से बाहर हो जाता है, तो उनकी टीम के लिए क्या प्रोटोकॉल है?")</f>
        <v>यदि कोई कबड्डी खिलाड़ी चोट के कारण मैदान से बाहर हो जाता है, तो उनकी टीम के लिए क्या प्रोटोकॉल है?</v>
      </c>
      <c r="H356" s="3" t="str">
        <f>IFERROR(__xludf.DUMMYFUNCTION("GOOGLETRANSLATE(C356, ""en"", ""hi"")"),"A) टीम को एक खिलाड़ी कम के साथ खेलना होगा, B) टीम को खिलाड़ी बदलने की अनुमति होगी, C) टीम को पेनल्टी मिलेगी, D) मैच रोक दिया जाएगा")</f>
        <v>A) टीम को एक खिलाड़ी कम के साथ खेलना होगा, B) टीम को खिलाड़ी बदलने की अनुमति होगी, C) टीम को पेनल्टी मिलेगी, D) मैच रोक दिया जाएगा</v>
      </c>
      <c r="I356" s="3" t="str">
        <f>IFERROR(__xludf.DUMMYFUNCTION("GOOGLETRANSLATE(D356, ""en"", ""hi"")"),"B) टीम को खिलाड़ी को प्रतिस्थापित करने की अनुमति है")</f>
        <v>B) टीम को खिलाड़ी को प्रतिस्थापित करने की अनुमति है</v>
      </c>
    </row>
    <row r="357" ht="22.5" customHeight="1">
      <c r="A357" s="2">
        <v>356.0</v>
      </c>
      <c r="B357" s="3" t="s">
        <v>739</v>
      </c>
      <c r="C357" s="3" t="s">
        <v>740</v>
      </c>
      <c r="D357" s="3" t="s">
        <v>741</v>
      </c>
      <c r="F357" s="3" t="str">
        <f>IFERROR(__xludf.DUMMYFUNCTION("GOOGLETRANSLATE(A357, ""en"", ""hi"")"),"356")</f>
        <v>356</v>
      </c>
      <c r="G357" s="3" t="str">
        <f>IFERROR(__xludf.DUMMYFUNCTION("GOOGLETRANSLATE(B357, ""en"", ""hi"")"),"कबड्डी में, उस स्थिति को क्या कहते हैं, जहां सभी डिफेंडर आउट हो जाते हैं और रेडिंग टीम एक अतिरिक्त अंक अर्जित करती है?")</f>
        <v>कबड्डी में, उस स्थिति को क्या कहते हैं, जहां सभी डिफेंडर आउट हो जाते हैं और रेडिंग टीम एक अतिरिक्त अंक अर्जित करती है?</v>
      </c>
      <c r="H357" s="3" t="str">
        <f>IFERROR(__xludf.DUMMYFUNCTION("GOOGLETRANSLATE(C357, ""en"", ""hi"")"),"ए) सुपर टैकल, बी) ऑल-आउट, सी) बोनस, डी) करो या मरो")</f>
        <v>ए) सुपर टैकल, बी) ऑल-आउट, सी) बोनस, डी) करो या मरो</v>
      </c>
      <c r="I357" s="3" t="str">
        <f>IFERROR(__xludf.DUMMYFUNCTION("GOOGLETRANSLATE(D357, ""en"", ""hi"")"),"बी) ऑल-आउट")</f>
        <v>बी) ऑल-आउट</v>
      </c>
    </row>
    <row r="358" ht="22.5" customHeight="1">
      <c r="A358" s="2">
        <v>357.0</v>
      </c>
      <c r="B358" s="3" t="s">
        <v>742</v>
      </c>
      <c r="C358" s="3" t="s">
        <v>743</v>
      </c>
      <c r="D358" s="3" t="s">
        <v>744</v>
      </c>
      <c r="F358" s="3" t="str">
        <f>IFERROR(__xludf.DUMMYFUNCTION("GOOGLETRANSLATE(A358, ""en"", ""hi"")"),"357")</f>
        <v>357</v>
      </c>
      <c r="G358" s="3" t="str">
        <f>IFERROR(__xludf.DUMMYFUNCTION("GOOGLETRANSLATE(B358, ""en"", ""hi"")"),"कबड्डी में 'सब्सटीट्यूशन लाइन' का क्या महत्व है?")</f>
        <v>कबड्डी में 'सब्सटीट्यूशन लाइन' का क्या महत्व है?</v>
      </c>
      <c r="H358" s="3" t="str">
        <f>IFERROR(__xludf.DUMMYFUNCTION("GOOGLETRANSLATE(C358, ""en"", ""hi"")"),"A) यह वह रेखा है जहां खिलाड़ी प्रतिस्थापन किए जाते हैं, B) यह वह रेखा है जहां रेडर शुरू होता है, C) यह मैदान के अंत को चिह्नित करता है, D) इसका उपयोग बोनस अंक निर्धारण के लिए किया जाता है")</f>
        <v>A) यह वह रेखा है जहां खिलाड़ी प्रतिस्थापन किए जाते हैं, B) यह वह रेखा है जहां रेडर शुरू होता है, C) यह मैदान के अंत को चिह्नित करता है, D) इसका उपयोग बोनस अंक निर्धारण के लिए किया जाता है</v>
      </c>
      <c r="I358" s="3" t="str">
        <f>IFERROR(__xludf.DUMMYFUNCTION("GOOGLETRANSLATE(D358, ""en"", ""hi"")"),"A) यह वह रेखा है जहाँ खिलाड़ी प्रतिस्थापन किए जाते हैं")</f>
        <v>A) यह वह रेखा है जहाँ खिलाड़ी प्रतिस्थापन किए जाते हैं</v>
      </c>
    </row>
    <row r="359" ht="22.5" customHeight="1">
      <c r="A359" s="2">
        <v>358.0</v>
      </c>
      <c r="B359" s="3" t="s">
        <v>745</v>
      </c>
      <c r="C359" s="3" t="s">
        <v>47</v>
      </c>
      <c r="D359" s="3" t="s">
        <v>52</v>
      </c>
      <c r="F359" s="3" t="str">
        <f>IFERROR(__xludf.DUMMYFUNCTION("GOOGLETRANSLATE(A359, ""en"", ""hi"")"),"358")</f>
        <v>358</v>
      </c>
      <c r="G359" s="3" t="str">
        <f>IFERROR(__xludf.DUMMYFUNCTION("GOOGLETRANSLATE(B359, ""en"", ""hi"")"),"कबड्डी में, यदि रेडर किसी प्रतिद्वंद्वी को छूने में असफल रहता है और उसे टैकल कर दिया जाता है, तो बचाव करने वाली टीम को अंक कैसे दिया जाता है?")</f>
        <v>कबड्डी में, यदि रेडर किसी प्रतिद्वंद्वी को छूने में असफल रहता है और उसे टैकल कर दिया जाता है, तो बचाव करने वाली टीम को अंक कैसे दिया जाता है?</v>
      </c>
      <c r="H359" s="3" t="str">
        <f>IFERROR(__xludf.DUMMYFUNCTION("GOOGLETRANSLATE(C359, ""en"", ""hi"")"),"A) 1 अंक, B) 2 अंक, C) 3 अंक, D) 4 अंक")</f>
        <v>A) 1 अंक, B) 2 अंक, C) 3 अंक, D) 4 अंक</v>
      </c>
      <c r="I359" s="3" t="str">
        <f>IFERROR(__xludf.DUMMYFUNCTION("GOOGLETRANSLATE(D359, ""en"", ""hi"")"),"ए) 1 अंक")</f>
        <v>ए) 1 अंक</v>
      </c>
    </row>
    <row r="360" ht="22.5" customHeight="1">
      <c r="A360" s="2">
        <v>359.0</v>
      </c>
      <c r="B360" s="3" t="s">
        <v>746</v>
      </c>
      <c r="C360" s="3" t="s">
        <v>747</v>
      </c>
      <c r="D360" s="3" t="s">
        <v>748</v>
      </c>
      <c r="F360" s="3" t="str">
        <f>IFERROR(__xludf.DUMMYFUNCTION("GOOGLETRANSLATE(A360, ""en"", ""hi"")"),"359")</f>
        <v>359</v>
      </c>
      <c r="G360" s="3" t="str">
        <f>IFERROR(__xludf.DUMMYFUNCTION("GOOGLETRANSLATE(B360, ""en"", ""hi"")"),"एक मैच के दौरान कबड्डी टीम में बेंच पर अधिकतम कितने खिलाड़ी हो सकते हैं?")</f>
        <v>एक मैच के दौरान कबड्डी टीम में बेंच पर अधिकतम कितने खिलाड़ी हो सकते हैं?</v>
      </c>
      <c r="H360" s="3" t="str">
        <f>IFERROR(__xludf.DUMMYFUNCTION("GOOGLETRANSLATE(C360, ""en"", ""hi"")"),"ए) 5, बी) 7, सी) 10, डी) 12")</f>
        <v>ए) 5, बी) 7, सी) 10, डी) 12</v>
      </c>
      <c r="I360" s="3" t="str">
        <f>IFERROR(__xludf.DUMMYFUNCTION("GOOGLETRANSLATE(D360, ""en"", ""hi"")"),"डी) 12")</f>
        <v>डी) 12</v>
      </c>
    </row>
    <row r="361" ht="22.5" customHeight="1">
      <c r="A361" s="2">
        <v>360.0</v>
      </c>
      <c r="B361" s="3" t="s">
        <v>749</v>
      </c>
      <c r="C361" s="3" t="s">
        <v>750</v>
      </c>
      <c r="D361" s="3" t="s">
        <v>65</v>
      </c>
      <c r="F361" s="3" t="str">
        <f>IFERROR(__xludf.DUMMYFUNCTION("GOOGLETRANSLATE(A361, ""en"", ""hi"")"),"360")</f>
        <v>360</v>
      </c>
      <c r="G361" s="3" t="str">
        <f>IFERROR(__xludf.DUMMYFUNCTION("GOOGLETRANSLATE(B361, ""en"", ""hi"")"),"कबड्डी मैच के दौरान, यदि रेडर बोनस लाइन पार कर जाए, लेकिन डिफेंडर को टैग न कर पाए, तो क्या होगा?")</f>
        <v>कबड्डी मैच के दौरान, यदि रेडर बोनस लाइन पार कर जाए, लेकिन डिफेंडर को टैग न कर पाए, तो क्या होगा?</v>
      </c>
      <c r="H361" s="3" t="str">
        <f>IFERROR(__xludf.DUMMYFUNCTION("GOOGLETRANSLATE(C361, ""en"", ""hi"")"),"A) रेडर को 2 अंक मिलते हैं, B) रेडर आउट हो जाता है, C) बचाव करने वाली टीम को 1 अंक मिलता है, D) रेड करने वाली टीम को 1 अंक मिलता है")</f>
        <v>A) रेडर को 2 अंक मिलते हैं, B) रेडर आउट हो जाता है, C) बचाव करने वाली टीम को 1 अंक मिलता है, D) रेड करने वाली टीम को 1 अंक मिलता है</v>
      </c>
      <c r="I361" s="3" t="str">
        <f>IFERROR(__xludf.DUMMYFUNCTION("GOOGLETRANSLATE(D361, ""en"", ""hi"")"),"बी) हमलावर बाहर है")</f>
        <v>बी) हमलावर बाहर है</v>
      </c>
    </row>
    <row r="362" ht="22.5" customHeight="1">
      <c r="A362" s="2">
        <v>361.0</v>
      </c>
      <c r="B362" s="3" t="s">
        <v>751</v>
      </c>
      <c r="C362" s="3" t="s">
        <v>752</v>
      </c>
      <c r="D362" s="3" t="s">
        <v>753</v>
      </c>
      <c r="F362" s="3" t="str">
        <f>IFERROR(__xludf.DUMMYFUNCTION("GOOGLETRANSLATE(A362, ""en"", ""hi"")"),"361")</f>
        <v>361</v>
      </c>
      <c r="G362" s="3" t="str">
        <f>IFERROR(__xludf.DUMMYFUNCTION("GOOGLETRANSLATE(B362, ""en"", ""hi"")"),"यदि कबड्डी रेडर को बोनस लाइन पार करते समय टैकल किया जाता है और रेफरी 'ग्रीन कार्ड' का संकेत देता है, तो इसका क्या मतलब है?")</f>
        <v>यदि कबड्डी रेडर को बोनस लाइन पार करते समय टैकल किया जाता है और रेफरी 'ग्रीन कार्ड' का संकेत देता है, तो इसका क्या मतलब है?</v>
      </c>
      <c r="H362" s="3" t="str">
        <f>IFERROR(__xludf.DUMMYFUNCTION("GOOGLETRANSLATE(C362, ""en"", ""hi"")"),"A) रेडर आउट हो जाता है, B) रेडर को दंडित किया जाता है, C) रेडर को चेतावनी दी जाती है, D) रेडर को 1 अंक दिया जाता है")</f>
        <v>A) रेडर आउट हो जाता है, B) रेडर को दंडित किया जाता है, C) रेडर को चेतावनी दी जाती है, D) रेडर को 1 अंक दिया जाता है</v>
      </c>
      <c r="I362" s="3" t="str">
        <f>IFERROR(__xludf.DUMMYFUNCTION("GOOGLETRANSLATE(D362, ""en"", ""hi"")"),"C) हमलावर को चेतावनी दी जाती है")</f>
        <v>C) हमलावर को चेतावनी दी जाती है</v>
      </c>
    </row>
    <row r="363" ht="22.5" customHeight="1">
      <c r="A363" s="2">
        <v>362.0</v>
      </c>
      <c r="B363" s="3" t="s">
        <v>754</v>
      </c>
      <c r="C363" s="3" t="s">
        <v>755</v>
      </c>
      <c r="D363" s="3" t="s">
        <v>756</v>
      </c>
      <c r="F363" s="3" t="str">
        <f>IFERROR(__xludf.DUMMYFUNCTION("GOOGLETRANSLATE(A363, ""en"", ""hi"")"),"362")</f>
        <v>362</v>
      </c>
      <c r="G363" s="3" t="str">
        <f>IFERROR(__xludf.DUMMYFUNCTION("GOOGLETRANSLATE(B363, ""en"", ""hi"")"),"कबड्डी मैच में यदि कोई डिफेंडर रेडर को पकड़कर या धक्का देकर फाउल करता है तो इसका परिणाम क्या होगा?")</f>
        <v>कबड्डी मैच में यदि कोई डिफेंडर रेडर को पकड़कर या धक्का देकर फाउल करता है तो इसका परिणाम क्या होगा?</v>
      </c>
      <c r="H363" s="3" t="str">
        <f>IFERROR(__xludf.DUMMYFUNCTION("GOOGLETRANSLATE(C363, ""en"", ""hi"")"),"A) रेडर को एक अंक मिलता है, B) डिफेंडर आउट हो जाता है, C) रेड करने वाली टीम को पेनल्टी मिलती है, D) खेल रोक दिया जाता है")</f>
        <v>A) रेडर को एक अंक मिलता है, B) डिफेंडर आउट हो जाता है, C) रेड करने वाली टीम को पेनल्टी मिलती है, D) खेल रोक दिया जाता है</v>
      </c>
      <c r="I363" s="3" t="str">
        <f>IFERROR(__xludf.DUMMYFUNCTION("GOOGLETRANSLATE(D363, ""en"", ""hi"")"),"A) हमलावर को एक अंक मिलता है")</f>
        <v>A) हमलावर को एक अंक मिलता है</v>
      </c>
    </row>
    <row r="364" ht="22.5" customHeight="1">
      <c r="A364" s="2">
        <v>363.0</v>
      </c>
      <c r="B364" s="3" t="s">
        <v>757</v>
      </c>
      <c r="C364" s="3" t="s">
        <v>758</v>
      </c>
      <c r="D364" s="3" t="s">
        <v>759</v>
      </c>
      <c r="F364" s="3" t="str">
        <f>IFERROR(__xludf.DUMMYFUNCTION("GOOGLETRANSLATE(A364, ""en"", ""hi"")"),"363")</f>
        <v>363</v>
      </c>
      <c r="G364" s="3" t="str">
        <f>IFERROR(__xludf.DUMMYFUNCTION("GOOGLETRANSLATE(B364, ""en"", ""hi"")"),"कबड्डी में 'रेड टाइमर' का उद्देश्य क्या है?")</f>
        <v>कबड्डी में 'रेड टाइमर' का उद्देश्य क्या है?</v>
      </c>
      <c r="H364" s="3" t="str">
        <f>IFERROR(__xludf.DUMMYFUNCTION("GOOGLETRANSLATE(C364, ""en"", ""hi"")"),"A) प्रत्येक रेड की अवधि को ट्रैक करने के लिए, B) कुल मैच समय की गणना करने के लिए, C) खिलाड़ी प्रतिस्थापन का प्रबंधन करने के लिए, D) स्कोर की निगरानी करने के लिए")</f>
        <v>A) प्रत्येक रेड की अवधि को ट्रैक करने के लिए, B) कुल मैच समय की गणना करने के लिए, C) खिलाड़ी प्रतिस्थापन का प्रबंधन करने के लिए, D) स्कोर की निगरानी करने के लिए</v>
      </c>
      <c r="I364" s="3" t="str">
        <f>IFERROR(__xludf.DUMMYFUNCTION("GOOGLETRANSLATE(D364, ""en"", ""hi"")"),"A) प्रत्येक छापे की अवधि को ट्रैक करने के लिए")</f>
        <v>A) प्रत्येक छापे की अवधि को ट्रैक करने के लिए</v>
      </c>
    </row>
    <row r="365" ht="22.5" customHeight="1">
      <c r="A365" s="2">
        <v>364.0</v>
      </c>
      <c r="B365" s="3" t="s">
        <v>760</v>
      </c>
      <c r="C365" s="3" t="s">
        <v>761</v>
      </c>
      <c r="D365" s="3" t="s">
        <v>65</v>
      </c>
      <c r="F365" s="3" t="str">
        <f>IFERROR(__xludf.DUMMYFUNCTION("GOOGLETRANSLATE(A365, ""en"", ""hi"")"),"364")</f>
        <v>364</v>
      </c>
      <c r="G365" s="3" t="str">
        <f>IFERROR(__xludf.DUMMYFUNCTION("GOOGLETRANSLATE(B365, ""en"", ""hi"")"),"यदि कबड्डी रेडर रेडिंग करते समय सीमा से बाहर चला जाए तो क्या होगा?")</f>
        <v>यदि कबड्डी रेडर रेडिंग करते समय सीमा से बाहर चला जाए तो क्या होगा?</v>
      </c>
      <c r="H365" s="3" t="str">
        <f>IFERROR(__xludf.DUMMYFUNCTION("GOOGLETRANSLATE(C365, ""en"", ""hi"")"),"A) रेडर को 1 अंक दिया जाता है, B) रेडर आउट हो जाता है, C) बचाव करने वाली टीम को 2 अंक मिलते हैं, D) खेल रोक दिया जाता है")</f>
        <v>A) रेडर को 1 अंक दिया जाता है, B) रेडर आउट हो जाता है, C) बचाव करने वाली टीम को 2 अंक मिलते हैं, D) खेल रोक दिया जाता है</v>
      </c>
      <c r="I365" s="3" t="str">
        <f>IFERROR(__xludf.DUMMYFUNCTION("GOOGLETRANSLATE(D365, ""en"", ""hi"")"),"बी) हमलावर बाहर है")</f>
        <v>बी) हमलावर बाहर है</v>
      </c>
    </row>
    <row r="366" ht="22.5" customHeight="1">
      <c r="A366" s="2">
        <v>365.0</v>
      </c>
      <c r="B366" s="3" t="s">
        <v>762</v>
      </c>
      <c r="C366" s="3" t="s">
        <v>763</v>
      </c>
      <c r="D366" s="3" t="s">
        <v>599</v>
      </c>
      <c r="F366" s="3" t="str">
        <f>IFERROR(__xludf.DUMMYFUNCTION("GOOGLETRANSLATE(A366, ""en"", ""hi"")"),"365")</f>
        <v>365</v>
      </c>
      <c r="G366" s="3" t="str">
        <f>IFERROR(__xludf.DUMMYFUNCTION("GOOGLETRANSLATE(B366, ""en"", ""hi"")"),"कबड्डी में, यदि कोई रेडर डिफेंडर द्वारा पकड़ा जाता है, लेकिन टैकल होने से पहले वह किसी को टैग करने में सफल हो जाता है, तो वह क्या कार्रवाई करता है?")</f>
        <v>कबड्डी में, यदि कोई रेडर डिफेंडर द्वारा पकड़ा जाता है, लेकिन टैकल होने से पहले वह किसी को टैग करने में सफल हो जाता है, तो वह क्या कार्रवाई करता है?</v>
      </c>
      <c r="H366" s="3" t="str">
        <f>IFERROR(__xludf.DUMMYFUNCTION("GOOGLETRANSLATE(C366, ""en"", ""hi"")"),"A) रेडर आउट हो गया, B) रेडर को 1 अंक मिला, C) रेडर को 2 अंक मिले, D) बचाव करने वाली टीम को 1 अंक मिला")</f>
        <v>A) रेडर आउट हो गया, B) रेडर को 1 अंक मिला, C) रेडर को 2 अंक मिले, D) बचाव करने वाली टीम को 1 अंक मिला</v>
      </c>
      <c r="I366" s="3" t="str">
        <f>IFERROR(__xludf.DUMMYFUNCTION("GOOGLETRANSLATE(D366, ""en"", ""hi"")"),"B) रेडर को 1 अंक मिलता है")</f>
        <v>B) रेडर को 1 अंक मिलता है</v>
      </c>
    </row>
    <row r="367" ht="22.5" customHeight="1">
      <c r="A367" s="2">
        <v>366.0</v>
      </c>
      <c r="B367" s="3" t="s">
        <v>764</v>
      </c>
      <c r="C367" s="3" t="s">
        <v>765</v>
      </c>
      <c r="D367" s="3" t="s">
        <v>766</v>
      </c>
      <c r="F367" s="3" t="str">
        <f>IFERROR(__xludf.DUMMYFUNCTION("GOOGLETRANSLATE(A367, ""en"", ""hi"")"),"366")</f>
        <v>366</v>
      </c>
      <c r="G367" s="3" t="str">
        <f>IFERROR(__xludf.DUMMYFUNCTION("GOOGLETRANSLATE(B367, ""en"", ""hi"")"),"यदि कोई कबड्डी टीम 'ऑल-आउट' स्कोर करती है, तो खेल पर क्या प्रभाव पड़ता है?")</f>
        <v>यदि कोई कबड्डी टीम 'ऑल-आउट' स्कोर करती है, तो खेल पर क्या प्रभाव पड़ता है?</v>
      </c>
      <c r="H367" s="3" t="str">
        <f>IFERROR(__xludf.DUMMYFUNCTION("GOOGLETRANSLATE(C367, ""en"", ""hi"")"),"A) खेल सामान्य रूप से जारी रहता है, B) टीम को अतिरिक्त अंक मिलते हैं, C) मैच समाप्त घोषित कर दिया जाता है, D) विरोधी टीम को दंडित किया जाता है")</f>
        <v>A) खेल सामान्य रूप से जारी रहता है, B) टीम को अतिरिक्त अंक मिलते हैं, C) मैच समाप्त घोषित कर दिया जाता है, D) विरोधी टीम को दंडित किया जाता है</v>
      </c>
      <c r="I367" s="3" t="str">
        <f>IFERROR(__xludf.DUMMYFUNCTION("GOOGLETRANSLATE(D367, ""en"", ""hi"")"),"B) टीम को अतिरिक्त अंक मिलते हैं")</f>
        <v>B) टीम को अतिरिक्त अंक मिलते हैं</v>
      </c>
    </row>
    <row r="368" ht="22.5" customHeight="1">
      <c r="A368" s="2">
        <v>367.0</v>
      </c>
      <c r="B368" s="3" t="s">
        <v>767</v>
      </c>
      <c r="C368" s="3" t="s">
        <v>768</v>
      </c>
      <c r="D368" s="3" t="s">
        <v>769</v>
      </c>
      <c r="F368" s="3" t="str">
        <f>IFERROR(__xludf.DUMMYFUNCTION("GOOGLETRANSLATE(A368, ""en"", ""hi"")"),"367")</f>
        <v>367</v>
      </c>
      <c r="G368" s="3" t="str">
        <f>IFERROR(__xludf.DUMMYFUNCTION("GOOGLETRANSLATE(B368, ""en"", ""hi"")"),"मैदान के उस क्षेत्र को क्या कहते हैं जिसे कबड्डी रेडर को अंक प्राप्त करने के लिए पार करना होता है?")</f>
        <v>मैदान के उस क्षेत्र को क्या कहते हैं जिसे कबड्डी रेडर को अंक प्राप्त करने के लिए पार करना होता है?</v>
      </c>
      <c r="H368" s="3" t="str">
        <f>IFERROR(__xludf.DUMMYFUNCTION("GOOGLETRANSLATE(C368, ""en"", ""hi"")"),"ए) बोनस क्षेत्र, बी) रेड लाइन, सी) टैकल ज़ोन, डी) टच लाइन")</f>
        <v>ए) बोनस क्षेत्र, बी) रेड लाइन, सी) टैकल ज़ोन, डी) टच लाइन</v>
      </c>
      <c r="I368" s="3" t="str">
        <f>IFERROR(__xludf.DUMMYFUNCTION("GOOGLETRANSLATE(D368, ""en"", ""hi"")"),"बी) रेड लाइन")</f>
        <v>बी) रेड लाइन</v>
      </c>
    </row>
    <row r="369" ht="22.5" customHeight="1">
      <c r="A369" s="2">
        <v>368.0</v>
      </c>
      <c r="B369" s="3" t="s">
        <v>770</v>
      </c>
      <c r="C369" s="3" t="s">
        <v>771</v>
      </c>
      <c r="D369" s="3" t="s">
        <v>65</v>
      </c>
      <c r="F369" s="3" t="str">
        <f>IFERROR(__xludf.DUMMYFUNCTION("GOOGLETRANSLATE(A369, ""en"", ""hi"")"),"368")</f>
        <v>368</v>
      </c>
      <c r="G369" s="3" t="str">
        <f>IFERROR(__xludf.DUMMYFUNCTION("GOOGLETRANSLATE(B369, ""en"", ""hi"")"),"कबड्डी मैच में, यदि डिफेंडर रेडर का हाथ पकड़ ले और उसे अपने हाफ में वापस नहीं जाने दे तो क्या होगा?")</f>
        <v>कबड्डी मैच में, यदि डिफेंडर रेडर का हाथ पकड़ ले और उसे अपने हाफ में वापस नहीं जाने दे तो क्या होगा?</v>
      </c>
      <c r="H369" s="3" t="str">
        <f>IFERROR(__xludf.DUMMYFUNCTION("GOOGLETRANSLATE(C369, ""en"", ""hi"")"),"A) रेडर को 1 अंक दिया जाता है, B) रेडर आउट हो जाता है, C) बचाव करने वाली टीम को 1 अंक मिलता है, D) रेड करने वाली टीम को पेनल्टी मिलती है")</f>
        <v>A) रेडर को 1 अंक दिया जाता है, B) रेडर आउट हो जाता है, C) बचाव करने वाली टीम को 1 अंक मिलता है, D) रेड करने वाली टीम को पेनल्टी मिलती है</v>
      </c>
      <c r="I369" s="3" t="str">
        <f>IFERROR(__xludf.DUMMYFUNCTION("GOOGLETRANSLATE(D369, ""en"", ""hi"")"),"बी) हमलावर बाहर है")</f>
        <v>बी) हमलावर बाहर है</v>
      </c>
    </row>
    <row r="370" ht="22.5" customHeight="1">
      <c r="A370" s="2">
        <v>369.0</v>
      </c>
      <c r="B370" s="3" t="s">
        <v>772</v>
      </c>
      <c r="C370" s="3" t="s">
        <v>47</v>
      </c>
      <c r="D370" s="3" t="s">
        <v>16</v>
      </c>
      <c r="F370" s="3" t="str">
        <f>IFERROR(__xludf.DUMMYFUNCTION("GOOGLETRANSLATE(A370, ""en"", ""hi"")"),"369")</f>
        <v>369</v>
      </c>
      <c r="G370" s="3" t="str">
        <f>IFERROR(__xludf.DUMMYFUNCTION("GOOGLETRANSLATE(B370, ""en"", ""hi"")"),"एक रेडर सभी डिफेंडरों को टैग करके और वापस आकर एक ही रेड से अधिकतम कितने अंक प्राप्त कर सकता है?")</f>
        <v>एक रेडर सभी डिफेंडरों को टैग करके और वापस आकर एक ही रेड से अधिकतम कितने अंक प्राप्त कर सकता है?</v>
      </c>
      <c r="H370" s="3" t="str">
        <f>IFERROR(__xludf.DUMMYFUNCTION("GOOGLETRANSLATE(C370, ""en"", ""hi"")"),"A) 1 अंक, B) 2 अंक, C) 3 अंक, D) 4 अंक")</f>
        <v>A) 1 अंक, B) 2 अंक, C) 3 अंक, D) 4 अंक</v>
      </c>
      <c r="I370" s="3" t="str">
        <f>IFERROR(__xludf.DUMMYFUNCTION("GOOGLETRANSLATE(D370, ""en"", ""hi"")"),"बी) 2 अंक")</f>
        <v>बी) 2 अंक</v>
      </c>
    </row>
    <row r="371" ht="22.5" customHeight="1">
      <c r="A371" s="2">
        <v>370.0</v>
      </c>
      <c r="B371" s="3" t="s">
        <v>773</v>
      </c>
      <c r="C371" s="3" t="s">
        <v>47</v>
      </c>
      <c r="D371" s="3" t="s">
        <v>52</v>
      </c>
      <c r="F371" s="3" t="str">
        <f>IFERROR(__xludf.DUMMYFUNCTION("GOOGLETRANSLATE(A371, ""en"", ""hi"")"),"370")</f>
        <v>370</v>
      </c>
      <c r="G371" s="3" t="str">
        <f>IFERROR(__xludf.DUMMYFUNCTION("GOOGLETRANSLATE(B371, ""en"", ""hi"")"),"कबड्डी मैच के दौरान, यदि रेडर सफलतापूर्वक बोनस लाइन पार कर लेता है और अपने हाफ में वापस लौट जाता है, तो उसे कितने अंक दिए जाते हैं?")</f>
        <v>कबड्डी मैच के दौरान, यदि रेडर सफलतापूर्वक बोनस लाइन पार कर लेता है और अपने हाफ में वापस लौट जाता है, तो उसे कितने अंक दिए जाते हैं?</v>
      </c>
      <c r="H371" s="3" t="str">
        <f>IFERROR(__xludf.DUMMYFUNCTION("GOOGLETRANSLATE(C371, ""en"", ""hi"")"),"A) 1 अंक, B) 2 अंक, C) 3 अंक, D) 4 अंक")</f>
        <v>A) 1 अंक, B) 2 अंक, C) 3 अंक, D) 4 अंक</v>
      </c>
      <c r="I371" s="3" t="str">
        <f>IFERROR(__xludf.DUMMYFUNCTION("GOOGLETRANSLATE(D371, ""en"", ""hi"")"),"ए) 1 अंक")</f>
        <v>ए) 1 अंक</v>
      </c>
    </row>
    <row r="372" ht="22.5" customHeight="1">
      <c r="A372" s="2">
        <v>371.0</v>
      </c>
      <c r="B372" s="3" t="s">
        <v>774</v>
      </c>
      <c r="C372" s="3" t="s">
        <v>775</v>
      </c>
      <c r="D372" s="3" t="s">
        <v>776</v>
      </c>
      <c r="F372" s="3" t="str">
        <f>IFERROR(__xludf.DUMMYFUNCTION("GOOGLETRANSLATE(A372, ""en"", ""hi"")"),"371")</f>
        <v>371</v>
      </c>
      <c r="G372" s="3" t="str">
        <f>IFERROR(__xludf.DUMMYFUNCTION("GOOGLETRANSLATE(B372, ""en"", ""hi"")"),"कबड्डी में 'ग्रीन कार्ड' का क्या अर्थ है?")</f>
        <v>कबड्डी में 'ग्रीन कार्ड' का क्या अर्थ है?</v>
      </c>
      <c r="H372" s="3" t="str">
        <f>IFERROR(__xludf.DUMMYFUNCTION("GOOGLETRANSLATE(C372, ""en"", ""hi"")"),"A) खिलाड़ी को चेतावनी, B) खिलाड़ी को पेनल्टी, C) रेडर को अंक दिया जाना, D) खिलाड़ी का प्रतिस्थापन")</f>
        <v>A) खिलाड़ी को चेतावनी, B) खिलाड़ी को पेनल्टी, C) रेडर को अंक दिया जाना, D) खिलाड़ी का प्रतिस्थापन</v>
      </c>
      <c r="I372" s="3" t="str">
        <f>IFERROR(__xludf.DUMMYFUNCTION("GOOGLETRANSLATE(D372, ""en"", ""hi"")"),"A) खिलाड़ी को चेतावनी")</f>
        <v>A) खिलाड़ी को चेतावनी</v>
      </c>
    </row>
    <row r="373" ht="22.5" customHeight="1">
      <c r="A373" s="2">
        <v>372.0</v>
      </c>
      <c r="B373" s="3" t="s">
        <v>777</v>
      </c>
      <c r="C373" s="3" t="s">
        <v>778</v>
      </c>
      <c r="D373" s="3" t="s">
        <v>637</v>
      </c>
      <c r="F373" s="3" t="str">
        <f>IFERROR(__xludf.DUMMYFUNCTION("GOOGLETRANSLATE(A373, ""en"", ""hi"")"),"372")</f>
        <v>372</v>
      </c>
      <c r="G373" s="3" t="str">
        <f>IFERROR(__xludf.DUMMYFUNCTION("GOOGLETRANSLATE(B373, ""en"", ""hi"")"),"यदि कोई कबड्डी खिलाड़ी फाउल के कारण आउट हो जाता है, तो इससे किस टीम को लाभ होगा?")</f>
        <v>यदि कोई कबड्डी खिलाड़ी फाउल के कारण आउट हो जाता है, तो इससे किस टीम को लाभ होगा?</v>
      </c>
      <c r="H373" s="3" t="str">
        <f>IFERROR(__xludf.DUMMYFUNCTION("GOOGLETRANSLATE(C373, ""en"", ""hi"")"),"A) छापा मारने वाली टीम, B) बचाव करने वाली टीम, C) दोनों टीमें, D) कोई भी टीम नहीं")</f>
        <v>A) छापा मारने वाली टीम, B) बचाव करने वाली टीम, C) दोनों टीमें, D) कोई भी टीम नहीं</v>
      </c>
      <c r="I373" s="3" t="str">
        <f>IFERROR(__xludf.DUMMYFUNCTION("GOOGLETRANSLATE(D373, ""en"", ""hi"")"),"बी) बचाव दल")</f>
        <v>बी) बचाव दल</v>
      </c>
    </row>
    <row r="374" ht="22.5" customHeight="1">
      <c r="A374" s="2">
        <v>373.0</v>
      </c>
      <c r="B374" s="3" t="s">
        <v>779</v>
      </c>
      <c r="C374" s="3" t="s">
        <v>780</v>
      </c>
      <c r="D374" s="3" t="s">
        <v>65</v>
      </c>
      <c r="F374" s="3" t="str">
        <f>IFERROR(__xludf.DUMMYFUNCTION("GOOGLETRANSLATE(A374, ""en"", ""hi"")"),"373")</f>
        <v>373</v>
      </c>
      <c r="G374" s="3" t="str">
        <f>IFERROR(__xludf.DUMMYFUNCTION("GOOGLETRANSLATE(B374, ""en"", ""hi"")"),"यदि कोई कबड्डी रेडर 'रेड टाइम' समाप्त होने से पहले अपने हाफ में वापस लौटने में विफल रहता है तो इसका क्या परिणाम होगा?")</f>
        <v>यदि कोई कबड्डी रेडर 'रेड टाइम' समाप्त होने से पहले अपने हाफ में वापस लौटने में विफल रहता है तो इसका क्या परिणाम होगा?</v>
      </c>
      <c r="H374" s="3" t="str">
        <f>IFERROR(__xludf.DUMMYFUNCTION("GOOGLETRANSLATE(C374, ""en"", ""hi"")"),"A) रेडर को 1 अंक दिया जाता है, B) रेडर आउट हो जाता है, C) बचाव करने वाली टीम को 2 अंक मिलते हैं, D) खेल जारी रहता है")</f>
        <v>A) रेडर को 1 अंक दिया जाता है, B) रेडर आउट हो जाता है, C) बचाव करने वाली टीम को 2 अंक मिलते हैं, D) खेल जारी रहता है</v>
      </c>
      <c r="I374" s="3" t="str">
        <f>IFERROR(__xludf.DUMMYFUNCTION("GOOGLETRANSLATE(D374, ""en"", ""hi"")"),"बी) हमलावर बाहर है")</f>
        <v>बी) हमलावर बाहर है</v>
      </c>
    </row>
    <row r="375" ht="22.5" customHeight="1">
      <c r="A375" s="2">
        <v>374.0</v>
      </c>
      <c r="B375" s="3" t="s">
        <v>781</v>
      </c>
      <c r="C375" s="3" t="s">
        <v>782</v>
      </c>
      <c r="D375" s="3" t="s">
        <v>783</v>
      </c>
      <c r="F375" s="3" t="str">
        <f>IFERROR(__xludf.DUMMYFUNCTION("GOOGLETRANSLATE(A375, ""en"", ""hi"")"),"374")</f>
        <v>374</v>
      </c>
      <c r="G375" s="3" t="str">
        <f>IFERROR(__xludf.DUMMYFUNCTION("GOOGLETRANSLATE(B375, ""en"", ""hi"")"),"कबड्डी में 'टाइमआउट' का उद्देश्य क्या है?")</f>
        <v>कबड्डी में 'टाइमआउट' का उद्देश्य क्या है?</v>
      </c>
      <c r="H375" s="3" t="str">
        <f>IFERROR(__xludf.DUMMYFUNCTION("GOOGLETRANSLATE(C375, ""en"", ""hi"")"),"A) टीमों को आराम करने और रणनीति बनाने का मौका देना, B) खिलाड़ियों को बदलना, C) मैच रोकना, D) अतिरिक्त अंक हासिल करना")</f>
        <v>A) टीमों को आराम करने और रणनीति बनाने का मौका देना, B) खिलाड़ियों को बदलना, C) मैच रोकना, D) अतिरिक्त अंक हासिल करना</v>
      </c>
      <c r="I375" s="3" t="str">
        <f>IFERROR(__xludf.DUMMYFUNCTION("GOOGLETRANSLATE(D375, ""en"", ""hi"")"),"A) टीमों को आराम करने और रणनीति बनाने की अनुमति देना")</f>
        <v>A) टीमों को आराम करने और रणनीति बनाने की अनुमति देना</v>
      </c>
    </row>
    <row r="376" ht="22.5" customHeight="1">
      <c r="A376" s="2">
        <v>375.0</v>
      </c>
      <c r="B376" s="3" t="s">
        <v>784</v>
      </c>
      <c r="C376" s="3" t="s">
        <v>785</v>
      </c>
      <c r="D376" s="3" t="s">
        <v>786</v>
      </c>
      <c r="F376" s="3" t="str">
        <f>IFERROR(__xludf.DUMMYFUNCTION("GOOGLETRANSLATE(A376, ""en"", ""hi"")"),"375")</f>
        <v>375</v>
      </c>
      <c r="G376" s="3" t="str">
        <f>IFERROR(__xludf.DUMMYFUNCTION("GOOGLETRANSLATE(B376, ""en"", ""hi"")"),"यदि कबड्डी रेडर को टैकल कर दिया जाए और बचाव करने वाली टीम उसे छूने में असफल हो जाए, तो क्या होगा?")</f>
        <v>यदि कबड्डी रेडर को टैकल कर दिया जाए और बचाव करने वाली टीम उसे छूने में असफल हो जाए, तो क्या होगा?</v>
      </c>
      <c r="H376" s="3" t="str">
        <f>IFERROR(__xludf.DUMMYFUNCTION("GOOGLETRANSLATE(C376, ""en"", ""hi"")"),"A) रेडर को 1 अंक मिलता है, B) रेडर को 2 अंक मिलते हैं, C) बचाव करने वाली टीम को 1 अंक मिलता है, D) खेल रोक दिया जाता है")</f>
        <v>A) रेडर को 1 अंक मिलता है, B) रेडर को 2 अंक मिलते हैं, C) बचाव करने वाली टीम को 1 अंक मिलता है, D) खेल रोक दिया जाता है</v>
      </c>
      <c r="I376" s="3" t="str">
        <f>IFERROR(__xludf.DUMMYFUNCTION("GOOGLETRANSLATE(D376, ""en"", ""hi"")"),"B) रेडर को 2 अंक मिलते हैं")</f>
        <v>B) रेडर को 2 अंक मिलते हैं</v>
      </c>
    </row>
    <row r="377" ht="22.5" customHeight="1">
      <c r="A377" s="2">
        <v>376.0</v>
      </c>
      <c r="B377" s="3" t="s">
        <v>787</v>
      </c>
      <c r="C377" s="3" t="s">
        <v>788</v>
      </c>
      <c r="D377" s="3" t="s">
        <v>789</v>
      </c>
      <c r="F377" s="3" t="str">
        <f>IFERROR(__xludf.DUMMYFUNCTION("GOOGLETRANSLATE(A377, ""en"", ""hi"")"),"376")</f>
        <v>376</v>
      </c>
      <c r="G377" s="3" t="str">
        <f>IFERROR(__xludf.DUMMYFUNCTION("GOOGLETRANSLATE(B377, ""en"", ""hi"")"),"कबड्डी में 'बोनस प्वाइंट' शब्द का क्या अर्थ है?")</f>
        <v>कबड्डी में 'बोनस प्वाइंट' शब्द का क्या अर्थ है?</v>
      </c>
      <c r="H377" s="3" t="str">
        <f>IFERROR(__xludf.DUMMYFUNCTION("GOOGLETRANSLATE(C377, ""en"", ""hi"")"),"A) बोनस लाइन पार करने पर दिया जाने वाला एक अंक, B) सभी डिफेंडरों को टैग करने पर दिया जाने वाला एक अंक, C) सफलतापूर्वक रेड करने पर दिया जाने वाला एक अंक, D) सफल टैकलिंग पर दिया जाने वाला एक अंक")</f>
        <v>A) बोनस लाइन पार करने पर दिया जाने वाला एक अंक, B) सभी डिफेंडरों को टैग करने पर दिया जाने वाला एक अंक, C) सफलतापूर्वक रेड करने पर दिया जाने वाला एक अंक, D) सफल टैकलिंग पर दिया जाने वाला एक अंक</v>
      </c>
      <c r="I377" s="3" t="str">
        <f>IFERROR(__xludf.DUMMYFUNCTION("GOOGLETRANSLATE(D377, ""en"", ""hi"")"),"A) बोनस लाइन पार करने पर दिया जाने वाला एक अंक")</f>
        <v>A) बोनस लाइन पार करने पर दिया जाने वाला एक अंक</v>
      </c>
    </row>
    <row r="378" ht="22.5" customHeight="1">
      <c r="A378" s="2">
        <v>377.0</v>
      </c>
      <c r="B378" s="3" t="s">
        <v>790</v>
      </c>
      <c r="C378" s="3" t="s">
        <v>791</v>
      </c>
      <c r="D378" s="3" t="s">
        <v>792</v>
      </c>
      <c r="F378" s="3" t="str">
        <f>IFERROR(__xludf.DUMMYFUNCTION("GOOGLETRANSLATE(A378, ""en"", ""hi"")"),"377")</f>
        <v>377</v>
      </c>
      <c r="G378" s="3" t="str">
        <f>IFERROR(__xludf.DUMMYFUNCTION("GOOGLETRANSLATE(B378, ""en"", ""hi"")"),"कबड्डी मैच में यदि कोई टीम बार-बार खेल में देरी कर रही है तो रेफरी क्या कार्रवाई कर सकता है?")</f>
        <v>कबड्डी मैच में यदि कोई टीम बार-बार खेल में देरी कर रही है तो रेफरी क्या कार्रवाई कर सकता है?</v>
      </c>
      <c r="H378" s="3" t="str">
        <f>IFERROR(__xludf.DUMMYFUNCTION("GOOGLETRANSLATE(C378, ""en"", ""hi"")"),"A) विरोधी टीम को पेनल्टी अंक देना, B) मैच रोकना, C) टीम से अंक घटाना, D) टाइमआउट देना")</f>
        <v>A) विरोधी टीम को पेनल्टी अंक देना, B) मैच रोकना, C) टीम से अंक घटाना, D) टाइमआउट देना</v>
      </c>
      <c r="I378" s="3" t="str">
        <f>IFERROR(__xludf.DUMMYFUNCTION("GOOGLETRANSLATE(D378, ""en"", ""hi"")"),"A) विरोधी टीम को पेनल्टी अंक देना")</f>
        <v>A) विरोधी टीम को पेनल्टी अंक देना</v>
      </c>
    </row>
    <row r="379" ht="22.5" customHeight="1">
      <c r="A379" s="2">
        <v>378.0</v>
      </c>
      <c r="B379" s="3" t="s">
        <v>793</v>
      </c>
      <c r="C379" s="3" t="s">
        <v>794</v>
      </c>
      <c r="D379" s="3" t="s">
        <v>795</v>
      </c>
      <c r="F379" s="3" t="str">
        <f>IFERROR(__xludf.DUMMYFUNCTION("GOOGLETRANSLATE(A379, ""en"", ""hi"")"),"378")</f>
        <v>378</v>
      </c>
      <c r="G379" s="3" t="str">
        <f>IFERROR(__xludf.DUMMYFUNCTION("GOOGLETRANSLATE(B379, ""en"", ""hi"")"),"यदि कबड्डी रेडर मैदान से बाहर चला जाए और रेफरी उसे 'पीला कार्ड' दिखा दे तो क्या होगा?")</f>
        <v>यदि कबड्डी रेडर मैदान से बाहर चला जाए और रेफरी उसे 'पीला कार्ड' दिखा दे तो क्या होगा?</v>
      </c>
      <c r="H379" s="3" t="str">
        <f>IFERROR(__xludf.DUMMYFUNCTION("GOOGLETRANSLATE(C379, ""en"", ""hi"")"),"A) रेडर को दंडित किया जाता है, B) रेडर को 1 अंक दिया जाता है, C) रेडर को मैच से बाहर कर दिया जाता है, D) रेडर को चेतावनी दी जाती है")</f>
        <v>A) रेडर को दंडित किया जाता है, B) रेडर को 1 अंक दिया जाता है, C) रेडर को मैच से बाहर कर दिया जाता है, D) रेडर को चेतावनी दी जाती है</v>
      </c>
      <c r="I379" s="3" t="str">
        <f>IFERROR(__xludf.DUMMYFUNCTION("GOOGLETRANSLATE(D379, ""en"", ""hi"")"),"D) हमलावर को चेतावनी दी जाती है")</f>
        <v>D) हमलावर को चेतावनी दी जाती है</v>
      </c>
    </row>
    <row r="380" ht="22.5" customHeight="1">
      <c r="A380" s="2">
        <v>379.0</v>
      </c>
      <c r="B380" s="3" t="s">
        <v>796</v>
      </c>
      <c r="C380" s="3" t="s">
        <v>713</v>
      </c>
      <c r="D380" s="3" t="s">
        <v>714</v>
      </c>
      <c r="F380" s="3" t="str">
        <f>IFERROR(__xludf.DUMMYFUNCTION("GOOGLETRANSLATE(A380, ""en"", ""hi"")"),"379")</f>
        <v>379</v>
      </c>
      <c r="G380" s="3" t="str">
        <f>IFERROR(__xludf.DUMMYFUNCTION("GOOGLETRANSLATE(B380, ""en"", ""hi"")"),"कबड्डी मैच में प्रत्येक टीम को अपना रेड पूरा करने में कितना समय लगता है?")</f>
        <v>कबड्डी मैच में प्रत्येक टीम को अपना रेड पूरा करने में कितना समय लगता है?</v>
      </c>
      <c r="H380" s="3" t="str">
        <f>IFERROR(__xludf.DUMMYFUNCTION("GOOGLETRANSLATE(C380, ""en"", ""hi"")"),"A) 10 सेकंड, B) 15 सेकंड, C) 20 सेकंड, D) 30 सेकंड")</f>
        <v>A) 10 सेकंड, B) 15 सेकंड, C) 20 सेकंड, D) 30 सेकंड</v>
      </c>
      <c r="I380" s="3" t="str">
        <f>IFERROR(__xludf.DUMMYFUNCTION("GOOGLETRANSLATE(D380, ""en"", ""hi"")"),"बी) 15 सेकंड")</f>
        <v>बी) 15 सेकंड</v>
      </c>
    </row>
    <row r="381" ht="22.5" customHeight="1">
      <c r="A381" s="2">
        <v>380.0</v>
      </c>
      <c r="B381" s="3" t="s">
        <v>797</v>
      </c>
      <c r="C381" s="3" t="s">
        <v>798</v>
      </c>
      <c r="D381" s="3" t="s">
        <v>799</v>
      </c>
      <c r="F381" s="3" t="str">
        <f>IFERROR(__xludf.DUMMYFUNCTION("GOOGLETRANSLATE(A381, ""en"", ""hi"")"),"380")</f>
        <v>380</v>
      </c>
      <c r="G381" s="3" t="str">
        <f>IFERROR(__xludf.DUMMYFUNCTION("GOOGLETRANSLATE(B381, ""en"", ""hi"")"),"यदि किसी कबड्डी खिलाड़ी को रेड के दौरान ऑफसाइड पाया जाता है तो परिणाम क्या होगा?")</f>
        <v>यदि किसी कबड्डी खिलाड़ी को रेड के दौरान ऑफसाइड पाया जाता है तो परिणाम क्या होगा?</v>
      </c>
      <c r="H381" s="3" t="str">
        <f>IFERROR(__xludf.DUMMYFUNCTION("GOOGLETRANSLATE(C381, ""en"", ""hi"")"),"A) खिलाड़ी आउट हो जाता है, B) टीम को पेनल्टी मिलती है, C) विरोधी टीम को एक अंक मिलता है, D) मैच रुक जाता है")</f>
        <v>A) खिलाड़ी आउट हो जाता है, B) टीम को पेनल्टी मिलती है, C) विरोधी टीम को एक अंक मिलता है, D) मैच रुक जाता है</v>
      </c>
      <c r="I381" s="3" t="str">
        <f>IFERROR(__xludf.DUMMYFUNCTION("GOOGLETRANSLATE(D381, ""en"", ""hi"")"),"C) विरोधी टीम को एक अंक मिलता है")</f>
        <v>C) विरोधी टीम को एक अंक मिलता है</v>
      </c>
    </row>
    <row r="382" ht="22.5" customHeight="1">
      <c r="A382" s="2">
        <v>381.0</v>
      </c>
      <c r="B382" s="3" t="s">
        <v>800</v>
      </c>
      <c r="C382" s="3" t="s">
        <v>801</v>
      </c>
      <c r="D382" s="3" t="s">
        <v>65</v>
      </c>
      <c r="F382" s="3" t="str">
        <f>IFERROR(__xludf.DUMMYFUNCTION("GOOGLETRANSLATE(A382, ""en"", ""hi"")"),"381")</f>
        <v>381</v>
      </c>
      <c r="G382" s="3" t="str">
        <f>IFERROR(__xludf.DUMMYFUNCTION("GOOGLETRANSLATE(B382, ""en"", ""hi"")"),"कबड्डी मैच के दौरान, यदि रेडर का हाथ मध्य रेखा को पार कर जाता है और उन्हें तुरंत टैकल कर दिया जाता है, तो परिणाम क्या होगा?")</f>
        <v>कबड्डी मैच के दौरान, यदि रेडर का हाथ मध्य रेखा को पार कर जाता है और उन्हें तुरंत टैकल कर दिया जाता है, तो परिणाम क्या होगा?</v>
      </c>
      <c r="H382" s="3" t="str">
        <f>IFERROR(__xludf.DUMMYFUNCTION("GOOGLETRANSLATE(C382,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382" s="3" t="str">
        <f>IFERROR(__xludf.DUMMYFUNCTION("GOOGLETRANSLATE(D382, ""en"", ""hi"")"),"बी) हमलावर बाहर है")</f>
        <v>बी) हमलावर बाहर है</v>
      </c>
    </row>
    <row r="383" ht="22.5" customHeight="1">
      <c r="A383" s="2">
        <v>382.0</v>
      </c>
      <c r="B383" s="3" t="s">
        <v>802</v>
      </c>
      <c r="C383" s="3" t="s">
        <v>803</v>
      </c>
      <c r="D383" s="3" t="s">
        <v>703</v>
      </c>
      <c r="F383" s="3" t="str">
        <f>IFERROR(__xludf.DUMMYFUNCTION("GOOGLETRANSLATE(A383, ""en"", ""hi"")"),"382")</f>
        <v>382</v>
      </c>
      <c r="G383" s="3" t="str">
        <f>IFERROR(__xludf.DUMMYFUNCTION("GOOGLETRANSLATE(B383, ""en"", ""hi"")"),"कबड्डी के संदर्भ में 'डू-ऑर-डाई रेड' शब्द का क्या अर्थ है?")</f>
        <v>कबड्डी के संदर्भ में 'डू-ऑर-डाई रेड' शब्द का क्या अर्थ है?</v>
      </c>
      <c r="H383" s="3" t="str">
        <f>IFERROR(__xludf.DUMMYFUNCTION("GOOGLETRANSLATE(C383, ""en"", ""hi"")"),"ए) एक रेड जिसमें रेडर को स्कोर करना होगा या बाहर होना होगा, बी) एक रेड जिसमें टीम को एलिमिनेशन से बचने के लिए स्कोर करना होगा, सी) एक रेड जिसमें रेडर को बोनस अंक मिलते हैं, डी) विस्तारित अवधि के साथ एक रेड")</f>
        <v>ए) एक रेड जिसमें रेडर को स्कोर करना होगा या बाहर होना होगा, बी) एक रेड जिसमें टीम को एलिमिनेशन से बचने के लिए स्कोर करना होगा, सी) एक रेड जिसमें रेडर को बोनस अंक मिलते हैं, डी) विस्तारित अवधि के साथ एक रेड</v>
      </c>
      <c r="I383" s="3" t="str">
        <f>IFERROR(__xludf.DUMMYFUNCTION("GOOGLETRANSLATE(D383, ""en"", ""hi"")"),"A) एक रेड जिसमें रेडर को स्कोर करना होगा या आउट होना होगा")</f>
        <v>A) एक रेड जिसमें रेडर को स्कोर करना होगा या आउट होना होगा</v>
      </c>
    </row>
    <row r="384" ht="22.5" customHeight="1">
      <c r="A384" s="2">
        <v>383.0</v>
      </c>
      <c r="B384" s="3" t="s">
        <v>804</v>
      </c>
      <c r="C384" s="3" t="s">
        <v>805</v>
      </c>
      <c r="D384" s="3" t="s">
        <v>65</v>
      </c>
      <c r="F384" s="3" t="str">
        <f>IFERROR(__xludf.DUMMYFUNCTION("GOOGLETRANSLATE(A384, ""en"", ""hi"")"),"383")</f>
        <v>383</v>
      </c>
      <c r="G384" s="3" t="str">
        <f>IFERROR(__xludf.DUMMYFUNCTION("GOOGLETRANSLATE(B384, ""en"", ""hi"")"),"यदि किसी कबड्डी रेडर को एक डिफेंडर द्वारा टैकल किया जाता है जो दूसरे डिफेंडर को भी पकड़ रहा है, तो परिणाम क्या होगा?")</f>
        <v>यदि किसी कबड्डी रेडर को एक डिफेंडर द्वारा टैकल किया जाता है जो दूसरे डिफेंडर को भी पकड़ रहा है, तो परिणाम क्या होगा?</v>
      </c>
      <c r="H384" s="3" t="str">
        <f>IFERROR(__xludf.DUMMYFUNCTION("GOOGLETRANSLATE(C384, ""en"", ""hi"")"),"A) रेडर को 1 अंक मिलता है, B) रेडर आउट हो जाता है, C) बचाव करने वाली टीम को 2 अंक मिलते हैं, D) मैच रोक दिया जाता है")</f>
        <v>A) रेडर को 1 अंक मिलता है, B) रेडर आउट हो जाता है, C) बचाव करने वाली टीम को 2 अंक मिलते हैं, D) मैच रोक दिया जाता है</v>
      </c>
      <c r="I384" s="3" t="str">
        <f>IFERROR(__xludf.DUMMYFUNCTION("GOOGLETRANSLATE(D384, ""en"", ""hi"")"),"बी) हमलावर बाहर है")</f>
        <v>बी) हमलावर बाहर है</v>
      </c>
    </row>
    <row r="385" ht="22.5" customHeight="1">
      <c r="A385" s="2">
        <v>384.0</v>
      </c>
      <c r="B385" s="3" t="s">
        <v>806</v>
      </c>
      <c r="C385" s="3" t="s">
        <v>807</v>
      </c>
      <c r="D385" s="3" t="s">
        <v>808</v>
      </c>
      <c r="F385" s="3" t="str">
        <f>IFERROR(__xludf.DUMMYFUNCTION("GOOGLETRANSLATE(A385, ""en"", ""hi"")"),"384")</f>
        <v>384</v>
      </c>
      <c r="G385" s="3" t="str">
        <f>IFERROR(__xludf.DUMMYFUNCTION("GOOGLETRANSLATE(B385, ""en"", ""hi"")"),"कबड्डी मैच में 'सेंटर लाइन' की क्या भूमिका होती है?")</f>
        <v>कबड्डी मैच में 'सेंटर लाइन' की क्या भूमिका होती है?</v>
      </c>
      <c r="H385" s="3" t="str">
        <f>IFERROR(__xludf.DUMMYFUNCTION("GOOGLETRANSLATE(C385, ""en"", ""hi"")"),"A) यह मैदान के दो हिस्सों को विभाजित करता है, B) यह मैदान के अंत को चिह्नित करता है, C) यह वह स्थान है जहाँ प्रतिस्थापन किए जाते हैं, D) यह बोनस क्षेत्र को इंगित करता है")</f>
        <v>A) यह मैदान के दो हिस्सों को विभाजित करता है, B) यह मैदान के अंत को चिह्नित करता है, C) यह वह स्थान है जहाँ प्रतिस्थापन किए जाते हैं, D) यह बोनस क्षेत्र को इंगित करता है</v>
      </c>
      <c r="I385" s="3" t="str">
        <f>IFERROR(__xludf.DUMMYFUNCTION("GOOGLETRANSLATE(D385, ""en"", ""hi"")"),"A) यह मैदान के दो हिस्सों को विभाजित करता है")</f>
        <v>A) यह मैदान के दो हिस्सों को विभाजित करता है</v>
      </c>
    </row>
    <row r="386" ht="22.5" customHeight="1">
      <c r="A386" s="2">
        <v>385.0</v>
      </c>
      <c r="B386" s="3" t="s">
        <v>809</v>
      </c>
      <c r="C386" s="3" t="s">
        <v>47</v>
      </c>
      <c r="D386" s="3" t="s">
        <v>16</v>
      </c>
      <c r="F386" s="3" t="str">
        <f>IFERROR(__xludf.DUMMYFUNCTION("GOOGLETRANSLATE(A386, ""en"", ""hi"")"),"385")</f>
        <v>385</v>
      </c>
      <c r="G386" s="3" t="str">
        <f>IFERROR(__xludf.DUMMYFUNCTION("GOOGLETRANSLATE(B386, ""en"", ""hi"")"),"कबड्डी मैच में सफल 'सुपर टैकल' के लिए अंक कैसे दिया जाता है?")</f>
        <v>कबड्डी मैच में सफल 'सुपर टैकल' के लिए अंक कैसे दिया जाता है?</v>
      </c>
      <c r="H386" s="3" t="str">
        <f>IFERROR(__xludf.DUMMYFUNCTION("GOOGLETRANSLATE(C386, ""en"", ""hi"")"),"A) 1 अंक, B) 2 अंक, C) 3 अंक, D) 4 अंक")</f>
        <v>A) 1 अंक, B) 2 अंक, C) 3 अंक, D) 4 अंक</v>
      </c>
      <c r="I386" s="3" t="str">
        <f>IFERROR(__xludf.DUMMYFUNCTION("GOOGLETRANSLATE(D386, ""en"", ""hi"")"),"बी) 2 अंक")</f>
        <v>बी) 2 अंक</v>
      </c>
    </row>
    <row r="387" ht="22.5" customHeight="1">
      <c r="A387" s="2">
        <v>386.0</v>
      </c>
      <c r="B387" s="3" t="s">
        <v>693</v>
      </c>
      <c r="C387" s="3" t="s">
        <v>810</v>
      </c>
      <c r="D387" s="3" t="s">
        <v>811</v>
      </c>
      <c r="F387" s="3" t="str">
        <f>IFERROR(__xludf.DUMMYFUNCTION("GOOGLETRANSLATE(A387, ""en"", ""hi"")"),"386")</f>
        <v>386</v>
      </c>
      <c r="G387" s="3" t="str">
        <f>IFERROR(__xludf.DUMMYFUNCTION("GOOGLETRANSLATE(B387, ""en"", ""hi"")"),"यदि किसी कबड्डी रेडर को टैकल कर दिया जाता है और रेफरी 'रेड कार्ड' का संकेत देता है, तो इसका क्या मतलब है?")</f>
        <v>यदि किसी कबड्डी रेडर को टैकल कर दिया जाता है और रेफरी 'रेड कार्ड' का संकेत देता है, तो इसका क्या मतलब है?</v>
      </c>
      <c r="H387" s="3" t="str">
        <f>IFERROR(__xludf.DUMMYFUNCTION("GOOGLETRANSLATE(C387, ""en"", ""hi"")"),"A) रेडर मैच से बाहर हो जाता है, B) रेडर को 1 अंक दिया जाता है, C) रेडर को चेतावनी दी जाती है, D) मैच रोक दिया जाता है")</f>
        <v>A) रेडर मैच से बाहर हो जाता है, B) रेडर को 1 अंक दिया जाता है, C) रेडर को चेतावनी दी जाती है, D) मैच रोक दिया जाता है</v>
      </c>
      <c r="I387" s="3" t="str">
        <f>IFERROR(__xludf.DUMMYFUNCTION("GOOGLETRANSLATE(D387, ""en"", ""hi"")"),"A) रेडर मैच से बाहर हो गया है")</f>
        <v>A) रेडर मैच से बाहर हो गया है</v>
      </c>
    </row>
    <row r="388" ht="22.5" customHeight="1">
      <c r="A388" s="2">
        <v>387.0</v>
      </c>
      <c r="B388" s="3" t="s">
        <v>812</v>
      </c>
      <c r="C388" s="3" t="s">
        <v>780</v>
      </c>
      <c r="D388" s="3" t="s">
        <v>65</v>
      </c>
      <c r="F388" s="3" t="str">
        <f>IFERROR(__xludf.DUMMYFUNCTION("GOOGLETRANSLATE(A388, ""en"", ""hi"")"),"387")</f>
        <v>387</v>
      </c>
      <c r="G388" s="3" t="str">
        <f>IFERROR(__xludf.DUMMYFUNCTION("GOOGLETRANSLATE(B388, ""en"", ""hi"")"),"कबड्डी में, यदि रेडर रेड टाइमर समाप्त होने से पहले मिडलाइन पार करने में विफल रहता है तो क्या होता है?")</f>
        <v>कबड्डी में, यदि रेडर रेड टाइमर समाप्त होने से पहले मिडलाइन पार करने में विफल रहता है तो क्या होता है?</v>
      </c>
      <c r="H388" s="3" t="str">
        <f>IFERROR(__xludf.DUMMYFUNCTION("GOOGLETRANSLATE(C388, ""en"", ""hi"")"),"A) रेडर को 1 अंक दिया जाता है, B) रेडर आउट हो जाता है, C) बचाव करने वाली टीम को 2 अंक मिलते हैं, D) खेल जारी रहता है")</f>
        <v>A) रेडर को 1 अंक दिया जाता है, B) रेडर आउट हो जाता है, C) बचाव करने वाली टीम को 2 अंक मिलते हैं, D) खेल जारी रहता है</v>
      </c>
      <c r="I388" s="3" t="str">
        <f>IFERROR(__xludf.DUMMYFUNCTION("GOOGLETRANSLATE(D388, ""en"", ""hi"")"),"बी) हमलावर बाहर है")</f>
        <v>बी) हमलावर बाहर है</v>
      </c>
    </row>
    <row r="389" ht="22.5" customHeight="1">
      <c r="A389" s="2">
        <v>388.0</v>
      </c>
      <c r="B389" s="3" t="s">
        <v>813</v>
      </c>
      <c r="C389" s="3" t="s">
        <v>814</v>
      </c>
      <c r="D389" s="3" t="s">
        <v>815</v>
      </c>
      <c r="F389" s="3" t="str">
        <f>IFERROR(__xludf.DUMMYFUNCTION("GOOGLETRANSLATE(A389, ""en"", ""hi"")"),"388")</f>
        <v>388</v>
      </c>
      <c r="G389" s="3" t="str">
        <f>IFERROR(__xludf.DUMMYFUNCTION("GOOGLETRANSLATE(B389, ""en"", ""hi"")"),"कबड्डी में 'टाइमआउट' का उद्देश्य क्या है?")</f>
        <v>कबड्डी में 'टाइमआउट' का उद्देश्य क्या है?</v>
      </c>
      <c r="H389" s="3" t="str">
        <f>IFERROR(__xludf.DUMMYFUNCTION("GOOGLETRANSLATE(C389, ""en"", ""hi"")"),"A) टीमों को रणनीति बनाने और आराम करने की अनुमति देना, B) टीमों को दंडित करना, C) खिलाड़ियों को बदलना, D) मैच की अवधि बढ़ाना")</f>
        <v>A) टीमों को रणनीति बनाने और आराम करने की अनुमति देना, B) टीमों को दंडित करना, C) खिलाड़ियों को बदलना, D) मैच की अवधि बढ़ाना</v>
      </c>
      <c r="I389" s="3" t="str">
        <f>IFERROR(__xludf.DUMMYFUNCTION("GOOGLETRANSLATE(D389, ""en"", ""hi"")"),"A) टीमों को रणनीति बनाने और आराम करने की अनुमति देना")</f>
        <v>A) टीमों को रणनीति बनाने और आराम करने की अनुमति देना</v>
      </c>
    </row>
    <row r="390" ht="22.5" customHeight="1">
      <c r="A390" s="2">
        <v>389.0</v>
      </c>
      <c r="B390" s="3" t="s">
        <v>816</v>
      </c>
      <c r="C390" s="3" t="s">
        <v>785</v>
      </c>
      <c r="D390" s="3" t="s">
        <v>786</v>
      </c>
      <c r="F390" s="3" t="str">
        <f>IFERROR(__xludf.DUMMYFUNCTION("GOOGLETRANSLATE(A390, ""en"", ""hi"")"),"389")</f>
        <v>389</v>
      </c>
      <c r="G390" s="3" t="str">
        <f>IFERROR(__xludf.DUMMYFUNCTION("GOOGLETRANSLATE(B390, ""en"", ""hi"")"),"कबड्डी मैच में, यदि किसी रेडर को टैकल कर दिया जाता है और बचाव करने वाली टीम उसे छूने में विफल रहती है, तो परिणाम क्या होगा?")</f>
        <v>कबड्डी मैच में, यदि किसी रेडर को टैकल कर दिया जाता है और बचाव करने वाली टीम उसे छूने में विफल रहती है, तो परिणाम क्या होगा?</v>
      </c>
      <c r="H390" s="3" t="str">
        <f>IFERROR(__xludf.DUMMYFUNCTION("GOOGLETRANSLATE(C390, ""en"", ""hi"")"),"A) रेडर को 1 अंक मिलता है, B) रेडर को 2 अंक मिलते हैं, C) बचाव करने वाली टीम को 1 अंक मिलता है, D) खेल रोक दिया जाता है")</f>
        <v>A) रेडर को 1 अंक मिलता है, B) रेडर को 2 अंक मिलते हैं, C) बचाव करने वाली टीम को 1 अंक मिलता है, D) खेल रोक दिया जाता है</v>
      </c>
      <c r="I390" s="3" t="str">
        <f>IFERROR(__xludf.DUMMYFUNCTION("GOOGLETRANSLATE(D390, ""en"", ""hi"")"),"B) रेडर को 2 अंक मिलते हैं")</f>
        <v>B) रेडर को 2 अंक मिलते हैं</v>
      </c>
    </row>
    <row r="391" ht="22.5" customHeight="1">
      <c r="A391" s="2">
        <v>390.0</v>
      </c>
      <c r="B391" s="3" t="s">
        <v>817</v>
      </c>
      <c r="C391" s="3" t="s">
        <v>818</v>
      </c>
      <c r="D391" s="3" t="s">
        <v>819</v>
      </c>
      <c r="F391" s="3" t="str">
        <f>IFERROR(__xludf.DUMMYFUNCTION("GOOGLETRANSLATE(A391, ""en"", ""hi"")"),"390")</f>
        <v>390</v>
      </c>
      <c r="G391" s="3" t="str">
        <f>IFERROR(__xludf.DUMMYFUNCTION("GOOGLETRANSLATE(B391, ""en"", ""hi"")"),"कबड्डी में 'बोनस लाइन' का उद्देश्य क्या है?")</f>
        <v>कबड्डी में 'बोनस लाइन' का उद्देश्य क्या है?</v>
      </c>
      <c r="H391" s="3" t="str">
        <f>IFERROR(__xludf.DUMMYFUNCTION("GOOGLETRANSLATE(C391, ""en"", ""hi"")"),"A) इसे पार करने के लिए अंक देने के लिए, B) मैदान के अंत को चिह्नित करने के लिए, C) मैदान के केंद्र को इंगित करने के लिए, D) छापा शुरू करने के लिए")</f>
        <v>A) इसे पार करने के लिए अंक देने के लिए, B) मैदान के अंत को चिह्नित करने के लिए, C) मैदान के केंद्र को इंगित करने के लिए, D) छापा शुरू करने के लिए</v>
      </c>
      <c r="I391" s="3" t="str">
        <f>IFERROR(__xludf.DUMMYFUNCTION("GOOGLETRANSLATE(D391, ""en"", ""hi"")"),"A) इसे पार करने पर अंक प्रदान करना")</f>
        <v>A) इसे पार करने पर अंक प्रदान करना</v>
      </c>
    </row>
    <row r="392" ht="22.5" customHeight="1">
      <c r="A392" s="2">
        <v>391.0</v>
      </c>
      <c r="B392" s="3" t="s">
        <v>820</v>
      </c>
      <c r="C392" s="3" t="s">
        <v>821</v>
      </c>
      <c r="D392" s="3" t="s">
        <v>822</v>
      </c>
      <c r="F392" s="3" t="str">
        <f>IFERROR(__xludf.DUMMYFUNCTION("GOOGLETRANSLATE(A392, ""en"", ""hi"")"),"391")</f>
        <v>391</v>
      </c>
      <c r="G392" s="3" t="str">
        <f>IFERROR(__xludf.DUMMYFUNCTION("GOOGLETRANSLATE(B392, ""en"", ""hi"")"),"कबड्डी मैच के दौरान, यदि कोई डिफेंडर किसी रेडर को पकड़ लेता है और रेडर किसी अन्य डिफेंडर को टैग करने में सफल हो जाता है, तो क्या होगा?")</f>
        <v>कबड्डी मैच के दौरान, यदि कोई डिफेंडर किसी रेडर को पकड़ लेता है और रेडर किसी अन्य डिफेंडर को टैग करने में सफल हो जाता है, तो क्या होगा?</v>
      </c>
      <c r="H392" s="3" t="str">
        <f>IFERROR(__xludf.DUMMYFUNCTION("GOOGLETRANSLATE(C392, ""en"", ""hi"")"),"A) रेडर को 2 अंक दिए जाते हैं, B) रेडर आउट हो जाता है, C) बचाव करने वाली टीम को 1 अंक मिलता है, D) खेल रोक दिया जाता है")</f>
        <v>A) रेडर को 2 अंक दिए जाते हैं, B) रेडर आउट हो जाता है, C) बचाव करने वाली टीम को 1 अंक मिलता है, D) खेल रोक दिया जाता है</v>
      </c>
      <c r="I392" s="3" t="str">
        <f>IFERROR(__xludf.DUMMYFUNCTION("GOOGLETRANSLATE(D392, ""en"", ""hi"")"),"A) रेडर को 2 अंक दिए जाते हैं")</f>
        <v>A) रेडर को 2 अंक दिए जाते हैं</v>
      </c>
    </row>
    <row r="393" ht="22.5" customHeight="1">
      <c r="A393" s="2">
        <v>392.0</v>
      </c>
      <c r="B393" s="3" t="s">
        <v>823</v>
      </c>
      <c r="C393" s="3" t="s">
        <v>801</v>
      </c>
      <c r="D393" s="3" t="s">
        <v>65</v>
      </c>
      <c r="F393" s="3" t="str">
        <f>IFERROR(__xludf.DUMMYFUNCTION("GOOGLETRANSLATE(A393, ""en"", ""hi"")"),"392")</f>
        <v>392</v>
      </c>
      <c r="G393" s="3" t="str">
        <f>IFERROR(__xludf.DUMMYFUNCTION("GOOGLETRANSLATE(B393, ""en"", ""hi"")"),"कबड्डी में, यदि कोई रेडर मध्य रेखा पार कर जाता है और डिफेंडर उसे तुरंत रोक लेते हैं तो क्या परिणाम होगा?")</f>
        <v>कबड्डी में, यदि कोई रेडर मध्य रेखा पार कर जाता है और डिफेंडर उसे तुरंत रोक लेते हैं तो क्या परिणाम होगा?</v>
      </c>
      <c r="H393" s="3" t="str">
        <f>IFERROR(__xludf.DUMMYFUNCTION("GOOGLETRANSLATE(C393,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393" s="3" t="str">
        <f>IFERROR(__xludf.DUMMYFUNCTION("GOOGLETRANSLATE(D393, ""en"", ""hi"")"),"बी) हमलावर बाहर है")</f>
        <v>बी) हमलावर बाहर है</v>
      </c>
    </row>
    <row r="394" ht="22.5" customHeight="1">
      <c r="A394" s="2">
        <v>393.0</v>
      </c>
      <c r="B394" s="3" t="s">
        <v>824</v>
      </c>
      <c r="C394" s="3" t="s">
        <v>761</v>
      </c>
      <c r="D394" s="3" t="s">
        <v>65</v>
      </c>
      <c r="F394" s="3" t="str">
        <f>IFERROR(__xludf.DUMMYFUNCTION("GOOGLETRANSLATE(A394, ""en"", ""hi"")"),"393")</f>
        <v>393</v>
      </c>
      <c r="G394" s="3" t="str">
        <f>IFERROR(__xludf.DUMMYFUNCTION("GOOGLETRANSLATE(B394, ""en"", ""hi"")"),"यदि कबड्डी रेडर सीमा से बाहर हो और टैकल होने से पहले डिफेंडर को छू ले तो क्या होगा?")</f>
        <v>यदि कबड्डी रेडर सीमा से बाहर हो और टैकल होने से पहले डिफेंडर को छू ले तो क्या होगा?</v>
      </c>
      <c r="H394" s="3" t="str">
        <f>IFERROR(__xludf.DUMMYFUNCTION("GOOGLETRANSLATE(C394, ""en"", ""hi"")"),"A) रेडर को 1 अंक दिया जाता है, B) रेडर आउट हो जाता है, C) बचाव करने वाली टीम को 2 अंक मिलते हैं, D) खेल रोक दिया जाता है")</f>
        <v>A) रेडर को 1 अंक दिया जाता है, B) रेडर आउट हो जाता है, C) बचाव करने वाली टीम को 2 अंक मिलते हैं, D) खेल रोक दिया जाता है</v>
      </c>
      <c r="I394" s="3" t="str">
        <f>IFERROR(__xludf.DUMMYFUNCTION("GOOGLETRANSLATE(D394, ""en"", ""hi"")"),"बी) हमलावर बाहर है")</f>
        <v>बी) हमलावर बाहर है</v>
      </c>
    </row>
    <row r="395" ht="22.5" customHeight="1">
      <c r="A395" s="2">
        <v>394.0</v>
      </c>
      <c r="B395" s="3" t="s">
        <v>825</v>
      </c>
      <c r="C395" s="3" t="s">
        <v>826</v>
      </c>
      <c r="D395" s="3" t="s">
        <v>65</v>
      </c>
      <c r="F395" s="3" t="str">
        <f>IFERROR(__xludf.DUMMYFUNCTION("GOOGLETRANSLATE(A395, ""en"", ""hi"")"),"394")</f>
        <v>394</v>
      </c>
      <c r="G395" s="3" t="str">
        <f>IFERROR(__xludf.DUMMYFUNCTION("GOOGLETRANSLATE(B395, ""en"", ""hi"")"),"कबड्डी मैच के दौरान, यदि रेडर को एक डिफेंडर द्वारा टैकल किया जाता है जो दूसरे डिफेंडर को भी पकड़ रहा है, तो परिणाम क्या होगा?")</f>
        <v>कबड्डी मैच के दौरान, यदि रेडर को एक डिफेंडर द्वारा टैकल किया जाता है जो दूसरे डिफेंडर को भी पकड़ रहा है, तो परिणाम क्या होगा?</v>
      </c>
      <c r="H395" s="3" t="str">
        <f>IFERROR(__xludf.DUMMYFUNCTION("GOOGLETRANSLATE(C395, ""en"", ""hi"")"),"A) रेडर को 1 अंक दिया जाता है, B) रेडर आउट हो जाता है, C) बचाव करने वाली टीम को 2 अंक मिलते हैं, D) मैच रोक दिया जाता है")</f>
        <v>A) रेडर को 1 अंक दिया जाता है, B) रेडर आउट हो जाता है, C) बचाव करने वाली टीम को 2 अंक मिलते हैं, D) मैच रोक दिया जाता है</v>
      </c>
      <c r="I395" s="3" t="str">
        <f>IFERROR(__xludf.DUMMYFUNCTION("GOOGLETRANSLATE(D395, ""en"", ""hi"")"),"बी) हमलावर बाहर है")</f>
        <v>बी) हमलावर बाहर है</v>
      </c>
    </row>
    <row r="396" ht="22.5" customHeight="1">
      <c r="A396" s="2">
        <v>395.0</v>
      </c>
      <c r="B396" s="3" t="s">
        <v>827</v>
      </c>
      <c r="C396" s="3" t="s">
        <v>775</v>
      </c>
      <c r="D396" s="3" t="s">
        <v>776</v>
      </c>
      <c r="F396" s="3" t="str">
        <f>IFERROR(__xludf.DUMMYFUNCTION("GOOGLETRANSLATE(A396, ""en"", ""hi"")"),"395")</f>
        <v>395</v>
      </c>
      <c r="G396" s="3" t="str">
        <f>IFERROR(__xludf.DUMMYFUNCTION("GOOGLETRANSLATE(B396, ""en"", ""hi"")"),"कबड्डी में 'पीला कार्ड' क्या दर्शाता है?")</f>
        <v>कबड्डी में 'पीला कार्ड' क्या दर्शाता है?</v>
      </c>
      <c r="H396" s="3" t="str">
        <f>IFERROR(__xludf.DUMMYFUNCTION("GOOGLETRANSLATE(C396, ""en"", ""hi"")"),"A) खिलाड़ी को चेतावनी, B) खिलाड़ी को पेनल्टी, C) रेडर को अंक दिया जाना, D) खिलाड़ी का प्रतिस्थापन")</f>
        <v>A) खिलाड़ी को चेतावनी, B) खिलाड़ी को पेनल्टी, C) रेडर को अंक दिया जाना, D) खिलाड़ी का प्रतिस्थापन</v>
      </c>
      <c r="I396" s="3" t="str">
        <f>IFERROR(__xludf.DUMMYFUNCTION("GOOGLETRANSLATE(D396, ""en"", ""hi"")"),"A) खिलाड़ी को चेतावनी")</f>
        <v>A) खिलाड़ी को चेतावनी</v>
      </c>
    </row>
    <row r="397" ht="22.5" customHeight="1">
      <c r="A397" s="2">
        <v>396.0</v>
      </c>
      <c r="B397" s="3" t="s">
        <v>828</v>
      </c>
      <c r="C397" s="3" t="s">
        <v>761</v>
      </c>
      <c r="D397" s="3" t="s">
        <v>65</v>
      </c>
      <c r="F397" s="3" t="str">
        <f>IFERROR(__xludf.DUMMYFUNCTION("GOOGLETRANSLATE(A397, ""en"", ""hi"")"),"396")</f>
        <v>396</v>
      </c>
      <c r="G397" s="3" t="str">
        <f>IFERROR(__xludf.DUMMYFUNCTION("GOOGLETRANSLATE(B397, ""en"", ""hi"")"),"यदि कोई कबड्डी रेडर बोनस लाइन पार कर जाए और डिफेंडर उसे तुरंत पकड़ लें तो क्या परिणाम होगा?")</f>
        <v>यदि कोई कबड्डी रेडर बोनस लाइन पार कर जाए और डिफेंडर उसे तुरंत पकड़ लें तो क्या परिणाम होगा?</v>
      </c>
      <c r="H397" s="3" t="str">
        <f>IFERROR(__xludf.DUMMYFUNCTION("GOOGLETRANSLATE(C397, ""en"", ""hi"")"),"A) रेडर को 1 अंक दिया जाता है, B) रेडर आउट हो जाता है, C) बचाव करने वाली टीम को 2 अंक मिलते हैं, D) खेल रोक दिया जाता है")</f>
        <v>A) रेडर को 1 अंक दिया जाता है, B) रेडर आउट हो जाता है, C) बचाव करने वाली टीम को 2 अंक मिलते हैं, D) खेल रोक दिया जाता है</v>
      </c>
      <c r="I397" s="3" t="str">
        <f>IFERROR(__xludf.DUMMYFUNCTION("GOOGLETRANSLATE(D397, ""en"", ""hi"")"),"बी) हमलावर बाहर है")</f>
        <v>बी) हमलावर बाहर है</v>
      </c>
    </row>
    <row r="398" ht="22.5" customHeight="1">
      <c r="A398" s="2">
        <v>397.0</v>
      </c>
      <c r="B398" s="3" t="s">
        <v>829</v>
      </c>
      <c r="C398" s="3" t="s">
        <v>830</v>
      </c>
      <c r="D398" s="3" t="s">
        <v>831</v>
      </c>
      <c r="F398" s="3" t="str">
        <f>IFERROR(__xludf.DUMMYFUNCTION("GOOGLETRANSLATE(A398, ""en"", ""hi"")"),"397")</f>
        <v>397</v>
      </c>
      <c r="G398" s="3" t="str">
        <f>IFERROR(__xludf.DUMMYFUNCTION("GOOGLETRANSLATE(B398, ""en"", ""hi"")"),"यदि कोई कबड्डी रेडर किसी डिफेंडर को सफलतापूर्वक टैग कर देता है, लेकिन अपने हाफ में लौटने से पहले ही पकड़ा जाता है, तो क्या होगा?")</f>
        <v>यदि कोई कबड्डी रेडर किसी डिफेंडर को सफलतापूर्वक टैग कर देता है, लेकिन अपने हाफ में लौटने से पहले ही पकड़ा जाता है, तो क्या होगा?</v>
      </c>
      <c r="H398" s="3" t="str">
        <f>IFERROR(__xludf.DUMMYFUNCTION("GOOGLETRANSLATE(C398, ""en"", ""hi"")"),"A) रेडर को 1 अंक दिया जाता है, B) रेडर को 2 अंक दिए जाते हैं, C) रेडर आउट हो जाता है, D) बचाव करने वाली टीम को 1 अंक मिलता है")</f>
        <v>A) रेडर को 1 अंक दिया जाता है, B) रेडर को 2 अंक दिए जाते हैं, C) रेडर आउट हो जाता है, D) बचाव करने वाली टीम को 1 अंक मिलता है</v>
      </c>
      <c r="I398" s="3" t="str">
        <f>IFERROR(__xludf.DUMMYFUNCTION("GOOGLETRANSLATE(D398, ""en"", ""hi"")"),"A) रेडर को 1 अंक दिया जाता है")</f>
        <v>A) रेडर को 1 अंक दिया जाता है</v>
      </c>
    </row>
    <row r="399" ht="22.5" customHeight="1">
      <c r="A399" s="2">
        <v>398.0</v>
      </c>
      <c r="B399" s="3" t="s">
        <v>832</v>
      </c>
      <c r="C399" s="3" t="s">
        <v>763</v>
      </c>
      <c r="D399" s="3" t="s">
        <v>140</v>
      </c>
      <c r="F399" s="3" t="str">
        <f>IFERROR(__xludf.DUMMYFUNCTION("GOOGLETRANSLATE(A399, ""en"", ""hi"")"),"398")</f>
        <v>398</v>
      </c>
      <c r="G399" s="3" t="str">
        <f>IFERROR(__xludf.DUMMYFUNCTION("GOOGLETRANSLATE(B399, ""en"", ""hi"")"),"कबड्डी मैच में, यदि रेडर सफलतापूर्वक डिफेंडर को छू लेता है और मध्य रेखा पार करने से पहले ही उसे टैकल कर लिया जाता है, तो परिणाम क्या होगा?")</f>
        <v>कबड्डी मैच में, यदि रेडर सफलतापूर्वक डिफेंडर को छू लेता है और मध्य रेखा पार करने से पहले ही उसे टैकल कर लिया जाता है, तो परिणाम क्या होगा?</v>
      </c>
      <c r="H399" s="3" t="str">
        <f>IFERROR(__xludf.DUMMYFUNCTION("GOOGLETRANSLATE(C399, ""en"", ""hi"")"),"A) रेडर आउट हो गया, B) रेडर को 1 अंक मिला, C) रेडर को 2 अंक मिले, D) बचाव करने वाली टीम को 1 अंक मिला")</f>
        <v>A) रेडर आउट हो गया, B) रेडर को 1 अंक मिला, C) रेडर को 2 अंक मिले, D) बचाव करने वाली टीम को 1 अंक मिला</v>
      </c>
      <c r="I399" s="3" t="str">
        <f>IFERROR(__xludf.DUMMYFUNCTION("GOOGLETRANSLATE(D399, ""en"", ""hi"")"),"A) हमलावर बाहर है")</f>
        <v>A) हमलावर बाहर है</v>
      </c>
    </row>
    <row r="400" ht="22.5" customHeight="1">
      <c r="A400" s="2">
        <v>399.0</v>
      </c>
      <c r="B400" s="3" t="s">
        <v>833</v>
      </c>
      <c r="C400" s="3" t="s">
        <v>801</v>
      </c>
      <c r="D400" s="3" t="s">
        <v>65</v>
      </c>
      <c r="F400" s="3" t="str">
        <f>IFERROR(__xludf.DUMMYFUNCTION("GOOGLETRANSLATE(A400, ""en"", ""hi"")"),"399")</f>
        <v>399</v>
      </c>
      <c r="G400" s="3" t="str">
        <f>IFERROR(__xludf.DUMMYFUNCTION("GOOGLETRANSLATE(B400, ""en"", ""hi"")"),"कबड्डी मैच के दौरान, यदि कोई रेडर बोनस लाइन पार कर जाता है, लेकिन किसी डिफेंडर को टैग करने में विफल रहता है, तो क्या होगा?")</f>
        <v>कबड्डी मैच के दौरान, यदि कोई रेडर बोनस लाइन पार कर जाता है, लेकिन किसी डिफेंडर को टैग करने में विफल रहता है, तो क्या होगा?</v>
      </c>
      <c r="H400" s="3" t="str">
        <f>IFERROR(__xludf.DUMMYFUNCTION("GOOGLETRANSLATE(C400,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400" s="3" t="str">
        <f>IFERROR(__xludf.DUMMYFUNCTION("GOOGLETRANSLATE(D400, ""en"", ""hi"")"),"बी) हमलावर बाहर है")</f>
        <v>बी) हमलावर बाहर है</v>
      </c>
    </row>
    <row r="401" ht="22.5" customHeight="1">
      <c r="A401" s="2">
        <v>400.0</v>
      </c>
      <c r="B401" s="3" t="s">
        <v>834</v>
      </c>
      <c r="C401" s="3" t="s">
        <v>835</v>
      </c>
      <c r="D401" s="3" t="s">
        <v>65</v>
      </c>
      <c r="F401" s="3" t="str">
        <f>IFERROR(__xludf.DUMMYFUNCTION("GOOGLETRANSLATE(A401, ""en"", ""hi"")"),"400")</f>
        <v>400</v>
      </c>
      <c r="G401" s="3" t="str">
        <f>IFERROR(__xludf.DUMMYFUNCTION("GOOGLETRANSLATE(B401, ""en"", ""hi"")"),"यदि कबड्डी रेडर को उस डिफेंडर को टैग करने का प्रयास करते समय टैकल कर दिया जाता है जो किसी अन्य डिफेंडर को पकड़ कर नहीं बैठा है, तो क्या होगा?")</f>
        <v>यदि कबड्डी रेडर को उस डिफेंडर को टैग करने का प्रयास करते समय टैकल कर दिया जाता है जो किसी अन्य डिफेंडर को पकड़ कर नहीं बैठा है, तो क्या होगा?</v>
      </c>
      <c r="H401" s="3" t="str">
        <f>IFERROR(__xludf.DUMMYFUNCTION("GOOGLETRANSLATE(C401, ""en"", ""hi"")"),"A) रेडर को 1 अंक मिलता है, B) रेडर आउट हो जाता है, C) बचाव करने वाली टीम को 2 अंक मिलते हैं, D) रेड करने वाली टीम को पेनल्टी मिलती है")</f>
        <v>A) रेडर को 1 अंक मिलता है, B) रेडर आउट हो जाता है, C) बचाव करने वाली टीम को 2 अंक मिलते हैं, D) रेड करने वाली टीम को पेनल्टी मिलती है</v>
      </c>
      <c r="I401" s="3" t="str">
        <f>IFERROR(__xludf.DUMMYFUNCTION("GOOGLETRANSLATE(D401, ""en"", ""hi"")"),"बी) हमलावर बाहर है")</f>
        <v>बी) हमलावर बाहर है</v>
      </c>
    </row>
    <row r="402" ht="22.5" customHeight="1">
      <c r="A402" s="2">
        <v>401.0</v>
      </c>
      <c r="B402" s="3" t="s">
        <v>836</v>
      </c>
      <c r="C402" s="3" t="s">
        <v>837</v>
      </c>
      <c r="D402" s="3" t="s">
        <v>204</v>
      </c>
      <c r="F402" s="3" t="str">
        <f>IFERROR(__xludf.DUMMYFUNCTION("GOOGLETRANSLATE(A402, ""en"", ""hi"")"),"401")</f>
        <v>401</v>
      </c>
      <c r="G402" s="3" t="str">
        <f>IFERROR(__xludf.DUMMYFUNCTION("GOOGLETRANSLATE(B402, ""en"", ""hi"")"),"यदि कबड्डी रेडर को टैकल कर दिया जाए, लेकिन वह बोनस लाइन पार करने में सफल हो जाए, तो खेल पर क्या प्रभाव पड़ता है?")</f>
        <v>यदि कबड्डी रेडर को टैकल कर दिया जाए, लेकिन वह बोनस लाइन पार करने में सफल हो जाए, तो खेल पर क्या प्रभाव पड़ता है?</v>
      </c>
      <c r="H402" s="3" t="str">
        <f>IFERROR(__xludf.DUMMYFUNCTION("GOOGLETRANSLATE(C402, ""en"", ""hi"")"),"A) रेडर को 1 अंक मिलता है, B) रेडर आउट हो जाता है, C) बचाव करने वाली टीम को 1 अंक मिलता है, D) रेड करने वाली टीम को 2 अंक मिलते हैं")</f>
        <v>A) रेडर को 1 अंक मिलता है, B) रेडर आउट हो जाता है, C) बचाव करने वाली टीम को 1 अंक मिलता है, D) रेड करने वाली टीम को 2 अंक मिलते हैं</v>
      </c>
      <c r="I402" s="3" t="str">
        <f>IFERROR(__xludf.DUMMYFUNCTION("GOOGLETRANSLATE(D402, ""en"", ""hi"")"),"A) रेडर को 1 अंक मिलता है")</f>
        <v>A) रेडर को 1 अंक मिलता है</v>
      </c>
    </row>
    <row r="403" ht="22.5" customHeight="1">
      <c r="A403" s="2">
        <v>402.0</v>
      </c>
      <c r="B403" s="3" t="s">
        <v>838</v>
      </c>
      <c r="C403" s="3" t="s">
        <v>839</v>
      </c>
      <c r="D403" s="3" t="s">
        <v>840</v>
      </c>
      <c r="F403" s="3" t="str">
        <f>IFERROR(__xludf.DUMMYFUNCTION("GOOGLETRANSLATE(A403, ""en"", ""hi"")"),"402")</f>
        <v>402</v>
      </c>
      <c r="G403" s="3" t="str">
        <f>IFERROR(__xludf.DUMMYFUNCTION("GOOGLETRANSLATE(B403, ""en"", ""hi"")"),"कबड्डी में, यदि कोई खिलाड़ी फाउल के कारण आउट हो जाता है, तो टीम के कितने खिलाड़ियों को खेलना जारी रखने की अनुमति होती है?")</f>
        <v>कबड्डी में, यदि कोई खिलाड़ी फाउल के कारण आउट हो जाता है, तो टीम के कितने खिलाड़ियों को खेलना जारी रखने की अनुमति होती है?</v>
      </c>
      <c r="H403" s="3" t="str">
        <f>IFERROR(__xludf.DUMMYFUNCTION("GOOGLETRANSLATE(C403, ""en"", ""hi"")"),"ए) 6, बी) 7, सी) 8, डी) 9")</f>
        <v>ए) 6, बी) 7, सी) 8, डी) 9</v>
      </c>
      <c r="I403" s="3" t="str">
        <f>IFERROR(__xludf.DUMMYFUNCTION("GOOGLETRANSLATE(D403, ""en"", ""hi"")"),"ए) 6")</f>
        <v>ए) 6</v>
      </c>
    </row>
    <row r="404" ht="22.5" customHeight="1">
      <c r="A404" s="2">
        <v>403.0</v>
      </c>
      <c r="B404" s="3" t="s">
        <v>841</v>
      </c>
      <c r="C404" s="3" t="s">
        <v>47</v>
      </c>
      <c r="D404" s="3" t="s">
        <v>16</v>
      </c>
      <c r="F404" s="3" t="str">
        <f>IFERROR(__xludf.DUMMYFUNCTION("GOOGLETRANSLATE(A404, ""en"", ""hi"")"),"403")</f>
        <v>403</v>
      </c>
      <c r="G404" s="3" t="str">
        <f>IFERROR(__xludf.DUMMYFUNCTION("GOOGLETRANSLATE(B404, ""en"", ""hi"")"),"यदि कोई कबड्डी रेडर सभी डिफेंडरों को टैग करने और अपने हाफ में लौटने में सफल होता है, तो उसकी टीम को कितने अंक मिलते हैं?")</f>
        <v>यदि कोई कबड्डी रेडर सभी डिफेंडरों को टैग करने और अपने हाफ में लौटने में सफल होता है, तो उसकी टीम को कितने अंक मिलते हैं?</v>
      </c>
      <c r="H404" s="3" t="str">
        <f>IFERROR(__xludf.DUMMYFUNCTION("GOOGLETRANSLATE(C404, ""en"", ""hi"")"),"A) 1 अंक, B) 2 अंक, C) 3 अंक, D) 4 अंक")</f>
        <v>A) 1 अंक, B) 2 अंक, C) 3 अंक, D) 4 अंक</v>
      </c>
      <c r="I404" s="3" t="str">
        <f>IFERROR(__xludf.DUMMYFUNCTION("GOOGLETRANSLATE(D404, ""en"", ""hi"")"),"बी) 2 अंक")</f>
        <v>बी) 2 अंक</v>
      </c>
    </row>
    <row r="405" ht="22.5" customHeight="1">
      <c r="A405" s="2">
        <v>404.0</v>
      </c>
      <c r="B405" s="3" t="s">
        <v>842</v>
      </c>
      <c r="C405" s="3" t="s">
        <v>843</v>
      </c>
      <c r="D405" s="3" t="s">
        <v>844</v>
      </c>
      <c r="F405" s="3" t="str">
        <f>IFERROR(__xludf.DUMMYFUNCTION("GOOGLETRANSLATE(A405, ""en"", ""hi"")"),"404")</f>
        <v>404</v>
      </c>
      <c r="G405" s="3" t="str">
        <f>IFERROR(__xludf.DUMMYFUNCTION("GOOGLETRANSLATE(B405, ""en"", ""hi"")"),"कबड्डी में 'सुपर टैकल' शब्द का क्या अर्थ है?")</f>
        <v>कबड्डी में 'सुपर टैकल' शब्द का क्या अर्थ है?</v>
      </c>
      <c r="H405" s="3" t="str">
        <f>IFERROR(__xludf.DUMMYFUNCTION("GOOGLETRANSLATE(C405, ""en"", ""hi"")"),"A) जब सभी डिफेंडर एक साथ रेडर से टकराते हैं, B) जब एक रेडर सभी डिफेंडर को सफलतापूर्वक टैग कर देता है, C) जब रेडर बोनस लाइन पार कर जाता है, D) जब रेडिंग टीम एक ही रेड में सबसे अधिक अंक प्राप्त करती है")</f>
        <v>A) जब सभी डिफेंडर एक साथ रेडर से टकराते हैं, B) जब एक रेडर सभी डिफेंडर को सफलतापूर्वक टैग कर देता है, C) जब रेडर बोनस लाइन पार कर जाता है, D) जब रेडिंग टीम एक ही रेड में सबसे अधिक अंक प्राप्त करती है</v>
      </c>
      <c r="I405" s="3" t="str">
        <f>IFERROR(__xludf.DUMMYFUNCTION("GOOGLETRANSLATE(D405, ""en"", ""hi"")"),"A) जब सभी डिफेंडर एक साथ एक रेडर से टकराते हैं")</f>
        <v>A) जब सभी डिफेंडर एक साथ एक रेडर से टकराते हैं</v>
      </c>
    </row>
    <row r="406" ht="22.5" customHeight="1">
      <c r="A406" s="2">
        <v>405.0</v>
      </c>
      <c r="B406" s="3" t="s">
        <v>845</v>
      </c>
      <c r="C406" s="3" t="s">
        <v>846</v>
      </c>
      <c r="D406" s="3" t="s">
        <v>831</v>
      </c>
      <c r="F406" s="3" t="str">
        <f>IFERROR(__xludf.DUMMYFUNCTION("GOOGLETRANSLATE(A406, ""en"", ""hi"")"),"405")</f>
        <v>405</v>
      </c>
      <c r="G406" s="3" t="str">
        <f>IFERROR(__xludf.DUMMYFUNCTION("GOOGLETRANSLATE(B406, ""en"", ""hi"")"),"कबड्डी में, यदि कोई डिफेंडर अपने हाथों से रेडर को बाधा पहुंचाता हुआ पाया जाता है, तो क्या होता है?")</f>
        <v>कबड्डी में, यदि कोई डिफेंडर अपने हाथों से रेडर को बाधा पहुंचाता हुआ पाया जाता है, तो क्या होता है?</v>
      </c>
      <c r="H406" s="3" t="str">
        <f>IFERROR(__xludf.DUMMYFUNCTION("GOOGLETRANSLATE(C406, ""en"", ""hi"")"),"A) रेडर को 1 अंक दिया जाता है, B) डिफेंडर आउट हो जाता है, C) रेड करने वाली टीम को पेनल्टी मिलती है, D) खेल रोक दिया जाता है")</f>
        <v>A) रेडर को 1 अंक दिया जाता है, B) डिफेंडर आउट हो जाता है, C) रेड करने वाली टीम को पेनल्टी मिलती है, D) खेल रोक दिया जाता है</v>
      </c>
      <c r="I406" s="3" t="str">
        <f>IFERROR(__xludf.DUMMYFUNCTION("GOOGLETRANSLATE(D406, ""en"", ""hi"")"),"A) रेडर को 1 अंक दिया जाता है")</f>
        <v>A) रेडर को 1 अंक दिया जाता है</v>
      </c>
    </row>
    <row r="407" ht="22.5" customHeight="1">
      <c r="A407" s="2">
        <v>406.0</v>
      </c>
      <c r="B407" s="3" t="s">
        <v>847</v>
      </c>
      <c r="C407" s="3" t="s">
        <v>848</v>
      </c>
      <c r="D407" s="3" t="s">
        <v>849</v>
      </c>
      <c r="F407" s="3" t="str">
        <f>IFERROR(__xludf.DUMMYFUNCTION("GOOGLETRANSLATE(A407, ""en"", ""hi"")"),"406")</f>
        <v>406</v>
      </c>
      <c r="G407" s="3" t="str">
        <f>IFERROR(__xludf.DUMMYFUNCTION("GOOGLETRANSLATE(B407, ""en"", ""hi"")"),"कबड्डी मैच में जब पूरी विरोधी टीम आउट हो जाती है तो क्या शब्द का प्रयोग किया जाता है?")</f>
        <v>कबड्डी मैच में जब पूरी विरोधी टीम आउट हो जाती है तो क्या शब्द का प्रयोग किया जाता है?</v>
      </c>
      <c r="H407" s="3" t="str">
        <f>IFERROR(__xludf.DUMMYFUNCTION("GOOGLETRANSLATE(C407, ""en"", ""hi"")"),"ए) ऑल-आउट, बी) सुपर रेड, सी) टोटल टैकल, डी) बोनस")</f>
        <v>ए) ऑल-आउट, बी) सुपर रेड, सी) टोटल टैकल, डी) बोनस</v>
      </c>
      <c r="I407" s="3" t="str">
        <f>IFERROR(__xludf.DUMMYFUNCTION("GOOGLETRANSLATE(D407, ""en"", ""hi"")"),"ए) ऑल-आउट")</f>
        <v>ए) ऑल-आउट</v>
      </c>
    </row>
    <row r="408" ht="22.5" customHeight="1">
      <c r="A408" s="2">
        <v>407.0</v>
      </c>
      <c r="B408" s="3" t="s">
        <v>850</v>
      </c>
      <c r="C408" s="3" t="s">
        <v>851</v>
      </c>
      <c r="D408" s="3" t="s">
        <v>65</v>
      </c>
      <c r="F408" s="3" t="str">
        <f>IFERROR(__xludf.DUMMYFUNCTION("GOOGLETRANSLATE(A408, ""en"", ""hi"")"),"407")</f>
        <v>407</v>
      </c>
      <c r="G408" s="3" t="str">
        <f>IFERROR(__xludf.DUMMYFUNCTION("GOOGLETRANSLATE(B408, ""en"", ""hi"")"),"कबड्डी मैच के दौरान, यदि किसी रेडर का पैर मध्य रेखा को पार कर जाता है, लेकिन उन्हें तुरंत टैकल कर दिया जाता है, तो परिणाम क्या होगा?")</f>
        <v>कबड्डी मैच के दौरान, यदि किसी रेडर का पैर मध्य रेखा को पार कर जाता है, लेकिन उन्हें तुरंत टैकल कर दिया जाता है, तो परिणाम क्या होगा?</v>
      </c>
      <c r="H408" s="3" t="str">
        <f>IFERROR(__xludf.DUMMYFUNCTION("GOOGLETRANSLATE(C408,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08" s="3" t="str">
        <f>IFERROR(__xludf.DUMMYFUNCTION("GOOGLETRANSLATE(D408, ""en"", ""hi"")"),"बी) हमलावर बाहर है")</f>
        <v>बी) हमलावर बाहर है</v>
      </c>
    </row>
    <row r="409" ht="22.5" customHeight="1">
      <c r="A409" s="2">
        <v>408.0</v>
      </c>
      <c r="B409" s="3" t="s">
        <v>852</v>
      </c>
      <c r="C409" s="3" t="s">
        <v>853</v>
      </c>
      <c r="D409" s="3" t="s">
        <v>786</v>
      </c>
      <c r="F409" s="3" t="str">
        <f>IFERROR(__xludf.DUMMYFUNCTION("GOOGLETRANSLATE(A409, ""en"", ""hi"")"),"408")</f>
        <v>408</v>
      </c>
      <c r="G409" s="3" t="str">
        <f>IFERROR(__xludf.DUMMYFUNCTION("GOOGLETRANSLATE(B409, ""en"", ""hi"")"),"कबड्डी में, यदि कोई रेडर सफलतापूर्वक डिफेंडर को छू लेता है और फिर बिना टैकल किए बोनस लाइन पार कर जाता है तो परिणाम क्या होगा?")</f>
        <v>कबड्डी में, यदि कोई रेडर सफलतापूर्वक डिफेंडर को छू लेता है और फिर बिना टैकल किए बोनस लाइन पार कर जाता है तो परिणाम क्या होगा?</v>
      </c>
      <c r="H409" s="3" t="str">
        <f>IFERROR(__xludf.DUMMYFUNCTION("GOOGLETRANSLATE(C409, ""en"", ""hi"")"),"A) रेडर को 1 अंक मिलता है, B) रेडर को 2 अंक मिलते हैं, C) रेडर आउट हो जाता है, D) बचाव करने वाली टीम को 1 अंक मिलता है")</f>
        <v>A) रेडर को 1 अंक मिलता है, B) रेडर को 2 अंक मिलते हैं, C) रेडर आउट हो जाता है, D) बचाव करने वाली टीम को 1 अंक मिलता है</v>
      </c>
      <c r="I409" s="3" t="str">
        <f>IFERROR(__xludf.DUMMYFUNCTION("GOOGLETRANSLATE(D409, ""en"", ""hi"")"),"B) रेडर को 2 अंक मिलते हैं")</f>
        <v>B) रेडर को 2 अंक मिलते हैं</v>
      </c>
    </row>
    <row r="410" ht="22.5" customHeight="1">
      <c r="A410" s="2">
        <v>409.0</v>
      </c>
      <c r="B410" s="3" t="s">
        <v>854</v>
      </c>
      <c r="C410" s="3" t="s">
        <v>801</v>
      </c>
      <c r="D410" s="3" t="s">
        <v>65</v>
      </c>
      <c r="F410" s="3" t="str">
        <f>IFERROR(__xludf.DUMMYFUNCTION("GOOGLETRANSLATE(A410, ""en"", ""hi"")"),"409")</f>
        <v>409</v>
      </c>
      <c r="G410" s="3" t="str">
        <f>IFERROR(__xludf.DUMMYFUNCTION("GOOGLETRANSLATE(B410, ""en"", ""hi"")"),"यदि कबड्डी रेडर को किसी डिफेंडर द्वारा टैग किया जाता है, जिसके पास गेंद नहीं है, तो परिणाम क्या होगा?")</f>
        <v>यदि कबड्डी रेडर को किसी डिफेंडर द्वारा टैग किया जाता है, जिसके पास गेंद नहीं है, तो परिणाम क्या होगा?</v>
      </c>
      <c r="H410" s="3" t="str">
        <f>IFERROR(__xludf.DUMMYFUNCTION("GOOGLETRANSLATE(C410,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410" s="3" t="str">
        <f>IFERROR(__xludf.DUMMYFUNCTION("GOOGLETRANSLATE(D410, ""en"", ""hi"")"),"बी) हमलावर बाहर है")</f>
        <v>बी) हमलावर बाहर है</v>
      </c>
    </row>
    <row r="411" ht="22.5" customHeight="1">
      <c r="A411" s="2">
        <v>410.0</v>
      </c>
      <c r="B411" s="3" t="s">
        <v>855</v>
      </c>
      <c r="C411" s="3" t="s">
        <v>856</v>
      </c>
      <c r="D411" s="3" t="s">
        <v>786</v>
      </c>
      <c r="F411" s="3" t="str">
        <f>IFERROR(__xludf.DUMMYFUNCTION("GOOGLETRANSLATE(A411, ""en"", ""hi"")"),"410")</f>
        <v>410</v>
      </c>
      <c r="G411" s="3" t="str">
        <f>IFERROR(__xludf.DUMMYFUNCTION("GOOGLETRANSLATE(B411, ""en"", ""hi"")"),"यदि कोई कबड्डी रेडर सफलतापूर्वक तीन डिफेंडरों को टैग कर दे और बिना टैकल किए मिडलाइन पार कर जाए तो क्या होगा?")</f>
        <v>यदि कोई कबड्डी रेडर सफलतापूर्वक तीन डिफेंडरों को टैग कर दे और बिना टैकल किए मिडलाइन पार कर जाए तो क्या होगा?</v>
      </c>
      <c r="H411" s="3" t="str">
        <f>IFERROR(__xludf.DUMMYFUNCTION("GOOGLETRANSLATE(C411, ""en"", ""hi"")"),"A) रेडर 1 अंक प्राप्त करता है, B) रेडर 2 अंक प्राप्त करता है, C) रेडर 3 अंक प्राप्त करता है, D) रेडर 4 अंक प्राप्त करता है")</f>
        <v>A) रेडर 1 अंक प्राप्त करता है, B) रेडर 2 अंक प्राप्त करता है, C) रेडर 3 अंक प्राप्त करता है, D) रेडर 4 अंक प्राप्त करता है</v>
      </c>
      <c r="I411" s="3" t="str">
        <f>IFERROR(__xludf.DUMMYFUNCTION("GOOGLETRANSLATE(D411, ""en"", ""hi"")"),"B) रेडर को 2 अंक मिलते हैं")</f>
        <v>B) रेडर को 2 अंक मिलते हैं</v>
      </c>
    </row>
    <row r="412" ht="22.5" customHeight="1">
      <c r="A412" s="2">
        <v>411.0</v>
      </c>
      <c r="B412" s="3" t="s">
        <v>857</v>
      </c>
      <c r="C412" s="3" t="s">
        <v>858</v>
      </c>
      <c r="D412" s="3" t="s">
        <v>859</v>
      </c>
      <c r="F412" s="3" t="str">
        <f>IFERROR(__xludf.DUMMYFUNCTION("GOOGLETRANSLATE(A412, ""en"", ""hi"")"),"411")</f>
        <v>411</v>
      </c>
      <c r="G412" s="3" t="str">
        <f>IFERROR(__xludf.DUMMYFUNCTION("GOOGLETRANSLATE(B412, ""en"", ""hi"")"),"कबड्डी में 'रेड कार्ड' का क्या प्रभाव होता है?")</f>
        <v>कबड्डी में 'रेड कार्ड' का क्या प्रभाव होता है?</v>
      </c>
      <c r="H412" s="3" t="str">
        <f>IFERROR(__xludf.DUMMYFUNCTION("GOOGLETRANSLATE(C412, ""en"", ""hi"")"),"A) खिलाड़ी को शेष मैच के लिए निलंबित कर दिया जाता है, B) खिलाड़ी को चेतावनी दी जाती है, C) खिलाड़ी पर जुर्माना लगाया जाता है, D) खिलाड़ी को प्रतिस्थापित किया जाता है")</f>
        <v>A) खिलाड़ी को शेष मैच के लिए निलंबित कर दिया जाता है, B) खिलाड़ी को चेतावनी दी जाती है, C) खिलाड़ी पर जुर्माना लगाया जाता है, D) खिलाड़ी को प्रतिस्थापित किया जाता है</v>
      </c>
      <c r="I412" s="3" t="str">
        <f>IFERROR(__xludf.DUMMYFUNCTION("GOOGLETRANSLATE(D412, ""en"", ""hi"")"),"A) खिलाड़ी को शेष मैच के लिए निलंबित कर दिया जाता है")</f>
        <v>A) खिलाड़ी को शेष मैच के लिए निलंबित कर दिया जाता है</v>
      </c>
    </row>
    <row r="413" ht="22.5" customHeight="1">
      <c r="A413" s="2">
        <v>412.0</v>
      </c>
      <c r="B413" s="3" t="s">
        <v>860</v>
      </c>
      <c r="C413" s="3" t="s">
        <v>835</v>
      </c>
      <c r="D413" s="3" t="s">
        <v>65</v>
      </c>
      <c r="F413" s="3" t="str">
        <f>IFERROR(__xludf.DUMMYFUNCTION("GOOGLETRANSLATE(A413, ""en"", ""hi"")"),"412")</f>
        <v>412</v>
      </c>
      <c r="G413" s="3" t="str">
        <f>IFERROR(__xludf.DUMMYFUNCTION("GOOGLETRANSLATE(B413, ""en"", ""hi"")"),"कबड्डी में, यदि कोई रेडर बोनस लाइन पार कर जाता है, लेकिन अपने हाफ में लौटने से पहले एक से अधिक डिफेंडर द्वारा उसे टैकल कर लिया जाता है, तो क्या होगा?")</f>
        <v>कबड्डी में, यदि कोई रेडर बोनस लाइन पार कर जाता है, लेकिन अपने हाफ में लौटने से पहले एक से अधिक डिफेंडर द्वारा उसे टैकल कर लिया जाता है, तो क्या होगा?</v>
      </c>
      <c r="H413" s="3" t="str">
        <f>IFERROR(__xludf.DUMMYFUNCTION("GOOGLETRANSLATE(C413, ""en"", ""hi"")"),"A) रेडर को 1 अंक मिलता है, B) रेडर आउट हो जाता है, C) बचाव करने वाली टीम को 2 अंक मिलते हैं, D) रेड करने वाली टीम को पेनल्टी मिलती है")</f>
        <v>A) रेडर को 1 अंक मिलता है, B) रेडर आउट हो जाता है, C) बचाव करने वाली टीम को 2 अंक मिलते हैं, D) रेड करने वाली टीम को पेनल्टी मिलती है</v>
      </c>
      <c r="I413" s="3" t="str">
        <f>IFERROR(__xludf.DUMMYFUNCTION("GOOGLETRANSLATE(D413, ""en"", ""hi"")"),"बी) हमलावर बाहर है")</f>
        <v>बी) हमलावर बाहर है</v>
      </c>
    </row>
    <row r="414" ht="22.5" customHeight="1">
      <c r="A414" s="2">
        <v>413.0</v>
      </c>
      <c r="B414" s="3" t="s">
        <v>861</v>
      </c>
      <c r="C414" s="3" t="s">
        <v>862</v>
      </c>
      <c r="D414" s="3" t="s">
        <v>863</v>
      </c>
      <c r="F414" s="3" t="str">
        <f>IFERROR(__xludf.DUMMYFUNCTION("GOOGLETRANSLATE(A414, ""en"", ""hi"")"),"413")</f>
        <v>413</v>
      </c>
      <c r="G414" s="3" t="str">
        <f>IFERROR(__xludf.DUMMYFUNCTION("GOOGLETRANSLATE(B414, ""en"", ""hi"")"),"कबड्डी मैच में 'रेड लाइन' की क्या भूमिका होती है?")</f>
        <v>कबड्डी मैच में 'रेड लाइन' की क्या भूमिका होती है?</v>
      </c>
      <c r="H414" s="3" t="str">
        <f>IFERROR(__xludf.DUMMYFUNCTION("GOOGLETRANSLATE(C414, ""en"", ""hi"")"),"A) यह इंगित करने के लिए कि रेडिंग कहाँ से शुरू होती है, B) मैदान के अंत को चिह्नित करने के लिए, C) बोनस क्षेत्र निर्धारित करने के लिए, D) मैच शुरू करने के लिए")</f>
        <v>A) यह इंगित करने के लिए कि रेडिंग कहाँ से शुरू होती है, B) मैदान के अंत को चिह्नित करने के लिए, C) बोनस क्षेत्र निर्धारित करने के लिए, D) मैच शुरू करने के लिए</v>
      </c>
      <c r="I414" s="3" t="str">
        <f>IFERROR(__xludf.DUMMYFUNCTION("GOOGLETRANSLATE(D414, ""en"", ""hi"")"),"A) यह इंगित करने के लिए कि छापेमारी कहाँ से शुरू होती है")</f>
        <v>A) यह इंगित करने के लिए कि छापेमारी कहाँ से शुरू होती है</v>
      </c>
    </row>
    <row r="415" ht="22.5" customHeight="1">
      <c r="A415" s="2">
        <v>414.0</v>
      </c>
      <c r="B415" s="3" t="s">
        <v>864</v>
      </c>
      <c r="C415" s="3" t="s">
        <v>47</v>
      </c>
      <c r="D415" s="3" t="s">
        <v>52</v>
      </c>
      <c r="F415" s="3" t="str">
        <f>IFERROR(__xludf.DUMMYFUNCTION("GOOGLETRANSLATE(A415, ""en"", ""hi"")"),"414")</f>
        <v>414</v>
      </c>
      <c r="G415" s="3" t="str">
        <f>IFERROR(__xludf.DUMMYFUNCTION("GOOGLETRANSLATE(B415, ""en"", ""hi"")"),"कबड्डी मैच में, यदि रेडर सफलतापूर्वक एक डिफेंडर को टैग करता है और बिना टैकल किए अपने हाफ में वापस लौटता है, तो उस रेड का स्कोर क्या होगा?")</f>
        <v>कबड्डी मैच में, यदि रेडर सफलतापूर्वक एक डिफेंडर को टैग करता है और बिना टैकल किए अपने हाफ में वापस लौटता है, तो उस रेड का स्कोर क्या होगा?</v>
      </c>
      <c r="H415" s="3" t="str">
        <f>IFERROR(__xludf.DUMMYFUNCTION("GOOGLETRANSLATE(C415, ""en"", ""hi"")"),"A) 1 अंक, B) 2 अंक, C) 3 अंक, D) 4 अंक")</f>
        <v>A) 1 अंक, B) 2 अंक, C) 3 अंक, D) 4 अंक</v>
      </c>
      <c r="I415" s="3" t="str">
        <f>IFERROR(__xludf.DUMMYFUNCTION("GOOGLETRANSLATE(D415, ""en"", ""hi"")"),"ए) 1 अंक")</f>
        <v>ए) 1 अंक</v>
      </c>
    </row>
    <row r="416" ht="22.5" customHeight="1">
      <c r="A416" s="2">
        <v>415.0</v>
      </c>
      <c r="B416" s="3" t="s">
        <v>865</v>
      </c>
      <c r="C416" s="3" t="s">
        <v>775</v>
      </c>
      <c r="D416" s="3" t="s">
        <v>776</v>
      </c>
      <c r="F416" s="3" t="str">
        <f>IFERROR(__xludf.DUMMYFUNCTION("GOOGLETRANSLATE(A416, ""en"", ""hi"")"),"415")</f>
        <v>415</v>
      </c>
      <c r="G416" s="3" t="str">
        <f>IFERROR(__xludf.DUMMYFUNCTION("GOOGLETRANSLATE(B416, ""en"", ""hi"")"),"कबड्डी में 'ग्रीन कार्ड' का क्या अर्थ है?")</f>
        <v>कबड्डी में 'ग्रीन कार्ड' का क्या अर्थ है?</v>
      </c>
      <c r="H416" s="3" t="str">
        <f>IFERROR(__xludf.DUMMYFUNCTION("GOOGLETRANSLATE(C416, ""en"", ""hi"")"),"A) खिलाड़ी को चेतावनी, B) खिलाड़ी को पेनल्टी, C) रेडर को अंक दिया जाना, D) खिलाड़ी का प्रतिस्थापन")</f>
        <v>A) खिलाड़ी को चेतावनी, B) खिलाड़ी को पेनल्टी, C) रेडर को अंक दिया जाना, D) खिलाड़ी का प्रतिस्थापन</v>
      </c>
      <c r="I416" s="3" t="str">
        <f>IFERROR(__xludf.DUMMYFUNCTION("GOOGLETRANSLATE(D416, ""en"", ""hi"")"),"A) खिलाड़ी को चेतावनी")</f>
        <v>A) खिलाड़ी को चेतावनी</v>
      </c>
    </row>
    <row r="417" ht="22.5" customHeight="1">
      <c r="A417" s="2">
        <v>416.0</v>
      </c>
      <c r="B417" s="3" t="s">
        <v>866</v>
      </c>
      <c r="C417" s="3" t="s">
        <v>851</v>
      </c>
      <c r="D417" s="3" t="s">
        <v>65</v>
      </c>
      <c r="F417" s="3" t="str">
        <f>IFERROR(__xludf.DUMMYFUNCTION("GOOGLETRANSLATE(A417, ""en"", ""hi"")"),"416")</f>
        <v>416</v>
      </c>
      <c r="G417" s="3" t="str">
        <f>IFERROR(__xludf.DUMMYFUNCTION("GOOGLETRANSLATE(B417, ""en"", ""hi"")"),"यदि कोई कबड्डी रेडर बोनस लाइन पार करने का प्रयास करते समय टैकल हो जाता है और असफल हो जाता है, तो परिणाम क्या होगा?")</f>
        <v>यदि कोई कबड्डी रेडर बोनस लाइन पार करने का प्रयास करते समय टैकल हो जाता है और असफल हो जाता है, तो परिणाम क्या होगा?</v>
      </c>
      <c r="H417" s="3" t="str">
        <f>IFERROR(__xludf.DUMMYFUNCTION("GOOGLETRANSLATE(C417,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17" s="3" t="str">
        <f>IFERROR(__xludf.DUMMYFUNCTION("GOOGLETRANSLATE(D417, ""en"", ""hi"")"),"बी) हमलावर बाहर है")</f>
        <v>बी) हमलावर बाहर है</v>
      </c>
    </row>
    <row r="418" ht="22.5" customHeight="1">
      <c r="A418" s="2">
        <v>417.0</v>
      </c>
      <c r="B418" s="3" t="s">
        <v>867</v>
      </c>
      <c r="C418" s="3" t="s">
        <v>47</v>
      </c>
      <c r="D418" s="3" t="s">
        <v>52</v>
      </c>
      <c r="F418" s="3" t="str">
        <f>IFERROR(__xludf.DUMMYFUNCTION("GOOGLETRANSLATE(A418, ""en"", ""hi"")"),"417")</f>
        <v>417</v>
      </c>
      <c r="G418" s="3" t="str">
        <f>IFERROR(__xludf.DUMMYFUNCTION("GOOGLETRANSLATE(B418, ""en"", ""hi"")"),"कबड्डी में, यदि रेडर सफलतापूर्वक बोनस लाइन पार कर लेता है और एक डिफेंडर को टैग कर देता है तो कितने अंक दिए जाते हैं?")</f>
        <v>कबड्डी में, यदि रेडर सफलतापूर्वक बोनस लाइन पार कर लेता है और एक डिफेंडर को टैग कर देता है तो कितने अंक दिए जाते हैं?</v>
      </c>
      <c r="H418" s="3" t="str">
        <f>IFERROR(__xludf.DUMMYFUNCTION("GOOGLETRANSLATE(C418, ""en"", ""hi"")"),"A) 1 अंक, B) 2 अंक, C) 3 अंक, D) 4 अंक")</f>
        <v>A) 1 अंक, B) 2 अंक, C) 3 अंक, D) 4 अंक</v>
      </c>
      <c r="I418" s="3" t="str">
        <f>IFERROR(__xludf.DUMMYFUNCTION("GOOGLETRANSLATE(D418, ""en"", ""hi"")"),"ए) 1 अंक")</f>
        <v>ए) 1 अंक</v>
      </c>
    </row>
    <row r="419" ht="22.5" customHeight="1">
      <c r="A419" s="2">
        <v>418.0</v>
      </c>
      <c r="B419" s="3" t="s">
        <v>868</v>
      </c>
      <c r="C419" s="3" t="s">
        <v>869</v>
      </c>
      <c r="D419" s="3" t="s">
        <v>140</v>
      </c>
      <c r="F419" s="3" t="str">
        <f>IFERROR(__xludf.DUMMYFUNCTION("GOOGLETRANSLATE(A419, ""en"", ""hi"")"),"418")</f>
        <v>418</v>
      </c>
      <c r="G419" s="3" t="str">
        <f>IFERROR(__xludf.DUMMYFUNCTION("GOOGLETRANSLATE(B419, ""en"", ""hi"")"),"यदि कबड्डी का रेडर मध्य रेखा पार कर जाता है और उसे तुरंत ही एक डिफेंडर द्वारा टैकल कर लिया जाता है, जो दूसरे डिफेंडर को पकड़ रहा है, तो परिणाम क्या होगा?")</f>
        <v>यदि कबड्डी का रेडर मध्य रेखा पार कर जाता है और उसे तुरंत ही एक डिफेंडर द्वारा टैकल कर लिया जाता है, जो दूसरे डिफेंडर को पकड़ रहा है, तो परिणाम क्या होगा?</v>
      </c>
      <c r="H419" s="3" t="str">
        <f>IFERROR(__xludf.DUMMYFUNCTION("GOOGLETRANSLATE(C419, ""en"", ""hi"")"),"A) रेडर आउट हो गया है, B) रेडर को 1 अंक मिला है, C) बचाव करने वाली टीम को 1 अंक मिला है, D) खेल रोक दिया गया है")</f>
        <v>A) रेडर आउट हो गया है, B) रेडर को 1 अंक मिला है, C) बचाव करने वाली टीम को 1 अंक मिला है, D) खेल रोक दिया गया है</v>
      </c>
      <c r="I419" s="3" t="str">
        <f>IFERROR(__xludf.DUMMYFUNCTION("GOOGLETRANSLATE(D419, ""en"", ""hi"")"),"A) हमलावर बाहर है")</f>
        <v>A) हमलावर बाहर है</v>
      </c>
    </row>
    <row r="420" ht="22.5" customHeight="1">
      <c r="A420" s="2">
        <v>419.0</v>
      </c>
      <c r="B420" s="3" t="s">
        <v>870</v>
      </c>
      <c r="C420" s="3" t="s">
        <v>871</v>
      </c>
      <c r="D420" s="3" t="s">
        <v>140</v>
      </c>
      <c r="F420" s="3" t="str">
        <f>IFERROR(__xludf.DUMMYFUNCTION("GOOGLETRANSLATE(A420, ""en"", ""hi"")"),"419")</f>
        <v>419</v>
      </c>
      <c r="G420" s="3" t="str">
        <f>IFERROR(__xludf.DUMMYFUNCTION("GOOGLETRANSLATE(B420, ""en"", ""hi"")"),"यदि किसी कबड्डी रेडर को सफलतापूर्वक टैकल कर लिया जाता है, लेकिन टैकल से पहले उसने दो डिफेंडरों को टैग कर दिया था, तो क्या होगा?")</f>
        <v>यदि किसी कबड्डी रेडर को सफलतापूर्वक टैकल कर लिया जाता है, लेकिन टैकल से पहले उसने दो डिफेंडरों को टैग कर दिया था, तो क्या होगा?</v>
      </c>
      <c r="H420" s="3" t="str">
        <f>IFERROR(__xludf.DUMMYFUNCTION("GOOGLETRANSLATE(C420, ""en"", ""hi"")"),"A) रेडर आउट हो गया, B) रेडर को 1 अंक मिला, C) रेडर को 2 अंक मिले, D) बचाव करने वाली टीम को 2 अंक मिले")</f>
        <v>A) रेडर आउट हो गया, B) रेडर को 1 अंक मिला, C) रेडर को 2 अंक मिले, D) बचाव करने वाली टीम को 2 अंक मिले</v>
      </c>
      <c r="I420" s="3" t="str">
        <f>IFERROR(__xludf.DUMMYFUNCTION("GOOGLETRANSLATE(D420, ""en"", ""hi"")"),"A) हमलावर बाहर है")</f>
        <v>A) हमलावर बाहर है</v>
      </c>
    </row>
    <row r="421" ht="22.5" customHeight="1">
      <c r="A421" s="2">
        <v>420.0</v>
      </c>
      <c r="B421" s="3" t="s">
        <v>872</v>
      </c>
      <c r="C421" s="3" t="s">
        <v>851</v>
      </c>
      <c r="D421" s="3" t="s">
        <v>65</v>
      </c>
      <c r="F421" s="3" t="str">
        <f>IFERROR(__xludf.DUMMYFUNCTION("GOOGLETRANSLATE(A421, ""en"", ""hi"")"),"420")</f>
        <v>420</v>
      </c>
      <c r="G421" s="3" t="str">
        <f>IFERROR(__xludf.DUMMYFUNCTION("GOOGLETRANSLATE(B421, ""en"", ""hi"")"),"कबड्डी में, यदि कोई खिलाड़ी रेडर को पकड़ता है जबकि दूसरा डिफेंडर रेडर को टैग करता है, तो परिणाम क्या होगा?")</f>
        <v>कबड्डी में, यदि कोई खिलाड़ी रेडर को पकड़ता है जबकि दूसरा डिफेंडर रेडर को टैग करता है, तो परिणाम क्या होगा?</v>
      </c>
      <c r="H421" s="3" t="str">
        <f>IFERROR(__xludf.DUMMYFUNCTION("GOOGLETRANSLATE(C421,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21" s="3" t="str">
        <f>IFERROR(__xludf.DUMMYFUNCTION("GOOGLETRANSLATE(D421, ""en"", ""hi"")"),"बी) हमलावर बाहर है")</f>
        <v>बी) हमलावर बाहर है</v>
      </c>
    </row>
    <row r="422" ht="22.5" customHeight="1">
      <c r="A422" s="2">
        <v>421.0</v>
      </c>
      <c r="B422" s="3" t="s">
        <v>873</v>
      </c>
      <c r="C422" s="3" t="s">
        <v>874</v>
      </c>
      <c r="D422" s="3" t="s">
        <v>875</v>
      </c>
      <c r="F422" s="3" t="str">
        <f>IFERROR(__xludf.DUMMYFUNCTION("GOOGLETRANSLATE(A422, ""en"", ""hi"")"),"421")</f>
        <v>421</v>
      </c>
      <c r="G422" s="3" t="str">
        <f>IFERROR(__xludf.DUMMYFUNCTION("GOOGLETRANSLATE(B422, ""en"", ""hi"")"),"जब कोई रेडर मध्य रेखा पार करने और डिफेंडरों द्वारा टैकल किए जाने के कारण आउट हो जाता है तो उसे क्या कहा जाता है?")</f>
        <v>जब कोई रेडर मध्य रेखा पार करने और डिफेंडरों द्वारा टैकल किए जाने के कारण आउट हो जाता है तो उसे क्या कहा जाता है?</v>
      </c>
      <c r="H422" s="3" t="str">
        <f>IFERROR(__xludf.DUMMYFUNCTION("GOOGLETRANSLATE(C422, ""en"", ""hi"")"),"ए) डू-ऑर-डाई रेड, बी) सुपर टैकल, सी) बोनस पॉइंट, डी) ऑल-आउट")</f>
        <v>ए) डू-ऑर-डाई रेड, बी) सुपर टैकल, सी) बोनस पॉइंट, डी) ऑल-आउट</v>
      </c>
      <c r="I422" s="3" t="str">
        <f>IFERROR(__xludf.DUMMYFUNCTION("GOOGLETRANSLATE(D422, ""en"", ""hi"")"),"ए) करो या मरो छापा")</f>
        <v>ए) करो या मरो छापा</v>
      </c>
    </row>
    <row r="423" ht="22.5" customHeight="1">
      <c r="A423" s="2">
        <v>422.0</v>
      </c>
      <c r="B423" s="3" t="s">
        <v>876</v>
      </c>
      <c r="C423" s="3" t="s">
        <v>851</v>
      </c>
      <c r="D423" s="3" t="s">
        <v>65</v>
      </c>
      <c r="F423" s="3" t="str">
        <f>IFERROR(__xludf.DUMMYFUNCTION("GOOGLETRANSLATE(A423, ""en"", ""hi"")"),"422")</f>
        <v>422</v>
      </c>
      <c r="G423" s="3" t="str">
        <f>IFERROR(__xludf.DUMMYFUNCTION("GOOGLETRANSLATE(B423, ""en"", ""hi"")"),"कबड्डी मैच के दौरान, यदि रेडर मध्य रेखा पार कर जाता है, लेकिन टैकल होने से पहले डिफेंडर को टैग करने में विफल रहता है, तो परिणाम क्या होगा?")</f>
        <v>कबड्डी मैच के दौरान, यदि रेडर मध्य रेखा पार कर जाता है, लेकिन टैकल होने से पहले डिफेंडर को टैग करने में विफल रहता है, तो परिणाम क्या होगा?</v>
      </c>
      <c r="H423" s="3" t="str">
        <f>IFERROR(__xludf.DUMMYFUNCTION("GOOGLETRANSLATE(C423,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23" s="3" t="str">
        <f>IFERROR(__xludf.DUMMYFUNCTION("GOOGLETRANSLATE(D423, ""en"", ""hi"")"),"बी) हमलावर बाहर है")</f>
        <v>बी) हमलावर बाहर है</v>
      </c>
    </row>
    <row r="424" ht="22.5" customHeight="1">
      <c r="A424" s="2">
        <v>423.0</v>
      </c>
      <c r="B424" s="3" t="s">
        <v>877</v>
      </c>
      <c r="C424" s="3" t="s">
        <v>47</v>
      </c>
      <c r="D424" s="3" t="s">
        <v>52</v>
      </c>
      <c r="F424" s="3" t="str">
        <f>IFERROR(__xludf.DUMMYFUNCTION("GOOGLETRANSLATE(A424, ""en"", ""hi"")"),"423")</f>
        <v>423</v>
      </c>
      <c r="G424" s="3" t="str">
        <f>IFERROR(__xludf.DUMMYFUNCTION("GOOGLETRANSLATE(B424, ""en"", ""hi"")"),"कबड्डी मैच में, यदि कोई रेडर डिफेंडर को सफलतापूर्वक टैग कर देता है, लेकिन तुरंत टैकल कर लिया जाता है, तो कितने अंक दिए जाते हैं?")</f>
        <v>कबड्डी मैच में, यदि कोई रेडर डिफेंडर को सफलतापूर्वक टैग कर देता है, लेकिन तुरंत टैकल कर लिया जाता है, तो कितने अंक दिए जाते हैं?</v>
      </c>
      <c r="H424" s="3" t="str">
        <f>IFERROR(__xludf.DUMMYFUNCTION("GOOGLETRANSLATE(C424, ""en"", ""hi"")"),"A) 1 अंक, B) 2 अंक, C) 3 अंक, D) 4 अंक")</f>
        <v>A) 1 अंक, B) 2 अंक, C) 3 अंक, D) 4 अंक</v>
      </c>
      <c r="I424" s="3" t="str">
        <f>IFERROR(__xludf.DUMMYFUNCTION("GOOGLETRANSLATE(D424, ""en"", ""hi"")"),"ए) 1 अंक")</f>
        <v>ए) 1 अंक</v>
      </c>
    </row>
    <row r="425" ht="22.5" customHeight="1">
      <c r="A425" s="2">
        <v>424.0</v>
      </c>
      <c r="B425" s="3" t="s">
        <v>878</v>
      </c>
      <c r="C425" s="3" t="s">
        <v>879</v>
      </c>
      <c r="D425" s="3" t="s">
        <v>880</v>
      </c>
      <c r="F425" s="3" t="str">
        <f>IFERROR(__xludf.DUMMYFUNCTION("GOOGLETRANSLATE(A425, ""en"", ""hi"")"),"424")</f>
        <v>424</v>
      </c>
      <c r="G425" s="3" t="str">
        <f>IFERROR(__xludf.DUMMYFUNCTION("GOOGLETRANSLATE(B425, ""en"", ""hi"")"),"कबड्डी में 'ब्लू कार्ड' का क्या प्रभाव है?")</f>
        <v>कबड्डी में 'ब्लू कार्ड' का क्या प्रभाव है?</v>
      </c>
      <c r="H425" s="3" t="str">
        <f>IFERROR(__xludf.DUMMYFUNCTION("GOOGLETRANSLATE(C425, ""en"", ""hi"")"),"A) खिलाड़ी को पेनल्टी, B) खिलाड़ी को चेतावनी, C) रेडर को अंक दिया जाना, D) खिलाड़ी का प्रतिस्थापन")</f>
        <v>A) खिलाड़ी को पेनल्टी, B) खिलाड़ी को चेतावनी, C) रेडर को अंक दिया जाना, D) खिलाड़ी का प्रतिस्थापन</v>
      </c>
      <c r="I425" s="3" t="str">
        <f>IFERROR(__xludf.DUMMYFUNCTION("GOOGLETRANSLATE(D425, ""en"", ""hi"")"),"A) खिलाड़ी को जुर्माना")</f>
        <v>A) खिलाड़ी को जुर्माना</v>
      </c>
    </row>
    <row r="426" ht="22.5" customHeight="1">
      <c r="A426" s="2">
        <v>425.0</v>
      </c>
      <c r="B426" s="3" t="s">
        <v>881</v>
      </c>
      <c r="C426" s="3" t="s">
        <v>882</v>
      </c>
      <c r="D426" s="3" t="s">
        <v>599</v>
      </c>
      <c r="F426" s="3" t="str">
        <f>IFERROR(__xludf.DUMMYFUNCTION("GOOGLETRANSLATE(A426, ""en"", ""hi"")"),"425")</f>
        <v>425</v>
      </c>
      <c r="G426" s="3" t="str">
        <f>IFERROR(__xludf.DUMMYFUNCTION("GOOGLETRANSLATE(B426, ""en"", ""hi"")"),"यदि किसी कबड्डी रेडर को टैकल कर दिया जाए, लेकिन वह पकड़े जाने से पहले डिफेंडर को छूने में सफल हो जाए, तो क्या होगा?")</f>
        <v>यदि किसी कबड्डी रेडर को टैकल कर दिया जाए, लेकिन वह पकड़े जाने से पहले डिफेंडर को छूने में सफल हो जाए, तो क्या होगा?</v>
      </c>
      <c r="H426" s="3" t="str">
        <f>IFERROR(__xludf.DUMMYFUNCTION("GOOGLETRANSLATE(C426, ""en"", ""hi"")"),"A) रेडर आउट हो गया है, B) रेडर को 1 अंक मिला है, C) रेडर को 2 अंक मिले हैं, D) खेल रोक दिया गया है")</f>
        <v>A) रेडर आउट हो गया है, B) रेडर को 1 अंक मिला है, C) रेडर को 2 अंक मिले हैं, D) खेल रोक दिया गया है</v>
      </c>
      <c r="I426" s="3" t="str">
        <f>IFERROR(__xludf.DUMMYFUNCTION("GOOGLETRANSLATE(D426, ""en"", ""hi"")"),"B) रेडर को 1 अंक मिलता है")</f>
        <v>B) रेडर को 1 अंक मिलता है</v>
      </c>
    </row>
    <row r="427" ht="22.5" customHeight="1">
      <c r="A427" s="2">
        <v>426.0</v>
      </c>
      <c r="B427" s="3" t="s">
        <v>883</v>
      </c>
      <c r="C427" s="3" t="s">
        <v>884</v>
      </c>
      <c r="D427" s="3" t="s">
        <v>885</v>
      </c>
      <c r="F427" s="3" t="str">
        <f>IFERROR(__xludf.DUMMYFUNCTION("GOOGLETRANSLATE(A427, ""en"", ""hi"")"),"426")</f>
        <v>426</v>
      </c>
      <c r="G427" s="3" t="str">
        <f>IFERROR(__xludf.DUMMYFUNCTION("GOOGLETRANSLATE(B427, ""en"", ""hi"")"),"कबड्डी में, यदि बचाव करने वाली टीम किसी रेडर को सफलतापूर्वक टैकल कर लेती है, तो सामान्य परिणाम क्या होता है?")</f>
        <v>कबड्डी में, यदि बचाव करने वाली टीम किसी रेडर को सफलतापूर्वक टैकल कर लेती है, तो सामान्य परिणाम क्या होता है?</v>
      </c>
      <c r="H427" s="3" t="str">
        <f>IFERROR(__xludf.DUMMYFUNCTION("GOOGLETRANSLATE(C427, ""en"", ""hi"")"),"A) रेडर को 1 अंक मिलता है, B) बचाव करने वाली टीम को 1 अंक मिलता है, C) रेड करने वाली टीम को पेनल्टी मिलती है, D) खेल रोक दिया जाता है")</f>
        <v>A) रेडर को 1 अंक मिलता है, B) बचाव करने वाली टीम को 1 अंक मिलता है, C) रेड करने वाली टीम को पेनल्टी मिलती है, D) खेल रोक दिया जाता है</v>
      </c>
      <c r="I427" s="3" t="str">
        <f>IFERROR(__xludf.DUMMYFUNCTION("GOOGLETRANSLATE(D427, ""en"", ""hi"")"),"B) बचाव करने वाली टीम को 1 अंक मिलता है")</f>
        <v>B) बचाव करने वाली टीम को 1 अंक मिलता है</v>
      </c>
    </row>
    <row r="428" ht="22.5" customHeight="1">
      <c r="A428" s="2">
        <v>427.0</v>
      </c>
      <c r="B428" s="3" t="s">
        <v>886</v>
      </c>
      <c r="C428" s="3" t="s">
        <v>887</v>
      </c>
      <c r="D428" s="3" t="s">
        <v>65</v>
      </c>
      <c r="F428" s="3" t="str">
        <f>IFERROR(__xludf.DUMMYFUNCTION("GOOGLETRANSLATE(A428, ""en"", ""hi"")"),"427")</f>
        <v>427</v>
      </c>
      <c r="G428" s="3" t="str">
        <f>IFERROR(__xludf.DUMMYFUNCTION("GOOGLETRANSLATE(B428, ""en"", ""hi"")"),"कबड्डी मैच के दौरान, यदि रेडर मध्य रेखा पार करने में विफल रहता है और उसे टैकल कर दिया जाता है, तो क्या होता है?")</f>
        <v>कबड्डी मैच के दौरान, यदि रेडर मध्य रेखा पार करने में विफल रहता है और उसे टैकल कर दिया जाता है, तो क्या होता है?</v>
      </c>
      <c r="H428" s="3" t="str">
        <f>IFERROR(__xludf.DUMMYFUNCTION("GOOGLETRANSLATE(C428, ""en"", ""hi"")"),"A) रेडर को 1 अंक दिया जाता है, B) रेडर आउट हो जाता है, C) बचाव करने वाली टीम को 1 अंक मिलता है, D) खेल जारी रहता है")</f>
        <v>A) रेडर को 1 अंक दिया जाता है, B) रेडर आउट हो जाता है, C) बचाव करने वाली टीम को 1 अंक मिलता है, D) खेल जारी रहता है</v>
      </c>
      <c r="I428" s="3" t="str">
        <f>IFERROR(__xludf.DUMMYFUNCTION("GOOGLETRANSLATE(D428, ""en"", ""hi"")"),"बी) हमलावर बाहर है")</f>
        <v>बी) हमलावर बाहर है</v>
      </c>
    </row>
    <row r="429" ht="22.5" customHeight="1">
      <c r="A429" s="2">
        <v>428.0</v>
      </c>
      <c r="B429" s="3" t="s">
        <v>888</v>
      </c>
      <c r="C429" s="3" t="s">
        <v>889</v>
      </c>
      <c r="D429" s="3" t="s">
        <v>890</v>
      </c>
      <c r="F429" s="3" t="str">
        <f>IFERROR(__xludf.DUMMYFUNCTION("GOOGLETRANSLATE(A429, ""en"", ""hi"")"),"428")</f>
        <v>428</v>
      </c>
      <c r="G429" s="3" t="str">
        <f>IFERROR(__xludf.DUMMYFUNCTION("GOOGLETRANSLATE(B429, ""en"", ""hi"")"),"कबड्डी मैच में 'बोनस लाइन' का उद्देश्य क्या है?")</f>
        <v>कबड्डी मैच में 'बोनस लाइन' का उद्देश्य क्या है?</v>
      </c>
      <c r="H429" s="3" t="str">
        <f>IFERROR(__xludf.DUMMYFUNCTION("GOOGLETRANSLATE(C429, ""en"", ""hi"")"),"A) यह इंगित करने के लिए कि बोनस अंक कहां बनाए जा सकते हैं, B) मैदान के अंत को चिह्नित करने के लिए, C) मैदान के केंद्र का निर्धारण करने के लिए, D) मैच शुरू करने के लिए")</f>
        <v>A) यह इंगित करने के लिए कि बोनस अंक कहां बनाए जा सकते हैं, B) मैदान के अंत को चिह्नित करने के लिए, C) मैदान के केंद्र का निर्धारण करने के लिए, D) मैच शुरू करने के लिए</v>
      </c>
      <c r="I429" s="3" t="str">
        <f>IFERROR(__xludf.DUMMYFUNCTION("GOOGLETRANSLATE(D429, ""en"", ""hi"")"),"A) यह इंगित करने के लिए कि बोनस अंक कहाँ प्राप्त किए जा सकते हैं")</f>
        <v>A) यह इंगित करने के लिए कि बोनस अंक कहाँ प्राप्त किए जा सकते हैं</v>
      </c>
    </row>
    <row r="430" ht="22.5" customHeight="1">
      <c r="A430" s="2">
        <v>429.0</v>
      </c>
      <c r="B430" s="3" t="s">
        <v>891</v>
      </c>
      <c r="C430" s="3" t="s">
        <v>892</v>
      </c>
      <c r="D430" s="3" t="s">
        <v>893</v>
      </c>
      <c r="F430" s="3" t="str">
        <f>IFERROR(__xludf.DUMMYFUNCTION("GOOGLETRANSLATE(A430, ""en"", ""hi"")"),"429")</f>
        <v>429</v>
      </c>
      <c r="G430" s="3" t="str">
        <f>IFERROR(__xludf.DUMMYFUNCTION("GOOGLETRANSLATE(B430, ""en"", ""hi"")"),"कबड्डी में सफल 'सुपर रेड' का क्या प्रभाव होता है?")</f>
        <v>कबड्डी में सफल 'सुपर रेड' का क्या प्रभाव होता है?</v>
      </c>
      <c r="H430" s="3" t="str">
        <f>IFERROR(__xludf.DUMMYFUNCTION("GOOGLETRANSLATE(C430, ""en"", ""hi"")"),"A) रेडर को 2 अंक मिलते हैं, B) रेड करने वाली टीम को 3 अंक मिलते हैं, C) रेडर को 5 अंक मिलते हैं, D) बचाव करने वाली टीम को 2 अंक मिलते हैं")</f>
        <v>A) रेडर को 2 अंक मिलते हैं, B) रेड करने वाली टीम को 3 अंक मिलते हैं, C) रेडर को 5 अंक मिलते हैं, D) बचाव करने वाली टीम को 2 अंक मिलते हैं</v>
      </c>
      <c r="I430" s="3" t="str">
        <f>IFERROR(__xludf.DUMMYFUNCTION("GOOGLETRANSLATE(D430, ""en"", ""hi"")"),"C) रेडर को 5 अंक मिलते हैं")</f>
        <v>C) रेडर को 5 अंक मिलते हैं</v>
      </c>
    </row>
    <row r="431" ht="22.5" customHeight="1">
      <c r="A431" s="2">
        <v>430.0</v>
      </c>
      <c r="B431" s="3" t="s">
        <v>894</v>
      </c>
      <c r="C431" s="3" t="s">
        <v>869</v>
      </c>
      <c r="D431" s="3" t="s">
        <v>140</v>
      </c>
      <c r="F431" s="3" t="str">
        <f>IFERROR(__xludf.DUMMYFUNCTION("GOOGLETRANSLATE(A431, ""en"", ""hi"")"),"430")</f>
        <v>430</v>
      </c>
      <c r="G431" s="3" t="str">
        <f>IFERROR(__xludf.DUMMYFUNCTION("GOOGLETRANSLATE(B431, ""en"", ""hi"")"),"कबड्डी में यदि किसी रेडर को बोनस लाइन पार करने से पहले ही टैकल कर दिया जाता है, तो परिणाम क्या होगा?")</f>
        <v>कबड्डी में यदि किसी रेडर को बोनस लाइन पार करने से पहले ही टैकल कर दिया जाता है, तो परिणाम क्या होगा?</v>
      </c>
      <c r="H431" s="3" t="str">
        <f>IFERROR(__xludf.DUMMYFUNCTION("GOOGLETRANSLATE(C431, ""en"", ""hi"")"),"A) रेडर आउट हो गया है, B) रेडर को 1 अंक मिला है, C) बचाव करने वाली टीम को 1 अंक मिला है, D) खेल रोक दिया गया है")</f>
        <v>A) रेडर आउट हो गया है, B) रेडर को 1 अंक मिला है, C) बचाव करने वाली टीम को 1 अंक मिला है, D) खेल रोक दिया गया है</v>
      </c>
      <c r="I431" s="3" t="str">
        <f>IFERROR(__xludf.DUMMYFUNCTION("GOOGLETRANSLATE(D431, ""en"", ""hi"")"),"A) हमलावर बाहर है")</f>
        <v>A) हमलावर बाहर है</v>
      </c>
    </row>
    <row r="432" ht="22.5" customHeight="1">
      <c r="A432" s="2">
        <v>431.0</v>
      </c>
      <c r="B432" s="3" t="s">
        <v>895</v>
      </c>
      <c r="C432" s="3" t="s">
        <v>896</v>
      </c>
      <c r="D432" s="3" t="s">
        <v>897</v>
      </c>
      <c r="F432" s="3" t="str">
        <f>IFERROR(__xludf.DUMMYFUNCTION("GOOGLETRANSLATE(A432, ""en"", ""hi"")"),"431")</f>
        <v>431</v>
      </c>
      <c r="G432" s="3" t="str">
        <f>IFERROR(__xludf.DUMMYFUNCTION("GOOGLETRANSLATE(B432, ""en"", ""hi"")"),"यदि किसी कबड्डी खिलाड़ी को अवैध आचरण के लिए दंडित किया जाता है, तो आमतौर पर दंड कैसे दिया जाता है?")</f>
        <v>यदि किसी कबड्डी खिलाड़ी को अवैध आचरण के लिए दंडित किया जाता है, तो आमतौर पर दंड कैसे दिया जाता है?</v>
      </c>
      <c r="H432" s="3" t="str">
        <f>IFERROR(__xludf.DUMMYFUNCTION("GOOGLETRANSLATE(C432, ""en"", ""hi"")"),"A) खिलाड़ी को कुछ मिनट के लिए निलंबित कर दिया जाता है, B) खिलाड़ी पर जुर्माना लगाया जाता है, C) खिलाड़ी को प्रतिस्थापित किया जाता है, D) टीम 1 अंक खो देती है")</f>
        <v>A) खिलाड़ी को कुछ मिनट के लिए निलंबित कर दिया जाता है, B) खिलाड़ी पर जुर्माना लगाया जाता है, C) खिलाड़ी को प्रतिस्थापित किया जाता है, D) टीम 1 अंक खो देती है</v>
      </c>
      <c r="I432" s="3" t="str">
        <f>IFERROR(__xludf.DUMMYFUNCTION("GOOGLETRANSLATE(D432, ""en"", ""hi"")"),"A) खिलाड़ी को कुछ मिनट के लिए निलंबित कर दिया जाता है")</f>
        <v>A) खिलाड़ी को कुछ मिनट के लिए निलंबित कर दिया जाता है</v>
      </c>
    </row>
    <row r="433" ht="22.5" customHeight="1">
      <c r="A433" s="2">
        <v>432.0</v>
      </c>
      <c r="B433" s="3" t="s">
        <v>898</v>
      </c>
      <c r="C433" s="3" t="s">
        <v>711</v>
      </c>
      <c r="D433" s="3" t="s">
        <v>65</v>
      </c>
      <c r="F433" s="3" t="str">
        <f>IFERROR(__xludf.DUMMYFUNCTION("GOOGLETRANSLATE(A433, ""en"", ""hi"")"),"432")</f>
        <v>432</v>
      </c>
      <c r="G433" s="3" t="str">
        <f>IFERROR(__xludf.DUMMYFUNCTION("GOOGLETRANSLATE(B433, ""en"", ""hi"")"),"कबड्डी मैच के दौरान, यदि रेडर रेड टाइमर समाप्त होने से पहले अपने हाफ में वापस लौटने में विफल रहता है तो क्या परिणाम होगा?")</f>
        <v>कबड्डी मैच के दौरान, यदि रेडर रेड टाइमर समाप्त होने से पहले अपने हाफ में वापस लौटने में विफल रहता है तो क्या परिणाम होगा?</v>
      </c>
      <c r="H433" s="3" t="str">
        <f>IFERROR(__xludf.DUMMYFUNCTION("GOOGLETRANSLATE(C433, ""en"", ""hi"")"),"A) रेडर को 1 अंक मिलता है, B) रेडर आउट हो जाता है, C) बचाव करने वाली टीम को 2 अंक मिलते हैं, D) खेल रोक दिया जाता है")</f>
        <v>A) रेडर को 1 अंक मिलता है, B) रेडर आउट हो जाता है, C) बचाव करने वाली टीम को 2 अंक मिलते हैं, D) खेल रोक दिया जाता है</v>
      </c>
      <c r="I433" s="3" t="str">
        <f>IFERROR(__xludf.DUMMYFUNCTION("GOOGLETRANSLATE(D433, ""en"", ""hi"")"),"बी) हमलावर बाहर है")</f>
        <v>बी) हमलावर बाहर है</v>
      </c>
    </row>
    <row r="434" ht="22.5" customHeight="1">
      <c r="A434" s="2">
        <v>433.0</v>
      </c>
      <c r="B434" s="3" t="s">
        <v>899</v>
      </c>
      <c r="C434" s="3" t="s">
        <v>900</v>
      </c>
      <c r="D434" s="3" t="s">
        <v>901</v>
      </c>
      <c r="F434" s="3" t="str">
        <f>IFERROR(__xludf.DUMMYFUNCTION("GOOGLETRANSLATE(A434, ""en"", ""hi"")"),"433")</f>
        <v>433</v>
      </c>
      <c r="G434" s="3" t="str">
        <f>IFERROR(__xludf.DUMMYFUNCTION("GOOGLETRANSLATE(B434, ""en"", ""hi"")"),"कबड्डी मैच में 'रेफरी' की क्या भूमिका होती है?")</f>
        <v>कबड्डी मैच में 'रेफरी' की क्या भूमिका होती है?</v>
      </c>
      <c r="H434" s="3" t="str">
        <f>IFERROR(__xludf.DUMMYFUNCTION("GOOGLETRANSLATE(C434, ""en"", ""hi"")"),"A) नियमों को लागू करना और निष्पक्ष खेल सुनिश्चित करना, B) टीमों को प्रशिक्षित करना, C) अतिरिक्त अंक प्रदान करना, D) मैच की अवधि निर्धारित करना")</f>
        <v>A) नियमों को लागू करना और निष्पक्ष खेल सुनिश्चित करना, B) टीमों को प्रशिक्षित करना, C) अतिरिक्त अंक प्रदान करना, D) मैच की अवधि निर्धारित करना</v>
      </c>
      <c r="I434" s="3" t="str">
        <f>IFERROR(__xludf.DUMMYFUNCTION("GOOGLETRANSLATE(D434, ""en"", ""hi"")"),"A) नियमों को लागू करना और निष्पक्ष खेल सुनिश्चित करना")</f>
        <v>A) नियमों को लागू करना और निष्पक्ष खेल सुनिश्चित करना</v>
      </c>
    </row>
    <row r="435" ht="22.5" customHeight="1">
      <c r="A435" s="2">
        <v>434.0</v>
      </c>
      <c r="B435" s="3" t="s">
        <v>902</v>
      </c>
      <c r="C435" s="3" t="s">
        <v>903</v>
      </c>
      <c r="D435" s="3" t="s">
        <v>363</v>
      </c>
      <c r="F435" s="3" t="str">
        <f>IFERROR(__xludf.DUMMYFUNCTION("GOOGLETRANSLATE(A435, ""en"", ""hi"")"),"434")</f>
        <v>434</v>
      </c>
      <c r="G435" s="3" t="str">
        <f>IFERROR(__xludf.DUMMYFUNCTION("GOOGLETRANSLATE(B435, ""en"", ""hi"")"),"यदि कोई कबड्डी रेडर सभी डिफेंडरों को सफलतापूर्वक टैग कर देता है, लेकिन अपने हाफ में लौटने से पहले ही उसे टैकल कर दिया जाता है, तो क्या होगा?")</f>
        <v>यदि कोई कबड्डी रेडर सभी डिफेंडरों को सफलतापूर्वक टैग कर देता है, लेकिन अपने हाफ में लौटने से पहले ही उसे टैकल कर दिया जाता है, तो क्या होगा?</v>
      </c>
      <c r="H435" s="3" t="str">
        <f>IFERROR(__xludf.DUMMYFUNCTION("GOOGLETRANSLATE(C435, ""en"", ""hi"")"),"A) रेडर को 1 अंक मिलता है, B) रेडर को 2 अंक मिलते हैं, C) रेडर आउट हो जाता है, D) बचाव करने वाली टीम को 2 अंक मिलते हैं")</f>
        <v>A) रेडर को 1 अंक मिलता है, B) रेडर को 2 अंक मिलते हैं, C) रेडर आउट हो जाता है, D) बचाव करने वाली टीम को 2 अंक मिलते हैं</v>
      </c>
      <c r="I435" s="3" t="str">
        <f>IFERROR(__xludf.DUMMYFUNCTION("GOOGLETRANSLATE(D435, ""en"", ""hi"")"),"C) हमलावर बाहर है")</f>
        <v>C) हमलावर बाहर है</v>
      </c>
    </row>
    <row r="436" ht="22.5" customHeight="1">
      <c r="A436" s="2">
        <v>435.0</v>
      </c>
      <c r="B436" s="3" t="s">
        <v>904</v>
      </c>
      <c r="C436" s="3" t="s">
        <v>905</v>
      </c>
      <c r="D436" s="3" t="s">
        <v>906</v>
      </c>
      <c r="F436" s="3" t="str">
        <f>IFERROR(__xludf.DUMMYFUNCTION("GOOGLETRANSLATE(A436, ""en"", ""hi"")"),"435")</f>
        <v>435</v>
      </c>
      <c r="G436" s="3" t="str">
        <f>IFERROR(__xludf.DUMMYFUNCTION("GOOGLETRANSLATE(B436, ""en"", ""hi"")"),"कबड्डी में 'मध्य रेखा' का क्या महत्व है?")</f>
        <v>कबड्डी में 'मध्य रेखा' का क्या महत्व है?</v>
      </c>
      <c r="H436" s="3" t="str">
        <f>IFERROR(__xludf.DUMMYFUNCTION("GOOGLETRANSLATE(C436, ""en"", ""hi"")"),"A) यह मैदान को दो हिस्सों में बांटता है, B) यह बोनस लाइन को चिह्नित करता है, C) यह मैदान के अंत को इंगित करता है, D) यह वह स्थान है जहां मैच शुरू होता है")</f>
        <v>A) यह मैदान को दो हिस्सों में बांटता है, B) यह बोनस लाइन को चिह्नित करता है, C) यह मैदान के अंत को इंगित करता है, D) यह वह स्थान है जहां मैच शुरू होता है</v>
      </c>
      <c r="I436" s="3" t="str">
        <f>IFERROR(__xludf.DUMMYFUNCTION("GOOGLETRANSLATE(D436, ""en"", ""hi"")"),"A) यह क्षेत्र को दो भागों में विभाजित करता है")</f>
        <v>A) यह क्षेत्र को दो भागों में विभाजित करता है</v>
      </c>
    </row>
    <row r="437" ht="22.5" customHeight="1">
      <c r="A437" s="2">
        <v>436.0</v>
      </c>
      <c r="B437" s="3" t="s">
        <v>907</v>
      </c>
      <c r="C437" s="3" t="s">
        <v>908</v>
      </c>
      <c r="D437" s="3" t="s">
        <v>909</v>
      </c>
      <c r="F437" s="3" t="str">
        <f>IFERROR(__xludf.DUMMYFUNCTION("GOOGLETRANSLATE(A437, ""en"", ""hi"")"),"436")</f>
        <v>436</v>
      </c>
      <c r="G437" s="3" t="str">
        <f>IFERROR(__xludf.DUMMYFUNCTION("GOOGLETRANSLATE(B437, ""en"", ""hi"")"),"कबड्डी मैच के दौरान यदि कोई खिलाड़ी फाउल करता है तो मानक परिणाम क्या होगा?")</f>
        <v>कबड्डी मैच के दौरान यदि कोई खिलाड़ी फाउल करता है तो मानक परिणाम क्या होगा?</v>
      </c>
      <c r="H437" s="3" t="str">
        <f>IFERROR(__xludf.DUMMYFUNCTION("GOOGLETRANSLATE(C437, ""en"", ""hi"")"),"A) खिलाड़ी को दंडित किया जाता है, B) खिलाड़ी को प्रतिस्थापित किया जाता है, C) खिलाड़ी पर जुर्माना लगाया जाता है, D) खिलाड़ी को निलंबित किया जाता है")</f>
        <v>A) खिलाड़ी को दंडित किया जाता है, B) खिलाड़ी को प्रतिस्थापित किया जाता है, C) खिलाड़ी पर जुर्माना लगाया जाता है, D) खिलाड़ी को निलंबित किया जाता है</v>
      </c>
      <c r="I437" s="3" t="str">
        <f>IFERROR(__xludf.DUMMYFUNCTION("GOOGLETRANSLATE(D437, ""en"", ""hi"")"),"A) खिलाड़ी को दंडित किया जाता है")</f>
        <v>A) खिलाड़ी को दंडित किया जाता है</v>
      </c>
    </row>
    <row r="438" ht="22.5" customHeight="1">
      <c r="A438" s="2">
        <v>437.0</v>
      </c>
      <c r="B438" s="3" t="s">
        <v>910</v>
      </c>
      <c r="C438" s="3" t="s">
        <v>801</v>
      </c>
      <c r="D438" s="3" t="s">
        <v>65</v>
      </c>
      <c r="F438" s="3" t="str">
        <f>IFERROR(__xludf.DUMMYFUNCTION("GOOGLETRANSLATE(A438, ""en"", ""hi"")"),"437")</f>
        <v>437</v>
      </c>
      <c r="G438" s="3" t="str">
        <f>IFERROR(__xludf.DUMMYFUNCTION("GOOGLETRANSLATE(B438, ""en"", ""hi"")"),"यदि कबड्डी रेडर को किसी डिफेंडर द्वारा टैग कर दिया जाए जो खेल के मैदान में नहीं है तो परिणाम क्या होगा?")</f>
        <v>यदि कबड्डी रेडर को किसी डिफेंडर द्वारा टैग कर दिया जाए जो खेल के मैदान में नहीं है तो परिणाम क्या होगा?</v>
      </c>
      <c r="H438" s="3" t="str">
        <f>IFERROR(__xludf.DUMMYFUNCTION("GOOGLETRANSLATE(C438,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438" s="3" t="str">
        <f>IFERROR(__xludf.DUMMYFUNCTION("GOOGLETRANSLATE(D438, ""en"", ""hi"")"),"बी) हमलावर बाहर है")</f>
        <v>बी) हमलावर बाहर है</v>
      </c>
    </row>
    <row r="439" ht="22.5" customHeight="1">
      <c r="A439" s="2">
        <v>438.0</v>
      </c>
      <c r="B439" s="3" t="s">
        <v>911</v>
      </c>
      <c r="C439" s="3" t="s">
        <v>761</v>
      </c>
      <c r="D439" s="3" t="s">
        <v>65</v>
      </c>
      <c r="F439" s="3" t="str">
        <f>IFERROR(__xludf.DUMMYFUNCTION("GOOGLETRANSLATE(A439, ""en"", ""hi"")"),"438")</f>
        <v>438</v>
      </c>
      <c r="G439" s="3" t="str">
        <f>IFERROR(__xludf.DUMMYFUNCTION("GOOGLETRANSLATE(B439, ""en"", ""hi"")"),"यदि कोई कबड्डी रेडर बोनस लाइन पार कर जाता है, लेकिन उसे तुरंत टैकल कर दिया जाता है, तो परिणाम क्या होगा?")</f>
        <v>यदि कोई कबड्डी रेडर बोनस लाइन पार कर जाता है, लेकिन उसे तुरंत टैकल कर दिया जाता है, तो परिणाम क्या होगा?</v>
      </c>
      <c r="H439" s="3" t="str">
        <f>IFERROR(__xludf.DUMMYFUNCTION("GOOGLETRANSLATE(C439, ""en"", ""hi"")"),"A) रेडर को 1 अंक दिया जाता है, B) रेडर आउट हो जाता है, C) बचाव करने वाली टीम को 2 अंक मिलते हैं, D) खेल रोक दिया जाता है")</f>
        <v>A) रेडर को 1 अंक दिया जाता है, B) रेडर आउट हो जाता है, C) बचाव करने वाली टीम को 2 अंक मिलते हैं, D) खेल रोक दिया जाता है</v>
      </c>
      <c r="I439" s="3" t="str">
        <f>IFERROR(__xludf.DUMMYFUNCTION("GOOGLETRANSLATE(D439, ""en"", ""hi"")"),"बी) हमलावर बाहर है")</f>
        <v>बी) हमलावर बाहर है</v>
      </c>
    </row>
    <row r="440" ht="22.5" customHeight="1">
      <c r="A440" s="2">
        <v>439.0</v>
      </c>
      <c r="B440" s="3" t="s">
        <v>912</v>
      </c>
      <c r="C440" s="3" t="s">
        <v>761</v>
      </c>
      <c r="D440" s="3" t="s">
        <v>65</v>
      </c>
      <c r="F440" s="3" t="str">
        <f>IFERROR(__xludf.DUMMYFUNCTION("GOOGLETRANSLATE(A440, ""en"", ""hi"")"),"439")</f>
        <v>439</v>
      </c>
      <c r="G440" s="3" t="str">
        <f>IFERROR(__xludf.DUMMYFUNCTION("GOOGLETRANSLATE(B440, ""en"", ""hi"")"),"कबड्डी मैच के दौरान, यदि रेडर को कई डिफेंडरों द्वारा पकड़ लिया जाता है और उनमें से कोई भी एक-दूसरे को पकड़ नहीं पाता है, तो क्या होगा?")</f>
        <v>कबड्डी मैच के दौरान, यदि रेडर को कई डिफेंडरों द्वारा पकड़ लिया जाता है और उनमें से कोई भी एक-दूसरे को पकड़ नहीं पाता है, तो क्या होगा?</v>
      </c>
      <c r="H440" s="3" t="str">
        <f>IFERROR(__xludf.DUMMYFUNCTION("GOOGLETRANSLATE(C440, ""en"", ""hi"")"),"A) रेडर को 1 अंक दिया जाता है, B) रेडर आउट हो जाता है, C) बचाव करने वाली टीम को 2 अंक मिलते हैं, D) खेल रोक दिया जाता है")</f>
        <v>A) रेडर को 1 अंक दिया जाता है, B) रेडर आउट हो जाता है, C) बचाव करने वाली टीम को 2 अंक मिलते हैं, D) खेल रोक दिया जाता है</v>
      </c>
      <c r="I440" s="3" t="str">
        <f>IFERROR(__xludf.DUMMYFUNCTION("GOOGLETRANSLATE(D440, ""en"", ""hi"")"),"बी) हमलावर बाहर है")</f>
        <v>बी) हमलावर बाहर है</v>
      </c>
    </row>
    <row r="441" ht="22.5" customHeight="1">
      <c r="A441" s="2">
        <v>440.0</v>
      </c>
      <c r="B441" s="3" t="s">
        <v>913</v>
      </c>
      <c r="C441" s="3" t="s">
        <v>914</v>
      </c>
      <c r="D441" s="3" t="s">
        <v>915</v>
      </c>
      <c r="F441" s="3" t="str">
        <f>IFERROR(__xludf.DUMMYFUNCTION("GOOGLETRANSLATE(A441, ""en"", ""hi"")"),"440")</f>
        <v>440</v>
      </c>
      <c r="G441" s="3" t="str">
        <f>IFERROR(__xludf.DUMMYFUNCTION("GOOGLETRANSLATE(B441, ""en"", ""hi"")"),"कबड्डी में 'टाइमआउट' का क्या प्रभाव होता है?")</f>
        <v>कबड्डी में 'टाइमआउट' का क्या प्रभाव होता है?</v>
      </c>
      <c r="H441" s="3" t="str">
        <f>IFERROR(__xludf.DUMMYFUNCTION("GOOGLETRANSLATE(C441, ""en"", ""hi"")"),"A) टीमों को रणनीति बनाने और आराम करने की अनुमति देता है, B) मैच की अवधि बढ़ाता है, C) टीम को दंडित करता है, D) खेल के नियमों को बदलता है")</f>
        <v>A) टीमों को रणनीति बनाने और आराम करने की अनुमति देता है, B) मैच की अवधि बढ़ाता है, C) टीम को दंडित करता है, D) खेल के नियमों को बदलता है</v>
      </c>
      <c r="I441" s="3" t="str">
        <f>IFERROR(__xludf.DUMMYFUNCTION("GOOGLETRANSLATE(D441, ""en"", ""hi"")"),"A) टीमों को रणनीति बनाने और आराम करने की अनुमति देता है")</f>
        <v>A) टीमों को रणनीति बनाने और आराम करने की अनुमति देता है</v>
      </c>
    </row>
    <row r="442" ht="22.5" customHeight="1">
      <c r="A442" s="2">
        <v>441.0</v>
      </c>
      <c r="B442" s="3" t="s">
        <v>916</v>
      </c>
      <c r="C442" s="3" t="s">
        <v>917</v>
      </c>
      <c r="D442" s="3" t="s">
        <v>849</v>
      </c>
      <c r="F442" s="3" t="str">
        <f>IFERROR(__xludf.DUMMYFUNCTION("GOOGLETRANSLATE(A442, ""en"", ""hi"")"),"441")</f>
        <v>441</v>
      </c>
      <c r="G442" s="3" t="str">
        <f>IFERROR(__xludf.DUMMYFUNCTION("GOOGLETRANSLATE(B442, ""en"", ""hi"")"),"कबड्डी में, जब किसी टीम के सभी खिलाड़ी आउट हो जाते हैं और मैच नए सिरे से शुरू होता है, तो उसे क्या कहते हैं?")</f>
        <v>कबड्डी में, जब किसी टीम के सभी खिलाड़ी आउट हो जाते हैं और मैच नए सिरे से शुरू होता है, तो उसे क्या कहते हैं?</v>
      </c>
      <c r="H442" s="3" t="str">
        <f>IFERROR(__xludf.DUMMYFUNCTION("GOOGLETRANSLATE(C442, ""en"", ""hi"")"),"ए) ऑल-आउट, बी) सुपर टैकल, सी) बोनस लाइन, डी) डू-ऑर-डाई रेड")</f>
        <v>ए) ऑल-आउट, बी) सुपर टैकल, सी) बोनस लाइन, डी) डू-ऑर-डाई रेड</v>
      </c>
      <c r="I442" s="3" t="str">
        <f>IFERROR(__xludf.DUMMYFUNCTION("GOOGLETRANSLATE(D442, ""en"", ""hi"")"),"ए) ऑल-आउट")</f>
        <v>ए) ऑल-आउट</v>
      </c>
    </row>
    <row r="443" ht="22.5" customHeight="1">
      <c r="A443" s="2">
        <v>442.0</v>
      </c>
      <c r="B443" s="3" t="s">
        <v>804</v>
      </c>
      <c r="C443" s="3" t="s">
        <v>918</v>
      </c>
      <c r="D443" s="3" t="s">
        <v>65</v>
      </c>
      <c r="F443" s="3" t="str">
        <f>IFERROR(__xludf.DUMMYFUNCTION("GOOGLETRANSLATE(A443, ""en"", ""hi"")"),"442")</f>
        <v>442</v>
      </c>
      <c r="G443" s="3" t="str">
        <f>IFERROR(__xludf.DUMMYFUNCTION("GOOGLETRANSLATE(B443, ""en"", ""hi"")"),"यदि किसी कबड्डी रेडर को एक डिफेंडर द्वारा टैकल किया जाता है जो दूसरे डिफेंडर को भी पकड़ रहा है, तो परिणाम क्या होगा?")</f>
        <v>यदि किसी कबड्डी रेडर को एक डिफेंडर द्वारा टैकल किया जाता है जो दूसरे डिफेंडर को भी पकड़ रहा है, तो परिणाम क्या होगा?</v>
      </c>
      <c r="H443" s="3" t="str">
        <f>IFERROR(__xludf.DUMMYFUNCTION("GOOGLETRANSLATE(C443, ""en"", ""hi"")"),"A) रेडर को 1 अंक दिया जाता है, B) रेडर आउट हो जाता है, C) बचाव करने वाली टीम को 1 अंक मिलता है, D) खेल रोक दिया जाता है")</f>
        <v>A) रेडर को 1 अंक दिया जाता है, B) रेडर आउट हो जाता है, C) बचाव करने वाली टीम को 1 अंक मिलता है, D) खेल रोक दिया जाता है</v>
      </c>
      <c r="I443" s="3" t="str">
        <f>IFERROR(__xludf.DUMMYFUNCTION("GOOGLETRANSLATE(D443, ""en"", ""hi"")"),"बी) हमलावर बाहर है")</f>
        <v>बी) हमलावर बाहर है</v>
      </c>
    </row>
    <row r="444" ht="22.5" customHeight="1">
      <c r="A444" s="2">
        <v>443.0</v>
      </c>
      <c r="B444" s="3" t="s">
        <v>919</v>
      </c>
      <c r="C444" s="3" t="s">
        <v>918</v>
      </c>
      <c r="D444" s="3" t="s">
        <v>65</v>
      </c>
      <c r="F444" s="3" t="str">
        <f>IFERROR(__xludf.DUMMYFUNCTION("GOOGLETRANSLATE(A444, ""en"", ""hi"")"),"443")</f>
        <v>443</v>
      </c>
      <c r="G444" s="3" t="str">
        <f>IFERROR(__xludf.DUMMYFUNCTION("GOOGLETRANSLATE(B444, ""en"", ""hi"")"),"कबड्डी मैच के दौरान, यदि कोई रेडर डिफेंडर को टैग करने का प्रयास करते समय बचाव करने वाली टीम द्वारा पकड़ा जाता है, तो परिणाम क्या होगा?")</f>
        <v>कबड्डी मैच के दौरान, यदि कोई रेडर डिफेंडर को टैग करने का प्रयास करते समय बचाव करने वाली टीम द्वारा पकड़ा जाता है, तो परिणाम क्या होगा?</v>
      </c>
      <c r="H444" s="3" t="str">
        <f>IFERROR(__xludf.DUMMYFUNCTION("GOOGLETRANSLATE(C444, ""en"", ""hi"")"),"A) रेडर को 1 अंक दिया जाता है, B) रेडर आउट हो जाता है, C) बचाव करने वाली टीम को 1 अंक मिलता है, D) खेल रोक दिया जाता है")</f>
        <v>A) रेडर को 1 अंक दिया जाता है, B) रेडर आउट हो जाता है, C) बचाव करने वाली टीम को 1 अंक मिलता है, D) खेल रोक दिया जाता है</v>
      </c>
      <c r="I444" s="3" t="str">
        <f>IFERROR(__xludf.DUMMYFUNCTION("GOOGLETRANSLATE(D444, ""en"", ""hi"")"),"बी) हमलावर बाहर है")</f>
        <v>बी) हमलावर बाहर है</v>
      </c>
    </row>
    <row r="445" ht="22.5" customHeight="1">
      <c r="A445" s="2">
        <v>444.0</v>
      </c>
      <c r="B445" s="3" t="s">
        <v>920</v>
      </c>
      <c r="C445" s="3" t="s">
        <v>921</v>
      </c>
      <c r="D445" s="3" t="s">
        <v>65</v>
      </c>
      <c r="F445" s="3" t="str">
        <f>IFERROR(__xludf.DUMMYFUNCTION("GOOGLETRANSLATE(A445, ""en"", ""hi"")"),"444")</f>
        <v>444</v>
      </c>
      <c r="G445" s="3" t="str">
        <f>IFERROR(__xludf.DUMMYFUNCTION("GOOGLETRANSLATE(B445, ""en"", ""hi"")"),"यदि कोई कबड्डी रेडर मध्य रेखा पार कर जाए और तुरंत ही कई डिफेंडरों द्वारा उसे टैकल कर दिया जाए तो इसका क्या परिणाम होगा?")</f>
        <v>यदि कोई कबड्डी रेडर मध्य रेखा पार कर जाए और तुरंत ही कई डिफेंडरों द्वारा उसे टैकल कर दिया जाए तो इसका क्या परिणाम होगा?</v>
      </c>
      <c r="H445" s="3" t="str">
        <f>IFERROR(__xludf.DUMMYFUNCTION("GOOGLETRANSLATE(C445, ""en"", ""hi"")"),"A) रेडर को 1 अंक मिलता है, B) रेडर आउट हो जाता है, C) रेडर को 2 अंक मिलते हैं, D) बचाव करने वाली टीम को 2 अंक मिलते हैं")</f>
        <v>A) रेडर को 1 अंक मिलता है, B) रेडर आउट हो जाता है, C) रेडर को 2 अंक मिलते हैं, D) बचाव करने वाली टीम को 2 अंक मिलते हैं</v>
      </c>
      <c r="I445" s="3" t="str">
        <f>IFERROR(__xludf.DUMMYFUNCTION("GOOGLETRANSLATE(D445, ""en"", ""hi"")"),"बी) हमलावर बाहर है")</f>
        <v>बी) हमलावर बाहर है</v>
      </c>
    </row>
    <row r="446" ht="22.5" customHeight="1">
      <c r="A446" s="2">
        <v>445.0</v>
      </c>
      <c r="B446" s="3" t="s">
        <v>922</v>
      </c>
      <c r="C446" s="3" t="s">
        <v>775</v>
      </c>
      <c r="D446" s="3" t="s">
        <v>776</v>
      </c>
      <c r="F446" s="3" t="str">
        <f>IFERROR(__xludf.DUMMYFUNCTION("GOOGLETRANSLATE(A446, ""en"", ""hi"")"),"445")</f>
        <v>445</v>
      </c>
      <c r="G446" s="3" t="str">
        <f>IFERROR(__xludf.DUMMYFUNCTION("GOOGLETRANSLATE(B446, ""en"", ""hi"")"),"कबड्डी में 'पीला कार्ड' क्या दर्शाता है?")</f>
        <v>कबड्डी में 'पीला कार्ड' क्या दर्शाता है?</v>
      </c>
      <c r="H446" s="3" t="str">
        <f>IFERROR(__xludf.DUMMYFUNCTION("GOOGLETRANSLATE(C446, ""en"", ""hi"")"),"A) खिलाड़ी को चेतावनी, B) खिलाड़ी को पेनल्टी, C) रेडर को अंक दिया जाना, D) खिलाड़ी का प्रतिस्थापन")</f>
        <v>A) खिलाड़ी को चेतावनी, B) खिलाड़ी को पेनल्टी, C) रेडर को अंक दिया जाना, D) खिलाड़ी का प्रतिस्थापन</v>
      </c>
      <c r="I446" s="3" t="str">
        <f>IFERROR(__xludf.DUMMYFUNCTION("GOOGLETRANSLATE(D446, ""en"", ""hi"")"),"A) खिलाड़ी को चेतावनी")</f>
        <v>A) खिलाड़ी को चेतावनी</v>
      </c>
    </row>
    <row r="447" ht="22.5" customHeight="1">
      <c r="A447" s="2">
        <v>446.0</v>
      </c>
      <c r="B447" s="3" t="s">
        <v>923</v>
      </c>
      <c r="C447" s="3" t="s">
        <v>918</v>
      </c>
      <c r="D447" s="3" t="s">
        <v>65</v>
      </c>
      <c r="F447" s="3" t="str">
        <f>IFERROR(__xludf.DUMMYFUNCTION("GOOGLETRANSLATE(A447, ""en"", ""hi"")"),"446")</f>
        <v>446</v>
      </c>
      <c r="G447" s="3" t="str">
        <f>IFERROR(__xludf.DUMMYFUNCTION("GOOGLETRANSLATE(B447, ""en"", ""hi"")"),"यदि कोई कबड्डी रेडर किसी डिफेंडर को सफलतापूर्वक टैग कर देता है, लेकिन रेड टाइमर समाप्त होने से पहले अपने हाफ में वापस लौटने में विफल रहता है, तो क्या होगा?")</f>
        <v>यदि कोई कबड्डी रेडर किसी डिफेंडर को सफलतापूर्वक टैग कर देता है, लेकिन रेड टाइमर समाप्त होने से पहले अपने हाफ में वापस लौटने में विफल रहता है, तो क्या होगा?</v>
      </c>
      <c r="H447" s="3" t="str">
        <f>IFERROR(__xludf.DUMMYFUNCTION("GOOGLETRANSLATE(C447, ""en"", ""hi"")"),"A) रेडर को 1 अंक दिया जाता है, B) रेडर आउट हो जाता है, C) बचाव करने वाली टीम को 1 अंक मिलता है, D) खेल रोक दिया जाता है")</f>
        <v>A) रेडर को 1 अंक दिया जाता है, B) रेडर आउट हो जाता है, C) बचाव करने वाली टीम को 1 अंक मिलता है, D) खेल रोक दिया जाता है</v>
      </c>
      <c r="I447" s="3" t="str">
        <f>IFERROR(__xludf.DUMMYFUNCTION("GOOGLETRANSLATE(D447, ""en"", ""hi"")"),"बी) हमलावर बाहर है")</f>
        <v>बी) हमलावर बाहर है</v>
      </c>
    </row>
    <row r="448" ht="22.5" customHeight="1">
      <c r="A448" s="2">
        <v>447.0</v>
      </c>
      <c r="B448" s="3" t="s">
        <v>924</v>
      </c>
      <c r="C448" s="3" t="s">
        <v>47</v>
      </c>
      <c r="D448" s="3" t="s">
        <v>16</v>
      </c>
      <c r="F448" s="3" t="str">
        <f>IFERROR(__xludf.DUMMYFUNCTION("GOOGLETRANSLATE(A448, ""en"", ""hi"")"),"447")</f>
        <v>447</v>
      </c>
      <c r="G448" s="3" t="str">
        <f>IFERROR(__xludf.DUMMYFUNCTION("GOOGLETRANSLATE(B448, ""en"", ""hi"")"),"यदि कोई कबड्डी रेडर किसी डिफेंडर को सफलतापूर्वक टैग कर देता है और बोनस लाइन पार कर जाता है, लेकिन उसे टैकल कर लिया जाता है, तो रेडर को कितने अंक मिलेंगे?")</f>
        <v>यदि कोई कबड्डी रेडर किसी डिफेंडर को सफलतापूर्वक टैग कर देता है और बोनस लाइन पार कर जाता है, लेकिन उसे टैकल कर लिया जाता है, तो रेडर को कितने अंक मिलेंगे?</v>
      </c>
      <c r="H448" s="3" t="str">
        <f>IFERROR(__xludf.DUMMYFUNCTION("GOOGLETRANSLATE(C448, ""en"", ""hi"")"),"A) 1 अंक, B) 2 अंक, C) 3 अंक, D) 4 अंक")</f>
        <v>A) 1 अंक, B) 2 अंक, C) 3 अंक, D) 4 अंक</v>
      </c>
      <c r="I448" s="3" t="str">
        <f>IFERROR(__xludf.DUMMYFUNCTION("GOOGLETRANSLATE(D448, ""en"", ""hi"")"),"बी) 2 अंक")</f>
        <v>बी) 2 अंक</v>
      </c>
    </row>
    <row r="449" ht="22.5" customHeight="1">
      <c r="A449" s="2">
        <v>448.0</v>
      </c>
      <c r="B449" s="3" t="s">
        <v>925</v>
      </c>
      <c r="C449" s="3" t="s">
        <v>801</v>
      </c>
      <c r="D449" s="3" t="s">
        <v>65</v>
      </c>
      <c r="F449" s="3" t="str">
        <f>IFERROR(__xludf.DUMMYFUNCTION("GOOGLETRANSLATE(A449, ""en"", ""hi"")"),"448")</f>
        <v>448</v>
      </c>
      <c r="G449" s="3" t="str">
        <f>IFERROR(__xludf.DUMMYFUNCTION("GOOGLETRANSLATE(B449, ""en"", ""hi"")"),"कबड्डी मैच के दौरान, यदि कोई रेडर रेड का प्रयास करते समय टैकल कर लिया जाता है, लेकिन डिफेंडर रेडर को पकड़ने में असफल हो जाते हैं, तो परिणाम क्या होगा?")</f>
        <v>कबड्डी मैच के दौरान, यदि कोई रेडर रेड का प्रयास करते समय टैकल कर लिया जाता है, लेकिन डिफेंडर रेडर को पकड़ने में असफल हो जाते हैं, तो परिणाम क्या होगा?</v>
      </c>
      <c r="H449" s="3" t="str">
        <f>IFERROR(__xludf.DUMMYFUNCTION("GOOGLETRANSLATE(C449,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449" s="3" t="str">
        <f>IFERROR(__xludf.DUMMYFUNCTION("GOOGLETRANSLATE(D449, ""en"", ""hi"")"),"बी) हमलावर बाहर है")</f>
        <v>बी) हमलावर बाहर है</v>
      </c>
    </row>
    <row r="450" ht="22.5" customHeight="1">
      <c r="A450" s="2">
        <v>449.0</v>
      </c>
      <c r="B450" s="3" t="s">
        <v>926</v>
      </c>
      <c r="C450" s="3" t="s">
        <v>905</v>
      </c>
      <c r="D450" s="3" t="s">
        <v>906</v>
      </c>
      <c r="F450" s="3" t="str">
        <f>IFERROR(__xludf.DUMMYFUNCTION("GOOGLETRANSLATE(A450, ""en"", ""hi"")"),"449")</f>
        <v>449</v>
      </c>
      <c r="G450" s="3" t="str">
        <f>IFERROR(__xludf.DUMMYFUNCTION("GOOGLETRANSLATE(B450, ""en"", ""hi"")"),"कबड्डी मैच में 'सेंटर लाइन' का उद्देश्य क्या है?")</f>
        <v>कबड्डी मैच में 'सेंटर लाइन' का उद्देश्य क्या है?</v>
      </c>
      <c r="H450" s="3" t="str">
        <f>IFERROR(__xludf.DUMMYFUNCTION("GOOGLETRANSLATE(C450, ""en"", ""hi"")"),"A) यह मैदान को दो हिस्सों में बांटता है, B) यह बोनस लाइन को चिह्नित करता है, C) यह मैदान के अंत को इंगित करता है, D) यह वह स्थान है जहां मैच शुरू होता है")</f>
        <v>A) यह मैदान को दो हिस्सों में बांटता है, B) यह बोनस लाइन को चिह्नित करता है, C) यह मैदान के अंत को इंगित करता है, D) यह वह स्थान है जहां मैच शुरू होता है</v>
      </c>
      <c r="I450" s="3" t="str">
        <f>IFERROR(__xludf.DUMMYFUNCTION("GOOGLETRANSLATE(D450, ""en"", ""hi"")"),"A) यह क्षेत्र को दो भागों में विभाजित करता है")</f>
        <v>A) यह क्षेत्र को दो भागों में विभाजित करता है</v>
      </c>
    </row>
    <row r="451" ht="22.5" customHeight="1">
      <c r="A451" s="2">
        <v>450.0</v>
      </c>
      <c r="B451" s="3" t="s">
        <v>927</v>
      </c>
      <c r="C451" s="3" t="s">
        <v>851</v>
      </c>
      <c r="D451" s="3" t="s">
        <v>65</v>
      </c>
      <c r="F451" s="3" t="str">
        <f>IFERROR(__xludf.DUMMYFUNCTION("GOOGLETRANSLATE(A451, ""en"", ""hi"")"),"450")</f>
        <v>450</v>
      </c>
      <c r="G451" s="3" t="str">
        <f>IFERROR(__xludf.DUMMYFUNCTION("GOOGLETRANSLATE(B451, ""en"", ""hi"")"),"यदि कबड्डी रेडर को मध्य रेखा पार करने का प्रयास करते समय टैग कर दिया जाता है और सभी डिफेंडर एक-दूसरे को पकड़ रहे हैं, तो क्या होगा?")</f>
        <v>यदि कबड्डी रेडर को मध्य रेखा पार करने का प्रयास करते समय टैग कर दिया जाता है और सभी डिफेंडर एक-दूसरे को पकड़ रहे हैं, तो क्या होगा?</v>
      </c>
      <c r="H451" s="3" t="str">
        <f>IFERROR(__xludf.DUMMYFUNCTION("GOOGLETRANSLATE(C451,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51" s="3" t="str">
        <f>IFERROR(__xludf.DUMMYFUNCTION("GOOGLETRANSLATE(D451, ""en"", ""hi"")"),"बी) हमलावर बाहर है")</f>
        <v>बी) हमलावर बाहर है</v>
      </c>
    </row>
    <row r="452" ht="22.5" customHeight="1">
      <c r="A452" s="2">
        <v>451.0</v>
      </c>
      <c r="B452" s="3" t="s">
        <v>928</v>
      </c>
      <c r="C452" s="3" t="s">
        <v>929</v>
      </c>
      <c r="D452" s="3" t="s">
        <v>786</v>
      </c>
      <c r="F452" s="3" t="str">
        <f>IFERROR(__xludf.DUMMYFUNCTION("GOOGLETRANSLATE(A452, ""en"", ""hi"")"),"451")</f>
        <v>451</v>
      </c>
      <c r="G452" s="3" t="str">
        <f>IFERROR(__xludf.DUMMYFUNCTION("GOOGLETRANSLATE(B452, ""en"", ""hi"")"),"क्या होगा यदि कोई कबड्डी रेडर सफलतापूर्वक मिडलाइन पार कर जाए और सभी डिफेंडरों को टैग कर दे, लेकिन वापस लौटने से पहले उसे टैकल कर दिया जाए?")</f>
        <v>क्या होगा यदि कोई कबड्डी रेडर सफलतापूर्वक मिडलाइन पार कर जाए और सभी डिफेंडरों को टैग कर दे, लेकिन वापस लौटने से पहले उसे टैकल कर दिया जाए?</v>
      </c>
      <c r="H452" s="3" t="str">
        <f>IFERROR(__xludf.DUMMYFUNCTION("GOOGLETRANSLATE(C452, ""en"", ""hi"")"),"A) रेडर को 1 अंक मिलता है, B) रेडर को 2 अंक मिलते हैं, C) रेडर को 3 अंक मिलते हैं, D) रेड करने वाली टीम को पेनल्टी मिलती है")</f>
        <v>A) रेडर को 1 अंक मिलता है, B) रेडर को 2 अंक मिलते हैं, C) रेडर को 3 अंक मिलते हैं, D) रेड करने वाली टीम को पेनल्टी मिलती है</v>
      </c>
      <c r="I452" s="3" t="str">
        <f>IFERROR(__xludf.DUMMYFUNCTION("GOOGLETRANSLATE(D452, ""en"", ""hi"")"),"B) रेडर को 2 अंक मिलते हैं")</f>
        <v>B) रेडर को 2 अंक मिलते हैं</v>
      </c>
    </row>
    <row r="453" ht="22.5" customHeight="1">
      <c r="A453" s="2">
        <v>452.0</v>
      </c>
      <c r="B453" s="3" t="s">
        <v>930</v>
      </c>
      <c r="C453" s="3" t="s">
        <v>931</v>
      </c>
      <c r="D453" s="3" t="s">
        <v>875</v>
      </c>
      <c r="F453" s="3" t="str">
        <f>IFERROR(__xludf.DUMMYFUNCTION("GOOGLETRANSLATE(A453, ""en"", ""hi"")"),"452")</f>
        <v>452</v>
      </c>
      <c r="G453" s="3" t="str">
        <f>IFERROR(__xludf.DUMMYFUNCTION("GOOGLETRANSLATE(B453, ""en"", ""hi"")"),"कबड्डी में उस रेड को क्या कहते हैं जिसमें रेडर को अंक अर्जित करने होते हैं या खेल जारी रखने के लिए बाहर रहना होता है?")</f>
        <v>कबड्डी में उस रेड को क्या कहते हैं जिसमें रेडर को अंक अर्जित करने होते हैं या खेल जारी रखने के लिए बाहर रहना होता है?</v>
      </c>
      <c r="H453" s="3" t="str">
        <f>IFERROR(__xludf.DUMMYFUNCTION("GOOGLETRANSLATE(C453, ""en"", ""hi"")"),"ए) डू-ऑर-डाई रेड, बी) सुपर रेड, सी) बोनस पॉइंट, डी) ऑल-आउट")</f>
        <v>ए) डू-ऑर-डाई रेड, बी) सुपर रेड, सी) बोनस पॉइंट, डी) ऑल-आउट</v>
      </c>
      <c r="I453" s="3" t="str">
        <f>IFERROR(__xludf.DUMMYFUNCTION("GOOGLETRANSLATE(D453, ""en"", ""hi"")"),"ए) करो या मरो छापा")</f>
        <v>ए) करो या मरो छापा</v>
      </c>
    </row>
    <row r="454" ht="22.5" customHeight="1">
      <c r="A454" s="2">
        <v>453.0</v>
      </c>
      <c r="B454" s="3" t="s">
        <v>932</v>
      </c>
      <c r="C454" s="3" t="s">
        <v>933</v>
      </c>
      <c r="D454" s="3" t="s">
        <v>934</v>
      </c>
      <c r="F454" s="3" t="str">
        <f>IFERROR(__xludf.DUMMYFUNCTION("GOOGLETRANSLATE(A454, ""en"", ""hi"")"),"453")</f>
        <v>453</v>
      </c>
      <c r="G454" s="3" t="str">
        <f>IFERROR(__xludf.DUMMYFUNCTION("GOOGLETRANSLATE(B454, ""en"", ""hi"")"),"कबड्डी मैच के दौरान 'कोच' की क्या भूमिका होती है?")</f>
        <v>कबड्डी मैच के दौरान 'कोच' की क्या भूमिका होती है?</v>
      </c>
      <c r="H454" s="3" t="str">
        <f>IFERROR(__xludf.DUMMYFUNCTION("GOOGLETRANSLATE(C454, ""en"", ""hi"")"),"A) टीम की रणनीति बनाना और मार्गदर्शन करना, B) मैच में रेफरी करना, C) अंक प्रदान करना, D) नियमों को लागू करना")</f>
        <v>A) टीम की रणनीति बनाना और मार्गदर्शन करना, B) मैच में रेफरी करना, C) अंक प्रदान करना, D) नियमों को लागू करना</v>
      </c>
      <c r="I454" s="3" t="str">
        <f>IFERROR(__xludf.DUMMYFUNCTION("GOOGLETRANSLATE(D454, ""en"", ""hi"")"),"A) टीम की रणनीति बनाना और मार्गदर्शन करना")</f>
        <v>A) टीम की रणनीति बनाना और मार्गदर्शन करना</v>
      </c>
    </row>
    <row r="455" ht="22.5" customHeight="1">
      <c r="A455" s="2">
        <v>454.0</v>
      </c>
      <c r="B455" s="3" t="s">
        <v>935</v>
      </c>
      <c r="C455" s="3" t="s">
        <v>936</v>
      </c>
      <c r="D455" s="3" t="s">
        <v>937</v>
      </c>
      <c r="F455" s="3" t="str">
        <f>IFERROR(__xludf.DUMMYFUNCTION("GOOGLETRANSLATE(A455, ""en"", ""hi"")"),"454")</f>
        <v>454</v>
      </c>
      <c r="G455" s="3" t="str">
        <f>IFERROR(__xludf.DUMMYFUNCTION("GOOGLETRANSLATE(B455, ""en"", ""hi"")"),"कबड्डी मैच के दौरान यदि कोई खिलाड़ी कोई ऐसा अपराध करता है जो गंभीर नहीं है, तो इसका संभावित परिणाम क्या होगा?")</f>
        <v>कबड्डी मैच के दौरान यदि कोई खिलाड़ी कोई ऐसा अपराध करता है जो गंभीर नहीं है, तो इसका संभावित परिणाम क्या होगा?</v>
      </c>
      <c r="H455" s="3" t="str">
        <f>IFERROR(__xludf.DUMMYFUNCTION("GOOGLETRANSLATE(C455, ""en"", ""hi"")"),"A) खिलाड़ी को चेतावनी दी जाती है, B) खिलाड़ी को दंडित किया जाता है, C) खिलाड़ी को प्रतिस्थापित किया जाता है, D) टीम 1 अंक खो देती है")</f>
        <v>A) खिलाड़ी को चेतावनी दी जाती है, B) खिलाड़ी को दंडित किया जाता है, C) खिलाड़ी को प्रतिस्थापित किया जाता है, D) टीम 1 अंक खो देती है</v>
      </c>
      <c r="I455" s="3" t="str">
        <f>IFERROR(__xludf.DUMMYFUNCTION("GOOGLETRANSLATE(D455, ""en"", ""hi"")"),"A) खिलाड़ी को चेतावनी दी जाती है")</f>
        <v>A) खिलाड़ी को चेतावनी दी जाती है</v>
      </c>
    </row>
    <row r="456" ht="22.5" customHeight="1">
      <c r="A456" s="2">
        <v>455.0</v>
      </c>
      <c r="B456" s="3" t="s">
        <v>938</v>
      </c>
      <c r="C456" s="3" t="s">
        <v>939</v>
      </c>
      <c r="D456" s="3" t="s">
        <v>940</v>
      </c>
      <c r="F456" s="3" t="str">
        <f>IFERROR(__xludf.DUMMYFUNCTION("GOOGLETRANSLATE(A456, ""en"", ""hi"")"),"455")</f>
        <v>455</v>
      </c>
      <c r="G456" s="3" t="str">
        <f>IFERROR(__xludf.DUMMYFUNCTION("GOOGLETRANSLATE(B456, ""en"", ""hi"")"),"कबड्डी मैच में 'टीम टाइमआउट' का क्या प्रभाव होता है?")</f>
        <v>कबड्डी मैच में 'टीम टाइमआउट' का क्या प्रभाव होता है?</v>
      </c>
      <c r="H456" s="3" t="str">
        <f>IFERROR(__xludf.DUMMYFUNCTION("GOOGLETRANSLATE(C456, ""en"", ""hi"")"),"A) टीमों को रणनीति पर चर्चा करने और आराम करने की अनुमति देता है, B) खेल के नियमों को बदलता है, C) मैच की अवधि बढ़ाता है, D) टीम को दंडित करता है")</f>
        <v>A) टीमों को रणनीति पर चर्चा करने और आराम करने की अनुमति देता है, B) खेल के नियमों को बदलता है, C) मैच की अवधि बढ़ाता है, D) टीम को दंडित करता है</v>
      </c>
      <c r="I456" s="3" t="str">
        <f>IFERROR(__xludf.DUMMYFUNCTION("GOOGLETRANSLATE(D456, ""en"", ""hi"")"),"A) टीमों को रणनीति पर चर्चा करने और आराम करने की अनुमति देता है")</f>
        <v>A) टीमों को रणनीति पर चर्चा करने और आराम करने की अनुमति देता है</v>
      </c>
    </row>
    <row r="457" ht="22.5" customHeight="1">
      <c r="A457" s="2">
        <v>456.0</v>
      </c>
      <c r="B457" s="3" t="s">
        <v>941</v>
      </c>
      <c r="C457" s="3" t="s">
        <v>801</v>
      </c>
      <c r="D457" s="3" t="s">
        <v>65</v>
      </c>
      <c r="F457" s="3" t="str">
        <f>IFERROR(__xludf.DUMMYFUNCTION("GOOGLETRANSLATE(A457, ""en"", ""hi"")"),"456")</f>
        <v>456</v>
      </c>
      <c r="G457" s="3" t="str">
        <f>IFERROR(__xludf.DUMMYFUNCTION("GOOGLETRANSLATE(B457, ""en"", ""hi"")"),"कबड्डी में, यदि कोई रेडर बोनस लाइन को छूने से पहले ही टैकल हो जाता है और अपने हाफ में वापस लौटने में असफल रहता है, तो क्या होगा?")</f>
        <v>कबड्डी में, यदि कोई रेडर बोनस लाइन को छूने से पहले ही टैकल हो जाता है और अपने हाफ में वापस लौटने में असफल रहता है, तो क्या होगा?</v>
      </c>
      <c r="H457" s="3" t="str">
        <f>IFERROR(__xludf.DUMMYFUNCTION("GOOGLETRANSLATE(C457,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457" s="3" t="str">
        <f>IFERROR(__xludf.DUMMYFUNCTION("GOOGLETRANSLATE(D457, ""en"", ""hi"")"),"बी) हमलावर बाहर है")</f>
        <v>बी) हमलावर बाहर है</v>
      </c>
    </row>
    <row r="458" ht="22.5" customHeight="1">
      <c r="A458" s="2">
        <v>457.0</v>
      </c>
      <c r="B458" s="3" t="s">
        <v>942</v>
      </c>
      <c r="C458" s="3" t="s">
        <v>943</v>
      </c>
      <c r="D458" s="3" t="s">
        <v>106</v>
      </c>
      <c r="F458" s="3" t="str">
        <f>IFERROR(__xludf.DUMMYFUNCTION("GOOGLETRANSLATE(A458, ""en"", ""hi"")"),"457")</f>
        <v>457</v>
      </c>
      <c r="G458" s="3" t="str">
        <f>IFERROR(__xludf.DUMMYFUNCTION("GOOGLETRANSLATE(B458, ""en"", ""hi"")"),"यदि कोई कबड्डी रेडर सफलतापूर्वक बोनस लाइन पार कर लेता है और सभी डिफेंडरों को टैग कर देता है, तथा बिना टैकल किए अपने हाफ में वापस लौट जाता है, तो परिणाम क्या होगा?")</f>
        <v>यदि कोई कबड्डी रेडर सफलतापूर्वक बोनस लाइन पार कर लेता है और सभी डिफेंडरों को टैग कर देता है, तथा बिना टैकल किए अपने हाफ में वापस लौट जाता है, तो परिणाम क्या होगा?</v>
      </c>
      <c r="H458" s="3" t="str">
        <f>IFERROR(__xludf.DUMMYFUNCTION("GOOGLETRANSLATE(C458, ""en"", ""hi"")"),"A) रेडर को 2 अंक मिलते हैं, B) रेडर को 3 अंक मिलते हैं, C) रेडर को 4 अंक मिलते हैं, D) रेड करने वाली टीम को 1 अंक मिलता है")</f>
        <v>A) रेडर को 2 अंक मिलते हैं, B) रेडर को 3 अंक मिलते हैं, C) रेडर को 4 अंक मिलते हैं, D) रेड करने वाली टीम को 1 अंक मिलता है</v>
      </c>
      <c r="I458" s="3" t="str">
        <f>IFERROR(__xludf.DUMMYFUNCTION("GOOGLETRANSLATE(D458, ""en"", ""hi"")"),"A) रेडर को 2 अंक मिलते हैं")</f>
        <v>A) रेडर को 2 अंक मिलते हैं</v>
      </c>
    </row>
    <row r="459" ht="22.5" customHeight="1">
      <c r="A459" s="2">
        <v>458.0</v>
      </c>
      <c r="B459" s="3" t="s">
        <v>944</v>
      </c>
      <c r="C459" s="3" t="s">
        <v>945</v>
      </c>
      <c r="D459" s="3" t="s">
        <v>946</v>
      </c>
      <c r="F459" s="3" t="str">
        <f>IFERROR(__xludf.DUMMYFUNCTION("GOOGLETRANSLATE(A459, ""en"", ""hi"")"),"458")</f>
        <v>458</v>
      </c>
      <c r="G459" s="3" t="str">
        <f>IFERROR(__xludf.DUMMYFUNCTION("GOOGLETRANSLATE(B459, ""en"", ""hi"")"),"यदि मैच के दौरान कोई कबड्डी खिलाड़ी घायल हो जाता है, तो मानक प्रक्रिया क्या है?")</f>
        <v>यदि मैच के दौरान कोई कबड्डी खिलाड़ी घायल हो जाता है, तो मानक प्रक्रिया क्या है?</v>
      </c>
      <c r="H459" s="3" t="str">
        <f>IFERROR(__xludf.DUMMYFUNCTION("GOOGLETRANSLATE(C459, ""en"", ""hi"")"),"A) खिलाड़ी को प्रतिस्थापित किया जाता है, B) खेल रोक दिया जाता है, C) खिलाड़ी को चिकित्सा सहायता दी जाती है, D) टीम को पेनल्टी मिलती है")</f>
        <v>A) खिलाड़ी को प्रतिस्थापित किया जाता है, B) खेल रोक दिया जाता है, C) खिलाड़ी को चिकित्सा सहायता दी जाती है, D) टीम को पेनल्टी मिलती है</v>
      </c>
      <c r="I459" s="3" t="str">
        <f>IFERROR(__xludf.DUMMYFUNCTION("GOOGLETRANSLATE(D459, ""en"", ""hi"")"),"C) खिलाड़ी को चिकित्सा सहायता दी जाती है")</f>
        <v>C) खिलाड़ी को चिकित्सा सहायता दी जाती है</v>
      </c>
    </row>
    <row r="460" ht="22.5" customHeight="1">
      <c r="A460" s="2">
        <v>459.0</v>
      </c>
      <c r="B460" s="3" t="s">
        <v>947</v>
      </c>
      <c r="C460" s="3" t="s">
        <v>948</v>
      </c>
      <c r="D460" s="3" t="s">
        <v>949</v>
      </c>
      <c r="F460" s="3" t="str">
        <f>IFERROR(__xludf.DUMMYFUNCTION("GOOGLETRANSLATE(A460, ""en"", ""hi"")"),"459")</f>
        <v>459</v>
      </c>
      <c r="G460" s="3" t="str">
        <f>IFERROR(__xludf.DUMMYFUNCTION("GOOGLETRANSLATE(B460, ""en"", ""hi"")"),"कबड्डी रेडर को अतिरिक्त अंक अर्जित करने के लिए जिस क्षेत्र को पार करना होता है, उसे क्या कहते हैं?")</f>
        <v>कबड्डी रेडर को अतिरिक्त अंक अर्जित करने के लिए जिस क्षेत्र को पार करना होता है, उसे क्या कहते हैं?</v>
      </c>
      <c r="H460" s="3" t="str">
        <f>IFERROR(__xludf.DUMMYFUNCTION("GOOGLETRANSLATE(C460, ""en"", ""hi"")"),"A) बोनस लाइन, B) रेड लाइन, C) मिडलाइन, D) एंड लाइन")</f>
        <v>A) बोनस लाइन, B) रेड लाइन, C) मिडलाइन, D) एंड लाइन</v>
      </c>
      <c r="I460" s="3" t="str">
        <f>IFERROR(__xludf.DUMMYFUNCTION("GOOGLETRANSLATE(D460, ""en"", ""hi"")"),"ए) बोनस लाइन")</f>
        <v>ए) बोनस लाइन</v>
      </c>
    </row>
    <row r="461" ht="22.5" customHeight="1">
      <c r="A461" s="2">
        <v>460.0</v>
      </c>
      <c r="B461" s="3" t="s">
        <v>950</v>
      </c>
      <c r="C461" s="3" t="s">
        <v>853</v>
      </c>
      <c r="D461" s="3" t="s">
        <v>363</v>
      </c>
      <c r="F461" s="3" t="str">
        <f>IFERROR(__xludf.DUMMYFUNCTION("GOOGLETRANSLATE(A461, ""en"", ""hi"")"),"460")</f>
        <v>460</v>
      </c>
      <c r="G461" s="3" t="str">
        <f>IFERROR(__xludf.DUMMYFUNCTION("GOOGLETRANSLATE(B461, ""en"", ""hi"")"),"कबड्डी मैच के दौरान, यदि किसी रेडर को टैकल किया जाता है, लेकिन टैकल से पहले वह दो डिफेंडरों को छूने में सफल हो जाता है, तो परिणाम क्या होगा?")</f>
        <v>कबड्डी मैच के दौरान, यदि किसी रेडर को टैकल किया जाता है, लेकिन टैकल से पहले वह दो डिफेंडरों को छूने में सफल हो जाता है, तो परिणाम क्या होगा?</v>
      </c>
      <c r="H461" s="3" t="str">
        <f>IFERROR(__xludf.DUMMYFUNCTION("GOOGLETRANSLATE(C461, ""en"", ""hi"")"),"A) रेडर को 1 अंक मिलता है, B) रेडर को 2 अंक मिलते हैं, C) रेडर आउट हो जाता है, D) बचाव करने वाली टीम को 1 अंक मिलता है")</f>
        <v>A) रेडर को 1 अंक मिलता है, B) रेडर को 2 अंक मिलते हैं, C) रेडर आउट हो जाता है, D) बचाव करने वाली टीम को 1 अंक मिलता है</v>
      </c>
      <c r="I461" s="3" t="str">
        <f>IFERROR(__xludf.DUMMYFUNCTION("GOOGLETRANSLATE(D461, ""en"", ""hi"")"),"C) हमलावर बाहर है")</f>
        <v>C) हमलावर बाहर है</v>
      </c>
    </row>
    <row r="462" ht="22.5" customHeight="1">
      <c r="A462" s="2">
        <v>461.0</v>
      </c>
      <c r="B462" s="3" t="s">
        <v>951</v>
      </c>
      <c r="C462" s="3" t="s">
        <v>771</v>
      </c>
      <c r="D462" s="3" t="s">
        <v>65</v>
      </c>
      <c r="F462" s="3" t="str">
        <f>IFERROR(__xludf.DUMMYFUNCTION("GOOGLETRANSLATE(A462, ""en"", ""hi"")"),"461")</f>
        <v>461</v>
      </c>
      <c r="G462" s="3" t="str">
        <f>IFERROR(__xludf.DUMMYFUNCTION("GOOGLETRANSLATE(B462, ""en"", ""hi"")"),"यदि कोई कबड्डी रेडर किसी डिफेंडर को टैग करने में असफल हो जाए, लेकिन बोनस लाइन पार कर वापस लौट जाए तो क्या होगा?")</f>
        <v>यदि कोई कबड्डी रेडर किसी डिफेंडर को टैग करने में असफल हो जाए, लेकिन बोनस लाइन पार कर वापस लौट जाए तो क्या होगा?</v>
      </c>
      <c r="H462" s="3" t="str">
        <f>IFERROR(__xludf.DUMMYFUNCTION("GOOGLETRANSLATE(C462, ""en"", ""hi"")"),"A) रेडर को 1 अंक दिया जाता है, B) रेडर आउट हो जाता है, C) बचाव करने वाली टीम को 1 अंक मिलता है, D) रेड करने वाली टीम को पेनल्टी मिलती है")</f>
        <v>A) रेडर को 1 अंक दिया जाता है, B) रेडर आउट हो जाता है, C) बचाव करने वाली टीम को 1 अंक मिलता है, D) रेड करने वाली टीम को पेनल्टी मिलती है</v>
      </c>
      <c r="I462" s="3" t="str">
        <f>IFERROR(__xludf.DUMMYFUNCTION("GOOGLETRANSLATE(D462, ""en"", ""hi"")"),"बी) हमलावर बाहर है")</f>
        <v>बी) हमलावर बाहर है</v>
      </c>
    </row>
    <row r="463" ht="22.5" customHeight="1">
      <c r="A463" s="2">
        <v>462.0</v>
      </c>
      <c r="B463" s="3" t="s">
        <v>952</v>
      </c>
      <c r="C463" s="3" t="s">
        <v>953</v>
      </c>
      <c r="D463" s="3" t="s">
        <v>954</v>
      </c>
      <c r="F463" s="3" t="str">
        <f>IFERROR(__xludf.DUMMYFUNCTION("GOOGLETRANSLATE(A463, ""en"", ""hi"")"),"462")</f>
        <v>462</v>
      </c>
      <c r="G463" s="3" t="str">
        <f>IFERROR(__xludf.DUMMYFUNCTION("GOOGLETRANSLATE(B463, ""en"", ""hi"")"),"कबड्डी में 'तकनीकी टाइमआउट' क्या दर्शाता है?")</f>
        <v>कबड्डी में 'तकनीकी टाइमआउट' क्या दर्शाता है?</v>
      </c>
      <c r="H463" s="3" t="str">
        <f>IFERROR(__xludf.DUMMYFUNCTION("GOOGLETRANSLATE(C463, ""en"", ""hi"")"),"ए) तकनीकी समस्याओं के लिए ब्रेक, बी) चिकित्सा कारणों के लिए ब्रेक, सी) टीम रणनीति के लिए ब्रेक, डी) नियम उल्लंघन के लिए ब्रेक")</f>
        <v>ए) तकनीकी समस्याओं के लिए ब्रेक, बी) चिकित्सा कारणों के लिए ब्रेक, सी) टीम रणनीति के लिए ब्रेक, डी) नियम उल्लंघन के लिए ब्रेक</v>
      </c>
      <c r="I463" s="3" t="str">
        <f>IFERROR(__xludf.DUMMYFUNCTION("GOOGLETRANSLATE(D463, ""en"", ""hi"")"),"A) तकनीकी समस्याओं के लिए अवकाश")</f>
        <v>A) तकनीकी समस्याओं के लिए अवकाश</v>
      </c>
    </row>
    <row r="464" ht="22.5" customHeight="1">
      <c r="A464" s="2">
        <v>463.0</v>
      </c>
      <c r="B464" s="3" t="s">
        <v>955</v>
      </c>
      <c r="C464" s="3" t="s">
        <v>956</v>
      </c>
      <c r="D464" s="3" t="s">
        <v>140</v>
      </c>
      <c r="F464" s="3" t="str">
        <f>IFERROR(__xludf.DUMMYFUNCTION("GOOGLETRANSLATE(A464, ""en"", ""hi"")"),"463")</f>
        <v>463</v>
      </c>
      <c r="G464" s="3" t="str">
        <f>IFERROR(__xludf.DUMMYFUNCTION("GOOGLETRANSLATE(B464, ""en"", ""hi"")"),"यदि कबड्डी रेडर मध्य रेखा पार करने का प्रयास करते समय टैग हो जाता है, लेकिन कई डिफेंडरों द्वारा उसे पकड़ लिया जाता है, तो परिणाम क्या होगा?")</f>
        <v>यदि कबड्डी रेडर मध्य रेखा पार करने का प्रयास करते समय टैग हो जाता है, लेकिन कई डिफेंडरों द्वारा उसे पकड़ लिया जाता है, तो परिणाम क्या होगा?</v>
      </c>
      <c r="H464" s="3" t="str">
        <f>IFERROR(__xludf.DUMMYFUNCTION("GOOGLETRANSLATE(C464, ""en"", ""hi"")"),"A) रेडर आउट हो जाता है, B) रेडर को 1 अंक मिलता है, C) रेड करने वाली टीम को पेनल्टी मिलती है, D) बचाव करने वाली टीम को 2 अंक मिलते हैं")</f>
        <v>A) रेडर आउट हो जाता है, B) रेडर को 1 अंक मिलता है, C) रेड करने वाली टीम को पेनल्टी मिलती है, D) बचाव करने वाली टीम को 2 अंक मिलते हैं</v>
      </c>
      <c r="I464" s="3" t="str">
        <f>IFERROR(__xludf.DUMMYFUNCTION("GOOGLETRANSLATE(D464, ""en"", ""hi"")"),"A) हमलावर बाहर है")</f>
        <v>A) हमलावर बाहर है</v>
      </c>
    </row>
    <row r="465" ht="22.5" customHeight="1">
      <c r="A465" s="2">
        <v>464.0</v>
      </c>
      <c r="B465" s="3" t="s">
        <v>957</v>
      </c>
      <c r="C465" s="3" t="s">
        <v>958</v>
      </c>
      <c r="D465" s="3" t="s">
        <v>204</v>
      </c>
      <c r="F465" s="3" t="str">
        <f>IFERROR(__xludf.DUMMYFUNCTION("GOOGLETRANSLATE(A465, ""en"", ""hi"")"),"464")</f>
        <v>464</v>
      </c>
      <c r="G465" s="3" t="str">
        <f>IFERROR(__xludf.DUMMYFUNCTION("GOOGLETRANSLATE(B465, ""en"", ""hi"")"),"कबड्डी में, यदि रेडर सफलतापूर्वक बोनस लाइन पार कर लेता है, लेकिन उसे टैकल कर दिया जाता है, तो रेडर की टीम के लिए परिणाम क्या होगा?")</f>
        <v>कबड्डी में, यदि रेडर सफलतापूर्वक बोनस लाइन पार कर लेता है, लेकिन उसे टैकल कर दिया जाता है, तो रेडर की टीम के लिए परिणाम क्या होगा?</v>
      </c>
      <c r="H465" s="3" t="str">
        <f>IFERROR(__xludf.DUMMYFUNCTION("GOOGLETRANSLATE(C465, ""en"", ""hi"")"),"A) रेडर को 1 अंक मिलता है, B) रेडर को 2 अंक मिलते हैं, C) बचाव करने वाली टीम को 1 अंक मिलता है, D) रेड करने वाली टीम को पेनल्टी मिलती है")</f>
        <v>A) रेडर को 1 अंक मिलता है, B) रेडर को 2 अंक मिलते हैं, C) बचाव करने वाली टीम को 1 अंक मिलता है, D) रेड करने वाली टीम को पेनल्टी मिलती है</v>
      </c>
      <c r="I465" s="3" t="str">
        <f>IFERROR(__xludf.DUMMYFUNCTION("GOOGLETRANSLATE(D465, ""en"", ""hi"")"),"A) रेडर को 1 अंक मिलता है")</f>
        <v>A) रेडर को 1 अंक मिलता है</v>
      </c>
    </row>
    <row r="466" ht="22.5" customHeight="1">
      <c r="A466" s="2">
        <v>465.0</v>
      </c>
      <c r="B466" s="3" t="s">
        <v>959</v>
      </c>
      <c r="C466" s="3" t="s">
        <v>960</v>
      </c>
      <c r="D466" s="3" t="s">
        <v>961</v>
      </c>
      <c r="F466" s="3" t="str">
        <f>IFERROR(__xludf.DUMMYFUNCTION("GOOGLETRANSLATE(A466, ""en"", ""hi"")"),"465")</f>
        <v>465</v>
      </c>
      <c r="G466" s="3" t="str">
        <f>IFERROR(__xludf.DUMMYFUNCTION("GOOGLETRANSLATE(B466, ""en"", ""hi"")"),"कबड्डी मैच के दौरान, यदि कोई खिलाड़ी रेडर को स्कोर करने से रोकने के लिए अनुचित रणनीति का उपयोग करता है, तो संभावित दंड क्या है?")</f>
        <v>कबड्डी मैच के दौरान, यदि कोई खिलाड़ी रेडर को स्कोर करने से रोकने के लिए अनुचित रणनीति का उपयोग करता है, तो संभावित दंड क्या है?</v>
      </c>
      <c r="H466" s="3" t="str">
        <f>IFERROR(__xludf.DUMMYFUNCTION("GOOGLETRANSLATE(C466, ""en"", ""hi"")"),"A) खिलाड़ी को पीला कार्ड दिया जाता है, B) खिलाड़ी को प्रतिस्थापित किया जाता है, C) खिलाड़ी पर जुर्माना लगाया जाता है, D) टीम को 2 अंक गंवाने पड़ते हैं")</f>
        <v>A) खिलाड़ी को पीला कार्ड दिया जाता है, B) खिलाड़ी को प्रतिस्थापित किया जाता है, C) खिलाड़ी पर जुर्माना लगाया जाता है, D) टीम को 2 अंक गंवाने पड़ते हैं</v>
      </c>
      <c r="I466" s="3" t="str">
        <f>IFERROR(__xludf.DUMMYFUNCTION("GOOGLETRANSLATE(D466, ""en"", ""hi"")"),"A) खिलाड़ी को पीला कार्ड दिया जाता है")</f>
        <v>A) खिलाड़ी को पीला कार्ड दिया जाता है</v>
      </c>
    </row>
    <row r="467" ht="22.5" customHeight="1">
      <c r="A467" s="2">
        <v>466.0</v>
      </c>
      <c r="B467" s="3" t="s">
        <v>962</v>
      </c>
      <c r="C467" s="3" t="s">
        <v>963</v>
      </c>
      <c r="D467" s="3" t="s">
        <v>964</v>
      </c>
      <c r="F467" s="3" t="str">
        <f>IFERROR(__xludf.DUMMYFUNCTION("GOOGLETRANSLATE(A467, ""en"", ""hi"")"),"466")</f>
        <v>466</v>
      </c>
      <c r="G467" s="3" t="str">
        <f>IFERROR(__xludf.DUMMYFUNCTION("GOOGLETRANSLATE(B467, ""en"", ""hi"")"),"कबड्डी मैच में, यदि बचाव करने वाली टीम फाउल कर दे, जिसके कारण रेडर को अंक मिल जाए, तो क्या होगा?")</f>
        <v>कबड्डी मैच में, यदि बचाव करने वाली टीम फाउल कर दे, जिसके कारण रेडर को अंक मिल जाए, तो क्या होगा?</v>
      </c>
      <c r="H467" s="3" t="str">
        <f>IFERROR(__xludf.DUMMYFUNCTION("GOOGLETRANSLATE(C467, ""en"", ""hi"")"),"A) रेड करने वाली टीम को 1 अंक मिलता है, B) बचाव करने वाली टीम को पेनल्टी मिलती है, C) रेड करने वाली टीम को 2 अंक मिलते हैं, D) खेल रोक दिया जाता है")</f>
        <v>A) रेड करने वाली टीम को 1 अंक मिलता है, B) बचाव करने वाली टीम को पेनल्टी मिलती है, C) रेड करने वाली टीम को 2 अंक मिलते हैं, D) खेल रोक दिया जाता है</v>
      </c>
      <c r="I467" s="3" t="str">
        <f>IFERROR(__xludf.DUMMYFUNCTION("GOOGLETRANSLATE(D467, ""en"", ""hi"")"),"B) बचाव करने वाली टीम को पेनल्टी मिलती है")</f>
        <v>B) बचाव करने वाली टीम को पेनल्टी मिलती है</v>
      </c>
    </row>
    <row r="468" ht="22.5" customHeight="1">
      <c r="A468" s="2">
        <v>467.0</v>
      </c>
      <c r="B468" s="3" t="s">
        <v>965</v>
      </c>
      <c r="C468" s="3" t="s">
        <v>966</v>
      </c>
      <c r="D468" s="3" t="s">
        <v>599</v>
      </c>
      <c r="F468" s="3" t="str">
        <f>IFERROR(__xludf.DUMMYFUNCTION("GOOGLETRANSLATE(A468, ""en"", ""hi"")"),"467")</f>
        <v>467</v>
      </c>
      <c r="G468" s="3" t="str">
        <f>IFERROR(__xludf.DUMMYFUNCTION("GOOGLETRANSLATE(B468, ""en"", ""hi"")"),"कबड्डी मैच में, यदि कोई रेडर मध्य रेखा पार कर जाता है, लेकिन उसे डिफेंडर द्वारा छू लिया जाता है, जो सीमा से बाहर था, तो परिणाम क्या होगा?")</f>
        <v>कबड्डी मैच में, यदि कोई रेडर मध्य रेखा पार कर जाता है, लेकिन उसे डिफेंडर द्वारा छू लिया जाता है, जो सीमा से बाहर था, तो परिणाम क्या होगा?</v>
      </c>
      <c r="H468" s="3" t="str">
        <f>IFERROR(__xludf.DUMMYFUNCTION("GOOGLETRANSLATE(C468, ""en"", ""hi"")"),"A) रेडर आउट हो जाता है, B) रेडर को 1 अंक मिलता है, C) डिफेंडर को दंडित किया जाता है, D) रेड करने वाली टीम को एक अंक मिलता है")</f>
        <v>A) रेडर आउट हो जाता है, B) रेडर को 1 अंक मिलता है, C) डिफेंडर को दंडित किया जाता है, D) रेड करने वाली टीम को एक अंक मिलता है</v>
      </c>
      <c r="I468" s="3" t="str">
        <f>IFERROR(__xludf.DUMMYFUNCTION("GOOGLETRANSLATE(D468, ""en"", ""hi"")"),"B) रेडर को 1 अंक मिलता है")</f>
        <v>B) रेडर को 1 अंक मिलता है</v>
      </c>
    </row>
    <row r="469" ht="22.5" customHeight="1">
      <c r="A469" s="2">
        <v>468.0</v>
      </c>
      <c r="B469" s="3" t="s">
        <v>967</v>
      </c>
      <c r="C469" s="3" t="s">
        <v>968</v>
      </c>
      <c r="D469" s="3" t="s">
        <v>363</v>
      </c>
      <c r="F469" s="3" t="str">
        <f>IFERROR(__xludf.DUMMYFUNCTION("GOOGLETRANSLATE(A469, ""en"", ""hi"")"),"468")</f>
        <v>468</v>
      </c>
      <c r="G469" s="3" t="str">
        <f>IFERROR(__xludf.DUMMYFUNCTION("GOOGLETRANSLATE(B469, ""en"", ""hi"")"),"कबड्डी रेड के दौरान, यदि रेडर तीन डिफेंडरों को टैग करता है, लेकिन अपने हाफ में लौटने से पहले चौथे डिफेंडर द्वारा उसे टैकल कर लिया जाता है, तो क्या होगा?")</f>
        <v>कबड्डी रेड के दौरान, यदि रेडर तीन डिफेंडरों को टैग करता है, लेकिन अपने हाफ में लौटने से पहले चौथे डिफेंडर द्वारा उसे टैकल कर लिया जाता है, तो क्या होगा?</v>
      </c>
      <c r="H469" s="3" t="str">
        <f>IFERROR(__xludf.DUMMYFUNCTION("GOOGLETRANSLATE(C469, ""en"", ""hi"")"),"A) रेडर को 3 अंक मिलते हैं, B) रेडर को 1 अंक मिलता है, C) रेडर आउट हो जाता है, D) बचाव करने वाली टीम को 3 अंक मिलते हैं")</f>
        <v>A) रेडर को 3 अंक मिलते हैं, B) रेडर को 1 अंक मिलता है, C) रेडर आउट हो जाता है, D) बचाव करने वाली टीम को 3 अंक मिलते हैं</v>
      </c>
      <c r="I469" s="3" t="str">
        <f>IFERROR(__xludf.DUMMYFUNCTION("GOOGLETRANSLATE(D469, ""en"", ""hi"")"),"C) हमलावर बाहर है")</f>
        <v>C) हमलावर बाहर है</v>
      </c>
    </row>
    <row r="470" ht="22.5" customHeight="1">
      <c r="A470" s="2">
        <v>469.0</v>
      </c>
      <c r="B470" s="3" t="s">
        <v>969</v>
      </c>
      <c r="C470" s="3" t="s">
        <v>47</v>
      </c>
      <c r="D470" s="3" t="s">
        <v>16</v>
      </c>
      <c r="F470" s="3" t="str">
        <f>IFERROR(__xludf.DUMMYFUNCTION("GOOGLETRANSLATE(A470, ""en"", ""hi"")"),"469")</f>
        <v>469</v>
      </c>
      <c r="G470" s="3" t="str">
        <f>IFERROR(__xludf.DUMMYFUNCTION("GOOGLETRANSLATE(B470, ""en"", ""hi"")"),"यदि कबड्डी रेडर किसी डिफेंडर को सफलतापूर्वक टैग करता है और फिर तुरंत बोनस लाइन को छूता है, लेकिन लौटने से पहले उसे टैकल कर दिया जाता है, तो कितने अंक दिए जाते हैं?")</f>
        <v>यदि कबड्डी रेडर किसी डिफेंडर को सफलतापूर्वक टैग करता है और फिर तुरंत बोनस लाइन को छूता है, लेकिन लौटने से पहले उसे टैकल कर दिया जाता है, तो कितने अंक दिए जाते हैं?</v>
      </c>
      <c r="H470" s="3" t="str">
        <f>IFERROR(__xludf.DUMMYFUNCTION("GOOGLETRANSLATE(C470, ""en"", ""hi"")"),"A) 1 अंक, B) 2 अंक, C) 3 अंक, D) 4 अंक")</f>
        <v>A) 1 अंक, B) 2 अंक, C) 3 अंक, D) 4 अंक</v>
      </c>
      <c r="I470" s="3" t="str">
        <f>IFERROR(__xludf.DUMMYFUNCTION("GOOGLETRANSLATE(D470, ""en"", ""hi"")"),"बी) 2 अंक")</f>
        <v>बी) 2 अंक</v>
      </c>
    </row>
    <row r="471" ht="22.5" customHeight="1">
      <c r="A471" s="2">
        <v>470.0</v>
      </c>
      <c r="B471" s="3" t="s">
        <v>970</v>
      </c>
      <c r="C471" s="3" t="s">
        <v>963</v>
      </c>
      <c r="D471" s="3" t="s">
        <v>964</v>
      </c>
      <c r="F471" s="3" t="str">
        <f>IFERROR(__xludf.DUMMYFUNCTION("GOOGLETRANSLATE(A471, ""en"", ""hi"")"),"470")</f>
        <v>470</v>
      </c>
      <c r="G471" s="3" t="str">
        <f>IFERROR(__xludf.DUMMYFUNCTION("GOOGLETRANSLATE(B471, ""en"", ""hi"")"),"कबड्डी मैच में, यदि बचाव करने वाली टीम रेड के दौरान फाउल करती है, तो सामान्य परिणाम क्या होता है?")</f>
        <v>कबड्डी मैच में, यदि बचाव करने वाली टीम रेड के दौरान फाउल करती है, तो सामान्य परिणाम क्या होता है?</v>
      </c>
      <c r="H471" s="3" t="str">
        <f>IFERROR(__xludf.DUMMYFUNCTION("GOOGLETRANSLATE(C471, ""en"", ""hi"")"),"A) रेड करने वाली टीम को 1 अंक मिलता है, B) बचाव करने वाली टीम को पेनल्टी मिलती है, C) रेड करने वाली टीम को 2 अंक मिलते हैं, D) खेल रोक दिया जाता है")</f>
        <v>A) रेड करने वाली टीम को 1 अंक मिलता है, B) बचाव करने वाली टीम को पेनल्टी मिलती है, C) रेड करने वाली टीम को 2 अंक मिलते हैं, D) खेल रोक दिया जाता है</v>
      </c>
      <c r="I471" s="3" t="str">
        <f>IFERROR(__xludf.DUMMYFUNCTION("GOOGLETRANSLATE(D471, ""en"", ""hi"")"),"B) बचाव करने वाली टीम को पेनल्टी मिलती है")</f>
        <v>B) बचाव करने वाली टीम को पेनल्टी मिलती है</v>
      </c>
    </row>
    <row r="472" ht="22.5" customHeight="1">
      <c r="A472" s="2">
        <v>471.0</v>
      </c>
      <c r="B472" s="3" t="s">
        <v>971</v>
      </c>
      <c r="C472" s="3" t="s">
        <v>851</v>
      </c>
      <c r="D472" s="3" t="s">
        <v>65</v>
      </c>
      <c r="F472" s="3" t="str">
        <f>IFERROR(__xludf.DUMMYFUNCTION("GOOGLETRANSLATE(A472, ""en"", ""hi"")"),"471")</f>
        <v>471</v>
      </c>
      <c r="G472" s="3" t="str">
        <f>IFERROR(__xludf.DUMMYFUNCTION("GOOGLETRANSLATE(B472, ""en"", ""hi"")"),"यदि कबड्डी रेडर को बोनस लाइन पार करने का प्रयास करते समय टैकल किया जाता है और रेडर ने एक डिफेंडर को छू लिया है तो परिणाम क्या होगा?")</f>
        <v>यदि कबड्डी रेडर को बोनस लाइन पार करने का प्रयास करते समय टैकल किया जाता है और रेडर ने एक डिफेंडर को छू लिया है तो परिणाम क्या होगा?</v>
      </c>
      <c r="H472" s="3" t="str">
        <f>IFERROR(__xludf.DUMMYFUNCTION("GOOGLETRANSLATE(C472,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72" s="3" t="str">
        <f>IFERROR(__xludf.DUMMYFUNCTION("GOOGLETRANSLATE(D472, ""en"", ""hi"")"),"बी) हमलावर बाहर है")</f>
        <v>बी) हमलावर बाहर है</v>
      </c>
    </row>
    <row r="473" ht="22.5" customHeight="1">
      <c r="A473" s="2">
        <v>472.0</v>
      </c>
      <c r="B473" s="3" t="s">
        <v>972</v>
      </c>
      <c r="C473" s="3" t="s">
        <v>973</v>
      </c>
      <c r="D473" s="3" t="s">
        <v>974</v>
      </c>
      <c r="F473" s="3" t="str">
        <f>IFERROR(__xludf.DUMMYFUNCTION("GOOGLETRANSLATE(A473, ""en"", ""hi"")"),"472")</f>
        <v>472</v>
      </c>
      <c r="G473" s="3" t="str">
        <f>IFERROR(__xludf.DUMMYFUNCTION("GOOGLETRANSLATE(B473, ""en"", ""hi"")"),"कबड्डी मैच के दौरान यदि कोई खिलाड़ी टैकल करते समय अत्यधिक बल का प्रयोग करता है, तो संभावित दंड क्या है?")</f>
        <v>कबड्डी मैच के दौरान यदि कोई खिलाड़ी टैकल करते समय अत्यधिक बल का प्रयोग करता है, तो संभावित दंड क्या है?</v>
      </c>
      <c r="H473" s="3" t="str">
        <f>IFERROR(__xludf.DUMMYFUNCTION("GOOGLETRANSLATE(C473, ""en"", ""hi"")"),"A) खिलाड़ी को लाल कार्ड दिया जाता है, B) खिलाड़ी को प्रतिस्थापित किया जाता है, C) खिलाड़ी पर जुर्माना लगाया जाता है, D) बचाव करने वाली टीम 1 अंक खो देती है")</f>
        <v>A) खिलाड़ी को लाल कार्ड दिया जाता है, B) खिलाड़ी को प्रतिस्थापित किया जाता है, C) खिलाड़ी पर जुर्माना लगाया जाता है, D) बचाव करने वाली टीम 1 अंक खो देती है</v>
      </c>
      <c r="I473" s="3" t="str">
        <f>IFERROR(__xludf.DUMMYFUNCTION("GOOGLETRANSLATE(D473, ""en"", ""hi"")"),"A) खिलाड़ी को लाल कार्ड दिया जाता है")</f>
        <v>A) खिलाड़ी को लाल कार्ड दिया जाता है</v>
      </c>
    </row>
    <row r="474" ht="22.5" customHeight="1">
      <c r="A474" s="2">
        <v>473.0</v>
      </c>
      <c r="B474" s="3" t="s">
        <v>975</v>
      </c>
      <c r="C474" s="3" t="s">
        <v>976</v>
      </c>
      <c r="D474" s="3" t="s">
        <v>363</v>
      </c>
      <c r="F474" s="3" t="str">
        <f>IFERROR(__xludf.DUMMYFUNCTION("GOOGLETRANSLATE(A474, ""en"", ""hi"")"),"473")</f>
        <v>473</v>
      </c>
      <c r="G474" s="3" t="str">
        <f>IFERROR(__xludf.DUMMYFUNCTION("GOOGLETRANSLATE(B474, ""en"", ""hi"")"),"यदि कोई कबड्डी रेडर दो डिफेंडरों को सफलतापूर्वक टैग कर देता है, लेकिन तीसरे डिफेंडर द्वारा पकड़ा जाता है, तो परिणाम क्या होगा?")</f>
        <v>यदि कोई कबड्डी रेडर दो डिफेंडरों को सफलतापूर्वक टैग कर देता है, लेकिन तीसरे डिफेंडर द्वारा पकड़ा जाता है, तो परिणाम क्या होगा?</v>
      </c>
      <c r="H474" s="3" t="str">
        <f>IFERROR(__xludf.DUMMYFUNCTION("GOOGLETRANSLATE(C474, ""en"", ""hi"")"),"A) रेडर को 1 अंक मिलता है, B) रेडर को 2 अंक मिलते हैं, C) रेडर आउट हो जाता है, D) खेल रोक दिया जाता है")</f>
        <v>A) रेडर को 1 अंक मिलता है, B) रेडर को 2 अंक मिलते हैं, C) रेडर आउट हो जाता है, D) खेल रोक दिया जाता है</v>
      </c>
      <c r="I474" s="3" t="str">
        <f>IFERROR(__xludf.DUMMYFUNCTION("GOOGLETRANSLATE(D474, ""en"", ""hi"")"),"C) हमलावर बाहर है")</f>
        <v>C) हमलावर बाहर है</v>
      </c>
    </row>
    <row r="475" ht="22.5" customHeight="1">
      <c r="A475" s="2">
        <v>474.0</v>
      </c>
      <c r="B475" s="3" t="s">
        <v>977</v>
      </c>
      <c r="C475" s="3" t="s">
        <v>851</v>
      </c>
      <c r="D475" s="3" t="s">
        <v>65</v>
      </c>
      <c r="F475" s="3" t="str">
        <f>IFERROR(__xludf.DUMMYFUNCTION("GOOGLETRANSLATE(A475, ""en"", ""hi"")"),"474")</f>
        <v>474</v>
      </c>
      <c r="G475" s="3" t="str">
        <f>IFERROR(__xludf.DUMMYFUNCTION("GOOGLETRANSLATE(B475, ""en"", ""hi"")"),"कबड्डी मैच में, यदि कोई रेडर बोनस लाइन को छूता है, लेकिन किसी डिफेंडर को टैग नहीं करता है, तो क्या होगा?")</f>
        <v>कबड्डी मैच में, यदि कोई रेडर बोनस लाइन को छूता है, लेकिन किसी डिफेंडर को टैग नहीं करता है, तो क्या होगा?</v>
      </c>
      <c r="H475" s="3" t="str">
        <f>IFERROR(__xludf.DUMMYFUNCTION("GOOGLETRANSLATE(C475,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75" s="3" t="str">
        <f>IFERROR(__xludf.DUMMYFUNCTION("GOOGLETRANSLATE(D475, ""en"", ""hi"")"),"बी) हमलावर बाहर है")</f>
        <v>बी) हमलावर बाहर है</v>
      </c>
    </row>
    <row r="476" ht="22.5" customHeight="1">
      <c r="A476" s="2">
        <v>475.0</v>
      </c>
      <c r="B476" s="3" t="s">
        <v>978</v>
      </c>
      <c r="C476" s="3" t="s">
        <v>979</v>
      </c>
      <c r="D476" s="3" t="s">
        <v>980</v>
      </c>
      <c r="F476" s="3" t="str">
        <f>IFERROR(__xludf.DUMMYFUNCTION("GOOGLETRANSLATE(A476, ""en"", ""hi"")"),"475")</f>
        <v>475</v>
      </c>
      <c r="G476" s="3" t="str">
        <f>IFERROR(__xludf.DUMMYFUNCTION("GOOGLETRANSLATE(B476, ""en"", ""hi"")"),"कबड्डी में 'रेड कार्ड' का क्या प्रभाव है?")</f>
        <v>कबड्डी में 'रेड कार्ड' का क्या प्रभाव है?</v>
      </c>
      <c r="H476" s="3" t="str">
        <f>IFERROR(__xludf.DUMMYFUNCTION("GOOGLETRANSLATE(C476, ""en"", ""hi"")"),"A) खिलाड़ी को मैदान से बाहर भेज दिया जाता है, B) खिलाड़ी को चेतावनी दी जाती है, C) खिलाड़ी पर जुर्माना लगाया जाता है, D) टीम पर 1 अंक का जुर्माना लगाया जाता है")</f>
        <v>A) खिलाड़ी को मैदान से बाहर भेज दिया जाता है, B) खिलाड़ी को चेतावनी दी जाती है, C) खिलाड़ी पर जुर्माना लगाया जाता है, D) टीम पर 1 अंक का जुर्माना लगाया जाता है</v>
      </c>
      <c r="I476" s="3" t="str">
        <f>IFERROR(__xludf.DUMMYFUNCTION("GOOGLETRANSLATE(D476, ""en"", ""hi"")"),"A) खिलाड़ी को मैदान से बाहर भेज दिया जाता है")</f>
        <v>A) खिलाड़ी को मैदान से बाहर भेज दिया जाता है</v>
      </c>
    </row>
    <row r="477" ht="22.5" customHeight="1">
      <c r="A477" s="2">
        <v>476.0</v>
      </c>
      <c r="B477" s="3" t="s">
        <v>981</v>
      </c>
      <c r="C477" s="3" t="s">
        <v>47</v>
      </c>
      <c r="D477" s="3" t="s">
        <v>16</v>
      </c>
      <c r="F477" s="3" t="str">
        <f>IFERROR(__xludf.DUMMYFUNCTION("GOOGLETRANSLATE(A477, ""en"", ""hi"")"),"476")</f>
        <v>476</v>
      </c>
      <c r="G477" s="3" t="str">
        <f>IFERROR(__xludf.DUMMYFUNCTION("GOOGLETRANSLATE(B477, ""en"", ""hi"")"),"कबड्डी रेड के दौरान, यदि किसी रेडर को डिफेंडर द्वारा टैग किया जाता है, लेकिन फिर टैकल होने से पहले वह किसी अन्य डिफेंडर को सफलतापूर्वक टैग कर देता है, तो कितने अंक दिए जाते हैं?")</f>
        <v>कबड्डी रेड के दौरान, यदि किसी रेडर को डिफेंडर द्वारा टैग किया जाता है, लेकिन फिर टैकल होने से पहले वह किसी अन्य डिफेंडर को सफलतापूर्वक टैग कर देता है, तो कितने अंक दिए जाते हैं?</v>
      </c>
      <c r="H477" s="3" t="str">
        <f>IFERROR(__xludf.DUMMYFUNCTION("GOOGLETRANSLATE(C477, ""en"", ""hi"")"),"A) 1 अंक, B) 2 अंक, C) 3 अंक, D) 4 अंक")</f>
        <v>A) 1 अंक, B) 2 अंक, C) 3 अंक, D) 4 अंक</v>
      </c>
      <c r="I477" s="3" t="str">
        <f>IFERROR(__xludf.DUMMYFUNCTION("GOOGLETRANSLATE(D477, ""en"", ""hi"")"),"बी) 2 अंक")</f>
        <v>बी) 2 अंक</v>
      </c>
    </row>
    <row r="478" ht="22.5" customHeight="1">
      <c r="A478" s="2">
        <v>477.0</v>
      </c>
      <c r="B478" s="3" t="s">
        <v>982</v>
      </c>
      <c r="C478" s="3" t="s">
        <v>983</v>
      </c>
      <c r="D478" s="3" t="s">
        <v>984</v>
      </c>
      <c r="F478" s="3" t="str">
        <f>IFERROR(__xludf.DUMMYFUNCTION("GOOGLETRANSLATE(A478, ""en"", ""hi"")"),"477")</f>
        <v>477</v>
      </c>
      <c r="G478" s="3" t="str">
        <f>IFERROR(__xludf.DUMMYFUNCTION("GOOGLETRANSLATE(B478, ""en"", ""hi"")"),"कबड्डी में मैच के दौरान 'अम्पायर' की क्या भूमिका होती है?")</f>
        <v>कबड्डी में मैच के दौरान 'अम्पायर' की क्या भूमिका होती है?</v>
      </c>
      <c r="H478" s="3" t="str">
        <f>IFERROR(__xludf.DUMMYFUNCTION("GOOGLETRANSLATE(C478, ""en"", ""hi"")"),"A) निर्णय लेने में रेफरी की सहायता करना, B) टीमों को प्रशिक्षित करना, C) अंक प्रदान करना, D) नियमों को लागू करना")</f>
        <v>A) निर्णय लेने में रेफरी की सहायता करना, B) टीमों को प्रशिक्षित करना, C) अंक प्रदान करना, D) नियमों को लागू करना</v>
      </c>
      <c r="I478" s="3" t="str">
        <f>IFERROR(__xludf.DUMMYFUNCTION("GOOGLETRANSLATE(D478, ""en"", ""hi"")"),"A) निर्णय लेने में रेफरी की सहायता करना")</f>
        <v>A) निर्णय लेने में रेफरी की सहायता करना</v>
      </c>
    </row>
    <row r="479" ht="22.5" customHeight="1">
      <c r="A479" s="2">
        <v>478.0</v>
      </c>
      <c r="B479" s="3" t="s">
        <v>985</v>
      </c>
      <c r="C479" s="3" t="s">
        <v>918</v>
      </c>
      <c r="D479" s="3" t="s">
        <v>65</v>
      </c>
      <c r="F479" s="3" t="str">
        <f>IFERROR(__xludf.DUMMYFUNCTION("GOOGLETRANSLATE(A479, ""en"", ""hi"")"),"478")</f>
        <v>478</v>
      </c>
      <c r="G479" s="3" t="str">
        <f>IFERROR(__xludf.DUMMYFUNCTION("GOOGLETRANSLATE(B479, ""en"", ""hi"")"),"यदि किसी कबड्डी रेडर को डिफेंडर को पकड़ते हुए टैकल किया जाता है, तो परिणाम क्या होगा?")</f>
        <v>यदि किसी कबड्डी रेडर को डिफेंडर को पकड़ते हुए टैकल किया जाता है, तो परिणाम क्या होगा?</v>
      </c>
      <c r="H479" s="3" t="str">
        <f>IFERROR(__xludf.DUMMYFUNCTION("GOOGLETRANSLATE(C479, ""en"", ""hi"")"),"A) रेडर को 1 अंक दिया जाता है, B) रेडर आउट हो जाता है, C) बचाव करने वाली टीम को 1 अंक मिलता है, D) खेल रोक दिया जाता है")</f>
        <v>A) रेडर को 1 अंक दिया जाता है, B) रेडर आउट हो जाता है, C) बचाव करने वाली टीम को 1 अंक मिलता है, D) खेल रोक दिया जाता है</v>
      </c>
      <c r="I479" s="3" t="str">
        <f>IFERROR(__xludf.DUMMYFUNCTION("GOOGLETRANSLATE(D479, ""en"", ""hi"")"),"बी) हमलावर बाहर है")</f>
        <v>बी) हमलावर बाहर है</v>
      </c>
    </row>
    <row r="480" ht="22.5" customHeight="1">
      <c r="A480" s="2">
        <v>479.0</v>
      </c>
      <c r="B480" s="3" t="s">
        <v>986</v>
      </c>
      <c r="C480" s="3" t="s">
        <v>987</v>
      </c>
      <c r="D480" s="3" t="s">
        <v>831</v>
      </c>
      <c r="F480" s="3" t="str">
        <f>IFERROR(__xludf.DUMMYFUNCTION("GOOGLETRANSLATE(A480, ""en"", ""hi"")"),"479")</f>
        <v>479</v>
      </c>
      <c r="G480" s="3" t="str">
        <f>IFERROR(__xludf.DUMMYFUNCTION("GOOGLETRANSLATE(B480, ""en"", ""hi"")"),"कबड्डी मैच के दौरान यदि किसी रेडर को टैकल कर दिया जाता है और डिफेंडर को ऑफसाइड पाया जाता है, तो परिणाम क्या होगा?")</f>
        <v>कबड्डी मैच के दौरान यदि किसी रेडर को टैकल कर दिया जाता है और डिफेंडर को ऑफसाइड पाया जाता है, तो परिणाम क्या होगा?</v>
      </c>
      <c r="H480" s="3" t="str">
        <f>IFERROR(__xludf.DUMMYFUNCTION("GOOGLETRANSLATE(C480, ""en"", ""hi"")"),"A) रेडर को 1 अंक दिया जाता है, B) रेडर आउट हो जाता है, C) बचाव करने वाली टीम को पेनल्टी मिलती है, D) खेल रोक दिया जाता है")</f>
        <v>A) रेडर को 1 अंक दिया जाता है, B) रेडर आउट हो जाता है, C) बचाव करने वाली टीम को पेनल्टी मिलती है, D) खेल रोक दिया जाता है</v>
      </c>
      <c r="I480" s="3" t="str">
        <f>IFERROR(__xludf.DUMMYFUNCTION("GOOGLETRANSLATE(D480, ""en"", ""hi"")"),"A) रेडर को 1 अंक दिया जाता है")</f>
        <v>A) रेडर को 1 अंक दिया जाता है</v>
      </c>
    </row>
    <row r="481" ht="22.5" customHeight="1">
      <c r="A481" s="2">
        <v>480.0</v>
      </c>
      <c r="B481" s="3" t="s">
        <v>988</v>
      </c>
      <c r="C481" s="3" t="s">
        <v>989</v>
      </c>
      <c r="D481" s="3" t="s">
        <v>990</v>
      </c>
      <c r="F481" s="3" t="str">
        <f>IFERROR(__xludf.DUMMYFUNCTION("GOOGLETRANSLATE(A481, ""en"", ""hi"")"),"480")</f>
        <v>480</v>
      </c>
      <c r="G481" s="3" t="str">
        <f>IFERROR(__xludf.DUMMYFUNCTION("GOOGLETRANSLATE(B481, ""en"", ""hi"")"),"कबड्डी मैच में 'ग्रीन कार्ड' का क्या मतलब होता है?")</f>
        <v>कबड्डी मैच में 'ग्रीन कार्ड' का क्या मतलब होता है?</v>
      </c>
      <c r="H481" s="3" t="str">
        <f>IFERROR(__xludf.DUMMYFUNCTION("GOOGLETRANSLATE(C481, ""en"", ""hi"")"),"A) टीम को चेतावनी, B) खिलाड़ी को पेनल्टी, C) रेडर को पुरस्कार, D) खिलाड़ी का प्रतिस्थापन")</f>
        <v>A) टीम को चेतावनी, B) खिलाड़ी को पेनल्टी, C) रेडर को पुरस्कार, D) खिलाड़ी का प्रतिस्थापन</v>
      </c>
      <c r="I481" s="3" t="str">
        <f>IFERROR(__xludf.DUMMYFUNCTION("GOOGLETRANSLATE(D481, ""en"", ""hi"")"),"A) टीम को चेतावनी")</f>
        <v>A) टीम को चेतावनी</v>
      </c>
    </row>
    <row r="482" ht="22.5" customHeight="1">
      <c r="A482" s="2">
        <v>481.0</v>
      </c>
      <c r="B482" s="3" t="s">
        <v>991</v>
      </c>
      <c r="C482" s="3" t="s">
        <v>992</v>
      </c>
      <c r="D482" s="3" t="s">
        <v>65</v>
      </c>
      <c r="F482" s="3" t="str">
        <f>IFERROR(__xludf.DUMMYFUNCTION("GOOGLETRANSLATE(A482, ""en"", ""hi"")"),"481")</f>
        <v>481</v>
      </c>
      <c r="G482" s="3" t="str">
        <f>IFERROR(__xludf.DUMMYFUNCTION("GOOGLETRANSLATE(B482, ""en"", ""hi"")"),"कबड्डी मैच में, यदि कोई रेडर दो डिफेंडरों को टैग करता है, लेकिन तीसरे डिफेंडर द्वारा पकड़ा जाता है और रेडर की टीम पहले ही अपना 'सुपर टैकल' इस्तेमाल कर चुकी है, तो क्या होगा?")</f>
        <v>कबड्डी मैच में, यदि कोई रेडर दो डिफेंडरों को टैग करता है, लेकिन तीसरे डिफेंडर द्वारा पकड़ा जाता है और रेडर की टीम पहले ही अपना 'सुपर टैकल' इस्तेमाल कर चुकी है, तो क्या होगा?</v>
      </c>
      <c r="H482" s="3" t="str">
        <f>IFERROR(__xludf.DUMMYFUNCTION("GOOGLETRANSLATE(C482, ""en"", ""hi"")"),"A) रेडर को 2 अंक मिलते हैं, B) रेडर आउट हो जाता है, C) बचाव करने वाली टीम को 2 अंक मिलते हैं, D) खेल रोक दिया जाता है")</f>
        <v>A) रेडर को 2 अंक मिलते हैं, B) रेडर आउट हो जाता है, C) बचाव करने वाली टीम को 2 अंक मिलते हैं, D) खेल रोक दिया जाता है</v>
      </c>
      <c r="I482" s="3" t="str">
        <f>IFERROR(__xludf.DUMMYFUNCTION("GOOGLETRANSLATE(D482, ""en"", ""hi"")"),"बी) हमलावर बाहर है")</f>
        <v>बी) हमलावर बाहर है</v>
      </c>
    </row>
    <row r="483" ht="22.5" customHeight="1">
      <c r="A483" s="2">
        <v>482.0</v>
      </c>
      <c r="B483" s="3" t="s">
        <v>993</v>
      </c>
      <c r="C483" s="3" t="s">
        <v>994</v>
      </c>
      <c r="D483" s="3" t="s">
        <v>995</v>
      </c>
      <c r="F483" s="3" t="str">
        <f>IFERROR(__xludf.DUMMYFUNCTION("GOOGLETRANSLATE(A483, ""en"", ""hi"")"),"482")</f>
        <v>482</v>
      </c>
      <c r="G483" s="3" t="str">
        <f>IFERROR(__xludf.DUMMYFUNCTION("GOOGLETRANSLATE(B483, ""en"", ""hi"")"),"कबड्डी में 'करो या मरो' का परिणाम क्या होता है?")</f>
        <v>कबड्डी में 'करो या मरो' का परिणाम क्या होता है?</v>
      </c>
      <c r="H483" s="3" t="str">
        <f>IFERROR(__xludf.DUMMYFUNCTION("GOOGLETRANSLATE(C483, ""en"", ""hi"")"),"A) रेडर को स्कोर करना होगा या बाहर होना होगा, B) रेडर को दोगुने अंक मिलते हैं, C) रेडर को अतिरिक्त समय मिलता है, D) खेल रोक दिया जाता है")</f>
        <v>A) रेडर को स्कोर करना होगा या बाहर होना होगा, B) रेडर को दोगुने अंक मिलते हैं, C) रेडर को अतिरिक्त समय मिलता है, D) खेल रोक दिया जाता है</v>
      </c>
      <c r="I483" s="3" t="str">
        <f>IFERROR(__xludf.DUMMYFUNCTION("GOOGLETRANSLATE(D483, ""en"", ""hi"")"),"A) रेडर को स्कोर करना होगा या आउट होना होगा")</f>
        <v>A) रेडर को स्कोर करना होगा या आउट होना होगा</v>
      </c>
    </row>
    <row r="484" ht="22.5" customHeight="1">
      <c r="A484" s="2">
        <v>483.0</v>
      </c>
      <c r="B484" s="3" t="s">
        <v>996</v>
      </c>
      <c r="C484" s="3" t="s">
        <v>997</v>
      </c>
      <c r="D484" s="3" t="s">
        <v>998</v>
      </c>
      <c r="F484" s="3" t="str">
        <f>IFERROR(__xludf.DUMMYFUNCTION("GOOGLETRANSLATE(A484, ""en"", ""hi"")"),"483")</f>
        <v>483</v>
      </c>
      <c r="G484" s="3" t="str">
        <f>IFERROR(__xludf.DUMMYFUNCTION("GOOGLETRANSLATE(B484, ""en"", ""hi"")"),"यदि कोई कबड्डी रेडर किसी डिफेंडर को सफलतापूर्वक टैग कर देता है, लेकिन तुरंत ही उसे टैकल कर दिया जाता है, तो रेडर की टीम का क्या होगा?")</f>
        <v>यदि कोई कबड्डी रेडर किसी डिफेंडर को सफलतापूर्वक टैग कर देता है, लेकिन तुरंत ही उसे टैकल कर दिया जाता है, तो रेडर की टीम का क्या होगा?</v>
      </c>
      <c r="H484" s="3" t="str">
        <f>IFERROR(__xludf.DUMMYFUNCTION("GOOGLETRANSLATE(C484, ""en"", ""hi"")"),"A) रेडर की टीम को 1 अंक मिलता है, B) रेडर की टीम को पेनल्टी मिलती है, C) रेडर की टीम 1 अंक खो देती है, D) खेल रोक दिया जाता है")</f>
        <v>A) रेडर की टीम को 1 अंक मिलता है, B) रेडर की टीम को पेनल्टी मिलती है, C) रेडर की टीम 1 अंक खो देती है, D) खेल रोक दिया जाता है</v>
      </c>
      <c r="I484" s="3" t="str">
        <f>IFERROR(__xludf.DUMMYFUNCTION("GOOGLETRANSLATE(D484, ""en"", ""hi"")"),"A) रेडर की टीम को 1 अंक मिलता है")</f>
        <v>A) रेडर की टीम को 1 अंक मिलता है</v>
      </c>
    </row>
    <row r="485" ht="22.5" customHeight="1">
      <c r="A485" s="2">
        <v>484.0</v>
      </c>
      <c r="B485" s="3" t="s">
        <v>999</v>
      </c>
      <c r="C485" s="3" t="s">
        <v>1000</v>
      </c>
      <c r="D485" s="3" t="s">
        <v>363</v>
      </c>
      <c r="F485" s="3" t="str">
        <f>IFERROR(__xludf.DUMMYFUNCTION("GOOGLETRANSLATE(A485, ""en"", ""hi"")"),"484")</f>
        <v>484</v>
      </c>
      <c r="G485" s="3" t="str">
        <f>IFERROR(__xludf.DUMMYFUNCTION("GOOGLETRANSLATE(B485, ""en"", ""hi"")"),"कबड्डी मैच के दौरान, यदि बचाव करने वाली टीम किसी रेडर को सफलतापूर्वक टैकल कर लेती है जो 'सुपर रेड' का प्रयास कर रहा था, तो परिणाम क्या होगा?")</f>
        <v>कबड्डी मैच के दौरान, यदि बचाव करने वाली टीम किसी रेडर को सफलतापूर्वक टैकल कर लेती है जो 'सुपर रेड' का प्रयास कर रहा था, तो परिणाम क्या होगा?</v>
      </c>
      <c r="H485" s="3" t="str">
        <f>IFERROR(__xludf.DUMMYFUNCTION("GOOGLETRANSLATE(C485, ""en"", ""hi"")"),"A) रेड करने वाली टीम 5 अंक खो देती है, B) बचाव करने वाली टीम को 5 अंक मिलते हैं, C) रेडर आउट हो जाता है, D) खेल रोक दिया जाता है")</f>
        <v>A) रेड करने वाली टीम 5 अंक खो देती है, B) बचाव करने वाली टीम को 5 अंक मिलते हैं, C) रेडर आउट हो जाता है, D) खेल रोक दिया जाता है</v>
      </c>
      <c r="I485" s="3" t="str">
        <f>IFERROR(__xludf.DUMMYFUNCTION("GOOGLETRANSLATE(D485, ""en"", ""hi"")"),"C) हमलावर बाहर है")</f>
        <v>C) हमलावर बाहर है</v>
      </c>
    </row>
    <row r="486" ht="22.5" customHeight="1">
      <c r="A486" s="2">
        <v>485.0</v>
      </c>
      <c r="B486" s="3" t="s">
        <v>1001</v>
      </c>
      <c r="C486" s="3" t="s">
        <v>1002</v>
      </c>
      <c r="D486" s="3" t="s">
        <v>1003</v>
      </c>
      <c r="F486" s="3" t="str">
        <f>IFERROR(__xludf.DUMMYFUNCTION("GOOGLETRANSLATE(A486, ""en"", ""hi"")"),"485")</f>
        <v>485</v>
      </c>
      <c r="G486" s="3" t="str">
        <f>IFERROR(__xludf.DUMMYFUNCTION("GOOGLETRANSLATE(B486, ""en"", ""hi"")"),"कबड्डी मैच में 'लाइन अंपायर' की क्या भूमिका होती है?")</f>
        <v>कबड्डी मैच में 'लाइन अंपायर' की क्या भूमिका होती है?</v>
      </c>
      <c r="H486" s="3" t="str">
        <f>IFERROR(__xludf.DUMMYFUNCTION("GOOGLETRANSLATE(C486, ""en"", ""hi"")"),"A) लाइन उल्लंघन की निगरानी करना, B) मैच का स्कोर बनाना, C) दंड लागू करना, D) रेफरी की सहायता करना")</f>
        <v>A) लाइन उल्लंघन की निगरानी करना, B) मैच का स्कोर बनाना, C) दंड लागू करना, D) रेफरी की सहायता करना</v>
      </c>
      <c r="I486" s="3" t="str">
        <f>IFERROR(__xludf.DUMMYFUNCTION("GOOGLETRANSLATE(D486, ""en"", ""hi"")"),"A) लाइन उल्लंघनों की निगरानी करना")</f>
        <v>A) लाइन उल्लंघनों की निगरानी करना</v>
      </c>
    </row>
    <row r="487" ht="22.5" customHeight="1">
      <c r="A487" s="2">
        <v>486.0</v>
      </c>
      <c r="B487" s="3" t="s">
        <v>1004</v>
      </c>
      <c r="C487" s="3" t="s">
        <v>1005</v>
      </c>
      <c r="D487" s="3" t="s">
        <v>1006</v>
      </c>
      <c r="F487" s="3" t="str">
        <f>IFERROR(__xludf.DUMMYFUNCTION("GOOGLETRANSLATE(A487, ""en"", ""hi"")"),"486")</f>
        <v>486</v>
      </c>
      <c r="G487" s="3" t="str">
        <f>IFERROR(__xludf.DUMMYFUNCTION("GOOGLETRANSLATE(B487, ""en"", ""hi"")"),"यदि कोई कबड्डी खिलाड़ी गंभीर फाउल करता है, तो खेल पर आमतौर पर क्या प्रभाव पड़ता है?")</f>
        <v>यदि कोई कबड्डी खिलाड़ी गंभीर फाउल करता है, तो खेल पर आमतौर पर क्या प्रभाव पड़ता है?</v>
      </c>
      <c r="H487" s="3" t="str">
        <f>IFERROR(__xludf.DUMMYFUNCTION("GOOGLETRANSLATE(C487, ""en"", ""hi"")"),"A) खिलाड़ी को निलंबित कर दिया जाता है, B) खेल रोक दिया जाता है, C) टीम अंक खो देती है, D) खेल बिना किसी रुकावट के जारी रहता है")</f>
        <v>A) खिलाड़ी को निलंबित कर दिया जाता है, B) खेल रोक दिया जाता है, C) टीम अंक खो देती है, D) खेल बिना किसी रुकावट के जारी रहता है</v>
      </c>
      <c r="I487" s="3" t="str">
        <f>IFERROR(__xludf.DUMMYFUNCTION("GOOGLETRANSLATE(D487, ""en"", ""hi"")"),"A) खिलाड़ी को निलंबित कर दिया गया है")</f>
        <v>A) खिलाड़ी को निलंबित कर दिया गया है</v>
      </c>
    </row>
    <row r="488" ht="22.5" customHeight="1">
      <c r="A488" s="2">
        <v>487.0</v>
      </c>
      <c r="B488" s="3" t="s">
        <v>1007</v>
      </c>
      <c r="C488" s="3" t="s">
        <v>801</v>
      </c>
      <c r="D488" s="3" t="s">
        <v>65</v>
      </c>
      <c r="F488" s="3" t="str">
        <f>IFERROR(__xludf.DUMMYFUNCTION("GOOGLETRANSLATE(A488, ""en"", ""hi"")"),"487")</f>
        <v>487</v>
      </c>
      <c r="G488" s="3" t="str">
        <f>IFERROR(__xludf.DUMMYFUNCTION("GOOGLETRANSLATE(B488, ""en"", ""hi"")"),"यदि कबड्डी रेडर को टैकल कर दिया जाए, लेकिन डिफेंडर रेडर और दूसरे डिफेंडर को पकड़े हुए हो, तो क्या होगा?")</f>
        <v>यदि कबड्डी रेडर को टैकल कर दिया जाए, लेकिन डिफेंडर रेडर और दूसरे डिफेंडर को पकड़े हुए हो, तो क्या होगा?</v>
      </c>
      <c r="H488" s="3" t="str">
        <f>IFERROR(__xludf.DUMMYFUNCTION("GOOGLETRANSLATE(C488, ""en"", ""hi"")"),"A) रेडर को 1 अंक मिलता है, B) रेडर आउट हो जाता है, C) बचाव करने वाली टीम को 1 अंक मिलता है, D) खेल रोक दिया जाता है")</f>
        <v>A) रेडर को 1 अंक मिलता है, B) रेडर आउट हो जाता है, C) बचाव करने वाली टीम को 1 अंक मिलता है, D) खेल रोक दिया जाता है</v>
      </c>
      <c r="I488" s="3" t="str">
        <f>IFERROR(__xludf.DUMMYFUNCTION("GOOGLETRANSLATE(D488, ""en"", ""hi"")"),"बी) हमलावर बाहर है")</f>
        <v>बी) हमलावर बाहर है</v>
      </c>
    </row>
    <row r="489" ht="22.5" customHeight="1">
      <c r="A489" s="2">
        <v>488.0</v>
      </c>
      <c r="B489" s="3" t="s">
        <v>1008</v>
      </c>
      <c r="C489" s="3" t="s">
        <v>1009</v>
      </c>
      <c r="D489" s="3" t="s">
        <v>1010</v>
      </c>
      <c r="F489" s="3" t="str">
        <f>IFERROR(__xludf.DUMMYFUNCTION("GOOGLETRANSLATE(A489, ""en"", ""hi"")"),"488")</f>
        <v>488</v>
      </c>
      <c r="G489" s="3" t="str">
        <f>IFERROR(__xludf.DUMMYFUNCTION("GOOGLETRANSLATE(B489, ""en"", ""hi"")"),"कबड्डी मैच के दौरान यदि कोई खिलाड़ी कोई छोटी-मोटी गलती कर देता है तो सामान्यतः क्या परिणाम होता है?")</f>
        <v>कबड्डी मैच के दौरान यदि कोई खिलाड़ी कोई छोटी-मोटी गलती कर देता है तो सामान्यतः क्या परिणाम होता है?</v>
      </c>
      <c r="H489" s="3" t="str">
        <f>IFERROR(__xludf.DUMMYFUNCTION("GOOGLETRANSLATE(C489, ""en"", ""hi"")"),"A) खिलाड़ी को चेतावनी दी जाती है, B) खिलाड़ी को दंडित किया जाता है, C) खिलाड़ी को प्रतिस्थापित किया जाता है, D) खेल रोक दिया जाता है")</f>
        <v>A) खिलाड़ी को चेतावनी दी जाती है, B) खिलाड़ी को दंडित किया जाता है, C) खिलाड़ी को प्रतिस्थापित किया जाता है, D) खेल रोक दिया जाता है</v>
      </c>
      <c r="I489" s="3" t="str">
        <f>IFERROR(__xludf.DUMMYFUNCTION("GOOGLETRANSLATE(D489, ""en"", ""hi"")"),"A) खिलाड़ी को चेतावनी मिलती है")</f>
        <v>A) खिलाड़ी को चेतावनी मिलती है</v>
      </c>
    </row>
    <row r="490" ht="22.5" customHeight="1">
      <c r="A490" s="2">
        <v>489.0</v>
      </c>
      <c r="B490" s="3" t="s">
        <v>1011</v>
      </c>
      <c r="C490" s="3" t="s">
        <v>1012</v>
      </c>
      <c r="D490" s="3" t="s">
        <v>786</v>
      </c>
      <c r="F490" s="3" t="str">
        <f>IFERROR(__xludf.DUMMYFUNCTION("GOOGLETRANSLATE(A490, ""en"", ""hi"")"),"489")</f>
        <v>489</v>
      </c>
      <c r="G490" s="3" t="str">
        <f>IFERROR(__xludf.DUMMYFUNCTION("GOOGLETRANSLATE(B490, ""en"", ""hi"")"),"यदि कोई कबड्डी रेडर सफलतापूर्वक सभी डिफेंडरों को टैग कर देता है और बोनस लाइन पार कर जाता है, लेकिन अपने हाफ में लौटने से पहले ही उसे टैकल कर दिया जाता है, तो क्या होगा?")</f>
        <v>यदि कोई कबड्डी रेडर सफलतापूर्वक सभी डिफेंडरों को टैग कर देता है और बोनस लाइन पार कर जाता है, लेकिन अपने हाफ में लौटने से पहले ही उसे टैकल कर दिया जाता है, तो क्या होगा?</v>
      </c>
      <c r="H490" s="3" t="str">
        <f>IFERROR(__xludf.DUMMYFUNCTION("GOOGLETRANSLATE(C490, ""en"", ""hi"")"),"A) रेडर को 3 अंक मिलते हैं, B) रेडर को 2 अंक मिलते हैं, C) रेडर को 1 अंक मिलता है, D) रेड करने वाली टीम को पेनल्टी मिलती है")</f>
        <v>A) रेडर को 3 अंक मिलते हैं, B) रेडर को 2 अंक मिलते हैं, C) रेडर को 1 अंक मिलता है, D) रेड करने वाली टीम को पेनल्टी मिलती है</v>
      </c>
      <c r="I490" s="3" t="str">
        <f>IFERROR(__xludf.DUMMYFUNCTION("GOOGLETRANSLATE(D490, ""en"", ""hi"")"),"B) रेडर को 2 अंक मिलते हैं")</f>
        <v>B) रेडर को 2 अंक मिलते हैं</v>
      </c>
    </row>
    <row r="491" ht="22.5" customHeight="1">
      <c r="A491" s="2">
        <v>490.0</v>
      </c>
      <c r="B491" s="3" t="s">
        <v>1013</v>
      </c>
      <c r="C491" s="3" t="s">
        <v>1014</v>
      </c>
      <c r="D491" s="3" t="s">
        <v>1015</v>
      </c>
      <c r="F491" s="3" t="str">
        <f>IFERROR(__xludf.DUMMYFUNCTION("GOOGLETRANSLATE(A491, ""en"", ""hi"")"),"490")</f>
        <v>490</v>
      </c>
      <c r="G491" s="3" t="str">
        <f>IFERROR(__xludf.DUMMYFUNCTION("GOOGLETRANSLATE(B491, ""en"", ""hi"")"),"कबड्डी में 'रेड लाइन' का क्या महत्व है?")</f>
        <v>कबड्डी में 'रेड लाइन' का क्या महत्व है?</v>
      </c>
      <c r="H491" s="3" t="str">
        <f>IFERROR(__xludf.DUMMYFUNCTION("GOOGLETRANSLATE(C491, ""en"", ""hi"")"),"A) यह उस क्षेत्र को इंगित करता है जिसे रेडर को स्कोर करने के लिए पार करना होगा, B) यह मैदान के अंत को चिह्नित करता है, C) यह मैदान को दो हिस्सों में विभाजित करता है, D) यह वह जगह है जहां मैच शुरू होता है")</f>
        <v>A) यह उस क्षेत्र को इंगित करता है जिसे रेडर को स्कोर करने के लिए पार करना होगा, B) यह मैदान के अंत को चिह्नित करता है, C) यह मैदान को दो हिस्सों में विभाजित करता है, D) यह वह जगह है जहां मैच शुरू होता है</v>
      </c>
      <c r="I491" s="3" t="str">
        <f>IFERROR(__xludf.DUMMYFUNCTION("GOOGLETRANSLATE(D491, ""en"", ""hi"")"),"A) यह उस क्षेत्र को इंगित करता है जिसे रेडर को स्कोर करने के लिए पार करना होगा")</f>
        <v>A) यह उस क्षेत्र को इंगित करता है जिसे रेडर को स्कोर करने के लिए पार करना होगा</v>
      </c>
    </row>
    <row r="492" ht="22.5" customHeight="1">
      <c r="A492" s="2">
        <v>491.0</v>
      </c>
      <c r="B492" s="3" t="s">
        <v>1016</v>
      </c>
      <c r="C492" s="3" t="s">
        <v>851</v>
      </c>
      <c r="D492" s="3" t="s">
        <v>204</v>
      </c>
      <c r="F492" s="3" t="str">
        <f>IFERROR(__xludf.DUMMYFUNCTION("GOOGLETRANSLATE(A492, ""en"", ""hi"")"),"491")</f>
        <v>491</v>
      </c>
      <c r="G492" s="3" t="str">
        <f>IFERROR(__xludf.DUMMYFUNCTION("GOOGLETRANSLATE(B492, ""en"", ""hi"")"),"यदि किसी कबड्डी रेडर को डिफेंडर द्वारा टैग कर दिया जाता है, लेकिन वह बोनस लाइन को छूने में सफल हो जाता है, तो परिणाम क्या होगा?")</f>
        <v>यदि किसी कबड्डी रेडर को डिफेंडर द्वारा टैग कर दिया जाता है, लेकिन वह बोनस लाइन को छूने में सफल हो जाता है, तो परिणाम क्या होगा?</v>
      </c>
      <c r="H492" s="3" t="str">
        <f>IFERROR(__xludf.DUMMYFUNCTION("GOOGLETRANSLATE(C492, ""en"", ""hi"")"),"A) रेडर को 1 अंक मिलता है, B) रेडर आउट हो जाता है, C) बचाव करने वाली टीम को 1 अंक मिलता है, D) रेड करने वाली टीम को पेनल्टी मिलती है")</f>
        <v>A) रेडर को 1 अंक मिलता है, B) रेडर आउट हो जाता है, C) बचाव करने वाली टीम को 1 अंक मिलता है, D) रेड करने वाली टीम को पेनल्टी मिलती है</v>
      </c>
      <c r="I492" s="3" t="str">
        <f>IFERROR(__xludf.DUMMYFUNCTION("GOOGLETRANSLATE(D492, ""en"", ""hi"")"),"A) रेडर को 1 अंक मिलता है")</f>
        <v>A) रेडर को 1 अंक मिलता है</v>
      </c>
    </row>
    <row r="493" ht="22.5" customHeight="1">
      <c r="A493" s="2">
        <v>492.0</v>
      </c>
      <c r="B493" s="3" t="s">
        <v>1017</v>
      </c>
      <c r="C493" s="3" t="s">
        <v>1018</v>
      </c>
      <c r="D493" s="3" t="s">
        <v>204</v>
      </c>
      <c r="F493" s="3" t="str">
        <f>IFERROR(__xludf.DUMMYFUNCTION("GOOGLETRANSLATE(A493, ""en"", ""hi"")"),"492")</f>
        <v>492</v>
      </c>
      <c r="G493" s="3" t="str">
        <f>IFERROR(__xludf.DUMMYFUNCTION("GOOGLETRANSLATE(B493, ""en"", ""hi"")"),"कबड्डी रेड के दौरान, यदि कोई रेडर किसी डिफेंडर को टैग करता है जो सीमा से बाहर है, तो परिणाम क्या होगा?")</f>
        <v>कबड्डी रेड के दौरान, यदि कोई रेडर किसी डिफेंडर को टैग करता है जो सीमा से बाहर है, तो परिणाम क्या होगा?</v>
      </c>
      <c r="H493" s="3" t="str">
        <f>IFERROR(__xludf.DUMMYFUNCTION("GOOGLETRANSLATE(C493, ""en"", ""hi"")"),"A) रेडर को 1 अंक मिलता है, B) रेडर आउट हो जाता है, C) बचाव करने वाली टीम को पेनल्टी मिलती है, D) खेल रोक दिया जाता है")</f>
        <v>A) रेडर को 1 अंक मिलता है, B) रेडर आउट हो जाता है, C) बचाव करने वाली टीम को पेनल्टी मिलती है, D) खेल रोक दिया जाता है</v>
      </c>
      <c r="I493" s="3" t="str">
        <f>IFERROR(__xludf.DUMMYFUNCTION("GOOGLETRANSLATE(D493, ""en"", ""hi"")"),"A) रेडर को 1 अंक मिलता है")</f>
        <v>A) रेडर को 1 अंक मिलता है</v>
      </c>
    </row>
    <row r="494" ht="22.5" customHeight="1">
      <c r="A494" s="2">
        <v>493.0</v>
      </c>
      <c r="B494" s="3" t="s">
        <v>1019</v>
      </c>
      <c r="C494" s="3" t="s">
        <v>1020</v>
      </c>
      <c r="D494" s="3" t="s">
        <v>204</v>
      </c>
      <c r="F494" s="3" t="str">
        <f>IFERROR(__xludf.DUMMYFUNCTION("GOOGLETRANSLATE(A494, ""en"", ""hi"")"),"493")</f>
        <v>493</v>
      </c>
      <c r="G494" s="3" t="str">
        <f>IFERROR(__xludf.DUMMYFUNCTION("GOOGLETRANSLATE(B494, ""en"", ""hi"")"),"कबड्डी में, यदि किसी रेडर को टैग कर दिया जाता है, लेकिन वह पूरी तरह से टैकल किए बिना अपने हाफ में वापस लौटने में सफल हो जाता है, तो क्या होगा?")</f>
        <v>कबड्डी में, यदि किसी रेडर को टैग कर दिया जाता है, लेकिन वह पूरी तरह से टैकल किए बिना अपने हाफ में वापस लौटने में सफल हो जाता है, तो क्या होगा?</v>
      </c>
      <c r="H494" s="3" t="str">
        <f>IFERROR(__xludf.DUMMYFUNCTION("GOOGLETRANSLATE(C494, ""en"", ""hi"")"),"A) रेडर को 1 अंक मिलता है, B) रेडर आउट हो जाता है, C) रेड करने वाली टीम को पेनल्टी मिलती है, D) खेल रोक दिया जाता है")</f>
        <v>A) रेडर को 1 अंक मिलता है, B) रेडर आउट हो जाता है, C) रेड करने वाली टीम को पेनल्टी मिलती है, D) खेल रोक दिया जाता है</v>
      </c>
      <c r="I494" s="3" t="str">
        <f>IFERROR(__xludf.DUMMYFUNCTION("GOOGLETRANSLATE(D494, ""en"", ""hi"")"),"A) रेडर को 1 अंक मिलता है")</f>
        <v>A) रेडर को 1 अंक मिलता है</v>
      </c>
    </row>
    <row r="495" ht="22.5" customHeight="1">
      <c r="A495" s="2">
        <v>494.0</v>
      </c>
      <c r="B495" s="3" t="s">
        <v>1021</v>
      </c>
      <c r="C495" s="3" t="s">
        <v>1022</v>
      </c>
      <c r="D495" s="3" t="s">
        <v>1023</v>
      </c>
      <c r="F495" s="3" t="str">
        <f>IFERROR(__xludf.DUMMYFUNCTION("GOOGLETRANSLATE(A495, ""en"", ""hi"")"),"494")</f>
        <v>494</v>
      </c>
      <c r="G495" s="3" t="str">
        <f>IFERROR(__xludf.DUMMYFUNCTION("GOOGLETRANSLATE(B495, ""en"", ""hi"")"),"कबड्डी में 'सुपर रेड' का क्या अर्थ है?")</f>
        <v>कबड्डी में 'सुपर रेड' का क्या अर्थ है?</v>
      </c>
      <c r="H495" s="3" t="str">
        <f>IFERROR(__xludf.DUMMYFUNCTION("GOOGLETRANSLATE(C495, ""en"", ""hi"")"),"A) रेडर को कई डिफेंडरों को टैग करने पर दोगुने अंक मिलते हैं, B) रेडर को एक अतिरिक्त प्रयास मिलता है, C) रेडर के पास अतिरिक्त समय होता है, D) खेल रोक दिया जाता है")</f>
        <v>A) रेडर को कई डिफेंडरों को टैग करने पर दोगुने अंक मिलते हैं, B) रेडर को एक अतिरिक्त प्रयास मिलता है, C) रेडर के पास अतिरिक्त समय होता है, D) खेल रोक दिया जाता है</v>
      </c>
      <c r="I495" s="3" t="str">
        <f>IFERROR(__xludf.DUMMYFUNCTION("GOOGLETRANSLATE(D495, ""en"", ""hi"")"),"A) रेडर को कई डिफेंडरों को टैग करने पर दोगुने अंक मिलते हैं")</f>
        <v>A) रेडर को कई डिफेंडरों को टैग करने पर दोगुने अंक मिलते हैं</v>
      </c>
    </row>
    <row r="496" ht="22.5" customHeight="1">
      <c r="A496" s="2">
        <v>495.0</v>
      </c>
      <c r="B496" s="3" t="s">
        <v>1024</v>
      </c>
      <c r="C496" s="3" t="s">
        <v>47</v>
      </c>
      <c r="D496" s="3" t="s">
        <v>16</v>
      </c>
      <c r="F496" s="3" t="str">
        <f>IFERROR(__xludf.DUMMYFUNCTION("GOOGLETRANSLATE(A496, ""en"", ""hi"")"),"495")</f>
        <v>495</v>
      </c>
      <c r="G496" s="3" t="str">
        <f>IFERROR(__xludf.DUMMYFUNCTION("GOOGLETRANSLATE(B496, ""en"", ""hi"")"),"यदि किसी कबड्डी रेडर को टैग किया जाता है, लेकिन वह पूरी तरह से टैकल होने से पहले बोनस लाइन को छू लेता है, तो रेडर को कितने अंक मिलेंगे?")</f>
        <v>यदि किसी कबड्डी रेडर को टैग किया जाता है, लेकिन वह पूरी तरह से टैकल होने से पहले बोनस लाइन को छू लेता है, तो रेडर को कितने अंक मिलेंगे?</v>
      </c>
      <c r="H496" s="3" t="str">
        <f>IFERROR(__xludf.DUMMYFUNCTION("GOOGLETRANSLATE(C496, ""en"", ""hi"")"),"A) 1 अंक, B) 2 अंक, C) 3 अंक, D) 4 अंक")</f>
        <v>A) 1 अंक, B) 2 अंक, C) 3 अंक, D) 4 अंक</v>
      </c>
      <c r="I496" s="3" t="str">
        <f>IFERROR(__xludf.DUMMYFUNCTION("GOOGLETRANSLATE(D496, ""en"", ""hi"")"),"बी) 2 अंक")</f>
        <v>बी) 2 अंक</v>
      </c>
    </row>
    <row r="497" ht="22.5" customHeight="1">
      <c r="A497" s="2">
        <v>496.0</v>
      </c>
      <c r="B497" s="3" t="s">
        <v>1025</v>
      </c>
      <c r="C497" s="3" t="s">
        <v>1026</v>
      </c>
      <c r="D497" s="3" t="s">
        <v>1027</v>
      </c>
      <c r="F497" s="3" t="str">
        <f>IFERROR(__xludf.DUMMYFUNCTION("GOOGLETRANSLATE(A497, ""en"", ""hi"")"),"496")</f>
        <v>496</v>
      </c>
      <c r="G497" s="3" t="str">
        <f>IFERROR(__xludf.DUMMYFUNCTION("GOOGLETRANSLATE(B497, ""en"", ""hi"")"),"कबड्डी मैच के दौरान, यदि रेडिंग टीम 'ऑल-आउट' हो जाती है, तो सामान्य परिणाम क्या होता है?")</f>
        <v>कबड्डी मैच के दौरान, यदि रेडिंग टीम 'ऑल-आउट' हो जाती है, तो सामान्य परिणाम क्या होता है?</v>
      </c>
      <c r="H497" s="3" t="str">
        <f>IFERROR(__xludf.DUMMYFUNCTION("GOOGLETRANSLATE(C497, ""en"", ""hi"")"),"A) बचाव करने वाली टीम को 2 अंक मिलते हैं, B) छापा मारने वाली टीम को 2 अंक मिलते हैं, C) मैच रोक दिया जाता है, D) खेल बिना किसी रुकावट के जारी रहता है")</f>
        <v>A) बचाव करने वाली टीम को 2 अंक मिलते हैं, B) छापा मारने वाली टीम को 2 अंक मिलते हैं, C) मैच रोक दिया जाता है, D) खेल बिना किसी रुकावट के जारी रहता है</v>
      </c>
      <c r="I497" s="3" t="str">
        <f>IFERROR(__xludf.DUMMYFUNCTION("GOOGLETRANSLATE(D497, ""en"", ""hi"")"),"A) बचाव करने वाली टीम को 2 अंक मिलते हैं")</f>
        <v>A) बचाव करने वाली टीम को 2 अंक मिलते हैं</v>
      </c>
    </row>
    <row r="498" ht="22.5" customHeight="1">
      <c r="A498" s="2">
        <v>497.0</v>
      </c>
      <c r="B498" s="3" t="s">
        <v>899</v>
      </c>
      <c r="C498" s="3" t="s">
        <v>1028</v>
      </c>
      <c r="D498" s="3" t="s">
        <v>1029</v>
      </c>
      <c r="F498" s="3" t="str">
        <f>IFERROR(__xludf.DUMMYFUNCTION("GOOGLETRANSLATE(A498, ""en"", ""hi"")"),"497")</f>
        <v>497</v>
      </c>
      <c r="G498" s="3" t="str">
        <f>IFERROR(__xludf.DUMMYFUNCTION("GOOGLETRANSLATE(B498, ""en"", ""hi"")"),"कबड्डी मैच में 'रेफरी' की क्या भूमिका होती है?")</f>
        <v>कबड्डी मैच में 'रेफरी' की क्या भूमिका होती है?</v>
      </c>
      <c r="H498" s="3" t="str">
        <f>IFERROR(__xludf.DUMMYFUNCTION("GOOGLETRANSLATE(C498, ""en"", ""hi"")"),"A) नियमों को लागू करना और निर्णय लेना, B) मैच का स्कोर बनाना, C) टीमों को प्रशिक्षित करना, D) खिलाड़ियों की फिटनेस पर नज़र रखना")</f>
        <v>A) नियमों को लागू करना और निर्णय लेना, B) मैच का स्कोर बनाना, C) टीमों को प्रशिक्षित करना, D) खिलाड़ियों की फिटनेस पर नज़र रखना</v>
      </c>
      <c r="I498" s="3" t="str">
        <f>IFERROR(__xludf.DUMMYFUNCTION("GOOGLETRANSLATE(D498, ""en"", ""hi"")"),"A) नियमों को लागू करना और निर्णय लेना")</f>
        <v>A) नियमों को लागू करना और निर्णय लेना</v>
      </c>
    </row>
    <row r="499" ht="22.5" customHeight="1">
      <c r="A499" s="2">
        <v>498.0</v>
      </c>
      <c r="B499" s="3" t="s">
        <v>1030</v>
      </c>
      <c r="C499" s="3" t="s">
        <v>987</v>
      </c>
      <c r="D499" s="3" t="s">
        <v>831</v>
      </c>
      <c r="F499" s="3" t="str">
        <f>IFERROR(__xludf.DUMMYFUNCTION("GOOGLETRANSLATE(A499, ""en"", ""hi"")"),"498")</f>
        <v>498</v>
      </c>
      <c r="G499" s="3" t="str">
        <f>IFERROR(__xludf.DUMMYFUNCTION("GOOGLETRANSLATE(B499, ""en"", ""hi"")"),"यदि किसी कबड्डी रेडर को टैकल किया जाता है और डिफेंडर ऑफसाइड पाया जाता है, तो परिणाम क्या होगा?")</f>
        <v>यदि किसी कबड्डी रेडर को टैकल किया जाता है और डिफेंडर ऑफसाइड पाया जाता है, तो परिणाम क्या होगा?</v>
      </c>
      <c r="H499" s="3" t="str">
        <f>IFERROR(__xludf.DUMMYFUNCTION("GOOGLETRANSLATE(C499, ""en"", ""hi"")"),"A) रेडर को 1 अंक दिया जाता है, B) रेडर आउट हो जाता है, C) बचाव करने वाली टीम को पेनल्टी मिलती है, D) खेल रोक दिया जाता है")</f>
        <v>A) रेडर को 1 अंक दिया जाता है, B) रेडर आउट हो जाता है, C) बचाव करने वाली टीम को पेनल्टी मिलती है, D) खेल रोक दिया जाता है</v>
      </c>
      <c r="I499" s="3" t="str">
        <f>IFERROR(__xludf.DUMMYFUNCTION("GOOGLETRANSLATE(D499, ""en"", ""hi"")"),"A) रेडर को 1 अंक दिया जाता है")</f>
        <v>A) रेडर को 1 अंक दिया जाता है</v>
      </c>
    </row>
    <row r="500" ht="22.5" customHeight="1">
      <c r="A500" s="2">
        <v>499.0</v>
      </c>
      <c r="B500" s="3" t="s">
        <v>1031</v>
      </c>
      <c r="C500" s="3" t="s">
        <v>1032</v>
      </c>
      <c r="D500" s="3" t="s">
        <v>1033</v>
      </c>
      <c r="F500" s="3" t="str">
        <f>IFERROR(__xludf.DUMMYFUNCTION("GOOGLETRANSLATE(A500, ""en"", ""hi"")"),"499")</f>
        <v>499</v>
      </c>
      <c r="G500" s="3" t="str">
        <f>IFERROR(__xludf.DUMMYFUNCTION("GOOGLETRANSLATE(B500, ""en"", ""hi"")"),"कबड्डी मैच के दौरान, यदि कोई रेडर बोनस लाइन को छूने और दो डिफेंडरों को टैग करने में सफल हो जाता है, लेकिन तीसरे डिफेंडर द्वारा उसे टैकल कर लिया जाता है, तो रेडर को कितने अंक मिलेंगे?")</f>
        <v>कबड्डी मैच के दौरान, यदि कोई रेडर बोनस लाइन को छूने और दो डिफेंडरों को टैग करने में सफल हो जाता है, लेकिन तीसरे डिफेंडर द्वारा उसे टैकल कर लिया जाता है, तो रेडर को कितने अंक मिलेंगे?</v>
      </c>
      <c r="H500" s="3" t="str">
        <f>IFERROR(__xludf.DUMMYFUNCTION("GOOGLETRANSLATE(C500, ""en"", ""hi"")"),"A) 2 अंक, B) 3 अंक, C) 4 अंक, D) 1 अंक")</f>
        <v>A) 2 अंक, B) 3 अंक, C) 4 अंक, D) 1 अंक</v>
      </c>
      <c r="I500" s="3" t="str">
        <f>IFERROR(__xludf.DUMMYFUNCTION("GOOGLETRANSLATE(D500, ""en"", ""hi"")"),"ए) 2 अंक")</f>
        <v>ए) 2 अंक</v>
      </c>
    </row>
    <row r="501" ht="22.5" customHeight="1">
      <c r="A501" s="2">
        <v>500.0</v>
      </c>
      <c r="B501" s="3" t="s">
        <v>1034</v>
      </c>
      <c r="C501" s="3" t="s">
        <v>1035</v>
      </c>
      <c r="D501" s="3" t="s">
        <v>1036</v>
      </c>
      <c r="F501" s="3" t="str">
        <f>IFERROR(__xludf.DUMMYFUNCTION("GOOGLETRANSLATE(A501, ""en"", ""hi"")"),"500")</f>
        <v>500</v>
      </c>
      <c r="G501" s="3" t="str">
        <f>IFERROR(__xludf.DUMMYFUNCTION("GOOGLETRANSLATE(B501, ""en"", ""hi"")"),"कबड्डी मैच की मानक अवधि क्या है?")</f>
        <v>कबड्डी मैच की मानक अवधि क्या है?</v>
      </c>
      <c r="H501" s="3" t="str">
        <f>IFERROR(__xludf.DUMMYFUNCTION("GOOGLETRANSLATE(C501, ""en"", ""hi"")"),"A) 40 मिनट, B) 30 मिनट, C) 20 मिनट, D) 50 मिनट")</f>
        <v>A) 40 मिनट, B) 30 मिनट, C) 20 मिनट, D) 50 मिनट</v>
      </c>
      <c r="I501" s="3" t="str">
        <f>IFERROR(__xludf.DUMMYFUNCTION("GOOGLETRANSLATE(D501, ""en"", ""hi"")"),"ए) 40 मिनट")</f>
        <v>ए) 40 मिनट</v>
      </c>
    </row>
    <row r="502" ht="22.5" customHeight="1">
      <c r="A502" s="2">
        <v>501.0</v>
      </c>
      <c r="B502" s="3" t="s">
        <v>1037</v>
      </c>
      <c r="C502" s="3" t="s">
        <v>1038</v>
      </c>
      <c r="D502" s="3" t="s">
        <v>363</v>
      </c>
      <c r="F502" s="3" t="str">
        <f>IFERROR(__xludf.DUMMYFUNCTION("GOOGLETRANSLATE(A502, ""en"", ""hi"")"),"501")</f>
        <v>501</v>
      </c>
      <c r="G502" s="3" t="str">
        <f>IFERROR(__xludf.DUMMYFUNCTION("GOOGLETRANSLATE(B502, ""en"", ""hi"")"),"यदि कोई कबड्डी रेडर मध्य रेखा पार कर जाता है और तीन डिफेंडरों को सफलतापूर्वक टैग कर देता है, लेकिन चौथे डिफेंडर द्वारा उसे टैकल कर लिया जाता है, तो परिणाम क्या होगा?")</f>
        <v>यदि कोई कबड्डी रेडर मध्य रेखा पार कर जाता है और तीन डिफेंडरों को सफलतापूर्वक टैग कर देता है, लेकिन चौथे डिफेंडर द्वारा उसे टैकल कर लिया जाता है, तो परिणाम क्या होगा?</v>
      </c>
      <c r="H502" s="3" t="str">
        <f>IFERROR(__xludf.DUMMYFUNCTION("GOOGLETRANSLATE(C502, ""en"", ""hi"")"),"A) रेडर को 3 अंक मिलते हैं, B) रेडर को 2 अंक मिलते हैं, C) रेडर आउट हो जाता है, D) खेल रुक जाता है")</f>
        <v>A) रेडर को 3 अंक मिलते हैं, B) रेडर को 2 अंक मिलते हैं, C) रेडर आउट हो जाता है, D) खेल रुक जाता है</v>
      </c>
      <c r="I502" s="3" t="str">
        <f>IFERROR(__xludf.DUMMYFUNCTION("GOOGLETRANSLATE(D502, ""en"", ""hi"")"),"C) हमलावर बाहर है")</f>
        <v>C) हमलावर बाहर है</v>
      </c>
    </row>
    <row r="503" ht="22.5" customHeight="1">
      <c r="A503" s="2">
        <v>502.0</v>
      </c>
      <c r="B503" s="3" t="s">
        <v>1039</v>
      </c>
      <c r="C503" s="3" t="s">
        <v>1040</v>
      </c>
      <c r="D503" s="3" t="s">
        <v>786</v>
      </c>
      <c r="F503" s="3" t="str">
        <f>IFERROR(__xludf.DUMMYFUNCTION("GOOGLETRANSLATE(A503, ""en"", ""hi"")"),"502")</f>
        <v>502</v>
      </c>
      <c r="G503" s="3" t="str">
        <f>IFERROR(__xludf.DUMMYFUNCTION("GOOGLETRANSLATE(B503, ""en"", ""hi"")"),"कबड्डी मैच के दौरान, यदि बचाव करने वाली टीम किसी ऐसे रेडर को पकड़ने में असफल हो जाती है जिसने सभी डिफेंडरों को टैग कर दिया है, तो क्या होगा?")</f>
        <v>कबड्डी मैच के दौरान, यदि बचाव करने वाली टीम किसी ऐसे रेडर को पकड़ने में असफल हो जाती है जिसने सभी डिफेंडरों को टैग कर दिया है, तो क्या होगा?</v>
      </c>
      <c r="H503" s="3" t="str">
        <f>IFERROR(__xludf.DUMMYFUNCTION("GOOGLETRANSLATE(C503, ""en"", ""hi"")"),"A) रेडिंग टीम को 4 अंक मिलते हैं, B) रेडर को 2 अंक मिलते हैं, C) रेडिंग टीम को पेनल्टी मिलती है, D) खेल रोक दिया जाता है")</f>
        <v>A) रेडिंग टीम को 4 अंक मिलते हैं, B) रेडर को 2 अंक मिलते हैं, C) रेडिंग टीम को पेनल्टी मिलती है, D) खेल रोक दिया जाता है</v>
      </c>
      <c r="I503" s="3" t="str">
        <f>IFERROR(__xludf.DUMMYFUNCTION("GOOGLETRANSLATE(D503, ""en"", ""hi"")"),"B) रेडर को 2 अंक मिलते हैं")</f>
        <v>B) रेडर को 2 अंक मिलते हैं</v>
      </c>
    </row>
    <row r="504" ht="22.5" customHeight="1">
      <c r="A504" s="2">
        <v>503.0</v>
      </c>
      <c r="B504" s="3" t="s">
        <v>1041</v>
      </c>
      <c r="C504" s="3" t="s">
        <v>1042</v>
      </c>
      <c r="D504" s="3" t="s">
        <v>1043</v>
      </c>
      <c r="F504" s="3" t="str">
        <f>IFERROR(__xludf.DUMMYFUNCTION("GOOGLETRANSLATE(A504, ""en"", ""hi"")"),"503")</f>
        <v>503</v>
      </c>
      <c r="G504" s="3" t="str">
        <f>IFERROR(__xludf.DUMMYFUNCTION("GOOGLETRANSLATE(B504, ""en"", ""hi"")"),"जब कोई रेडर सफलतापूर्वक मध्य रेखा को पार कर जाता है, डिफेंडरों को टैग करता है, तथा बिना टैकल किए अपने हाफ में वापस लौट जाता है, तो उसे क्या कहा जाता है?")</f>
        <v>जब कोई रेडर सफलतापूर्वक मध्य रेखा को पार कर जाता है, डिफेंडरों को टैग करता है, तथा बिना टैकल किए अपने हाफ में वापस लौट जाता है, तो उसे क्या कहा जाता है?</v>
      </c>
      <c r="H504" s="3" t="str">
        <f>IFERROR(__xludf.DUMMYFUNCTION("GOOGLETRANSLATE(C504, ""en"", ""hi"")"),"ए) सुपर रेड, बी) डू-ऑर-डाई रेड, सी) बोनस रेड, डी) सफल रेड")</f>
        <v>ए) सुपर रेड, बी) डू-ऑर-डाई रेड, सी) बोनस रेड, डी) सफल रेड</v>
      </c>
      <c r="I504" s="3" t="str">
        <f>IFERROR(__xludf.DUMMYFUNCTION("GOOGLETRANSLATE(D504, ""en"", ""hi"")"),"D) सफल छापेमारी")</f>
        <v>D) सफल छापेमारी</v>
      </c>
    </row>
    <row r="505" ht="22.5" customHeight="1">
      <c r="A505" s="2">
        <v>504.0</v>
      </c>
      <c r="B505" s="3" t="s">
        <v>1044</v>
      </c>
      <c r="C505" s="3" t="s">
        <v>1018</v>
      </c>
      <c r="D505" s="3" t="s">
        <v>65</v>
      </c>
      <c r="F505" s="3" t="str">
        <f>IFERROR(__xludf.DUMMYFUNCTION("GOOGLETRANSLATE(A505, ""en"", ""hi"")"),"504")</f>
        <v>504</v>
      </c>
      <c r="G505" s="3" t="str">
        <f>IFERROR(__xludf.DUMMYFUNCTION("GOOGLETRANSLATE(B505, ""en"", ""hi"")"),"यदि कोई कबड्डी रेडर बोनस लाइन को छूता है और डिफेंडर को टैग करता है, लेकिन वापस लौटने से पहले उसे टैकल कर दिया जाता है, तो क्या होगा?")</f>
        <v>यदि कोई कबड्डी रेडर बोनस लाइन को छूता है और डिफेंडर को टैग करता है, लेकिन वापस लौटने से पहले उसे टैकल कर दिया जाता है, तो क्या होगा?</v>
      </c>
      <c r="H505" s="3" t="str">
        <f>IFERROR(__xludf.DUMMYFUNCTION("GOOGLETRANSLATE(C505, ""en"", ""hi"")"),"A) रेडर को 1 अंक मिलता है, B) रेडर आउट हो जाता है, C) बचाव करने वाली टीम को पेनल्टी मिलती है, D) खेल रोक दिया जाता है")</f>
        <v>A) रेडर को 1 अंक मिलता है, B) रेडर आउट हो जाता है, C) बचाव करने वाली टीम को पेनल्टी मिलती है, D) खेल रोक दिया जाता है</v>
      </c>
      <c r="I505" s="3" t="str">
        <f>IFERROR(__xludf.DUMMYFUNCTION("GOOGLETRANSLATE(D505, ""en"", ""hi"")"),"बी) हमलावर बाहर है")</f>
        <v>बी) हमलावर बाहर है</v>
      </c>
    </row>
    <row r="506" ht="22.5" customHeight="1">
      <c r="A506" s="2">
        <v>505.0</v>
      </c>
      <c r="B506" s="3" t="s">
        <v>1045</v>
      </c>
      <c r="C506" s="3" t="s">
        <v>1046</v>
      </c>
      <c r="D506" s="3" t="s">
        <v>1027</v>
      </c>
      <c r="F506" s="3" t="str">
        <f>IFERROR(__xludf.DUMMYFUNCTION("GOOGLETRANSLATE(A506, ""en"", ""hi"")"),"505")</f>
        <v>505</v>
      </c>
      <c r="G506" s="3" t="str">
        <f>IFERROR(__xludf.DUMMYFUNCTION("GOOGLETRANSLATE(B506, ""en"", ""hi"")"),"कबड्डी मैच के दौरान, यदि रेडिंग टीम के पास कोई खिलाड़ी उपलब्ध नहीं है और डिफेंडर सफलतापूर्वक रेडर से निपट लेते हैं, तो परिणाम क्या होगा?")</f>
        <v>कबड्डी मैच के दौरान, यदि रेडिंग टीम के पास कोई खिलाड़ी उपलब्ध नहीं है और डिफेंडर सफलतापूर्वक रेडर से निपट लेते हैं, तो परिणाम क्या होगा?</v>
      </c>
      <c r="H506" s="3" t="str">
        <f>IFERROR(__xludf.DUMMYFUNCTION("GOOGLETRANSLATE(C506, ""en"", ""hi"")"),"A) बचाव करने वाली टीम को 2 अंक मिलते हैं, B) रेड करने वाली टीम को 1 अंक मिलता है, C) रेड करने वाली टीम को पेनल्टी मिलती है, D) खेल रोक दिया जाता है")</f>
        <v>A) बचाव करने वाली टीम को 2 अंक मिलते हैं, B) रेड करने वाली टीम को 1 अंक मिलता है, C) रेड करने वाली टीम को पेनल्टी मिलती है, D) खेल रोक दिया जाता है</v>
      </c>
      <c r="I506" s="3" t="str">
        <f>IFERROR(__xludf.DUMMYFUNCTION("GOOGLETRANSLATE(D506, ""en"", ""hi"")"),"A) बचाव करने वाली टीम को 2 अंक मिलते हैं")</f>
        <v>A) बचाव करने वाली टीम को 2 अंक मिलते हैं</v>
      </c>
    </row>
    <row r="507" ht="22.5" customHeight="1">
      <c r="A507" s="2">
        <v>506.0</v>
      </c>
      <c r="B507" s="3" t="s">
        <v>1047</v>
      </c>
      <c r="C507" s="3" t="s">
        <v>948</v>
      </c>
      <c r="D507" s="3" t="s">
        <v>949</v>
      </c>
      <c r="F507" s="3" t="str">
        <f>IFERROR(__xludf.DUMMYFUNCTION("GOOGLETRANSLATE(A507, ""en"", ""hi"")"),"506")</f>
        <v>506</v>
      </c>
      <c r="G507" s="3" t="str">
        <f>IFERROR(__xludf.DUMMYFUNCTION("GOOGLETRANSLATE(B507, ""en"", ""hi"")"),"कबड्डी में अतिरिक्त अंक अर्जित करने के लिए रेडर को जिस क्षेत्र में प्रवेश करना होता है, उसे क्या कहते हैं?")</f>
        <v>कबड्डी में अतिरिक्त अंक अर्जित करने के लिए रेडर को जिस क्षेत्र में प्रवेश करना होता है, उसे क्या कहते हैं?</v>
      </c>
      <c r="H507" s="3" t="str">
        <f>IFERROR(__xludf.DUMMYFUNCTION("GOOGLETRANSLATE(C507, ""en"", ""hi"")"),"A) बोनस लाइन, B) रेड लाइन, C) मिडलाइन, D) एंड लाइन")</f>
        <v>A) बोनस लाइन, B) रेड लाइन, C) मिडलाइन, D) एंड लाइन</v>
      </c>
      <c r="I507" s="3" t="str">
        <f>IFERROR(__xludf.DUMMYFUNCTION("GOOGLETRANSLATE(D507, ""en"", ""hi"")"),"ए) बोनस लाइन")</f>
        <v>ए) बोनस लाइन</v>
      </c>
    </row>
    <row r="508" ht="22.5" customHeight="1">
      <c r="A508" s="2">
        <v>507.0</v>
      </c>
      <c r="B508" s="3" t="s">
        <v>1048</v>
      </c>
      <c r="C508" s="3" t="s">
        <v>1049</v>
      </c>
      <c r="D508" s="3" t="s">
        <v>106</v>
      </c>
      <c r="F508" s="3" t="str">
        <f>IFERROR(__xludf.DUMMYFUNCTION("GOOGLETRANSLATE(A508, ""en"", ""hi"")"),"507")</f>
        <v>507</v>
      </c>
      <c r="G508" s="3" t="str">
        <f>IFERROR(__xludf.DUMMYFUNCTION("GOOGLETRANSLATE(B508, ""en"", ""hi"")"),"यदि कोई कबड्डी रेडर सफलतापूर्वक सभी डिफेंडरों को टैग कर देता है और बोनस लाइन पार कर जाता है, लेकिन वापस लौटने से पहले उसे टैकल कर दिया जाता है, तो क्या होगा?")</f>
        <v>यदि कोई कबड्डी रेडर सफलतापूर्वक सभी डिफेंडरों को टैग कर देता है और बोनस लाइन पार कर जाता है, लेकिन वापस लौटने से पहले उसे टैकल कर दिया जाता है, तो क्या होगा?</v>
      </c>
      <c r="H508" s="3" t="str">
        <f>IFERROR(__xludf.DUMMYFUNCTION("GOOGLETRANSLATE(C508, ""en"", ""hi"")"),"A) रेडर को 2 अंक मिलते हैं, B) रेडर को 3 अंक मिलते हैं, C) रेडर आउट हो जाता है, D) खेल रुक जाता है")</f>
        <v>A) रेडर को 2 अंक मिलते हैं, B) रेडर को 3 अंक मिलते हैं, C) रेडर आउट हो जाता है, D) खेल रुक जाता है</v>
      </c>
      <c r="I508" s="3" t="str">
        <f>IFERROR(__xludf.DUMMYFUNCTION("GOOGLETRANSLATE(D508, ""en"", ""hi"")"),"A) रेडर को 2 अंक मिलते हैं")</f>
        <v>A) रेडर को 2 अंक मिलते हैं</v>
      </c>
    </row>
    <row r="509" ht="22.5" customHeight="1">
      <c r="A509" s="2">
        <v>508.0</v>
      </c>
      <c r="B509" s="3" t="s">
        <v>1050</v>
      </c>
      <c r="C509" s="3" t="s">
        <v>1051</v>
      </c>
      <c r="D509" s="3" t="s">
        <v>140</v>
      </c>
      <c r="F509" s="3" t="str">
        <f>IFERROR(__xludf.DUMMYFUNCTION("GOOGLETRANSLATE(A509, ""en"", ""hi"")"),"508")</f>
        <v>508</v>
      </c>
      <c r="G509" s="3" t="str">
        <f>IFERROR(__xludf.DUMMYFUNCTION("GOOGLETRANSLATE(B509, ""en"", ""hi"")"),"कबड्डी मैच के दौरान, यदि कोई रेडर सुपर रेड का प्रयास करते समय टैकल हो जाता है, लेकिन स्कोर नहीं करता है, तो क्या होगा?")</f>
        <v>कबड्डी मैच के दौरान, यदि कोई रेडर सुपर रेड का प्रयास करते समय टैकल हो जाता है, लेकिन स्कोर नहीं करता है, तो क्या होगा?</v>
      </c>
      <c r="H509" s="3" t="str">
        <f>IFERROR(__xludf.DUMMYFUNCTION("GOOGLETRANSLATE(C509, ""en"", ""hi"")"),"A) रेडर आउट हो जाता है, B) रेडर को 2 अंक मिलते हैं, C) रेड करने वाली टीम को पेनल्टी मिलती है, D) बचाव करने वाली टीम को 2 अंक मिलते हैं")</f>
        <v>A) रेडर आउट हो जाता है, B) रेडर को 2 अंक मिलते हैं, C) रेड करने वाली टीम को पेनल्टी मिलती है, D) बचाव करने वाली टीम को 2 अंक मिलते हैं</v>
      </c>
      <c r="I509" s="3" t="str">
        <f>IFERROR(__xludf.DUMMYFUNCTION("GOOGLETRANSLATE(D509, ""en"", ""hi"")"),"A) हमलावर बाहर है")</f>
        <v>A) हमलावर बाहर है</v>
      </c>
    </row>
    <row r="510" ht="22.5" customHeight="1">
      <c r="A510" s="2">
        <v>509.0</v>
      </c>
      <c r="B510" s="3" t="s">
        <v>1052</v>
      </c>
      <c r="C510" s="3" t="s">
        <v>1053</v>
      </c>
      <c r="D510" s="3" t="s">
        <v>1054</v>
      </c>
      <c r="F510" s="3" t="str">
        <f>IFERROR(__xludf.DUMMYFUNCTION("GOOGLETRANSLATE(A510, ""en"", ""hi"")"),"509")</f>
        <v>509</v>
      </c>
      <c r="G510" s="3" t="str">
        <f>IFERROR(__xludf.DUMMYFUNCTION("GOOGLETRANSLATE(B510, ""en"", ""hi"")"),"कबड्डी मैच में 'मैच कमिश्नर' की क्या भूमिका होती है?")</f>
        <v>कबड्डी मैच में 'मैच कमिश्नर' की क्या भूमिका होती है?</v>
      </c>
      <c r="H510" s="3" t="str">
        <f>IFERROR(__xludf.DUMMYFUNCTION("GOOGLETRANSLATE(C510, ""en"", ""hi"")"),"A) मैच की देखरेख करना और निष्पक्ष खेल सुनिश्चित करना, B) टीमों को प्रशिक्षित करना, C) मैच में रेफरी करना, D) खेल का स्कोर बनाना")</f>
        <v>A) मैच की देखरेख करना और निष्पक्ष खेल सुनिश्चित करना, B) टीमों को प्रशिक्षित करना, C) मैच में रेफरी करना, D) खेल का स्कोर बनाना</v>
      </c>
      <c r="I510" s="3" t="str">
        <f>IFERROR(__xludf.DUMMYFUNCTION("GOOGLETRANSLATE(D510, ""en"", ""hi"")"),"A) मैच की देखरेख करना और निष्पक्ष खेल सुनिश्चित करना")</f>
        <v>A) मैच की देखरेख करना और निष्पक्ष खेल सुनिश्चित करना</v>
      </c>
    </row>
    <row r="511" ht="22.5" customHeight="1">
      <c r="A511" s="2">
        <v>510.0</v>
      </c>
      <c r="B511" s="3" t="s">
        <v>1055</v>
      </c>
      <c r="C511" s="3" t="s">
        <v>1018</v>
      </c>
      <c r="D511" s="3" t="s">
        <v>204</v>
      </c>
      <c r="F511" s="3" t="str">
        <f>IFERROR(__xludf.DUMMYFUNCTION("GOOGLETRANSLATE(A511, ""en"", ""hi"")"),"510")</f>
        <v>510</v>
      </c>
      <c r="G511" s="3" t="str">
        <f>IFERROR(__xludf.DUMMYFUNCTION("GOOGLETRANSLATE(B511, ""en"", ""hi"")"),"यदि किसी कबड्डी रेडर को डिफेंडर द्वारा टैग किया जाता है, लेकिन डिफेंडर सीमा से बाहर है, तो परिणाम क्या होगा?")</f>
        <v>यदि किसी कबड्डी रेडर को डिफेंडर द्वारा टैग किया जाता है, लेकिन डिफेंडर सीमा से बाहर है, तो परिणाम क्या होगा?</v>
      </c>
      <c r="H511" s="3" t="str">
        <f>IFERROR(__xludf.DUMMYFUNCTION("GOOGLETRANSLATE(C511, ""en"", ""hi"")"),"A) रेडर को 1 अंक मिलता है, B) रेडर आउट हो जाता है, C) बचाव करने वाली टीम को पेनल्टी मिलती है, D) खेल रोक दिया जाता है")</f>
        <v>A) रेडर को 1 अंक मिलता है, B) रेडर आउट हो जाता है, C) बचाव करने वाली टीम को पेनल्टी मिलती है, D) खेल रोक दिया जाता है</v>
      </c>
      <c r="I511" s="3" t="str">
        <f>IFERROR(__xludf.DUMMYFUNCTION("GOOGLETRANSLATE(D511, ""en"", ""hi"")"),"A) रेडर को 1 अंक मिलता है")</f>
        <v>A) रेडर को 1 अंक मिलता है</v>
      </c>
    </row>
    <row r="512" ht="22.5" customHeight="1">
      <c r="A512" s="2">
        <v>511.0</v>
      </c>
      <c r="B512" s="3" t="s">
        <v>1056</v>
      </c>
      <c r="C512" s="3" t="s">
        <v>1032</v>
      </c>
      <c r="D512" s="3" t="s">
        <v>1033</v>
      </c>
      <c r="F512" s="3" t="str">
        <f>IFERROR(__xludf.DUMMYFUNCTION("GOOGLETRANSLATE(A512, ""en"", ""hi"")"),"511")</f>
        <v>511</v>
      </c>
      <c r="G512" s="3" t="str">
        <f>IFERROR(__xludf.DUMMYFUNCTION("GOOGLETRANSLATE(B512, ""en"", ""hi"")"),"कबड्डी रेड के दौरान, यदि रेडर को कई डिफेंडरों द्वारा टैकल किया जाता है, लेकिन उसने पहले ही दो डिफेंडरों को टैग कर दिया है, तो रेडर को कितने अंक मिलेंगे?")</f>
        <v>कबड्डी रेड के दौरान, यदि रेडर को कई डिफेंडरों द्वारा टैकल किया जाता है, लेकिन उसने पहले ही दो डिफेंडरों को टैग कर दिया है, तो रेडर को कितने अंक मिलेंगे?</v>
      </c>
      <c r="H512" s="3" t="str">
        <f>IFERROR(__xludf.DUMMYFUNCTION("GOOGLETRANSLATE(C512, ""en"", ""hi"")"),"A) 2 अंक, B) 3 अंक, C) 4 अंक, D) 1 अंक")</f>
        <v>A) 2 अंक, B) 3 अंक, C) 4 अंक, D) 1 अंक</v>
      </c>
      <c r="I512" s="3" t="str">
        <f>IFERROR(__xludf.DUMMYFUNCTION("GOOGLETRANSLATE(D512, ""en"", ""hi"")"),"ए) 2 अंक")</f>
        <v>ए) 2 अंक</v>
      </c>
    </row>
    <row r="513" ht="22.5" customHeight="1">
      <c r="A513" s="2">
        <v>512.0</v>
      </c>
      <c r="B513" s="3" t="s">
        <v>1057</v>
      </c>
      <c r="C513" s="3" t="s">
        <v>1058</v>
      </c>
      <c r="D513" s="3" t="s">
        <v>1059</v>
      </c>
      <c r="F513" s="3" t="str">
        <f>IFERROR(__xludf.DUMMYFUNCTION("GOOGLETRANSLATE(A513, ""en"", ""hi"")"),"512")</f>
        <v>512</v>
      </c>
      <c r="G513" s="3" t="str">
        <f>IFERROR(__xludf.DUMMYFUNCTION("GOOGLETRANSLATE(B513, ""en"", ""hi"")"),"कबड्डी मैच में प्रत्येक टीम में खिलाड़ियों की मानक संख्या क्या है?")</f>
        <v>कबड्डी मैच में प्रत्येक टीम में खिलाड़ियों की मानक संख्या क्या है?</v>
      </c>
      <c r="H513" s="3" t="str">
        <f>IFERROR(__xludf.DUMMYFUNCTION("GOOGLETRANSLATE(C513, ""en"", ""hi"")"),"ए) 7, बी) 6, सी) 8, डी) 5")</f>
        <v>ए) 7, बी) 6, सी) 8, डी) 5</v>
      </c>
      <c r="I513" s="3" t="str">
        <f>IFERROR(__xludf.DUMMYFUNCTION("GOOGLETRANSLATE(D513, ""en"", ""hi"")"),"ए) 7")</f>
        <v>ए) 7</v>
      </c>
    </row>
    <row r="514" ht="22.5" customHeight="1">
      <c r="A514" s="2">
        <v>513.0</v>
      </c>
      <c r="B514" s="3" t="s">
        <v>1060</v>
      </c>
      <c r="C514" s="3" t="s">
        <v>1061</v>
      </c>
      <c r="D514" s="3" t="s">
        <v>974</v>
      </c>
      <c r="F514" s="3" t="str">
        <f>IFERROR(__xludf.DUMMYFUNCTION("GOOGLETRANSLATE(A514, ""en"", ""hi"")"),"513")</f>
        <v>513</v>
      </c>
      <c r="G514" s="3" t="str">
        <f>IFERROR(__xludf.DUMMYFUNCTION("GOOGLETRANSLATE(B514, ""en"", ""hi"")"),"यदि कोई कबड्डी खिलाड़ी अवैध रणनीति का उपयोग करते हुए पकड़ा जाता है, तो सामान्य दंड क्या है?")</f>
        <v>यदि कोई कबड्डी खिलाड़ी अवैध रणनीति का उपयोग करते हुए पकड़ा जाता है, तो सामान्य दंड क्या है?</v>
      </c>
      <c r="H514" s="3" t="str">
        <f>IFERROR(__xludf.DUMMYFUNCTION("GOOGLETRANSLATE(C514, ""en"", ""hi"")"),"A) खिलाड़ी को लाल कार्ड दिया जाता है, B) खिलाड़ी पर जुर्माना लगाया जाता है, C) खिलाड़ी को प्रतिस्थापित किया जाता है, D) टीम 1 अंक खो देती है")</f>
        <v>A) खिलाड़ी को लाल कार्ड दिया जाता है, B) खिलाड़ी पर जुर्माना लगाया जाता है, C) खिलाड़ी को प्रतिस्थापित किया जाता है, D) टीम 1 अंक खो देती है</v>
      </c>
      <c r="I514" s="3" t="str">
        <f>IFERROR(__xludf.DUMMYFUNCTION("GOOGLETRANSLATE(D514, ""en"", ""hi"")"),"A) खिलाड़ी को लाल कार्ड दिया जाता है")</f>
        <v>A) खिलाड़ी को लाल कार्ड दिया जाता है</v>
      </c>
    </row>
    <row r="515" ht="22.5" customHeight="1">
      <c r="A515" s="2">
        <v>514.0</v>
      </c>
      <c r="B515" s="3" t="s">
        <v>1062</v>
      </c>
      <c r="C515" s="3" t="s">
        <v>1020</v>
      </c>
      <c r="D515" s="3" t="s">
        <v>65</v>
      </c>
      <c r="F515" s="3" t="str">
        <f>IFERROR(__xludf.DUMMYFUNCTION("GOOGLETRANSLATE(A515, ""en"", ""hi"")"),"514")</f>
        <v>514</v>
      </c>
      <c r="G515" s="3" t="str">
        <f>IFERROR(__xludf.DUMMYFUNCTION("GOOGLETRANSLATE(B515, ""en"", ""hi"")"),"कबड्डी मैच के दौरान, यदि कोई रेडर एक डिफेंडर को टैग करने में सफल हो जाता है, लेकिन किसी अन्य डिफेंडर को टैग करने से पहले ही उसे टैकल कर दिया जाता है, तो परिणाम क्या होगा?")</f>
        <v>कबड्डी मैच के दौरान, यदि कोई रेडर एक डिफेंडर को टैग करने में सफल हो जाता है, लेकिन किसी अन्य डिफेंडर को टैग करने से पहले ही उसे टैकल कर दिया जाता है, तो परिणाम क्या होगा?</v>
      </c>
      <c r="H515" s="3" t="str">
        <f>IFERROR(__xludf.DUMMYFUNCTION("GOOGLETRANSLATE(C515, ""en"", ""hi"")"),"A) रेडर को 1 अंक मिलता है, B) रेडर आउट हो जाता है, C) रेड करने वाली टीम को पेनल्टी मिलती है, D) खेल रोक दिया जाता है")</f>
        <v>A) रेडर को 1 अंक मिलता है, B) रेडर आउट हो जाता है, C) रेड करने वाली टीम को पेनल्टी मिलती है, D) खेल रोक दिया जाता है</v>
      </c>
      <c r="I515" s="3" t="str">
        <f>IFERROR(__xludf.DUMMYFUNCTION("GOOGLETRANSLATE(D515, ""en"", ""hi"")"),"बी) हमलावर बाहर है")</f>
        <v>बी) हमलावर बाहर है</v>
      </c>
    </row>
    <row r="516" ht="22.5" customHeight="1">
      <c r="A516" s="2">
        <v>515.0</v>
      </c>
      <c r="B516" s="3" t="s">
        <v>1063</v>
      </c>
      <c r="C516" s="3" t="s">
        <v>1064</v>
      </c>
      <c r="D516" s="3" t="s">
        <v>1065</v>
      </c>
      <c r="F516" s="3" t="str">
        <f>IFERROR(__xludf.DUMMYFUNCTION("GOOGLETRANSLATE(A516, ""en"", ""hi"")"),"515")</f>
        <v>515</v>
      </c>
      <c r="G516" s="3" t="str">
        <f>IFERROR(__xludf.DUMMYFUNCTION("GOOGLETRANSLATE(B516, ""en"", ""hi"")"),"कबड्डी मैच में यदि डिफेंडर फाउल कर देता है जिसके कारण रेड रद्द हो जाती है, तो सामान्य परिणाम क्या होता है?")</f>
        <v>कबड्डी मैच में यदि डिफेंडर फाउल कर देता है जिसके कारण रेड रद्द हो जाती है, तो सामान्य परिणाम क्या होता है?</v>
      </c>
      <c r="H516" s="3" t="str">
        <f>IFERROR(__xludf.DUMMYFUNCTION("GOOGLETRANSLATE(C516, ""en"", ""hi"")"),"A) रेड करने वाली टीम को 1 अंक मिलता है, B) बचाव करने वाली टीम को 1 अंक मिलता है, C) खेल रोक दिया जाता है, D) रेड करने वाली टीम को पेनल्टी मिलती है")</f>
        <v>A) रेड करने वाली टीम को 1 अंक मिलता है, B) बचाव करने वाली टीम को 1 अंक मिलता है, C) खेल रोक दिया जाता है, D) रेड करने वाली टीम को पेनल्टी मिलती है</v>
      </c>
      <c r="I516" s="3" t="str">
        <f>IFERROR(__xludf.DUMMYFUNCTION("GOOGLETRANSLATE(D516, ""en"", ""hi"")"),"A) छापा मारने वाली टीम को 1 अंक मिलता है")</f>
        <v>A) छापा मारने वाली टीम को 1 अंक मिलता है</v>
      </c>
    </row>
    <row r="517" ht="22.5" customHeight="1">
      <c r="A517" s="2">
        <v>516.0</v>
      </c>
      <c r="B517" s="3" t="s">
        <v>1066</v>
      </c>
      <c r="C517" s="3" t="s">
        <v>1067</v>
      </c>
      <c r="D517" s="3" t="s">
        <v>140</v>
      </c>
      <c r="F517" s="3" t="str">
        <f>IFERROR(__xludf.DUMMYFUNCTION("GOOGLETRANSLATE(A517, ""en"", ""hi"")"),"516")</f>
        <v>516</v>
      </c>
      <c r="G517" s="3" t="str">
        <f>IFERROR(__xludf.DUMMYFUNCTION("GOOGLETRANSLATE(B517, ""en"", ""hi"")"),"जब कबड्डी रेडर 'डू-ऑर-डाई रेड' में फंस जाता है, लेकिन स्कोर करने में विफल रहता है, तो क्या शब्द का प्रयोग किया जाता है?")</f>
        <v>जब कबड्डी रेडर 'डू-ऑर-डाई रेड' में फंस जाता है, लेकिन स्कोर करने में विफल रहता है, तो क्या शब्द का प्रयोग किया जाता है?</v>
      </c>
      <c r="H517" s="3" t="str">
        <f>IFERROR(__xludf.DUMMYFUNCTION("GOOGLETRANSLATE(C517, ""en"", ""hi"")"),"A) रेडर आउट हो जाता है, B) रेडर को 2 अंक मिलते हैं, C) रेड करने वाली टीम को पेनल्टी मिलती है, D) खेल रोक दिया जाता है")</f>
        <v>A) रेडर आउट हो जाता है, B) रेडर को 2 अंक मिलते हैं, C) रेड करने वाली टीम को पेनल्टी मिलती है, D) खेल रोक दिया जाता है</v>
      </c>
      <c r="I517" s="3" t="str">
        <f>IFERROR(__xludf.DUMMYFUNCTION("GOOGLETRANSLATE(D517, ""en"", ""hi"")"),"A) हमलावर बाहर है")</f>
        <v>A) हमलावर बाहर है</v>
      </c>
    </row>
    <row r="518" ht="22.5" customHeight="1">
      <c r="A518" s="2">
        <v>517.0</v>
      </c>
      <c r="B518" s="3" t="s">
        <v>1068</v>
      </c>
      <c r="C518" s="3" t="s">
        <v>1018</v>
      </c>
      <c r="D518" s="3" t="s">
        <v>204</v>
      </c>
      <c r="F518" s="3" t="str">
        <f>IFERROR(__xludf.DUMMYFUNCTION("GOOGLETRANSLATE(A518, ""en"", ""hi"")"),"517")</f>
        <v>517</v>
      </c>
      <c r="G518" s="3" t="str">
        <f>IFERROR(__xludf.DUMMYFUNCTION("GOOGLETRANSLATE(B518, ""en"", ""hi"")"),"कबड्डी मैच के दौरान, यदि डिफेंडर को टैग कर दिया जाए, लेकिन वह बाउंड्री से बाहर गिर जाए, तो क्या होगा?")</f>
        <v>कबड्डी मैच के दौरान, यदि डिफेंडर को टैग कर दिया जाए, लेकिन वह बाउंड्री से बाहर गिर जाए, तो क्या होगा?</v>
      </c>
      <c r="H518" s="3" t="str">
        <f>IFERROR(__xludf.DUMMYFUNCTION("GOOGLETRANSLATE(C518, ""en"", ""hi"")"),"A) रेडर को 1 अंक मिलता है, B) रेडर आउट हो जाता है, C) बचाव करने वाली टीम को पेनल्टी मिलती है, D) खेल रोक दिया जाता है")</f>
        <v>A) रेडर को 1 अंक मिलता है, B) रेडर आउट हो जाता है, C) बचाव करने वाली टीम को पेनल्टी मिलती है, D) खेल रोक दिया जाता है</v>
      </c>
      <c r="I518" s="3" t="str">
        <f>IFERROR(__xludf.DUMMYFUNCTION("GOOGLETRANSLATE(D518, ""en"", ""hi"")"),"A) रेडर को 1 अंक मिलता है")</f>
        <v>A) रेडर को 1 अंक मिलता है</v>
      </c>
    </row>
    <row r="519" ht="22.5" customHeight="1">
      <c r="A519" s="2">
        <v>518.0</v>
      </c>
      <c r="B519" s="3" t="s">
        <v>1069</v>
      </c>
      <c r="C519" s="3" t="s">
        <v>1018</v>
      </c>
      <c r="D519" s="3" t="s">
        <v>204</v>
      </c>
      <c r="F519" s="3" t="str">
        <f>IFERROR(__xludf.DUMMYFUNCTION("GOOGLETRANSLATE(A519, ""en"", ""hi"")"),"518")</f>
        <v>518</v>
      </c>
      <c r="G519" s="3" t="str">
        <f>IFERROR(__xludf.DUMMYFUNCTION("GOOGLETRANSLATE(B519, ""en"", ""hi"")"),"यदि कोई कबड्डी रेडर सफलतापूर्वक मिडलाइन पार कर जाता है और डिफेंडर को टैग कर देता है, लेकिन उसे ऑफसाइड डिफेंडर द्वारा पकड़ लिया जाता है, तो परिणाम क्या होगा?")</f>
        <v>यदि कोई कबड्डी रेडर सफलतापूर्वक मिडलाइन पार कर जाता है और डिफेंडर को टैग कर देता है, लेकिन उसे ऑफसाइड डिफेंडर द्वारा पकड़ लिया जाता है, तो परिणाम क्या होगा?</v>
      </c>
      <c r="H519" s="3" t="str">
        <f>IFERROR(__xludf.DUMMYFUNCTION("GOOGLETRANSLATE(C519, ""en"", ""hi"")"),"A) रेडर को 1 अंक मिलता है, B) रेडर आउट हो जाता है, C) बचाव करने वाली टीम को पेनल्टी मिलती है, D) खेल रोक दिया जाता है")</f>
        <v>A) रेडर को 1 अंक मिलता है, B) रेडर आउट हो जाता है, C) बचाव करने वाली टीम को पेनल्टी मिलती है, D) खेल रोक दिया जाता है</v>
      </c>
      <c r="I519" s="3" t="str">
        <f>IFERROR(__xludf.DUMMYFUNCTION("GOOGLETRANSLATE(D519, ""en"", ""hi"")"),"A) रेडर को 1 अंक मिलता है")</f>
        <v>A) रेडर को 1 अंक मिलता है</v>
      </c>
    </row>
    <row r="520" ht="22.5" customHeight="1">
      <c r="A520" s="2">
        <v>519.0</v>
      </c>
      <c r="B520" s="3" t="s">
        <v>1070</v>
      </c>
      <c r="C520" s="3" t="s">
        <v>1071</v>
      </c>
      <c r="D520" s="3" t="s">
        <v>1072</v>
      </c>
      <c r="F520" s="3" t="str">
        <f>IFERROR(__xludf.DUMMYFUNCTION("GOOGLETRANSLATE(A520, ""en"", ""hi"")"),"519")</f>
        <v>519</v>
      </c>
      <c r="G520" s="3" t="str">
        <f>IFERROR(__xludf.DUMMYFUNCTION("GOOGLETRANSLATE(B520, ""en"", ""hi"")"),"कबड्डी रेड की सामान्य अवधि क्या है?")</f>
        <v>कबड्डी रेड की सामान्य अवधि क्या है?</v>
      </c>
      <c r="H520" s="3" t="str">
        <f>IFERROR(__xludf.DUMMYFUNCTION("GOOGLETRANSLATE(C520, ""en"", ""hi"")"),"A) 30 सेकंड, B) 20 सेकंड, C) 15 सेकंड, D) 10 सेकंड")</f>
        <v>A) 30 सेकंड, B) 20 सेकंड, C) 15 सेकंड, D) 10 सेकंड</v>
      </c>
      <c r="I520" s="3" t="str">
        <f>IFERROR(__xludf.DUMMYFUNCTION("GOOGLETRANSLATE(D520, ""en"", ""hi"")"),"ए) 30 सेकंड")</f>
        <v>ए) 30 सेकंड</v>
      </c>
    </row>
    <row r="521" ht="22.5" customHeight="1">
      <c r="A521" s="2">
        <v>520.0</v>
      </c>
      <c r="B521" s="3" t="s">
        <v>1073</v>
      </c>
      <c r="C521" s="3" t="s">
        <v>1074</v>
      </c>
      <c r="D521" s="3" t="s">
        <v>106</v>
      </c>
      <c r="F521" s="3" t="str">
        <f>IFERROR(__xludf.DUMMYFUNCTION("GOOGLETRANSLATE(A521, ""en"", ""hi"")"),"520")</f>
        <v>520</v>
      </c>
      <c r="G521" s="3" t="str">
        <f>IFERROR(__xludf.DUMMYFUNCTION("GOOGLETRANSLATE(B521, ""en"", ""hi"")"),"यदि किसी कबड्डी रेडर को टैग कर दिया जाता है, लेकिन वह बोनस लाइन को छूने में सफल हो जाता है, तो क्या होगा यदि बचाव करने वाली टीम फाउल कर दे?")</f>
        <v>यदि किसी कबड्डी रेडर को टैग कर दिया जाता है, लेकिन वह बोनस लाइन को छूने में सफल हो जाता है, तो क्या होगा यदि बचाव करने वाली टीम फाउल कर दे?</v>
      </c>
      <c r="H521" s="3" t="str">
        <f>IFERROR(__xludf.DUMMYFUNCTION("GOOGLETRANSLATE(C521, ""en"", ""hi"")"),"A) रेडर को 2 अंक मिलते हैं, B) रेडर आउट हो जाता है, C) बचाव करने वाली टीम को पेनल्टी मिलती है, D) खेल रोक दिया जाता है")</f>
        <v>A) रेडर को 2 अंक मिलते हैं, B) रेडर आउट हो जाता है, C) बचाव करने वाली टीम को पेनल्टी मिलती है, D) खेल रोक दिया जाता है</v>
      </c>
      <c r="I521" s="3" t="str">
        <f>IFERROR(__xludf.DUMMYFUNCTION("GOOGLETRANSLATE(D521, ""en"", ""hi"")"),"A) रेडर को 2 अंक मिलते हैं")</f>
        <v>A) रेडर को 2 अंक मिलते हैं</v>
      </c>
    </row>
    <row r="522" ht="22.5" customHeight="1">
      <c r="A522" s="2">
        <v>521.0</v>
      </c>
      <c r="B522" s="3" t="s">
        <v>1075</v>
      </c>
      <c r="C522" s="3" t="s">
        <v>1076</v>
      </c>
      <c r="D522" s="3" t="s">
        <v>990</v>
      </c>
      <c r="F522" s="3" t="str">
        <f>IFERROR(__xludf.DUMMYFUNCTION("GOOGLETRANSLATE(A522, ""en"", ""hi"")"),"521")</f>
        <v>521</v>
      </c>
      <c r="G522" s="3" t="str">
        <f>IFERROR(__xludf.DUMMYFUNCTION("GOOGLETRANSLATE(B522, ""en"", ""hi"")"),"कबड्डी मैच में 'ग्रीन कार्ड' का आमतौर पर क्या मतलब होता है?")</f>
        <v>कबड्डी मैच में 'ग्रीन कार्ड' का आमतौर पर क्या मतलब होता है?</v>
      </c>
      <c r="H522" s="3" t="str">
        <f>IFERROR(__xludf.DUMMYFUNCTION("GOOGLETRANSLATE(C522, ""en"", ""hi"")"),"A) टीम को चेतावनी, B) खिलाड़ी को पुरस्कार, C) खिलाड़ी को दंड, D) खिलाड़ी का प्रतिस्थापन")</f>
        <v>A) टीम को चेतावनी, B) खिलाड़ी को पुरस्कार, C) खिलाड़ी को दंड, D) खिलाड़ी का प्रतिस्थापन</v>
      </c>
      <c r="I522" s="3" t="str">
        <f>IFERROR(__xludf.DUMMYFUNCTION("GOOGLETRANSLATE(D522, ""en"", ""hi"")"),"A) टीम को चेतावनी")</f>
        <v>A) टीम को चेतावनी</v>
      </c>
    </row>
    <row r="523" ht="22.5" customHeight="1">
      <c r="A523" s="2">
        <v>522.0</v>
      </c>
      <c r="B523" s="3" t="s">
        <v>1077</v>
      </c>
      <c r="C523" s="3" t="s">
        <v>1018</v>
      </c>
      <c r="D523" s="3" t="s">
        <v>204</v>
      </c>
      <c r="F523" s="3" t="str">
        <f>IFERROR(__xludf.DUMMYFUNCTION("GOOGLETRANSLATE(A523, ""en"", ""hi"")"),"522")</f>
        <v>522</v>
      </c>
      <c r="G523" s="3" t="str">
        <f>IFERROR(__xludf.DUMMYFUNCTION("GOOGLETRANSLATE(B523, ""en"", ""hi"")"),"यदि कबड्डी रेडर बोनस लाइन पार करने का प्रयास करते समय टैकल हो जाता है, लेकिन डिफेंडर सीमा से बाहर है, तो क्या होगा?")</f>
        <v>यदि कबड्डी रेडर बोनस लाइन पार करने का प्रयास करते समय टैकल हो जाता है, लेकिन डिफेंडर सीमा से बाहर है, तो क्या होगा?</v>
      </c>
      <c r="H523" s="3" t="str">
        <f>IFERROR(__xludf.DUMMYFUNCTION("GOOGLETRANSLATE(C523, ""en"", ""hi"")"),"A) रेडर को 1 अंक मिलता है, B) रेडर आउट हो जाता है, C) बचाव करने वाली टीम को पेनल्टी मिलती है, D) खेल रोक दिया जाता है")</f>
        <v>A) रेडर को 1 अंक मिलता है, B) रेडर आउट हो जाता है, C) बचाव करने वाली टीम को पेनल्टी मिलती है, D) खेल रोक दिया जाता है</v>
      </c>
      <c r="I523" s="3" t="str">
        <f>IFERROR(__xludf.DUMMYFUNCTION("GOOGLETRANSLATE(D523, ""en"", ""hi"")"),"A) रेडर को 1 अंक मिलता है")</f>
        <v>A) रेडर को 1 अंक मिलता है</v>
      </c>
    </row>
    <row r="524" ht="22.5" customHeight="1">
      <c r="A524" s="2">
        <v>523.0</v>
      </c>
      <c r="B524" s="3" t="s">
        <v>1078</v>
      </c>
      <c r="C524" s="3" t="s">
        <v>1079</v>
      </c>
      <c r="D524" s="3" t="s">
        <v>1027</v>
      </c>
      <c r="F524" s="3" t="str">
        <f>IFERROR(__xludf.DUMMYFUNCTION("GOOGLETRANSLATE(A524, ""en"", ""hi"")"),"523")</f>
        <v>523</v>
      </c>
      <c r="G524" s="3" t="str">
        <f>IFERROR(__xludf.DUMMYFUNCTION("GOOGLETRANSLATE(B524, ""en"", ""hi"")"),"कबड्डी मैच के दौरान, यदि रेडिंग टीम ऑल आउट हो जाती है और बचाव करने वाली टीम के पास कोई खिलाड़ी उपलब्ध नहीं होता है, तो परिणाम क्या होगा?")</f>
        <v>कबड्डी मैच के दौरान, यदि रेडिंग टीम ऑल आउट हो जाती है और बचाव करने वाली टीम के पास कोई खिलाड़ी उपलब्ध नहीं होता है, तो परिणाम क्या होगा?</v>
      </c>
      <c r="H524" s="3" t="str">
        <f>IFERROR(__xludf.DUMMYFUNCTION("GOOGLETRANSLATE(C524, ""en"", ""hi"")"),"A) बचाव करने वाली टीम को 2 अंक मिलते हैं, B) छापा मारने वाली टीम को 2 अंक मिलते हैं, C) खेल रोक दिया जाता है, D) मैच को ड्रॉ घोषित कर दिया जाता है")</f>
        <v>A) बचाव करने वाली टीम को 2 अंक मिलते हैं, B) छापा मारने वाली टीम को 2 अंक मिलते हैं, C) खेल रोक दिया जाता है, D) मैच को ड्रॉ घोषित कर दिया जाता है</v>
      </c>
      <c r="I524" s="3" t="str">
        <f>IFERROR(__xludf.DUMMYFUNCTION("GOOGLETRANSLATE(D524, ""en"", ""hi"")"),"A) बचाव करने वाली टीम को 2 अंक मिलते हैं")</f>
        <v>A) बचाव करने वाली टीम को 2 अंक मिलते हैं</v>
      </c>
    </row>
    <row r="525" ht="22.5" customHeight="1">
      <c r="A525" s="2">
        <v>524.0</v>
      </c>
      <c r="B525" s="3" t="s">
        <v>1080</v>
      </c>
      <c r="C525" s="3" t="s">
        <v>1081</v>
      </c>
      <c r="D525" s="3" t="s">
        <v>1082</v>
      </c>
      <c r="F525" s="3" t="str">
        <f>IFERROR(__xludf.DUMMYFUNCTION("GOOGLETRANSLATE(A525, ""en"", ""hi"")"),"524")</f>
        <v>524</v>
      </c>
      <c r="G525" s="3" t="str">
        <f>IFERROR(__xludf.DUMMYFUNCTION("GOOGLETRANSLATE(B525, ""en"", ""hi"")"),"रेड के दौरान कबड्डी रेडर का प्राथमिक उद्देश्य क्या होता है?")</f>
        <v>रेड के दौरान कबड्डी रेडर का प्राथमिक उद्देश्य क्या होता है?</v>
      </c>
      <c r="H525" s="3" t="str">
        <f>IFERROR(__xludf.DUMMYFUNCTION("GOOGLETRANSLATE(C525, ""en"", ""hi"")"),"A) डिफेंडरों को टैग करना और अपने हाफ में वापस लौटना, B) डिफेंडरों से निपटना, C) बोनस अंक प्राप्त करना, D) मिडलाइन की रक्षा करना")</f>
        <v>A) डिफेंडरों को टैग करना और अपने हाफ में वापस लौटना, B) डिफेंडरों से निपटना, C) बोनस अंक प्राप्त करना, D) मिडलाइन की रक्षा करना</v>
      </c>
      <c r="I525" s="3" t="str">
        <f>IFERROR(__xludf.DUMMYFUNCTION("GOOGLETRANSLATE(D525, ""en"", ""hi"")"),"A) डिफेंडरों को टैग करना और अपने हाफ में वापस लौटना")</f>
        <v>A) डिफेंडरों को टैग करना और अपने हाफ में वापस लौटना</v>
      </c>
    </row>
    <row r="526" ht="22.5" customHeight="1">
      <c r="A526" s="2">
        <v>525.0</v>
      </c>
      <c r="B526" s="3" t="s">
        <v>1083</v>
      </c>
      <c r="C526" s="3" t="s">
        <v>1084</v>
      </c>
      <c r="D526" s="3" t="s">
        <v>1065</v>
      </c>
      <c r="F526" s="3" t="str">
        <f>IFERROR(__xludf.DUMMYFUNCTION("GOOGLETRANSLATE(A526, ""en"", ""hi"")"),"525")</f>
        <v>525</v>
      </c>
      <c r="G526" s="3" t="str">
        <f>IFERROR(__xludf.DUMMYFUNCTION("GOOGLETRANSLATE(B526, ""en"", ""hi"")"),"यदि कोई कबड्डी डिफेंडर टैकल के दौरान फाउल करता है, तो बचाव करने वाली टीम के लिए सामान्य दंड क्या है?")</f>
        <v>यदि कोई कबड्डी डिफेंडर टैकल के दौरान फाउल करता है, तो बचाव करने वाली टीम के लिए सामान्य दंड क्या है?</v>
      </c>
      <c r="H526" s="3" t="str">
        <f>IFERROR(__xludf.DUMMYFUNCTION("GOOGLETRANSLATE(C526, ""en"", ""hi"")"),"A) रेड करने वाली टीम को 1 अंक मिलता है, B) बचाव करने वाली टीम को 1 अंक का नुकसान होता है, C) खेल रोक दिया जाता है, D) रेड करने वाली टीम को पेनल्टी मिलती है")</f>
        <v>A) रेड करने वाली टीम को 1 अंक मिलता है, B) बचाव करने वाली टीम को 1 अंक का नुकसान होता है, C) खेल रोक दिया जाता है, D) रेड करने वाली टीम को पेनल्टी मिलती है</v>
      </c>
      <c r="I526" s="3" t="str">
        <f>IFERROR(__xludf.DUMMYFUNCTION("GOOGLETRANSLATE(D526, ""en"", ""hi"")"),"A) छापा मारने वाली टीम को 1 अंक मिलता है")</f>
        <v>A) छापा मारने वाली टीम को 1 अंक मिलता है</v>
      </c>
    </row>
    <row r="527" ht="22.5" customHeight="1">
      <c r="A527" s="2">
        <v>526.0</v>
      </c>
      <c r="B527" s="3" t="s">
        <v>1085</v>
      </c>
      <c r="C527" s="3" t="s">
        <v>47</v>
      </c>
      <c r="D527" s="3" t="s">
        <v>52</v>
      </c>
      <c r="F527" s="3" t="str">
        <f>IFERROR(__xludf.DUMMYFUNCTION("GOOGLETRANSLATE(A527, ""en"", ""hi"")"),"526")</f>
        <v>526</v>
      </c>
      <c r="G527" s="3" t="str">
        <f>IFERROR(__xludf.DUMMYFUNCTION("GOOGLETRANSLATE(B527, ""en"", ""hi"")"),"कबड्डी रेड के दौरान, यदि रेडर को कई डिफेंडरों द्वारा टैग किया जाता है, लेकिन वह एक डिफेंडर को टैग करने में सफल हो जाता है, तो रेडर को कितने अंक मिलेंगे?")</f>
        <v>कबड्डी रेड के दौरान, यदि रेडर को कई डिफेंडरों द्वारा टैग किया जाता है, लेकिन वह एक डिफेंडर को टैग करने में सफल हो जाता है, तो रेडर को कितने अंक मिलेंगे?</v>
      </c>
      <c r="H527" s="3" t="str">
        <f>IFERROR(__xludf.DUMMYFUNCTION("GOOGLETRANSLATE(C527, ""en"", ""hi"")"),"A) 1 अंक, B) 2 अंक, C) 3 अंक, D) 4 अंक")</f>
        <v>A) 1 अंक, B) 2 अंक, C) 3 अंक, D) 4 अंक</v>
      </c>
      <c r="I527" s="3" t="str">
        <f>IFERROR(__xludf.DUMMYFUNCTION("GOOGLETRANSLATE(D527, ""en"", ""hi"")"),"ए) 1 अंक")</f>
        <v>ए) 1 अंक</v>
      </c>
    </row>
    <row r="528" ht="22.5" customHeight="1">
      <c r="A528" s="2">
        <v>527.0</v>
      </c>
      <c r="B528" s="3" t="s">
        <v>1086</v>
      </c>
      <c r="C528" s="3" t="s">
        <v>1087</v>
      </c>
      <c r="D528" s="3" t="s">
        <v>1088</v>
      </c>
      <c r="F528" s="3" t="str">
        <f>IFERROR(__xludf.DUMMYFUNCTION("GOOGLETRANSLATE(A528, ""en"", ""hi"")"),"527")</f>
        <v>527</v>
      </c>
      <c r="G528" s="3" t="str">
        <f>IFERROR(__xludf.DUMMYFUNCTION("GOOGLETRANSLATE(B528, ""en"", ""hi"")"),"कबड्डी में, जब कोई रेडर 'डू-ऑर-डाई रेड' में अंक नहीं बना पाने के कारण आउट हो जाता है, तो उसे क्या कहते हैं?")</f>
        <v>कबड्डी में, जब कोई रेडर 'डू-ऑर-डाई रेड' में अंक नहीं बना पाने के कारण आउट हो जाता है, तो उसे क्या कहते हैं?</v>
      </c>
      <c r="H528" s="3" t="str">
        <f>IFERROR(__xludf.DUMMYFUNCTION("GOOGLETRANSLATE(C528, ""en"", ""hi"")"),"ए) ऑल-आउट, बी) सुपर रेड, सी) बोनस रेड, डी) डू-ऑर-डाई रेड")</f>
        <v>ए) ऑल-आउट, बी) सुपर रेड, सी) बोनस रेड, डी) डू-ऑर-डाई रेड</v>
      </c>
      <c r="I528" s="3" t="str">
        <f>IFERROR(__xludf.DUMMYFUNCTION("GOOGLETRANSLATE(D528, ""en"", ""hi"")"),"D) करो या मरो छापा")</f>
        <v>D) करो या मरो छापा</v>
      </c>
    </row>
    <row r="529" ht="22.5" customHeight="1">
      <c r="A529" s="2">
        <v>528.0</v>
      </c>
      <c r="B529" s="3" t="s">
        <v>1089</v>
      </c>
      <c r="C529" s="3" t="s">
        <v>1090</v>
      </c>
      <c r="D529" s="3" t="s">
        <v>1091</v>
      </c>
      <c r="F529" s="3" t="str">
        <f>IFERROR(__xludf.DUMMYFUNCTION("GOOGLETRANSLATE(A529, ""en"", ""hi"")"),"528")</f>
        <v>528</v>
      </c>
      <c r="G529" s="3" t="str">
        <f>IFERROR(__xludf.DUMMYFUNCTION("GOOGLETRANSLATE(B529, ""en"", ""hi"")"),"कबड्डी मैच में 'स्कोरर' की क्या भूमिका होती है?")</f>
        <v>कबड्डी मैच में 'स्कोरर' की क्या भूमिका होती है?</v>
      </c>
      <c r="H529" s="3" t="str">
        <f>IFERROR(__xludf.DUMMYFUNCTION("GOOGLETRANSLATE(C529, ""en"", ""hi"")"),"A) अंक और फ़ाउल पर नज़र रखना, B) मैच में रेफरी होना, C) टीमों को प्रशिक्षित करना, D) खिलाड़ियों की फिटनेस पर नज़र रखना")</f>
        <v>A) अंक और फ़ाउल पर नज़र रखना, B) मैच में रेफरी होना, C) टीमों को प्रशिक्षित करना, D) खिलाड़ियों की फिटनेस पर नज़र रखना</v>
      </c>
      <c r="I529" s="3" t="str">
        <f>IFERROR(__xludf.DUMMYFUNCTION("GOOGLETRANSLATE(D529, ""en"", ""hi"")"),"A) अंकों और फ़ाउल का ट्रैक रखने के लिए")</f>
        <v>A) अंकों और फ़ाउल का ट्रैक रखने के लिए</v>
      </c>
    </row>
    <row r="530" ht="22.5" customHeight="1">
      <c r="A530" s="2">
        <v>529.0</v>
      </c>
      <c r="B530" s="3" t="s">
        <v>1092</v>
      </c>
      <c r="C530" s="3" t="s">
        <v>1093</v>
      </c>
      <c r="D530" s="3" t="s">
        <v>1094</v>
      </c>
      <c r="F530" s="3" t="str">
        <f>IFERROR(__xludf.DUMMYFUNCTION("GOOGLETRANSLATE(A530, ""en"", ""hi"")"),"529")</f>
        <v>529</v>
      </c>
      <c r="G530" s="3" t="str">
        <f>IFERROR(__xludf.DUMMYFUNCTION("GOOGLETRANSLATE(B530, ""en"", ""hi"")"),"यदि कोई कबड्डी खिलाड़ी फाउल करता है और उसे पीला कार्ड मिलता है, तो सामान्य परिणाम क्या होता है?")</f>
        <v>यदि कोई कबड्डी खिलाड़ी फाउल करता है और उसे पीला कार्ड मिलता है, तो सामान्य परिणाम क्या होता है?</v>
      </c>
      <c r="H530" s="3" t="str">
        <f>IFERROR(__xludf.DUMMYFUNCTION("GOOGLETRANSLATE(C530, ""en"", ""hi"")"),"A) खिलाड़ी को चेतावनी दी जाती है, B) खिलाड़ी को प्रतिस्थापित किया जाता है, C) खिलाड़ी पर जुर्माना लगाया जाता है, D) टीम 1 अंक खो देती है")</f>
        <v>A) खिलाड़ी को चेतावनी दी जाती है, B) खिलाड़ी को प्रतिस्थापित किया जाता है, C) खिलाड़ी पर जुर्माना लगाया जाता है, D) टीम 1 अंक खो देती है</v>
      </c>
      <c r="I530" s="3" t="str">
        <f>IFERROR(__xludf.DUMMYFUNCTION("GOOGLETRANSLATE(D530, ""en"", ""hi"")"),"A) खिलाड़ी को चेतावनी दी जाती है")</f>
        <v>A) खिलाड़ी को चेतावनी दी जाती है</v>
      </c>
    </row>
    <row r="531" ht="22.5" customHeight="1">
      <c r="A531" s="2">
        <v>530.0</v>
      </c>
      <c r="B531" s="3" t="s">
        <v>1095</v>
      </c>
      <c r="C531" s="3" t="s">
        <v>1096</v>
      </c>
      <c r="D531" s="3" t="s">
        <v>722</v>
      </c>
      <c r="F531" s="3" t="str">
        <f>IFERROR(__xludf.DUMMYFUNCTION("GOOGLETRANSLATE(A531, ""en"", ""hi"")"),"530")</f>
        <v>530</v>
      </c>
      <c r="G531" s="3" t="str">
        <f>IFERROR(__xludf.DUMMYFUNCTION("GOOGLETRANSLATE(B531, ""en"", ""hi"")"),"कबड्डी रेड के दौरान यदि रेडर पकड़ा जाता है और बचाव करने वाली टीम के पास कम खिलाड़ी होते हैं, तो क्या होता है?")</f>
        <v>कबड्डी रेड के दौरान यदि रेडर पकड़ा जाता है और बचाव करने वाली टीम के पास कम खिलाड़ी होते हैं, तो क्या होता है?</v>
      </c>
      <c r="H531" s="3" t="str">
        <f>IFERROR(__xludf.DUMMYFUNCTION("GOOGLETRANSLATE(C531, ""en"", ""hi"")"),"A) बचाव करने वाली टीम को 1 अंक मिलता है, B) रेडर आउट हो जाता है, C) रेड करने वाली टीम को 1 अंक मिलता है, D) खेल रोक दिया जाता है")</f>
        <v>A) बचाव करने वाली टीम को 1 अंक मिलता है, B) रेडर आउट हो जाता है, C) रेड करने वाली टीम को 1 अंक मिलता है, D) खेल रोक दिया जाता है</v>
      </c>
      <c r="I531" s="3" t="str">
        <f>IFERROR(__xludf.DUMMYFUNCTION("GOOGLETRANSLATE(D531, ""en"", ""hi"")"),"A) बचाव करने वाली टीम को 1 अंक मिलता है")</f>
        <v>A) बचाव करने वाली टीम को 1 अंक मिलता है</v>
      </c>
    </row>
    <row r="532" ht="22.5" customHeight="1">
      <c r="A532" s="2">
        <v>531.0</v>
      </c>
      <c r="B532" s="3" t="s">
        <v>1097</v>
      </c>
      <c r="C532" s="3" t="s">
        <v>1098</v>
      </c>
      <c r="D532" s="3" t="s">
        <v>1099</v>
      </c>
      <c r="F532" s="3" t="str">
        <f>IFERROR(__xludf.DUMMYFUNCTION("GOOGLETRANSLATE(A532, ""en"", ""hi"")"),"531")</f>
        <v>531</v>
      </c>
      <c r="G532" s="3" t="str">
        <f>IFERROR(__xludf.DUMMYFUNCTION("GOOGLETRANSLATE(B532, ""en"", ""hi"")"),"कबड्डी मैच में 'तकनीकी अधिकारी' की क्या भूमिका होती है?")</f>
        <v>कबड्डी मैच में 'तकनीकी अधिकारी' की क्या भूमिका होती है?</v>
      </c>
      <c r="H532" s="3" t="str">
        <f>IFERROR(__xludf.DUMMYFUNCTION("GOOGLETRANSLATE(C532, ""en"", ""hi"")"),"A) मैच के नियमों और प्रक्रियाओं में सहायता करना, B) मैच का स्कोर बनाना, C) टीमों को प्रशिक्षित करना, D) मैच में रेफरी करना")</f>
        <v>A) मैच के नियमों और प्रक्रियाओं में सहायता करना, B) मैच का स्कोर बनाना, C) टीमों को प्रशिक्षित करना, D) मैच में रेफरी करना</v>
      </c>
      <c r="I532" s="3" t="str">
        <f>IFERROR(__xludf.DUMMYFUNCTION("GOOGLETRANSLATE(D532, ""en"", ""hi"")"),"A) मैच के नियमों और प्रक्रियाओं में सहायता करना")</f>
        <v>A) मैच के नियमों और प्रक्रियाओं में सहायता करना</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2">
        <v>1.0</v>
      </c>
      <c r="B2" s="3" t="s">
        <v>1100</v>
      </c>
      <c r="C2" s="3" t="s">
        <v>1101</v>
      </c>
      <c r="D2" s="3" t="s">
        <v>1102</v>
      </c>
      <c r="F2" s="5" t="str">
        <f>IFERROR(__xludf.DUMMYFUNCTION("GOOGLETRANSLATE(A2, ""en"", ""hi"")"),"1")</f>
        <v>1</v>
      </c>
      <c r="G2" s="5" t="str">
        <f>IFERROR(__xludf.DUMMYFUNCTION("GOOGLETRANSLATE(B2, ""en"", ""hi"")"),"एक पारंपरिक शतरंज के खेल में, सफ़ेद खिलाड़ी शुरुआती चरण में f7 पर घोड़े की बलि देता है। अब काले का राजा सामने आ गया है, और सफ़ेद खिलाड़ी के पास एक मज़बूत आक्रमण करने का मौका है। आक्रमण जारी रखने के लिए सफ़ेद खिलाड़ी को अगला कदम क्या उठाना चाहिए?")</f>
        <v>एक पारंपरिक शतरंज के खेल में, सफ़ेद खिलाड़ी शुरुआती चरण में f7 पर घोड़े की बलि देता है। अब काले का राजा सामने आ गया है, और सफ़ेद खिलाड़ी के पास एक मज़बूत आक्रमण करने का मौका है। आक्रमण जारी रखने के लिए सफ़ेद खिलाड़ी को अगला कदम क्या उठाना चाहिए?</v>
      </c>
      <c r="H2" s="5" t="str">
        <f>IFERROR(__xludf.DUMMYFUNCTION("GOOGLETRANSLATE(C2, ""en"", ""hi"")"),"A) g7 पर चेक तैयार करने के लिए रानी को g4 पर ले जाएं, B) बिशप के साथ काले के f7 मोहरे पर कब्जा करें, C) रूक को खेल में लाने के लिए किंगसाइड पर कैसल करें, D) अधिक स्थान को नियंत्रित करने के लिए बिशप को c4 पर ले जाएं")</f>
        <v>A) g7 पर चेक तैयार करने के लिए रानी को g4 पर ले जाएं, B) बिशप के साथ काले के f7 मोहरे पर कब्जा करें, C) रूक को खेल में लाने के लिए किंगसाइड पर कैसल करें, D) अधिक स्थान को नियंत्रित करने के लिए बिशप को c4 पर ले जाएं</v>
      </c>
      <c r="I2" s="5" t="str">
        <f>IFERROR(__xludf.DUMMYFUNCTION("GOOGLETRANSLATE(D2, ""en"", ""hi"")"),"A) g7 पर चेक तैयार करने के लिए रानी को g4 पर ले जाएं")</f>
        <v>A) g7 पर चेक तैयार करने के लिए रानी को g4 पर ले जाएं</v>
      </c>
    </row>
    <row r="3" ht="22.5" customHeight="1">
      <c r="A3" s="2">
        <v>2.0</v>
      </c>
      <c r="B3" s="3" t="s">
        <v>1103</v>
      </c>
      <c r="C3" s="3" t="s">
        <v>1104</v>
      </c>
      <c r="D3" s="3" t="s">
        <v>1105</v>
      </c>
      <c r="F3" s="5" t="str">
        <f>IFERROR(__xludf.DUMMYFUNCTION("GOOGLETRANSLATE(A3, ""en"", ""hi"")"),"2")</f>
        <v>2</v>
      </c>
      <c r="G3" s="5" t="str">
        <f>IFERROR(__xludf.DUMMYFUNCTION("GOOGLETRANSLATE(B3, ""en"", ""hi"")"),"एक तेज़ खेल में, सफ़ेद के पास सातवें क्रम पर एक उन्नत मोहरा है, और काले के पास पदोन्नति वर्ग की रक्षा करने वाला एक घोड़ा है। निम्नलिखित में से सफ़ेद की सबसे अच्छी रणनीति कौन सी है?")</f>
        <v>एक तेज़ खेल में, सफ़ेद के पास सातवें क्रम पर एक उन्नत मोहरा है, और काले के पास पदोन्नति वर्ग की रक्षा करने वाला एक घोड़ा है। निम्नलिखित में से सफ़ेद की सबसे अच्छी रणनीति कौन सी है?</v>
      </c>
      <c r="H3" s="5" t="str">
        <f>IFERROR(__xludf.DUMMYFUNCTION("GOOGLETRANSLATE(C3, ""en"", ""hi"")"),"ए) मोहरे को आगे बढ़ाना, बी) रानी के साथ मोहरे की रक्षा करना, सी) किश्ती चेक के साथ घोड़े को दूर जाने के लिए मजबूर करना, डी) मोहरे का बलिदान करना और केंद्र पर नियंत्रण प्राप्त करना")</f>
        <v>ए) मोहरे को आगे बढ़ाना, बी) रानी के साथ मोहरे की रक्षा करना, सी) किश्ती चेक के साथ घोड़े को दूर जाने के लिए मजबूर करना, डी) मोहरे का बलिदान करना और केंद्र पर नियंत्रण प्राप्त करना</v>
      </c>
      <c r="I3" s="5" t="str">
        <f>IFERROR(__xludf.DUMMYFUNCTION("GOOGLETRANSLATE(D3, ""en"", ""hi"")"),"C) रूक चेक के साथ घोड़े को दूर जाने के लिए मजबूर करें")</f>
        <v>C) रूक चेक के साथ घोड़े को दूर जाने के लिए मजबूर करें</v>
      </c>
    </row>
    <row r="4" ht="22.5" customHeight="1">
      <c r="A4" s="2">
        <v>3.0</v>
      </c>
      <c r="B4" s="3" t="s">
        <v>1106</v>
      </c>
      <c r="C4" s="3" t="s">
        <v>1107</v>
      </c>
      <c r="D4" s="3" t="s">
        <v>1108</v>
      </c>
      <c r="F4" s="5" t="str">
        <f>IFERROR(__xludf.DUMMYFUNCTION("GOOGLETRANSLATE(A4, ""en"", ""hi"")"),"3")</f>
        <v>3</v>
      </c>
      <c r="G4" s="5" t="str">
        <f>IFERROR(__xludf.DUMMYFUNCTION("GOOGLETRANSLATE(B4, ""en"", ""hi"")"),"एक मानक शतरंज के खेल में, सफ़ेद का बादशाह किंगसाइड की तरफ़ से कैसल्ड होता है जबकि काले के मोहरे क्वीनसाइड से हमला करते हैं। सफ़ेद के लिए सबसे अच्छा रक्षात्मक कदम क्या होगा?")</f>
        <v>एक मानक शतरंज के खेल में, सफ़ेद का बादशाह किंगसाइड की तरफ़ से कैसल्ड होता है जबकि काले के मोहरे क्वीनसाइड से हमला करते हैं। सफ़ेद के लिए सबसे अच्छा रक्षात्मक कदम क्या होगा?</v>
      </c>
      <c r="H4" s="5" t="str">
        <f>IFERROR(__xludf.DUMMYFUNCTION("GOOGLETRANSLATE(C4, ""en"", ""hi"")"),"A) g-प्यादा को g3 पर धकेलें, B) h-प्यादा को h4 पर धकेलें, C) किश्ती को f1 पर ले जाएं, D) बादशाह को h1 पर ले जाएं")</f>
        <v>A) g-प्यादा को g3 पर धकेलें, B) h-प्यादा को h4 पर धकेलें, C) किश्ती को f1 पर ले जाएं, D) बादशाह को h1 पर ले जाएं</v>
      </c>
      <c r="I4" s="5" t="str">
        <f>IFERROR(__xludf.DUMMYFUNCTION("GOOGLETRANSLATE(D4, ""en"", ""hi"")"),"A) g-प्यादा को g3 पर धकेलें")</f>
        <v>A) g-प्यादा को g3 पर धकेलें</v>
      </c>
    </row>
    <row r="5" ht="22.5" customHeight="1">
      <c r="A5" s="2">
        <v>4.0</v>
      </c>
      <c r="B5" s="3" t="s">
        <v>1109</v>
      </c>
      <c r="C5" s="3" t="s">
        <v>1110</v>
      </c>
      <c r="D5" s="3" t="s">
        <v>1111</v>
      </c>
      <c r="F5" s="5" t="str">
        <f>IFERROR(__xludf.DUMMYFUNCTION("GOOGLETRANSLATE(A5, ""en"", ""hi"")"),"4")</f>
        <v>4</v>
      </c>
      <c r="G5" s="5" t="str">
        <f>IFERROR(__xludf.DUMMYFUNCTION("GOOGLETRANSLATE(B5, ""en"", ""hi"")"),"मध्य खेल के दौरान, सफ़ेद के पास d5 पर एक अच्छी स्थिति में घोड़ा है और काले के पास कोई तात्कालिक खतरा नहीं है। सफ़ेद के लिए अपनी बढ़त को मज़बूत करने की सबसे अच्छी रणनीति क्या होगी?")</f>
        <v>मध्य खेल के दौरान, सफ़ेद के पास d5 पर एक अच्छी स्थिति में घोड़ा है और काले के पास कोई तात्कालिक खतरा नहीं है। सफ़ेद के लिए अपनी बढ़त को मज़बूत करने की सबसे अच्छी रणनीति क्या होगी?</v>
      </c>
      <c r="H5" s="5" t="str">
        <f>IFERROR(__xludf.DUMMYFUNCTION("GOOGLETRANSLATE(C5, ""en"", ""hi"")"),"ए) घोड़े को काले के बिशप से बदलें, बी) घोड़े को f6 पर ले जाकर काले के राजा पर आक्रमण करें, सी) ई-प्यादा को धकेलकर केंद्र खोलें, डी) किश्ती को c1 पर ले जाकर खुली फाइल को नियंत्रित करें")</f>
        <v>ए) घोड़े को काले के बिशप से बदलें, बी) घोड़े को f6 पर ले जाकर काले के राजा पर आक्रमण करें, सी) ई-प्यादा को धकेलकर केंद्र खोलें, डी) किश्ती को c1 पर ले जाकर खुली फाइल को नियंत्रित करें</v>
      </c>
      <c r="I5" s="5" t="str">
        <f>IFERROR(__xludf.DUMMYFUNCTION("GOOGLETRANSLATE(D5, ""en"", ""hi"")"),"D) खुली फ़ाइल को नियंत्रित करने के लिए रूक को c1 पर ले जाएँ")</f>
        <v>D) खुली फ़ाइल को नियंत्रित करने के लिए रूक को c1 पर ले जाएँ</v>
      </c>
    </row>
    <row r="6" ht="22.5" customHeight="1">
      <c r="A6" s="2">
        <v>5.0</v>
      </c>
      <c r="B6" s="3" t="s">
        <v>1112</v>
      </c>
      <c r="C6" s="3" t="s">
        <v>1113</v>
      </c>
      <c r="D6" s="3" t="s">
        <v>1114</v>
      </c>
      <c r="F6" s="5" t="str">
        <f>IFERROR(__xludf.DUMMYFUNCTION("GOOGLETRANSLATE(A6, ""en"", ""hi"")"),"5")</f>
        <v>5</v>
      </c>
      <c r="G6" s="5" t="str">
        <f>IFERROR(__xludf.DUMMYFUNCTION("GOOGLETRANSLATE(B6, ""en"", ""hi"")"),"सफेद के पास ई-फाइल पर एक रानी और एक किश्ती है, जो काले के राजा के लिए खतरा है, जो कैसल नहीं कर पा रहा है। सफेद के लिए हमला जारी रखने का सबसे प्रभावी तरीका क्या है?")</f>
        <v>सफेद के पास ई-फाइल पर एक रानी और एक किश्ती है, जो काले के राजा के लिए खतरा है, जो कैसल नहीं कर पा रहा है। सफेद के लिए हमला जारी रखने का सबसे प्रभावी तरीका क्या है?</v>
      </c>
      <c r="H6" s="5" t="str">
        <f>IFERROR(__xludf.DUMMYFUNCTION("GOOGLETRANSLATE(C6, ""en"", ""hi"")"),"A) सीधे चेक के लिए रानी को e5 पर ले जाएं, B) e-प्यादा को लाइन खोलने के लिए धकेलें, C) किश्ती को e6 पर ले जाएं, D) घोड़े को f6 पर ले जाएं")</f>
        <v>A) सीधे चेक के लिए रानी को e5 पर ले जाएं, B) e-प्यादा को लाइन खोलने के लिए धकेलें, C) किश्ती को e6 पर ले जाएं, D) घोड़े को f6 पर ले जाएं</v>
      </c>
      <c r="I6" s="5" t="str">
        <f>IFERROR(__xludf.DUMMYFUNCTION("GOOGLETRANSLATE(D6, ""en"", ""hi"")"),"C) किश्ती को e6 पर ले जाएँ")</f>
        <v>C) किश्ती को e6 पर ले जाएँ</v>
      </c>
    </row>
    <row r="7" ht="22.5" customHeight="1">
      <c r="A7" s="2">
        <v>6.0</v>
      </c>
      <c r="B7" s="3" t="s">
        <v>1115</v>
      </c>
      <c r="C7" s="3" t="s">
        <v>1116</v>
      </c>
      <c r="D7" s="3" t="s">
        <v>1117</v>
      </c>
      <c r="F7" s="5" t="str">
        <f>IFERROR(__xludf.DUMMYFUNCTION("GOOGLETRANSLATE(A7, ""en"", ""hi"")"),"6")</f>
        <v>6</v>
      </c>
      <c r="G7" s="5" t="str">
        <f>IFERROR(__xludf.DUMMYFUNCTION("GOOGLETRANSLATE(B7, ""en"", ""hi"")"),"ब्लिट्ज़ गेम में, सफ़ेद खिलाड़ी सामग्री में तो आगे है, लेकिन समय कम है। जीतने के लिए सफ़ेद खिलाड़ी की सबसे अच्छी रणनीति क्या है?")</f>
        <v>ब्लिट्ज़ गेम में, सफ़ेद खिलाड़ी सामग्री में तो आगे है, लेकिन समय कम है। जीतने के लिए सफ़ेद खिलाड़ी की सबसे अच्छी रणनीति क्या है?</v>
      </c>
      <c r="H7" s="5" t="str">
        <f>IFERROR(__xludf.DUMMYFUNCTION("GOOGLETRANSLATE(C7, ""en"", ""hi"")"),"A) स्थिति को सरल बनाने के लिए मोहरों की अदला-बदली करें, B) काले के मोहरों पर आक्रामक तरीके से हमला करें, C) तुरंत शह और मात देने का प्रयास करें, D) बचाव करें और काले की गलती का इंतजार करें")</f>
        <v>A) स्थिति को सरल बनाने के लिए मोहरों की अदला-बदली करें, B) काले के मोहरों पर आक्रामक तरीके से हमला करें, C) तुरंत शह और मात देने का प्रयास करें, D) बचाव करें और काले की गलती का इंतजार करें</v>
      </c>
      <c r="I7" s="5" t="str">
        <f>IFERROR(__xludf.DUMMYFUNCTION("GOOGLETRANSLATE(D7, ""en"", ""hi"")"),"A) स्थिति को सरल बनाने के लिए मोहरों का आदान-प्रदान करें")</f>
        <v>A) स्थिति को सरल बनाने के लिए मोहरों का आदान-प्रदान करें</v>
      </c>
    </row>
    <row r="8" ht="22.5" customHeight="1">
      <c r="A8" s="2">
        <v>7.0</v>
      </c>
      <c r="B8" s="3" t="s">
        <v>1118</v>
      </c>
      <c r="C8" s="3" t="s">
        <v>1119</v>
      </c>
      <c r="D8" s="3" t="s">
        <v>1120</v>
      </c>
      <c r="F8" s="5" t="str">
        <f>IFERROR(__xludf.DUMMYFUNCTION("GOOGLETRANSLATE(A8, ""en"", ""hi"")"),"7")</f>
        <v>7</v>
      </c>
      <c r="G8" s="5" t="str">
        <f>IFERROR(__xludf.DUMMYFUNCTION("GOOGLETRANSLATE(B8, ""en"", ""hi"")"),"सफ़ेद का किश्ती सातवें क्रम पर है और काले के प्यादों को नियंत्रित कर रहा है। सफ़ेद किश्ती की प्रभावशीलता को अधिकतम कैसे कर सकता है?")</f>
        <v>सफ़ेद का किश्ती सातवें क्रम पर है और काले के प्यादों को नियंत्रित कर रहा है। सफ़ेद किश्ती की प्रभावशीलता को अधिकतम कैसे कर सकता है?</v>
      </c>
      <c r="H8" s="5" t="str">
        <f>IFERROR(__xludf.DUMMYFUNCTION("GOOGLETRANSLATE(C8, ""en"", ""hi"")"),"ए) चेक देने के लिए हाथी को आठवीं पंक्ति में ले जाएं, बी) मोहरे से हाथी की रक्षा करें, सी) काले की पिछली पंक्ति को निशाना बनाने के लिए रानी के साथ समन्वय करें, डी) जवाबी हमलों से बचाव के लिए हाथी को छठी पंक्ति में ले जाएं")</f>
        <v>ए) चेक देने के लिए हाथी को आठवीं पंक्ति में ले जाएं, बी) मोहरे से हाथी की रक्षा करें, सी) काले की पिछली पंक्ति को निशाना बनाने के लिए रानी के साथ समन्वय करें, डी) जवाबी हमलों से बचाव के लिए हाथी को छठी पंक्ति में ले जाएं</v>
      </c>
      <c r="I8" s="5" t="str">
        <f>IFERROR(__xludf.DUMMYFUNCTION("GOOGLETRANSLATE(D8, ""en"", ""hi"")"),"C) काले की पिछली पंक्ति को निशाना बनाने के लिए रानी के साथ समन्वय करें")</f>
        <v>C) काले की पिछली पंक्ति को निशाना बनाने के लिए रानी के साथ समन्वय करें</v>
      </c>
    </row>
    <row r="9" ht="22.5" customHeight="1">
      <c r="A9" s="2">
        <v>8.0</v>
      </c>
      <c r="B9" s="3" t="s">
        <v>1121</v>
      </c>
      <c r="C9" s="3" t="s">
        <v>1122</v>
      </c>
      <c r="D9" s="3" t="s">
        <v>1123</v>
      </c>
      <c r="F9" s="5" t="str">
        <f>IFERROR(__xludf.DUMMYFUNCTION("GOOGLETRANSLATE(A9, ""en"", ""hi"")"),"8")</f>
        <v>8</v>
      </c>
      <c r="G9" s="5" t="str">
        <f>IFERROR(__xludf.DUMMYFUNCTION("GOOGLETRANSLATE(B9, ""en"", ""hi"")"),"सफ़ेद पक्ष बुलेट गेम खेल रहा है और उसके पास बादशाह और प्यादा वाले अंतिम खेल में एक अतिरिक्त प्यादा है। जीत का सबसे कारगर रास्ता क्या है?")</f>
        <v>सफ़ेद पक्ष बुलेट गेम खेल रहा है और उसके पास बादशाह और प्यादा वाले अंतिम खेल में एक अतिरिक्त प्यादा है। जीत का सबसे कारगर रास्ता क्या है?</v>
      </c>
      <c r="H9" s="5" t="str">
        <f>IFERROR(__xludf.DUMMYFUNCTION("GOOGLETRANSLATE(C9, ""en"", ""hi"")"),"क) मोहरे को तुरंत धकेलना, ख) मोहरे को सहारा देने के लिए राजा को पास लाना, ग) पहले काले के बचे हुए मोहरों को पकड़ना, घ) राजा के साथ विरोध करने का प्रयास करना")</f>
        <v>क) मोहरे को तुरंत धकेलना, ख) मोहरे को सहारा देने के लिए राजा को पास लाना, ग) पहले काले के बचे हुए मोहरों को पकड़ना, घ) राजा के साथ विरोध करने का प्रयास करना</v>
      </c>
      <c r="I9" s="5" t="str">
        <f>IFERROR(__xludf.DUMMYFUNCTION("GOOGLETRANSLATE(D9, ""en"", ""hi"")"),"B) मोहरे को सहारा देने के लिए राजा को पास लाओ")</f>
        <v>B) मोहरे को सहारा देने के लिए राजा को पास लाओ</v>
      </c>
    </row>
    <row r="10" ht="22.5" customHeight="1">
      <c r="A10" s="2">
        <v>9.0</v>
      </c>
      <c r="B10" s="3" t="s">
        <v>1124</v>
      </c>
      <c r="C10" s="3" t="s">
        <v>1125</v>
      </c>
      <c r="D10" s="3" t="s">
        <v>1126</v>
      </c>
      <c r="F10" s="5" t="str">
        <f>IFERROR(__xludf.DUMMYFUNCTION("GOOGLETRANSLATE(A10, ""en"", ""hi"")"),"9")</f>
        <v>9</v>
      </c>
      <c r="G10" s="5" t="str">
        <f>IFERROR(__xludf.DUMMYFUNCTION("GOOGLETRANSLATE(B10, ""en"", ""hi"")"),"अंतिम गेम में, सफ़ेद के पास एक बिशप और एक घोड़ा है, जबकि काले के पास एक अकेला राजा है। चेकमेट करने के लिए सफ़ेद की सबसे अच्छी रणनीति क्या है?")</f>
        <v>अंतिम गेम में, सफ़ेद के पास एक बिशप और एक घोड़ा है, जबकि काले के पास एक अकेला राजा है। चेकमेट करने के लिए सफ़ेद की सबसे अच्छी रणनीति क्या है?</v>
      </c>
      <c r="H10" s="5" t="str">
        <f>IFERROR(__xludf.DUMMYFUNCTION("GOOGLETRANSLATE(C10, ""en"", ""hi"")"),"ए) राजा की गति को प्रतिबंधित करने के लिए घोड़े का उपयोग करें, बी) दोनों मोहरों का उपयोग करके राजा को कोने में धकेलें, सी) बिशप को एक लंबे विकर्ण पर रखें, डी) राजा के भागने को रोकने के लिए घोड़े को ले जाएं")</f>
        <v>ए) राजा की गति को प्रतिबंधित करने के लिए घोड़े का उपयोग करें, बी) दोनों मोहरों का उपयोग करके राजा को कोने में धकेलें, सी) बिशप को एक लंबे विकर्ण पर रखें, डी) राजा के भागने को रोकने के लिए घोड़े को ले जाएं</v>
      </c>
      <c r="I10" s="5" t="str">
        <f>IFERROR(__xludf.DUMMYFUNCTION("GOOGLETRANSLATE(D10, ""en"", ""hi"")"),"बी) दोनों मोहरों का उपयोग करके राजा को कोने में धकेलें")</f>
        <v>बी) दोनों मोहरों का उपयोग करके राजा को कोने में धकेलें</v>
      </c>
    </row>
    <row r="11" ht="22.5" customHeight="1">
      <c r="A11" s="2">
        <v>10.0</v>
      </c>
      <c r="B11" s="3" t="s">
        <v>1127</v>
      </c>
      <c r="C11" s="3" t="s">
        <v>1128</v>
      </c>
      <c r="D11" s="3" t="s">
        <v>1129</v>
      </c>
      <c r="F11" s="5" t="str">
        <f>IFERROR(__xludf.DUMMYFUNCTION("GOOGLETRANSLATE(A11, ""en"", ""hi"")"),"10")</f>
        <v>10</v>
      </c>
      <c r="G11" s="5" t="str">
        <f>IFERROR(__xludf.DUMMYFUNCTION("GOOGLETRANSLATE(B11, ""en"", ""hi"")"),"शुरुआत में, सफ़ेद ने सभी छोटे मोहरों को तैयार कर लिया है और कैसल के लिए तैयार है। काले ने अपने केंद्रीय मोहरों को आक्रामक रूप से आगे बढ़ाया है। अब सफ़ेद को किस पर ध्यान केंद्रित करना चाहिए?")</f>
        <v>शुरुआत में, सफ़ेद ने सभी छोटे मोहरों को तैयार कर लिया है और कैसल के लिए तैयार है। काले ने अपने केंद्रीय मोहरों को आक्रामक रूप से आगे बढ़ाया है। अब सफ़ेद को किस पर ध्यान केंद्रित करना चाहिए?</v>
      </c>
      <c r="H11" s="5" t="str">
        <f>IFERROR(__xludf.DUMMYFUNCTION("GOOGLETRANSLATE(C11, ""en"", ""hi"")"),"ए) राजा की रक्षा के लिए महल बनाना, बी) काले का मुकाबला करने के लिए केंद्र में एक मोहरे को धकेलना, सी) रूक को जोड़ने के लिए रानी को विकसित करना, डी) एक रूक को एक खुली फ़ाइल में ले जाना")</f>
        <v>ए) राजा की रक्षा के लिए महल बनाना, बी) काले का मुकाबला करने के लिए केंद्र में एक मोहरे को धकेलना, सी) रूक को जोड़ने के लिए रानी को विकसित करना, डी) एक रूक को एक खुली फ़ाइल में ले जाना</v>
      </c>
      <c r="I11" s="5" t="str">
        <f>IFERROR(__xludf.DUMMYFUNCTION("GOOGLETRANSLATE(D11, ""en"", ""hi"")"),"A) राजा की सुरक्षा के लिए महल")</f>
        <v>A) राजा की सुरक्षा के लिए महल</v>
      </c>
    </row>
    <row r="12" ht="22.5" customHeight="1">
      <c r="A12" s="2">
        <v>11.0</v>
      </c>
      <c r="B12" s="3" t="s">
        <v>1130</v>
      </c>
      <c r="C12" s="3" t="s">
        <v>1131</v>
      </c>
      <c r="D12" s="3" t="s">
        <v>1132</v>
      </c>
      <c r="F12" s="5" t="str">
        <f>IFERROR(__xludf.DUMMYFUNCTION("GOOGLETRANSLATE(A12, ""en"", ""hi"")"),"11")</f>
        <v>11</v>
      </c>
      <c r="G12" s="5" t="str">
        <f>IFERROR(__xludf.DUMMYFUNCTION("GOOGLETRANSLATE(B12, ""en"", ""hi"")"),"सफ़ेद के पास रानी की तरफ़ से जुड़े हुए दो पास्ड प्यादे हैं। काले के मोहरे राजा की तरफ़ से सक्रिय हैं। सफ़ेद की सबसे अच्छी योजना क्या है?")</f>
        <v>सफ़ेद के पास रानी की तरफ़ से जुड़े हुए दो पास्ड प्यादे हैं। काले के मोहरे राजा की तरफ़ से सक्रिय हैं। सफ़ेद की सबसे अच्छी योजना क्या है?</v>
      </c>
      <c r="H12" s="5" t="str">
        <f>IFERROR(__xludf.DUMMYFUNCTION("GOOGLETRANSLATE(C12, ""en"", ""hi"")"),"A) प्यादों को धकेलें और एक पास्ड प्यादा बनाएँ, B) प्यादों को सहारा देने के लिए राजा को रानी की ओर लाएँ, C) किश्ती से राजा की ओर की रक्षा करें, D) काले के कमज़ोर प्यादों पर हमला करें")</f>
        <v>A) प्यादों को धकेलें और एक पास्ड प्यादा बनाएँ, B) प्यादों को सहारा देने के लिए राजा को रानी की ओर लाएँ, C) किश्ती से राजा की ओर की रक्षा करें, D) काले के कमज़ोर प्यादों पर हमला करें</v>
      </c>
      <c r="I12" s="5" t="str">
        <f>IFERROR(__xludf.DUMMYFUNCTION("GOOGLETRANSLATE(D12, ""en"", ""hi"")"),"A) प्यादों को धकेलें और एक पास्ड प्यादा बनाएँ")</f>
        <v>A) प्यादों को धकेलें और एक पास्ड प्यादा बनाएँ</v>
      </c>
    </row>
    <row r="13" ht="22.5" customHeight="1">
      <c r="A13" s="2">
        <v>12.0</v>
      </c>
      <c r="B13" s="3" t="s">
        <v>1133</v>
      </c>
      <c r="C13" s="3" t="s">
        <v>1134</v>
      </c>
      <c r="D13" s="3" t="s">
        <v>1135</v>
      </c>
      <c r="F13" s="5" t="str">
        <f>IFERROR(__xludf.DUMMYFUNCTION("GOOGLETRANSLATE(A13, ""en"", ""hi"")"),"12")</f>
        <v>12</v>
      </c>
      <c r="G13" s="5" t="str">
        <f>IFERROR(__xludf.DUMMYFUNCTION("GOOGLETRANSLATE(B13, ""en"", ""hi"")"),"काले के पास एक रानी है, एक किश्ती और एक घोड़ा, लेकिन सातवें क्रम पर एक खतरनाक पास्ड प्यादा है। काले के पास जवाबी हमले का सबसे अच्छा मौका क्या है?")</f>
        <v>काले के पास एक रानी है, एक किश्ती और एक घोड़ा, लेकिन सातवें क्रम पर एक खतरनाक पास्ड प्यादा है। काले के पास जवाबी हमले का सबसे अच्छा मौका क्या है?</v>
      </c>
      <c r="H13" s="5" t="str">
        <f>IFERROR(__xludf.DUMMYFUNCTION("GOOGLETRANSLATE(C13, ""en"", ""hi"")"),"A) मोहरे को आगे बढ़ाने के लिए धक्का दें, B) चेक देने के लिए किश्ती का उपयोग करें, C) सफेद की रानी के लिए किश्ती का आदान-प्रदान करें, D) सफेद के मोहरों को हमला करने से रोकें")</f>
        <v>A) मोहरे को आगे बढ़ाने के लिए धक्का दें, B) चेक देने के लिए किश्ती का उपयोग करें, C) सफेद की रानी के लिए किश्ती का आदान-प्रदान करें, D) सफेद के मोहरों को हमला करने से रोकें</v>
      </c>
      <c r="I13" s="5" t="str">
        <f>IFERROR(__xludf.DUMMYFUNCTION("GOOGLETRANSLATE(D13, ""en"", ""hi"")"),"A) मोहरे को आगे बढ़ाने के लिए धक्का देना")</f>
        <v>A) मोहरे को आगे बढ़ाने के लिए धक्का देना</v>
      </c>
    </row>
    <row r="14" ht="22.5" customHeight="1">
      <c r="A14" s="2">
        <v>13.0</v>
      </c>
      <c r="B14" s="3" t="s">
        <v>1136</v>
      </c>
      <c r="C14" s="3" t="s">
        <v>1137</v>
      </c>
      <c r="D14" s="3" t="s">
        <v>1138</v>
      </c>
      <c r="F14" s="5" t="str">
        <f>IFERROR(__xludf.DUMMYFUNCTION("GOOGLETRANSLATE(A14, ""en"", ""hi"")"),"13")</f>
        <v>13</v>
      </c>
      <c r="G14" s="5" t="str">
        <f>IFERROR(__xludf.DUMMYFUNCTION("GOOGLETRANSLATE(B14, ""en"", ""hi"")"),"एक जटिल मध्य-खेल में सफ़ेद पक्ष एक मोहरा आगे है, लेकिन काले पक्ष के पास मज़बूत केंद्रीय मोहरे हैं। सफ़ेद पक्ष को किस पर ध्यान केंद्रित करना चाहिए?")</f>
        <v>एक जटिल मध्य-खेल में सफ़ेद पक्ष एक मोहरा आगे है, लेकिन काले पक्ष के पास मज़बूत केंद्रीय मोहरे हैं। सफ़ेद पक्ष को किस पर ध्यान केंद्रित करना चाहिए?</v>
      </c>
      <c r="H14" s="5" t="str">
        <f>IFERROR(__xludf.DUMMYFUNCTION("GOOGLETRANSLATE(C14, ""en"", ""hi"")"),"ए) काले के जवाबी हमले को कम करने के लिए रानियों की अदला-बदली करें, बी) काले के प्यादों पर तुरंत हमला करें, सी) बचाव करके अतिरिक्त सामग्री को मजबूत करें, डी) काले के केंद्र को चुनौती देने के लिए एक मोहरे को आगे बढ़ाएं")</f>
        <v>ए) काले के जवाबी हमले को कम करने के लिए रानियों की अदला-बदली करें, बी) काले के प्यादों पर तुरंत हमला करें, सी) बचाव करके अतिरिक्त सामग्री को मजबूत करें, डी) काले के केंद्र को चुनौती देने के लिए एक मोहरे को आगे बढ़ाएं</v>
      </c>
      <c r="I14" s="5" t="str">
        <f>IFERROR(__xludf.DUMMYFUNCTION("GOOGLETRANSLATE(D14, ""en"", ""hi"")"),"A) काले के प्रतिकार को कम करने के लिए रानियों का आदान-प्रदान करें")</f>
        <v>A) काले के प्रतिकार को कम करने के लिए रानियों का आदान-प्रदान करें</v>
      </c>
    </row>
    <row r="15" ht="22.5" customHeight="1">
      <c r="A15" s="2">
        <v>14.0</v>
      </c>
      <c r="B15" s="3" t="s">
        <v>1139</v>
      </c>
      <c r="C15" s="3" t="s">
        <v>1140</v>
      </c>
      <c r="D15" s="3" t="s">
        <v>1141</v>
      </c>
      <c r="F15" s="5" t="str">
        <f>IFERROR(__xludf.DUMMYFUNCTION("GOOGLETRANSLATE(A15, ""en"", ""hi"")"),"14")</f>
        <v>14</v>
      </c>
      <c r="G15" s="5" t="str">
        <f>IFERROR(__xludf.DUMMYFUNCTION("GOOGLETRANSLATE(B15, ""en"", ""hi"")"),"रानी बनाम किश्ती के अंतिम खेल में, सफेद के पास एक रानी है, लेकिन काले का किश्ती सक्रिय फ़ाइल पर है। सफेद को कैसे आगे बढ़ना चाहिए?")</f>
        <v>रानी बनाम किश्ती के अंतिम खेल में, सफेद के पास एक रानी है, लेकिन काले का किश्ती सक्रिय फ़ाइल पर है। सफेद को कैसे आगे बढ़ना चाहिए?</v>
      </c>
      <c r="H15" s="5" t="str">
        <f>IFERROR(__xludf.DUMMYFUNCTION("GOOGLETRANSLATE(C15, ""en"", ""hi"")"),"क) चेक के साथ काले के राजा का पीछा करना, ख) रानी को किश्ती के लिए बदलना, ग) किश्ती को विचलित करने के लिए मोहरे को धक्का देना, घ) किश्ती को बोर्ड के किनारे पर लाने का प्रयास करना")</f>
        <v>क) चेक के साथ काले के राजा का पीछा करना, ख) रानी को किश्ती के लिए बदलना, ग) किश्ती को विचलित करने के लिए मोहरे को धक्का देना, घ) किश्ती को बोर्ड के किनारे पर लाने का प्रयास करना</v>
      </c>
      <c r="I15" s="5" t="str">
        <f>IFERROR(__xludf.DUMMYFUNCTION("GOOGLETRANSLATE(D15, ""en"", ""hi"")"),"D) हाथी को बोर्ड के किनारे तक लाने का प्रयास करें")</f>
        <v>D) हाथी को बोर्ड के किनारे तक लाने का प्रयास करें</v>
      </c>
    </row>
    <row r="16" ht="22.5" customHeight="1">
      <c r="A16" s="2">
        <v>15.0</v>
      </c>
      <c r="B16" s="3" t="s">
        <v>1142</v>
      </c>
      <c r="C16" s="3" t="s">
        <v>1143</v>
      </c>
      <c r="D16" s="3" t="s">
        <v>1144</v>
      </c>
      <c r="F16" s="5" t="str">
        <f>IFERROR(__xludf.DUMMYFUNCTION("GOOGLETRANSLATE(A16, ""en"", ""hi"")"),"15")</f>
        <v>15</v>
      </c>
      <c r="G16" s="5" t="str">
        <f>IFERROR(__xludf.DUMMYFUNCTION("GOOGLETRANSLATE(B16, ""en"", ""hi"")"),"सफ़ेद ने एक मज़बूत किंगसाइड हमले के लिए एक बिशप का बलिदान दिया है। काले का राजा खुला है, लेकिन सफ़ेद के पास तुरंत कोई शह नहीं है। हमले को जारी रखने का सबसे अच्छा तरीका क्या है?")</f>
        <v>सफ़ेद ने एक मज़बूत किंगसाइड हमले के लिए एक बिशप का बलिदान दिया है। काले का राजा खुला है, लेकिन सफ़ेद के पास तुरंत कोई शह नहीं है। हमले को जारी रखने का सबसे अच्छा तरीका क्या है?</v>
      </c>
      <c r="H16" s="5" t="str">
        <f>IFERROR(__xludf.DUMMYFUNCTION("GOOGLETRANSLATE(C16, ""en"", ""hi"")"),"A) रानी को h5 पर ले आएं, B) h-प्यादा को धक्का दें, C) घोड़े को g5 पर ले आएं, D) e-प्यादा को धक्का देकर केंद्र खोलें")</f>
        <v>A) रानी को h5 पर ले आएं, B) h-प्यादा को धक्का दें, C) घोड़े को g5 पर ले आएं, D) e-प्यादा को धक्का देकर केंद्र खोलें</v>
      </c>
      <c r="I16" s="5" t="str">
        <f>IFERROR(__xludf.DUMMYFUNCTION("GOOGLETRANSLATE(D16, ""en"", ""hi"")"),"C) घोड़े को g5 पर लाएँ")</f>
        <v>C) घोड़े को g5 पर लाएँ</v>
      </c>
    </row>
    <row r="17" ht="22.5" customHeight="1">
      <c r="A17" s="2">
        <v>16.0</v>
      </c>
      <c r="B17" s="3" t="s">
        <v>1145</v>
      </c>
      <c r="C17" s="3" t="s">
        <v>1146</v>
      </c>
      <c r="D17" s="3" t="s">
        <v>1147</v>
      </c>
      <c r="F17" s="5" t="str">
        <f>IFERROR(__xludf.DUMMYFUNCTION("GOOGLETRANSLATE(A17, ""en"", ""hi"")"),"16")</f>
        <v>16</v>
      </c>
      <c r="G17" s="5" t="str">
        <f>IFERROR(__xludf.DUMMYFUNCTION("GOOGLETRANSLATE(B17, ""en"", ""hi"")"),"एक तेज़ खेल में, काले के पास डी-फ़ाइल पर एक अलग मोहरा है। सफ़ेद के मोहरे अच्छी स्थिति में हैं। सफ़ेद के लिए सबसे अच्छी रणनीति क्या है?")</f>
        <v>एक तेज़ खेल में, काले के पास डी-फ़ाइल पर एक अलग मोहरा है। सफ़ेद के मोहरे अच्छी स्थिति में हैं। सफ़ेद के लिए सबसे अच्छी रणनीति क्या है?</v>
      </c>
      <c r="H17" s="5" t="str">
        <f>IFERROR(__xludf.DUMMYFUNCTION("GOOGLETRANSLATE(C17, ""en"", ""hi"")"),"क) घोड़े से मोहरे को घेरना, ख) स्थिति को सरल बनाने के लिए रानियों की अदला-बदली करना, ग) अलग-थलग पड़े मोहरे पर सीधा हमला करना, घ) राजा की ओर से एक फाइल खोलना")</f>
        <v>क) घोड़े से मोहरे को घेरना, ख) स्थिति को सरल बनाने के लिए रानियों की अदला-बदली करना, ग) अलग-थलग पड़े मोहरे पर सीधा हमला करना, घ) राजा की ओर से एक फाइल खोलना</v>
      </c>
      <c r="I17" s="5" t="str">
        <f>IFERROR(__xludf.DUMMYFUNCTION("GOOGLETRANSLATE(D17, ""en"", ""hi"")"),"A) घोड़े से मोहरे को घेरना")</f>
        <v>A) घोड़े से मोहरे को घेरना</v>
      </c>
    </row>
    <row r="18" ht="22.5" customHeight="1">
      <c r="A18" s="2">
        <v>17.0</v>
      </c>
      <c r="B18" s="3" t="s">
        <v>1148</v>
      </c>
      <c r="C18" s="3" t="s">
        <v>1149</v>
      </c>
      <c r="D18" s="3" t="s">
        <v>1150</v>
      </c>
      <c r="F18" s="5" t="str">
        <f>IFERROR(__xludf.DUMMYFUNCTION("GOOGLETRANSLATE(A18, ""en"", ""hi"")"),"17")</f>
        <v>17</v>
      </c>
      <c r="G18" s="5" t="str">
        <f>IFERROR(__xludf.DUMMYFUNCTION("GOOGLETRANSLATE(B18, ""en"", ""hi"")"),"ब्लिट्ज़ गेम में, सफ़ेद खिलाड़ी के पास सामग्री कम है, लेकिन उसका आक्रमण मज़बूत है। काले खिलाड़ी की बैक रैंक कमज़ोर है। सफ़ेद खिलाड़ी को किस पर ध्यान केंद्रित करना चाहिए?")</f>
        <v>ब्लिट्ज़ गेम में, सफ़ेद खिलाड़ी के पास सामग्री कम है, लेकिन उसका आक्रमण मज़बूत है। काले खिलाड़ी की बैक रैंक कमज़ोर है। सफ़ेद खिलाड़ी को किस पर ध्यान केंद्रित करना चाहिए?</v>
      </c>
      <c r="H18" s="5" t="str">
        <f>IFERROR(__xludf.DUMMYFUNCTION("GOOGLETRANSLATE(C18, ""en"", ""hi"")"),"A) हाथी उठाकर काले के राजा पर हमला करें, B) कमजोर प्यादों की रक्षा करें, C) रानियों की अदला-बदली के लिए मजबूर करें, D) केंद्रीय प्यादे को खुली रेखा में धकेलें")</f>
        <v>A) हाथी उठाकर काले के राजा पर हमला करें, B) कमजोर प्यादों की रक्षा करें, C) रानियों की अदला-बदली के लिए मजबूर करें, D) केंद्रीय प्यादे को खुली रेखा में धकेलें</v>
      </c>
      <c r="I18" s="5" t="str">
        <f>IFERROR(__xludf.DUMMYFUNCTION("GOOGLETRANSLATE(D18, ""en"", ""hi"")"),"A) रूक लिफ्ट से काले के राजा पर हमला करें")</f>
        <v>A) रूक लिफ्ट से काले के राजा पर हमला करें</v>
      </c>
    </row>
    <row r="19" ht="22.5" customHeight="1">
      <c r="A19" s="2">
        <v>18.0</v>
      </c>
      <c r="B19" s="3" t="s">
        <v>1151</v>
      </c>
      <c r="C19" s="3" t="s">
        <v>1152</v>
      </c>
      <c r="D19" s="3" t="s">
        <v>1153</v>
      </c>
      <c r="F19" s="5" t="str">
        <f>IFERROR(__xludf.DUMMYFUNCTION("GOOGLETRANSLATE(A19, ""en"", ""hi"")"),"18")</f>
        <v>18</v>
      </c>
      <c r="G19" s="5" t="str">
        <f>IFERROR(__xludf.DUMMYFUNCTION("GOOGLETRANSLATE(B19, ""en"", ""hi"")"),"बीच के खेल में, सफ़ेद खिलाड़ी के पास e5 पर घोड़े के लिए एक चौकी है। सफ़ेद खिलाड़ी का मुख्य लक्ष्य क्या होना चाहिए?")</f>
        <v>बीच के खेल में, सफ़ेद खिलाड़ी के पास e5 पर घोड़े के लिए एक चौकी है। सफ़ेद खिलाड़ी का मुख्य लक्ष्य क्या होना चाहिए?</v>
      </c>
      <c r="H19" s="5" t="str">
        <f>IFERROR(__xludf.DUMMYFUNCTION("GOOGLETRANSLATE(C19, ""en"", ""hi"")"),"A) घोड़े को यथासंभव लंबे समय तक e5 पर रखें, B) घोड़े को काले की रानी के साथ बदलें, C) f-प्यादा को धक्का देकर किश्ती के लिए लाइनें खोलें, D) काले के राजा को निशाना बनाने के लिए घोड़े को g6 पर ले जाएं")</f>
        <v>A) घोड़े को यथासंभव लंबे समय तक e5 पर रखें, B) घोड़े को काले की रानी के साथ बदलें, C) f-प्यादा को धक्का देकर किश्ती के लिए लाइनें खोलें, D) काले के राजा को निशाना बनाने के लिए घोड़े को g6 पर ले जाएं</v>
      </c>
      <c r="I19" s="5" t="str">
        <f>IFERROR(__xludf.DUMMYFUNCTION("GOOGLETRANSLATE(D19, ""en"", ""hi"")"),"A) घोड़े को यथासंभव लंबे समय तक e5 पर रखें")</f>
        <v>A) घोड़े को यथासंभव लंबे समय तक e5 पर रखें</v>
      </c>
    </row>
    <row r="20" ht="22.5" customHeight="1">
      <c r="A20" s="2">
        <v>19.0</v>
      </c>
      <c r="B20" s="3" t="s">
        <v>1154</v>
      </c>
      <c r="C20" s="3" t="s">
        <v>1155</v>
      </c>
      <c r="D20" s="3" t="s">
        <v>1156</v>
      </c>
      <c r="F20" s="5" t="str">
        <f>IFERROR(__xludf.DUMMYFUNCTION("GOOGLETRANSLATE(A20, ""en"", ""hi"")"),"19")</f>
        <v>19</v>
      </c>
      <c r="G20" s="5" t="str">
        <f>IFERROR(__xludf.DUMMYFUNCTION("GOOGLETRANSLATE(B20, ""en"", ""hi"")"),"अंतिम बाजी में, सफ़ेद के पास एक राजा और तीन प्यादे होते हैं, जबकि काले के पास एक राजा और दो प्यादे होते हैं। जीतने के लिए सफ़ेद की सबसे कारगर योजना क्या है?")</f>
        <v>अंतिम बाजी में, सफ़ेद के पास एक राजा और तीन प्यादे होते हैं, जबकि काले के पास एक राजा और दो प्यादे होते हैं। जीतने के लिए सफ़ेद की सबसे कारगर योजना क्या है?</v>
      </c>
      <c r="H20" s="5" t="str">
        <f>IFERROR(__xludf.DUMMYFUNCTION("GOOGLETRANSLATE(C20, ""en"", ""hi"")"),"क) प्यादों को तुरंत धकेलना, ख) राजा को केन्द्रित करना और काले के प्यादों पर आक्रमण करना, ग) विरोध प्राप्त करने के लिए एक प्यादे का बलिदान करना, घ) काले के राजा को एक कोने में धकेलना")</f>
        <v>क) प्यादों को तुरंत धकेलना, ख) राजा को केन्द्रित करना और काले के प्यादों पर आक्रमण करना, ग) विरोध प्राप्त करने के लिए एक प्यादे का बलिदान करना, घ) काले के राजा को एक कोने में धकेलना</v>
      </c>
      <c r="I20" s="5" t="str">
        <f>IFERROR(__xludf.DUMMYFUNCTION("GOOGLETRANSLATE(D20, ""en"", ""hi"")"),"बी) राजा को केन्द्रित करें और काले के प्यादों पर हमला करें")</f>
        <v>बी) राजा को केन्द्रित करें और काले के प्यादों पर हमला करें</v>
      </c>
    </row>
    <row r="21" ht="22.5" customHeight="1">
      <c r="A21" s="2">
        <v>20.0</v>
      </c>
      <c r="B21" s="3" t="s">
        <v>1157</v>
      </c>
      <c r="C21" s="3" t="s">
        <v>1158</v>
      </c>
      <c r="D21" s="3" t="s">
        <v>1159</v>
      </c>
      <c r="F21" s="5" t="str">
        <f>IFERROR(__xludf.DUMMYFUNCTION("GOOGLETRANSLATE(A21, ""en"", ""hi"")"),"20")</f>
        <v>20</v>
      </c>
      <c r="G21" s="5" t="str">
        <f>IFERROR(__xludf.DUMMYFUNCTION("GOOGLETRANSLATE(B21, ""en"", ""hi"")"),"सफ़ेद ने किंगसाइड पर कैसल किया है, और काले के पास a1-h8 विकर्ण को नियंत्रित करने वाला एक मज़बूत बिशप है। काले के बिशप को बेअसर करने का सफ़ेद का सबसे अच्छा तरीका क्या है?")</f>
        <v>सफ़ेद ने किंगसाइड पर कैसल किया है, और काले के पास a1-h8 विकर्ण को नियंत्रित करने वाला एक मज़बूत बिशप है। काले के बिशप को बेअसर करने का सफ़ेद का सबसे अच्छा तरीका क्या है?</v>
      </c>
      <c r="H21" s="5" t="str">
        <f>IFERROR(__xludf.DUMMYFUNCTION("GOOGLETRANSLATE(C21, ""en"", ""hi"")"),"ए) चेक से बचने के लिए राजा को h1 पर ले जाएं, बी) बिशप को चुनौती देने के लिए एफ-प्यादा को धक्का दें, सी) घोड़े के साथ बिशप को बदलें, डी) विकर्ण को अवरुद्ध करने के लिए रानी को ले जाएं")</f>
        <v>ए) चेक से बचने के लिए राजा को h1 पर ले जाएं, बी) बिशप को चुनौती देने के लिए एफ-प्यादा को धक्का दें, सी) घोड़े के साथ बिशप को बदलें, डी) विकर्ण को अवरुद्ध करने के लिए रानी को ले जाएं</v>
      </c>
      <c r="I21" s="5" t="str">
        <f>IFERROR(__xludf.DUMMYFUNCTION("GOOGLETRANSLATE(D21, ""en"", ""hi"")"),"बी) बिशप को चुनौती देने के लिए एफ-प्यादा को धक्का दें")</f>
        <v>बी) बिशप को चुनौती देने के लिए एफ-प्यादा को धक्का दें</v>
      </c>
    </row>
    <row r="22" ht="22.5" customHeight="1">
      <c r="A22" s="2">
        <v>21.0</v>
      </c>
      <c r="B22" s="3" t="s">
        <v>1160</v>
      </c>
      <c r="C22" s="3" t="s">
        <v>1161</v>
      </c>
      <c r="D22" s="3" t="s">
        <v>1108</v>
      </c>
      <c r="F22" s="5" t="str">
        <f>IFERROR(__xludf.DUMMYFUNCTION("GOOGLETRANSLATE(A22, ""en"", ""hi"")"),"21")</f>
        <v>21</v>
      </c>
      <c r="G22" s="5" t="str">
        <f>IFERROR(__xludf.DUMMYFUNCTION("GOOGLETRANSLATE(B22, ""en"", ""hi"")"),"काले का घोड़ा f4 पर है और सफ़ेद के h3-प्यादा पर हमला कर रहा है। सफ़ेद की सबसे अच्छी रक्षात्मक चाल क्या है?")</f>
        <v>काले का घोड़ा f4 पर है और सफ़ेद के h3-प्यादा पर हमला कर रहा है। सफ़ेद की सबसे अच्छी रक्षात्मक चाल क्या है?</v>
      </c>
      <c r="H22" s="5" t="str">
        <f>IFERROR(__xludf.DUMMYFUNCTION("GOOGLETRANSLATE(C22, ""en"", ""hi"")"),"A) g-प्यादा को g3 पर धकेलें, B) प्यादा की रक्षा के लिए रानी को आगे बढ़ाएँ, C) किश्ती को g1 पर ले जाएँ, D) खतरे को नज़रअंदाज़ करें और महल को गिरा दें")</f>
        <v>A) g-प्यादा को g3 पर धकेलें, B) प्यादा की रक्षा के लिए रानी को आगे बढ़ाएँ, C) किश्ती को g1 पर ले जाएँ, D) खतरे को नज़रअंदाज़ करें और महल को गिरा दें</v>
      </c>
      <c r="I22" s="5" t="str">
        <f>IFERROR(__xludf.DUMMYFUNCTION("GOOGLETRANSLATE(D22, ""en"", ""hi"")"),"A) g-प्यादा को g3 पर धकेलें")</f>
        <v>A) g-प्यादा को g3 पर धकेलें</v>
      </c>
    </row>
    <row r="23" ht="22.5" customHeight="1">
      <c r="A23" s="2">
        <v>22.0</v>
      </c>
      <c r="B23" s="3" t="s">
        <v>1162</v>
      </c>
      <c r="C23" s="3" t="s">
        <v>1163</v>
      </c>
      <c r="D23" s="3" t="s">
        <v>1164</v>
      </c>
      <c r="F23" s="5" t="str">
        <f>IFERROR(__xludf.DUMMYFUNCTION("GOOGLETRANSLATE(A23, ""en"", ""hi"")"),"22")</f>
        <v>22</v>
      </c>
      <c r="G23" s="5" t="str">
        <f>IFERROR(__xludf.DUMMYFUNCTION("GOOGLETRANSLATE(B23, ""en"", ""hi"")"),"रूक एंडगेम में, सफ़ेद का रूक सातवें क्रम पर होता है और काले का राजा आठवें क्रम पर फँसा होता है। सफ़ेद जीत कैसे सुनिश्चित कर सकता है?")</f>
        <v>रूक एंडगेम में, सफ़ेद का रूक सातवें क्रम पर होता है और काले का राजा आठवें क्रम पर फँसा होता है। सफ़ेद जीत कैसे सुनिश्चित कर सकता है?</v>
      </c>
      <c r="H23" s="5" t="str">
        <f>IFERROR(__xludf.DUMMYFUNCTION("GOOGLETRANSLATE(C23, ""en"", ""hi"")"),"क) चेक देने के लिए किश्ती को आठवें क्रम पर ले जाएं, ख) पास हुए मोहरे को बनाने के लिए मोहरे को धक्का दें, ग) किश्ती को सहारा देने के लिए राजा को पास ले जाएं, घ) काले मोहरों के लिए किश्ती का त्याग करें")</f>
        <v>क) चेक देने के लिए किश्ती को आठवें क्रम पर ले जाएं, ख) पास हुए मोहरे को बनाने के लिए मोहरे को धक्का दें, ग) किश्ती को सहारा देने के लिए राजा को पास ले जाएं, घ) काले मोहरों के लिए किश्ती का त्याग करें</v>
      </c>
      <c r="I23" s="5" t="str">
        <f>IFERROR(__xludf.DUMMYFUNCTION("GOOGLETRANSLATE(D23, ""en"", ""hi"")"),"बी) पास्ड प्यादा बनाने के लिए प्यादे को धक्का दें")</f>
        <v>बी) पास्ड प्यादा बनाने के लिए प्यादे को धक्का दें</v>
      </c>
    </row>
    <row r="24" ht="22.5" customHeight="1">
      <c r="A24" s="2">
        <v>23.0</v>
      </c>
      <c r="B24" s="3" t="s">
        <v>1165</v>
      </c>
      <c r="C24" s="3" t="s">
        <v>1166</v>
      </c>
      <c r="D24" s="3" t="s">
        <v>1167</v>
      </c>
      <c r="F24" s="5" t="str">
        <f>IFERROR(__xludf.DUMMYFUNCTION("GOOGLETRANSLATE(A24, ""en"", ""hi"")"),"23")</f>
        <v>23</v>
      </c>
      <c r="G24" s="5" t="str">
        <f>IFERROR(__xludf.DUMMYFUNCTION("GOOGLETRANSLATE(B24, ""en"", ""hi"")"),"सफ़ेद, काले की रक्षा को कमज़ोर करने के लिए घोड़े के बदले एक किश्ती का त्याग करने की तैयारी कर रहा है। त्याग करने से पहले सफ़ेद को क्या विचार करना चाहिए?")</f>
        <v>सफ़ेद, काले की रक्षा को कमज़ोर करने के लिए घोड़े के बदले एक किश्ती का त्याग करने की तैयारी कर रहा है। त्याग करने से पहले सफ़ेद को क्या विचार करना चाहिए?</v>
      </c>
      <c r="H24" s="5" t="str">
        <f>IFERROR(__xludf.DUMMYFUNCTION("GOOGLETRANSLATE(C24, ""en"", ""hi"")"),"क) क्या बलिदान से मजबूरन चेकमेट होगा, ख) क्या काला पक्ष रानी की तरफ से पलटवार कर सकता है, ग) क्या काले पक्ष के पास बचाव के लिए पर्याप्त मोहरे हैं, घ) क्या सफेद पक्ष के पास घड़ी में पर्याप्त समय है")</f>
        <v>क) क्या बलिदान से मजबूरन चेकमेट होगा, ख) क्या काला पक्ष रानी की तरफ से पलटवार कर सकता है, ग) क्या काले पक्ष के पास बचाव के लिए पर्याप्त मोहरे हैं, घ) क्या सफेद पक्ष के पास घड़ी में पर्याप्त समय है</v>
      </c>
      <c r="I24" s="5" t="str">
        <f>IFERROR(__xludf.DUMMYFUNCTION("GOOGLETRANSLATE(D24, ""en"", ""hi"")"),"क) क्या बलिदान से जबरन शह-मात की स्थिति उत्पन्न होगी?")</f>
        <v>क) क्या बलिदान से जबरन शह-मात की स्थिति उत्पन्न होगी?</v>
      </c>
    </row>
    <row r="25" ht="22.5" customHeight="1">
      <c r="A25" s="2">
        <v>24.0</v>
      </c>
      <c r="B25" s="3" t="s">
        <v>1168</v>
      </c>
      <c r="C25" s="3" t="s">
        <v>1169</v>
      </c>
      <c r="D25" s="3" t="s">
        <v>1170</v>
      </c>
      <c r="F25" s="5" t="str">
        <f>IFERROR(__xludf.DUMMYFUNCTION("GOOGLETRANSLATE(A25, ""en"", ""hi"")"),"24")</f>
        <v>24</v>
      </c>
      <c r="G25" s="5" t="str">
        <f>IFERROR(__xludf.DUMMYFUNCTION("GOOGLETRANSLATE(B25, ""en"", ""hi"")"),"सफ़ेद के पास एक रानी और दो प्यादे हैं, जबकि काले के पास हाथी और हाथी हैं। काले के मोहरे सक्रिय रूप से रखे गए हैं, लेकिन सफ़ेद के पास एक पास्ड प्यादा बनाने का मौका है। सफ़ेद की सबसे अच्छी चाल क्या है?")</f>
        <v>सफ़ेद के पास एक रानी और दो प्यादे हैं, जबकि काले के पास हाथी और हाथी हैं। काले के मोहरे सक्रिय रूप से रखे गए हैं, लेकिन सफ़ेद के पास एक पास्ड प्यादा बनाने का मौका है। सफ़ेद की सबसे अच्छी चाल क्या है?</v>
      </c>
      <c r="H25" s="5" t="str">
        <f>IFERROR(__xludf.DUMMYFUNCTION("GOOGLETRANSLATE(C25, ""en"", ""hi"")"),"A) रानी को काले के हाथी से बदलें, B) मोहरे को धक्का देकर पास्ड मोहरा बनाएँ, C) रानी को रक्षात्मक वर्ग में ले जाएँ, D) रानी के साथ काले के बिशप पर हमला करें")</f>
        <v>A) रानी को काले के हाथी से बदलें, B) मोहरे को धक्का देकर पास्ड मोहरा बनाएँ, C) रानी को रक्षात्मक वर्ग में ले जाएँ, D) रानी के साथ काले के बिशप पर हमला करें</v>
      </c>
      <c r="I25" s="5" t="str">
        <f>IFERROR(__xludf.DUMMYFUNCTION("GOOGLETRANSLATE(D25, ""en"", ""hi"")"),"बी) पास्ड प्यादा बनाने के लिए प्यादे को धक्का दें")</f>
        <v>बी) पास्ड प्यादा बनाने के लिए प्यादे को धक्का दें</v>
      </c>
    </row>
    <row r="26" ht="22.5" customHeight="1">
      <c r="A26" s="2">
        <v>25.0</v>
      </c>
      <c r="B26" s="3" t="s">
        <v>1171</v>
      </c>
      <c r="C26" s="3" t="s">
        <v>1172</v>
      </c>
      <c r="D26" s="3" t="s">
        <v>1173</v>
      </c>
      <c r="F26" s="5" t="str">
        <f>IFERROR(__xludf.DUMMYFUNCTION("GOOGLETRANSLATE(A26, ""en"", ""hi"")"),"25")</f>
        <v>25</v>
      </c>
      <c r="G26" s="5" t="str">
        <f>IFERROR(__xludf.DUMMYFUNCTION("GOOGLETRANSLATE(B26, ""en"", ""hi"")"),"एक महत्वपूर्ण अंतिम खेल में, काले के पास दूसरी पंक्ति पर एक सक्रिय किश्ती है। सफेद का राजा पहली पंक्ति पर कट गया है। जीतने के लिए काले की सबसे अच्छी योजना क्या है?")</f>
        <v>एक महत्वपूर्ण अंतिम खेल में, काले के पास दूसरी पंक्ति पर एक सक्रिय किश्ती है। सफेद का राजा पहली पंक्ति पर कट गया है। जीतने के लिए काले की सबसे अच्छी योजना क्या है?</v>
      </c>
      <c r="H26" s="5" t="str">
        <f>IFERROR(__xludf.DUMMYFUNCTION("GOOGLETRANSLATE(C26, ""en"", ""hi"")"),"A) पासर बनाने के लिए मोहरे को धकेलें, B) सफेद के राजा को रोकने के लिए किश्ती को दूसरी पंक्ति पर रखें, C) सफेद के घोड़े के लिए किश्ती का आदान-प्रदान करें, D) सफेद के राजा पर चेक के साथ हमला करें")</f>
        <v>A) पासर बनाने के लिए मोहरे को धकेलें, B) सफेद के राजा को रोकने के लिए किश्ती को दूसरी पंक्ति पर रखें, C) सफेद के घोड़े के लिए किश्ती का आदान-प्रदान करें, D) सफेद के राजा पर चेक के साथ हमला करें</v>
      </c>
      <c r="I26" s="5" t="str">
        <f>IFERROR(__xludf.DUMMYFUNCTION("GOOGLETRANSLATE(D26, ""en"", ""hi"")"),"बी) सफ़ेद के बादशाह को रोकने के लिए हाथी को दूसरी पंक्ति पर रखें")</f>
        <v>बी) सफ़ेद के बादशाह को रोकने के लिए हाथी को दूसरी पंक्ति पर रखें</v>
      </c>
    </row>
    <row r="27" ht="22.5" customHeight="1">
      <c r="A27" s="2">
        <v>26.0</v>
      </c>
      <c r="B27" s="3" t="s">
        <v>1174</v>
      </c>
      <c r="C27" s="3" t="s">
        <v>1175</v>
      </c>
      <c r="D27" s="3" t="s">
        <v>1176</v>
      </c>
      <c r="F27" s="5" t="str">
        <f>IFERROR(__xludf.DUMMYFUNCTION("GOOGLETRANSLATE(A27, ""en"", ""hi"")"),"26")</f>
        <v>26</v>
      </c>
      <c r="G27" s="5" t="str">
        <f>IFERROR(__xludf.DUMMYFUNCTION("GOOGLETRANSLATE(B27, ""en"", ""hi"")"),"सफ़ेद ने एक बिशप को एक मोहरे के लिए त्याग दिया है, जिससे काले का किंगसाइड खुल गया है। इस हमले का फ़ायदा उठाने के लिए सफ़ेद को अब क्या करना चाहिए?")</f>
        <v>सफ़ेद ने एक बिशप को एक मोहरे के लिए त्याग दिया है, जिससे काले का किंगसाइड खुल गया है। इस हमले का फ़ायदा उठाने के लिए सफ़ेद को अब क्या करना चाहिए?</v>
      </c>
      <c r="H27" s="5" t="str">
        <f>IFERROR(__xludf.DUMMYFUNCTION("GOOGLETRANSLATE(C27, ""en"", ""hi"")"),"A) चेकमेट की धमकी देने के लिए रानी को h5 पर ले आएं, B) खुली फाइल बनाने के लिए g-प्यादा को धक्का दें, C) काले के राजा पर हमला करने के लिए घोड़े को f6 पर ले जाएं, D) सुरक्षा के लिए रानी की तरफ कैसल करें")</f>
        <v>A) चेकमेट की धमकी देने के लिए रानी को h5 पर ले आएं, B) खुली फाइल बनाने के लिए g-प्यादा को धक्का दें, C) काले के राजा पर हमला करने के लिए घोड़े को f6 पर ले जाएं, D) सुरक्षा के लिए रानी की तरफ कैसल करें</v>
      </c>
      <c r="I27" s="5" t="str">
        <f>IFERROR(__xludf.DUMMYFUNCTION("GOOGLETRANSLATE(D27, ""en"", ""hi"")"),"A) चेकमेट की धमकी देने के लिए रानी को h5 पर ले आएं")</f>
        <v>A) चेकमेट की धमकी देने के लिए रानी को h5 पर ले आएं</v>
      </c>
    </row>
    <row r="28" ht="22.5" customHeight="1">
      <c r="A28" s="2">
        <v>27.0</v>
      </c>
      <c r="B28" s="3" t="s">
        <v>1177</v>
      </c>
      <c r="C28" s="3" t="s">
        <v>1178</v>
      </c>
      <c r="D28" s="3" t="s">
        <v>1179</v>
      </c>
      <c r="F28" s="5" t="str">
        <f>IFERROR(__xludf.DUMMYFUNCTION("GOOGLETRANSLATE(A28, ""en"", ""hi"")"),"27")</f>
        <v>27</v>
      </c>
      <c r="G28" s="5" t="str">
        <f>IFERROR(__xludf.DUMMYFUNCTION("GOOGLETRANSLATE(B28, ""en"", ""hi"")"),"बीच के खेल में, काले के मोहरे कम पड़ गए हैं और सफ़ेद को जगह का फ़ायदा है। अब सफ़ेद को किस पर ध्यान देना चाहिए?")</f>
        <v>बीच के खेल में, काले के मोहरे कम पड़ गए हैं और सफ़ेद को जगह का फ़ायदा है। अब सफ़ेद को किस पर ध्यान देना चाहिए?</v>
      </c>
      <c r="H28" s="5" t="str">
        <f>IFERROR(__xludf.DUMMYFUNCTION("GOOGLETRANSLATE(C28, ""en"", ""hi"")"),"क) हाथी के लिए रेखाएँ खोलने के लिए मोहरे को धकेलना, ख) स्थिति को सरल बनाने के लिए रानियों का आदान-प्रदान करना, ग) रानियों की ओर से एक पास्ड मोहरा बनाना, घ) काले के प्रति-खेल को कम करने के लिए छोटे मोहरों का आदान-प्रदान करना")</f>
        <v>क) हाथी के लिए रेखाएँ खोलने के लिए मोहरे को धकेलना, ख) स्थिति को सरल बनाने के लिए रानियों का आदान-प्रदान करना, ग) रानियों की ओर से एक पास्ड मोहरा बनाना, घ) काले के प्रति-खेल को कम करने के लिए छोटे मोहरों का आदान-प्रदान करना</v>
      </c>
      <c r="I28" s="5" t="str">
        <f>IFERROR(__xludf.DUMMYFUNCTION("GOOGLETRANSLATE(D28, ""en"", ""hi"")"),"A) किश्ती के लिए रेखाएँ खोलने के लिए मोहरे को धकेलना")</f>
        <v>A) किश्ती के लिए रेखाएँ खोलने के लिए मोहरे को धकेलना</v>
      </c>
    </row>
    <row r="29" ht="22.5" customHeight="1">
      <c r="A29" s="2">
        <v>28.0</v>
      </c>
      <c r="B29" s="3" t="s">
        <v>1180</v>
      </c>
      <c r="C29" s="3" t="s">
        <v>1181</v>
      </c>
      <c r="D29" s="3" t="s">
        <v>1182</v>
      </c>
      <c r="F29" s="5" t="str">
        <f>IFERROR(__xludf.DUMMYFUNCTION("GOOGLETRANSLATE(A29, ""en"", ""hi"")"),"28")</f>
        <v>28</v>
      </c>
      <c r="G29" s="5" t="str">
        <f>IFERROR(__xludf.DUMMYFUNCTION("GOOGLETRANSLATE(B29, ""en"", ""hi"")"),"काला, एक किश्ती और दो प्यादों के साथ, सफ़ेद के किश्ती और एक प्यादे के विरुद्ध अंतिम बाजी में है। इस बढ़त को भुनाने के लिए काले की सबसे अच्छी योजना क्या है?")</f>
        <v>काला, एक किश्ती और दो प्यादों के साथ, सफ़ेद के किश्ती और एक प्यादे के विरुद्ध अंतिम बाजी में है। इस बढ़त को भुनाने के लिए काले की सबसे अच्छी योजना क्या है?</v>
      </c>
      <c r="H29" s="5" t="str">
        <f>IFERROR(__xludf.DUMMYFUNCTION("GOOGLETRANSLATE(C29, ""en"", ""hi"")"),"ए) अंतिम खेल को सरल बनाने के लिए किश्ती बदलें, बी) पास हुए मोहरे को बनाने के लिए मोहरों को धकेलें, सी) मोहरों का समर्थन करने के लिए राजा को आगे बढ़ाएँ, डी) सामग्री हासिल करने के लिए सफेद के मोहरे पर हमला करें")</f>
        <v>ए) अंतिम खेल को सरल बनाने के लिए किश्ती बदलें, बी) पास हुए मोहरे को बनाने के लिए मोहरों को धकेलें, सी) मोहरों का समर्थन करने के लिए राजा को आगे बढ़ाएँ, डी) सामग्री हासिल करने के लिए सफेद के मोहरे पर हमला करें</v>
      </c>
      <c r="I29" s="5" t="str">
        <f>IFERROR(__xludf.DUMMYFUNCTION("GOOGLETRANSLATE(D29, ""en"", ""hi"")"),"बी) पास्ड प्यादा बनाने के लिए प्यादों को धक्का दें")</f>
        <v>बी) पास्ड प्यादा बनाने के लिए प्यादों को धक्का दें</v>
      </c>
    </row>
    <row r="30" ht="22.5" customHeight="1">
      <c r="A30" s="2">
        <v>29.0</v>
      </c>
      <c r="B30" s="3" t="s">
        <v>1183</v>
      </c>
      <c r="C30" s="3" t="s">
        <v>1184</v>
      </c>
      <c r="D30" s="3" t="s">
        <v>1185</v>
      </c>
      <c r="F30" s="5" t="str">
        <f>IFERROR(__xludf.DUMMYFUNCTION("GOOGLETRANSLATE(A30, ""en"", ""hi"")"),"29")</f>
        <v>29</v>
      </c>
      <c r="G30" s="5" t="str">
        <f>IFERROR(__xludf.DUMMYFUNCTION("GOOGLETRANSLATE(B30, ""en"", ""hi"")"),"अंतिम खेल में सफ़ेद के पास एक किश्ती और एक बिशप है, और काले के पास एक किश्ती और एक घोड़ा है। काले के घोड़े को बेअसर करने के लिए सफ़ेद की सबसे अच्छी रणनीति क्या है?")</f>
        <v>अंतिम खेल में सफ़ेद के पास एक किश्ती और एक बिशप है, और काले के पास एक किश्ती और एक घोड़ा है। काले के घोड़े को बेअसर करने के लिए सफ़ेद की सबसे अच्छी रणनीति क्या है?</v>
      </c>
      <c r="H30" s="5" t="str">
        <f>IFERROR(__xludf.DUMMYFUNCTION("GOOGLETRANSLATE(C30, ""en"", ""hi"")"),"A) घोड़े के लिए बिशप का आदान-प्रदान करें, B) बिशप का उपयोग करके घोड़े को फँसाएँ, C) काले के प्यादों पर हमला करें, D) घोड़े का ध्यान भटकाने के लिए एक मोहरे को धक्का दें")</f>
        <v>A) घोड़े के लिए बिशप का आदान-प्रदान करें, B) बिशप का उपयोग करके घोड़े को फँसाएँ, C) काले के प्यादों पर हमला करें, D) घोड़े का ध्यान भटकाने के लिए एक मोहरे को धक्का दें</v>
      </c>
      <c r="I30" s="5" t="str">
        <f>IFERROR(__xludf.DUMMYFUNCTION("GOOGLETRANSLATE(D30, ""en"", ""hi"")"),"बी) बिशप का उपयोग करके घोड़े को फँसाएँ")</f>
        <v>बी) बिशप का उपयोग करके घोड़े को फँसाएँ</v>
      </c>
    </row>
    <row r="31" ht="22.5" customHeight="1">
      <c r="A31" s="2">
        <v>30.0</v>
      </c>
      <c r="B31" s="3" t="s">
        <v>1186</v>
      </c>
      <c r="C31" s="3" t="s">
        <v>1187</v>
      </c>
      <c r="D31" s="3" t="s">
        <v>1188</v>
      </c>
      <c r="F31" s="5" t="str">
        <f>IFERROR(__xludf.DUMMYFUNCTION("GOOGLETRANSLATE(A31, ""en"", ""hi"")"),"30")</f>
        <v>30</v>
      </c>
      <c r="G31" s="5" t="str">
        <f>IFERROR(__xludf.DUMMYFUNCTION("GOOGLETRANSLATE(B31, ""en"", ""hi"")"),"शुरुआत में, सफ़ेद ने सभी मोहरों को विकसित कर लिया है, लेकिन काले के पास g7 पर एक शक्तिशाली बिशप है, जो लंबे विकर्ण को नियंत्रित कर रहा है। सफ़ेद को किस पर ध्यान केंद्रित करना चाहिए?")</f>
        <v>शुरुआत में, सफ़ेद ने सभी मोहरों को विकसित कर लिया है, लेकिन काले के पास g7 पर एक शक्तिशाली बिशप है, जो लंबे विकर्ण को नियंत्रित कर रहा है। सफ़ेद को किस पर ध्यान केंद्रित करना चाहिए?</v>
      </c>
      <c r="H31" s="5" t="str">
        <f>IFERROR(__xludf.DUMMYFUNCTION("GOOGLETRANSLATE(C31, ""en"", ""hi"")"),"ए) बिशप को घोड़े के लिए बदलें, बी) राजा की रक्षा के लिए किंगसाइड को कैसल करें, सी) केंद्र को चुनौती देने के लिए ई-प्यादा को धक्का दें, डी) विकर्ण को अवरुद्ध करने के लिए रानी को ले जाएं")</f>
        <v>ए) बिशप को घोड़े के लिए बदलें, बी) राजा की रक्षा के लिए किंगसाइड को कैसल करें, सी) केंद्र को चुनौती देने के लिए ई-प्यादा को धक्का दें, डी) विकर्ण को अवरुद्ध करने के लिए रानी को ले जाएं</v>
      </c>
      <c r="I31" s="5" t="str">
        <f>IFERROR(__xludf.DUMMYFUNCTION("GOOGLETRANSLATE(D31, ""en"", ""hi"")"),"C) केंद्र को चुनौती देने के लिए ई-प्यादा को धकेलें")</f>
        <v>C) केंद्र को चुनौती देने के लिए ई-प्यादा को धकेलें</v>
      </c>
    </row>
    <row r="32" ht="22.5" customHeight="1">
      <c r="A32" s="2">
        <v>31.0</v>
      </c>
      <c r="B32" s="3" t="s">
        <v>1189</v>
      </c>
      <c r="C32" s="3" t="s">
        <v>1190</v>
      </c>
      <c r="D32" s="3" t="s">
        <v>1191</v>
      </c>
      <c r="F32" s="5" t="str">
        <f>IFERROR(__xludf.DUMMYFUNCTION("GOOGLETRANSLATE(A32, ""en"", ""hi"")"),"31")</f>
        <v>31</v>
      </c>
      <c r="G32" s="5" t="str">
        <f>IFERROR(__xludf.DUMMYFUNCTION("GOOGLETRANSLATE(B32, ""en"", ""hi"")"),"सफ़ेद के पास d5 पर घोड़ा है, और काले का बिशप c8 से हमला कर रहा है। दबाव बढ़ाने का सफ़ेद के लिए सबसे अच्छा तरीका क्या है?")</f>
        <v>सफ़ेद के पास d5 पर घोड़ा है, और काले का बिशप c8 से हमला कर रहा है। दबाव बढ़ाने का सफ़ेद के लिए सबसे अच्छा तरीका क्या है?</v>
      </c>
      <c r="H32" s="5" t="str">
        <f>IFERROR(__xludf.DUMMYFUNCTION("GOOGLETRANSLATE(C32, ""en"", ""hi"")"),"A) काले के राजा को डराने के लिए घोड़े को f6 पर ले जाएं, B) f-प्यादा को लाइनों को खोलने के लिए धक्का दें, C) किश्ती को e-फ़ाइल पर ले जाएं, D) घोड़े को काले के बिशप के साथ बदलें")</f>
        <v>A) काले के राजा को डराने के लिए घोड़े को f6 पर ले जाएं, B) f-प्यादा को लाइनों को खोलने के लिए धक्का दें, C) किश्ती को e-फ़ाइल पर ले जाएं, D) घोड़े को काले के बिशप के साथ बदलें</v>
      </c>
      <c r="I32" s="5" t="str">
        <f>IFERROR(__xludf.DUMMYFUNCTION("GOOGLETRANSLATE(D32, ""en"", ""hi"")"),"A) काले के राजा को धमकाने के लिए घोड़े को f6 पर ले जाएँ")</f>
        <v>A) काले के राजा को धमकाने के लिए घोड़े को f6 पर ले जाएँ</v>
      </c>
    </row>
    <row r="33" ht="22.5" customHeight="1">
      <c r="A33" s="2">
        <v>32.0</v>
      </c>
      <c r="B33" s="3" t="s">
        <v>1192</v>
      </c>
      <c r="C33" s="3" t="s">
        <v>1193</v>
      </c>
      <c r="D33" s="3" t="s">
        <v>1194</v>
      </c>
      <c r="F33" s="5" t="str">
        <f>IFERROR(__xludf.DUMMYFUNCTION("GOOGLETRANSLATE(A33, ""en"", ""hi"")"),"32")</f>
        <v>32</v>
      </c>
      <c r="G33" s="5" t="str">
        <f>IFERROR(__xludf.DUMMYFUNCTION("GOOGLETRANSLATE(B33, ""en"", ""hi"")"),"काले के पास एक पास्ड प्यादा है, लेकिन सफ़ेद के पास किंगसाइड पर सक्रिय मोहरे हैं। काला प्यादे को आगे कैसे बढ़ा सकता है?")</f>
        <v>काले के पास एक पास्ड प्यादा है, लेकिन सफ़ेद के पास किंगसाइड पर सक्रिय मोहरे हैं। काला प्यादे को आगे कैसे बढ़ा सकता है?</v>
      </c>
      <c r="H33" s="5" t="str">
        <f>IFERROR(__xludf.DUMMYFUNCTION("GOOGLETRANSLATE(C33, ""en"", ""hi"")"),"क) मोहरे को तुरंत धकेलना, ख) राजा के साथ मोहरे की रक्षा करना, ग) मोहरे को सहारा देने के लिए किश्ती का प्रयोग करना, घ) स्थिति को सरल बनाने के लिए मोहरों की अदला-बदली करना")</f>
        <v>क) मोहरे को तुरंत धकेलना, ख) राजा के साथ मोहरे की रक्षा करना, ग) मोहरे को सहारा देने के लिए किश्ती का प्रयोग करना, घ) स्थिति को सरल बनाने के लिए मोहरों की अदला-बदली करना</v>
      </c>
      <c r="I33" s="5" t="str">
        <f>IFERROR(__xludf.DUMMYFUNCTION("GOOGLETRANSLATE(D33, ""en"", ""hi"")"),"C) मोहरे को सहारा देने के लिए किश्ती का प्रयोग करें")</f>
        <v>C) मोहरे को सहारा देने के लिए किश्ती का प्रयोग करें</v>
      </c>
    </row>
    <row r="34" ht="22.5" customHeight="1">
      <c r="A34" s="2">
        <v>33.0</v>
      </c>
      <c r="B34" s="3" t="s">
        <v>1195</v>
      </c>
      <c r="C34" s="3" t="s">
        <v>1196</v>
      </c>
      <c r="D34" s="3" t="s">
        <v>1197</v>
      </c>
      <c r="F34" s="5" t="str">
        <f>IFERROR(__xludf.DUMMYFUNCTION("GOOGLETRANSLATE(A34, ""en"", ""hi"")"),"33")</f>
        <v>33</v>
      </c>
      <c r="G34" s="5" t="str">
        <f>IFERROR(__xludf.DUMMYFUNCTION("GOOGLETRANSLATE(B34, ""en"", ""hi"")"),"सफ़ेद का घोड़ा e5 पर एक चौकी पर है, और काला उसे तुरंत चुनौती नहीं दे सकता। सफ़ेद की सबसे अच्छी योजना क्या है?")</f>
        <v>सफ़ेद का घोड़ा e5 पर एक चौकी पर है, और काला उसे तुरंत चुनौती नहीं दे सकता। सफ़ेद की सबसे अच्छी योजना क्या है?</v>
      </c>
      <c r="H34" s="5" t="str">
        <f>IFERROR(__xludf.DUMMYFUNCTION("GOOGLETRANSLATE(C34, ""en"", ""hi"")"),"A) काले के राजा पर हमला करने के लिए घोड़े को g6 पर ले जाएं, B) घोड़े को e5 पर रखें और अन्य मोहरों को बेहतर बनाएं, C) काले के बिशप के लिए घोड़े का आदान-प्रदान करें, D) अधिक स्थान प्राप्त करने के लिए f-प्यादा को धकेलें")</f>
        <v>A) काले के राजा पर हमला करने के लिए घोड़े को g6 पर ले जाएं, B) घोड़े को e5 पर रखें और अन्य मोहरों को बेहतर बनाएं, C) काले के बिशप के लिए घोड़े का आदान-प्रदान करें, D) अधिक स्थान प्राप्त करने के लिए f-प्यादा को धकेलें</v>
      </c>
      <c r="I34" s="5" t="str">
        <f>IFERROR(__xludf.DUMMYFUNCTION("GOOGLETRANSLATE(D34, ""en"", ""hi"")"),"B) घोड़े को e5 पर रखें और अन्य मोहरों को बेहतर बनाएं")</f>
        <v>B) घोड़े को e5 पर रखें और अन्य मोहरों को बेहतर बनाएं</v>
      </c>
    </row>
    <row r="35" ht="22.5" customHeight="1">
      <c r="A35" s="2">
        <v>34.0</v>
      </c>
      <c r="B35" s="3" t="s">
        <v>1198</v>
      </c>
      <c r="C35" s="3" t="s">
        <v>1199</v>
      </c>
      <c r="D35" s="3" t="s">
        <v>1200</v>
      </c>
      <c r="F35" s="5" t="str">
        <f>IFERROR(__xludf.DUMMYFUNCTION("GOOGLETRANSLATE(A35, ""en"", ""hi"")"),"34")</f>
        <v>34</v>
      </c>
      <c r="G35" s="5" t="str">
        <f>IFERROR(__xludf.DUMMYFUNCTION("GOOGLETRANSLATE(B35, ""en"", ""hi"")"),"सफ़ेद के हाथी c-फ़ाइल पर दोगुने हो गए हैं, और काले की c7 पर एक कमज़ोरी है। सफ़ेद के लिए इसका फ़ायदा उठाने का सबसे अच्छा तरीक़ा क्या है?")</f>
        <v>सफ़ेद के हाथी c-फ़ाइल पर दोगुने हो गए हैं, और काले की c7 पर एक कमज़ोरी है। सफ़ेद के लिए इसका फ़ायदा उठाने का सबसे अच्छा तरीक़ा क्या है?</v>
      </c>
      <c r="H35" s="5" t="str">
        <f>IFERROR(__xludf.DUMMYFUNCTION("GOOGLETRANSLATE(C35, ""en"", ""hi"")"),"ए) सी-प्यादा को लाइन खोलने के लिए धकेलें, बी) सी-7-प्यादा पर सीधे हमला करें, सी) हमले को आसान बनाने के लिए एक हाथी को बदलें, डी) रानी को सी-फाइल में लाएं")</f>
        <v>ए) सी-प्यादा को लाइन खोलने के लिए धकेलें, बी) सी-7-प्यादा पर सीधे हमला करें, सी) हमले को आसान बनाने के लिए एक हाथी को बदलें, डी) रानी को सी-फाइल में लाएं</v>
      </c>
      <c r="I35" s="5" t="str">
        <f>IFERROR(__xludf.DUMMYFUNCTION("GOOGLETRANSLATE(D35, ""en"", ""hi"")"),"बी) सी7-प्यादा पर सीधे हमला करें")</f>
        <v>बी) सी7-प्यादा पर सीधे हमला करें</v>
      </c>
    </row>
    <row r="36" ht="22.5" customHeight="1">
      <c r="A36" s="2">
        <v>35.0</v>
      </c>
      <c r="B36" s="3" t="s">
        <v>1201</v>
      </c>
      <c r="C36" s="3" t="s">
        <v>1202</v>
      </c>
      <c r="D36" s="3" t="s">
        <v>1203</v>
      </c>
      <c r="F36" s="5" t="str">
        <f>IFERROR(__xludf.DUMMYFUNCTION("GOOGLETRANSLATE(A36, ""en"", ""hi"")"),"35")</f>
        <v>35</v>
      </c>
      <c r="G36" s="5" t="str">
        <f>IFERROR(__xludf.DUMMYFUNCTION("GOOGLETRANSLATE(B36, ""en"", ""hi"")"),"एक ब्लिट्ज़ गेम में, सफ़ेद के पास एक रानी और एक किश्ती है, जबकि काले के पास एक किश्ती और एक घोड़ा है। सफ़ेद का राजा सुरक्षित है, लेकिन काले का घोड़ा सक्रिय है। सफ़ेद को किस चीज़ को प्राथमिकता देनी चाहिए?")</f>
        <v>एक ब्लिट्ज़ गेम में, सफ़ेद के पास एक रानी और एक किश्ती है, जबकि काले के पास एक किश्ती और एक घोड़ा है। सफ़ेद का राजा सुरक्षित है, लेकिन काले का घोड़ा सक्रिय है। सफ़ेद को किस चीज़ को प्राथमिकता देनी चाहिए?</v>
      </c>
      <c r="H36" s="5" t="str">
        <f>IFERROR(__xludf.DUMMYFUNCTION("GOOGLETRANSLATE(C36, ""en"", ""hi"")"),"क) रानी को काले के हाथी और घोड़े के साथ बदलें, ख) रानी को आगे बढ़ाकर खतरा पैदा करें, ग) हाथी के लिए रेखाएँ खोलने के लिए मोहरे को आगे बढ़ाएँ, घ) काले के घोड़े को फँसाने का प्रयास करें")</f>
        <v>क) रानी को काले के हाथी और घोड़े के साथ बदलें, ख) रानी को आगे बढ़ाकर खतरा पैदा करें, ग) हाथी के लिए रेखाएँ खोलने के लिए मोहरे को आगे बढ़ाएँ, घ) काले के घोड़े को फँसाने का प्रयास करें</v>
      </c>
      <c r="I36" s="5" t="str">
        <f>IFERROR(__xludf.DUMMYFUNCTION("GOOGLETRANSLATE(D36, ""en"", ""hi"")"),"B) ख़तरा पैदा करने के लिए रानी को हिलाएँ")</f>
        <v>B) ख़तरा पैदा करने के लिए रानी को हिलाएँ</v>
      </c>
    </row>
    <row r="37" ht="22.5" customHeight="1">
      <c r="A37" s="2">
        <v>36.0</v>
      </c>
      <c r="B37" s="3" t="s">
        <v>1204</v>
      </c>
      <c r="C37" s="3" t="s">
        <v>1205</v>
      </c>
      <c r="D37" s="3" t="s">
        <v>1206</v>
      </c>
      <c r="F37" s="5" t="str">
        <f>IFERROR(__xludf.DUMMYFUNCTION("GOOGLETRANSLATE(A37, ""en"", ""hi"")"),"36")</f>
        <v>36</v>
      </c>
      <c r="G37" s="5" t="str">
        <f>IFERROR(__xludf.DUMMYFUNCTION("GOOGLETRANSLATE(B37, ""en"", ""hi"")"),"रानी और मोहरे के अंतिम खेल में सफ़ेद के पास एक मोहरा ज़्यादा है, लेकिन काले के पास ज़्यादा सक्रिय मोहरे हैं। सफ़ेद का मुख्य ध्यान किस पर होना चाहिए?")</f>
        <v>रानी और मोहरे के अंतिम खेल में सफ़ेद के पास एक मोहरा ज़्यादा है, लेकिन काले के पास ज़्यादा सक्रिय मोहरे हैं। सफ़ेद का मुख्य ध्यान किस पर होना चाहिए?</v>
      </c>
      <c r="H37" s="5" t="str">
        <f>IFERROR(__xludf.DUMMYFUNCTION("GOOGLETRANSLATE(C37, ""en"", ""hi"")"),"A) अतिरिक्त मोहरे को तुरंत धकेलें, B) स्थिति को सरल बनाने के लिए रानियों की अदला-बदली करें, C) रानी को सक्रिय रखें और प्रति-खेल की संभावना देखें, D) मोहरे को सहारा देने के लिए राजा को आगे बढ़ाएँ")</f>
        <v>A) अतिरिक्त मोहरे को तुरंत धकेलें, B) स्थिति को सरल बनाने के लिए रानियों की अदला-बदली करें, C) रानी को सक्रिय रखें और प्रति-खेल की संभावना देखें, D) मोहरे को सहारा देने के लिए राजा को आगे बढ़ाएँ</v>
      </c>
      <c r="I37" s="5" t="str">
        <f>IFERROR(__xludf.DUMMYFUNCTION("GOOGLETRANSLATE(D37, ""en"", ""hi"")"),"बी) स्थिति को सरल बनाने के लिए रानियों का आदान-प्रदान करें")</f>
        <v>बी) स्थिति को सरल बनाने के लिए रानियों का आदान-प्रदान करें</v>
      </c>
    </row>
    <row r="38" ht="22.5" customHeight="1">
      <c r="A38" s="2">
        <v>37.0</v>
      </c>
      <c r="B38" s="3" t="s">
        <v>1207</v>
      </c>
      <c r="C38" s="3" t="s">
        <v>1208</v>
      </c>
      <c r="D38" s="3" t="s">
        <v>1209</v>
      </c>
      <c r="F38" s="5" t="str">
        <f>IFERROR(__xludf.DUMMYFUNCTION("GOOGLETRANSLATE(A38, ""en"", ""hi"")"),"37")</f>
        <v>37</v>
      </c>
      <c r="G38" s="5" t="str">
        <f>IFERROR(__xludf.DUMMYFUNCTION("GOOGLETRANSLATE(B38, ""en"", ""hi"")"),"काला एक मोहरा आगे है लेकिन सफ़ेद के पास बादशाह की तरफ़ ख़तरनाक प्यादे हैं। काले की मुख्य रणनीति क्या होनी चाहिए?")</f>
        <v>काला एक मोहरा आगे है लेकिन सफ़ेद के पास बादशाह की तरफ़ ख़तरनाक प्यादे हैं। काले की मुख्य रणनीति क्या होनी चाहिए?</v>
      </c>
      <c r="H38" s="5" t="str">
        <f>IFERROR(__xludf.DUMMYFUNCTION("GOOGLETRANSLATE(C38, ""en"", ""hi"")"),"A) अतिरिक्त मोहरे से सफ़ेद के मोहरों को रोकें, B) जवाबी कार्रवाई के लिए रानी की तरफ के मोहरे को धकेलें, C) सफ़ेद के राजा पर सीधा हमला करें, D) स्थिति को सरल बनाने के लिए मोहरों की अदला-बदली करें")</f>
        <v>A) अतिरिक्त मोहरे से सफ़ेद के मोहरों को रोकें, B) जवाबी कार्रवाई के लिए रानी की तरफ के मोहरे को धकेलें, C) सफ़ेद के राजा पर सीधा हमला करें, D) स्थिति को सरल बनाने के लिए मोहरों की अदला-बदली करें</v>
      </c>
      <c r="I38" s="5" t="str">
        <f>IFERROR(__xludf.DUMMYFUNCTION("GOOGLETRANSLATE(D38, ""en"", ""hi"")"),"D) स्थिति को सरल बनाने के लिए मोहरों का आदान-प्रदान करें")</f>
        <v>D) स्थिति को सरल बनाने के लिए मोहरों का आदान-प्रदान करें</v>
      </c>
    </row>
    <row r="39" ht="22.5" customHeight="1">
      <c r="A39" s="2">
        <v>38.0</v>
      </c>
      <c r="B39" s="3" t="s">
        <v>1210</v>
      </c>
      <c r="C39" s="3" t="s">
        <v>1211</v>
      </c>
      <c r="D39" s="3" t="s">
        <v>1212</v>
      </c>
      <c r="F39" s="5" t="str">
        <f>IFERROR(__xludf.DUMMYFUNCTION("GOOGLETRANSLATE(A39, ""en"", ""hi"")"),"38")</f>
        <v>38</v>
      </c>
      <c r="G39" s="5" t="str">
        <f>IFERROR(__xludf.DUMMYFUNCTION("GOOGLETRANSLATE(B39, ""en"", ""hi"")"),"सफ़ेद के पास खुली स्थिति में एक शक्तिशाली बिशप जोड़ी है, जबकि काले के घोड़े एक तंग स्थिति में बचाव कर रहे हैं। सफ़ेद को किस पर ध्यान केंद्रित करना चाहिए?")</f>
        <v>सफ़ेद के पास खुली स्थिति में एक शक्तिशाली बिशप जोड़ी है, जबकि काले के घोड़े एक तंग स्थिति में बचाव कर रहे हैं। सफ़ेद को किस पर ध्यान केंद्रित करना चाहिए?</v>
      </c>
      <c r="H39" s="5" t="str">
        <f>IFERROR(__xludf.DUMMYFUNCTION("GOOGLETRANSLATE(C39, ""en"", ""hi"")"),"ए) काले घोड़े के लिए एक बिशप का व्यापार करें, बी) अधिक लाइनें खोलने के लिए एक मोहरे को धक्का दें, सी) रानी को राजा की तरफ लाएं, डी) काले के कमजोर मोहरों पर हमला करें")</f>
        <v>ए) काले घोड़े के लिए एक बिशप का व्यापार करें, बी) अधिक लाइनें खोलने के लिए एक मोहरे को धक्का दें, सी) रानी को राजा की तरफ लाएं, डी) काले के कमजोर मोहरों पर हमला करें</v>
      </c>
      <c r="I39" s="5" t="str">
        <f>IFERROR(__xludf.DUMMYFUNCTION("GOOGLETRANSLATE(D39, ""en"", ""hi"")"),"बी) अधिक लाइनें खोलने के लिए एक मोहरे को धक्का दें")</f>
        <v>बी) अधिक लाइनें खोलने के लिए एक मोहरे को धक्का दें</v>
      </c>
    </row>
    <row r="40" ht="22.5" customHeight="1">
      <c r="A40" s="2">
        <v>39.0</v>
      </c>
      <c r="B40" s="3" t="s">
        <v>1213</v>
      </c>
      <c r="C40" s="3" t="s">
        <v>1214</v>
      </c>
      <c r="D40" s="3" t="s">
        <v>1215</v>
      </c>
      <c r="F40" s="5" t="str">
        <f>IFERROR(__xludf.DUMMYFUNCTION("GOOGLETRANSLATE(A40, ""en"", ""hi"")"),"39")</f>
        <v>39</v>
      </c>
      <c r="G40" s="5" t="str">
        <f>IFERROR(__xludf.DUMMYFUNCTION("GOOGLETRANSLATE(B40, ""en"", ""hi"")"),"अंतिम बाजी में, सफ़ेद के पास एक किश्ती और दो प्यादे होते हैं, जबकि काले के पास एक बिशप और तीन प्यादे होते हैं। जीतने के लिए सफ़ेद को किस पर ध्यान केंद्रित करना चाहिए?")</f>
        <v>अंतिम बाजी में, सफ़ेद के पास एक किश्ती और दो प्यादे होते हैं, जबकि काले के पास एक बिशप और तीन प्यादे होते हैं। जीतने के लिए सफ़ेद को किस पर ध्यान केंद्रित करना चाहिए?</v>
      </c>
      <c r="H40" s="5" t="str">
        <f>IFERROR(__xludf.DUMMYFUNCTION("GOOGLETRANSLATE(C40, ""en"", ""hi"")"),"A) पास्ड प्यादा बनाने के लिए प्यादों को धकेलें, B) सरलीकरण के लिए किश्ती बदलें, C) किश्ती से काले के प्यादों को रोकें, D) राजा को केंद्र में लाएँ")</f>
        <v>A) पास्ड प्यादा बनाने के लिए प्यादों को धकेलें, B) सरलीकरण के लिए किश्ती बदलें, C) किश्ती से काले के प्यादों को रोकें, D) राजा को केंद्र में लाएँ</v>
      </c>
      <c r="I40" s="5" t="str">
        <f>IFERROR(__xludf.DUMMYFUNCTION("GOOGLETRANSLATE(D40, ""en"", ""hi"")"),"A) पास्ड प्यादा बनाने के लिए प्यादों को धक्का दें")</f>
        <v>A) पास्ड प्यादा बनाने के लिए प्यादों को धक्का दें</v>
      </c>
    </row>
    <row r="41" ht="22.5" customHeight="1">
      <c r="A41" s="2">
        <v>40.0</v>
      </c>
      <c r="B41" s="3" t="s">
        <v>1216</v>
      </c>
      <c r="C41" s="3" t="s">
        <v>1217</v>
      </c>
      <c r="D41" s="3" t="s">
        <v>1218</v>
      </c>
      <c r="F41" s="5" t="str">
        <f>IFERROR(__xludf.DUMMYFUNCTION("GOOGLETRANSLATE(A41, ""en"", ""hi"")"),"40")</f>
        <v>40</v>
      </c>
      <c r="G41" s="5" t="str">
        <f>IFERROR(__xludf.DUMMYFUNCTION("GOOGLETRANSLATE(B41, ""en"", ""hi"")"),"एक तेज़ खेल में, काले के पास दूसरे क्रम पर एक सक्रिय रानी है। सफेद का राजा अच्छी तरह से सुरक्षित है। काले की सबसे अच्छी योजना क्या है?")</f>
        <v>एक तेज़ खेल में, काले के पास दूसरे क्रम पर एक सक्रिय रानी है। सफेद का राजा अच्छी तरह से सुरक्षित है। काले की सबसे अच्छी योजना क्या है?</v>
      </c>
      <c r="H41" s="5" t="str">
        <f>IFERROR(__xludf.DUMMYFUNCTION("GOOGLETRANSLATE(C41, ""en"", ""hi"")"),"A) सरलीकरण के लिए रानियों की अदला-बदली करें, B) सफ़ेद पर दबाव बनाने के लिए रानी को दूसरे क्रम पर रखें, C) रानी के साथ सफ़ेद के प्यादों पर आक्रमण करें, D) रानी का समर्थन करने के लिए किश्ती को ले आएं")</f>
        <v>A) सरलीकरण के लिए रानियों की अदला-बदली करें, B) सफ़ेद पर दबाव बनाने के लिए रानी को दूसरे क्रम पर रखें, C) रानी के साथ सफ़ेद के प्यादों पर आक्रमण करें, D) रानी का समर्थन करने के लिए किश्ती को ले आएं</v>
      </c>
      <c r="I41" s="5" t="str">
        <f>IFERROR(__xludf.DUMMYFUNCTION("GOOGLETRANSLATE(D41, ""en"", ""hi"")"),"बी) सफ़ेद पर दबाव बनाने के लिए रानी को दूसरे स्थान पर रखें")</f>
        <v>बी) सफ़ेद पर दबाव बनाने के लिए रानी को दूसरे स्थान पर रखें</v>
      </c>
    </row>
    <row r="42" ht="22.5" customHeight="1">
      <c r="A42" s="2">
        <v>41.0</v>
      </c>
      <c r="B42" s="3" t="s">
        <v>1219</v>
      </c>
      <c r="C42" s="3" t="s">
        <v>1220</v>
      </c>
      <c r="D42" s="3" t="s">
        <v>1221</v>
      </c>
      <c r="F42" s="5" t="str">
        <f>IFERROR(__xludf.DUMMYFUNCTION("GOOGLETRANSLATE(A42, ""en"", ""hi"")"),"41")</f>
        <v>41</v>
      </c>
      <c r="G42" s="5" t="str">
        <f>IFERROR(__xludf.DUMMYFUNCTION("GOOGLETRANSLATE(B42, ""en"", ""hi"")"),"सफ़ेद का हाथी सातवें क्रम पर है, और काले को कोई तात्कालिक ख़तरा नहीं है। सफ़ेद के लिए सबसे अच्छी योजना क्या है?")</f>
        <v>सफ़ेद का हाथी सातवें क्रम पर है, और काले को कोई तात्कालिक ख़तरा नहीं है। सफ़ेद के लिए सबसे अच्छी योजना क्या है?</v>
      </c>
      <c r="H42" s="5" t="str">
        <f>IFERROR(__xludf.DUMMYFUNCTION("GOOGLETRANSLATE(C42, ""en"", ""hi"")"),"A) सातवीं पंक्ति पर काले के प्यादों पर आक्रमण करें, B) सरलीकरण के लिए किश्ती बदलें, C) चेक देने के लिए किश्ती को आठवीं पंक्ति पर ले जाएं, D) पास किए गए प्यादे को बनाने के लिए प्यादे को धक्का दें")</f>
        <v>A) सातवीं पंक्ति पर काले के प्यादों पर आक्रमण करें, B) सरलीकरण के लिए किश्ती बदलें, C) चेक देने के लिए किश्ती को आठवीं पंक्ति पर ले जाएं, D) पास किए गए प्यादे को बनाने के लिए प्यादे को धक्का दें</v>
      </c>
      <c r="I42" s="5" t="str">
        <f>IFERROR(__xludf.DUMMYFUNCTION("GOOGLETRANSLATE(D42, ""en"", ""hi"")"),"A) सातवीं पंक्ति पर काले के प्यादों पर हमला करें")</f>
        <v>A) सातवीं पंक्ति पर काले के प्यादों पर हमला करें</v>
      </c>
    </row>
    <row r="43" ht="22.5" customHeight="1">
      <c r="A43" s="2">
        <v>42.0</v>
      </c>
      <c r="B43" s="3" t="s">
        <v>1222</v>
      </c>
      <c r="C43" s="3" t="s">
        <v>1223</v>
      </c>
      <c r="D43" s="3" t="s">
        <v>1224</v>
      </c>
      <c r="F43" s="5" t="str">
        <f>IFERROR(__xludf.DUMMYFUNCTION("GOOGLETRANSLATE(A43, ""en"", ""hi"")"),"42")</f>
        <v>42</v>
      </c>
      <c r="G43" s="5" t="str">
        <f>IFERROR(__xludf.DUMMYFUNCTION("GOOGLETRANSLATE(B43, ""en"", ""hi"")"),"अंतिम खेल में, सफ़ेद के पास एक किश्ती और एक घोड़ा होता है, और काले के पास एक किश्ती और एक बिशप होता है। दोनों पक्षों के पास प्यादे होते हैं। बढ़त हासिल करने के लिए सफ़ेद को किस पर ध्यान केंद्रित करना चाहिए?")</f>
        <v>अंतिम खेल में, सफ़ेद के पास एक किश्ती और एक घोड़ा होता है, और काले के पास एक किश्ती और एक बिशप होता है। दोनों पक्षों के पास प्यादे होते हैं। बढ़त हासिल करने के लिए सफ़ेद को किस पर ध्यान केंद्रित करना चाहिए?</v>
      </c>
      <c r="H43" s="5" t="str">
        <f>IFERROR(__xludf.DUMMYFUNCTION("GOOGLETRANSLATE(C43, ""en"", ""hi"")"),"ए) घोड़े को बिशप से बदलें, बी) काले के बिशप को फंसाने की कोशिश करें, सी) रानी की तरफ एक पास्ड प्यादा बनाएं, डी) काले के प्यादों पर हमला करें")</f>
        <v>ए) घोड़े को बिशप से बदलें, बी) काले के बिशप को फंसाने की कोशिश करें, सी) रानी की तरफ एक पास्ड प्यादा बनाएं, डी) काले के प्यादों पर हमला करें</v>
      </c>
      <c r="I43" s="5" t="str">
        <f>IFERROR(__xludf.DUMMYFUNCTION("GOOGLETRANSLATE(D43, ""en"", ""hi"")"),"C) रानी की ओर से एक पास्ड पॉन बनाएं")</f>
        <v>C) रानी की ओर से एक पास्ड पॉन बनाएं</v>
      </c>
    </row>
    <row r="44" ht="22.5" customHeight="1">
      <c r="A44" s="2">
        <v>43.0</v>
      </c>
      <c r="B44" s="3" t="s">
        <v>1225</v>
      </c>
      <c r="C44" s="3" t="s">
        <v>1226</v>
      </c>
      <c r="D44" s="3" t="s">
        <v>1227</v>
      </c>
      <c r="F44" s="5" t="str">
        <f>IFERROR(__xludf.DUMMYFUNCTION("GOOGLETRANSLATE(A44, ""en"", ""hi"")"),"43")</f>
        <v>43</v>
      </c>
      <c r="G44" s="5" t="str">
        <f>IFERROR(__xludf.DUMMYFUNCTION("GOOGLETRANSLATE(B44, ""en"", ""hi"")"),"सफ़ेद के पास एक रानी और एक बिशप है जबकि काले के पास एक रानी और एक घोड़ा है। स्थिति खुली है। सफ़ेद को किस पर ध्यान केंद्रित करना चाहिए?")</f>
        <v>सफ़ेद के पास एक रानी और एक बिशप है जबकि काले के पास एक रानी और एक घोड़ा है। स्थिति खुली है। सफ़ेद को किस पर ध्यान केंद्रित करना चाहिए?</v>
      </c>
      <c r="H44" s="5" t="str">
        <f>IFERROR(__xludf.DUMMYFUNCTION("GOOGLETRANSLATE(C44, ""en"", ""hi"")"),"A) रानी के साथ काले के राजा पर हमला करें, B) लंबे विकर्णों को नियंत्रित करने के लिए बिशप का उपयोग करें, C) विजयी अंत तक पहुंचने के लिए रानियों का आदान-प्रदान करें, D) काले के घोड़े को फँसाएँ")</f>
        <v>A) रानी के साथ काले के राजा पर हमला करें, B) लंबे विकर्णों को नियंत्रित करने के लिए बिशप का उपयोग करें, C) विजयी अंत तक पहुंचने के लिए रानियों का आदान-प्रदान करें, D) काले के घोड़े को फँसाएँ</v>
      </c>
      <c r="I44" s="5" t="str">
        <f>IFERROR(__xludf.DUMMYFUNCTION("GOOGLETRANSLATE(D44, ""en"", ""hi"")"),"बी) लंबे विकर्णों को नियंत्रित करने के लिए बिशप का उपयोग करें")</f>
        <v>बी) लंबे विकर्णों को नियंत्रित करने के लिए बिशप का उपयोग करें</v>
      </c>
    </row>
    <row r="45" ht="22.5" customHeight="1">
      <c r="A45" s="2">
        <v>44.0</v>
      </c>
      <c r="B45" s="3" t="s">
        <v>1228</v>
      </c>
      <c r="C45" s="3" t="s">
        <v>1229</v>
      </c>
      <c r="D45" s="3" t="s">
        <v>1230</v>
      </c>
      <c r="F45" s="5" t="str">
        <f>IFERROR(__xludf.DUMMYFUNCTION("GOOGLETRANSLATE(A45, ""en"", ""hi"")"),"44")</f>
        <v>44</v>
      </c>
      <c r="G45" s="5" t="str">
        <f>IFERROR(__xludf.DUMMYFUNCTION("GOOGLETRANSLATE(B45, ""en"", ""hi"")"),"अंतिम बाजी में सफ़ेद के पास एक किश्ती और दो प्यादे हैं, जबकि काले के पास एक किश्ती और एक प्यादा है। दोनों राजा सक्रिय हैं। अपनी जीत की संभावना बढ़ाने के लिए सफ़ेद को क्या करना चाहिए?")</f>
        <v>अंतिम बाजी में सफ़ेद के पास एक किश्ती और दो प्यादे हैं, जबकि काले के पास एक किश्ती और एक प्यादा है। दोनों राजा सक्रिय हैं। अपनी जीत की संभावना बढ़ाने के लिए सफ़ेद को क्या करना चाहिए?</v>
      </c>
      <c r="H45" s="5" t="str">
        <f>IFERROR(__xludf.DUMMYFUNCTION("GOOGLETRANSLATE(C45, ""en"", ""hi"")"),"ए) अंतिम खेल को सरल बनाने के लिए किश्ती का व्यापार करें, बी) पास हुए मोहरे को धक्का दें, सी) काले के मोहरे पर आक्रमण करने के लिए किश्ती को आगे बढ़ाएँ, डी) राजा को काले के किश्ती के करीब ले जाएँ")</f>
        <v>ए) अंतिम खेल को सरल बनाने के लिए किश्ती का व्यापार करें, बी) पास हुए मोहरे को धक्का दें, सी) काले के मोहरे पर आक्रमण करने के लिए किश्ती को आगे बढ़ाएँ, डी) राजा को काले के किश्ती के करीब ले जाएँ</v>
      </c>
      <c r="I45" s="5" t="str">
        <f>IFERROR(__xludf.DUMMYFUNCTION("GOOGLETRANSLATE(D45, ""en"", ""hi"")"),"बी) पास हुए मोहरे को धक्का दें")</f>
        <v>बी) पास हुए मोहरे को धक्का दें</v>
      </c>
    </row>
    <row r="46" ht="22.5" customHeight="1">
      <c r="A46" s="2">
        <v>45.0</v>
      </c>
      <c r="B46" s="3" t="s">
        <v>1231</v>
      </c>
      <c r="C46" s="3" t="s">
        <v>1232</v>
      </c>
      <c r="D46" s="3" t="s">
        <v>1233</v>
      </c>
      <c r="F46" s="5" t="str">
        <f>IFERROR(__xludf.DUMMYFUNCTION("GOOGLETRANSLATE(A46, ""en"", ""hi"")"),"45")</f>
        <v>45</v>
      </c>
      <c r="G46" s="5" t="str">
        <f>IFERROR(__xludf.DUMMYFUNCTION("GOOGLETRANSLATE(B46, ""en"", ""hi"")"),"काले घोड़े को सफ़ेद घोड़े के बिशप ने राजा के खिलाफ खड़ा कर दिया है। लाभ को अधिकतम करने के लिए सफ़ेद घोड़े को क्या करना चाहिए?")</f>
        <v>काले घोड़े को सफ़ेद घोड़े के बिशप ने राजा के खिलाफ खड़ा कर दिया है। लाभ को अधिकतम करने के लिए सफ़ेद घोड़े को क्या करना चाहिए?</v>
      </c>
      <c r="H46" s="5" t="str">
        <f>IFERROR(__xludf.DUMMYFUNCTION("GOOGLETRANSLATE(C46, ""en"", ""hi"")"),"ए) घोड़े के लिए बिशप का आदान-प्रदान करें, बी) दूसरे मोहरे के साथ पिन किए गए घोड़े पर हमला करके दबाव बढ़ाएं, सी) किश्ती को खेल में लाने के लिए कैसल करें, डी) अधिक लाइनें खोलने के लिए एक मोहरे को धक्का दें")</f>
        <v>ए) घोड़े के लिए बिशप का आदान-प्रदान करें, बी) दूसरे मोहरे के साथ पिन किए गए घोड़े पर हमला करके दबाव बढ़ाएं, सी) किश्ती को खेल में लाने के लिए कैसल करें, डी) अधिक लाइनें खोलने के लिए एक मोहरे को धक्का दें</v>
      </c>
      <c r="I46" s="5" t="str">
        <f>IFERROR(__xludf.DUMMYFUNCTION("GOOGLETRANSLATE(D46, ""en"", ""hi"")"),"बी) पिन किए गए घोड़े पर दूसरे मोहरे से हमला करके दबाव बढ़ाएं")</f>
        <v>बी) पिन किए गए घोड़े पर दूसरे मोहरे से हमला करके दबाव बढ़ाएं</v>
      </c>
    </row>
    <row r="47" ht="22.5" customHeight="1">
      <c r="A47" s="2">
        <v>46.0</v>
      </c>
      <c r="B47" s="3" t="s">
        <v>1234</v>
      </c>
      <c r="C47" s="3" t="s">
        <v>1235</v>
      </c>
      <c r="D47" s="3" t="s">
        <v>1236</v>
      </c>
      <c r="F47" s="5" t="str">
        <f>IFERROR(__xludf.DUMMYFUNCTION("GOOGLETRANSLATE(A47, ""en"", ""hi"")"),"46")</f>
        <v>46</v>
      </c>
      <c r="G47" s="5" t="str">
        <f>IFERROR(__xludf.DUMMYFUNCTION("GOOGLETRANSLATE(B47, ""en"", ""hi"")"),"बीच के खेल में, सफ़ेद के मोहरे सक्रिय रूप से राजा की तरफ़ रखे गए हैं, जबकि काला रानी की तरफ़ कैसल कर रहा है। सफ़ेद की योजना क्या होनी चाहिए?")</f>
        <v>बीच के खेल में, सफ़ेद के मोहरे सक्रिय रूप से राजा की तरफ़ रखे गए हैं, जबकि काला रानी की तरफ़ कैसल कर रहा है। सफ़ेद की योजना क्या होनी चाहिए?</v>
      </c>
      <c r="H47" s="5" t="str">
        <f>IFERROR(__xludf.DUMMYFUNCTION("GOOGLETRANSLATE(C47, ""en"", ""hi"")"),"ए) रानी की तरफ के प्यादों को आगे बढ़ाकर काले के राजा पर हमला करें, बी) एक केंद्रीय सफलता तैयार करें, सी) राजा की तरफ के प्यादों को आगे बढ़ाकर लाइनें खोलें, डी) सरलीकरण के लिए रानियों की अदला-बदली करें")</f>
        <v>ए) रानी की तरफ के प्यादों को आगे बढ़ाकर काले के राजा पर हमला करें, बी) एक केंद्रीय सफलता तैयार करें, सी) राजा की तरफ के प्यादों को आगे बढ़ाकर लाइनें खोलें, डी) सरलीकरण के लिए रानियों की अदला-बदली करें</v>
      </c>
      <c r="I47" s="5" t="str">
        <f>IFERROR(__xludf.DUMMYFUNCTION("GOOGLETRANSLATE(D47, ""en"", ""hi"")"),"C) प्यादों को राजा की ओर धकेलकर रेखाएँ खोलना")</f>
        <v>C) प्यादों को राजा की ओर धकेलकर रेखाएँ खोलना</v>
      </c>
    </row>
    <row r="48" ht="22.5" customHeight="1">
      <c r="A48" s="2">
        <v>47.0</v>
      </c>
      <c r="B48" s="3" t="s">
        <v>1237</v>
      </c>
      <c r="C48" s="3" t="s">
        <v>1238</v>
      </c>
      <c r="D48" s="3" t="s">
        <v>1239</v>
      </c>
      <c r="F48" s="5" t="str">
        <f>IFERROR(__xludf.DUMMYFUNCTION("GOOGLETRANSLATE(A48, ""en"", ""hi"")"),"47")</f>
        <v>47</v>
      </c>
      <c r="G48" s="5" t="str">
        <f>IFERROR(__xludf.DUMMYFUNCTION("GOOGLETRANSLATE(B48, ""en"", ""hi"")"),"सफ़ेद के पास g2 पर एक बिशप है और काले का राजा किंगसाइड पर कैसल्ड है। सफ़ेद लंबा विकर्ण खोलना चाहता है। सबसे अच्छा तरीका क्या है?")</f>
        <v>सफ़ेद के पास g2 पर एक बिशप है और काले का राजा किंगसाइड पर कैसल्ड है। सफ़ेद लंबा विकर्ण खोलना चाहता है। सबसे अच्छा तरीका क्या है?</v>
      </c>
      <c r="H48" s="5" t="str">
        <f>IFERROR(__xludf.DUMMYFUNCTION("GOOGLETRANSLATE(C48, ""en"", ""hi"")"),"ए) एफ-प्यादा को लाइन खोलने के लिए धकेलें, बी) रानी को एच5 पर ले जाकर काले के राजा पर दबाव डालें, सी) ई-प्यादा को केंद्र खोलने के लिए धकेलें, डी) राजा की तरफ घोड़े के साथ हमला करें")</f>
        <v>ए) एफ-प्यादा को लाइन खोलने के लिए धकेलें, बी) रानी को एच5 पर ले जाकर काले के राजा पर दबाव डालें, सी) ई-प्यादा को केंद्र खोलने के लिए धकेलें, डी) राजा की तरफ घोड़े के साथ हमला करें</v>
      </c>
      <c r="I48" s="5" t="str">
        <f>IFERROR(__xludf.DUMMYFUNCTION("GOOGLETRANSLATE(D48, ""en"", ""hi"")"),"A) लाइनों को खोलने के लिए f-प्यादा को धक्का दें")</f>
        <v>A) लाइनों को खोलने के लिए f-प्यादा को धक्का दें</v>
      </c>
    </row>
    <row r="49" ht="22.5" customHeight="1">
      <c r="A49" s="2">
        <v>48.0</v>
      </c>
      <c r="B49" s="3" t="s">
        <v>1240</v>
      </c>
      <c r="C49" s="3" t="s">
        <v>1241</v>
      </c>
      <c r="D49" s="3" t="s">
        <v>1242</v>
      </c>
      <c r="F49" s="5" t="str">
        <f>IFERROR(__xludf.DUMMYFUNCTION("GOOGLETRANSLATE(A49, ""en"", ""hi"")"),"48")</f>
        <v>48</v>
      </c>
      <c r="G49" s="5" t="str">
        <f>IFERROR(__xludf.DUMMYFUNCTION("GOOGLETRANSLATE(B49, ""en"", ""hi"")"),"काली की रानी सातवें क्रम पर आक्रामक स्थिति में है। सफ़ेद के मोहरे निष्क्रिय रूप से बचाव कर रहे हैं। काले को किस पर ध्यान केंद्रित करना चाहिए?")</f>
        <v>काली की रानी सातवें क्रम पर आक्रामक स्थिति में है। सफ़ेद के मोहरे निष्क्रिय रूप से बचाव कर रहे हैं। काले को किस पर ध्यान केंद्रित करना चाहिए?</v>
      </c>
      <c r="H49" s="5" t="str">
        <f>IFERROR(__xludf.DUMMYFUNCTION("GOOGLETRANSLATE(C49, ""en"", ""hi"")"),"A) पलटवार से बचने के लिए रानियों की अदला-बदली करें, B) सफ़ेद के प्यादों पर दबाव बनाने के लिए रानी का उपयोग करें, C) रानी का समर्थन करने के लिए किश्ती को लाएँ, D) ख़तरा पैदा करने के लिए प्यादों को धकेलें")</f>
        <v>A) पलटवार से बचने के लिए रानियों की अदला-बदली करें, B) सफ़ेद के प्यादों पर दबाव बनाने के लिए रानी का उपयोग करें, C) रानी का समर्थन करने के लिए किश्ती को लाएँ, D) ख़तरा पैदा करने के लिए प्यादों को धकेलें</v>
      </c>
      <c r="I49" s="5" t="str">
        <f>IFERROR(__xludf.DUMMYFUNCTION("GOOGLETRANSLATE(D49, ""en"", ""hi"")"),"C) रानी की सहायता के लिए किश्ती को लाओ")</f>
        <v>C) रानी की सहायता के लिए किश्ती को लाओ</v>
      </c>
    </row>
    <row r="50" ht="22.5" customHeight="1">
      <c r="A50" s="2">
        <v>49.0</v>
      </c>
      <c r="B50" s="3" t="s">
        <v>1243</v>
      </c>
      <c r="C50" s="3" t="s">
        <v>1244</v>
      </c>
      <c r="D50" s="3" t="s">
        <v>1245</v>
      </c>
      <c r="F50" s="5" t="str">
        <f>IFERROR(__xludf.DUMMYFUNCTION("GOOGLETRANSLATE(A50, ""en"", ""hi"")"),"49")</f>
        <v>49</v>
      </c>
      <c r="G50" s="5" t="str">
        <f>IFERROR(__xludf.DUMMYFUNCTION("GOOGLETRANSLATE(B50, ""en"", ""hi"")"),"एक जटिल मध्य-खेल में, खुली फ़ाइल पर सफ़ेद के हाथी दोगुने हो गए हैं। उस फ़ाइल पर काले का एक कमज़ोर मोहरा है। सफ़ेद की अगली चाल क्या होनी चाहिए?")</f>
        <v>एक जटिल मध्य-खेल में, खुली फ़ाइल पर सफ़ेद के हाथी दोगुने हो गए हैं। उस फ़ाइल पर काले का एक कमज़ोर मोहरा है। सफ़ेद की अगली चाल क्या होनी चाहिए?</v>
      </c>
      <c r="H50" s="5" t="str">
        <f>IFERROR(__xludf.DUMMYFUNCTION("GOOGLETRANSLATE(C50, ""en"", ""hi"")"),"A) सातवीं पंक्ति पर स्थित हाथी को दोगुना करें, B) कमजोर मोहरे पर हाथी से हमला करें, C) काले मोहरे के हाथी के बदले एक हाथी को बदलें, D) एक मोहरे को धक्का देकर दूसरी फाइल खोलें")</f>
        <v>A) सातवीं पंक्ति पर स्थित हाथी को दोगुना करें, B) कमजोर मोहरे पर हाथी से हमला करें, C) काले मोहरे के हाथी के बदले एक हाथी को बदलें, D) एक मोहरे को धक्का देकर दूसरी फाइल खोलें</v>
      </c>
      <c r="I50" s="5" t="str">
        <f>IFERROR(__xludf.DUMMYFUNCTION("GOOGLETRANSLATE(D50, ""en"", ""hi"")"),"बी) कमजोर मोहरे पर किश्ती से हमला करें")</f>
        <v>बी) कमजोर मोहरे पर किश्ती से हमला करें</v>
      </c>
    </row>
    <row r="51" ht="22.5" customHeight="1">
      <c r="A51" s="2">
        <v>50.0</v>
      </c>
      <c r="B51" s="3" t="s">
        <v>1246</v>
      </c>
      <c r="C51" s="3" t="s">
        <v>1247</v>
      </c>
      <c r="D51" s="3" t="s">
        <v>1248</v>
      </c>
      <c r="F51" s="5" t="str">
        <f>IFERROR(__xludf.DUMMYFUNCTION("GOOGLETRANSLATE(A51, ""en"", ""hi"")"),"50")</f>
        <v>50</v>
      </c>
      <c r="G51" s="5" t="str">
        <f>IFERROR(__xludf.DUMMYFUNCTION("GOOGLETRANSLATE(B51, ""en"", ""hi"")"),"सफ़ेद के पास एक मोहरा कम है, लेकिन सक्रिय खेल और काले के कमज़ोर बादशाह के रूप में उसे क्षतिपूर्ति मिल गई है। सफ़ेद को आगे कैसे बढ़ना चाहिए?")</f>
        <v>सफ़ेद के पास एक मोहरा कम है, लेकिन सक्रिय खेल और काले के कमज़ोर बादशाह के रूप में उसे क्षतिपूर्ति मिल गई है। सफ़ेद को आगे कैसे बढ़ना चाहिए?</v>
      </c>
      <c r="H51" s="5" t="str">
        <f>IFERROR(__xludf.DUMMYFUNCTION("GOOGLETRANSLATE(C51, ""en"", ""hi"")"),"ए) स्थिति को सरल बनाने के लिए मोहरों का व्यापार करें, बी) सभी उपलब्ध मोहरों के साथ काले के राजा पर सीधे हमला करें, सी) जवाबी कार्रवाई करने के लिए केंद्रीय मोहरे को धक्का दें, डी) राजा को सुरक्षित स्थान पर ले जाएं")</f>
        <v>ए) स्थिति को सरल बनाने के लिए मोहरों का व्यापार करें, बी) सभी उपलब्ध मोहरों के साथ काले के राजा पर सीधे हमला करें, सी) जवाबी कार्रवाई करने के लिए केंद्रीय मोहरे को धक्का दें, डी) राजा को सुरक्षित स्थान पर ले जाएं</v>
      </c>
      <c r="I51" s="5" t="str">
        <f>IFERROR(__xludf.DUMMYFUNCTION("GOOGLETRANSLATE(D51, ""en"", ""hi"")"),"बी) सभी उपलब्ध मोहरों से काले के राजा पर सीधे हमला करें")</f>
        <v>बी) सभी उपलब्ध मोहरों से काले के राजा पर सीधे हमला करें</v>
      </c>
    </row>
    <row r="52" ht="22.5" customHeight="1">
      <c r="A52" s="2">
        <v>51.0</v>
      </c>
      <c r="B52" s="3" t="s">
        <v>1249</v>
      </c>
      <c r="C52" s="3" t="s">
        <v>1250</v>
      </c>
      <c r="D52" s="3" t="s">
        <v>1251</v>
      </c>
      <c r="F52" s="5" t="str">
        <f>IFERROR(__xludf.DUMMYFUNCTION("GOOGLETRANSLATE(A52, ""en"", ""hi"")"),"51")</f>
        <v>51</v>
      </c>
      <c r="G52" s="5" t="str">
        <f>IFERROR(__xludf.DUMMYFUNCTION("GOOGLETRANSLATE(B52, ""en"", ""hi"")"),"सफ़ेद के पास डी-फ़ाइल पर एक उन्नत पास वाला मोहरा है, और काले का राजा बहुत दूर है। जीत सुनिश्चित करने के लिए सफ़ेद को किस पर ध्यान केंद्रित करना चाहिए?")</f>
        <v>सफ़ेद के पास डी-फ़ाइल पर एक उन्नत पास वाला मोहरा है, और काले का राजा बहुत दूर है। जीत सुनिश्चित करने के लिए सफ़ेद को किस पर ध्यान केंद्रित करना चाहिए?</v>
      </c>
      <c r="H52" s="5" t="str">
        <f>IFERROR(__xludf.DUMMYFUNCTION("GOOGLETRANSLATE(C52, ""en"", ""hi"")"),"A) पास हुए मोहरे को तुरंत धकेलें, B) मोहरे की बढ़त को सहारा देने के लिए बादशाह का इस्तेमाल करें, C) स्थिति को आसान बनाने के लिए मोहरों की अदला-बदली करें, D) पास हुए मोहरे की दूसरे मोहरों से रक्षा करें")</f>
        <v>A) पास हुए मोहरे को तुरंत धकेलें, B) मोहरे की बढ़त को सहारा देने के लिए बादशाह का इस्तेमाल करें, C) स्थिति को आसान बनाने के लिए मोहरों की अदला-बदली करें, D) पास हुए मोहरे की दूसरे मोहरों से रक्षा करें</v>
      </c>
      <c r="I52" s="5" t="str">
        <f>IFERROR(__xludf.DUMMYFUNCTION("GOOGLETRANSLATE(D52, ""en"", ""hi"")"),"बी) मोहरे की बढ़त को सहारा देने के लिए राजा का उपयोग करें")</f>
        <v>बी) मोहरे की बढ़त को सहारा देने के लिए राजा का उपयोग करें</v>
      </c>
    </row>
    <row r="53" ht="22.5" customHeight="1">
      <c r="A53" s="2">
        <v>52.0</v>
      </c>
      <c r="B53" s="3" t="s">
        <v>1252</v>
      </c>
      <c r="C53" s="3" t="s">
        <v>1253</v>
      </c>
      <c r="D53" s="3" t="s">
        <v>1254</v>
      </c>
      <c r="F53" s="5" t="str">
        <f>IFERROR(__xludf.DUMMYFUNCTION("GOOGLETRANSLATE(A53, ""en"", ""hi"")"),"52")</f>
        <v>52</v>
      </c>
      <c r="G53" s="5" t="str">
        <f>IFERROR(__xludf.DUMMYFUNCTION("GOOGLETRANSLATE(B53, ""en"", ""hi"")"),"एक नाज़ुक मोड़ पर, सफ़ेद का किश्ती सातवें क्रम पर है और काले के प्यादों पर हमला कर रहा है। सफ़ेद के लिए सबसे अच्छी योजना क्या है?")</f>
        <v>एक नाज़ुक मोड़ पर, सफ़ेद का किश्ती सातवें क्रम पर है और काले के प्यादों पर हमला कर रहा है। सफ़ेद के लिए सबसे अच्छी योजना क्या है?</v>
      </c>
      <c r="H53" s="5" t="str">
        <f>IFERROR(__xludf.DUMMYFUNCTION("GOOGLETRANSLATE(C53, ""en"", ""hi"")"),"A) सरलीकरण के लिए काले के हाथी के साथ हाथी को बदलें, B) हाथी के साथ काले के प्यादों पर हमला करें, C) पास्ड प्यादा बनाने के लिए एक हाथी को धक्का दें, D) किंगसाइड की रक्षा के लिए हाथी को हिलाएं")</f>
        <v>A) सरलीकरण के लिए काले के हाथी के साथ हाथी को बदलें, B) हाथी के साथ काले के प्यादों पर हमला करें, C) पास्ड प्यादा बनाने के लिए एक हाथी को धक्का दें, D) किंगसाइड की रक्षा के लिए हाथी को हिलाएं</v>
      </c>
      <c r="I53" s="5" t="str">
        <f>IFERROR(__xludf.DUMMYFUNCTION("GOOGLETRANSLATE(D53, ""en"", ""hi"")"),"B) हाथी से काले के प्यादों पर हमला करें")</f>
        <v>B) हाथी से काले के प्यादों पर हमला करें</v>
      </c>
    </row>
    <row r="54" ht="22.5" customHeight="1">
      <c r="A54" s="2">
        <v>53.0</v>
      </c>
      <c r="B54" s="3" t="s">
        <v>1255</v>
      </c>
      <c r="C54" s="3" t="s">
        <v>1256</v>
      </c>
      <c r="D54" s="3" t="s">
        <v>1257</v>
      </c>
      <c r="F54" s="5" t="str">
        <f>IFERROR(__xludf.DUMMYFUNCTION("GOOGLETRANSLATE(A54, ""en"", ""hi"")"),"53")</f>
        <v>53</v>
      </c>
      <c r="G54" s="5" t="str">
        <f>IFERROR(__xludf.DUMMYFUNCTION("GOOGLETRANSLATE(B54, ""en"", ""hi"")"),"काले के पास एक मोहरा है, लेकिन सफेद के पास बोर्ड के बीच में एक मज़बूत घोड़ा है। काले को कैसे आगे बढ़ना चाहिए?")</f>
        <v>काले के पास एक मोहरा है, लेकिन सफेद के पास बोर्ड के बीच में एक मज़बूत घोड़ा है। काले को कैसे आगे बढ़ना चाहिए?</v>
      </c>
      <c r="H54" s="5" t="str">
        <f>IFERROR(__xludf.DUMMYFUNCTION("GOOGLETRANSLATE(C54, ""en"", ""hi"")"),"क) घोड़े को काले के बिशप से बदलें, ख) एक मोहरे को धक्का देकर पास्ड मोहरा बनाएं, ग) अन्य मोहरों के साथ सफेद के घोड़े पर हमला करें, घ) अनुकूल अंत तक पहुंचने के लिए रानियों का व्यापार करें")</f>
        <v>क) घोड़े को काले के बिशप से बदलें, ख) एक मोहरे को धक्का देकर पास्ड मोहरा बनाएं, ग) अन्य मोहरों के साथ सफेद के घोड़े पर हमला करें, घ) अनुकूल अंत तक पहुंचने के लिए रानियों का व्यापार करें</v>
      </c>
      <c r="I54" s="5" t="str">
        <f>IFERROR(__xludf.DUMMYFUNCTION("GOOGLETRANSLATE(D54, ""en"", ""hi"")"),"C) अन्य मोहरों से सफ़ेद घोड़े पर हमला करें")</f>
        <v>C) अन्य मोहरों से सफ़ेद घोड़े पर हमला करें</v>
      </c>
    </row>
    <row r="55" ht="22.5" customHeight="1">
      <c r="A55" s="2">
        <v>54.0</v>
      </c>
      <c r="B55" s="3" t="s">
        <v>1258</v>
      </c>
      <c r="C55" s="3" t="s">
        <v>1259</v>
      </c>
      <c r="D55" s="3" t="s">
        <v>1260</v>
      </c>
      <c r="F55" s="5" t="str">
        <f>IFERROR(__xludf.DUMMYFUNCTION("GOOGLETRANSLATE(A55, ""en"", ""hi"")"),"54")</f>
        <v>54</v>
      </c>
      <c r="G55" s="5" t="str">
        <f>IFERROR(__xludf.DUMMYFUNCTION("GOOGLETRANSLATE(B55, ""en"", ""hi"")"),"सफ़ेद की रानी और किश्ती, काले के राजा पर हमला कर रहे हैं, जो प्यादों से घिरा हुआ है। अब सफ़ेद को किस पर ध्यान केंद्रित करना चाहिए?")</f>
        <v>सफ़ेद की रानी और किश्ती, काले के राजा पर हमला कर रहे हैं, जो प्यादों से घिरा हुआ है। अब सफ़ेद को किस पर ध्यान केंद्रित करना चाहिए?</v>
      </c>
      <c r="H55" s="5" t="str">
        <f>IFERROR(__xludf.DUMMYFUNCTION("GOOGLETRANSLATE(C55, ""en"", ""hi"")"),"ए) लाइन खोलने के लिए एक मोहरे की बलि देना, बी) घोड़े को हमले में शामिल करना, सी) रानी को काले के बिशप के लिए व्यापार करना, डी) केंद्रीय मोहरे को आगे बढ़ाने के लिए धक्का देना")</f>
        <v>ए) लाइन खोलने के लिए एक मोहरे की बलि देना, बी) घोड़े को हमले में शामिल करना, सी) रानी को काले के बिशप के लिए व्यापार करना, डी) केंद्रीय मोहरे को आगे बढ़ाने के लिए धक्का देना</v>
      </c>
      <c r="I55" s="5" t="str">
        <f>IFERROR(__xludf.DUMMYFUNCTION("GOOGLETRANSLATE(D55, ""en"", ""hi"")"),"बी) हमले में शामिल होने के लिए शूरवीर को लाओ")</f>
        <v>बी) हमले में शामिल होने के लिए शूरवीर को लाओ</v>
      </c>
    </row>
    <row r="56" ht="22.5" customHeight="1">
      <c r="A56" s="2">
        <v>55.0</v>
      </c>
      <c r="B56" s="3" t="s">
        <v>1261</v>
      </c>
      <c r="C56" s="3" t="s">
        <v>1262</v>
      </c>
      <c r="D56" s="3" t="s">
        <v>1263</v>
      </c>
      <c r="F56" s="5" t="str">
        <f>IFERROR(__xludf.DUMMYFUNCTION("GOOGLETRANSLATE(A56, ""en"", ""hi"")"),"55")</f>
        <v>55</v>
      </c>
      <c r="G56" s="5" t="str">
        <f>IFERROR(__xludf.DUMMYFUNCTION("GOOGLETRANSLATE(B56, ""en"", ""hi"")"),"अंतिम बाजी में सफ़ेद के पास एक अतिरिक्त मोहरा है, लेकिन काले का राजा ज़्यादा सक्रिय है। सफ़ेद की सबसे अच्छी रणनीति क्या है?")</f>
        <v>अंतिम बाजी में सफ़ेद के पास एक अतिरिक्त मोहरा है, लेकिन काले का राजा ज़्यादा सक्रिय है। सफ़ेद की सबसे अच्छी रणनीति क्या है?</v>
      </c>
      <c r="H56" s="5" t="str">
        <f>IFERROR(__xludf.DUMMYFUNCTION("GOOGLETRANSLATE(C56, ""en"", ""hi"")"),"A) अतिरिक्त मोहरे को तुरंत धकेलें, B) मोहरे की सहायता के लिए राजा को खेल में लाएँ, C) सरलीकरण के लिए मोहरों की अदला-बदली करें, D) किश्ती से मोहरे की रक्षा करें")</f>
        <v>A) अतिरिक्त मोहरे को तुरंत धकेलें, B) मोहरे की सहायता के लिए राजा को खेल में लाएँ, C) सरलीकरण के लिए मोहरों की अदला-बदली करें, D) किश्ती से मोहरे की रक्षा करें</v>
      </c>
      <c r="I56" s="5" t="str">
        <f>IFERROR(__xludf.DUMMYFUNCTION("GOOGLETRANSLATE(D56, ""en"", ""hi"")"),"बी) मोहरे का समर्थन करने के लिए राजा को खेल में लाना")</f>
        <v>बी) मोहरे का समर्थन करने के लिए राजा को खेल में लाना</v>
      </c>
    </row>
    <row r="57" ht="22.5" customHeight="1">
      <c r="A57" s="2">
        <v>56.0</v>
      </c>
      <c r="B57" s="3" t="s">
        <v>1264</v>
      </c>
      <c r="C57" s="3" t="s">
        <v>1265</v>
      </c>
      <c r="D57" s="3" t="s">
        <v>1266</v>
      </c>
      <c r="F57" s="5" t="str">
        <f>IFERROR(__xludf.DUMMYFUNCTION("GOOGLETRANSLATE(A57, ""en"", ""hi"")"),"56")</f>
        <v>56</v>
      </c>
      <c r="G57" s="5" t="str">
        <f>IFERROR(__xludf.DUMMYFUNCTION("GOOGLETRANSLATE(B57, ""en"", ""hi"")"),"काले ने सफ़ेद के किंगसाइड को खोलने के लिए एक घोड़े की बलि दे दी है। सफ़ेद को प्रभावी ढंग से बचाव के लिए क्या करना चाहिए?")</f>
        <v>काले ने सफ़ेद के किंगसाइड को खोलने के लिए एक घोड़े की बलि दे दी है। सफ़ेद को प्रभावी ढंग से बचाव के लिए क्या करना चाहिए?</v>
      </c>
      <c r="H57" s="5" t="str">
        <f>IFERROR(__xludf.DUMMYFUNCTION("GOOGLETRANSLATE(C57, ""en"", ""hi"")"),"ए) काले के राजा पर तुरंत पलटवार करें, बी) राजा की ओर बचाव के लिए रानी को आगे बढ़ाएं, सी) हमले को रोकने के लिए एक मोहरे को आगे बढ़ाएं, डी) काले के हमले को खत्म करने के लिए रानियों की अदला-बदली करें")</f>
        <v>ए) काले के राजा पर तुरंत पलटवार करें, बी) राजा की ओर बचाव के लिए रानी को आगे बढ़ाएं, सी) हमले को रोकने के लिए एक मोहरे को आगे बढ़ाएं, डी) काले के हमले को खत्म करने के लिए रानियों की अदला-बदली करें</v>
      </c>
      <c r="I57" s="5" t="str">
        <f>IFERROR(__xludf.DUMMYFUNCTION("GOOGLETRANSLATE(D57, ""en"", ""hi"")"),"D) काले के हमले को खत्म करने के लिए रानियों की अदला-बदली करें")</f>
        <v>D) काले के हमले को खत्म करने के लिए रानियों की अदला-बदली करें</v>
      </c>
    </row>
    <row r="58" ht="22.5" customHeight="1">
      <c r="A58" s="2">
        <v>57.0</v>
      </c>
      <c r="B58" s="3" t="s">
        <v>1267</v>
      </c>
      <c r="C58" s="3" t="s">
        <v>1268</v>
      </c>
      <c r="D58" s="3" t="s">
        <v>1269</v>
      </c>
      <c r="F58" s="5" t="str">
        <f>IFERROR(__xludf.DUMMYFUNCTION("GOOGLETRANSLATE(A58, ""en"", ""hi"")"),"57")</f>
        <v>57</v>
      </c>
      <c r="G58" s="5" t="str">
        <f>IFERROR(__xludf.DUMMYFUNCTION("GOOGLETRANSLATE(B58, ""en"", ""hi"")"),"सफ़ेद के मोहरे अच्छी तरह से विकसित हो चुके हैं और काले का राजा बीच में फँसा हुआ है। सफ़ेद को आगे कैसे बढ़ना चाहिए?")</f>
        <v>सफ़ेद के मोहरे अच्छी तरह से विकसित हो चुके हैं और काले का राजा बीच में फँसा हुआ है। सफ़ेद को आगे कैसे बढ़ना चाहिए?</v>
      </c>
      <c r="H58" s="5" t="str">
        <f>IFERROR(__xludf.DUMMYFUNCTION("GOOGLETRANSLATE(C58, ""en"", ""hi"")"),"ए) किश्ती को खेल में लाने के लिए महल बनाना, बी) केंद्रीय मोहरे को लाइन खोलने के लिए धकेलना, सी) काले घोड़े पर हमला करना, डी) अंतिम खेल तक पहुंचने के लिए मोहरों की अदला-बदली करना")</f>
        <v>ए) किश्ती को खेल में लाने के लिए महल बनाना, बी) केंद्रीय मोहरे को लाइन खोलने के लिए धकेलना, सी) काले घोड़े पर हमला करना, डी) अंतिम खेल तक पहुंचने के लिए मोहरों की अदला-बदली करना</v>
      </c>
      <c r="I58" s="5" t="str">
        <f>IFERROR(__xludf.DUMMYFUNCTION("GOOGLETRANSLATE(D58, ""en"", ""hi"")"),"बी) केंद्रीय मोहरे को लाइन खोलने के लिए धक्का दें")</f>
        <v>बी) केंद्रीय मोहरे को लाइन खोलने के लिए धक्का दें</v>
      </c>
    </row>
    <row r="59" ht="22.5" customHeight="1">
      <c r="A59" s="2">
        <v>58.0</v>
      </c>
      <c r="B59" s="3" t="s">
        <v>1270</v>
      </c>
      <c r="C59" s="3" t="s">
        <v>1271</v>
      </c>
      <c r="D59" s="3" t="s">
        <v>1272</v>
      </c>
      <c r="F59" s="5" t="str">
        <f>IFERROR(__xludf.DUMMYFUNCTION("GOOGLETRANSLATE(A59, ""en"", ""hi"")"),"58")</f>
        <v>58</v>
      </c>
      <c r="G59" s="5" t="str">
        <f>IFERROR(__xludf.DUMMYFUNCTION("GOOGLETRANSLATE(B59, ""en"", ""hi"")"),"एक तेज़ खेल में, सफ़ेद पक्ष आगे है लेकिन काले पक्ष के पास एक उन्नत मोहरा है। सफ़ेद पक्ष को इस स्थिति को कैसे संभालना चाहिए?")</f>
        <v>एक तेज़ खेल में, सफ़ेद पक्ष आगे है लेकिन काले पक्ष के पास एक उन्नत मोहरा है। सफ़ेद पक्ष को इस स्थिति को कैसे संभालना चाहिए?</v>
      </c>
      <c r="H59" s="5" t="str">
        <f>IFERROR(__xludf.DUMMYFUNCTION("GOOGLETRANSLATE(C59, ""en"", ""hi"")"),"A) सरलीकरण के लिए रानियों की अदला-बदली करें, B) प्रति-खेल बनाने के लिए मोहरे को आगे बढ़ाएँ, C) काले के उन्नत मोहरे पर तुरंत हमला करें, D) बचाव के लिए किश्ती को आगे बढ़ाएँ")</f>
        <v>A) सरलीकरण के लिए रानियों की अदला-बदली करें, B) प्रति-खेल बनाने के लिए मोहरे को आगे बढ़ाएँ, C) काले के उन्नत मोहरे पर तुरंत हमला करें, D) बचाव के लिए किश्ती को आगे बढ़ाएँ</v>
      </c>
      <c r="I59" s="5" t="str">
        <f>IFERROR(__xludf.DUMMYFUNCTION("GOOGLETRANSLATE(D59, ""en"", ""hi"")"),"C) काले के आगे बढ़े हुए मोहरे पर तुरंत हमला करें")</f>
        <v>C) काले के आगे बढ़े हुए मोहरे पर तुरंत हमला करें</v>
      </c>
    </row>
    <row r="60" ht="22.5" customHeight="1">
      <c r="A60" s="2">
        <v>59.0</v>
      </c>
      <c r="B60" s="3" t="s">
        <v>1273</v>
      </c>
      <c r="C60" s="3" t="s">
        <v>1274</v>
      </c>
      <c r="D60" s="3" t="s">
        <v>1275</v>
      </c>
      <c r="F60" s="5" t="str">
        <f>IFERROR(__xludf.DUMMYFUNCTION("GOOGLETRANSLATE(A60, ""en"", ""hi"")"),"59")</f>
        <v>59</v>
      </c>
      <c r="G60" s="5" t="str">
        <f>IFERROR(__xludf.DUMMYFUNCTION("GOOGLETRANSLATE(B60, ""en"", ""hi"")"),"सफ़ेद के पास एक शक्तिशाली बिशप जोड़ी खुली स्थिति में है। काले के घोड़े किंगसाइड की रक्षा कर रहे हैं। सफ़ेद को किस पर ध्यान केंद्रित करना चाहिए?")</f>
        <v>सफ़ेद के पास एक शक्तिशाली बिशप जोड़ी खुली स्थिति में है। काले के घोड़े किंगसाइड की रक्षा कर रहे हैं। सफ़ेद को किस पर ध्यान केंद्रित करना चाहिए?</v>
      </c>
      <c r="H60" s="5" t="str">
        <f>IFERROR(__xludf.DUMMYFUNCTION("GOOGLETRANSLATE(C60, ""en"", ""hi"")"),"ए) एक बिशप को घोड़े के बदले में बेचें, बी) बिशप को रखें और अधिक लाइनें खोलें, सी) काले के राजा पर हमला करने के लिए एक मोहरे को आगे बढ़ाएं, डी) मोहरों की अदला-बदली के लिए रानी को आगे बढ़ाएं")</f>
        <v>ए) एक बिशप को घोड़े के बदले में बेचें, बी) बिशप को रखें और अधिक लाइनें खोलें, सी) काले के राजा पर हमला करने के लिए एक मोहरे को आगे बढ़ाएं, डी) मोहरों की अदला-बदली के लिए रानी को आगे बढ़ाएं</v>
      </c>
      <c r="I60" s="5" t="str">
        <f>IFERROR(__xludf.DUMMYFUNCTION("GOOGLETRANSLATE(D60, ""en"", ""hi"")"),"बी) बिशप रखें और अधिक लाइनें खोलें")</f>
        <v>बी) बिशप रखें और अधिक लाइनें खोलें</v>
      </c>
    </row>
    <row r="61" ht="22.5" customHeight="1">
      <c r="A61" s="2">
        <v>60.0</v>
      </c>
      <c r="B61" s="3" t="s">
        <v>1276</v>
      </c>
      <c r="C61" s="3" t="s">
        <v>1277</v>
      </c>
      <c r="D61" s="3" t="s">
        <v>1278</v>
      </c>
      <c r="F61" s="5" t="str">
        <f>IFERROR(__xludf.DUMMYFUNCTION("GOOGLETRANSLATE(A61, ""en"", ""hi"")"),"60")</f>
        <v>60</v>
      </c>
      <c r="G61" s="5" t="str">
        <f>IFERROR(__xludf.DUMMYFUNCTION("GOOGLETRANSLATE(B61, ""en"", ""hi"")"),"सफ़ेद के पास रानी की तरफ़ से एक पास्ड प्यादा है, और काला राजा की तरफ़ से हमला कर रहा है। सफ़ेद को आगे कैसे बढ़ना चाहिए?")</f>
        <v>सफ़ेद के पास रानी की तरफ़ से एक पास्ड प्यादा है, और काला राजा की तरफ़ से हमला कर रहा है। सफ़ेद को आगे कैसे बढ़ना चाहिए?</v>
      </c>
      <c r="H61" s="5" t="str">
        <f>IFERROR(__xludf.DUMMYFUNCTION("GOOGLETRANSLATE(C61, ""en"", ""hi"")"),"A) पास हुए मोहरे को तुरंत धकेलें, B) बचाव के लिए राजा को आगे बढ़ाएँ, C) काले के हमले को कम करने के लिए रानियों की अदला-बदली करें, D) काले के मोहरों पर पलटवार करें")</f>
        <v>A) पास हुए मोहरे को तुरंत धकेलें, B) बचाव के लिए राजा को आगे बढ़ाएँ, C) काले के हमले को कम करने के लिए रानियों की अदला-बदली करें, D) काले के मोहरों पर पलटवार करें</v>
      </c>
      <c r="I61" s="5" t="str">
        <f>IFERROR(__xludf.DUMMYFUNCTION("GOOGLETRANSLATE(D61, ""en"", ""hi"")"),"A) पास हुए मोहरे को तुरंत धकेलें")</f>
        <v>A) पास हुए मोहरे को तुरंत धकेलें</v>
      </c>
    </row>
    <row r="62" ht="22.5" customHeight="1">
      <c r="A62" s="2">
        <v>61.0</v>
      </c>
      <c r="B62" s="3" t="s">
        <v>1279</v>
      </c>
      <c r="C62" s="3" t="s">
        <v>1280</v>
      </c>
      <c r="D62" s="3" t="s">
        <v>1281</v>
      </c>
      <c r="F62" s="5" t="str">
        <f>IFERROR(__xludf.DUMMYFUNCTION("GOOGLETRANSLATE(A62, ""en"", ""hi"")"),"61")</f>
        <v>61</v>
      </c>
      <c r="G62" s="5" t="str">
        <f>IFERROR(__xludf.DUMMYFUNCTION("GOOGLETRANSLATE(B62, ""en"", ""hi"")"),"काले ने सातवीं पंक्ति पर दुगुने हाथी बना लिए हैं, जिससे सफ़ेद के प्यादों को ख़तरा है। बचाव के लिए सफ़ेद को किस पर ध्यान केंद्रित करना चाहिए?")</f>
        <v>काले ने सातवीं पंक्ति पर दुगुने हाथी बना लिए हैं, जिससे सफ़ेद के प्यादों को ख़तरा है। बचाव के लिए सफ़ेद को किस पर ध्यान केंद्रित करना चाहिए?</v>
      </c>
      <c r="H62" s="5" t="str">
        <f>IFERROR(__xludf.DUMMYFUNCTION("GOOGLETRANSLATE(C62, ""en"", ""hi"")"),"A) राजा को हाथी के करीब ले जाएं, B) दबाव कम करने के लिए एक हाथी को बदल दें, C) काले हाथी को विचलित करने के लिए एक मोहरे को धक्का दें, D) रानी के साथ काले हाथी पर हमला करें")</f>
        <v>A) राजा को हाथी के करीब ले जाएं, B) दबाव कम करने के लिए एक हाथी को बदल दें, C) काले हाथी को विचलित करने के लिए एक मोहरे को धक्का दें, D) रानी के साथ काले हाथी पर हमला करें</v>
      </c>
      <c r="I62" s="5" t="str">
        <f>IFERROR(__xludf.DUMMYFUNCTION("GOOGLETRANSLATE(D62, ""en"", ""hi"")"),"बी) दबाव कम करने के लिए एक किश्ती की अदला-बदली करें")</f>
        <v>बी) दबाव कम करने के लिए एक किश्ती की अदला-बदली करें</v>
      </c>
    </row>
    <row r="63" ht="22.5" customHeight="1">
      <c r="A63" s="2">
        <v>62.0</v>
      </c>
      <c r="B63" s="3" t="s">
        <v>1282</v>
      </c>
      <c r="C63" s="3" t="s">
        <v>1283</v>
      </c>
      <c r="D63" s="3" t="s">
        <v>1284</v>
      </c>
      <c r="F63" s="5" t="str">
        <f>IFERROR(__xludf.DUMMYFUNCTION("GOOGLETRANSLATE(A63, ""en"", ""hi"")"),"62")</f>
        <v>62</v>
      </c>
      <c r="G63" s="5" t="str">
        <f>IFERROR(__xludf.DUMMYFUNCTION("GOOGLETRANSLATE(B63, ""en"", ""hi"")"),"सफ़ेद का घोड़ा केंद्र में अच्छी स्थिति में है, और काले का बिशप निष्क्रिय है। सफ़ेद अपनी स्थिति कैसे सुधार सकता है?")</f>
        <v>सफ़ेद का घोड़ा केंद्र में अच्छी स्थिति में है, और काले का बिशप निष्क्रिय है। सफ़ेद अपनी स्थिति कैसे सुधार सकता है?</v>
      </c>
      <c r="H63" s="5" t="str">
        <f>IFERROR(__xludf.DUMMYFUNCTION("GOOGLETRANSLATE(C63, ""en"", ""hi"")"),"ए) घोड़े को काले के बिशप के साथ बदलें, बी) घोड़े के लिए लाइनें खोलने के लिए एक मोहरे को धक्का दें, सी) घोड़े को केंद्र में रखें और अन्य टुकड़ों में सुधार करें, डी) स्थिति को सरल बनाने के लिए रानियों का व्यापार करें")</f>
        <v>ए) घोड़े को काले के बिशप के साथ बदलें, बी) घोड़े के लिए लाइनें खोलने के लिए एक मोहरे को धक्का दें, सी) घोड़े को केंद्र में रखें और अन्य टुकड़ों में सुधार करें, डी) स्थिति को सरल बनाने के लिए रानियों का व्यापार करें</v>
      </c>
      <c r="I63" s="5" t="str">
        <f>IFERROR(__xludf.DUMMYFUNCTION("GOOGLETRANSLATE(D63, ""en"", ""hi"")"),"C) घोड़े को केंद्र में रखें और अन्य मोहरों को बेहतर बनाएं")</f>
        <v>C) घोड़े को केंद्र में रखें और अन्य मोहरों को बेहतर बनाएं</v>
      </c>
    </row>
    <row r="64" ht="22.5" customHeight="1">
      <c r="A64" s="2">
        <v>63.0</v>
      </c>
      <c r="B64" s="3" t="s">
        <v>1285</v>
      </c>
      <c r="C64" s="3" t="s">
        <v>1286</v>
      </c>
      <c r="D64" s="3" t="s">
        <v>1287</v>
      </c>
      <c r="F64" s="5" t="str">
        <f>IFERROR(__xludf.DUMMYFUNCTION("GOOGLETRANSLATE(A64, ""en"", ""hi"")"),"63")</f>
        <v>63</v>
      </c>
      <c r="G64" s="5" t="str">
        <f>IFERROR(__xludf.DUMMYFUNCTION("GOOGLETRANSLATE(B64, ""en"", ""hi"")"),"रूक एंडगेम में, सफ़ेद के पास एक मोहरा होता है, लेकिन काले का रूक ज़्यादा सक्रिय होता है। सफ़ेद की रणनीति क्या होनी चाहिए?")</f>
        <v>रूक एंडगेम में, सफ़ेद के पास एक मोहरा होता है, लेकिन काले का रूक ज़्यादा सक्रिय होता है। सफ़ेद की रणनीति क्या होनी चाहिए?</v>
      </c>
      <c r="H64" s="5" t="str">
        <f>IFERROR(__xludf.DUMMYFUNCTION("GOOGLETRANSLATE(C64, ""en"", ""hi"")"),"A) अतिरिक्त मोहरे को तुरंत धकेलें, B) जवाबी हमले से बचने के लिए निष्क्रिय रूप से बचाव करें, C) राजा को किश्ती के करीब लाएँ, D) सरलीकरण के लिए किश्ती बदलें")</f>
        <v>A) अतिरिक्त मोहरे को तुरंत धकेलें, B) जवाबी हमले से बचने के लिए निष्क्रिय रूप से बचाव करें, C) राजा को किश्ती के करीब लाएँ, D) सरलीकरण के लिए किश्ती बदलें</v>
      </c>
      <c r="I64" s="5" t="str">
        <f>IFERROR(__xludf.DUMMYFUNCTION("GOOGLETRANSLATE(D64, ""en"", ""hi"")"),"A) अतिरिक्त मोहरे को तुरंत धकेलें")</f>
        <v>A) अतिरिक्त मोहरे को तुरंत धकेलें</v>
      </c>
    </row>
    <row r="65" ht="22.5" customHeight="1">
      <c r="A65" s="2">
        <v>64.0</v>
      </c>
      <c r="B65" s="3" t="s">
        <v>1288</v>
      </c>
      <c r="C65" s="3" t="s">
        <v>1289</v>
      </c>
      <c r="D65" s="3" t="s">
        <v>1290</v>
      </c>
      <c r="F65" s="5" t="str">
        <f>IFERROR(__xludf.DUMMYFUNCTION("GOOGLETRANSLATE(A65, ""en"", ""hi"")"),"64")</f>
        <v>64</v>
      </c>
      <c r="G65" s="5" t="str">
        <f>IFERROR(__xludf.DUMMYFUNCTION("GOOGLETRANSLATE(B65, ""en"", ""hi"")"),"श्वेत ने काले के राजा पर हमले के लिए एक बिशप की बलि दे दी है। आगे क्या करना है, इस पर श्वेत को ध्यान केंद्रित करना चाहिए?")</f>
        <v>श्वेत ने काले के राजा पर हमले के लिए एक बिशप की बलि दे दी है। आगे क्या करना है, इस पर श्वेत को ध्यान केंद्रित करना चाहिए?</v>
      </c>
      <c r="H65" s="5" t="str">
        <f>IFERROR(__xludf.DUMMYFUNCTION("GOOGLETRANSLATE(C65, ""en"", ""hi"")"),"ए) सभी उपलब्ध मोहरों को आक्रमण में लाना, बी) शेष मोहरों की रक्षा करना, सी) अंतिम बाजी तक पहुंचने के लिए रानियों की अदला-बदली करना, डी) नया खतरा पैदा करने के लिए मोहरे को आगे बढ़ाना")</f>
        <v>ए) सभी उपलब्ध मोहरों को आक्रमण में लाना, बी) शेष मोहरों की रक्षा करना, सी) अंतिम बाजी तक पहुंचने के लिए रानियों की अदला-बदली करना, डी) नया खतरा पैदा करने के लिए मोहरे को आगे बढ़ाना</v>
      </c>
      <c r="I65" s="5" t="str">
        <f>IFERROR(__xludf.DUMMYFUNCTION("GOOGLETRANSLATE(D65, ""en"", ""hi"")"),"A) सभी उपलब्ध टुकड़ों को हमले में लगाएँ")</f>
        <v>A) सभी उपलब्ध टुकड़ों को हमले में लगाएँ</v>
      </c>
    </row>
    <row r="66" ht="22.5" customHeight="1">
      <c r="A66" s="2">
        <v>65.0</v>
      </c>
      <c r="B66" s="3" t="s">
        <v>1291</v>
      </c>
      <c r="C66" s="3" t="s">
        <v>1292</v>
      </c>
      <c r="D66" s="3" t="s">
        <v>1293</v>
      </c>
      <c r="F66" s="5" t="str">
        <f>IFERROR(__xludf.DUMMYFUNCTION("GOOGLETRANSLATE(A66, ""en"", ""hi"")"),"65")</f>
        <v>65</v>
      </c>
      <c r="G66" s="5" t="str">
        <f>IFERROR(__xludf.DUMMYFUNCTION("GOOGLETRANSLATE(B66, ""en"", ""hi"")"),"अंतिम गेम में काले के पास घोड़े के लिए एक किश्ती है। काले का ध्यान किस पर होना चाहिए?")</f>
        <v>अंतिम गेम में काले के पास घोड़े के लिए एक किश्ती है। काले का ध्यान किस पर होना चाहिए?</v>
      </c>
      <c r="H66" s="5" t="str">
        <f>IFERROR(__xludf.DUMMYFUNCTION("GOOGLETRANSLATE(C66, ""en"", ""hi"")"),"A) सरलीकरण के लिए मोहरों की अदला-बदली करें, B) सक्रिय रूप से किश्ती की रक्षा करें, C) श्वेत के घोड़े पर तुरंत आक्रमण करें, D) प्रति-खेल बनाने के लिए मोहरे को आगे बढ़ाएँ")</f>
        <v>A) सरलीकरण के लिए मोहरों की अदला-बदली करें, B) सक्रिय रूप से किश्ती की रक्षा करें, C) श्वेत के घोड़े पर तुरंत आक्रमण करें, D) प्रति-खेल बनाने के लिए मोहरे को आगे बढ़ाएँ</v>
      </c>
      <c r="I66" s="5" t="str">
        <f>IFERROR(__xludf.DUMMYFUNCTION("GOOGLETRANSLATE(D66, ""en"", ""hi"")"),"A) सरलीकरण के लिए टुकड़ों का आदान-प्रदान करें")</f>
        <v>A) सरलीकरण के लिए टुकड़ों का आदान-प्रदान करें</v>
      </c>
    </row>
    <row r="67" ht="22.5" customHeight="1">
      <c r="A67" s="2">
        <v>66.0</v>
      </c>
      <c r="B67" s="3" t="s">
        <v>1294</v>
      </c>
      <c r="C67" s="3" t="s">
        <v>1295</v>
      </c>
      <c r="D67" s="3" t="s">
        <v>1254</v>
      </c>
      <c r="F67" s="5" t="str">
        <f>IFERROR(__xludf.DUMMYFUNCTION("GOOGLETRANSLATE(A67, ""en"", ""hi"")"),"66")</f>
        <v>66</v>
      </c>
      <c r="G67" s="5" t="str">
        <f>IFERROR(__xludf.DUMMYFUNCTION("GOOGLETRANSLATE(B67, ""en"", ""hi"")"),"सफ़ेद के पास एक रानी और एक किश्ती है, जबकि काले के पास एक रानी और दो प्यादे हैं। दोनों बादशाह बेनकाब हैं। सफ़ेद के लिए सबसे अच्छी योजना क्या है?")</f>
        <v>सफ़ेद के पास एक रानी और एक किश्ती है, जबकि काले के पास एक रानी और दो प्यादे हैं। दोनों बादशाह बेनकाब हैं। सफ़ेद के लिए सबसे अच्छी योजना क्या है?</v>
      </c>
      <c r="H67" s="5" t="str">
        <f>IFERROR(__xludf.DUMMYFUNCTION("GOOGLETRANSLATE(C67, ""en"", ""hi"")"),"A) दबाव कम करने के लिए रानियों की अदला-बदली करें, B) हाथी से काले के प्यादों पर हमला करें, C) एक प्यादे को धक्का देकर पास प्यादा बनाएँ, D) रानी से राजा की रक्षा करें")</f>
        <v>A) दबाव कम करने के लिए रानियों की अदला-बदली करें, B) हाथी से काले के प्यादों पर हमला करें, C) एक प्यादे को धक्का देकर पास प्यादा बनाएँ, D) रानी से राजा की रक्षा करें</v>
      </c>
      <c r="I67" s="5" t="str">
        <f>IFERROR(__xludf.DUMMYFUNCTION("GOOGLETRANSLATE(D67, ""en"", ""hi"")"),"B) हाथी से काले के प्यादों पर हमला करें")</f>
        <v>B) हाथी से काले के प्यादों पर हमला करें</v>
      </c>
    </row>
    <row r="68" ht="22.5" customHeight="1">
      <c r="A68" s="2">
        <v>67.0</v>
      </c>
      <c r="B68" s="3" t="s">
        <v>1296</v>
      </c>
      <c r="C68" s="3" t="s">
        <v>1297</v>
      </c>
      <c r="D68" s="3" t="s">
        <v>1298</v>
      </c>
      <c r="F68" s="5" t="str">
        <f>IFERROR(__xludf.DUMMYFUNCTION("GOOGLETRANSLATE(A68, ""en"", ""hi"")"),"67")</f>
        <v>67</v>
      </c>
      <c r="G68" s="5" t="str">
        <f>IFERROR(__xludf.DUMMYFUNCTION("GOOGLETRANSLATE(B68, ""en"", ""hi"")"),"शुरुआत में, सफ़ेद ने सभी मोहरों को विकसित कर लिया है और किंगसाइड पर कैसल कर दिया है। काला अभी भी विकास में पीछे है। सफ़ेद को क्या करना चाहिए?")</f>
        <v>शुरुआत में, सफ़ेद ने सभी मोहरों को विकसित कर लिया है और किंगसाइड पर कैसल कर दिया है। काला अभी भी विकास में पीछे है। सफ़ेद को क्या करना चाहिए?</v>
      </c>
      <c r="H68" s="5" t="str">
        <f>IFERROR(__xludf.DUMMYFUNCTION("GOOGLETRANSLATE(C68, ""en"", ""hi"")"),"ए) प्यादों के साथ केंद्र पर हमला करें, बी) काले के बिशप के लिए एक घोड़े का आदान-प्रदान करें, सी) एक किंगसाइड प्यादा तूफान तैयार करें, डी) काले के एक चाल चलने की प्रतीक्षा करें")</f>
        <v>ए) प्यादों के साथ केंद्र पर हमला करें, बी) काले के बिशप के लिए एक घोड़े का आदान-प्रदान करें, सी) एक किंगसाइड प्यादा तूफान तैयार करें, डी) काले के एक चाल चलने की प्रतीक्षा करें</v>
      </c>
      <c r="I68" s="5" t="str">
        <f>IFERROR(__xludf.DUMMYFUNCTION("GOOGLETRANSLATE(D68, ""en"", ""hi"")"),"A) प्यादों से केंद्र पर हमला करें")</f>
        <v>A) प्यादों से केंद्र पर हमला करें</v>
      </c>
    </row>
    <row r="69" ht="22.5" customHeight="1">
      <c r="A69" s="2">
        <v>68.0</v>
      </c>
      <c r="B69" s="3" t="s">
        <v>1299</v>
      </c>
      <c r="C69" s="3" t="s">
        <v>1300</v>
      </c>
      <c r="D69" s="3" t="s">
        <v>1301</v>
      </c>
      <c r="F69" s="5" t="str">
        <f>IFERROR(__xludf.DUMMYFUNCTION("GOOGLETRANSLATE(A69, ""en"", ""hi"")"),"68")</f>
        <v>68</v>
      </c>
      <c r="G69" s="5" t="str">
        <f>IFERROR(__xludf.DUMMYFUNCTION("GOOGLETRANSLATE(B69, ""en"", ""hi"")"),"सफ़ेद के बिशप ने काले के हाथी को रानी के खिलाफ़ पिन कर दिया है। बढ़त बढ़ाने के लिए सफ़ेद को क्या करना चाहिए?")</f>
        <v>सफ़ेद के बिशप ने काले के हाथी को रानी के खिलाफ़ पिन कर दिया है। बढ़त बढ़ाने के लिए सफ़ेद को क्या करना चाहिए?</v>
      </c>
      <c r="H69" s="5" t="str">
        <f>IFERROR(__xludf.DUMMYFUNCTION("GOOGLETRANSLATE(C69, ""en"", ""hi"")"),"ए) हाथी के बदले में बिशप को बदलें, बी) दूसरे मोहरे से फंसे हुए हाथी पर हमला करके दबाव बढ़ाएं, सी) हाथी को खेल में लाने के लिए महल बनाएं, डी) अधिक लाइनें खोलने के लिए मोहरे को धक्का दें")</f>
        <v>ए) हाथी के बदले में बिशप को बदलें, बी) दूसरे मोहरे से फंसे हुए हाथी पर हमला करके दबाव बढ़ाएं, सी) हाथी को खेल में लाने के लिए महल बनाएं, डी) अधिक लाइनें खोलने के लिए मोहरे को धक्का दें</v>
      </c>
      <c r="I69" s="5" t="str">
        <f>IFERROR(__xludf.DUMMYFUNCTION("GOOGLETRANSLATE(D69, ""en"", ""hi"")"),"बी) दूसरे मोहरे से पिन किए गए किश्ती पर हमला करके दबाव बढ़ाएं")</f>
        <v>बी) दूसरे मोहरे से पिन किए गए किश्ती पर हमला करके दबाव बढ़ाएं</v>
      </c>
    </row>
    <row r="70" ht="22.5" customHeight="1">
      <c r="A70" s="2">
        <v>69.0</v>
      </c>
      <c r="B70" s="3" t="s">
        <v>1302</v>
      </c>
      <c r="C70" s="3" t="s">
        <v>1303</v>
      </c>
      <c r="D70" s="3" t="s">
        <v>1304</v>
      </c>
      <c r="F70" s="5" t="str">
        <f>IFERROR(__xludf.DUMMYFUNCTION("GOOGLETRANSLATE(A70, ""en"", ""hi"")"),"69")</f>
        <v>69</v>
      </c>
      <c r="G70" s="5" t="str">
        <f>IFERROR(__xludf.DUMMYFUNCTION("GOOGLETRANSLATE(B70, ""en"", ""hi"")"),"अंतिम बाजी में सफ़ेद के पास घोड़ा और मोहरा है और काले के पास किश्ती है। खेल को बराबर करने के लिए सफ़ेद का ध्यान किस पर होना चाहिए?")</f>
        <v>अंतिम बाजी में सफ़ेद के पास घोड़ा और मोहरा है और काले के पास किश्ती है। खेल को बराबर करने के लिए सफ़ेद का ध्यान किस पर होना चाहिए?</v>
      </c>
      <c r="H70" s="5" t="str">
        <f>IFERROR(__xludf.DUMMYFUNCTION("GOOGLETRANSLATE(C70, ""en"", ""hi"")"),"ए) मोहरे को तुरंत धकेलें, बी) काले के हाथी को बोर्ड पर नियंत्रण करने से रोकने के लिए घोड़े को सक्रिय रखें, सी) हाथी के बदले घोड़े का व्यापार करें, डी) पास हुए मोहरे के बदले मोहरा")</f>
        <v>ए) मोहरे को तुरंत धकेलें, बी) काले के हाथी को बोर्ड पर नियंत्रण करने से रोकने के लिए घोड़े को सक्रिय रखें, सी) हाथी के बदले घोड़े का व्यापार करें, डी) पास हुए मोहरे के बदले मोहरा</v>
      </c>
      <c r="I70" s="5" t="str">
        <f>IFERROR(__xludf.DUMMYFUNCTION("GOOGLETRANSLATE(D70, ""en"", ""hi"")"),"बी) काले के हाथी को बोर्ड पर नियंत्रण करने से रोकने के लिए घोड़े को सक्रिय रखें")</f>
        <v>बी) काले के हाथी को बोर्ड पर नियंत्रण करने से रोकने के लिए घोड़े को सक्रिय रखें</v>
      </c>
    </row>
    <row r="71" ht="22.5" customHeight="1">
      <c r="A71" s="2">
        <v>70.0</v>
      </c>
      <c r="B71" s="3" t="s">
        <v>1305</v>
      </c>
      <c r="C71" s="3" t="s">
        <v>1306</v>
      </c>
      <c r="D71" s="3" t="s">
        <v>1307</v>
      </c>
      <c r="F71" s="5" t="str">
        <f>IFERROR(__xludf.DUMMYFUNCTION("GOOGLETRANSLATE(A71, ""en"", ""hi"")"),"70")</f>
        <v>70</v>
      </c>
      <c r="G71" s="5" t="str">
        <f>IFERROR(__xludf.DUMMYFUNCTION("GOOGLETRANSLATE(B71, ""en"", ""hi"")"),"अंतिम बाजी में सफ़ेद के पास एक रानी और एक घोड़ा है, जबकि काले के पास एक रानी और एक बिशप है। दोनों पक्षों के पास बोर्ड पर प्यादे हैं। सफ़ेद के लिए सबसे अच्छी योजना क्या है?")</f>
        <v>अंतिम बाजी में सफ़ेद के पास एक रानी और एक घोड़ा है, जबकि काले के पास एक रानी और एक बिशप है। दोनों पक्षों के पास बोर्ड पर प्यादे हैं। सफ़ेद के लिए सबसे अच्छी योजना क्या है?</v>
      </c>
      <c r="H71" s="5" t="str">
        <f>IFERROR(__xludf.DUMMYFUNCTION("GOOGLETRANSLATE(C71, ""en"", ""hi"")"),"A) स्थिति को सरल बनाने के लिए रानियों का व्यापार करें, B) केंद्र को नियंत्रित करने के लिए घोड़े का उपयोग करें, C) रानी के साथ काले के मोहरों पर हमला करें, D) राजाओं की ओर के मोहरों को धकेलें")</f>
        <v>A) स्थिति को सरल बनाने के लिए रानियों का व्यापार करें, B) केंद्र को नियंत्रित करने के लिए घोड़े का उपयोग करें, C) रानी के साथ काले के मोहरों पर हमला करें, D) राजाओं की ओर के मोहरों को धकेलें</v>
      </c>
      <c r="I71" s="5" t="str">
        <f>IFERROR(__xludf.DUMMYFUNCTION("GOOGLETRANSLATE(D71, ""en"", ""hi"")"),"C) रानी के साथ काले के प्यादों पर हमला करें")</f>
        <v>C) रानी के साथ काले के प्यादों पर हमला करें</v>
      </c>
    </row>
    <row r="72" ht="22.5" customHeight="1">
      <c r="A72" s="2">
        <v>71.0</v>
      </c>
      <c r="B72" s="3" t="s">
        <v>1308</v>
      </c>
      <c r="C72" s="3" t="s">
        <v>1309</v>
      </c>
      <c r="D72" s="3" t="s">
        <v>1310</v>
      </c>
      <c r="F72" s="5" t="str">
        <f>IFERROR(__xludf.DUMMYFUNCTION("GOOGLETRANSLATE(A72, ""en"", ""hi"")"),"71")</f>
        <v>71</v>
      </c>
      <c r="G72" s="5" t="str">
        <f>IFERROR(__xludf.DUMMYFUNCTION("GOOGLETRANSLATE(B72, ""en"", ""hi"")"),"सफ़ेद के पास c-फ़ाइल पर दोगुने प्यादे हैं, लेकिन d5 पर एक मज़बूत घोड़ा है। काले के मोहरे निष्क्रिय हैं। सफ़ेद की अगली चाल क्या होनी चाहिए?")</f>
        <v>सफ़ेद के पास c-फ़ाइल पर दोगुने प्यादे हैं, लेकिन d5 पर एक मज़बूत घोड़ा है। काले के मोहरे निष्क्रिय हैं। सफ़ेद की अगली चाल क्या होनी चाहिए?</v>
      </c>
      <c r="H72" s="5" t="str">
        <f>IFERROR(__xludf.DUMMYFUNCTION("GOOGLETRANSLATE(C72, ""en"", ""hi"")"),"ए) घोड़े को काले के बिशप के लिए बदलें, बी) सी-प्यादा को धक्का देकर स्थिति खोलें, सी) हाथी की स्थिति में सुधार करें, डी) रानी को राजा की तरफ से हमला करने के लिए ले जाएं")</f>
        <v>ए) घोड़े को काले के बिशप के लिए बदलें, बी) सी-प्यादा को धक्का देकर स्थिति खोलें, सी) हाथी की स्थिति में सुधार करें, डी) रानी को राजा की तरफ से हमला करने के लिए ले जाएं</v>
      </c>
      <c r="I72" s="5" t="str">
        <f>IFERROR(__xludf.DUMMYFUNCTION("GOOGLETRANSLATE(D72, ""en"", ""hi"")"),"C) किश्ती की स्थिति में सुधार")</f>
        <v>C) किश्ती की स्थिति में सुधार</v>
      </c>
    </row>
    <row r="73" ht="22.5" customHeight="1">
      <c r="A73" s="2">
        <v>72.0</v>
      </c>
      <c r="B73" s="3" t="s">
        <v>1311</v>
      </c>
      <c r="C73" s="3" t="s">
        <v>1312</v>
      </c>
      <c r="D73" s="3" t="s">
        <v>1313</v>
      </c>
      <c r="F73" s="5" t="str">
        <f>IFERROR(__xludf.DUMMYFUNCTION("GOOGLETRANSLATE(A73, ""en"", ""hi"")"),"72")</f>
        <v>72</v>
      </c>
      <c r="G73" s="5" t="str">
        <f>IFERROR(__xludf.DUMMYFUNCTION("GOOGLETRANSLATE(B73, ""en"", ""hi"")"),"काले ने दो प्यादों के लिए एक घोड़े की बलि दे दी है और अब सफ़ेद के राजा पर हमला बोल रहा है। सफ़ेद को कैसे बचाव करना चाहिए?")</f>
        <v>काले ने दो प्यादों के लिए एक घोड़े की बलि दे दी है और अब सफ़ेद के राजा पर हमला बोल रहा है। सफ़ेद को कैसे बचाव करना चाहिए?</v>
      </c>
      <c r="H73" s="5" t="str">
        <f>IFERROR(__xludf.DUMMYFUNCTION("GOOGLETRANSLATE(C73, ""en"", ""hi"")"),"A) हमले को कम करने के लिए रानियों की अदला-बदली करें, B) राजा को सुरक्षित स्थान पर ले जाएं, C) काले के प्यादों पर पलटवार करें, D) राजा की रक्षा के लिए सभी उपलब्ध मोहरों को साथ लाएं")</f>
        <v>A) हमले को कम करने के लिए रानियों की अदला-बदली करें, B) राजा को सुरक्षित स्थान पर ले जाएं, C) काले के प्यादों पर पलटवार करें, D) राजा की रक्षा के लिए सभी उपलब्ध मोहरों को साथ लाएं</v>
      </c>
      <c r="I73" s="5" t="str">
        <f>IFERROR(__xludf.DUMMYFUNCTION("GOOGLETRANSLATE(D73, ""en"", ""hi"")"),"D) राजा की रक्षा के लिए सभी उपलब्ध मोहरे लाओ")</f>
        <v>D) राजा की रक्षा के लिए सभी उपलब्ध मोहरे लाओ</v>
      </c>
    </row>
    <row r="74" ht="22.5" customHeight="1">
      <c r="A74" s="2">
        <v>73.0</v>
      </c>
      <c r="B74" s="3" t="s">
        <v>1314</v>
      </c>
      <c r="C74" s="3" t="s">
        <v>1315</v>
      </c>
      <c r="D74" s="3" t="s">
        <v>1316</v>
      </c>
      <c r="F74" s="5" t="str">
        <f>IFERROR(__xludf.DUMMYFUNCTION("GOOGLETRANSLATE(A74, ""en"", ""hi"")"),"73")</f>
        <v>73</v>
      </c>
      <c r="G74" s="5" t="str">
        <f>IFERROR(__xludf.DUMMYFUNCTION("GOOGLETRANSLATE(B74, ""en"", ""hi"")"),"सफ़ेद का हाथी खुले ई-फ़ाइल पर है, और काले का हाथी सातवें रैंक की रक्षा कर रहा है। सफ़ेद को किस पर ध्यान केंद्रित करना चाहिए?")</f>
        <v>सफ़ेद का हाथी खुले ई-फ़ाइल पर है, और काले का हाथी सातवें रैंक की रक्षा कर रहा है। सफ़ेद को किस पर ध्यान केंद्रित करना चाहिए?</v>
      </c>
      <c r="H74" s="5" t="str">
        <f>IFERROR(__xludf.DUMMYFUNCTION("GOOGLETRANSLATE(C74, ""en"", ""hi"")"),"ए) स्थिति को सरल बनाने के लिए रूक का व्यापार करें, बी) ई-फाइल पर रूक को दोगुना करें, सी) रानी के साथ काले की सातवीं रैंक पर हमला करें, डी) अधिक लाइनें खोलने के लिए एक मोहरे को धक्का दें")</f>
        <v>ए) स्थिति को सरल बनाने के लिए रूक का व्यापार करें, बी) ई-फाइल पर रूक को दोगुना करें, सी) रानी के साथ काले की सातवीं रैंक पर हमला करें, डी) अधिक लाइनें खोलने के लिए एक मोहरे को धक्का दें</v>
      </c>
      <c r="I74" s="5" t="str">
        <f>IFERROR(__xludf.DUMMYFUNCTION("GOOGLETRANSLATE(D74, ""en"", ""hi"")"),"बी) ई-फाइल पर रूक्स को दोगुना करें")</f>
        <v>बी) ई-फाइल पर रूक्स को दोगुना करें</v>
      </c>
    </row>
    <row r="75" ht="22.5" customHeight="1">
      <c r="A75" s="2">
        <v>74.0</v>
      </c>
      <c r="B75" s="3" t="s">
        <v>1317</v>
      </c>
      <c r="C75" s="3" t="s">
        <v>1318</v>
      </c>
      <c r="D75" s="3" t="s">
        <v>1319</v>
      </c>
      <c r="F75" s="5" t="str">
        <f>IFERROR(__xludf.DUMMYFUNCTION("GOOGLETRANSLATE(A75, ""en"", ""hi"")"),"74")</f>
        <v>74</v>
      </c>
      <c r="G75" s="5" t="str">
        <f>IFERROR(__xludf.DUMMYFUNCTION("GOOGLETRANSLATE(B75, ""en"", ""hi"")"),"काले का घोड़ा डी-फ़ाइल पर सफ़ेद के पास्ड प्यादे को रोक रहा है। सफ़ेद को आगे कैसे बढ़ना चाहिए?")</f>
        <v>काले का घोड़ा डी-फ़ाइल पर सफ़ेद के पास्ड प्यादे को रोक रहा है। सफ़ेद को आगे कैसे बढ़ना चाहिए?</v>
      </c>
      <c r="H75" s="5" t="str">
        <f>IFERROR(__xludf.DUMMYFUNCTION("GOOGLETRANSLATE(C75, ""en"", ""hi"")"),"ए) घोड़े को बिशप से बदलें, बी) मोहरे को तुरंत धकेलें, सी) मोहरे को सहारा देने के लिए राजा का उपयोग करें, डी) अन्य मोहरों के साथ घोड़े पर हमला करें")</f>
        <v>ए) घोड़े को बिशप से बदलें, बी) मोहरे को तुरंत धकेलें, सी) मोहरे को सहारा देने के लिए राजा का उपयोग करें, डी) अन्य मोहरों के साथ घोड़े पर हमला करें</v>
      </c>
      <c r="I75" s="5" t="str">
        <f>IFERROR(__xludf.DUMMYFUNCTION("GOOGLETRANSLATE(D75, ""en"", ""hi"")"),"D) अन्य मोहरों से घोड़े पर आक्रमण करें")</f>
        <v>D) अन्य मोहरों से घोड़े पर आक्रमण करें</v>
      </c>
    </row>
    <row r="76" ht="22.5" customHeight="1">
      <c r="A76" s="2">
        <v>75.0</v>
      </c>
      <c r="B76" s="3" t="s">
        <v>1320</v>
      </c>
      <c r="C76" s="3" t="s">
        <v>1321</v>
      </c>
      <c r="D76" s="3" t="s">
        <v>1322</v>
      </c>
      <c r="F76" s="5" t="str">
        <f>IFERROR(__xludf.DUMMYFUNCTION("GOOGLETRANSLATE(A76, ""en"", ""hi"")"),"75")</f>
        <v>75</v>
      </c>
      <c r="G76" s="5" t="str">
        <f>IFERROR(__xludf.DUMMYFUNCTION("GOOGLETRANSLATE(B76, ""en"", ""hi"")"),"सफ़ेद के घोड़े अच्छी स्थिति में हैं, लेकिन रक्षात्मक हैं। सफ़ेद को किस पर निशाना साधना चाहिए?")</f>
        <v>सफ़ेद के घोड़े अच्छी स्थिति में हैं, लेकिन रक्षात्मक हैं। सफ़ेद को किस पर निशाना साधना चाहिए?</v>
      </c>
      <c r="H76" s="5" t="str">
        <f>IFERROR(__xludf.DUMMYFUNCTION("GOOGLETRANSLATE(C76, ""en"", ""hi"")"),"ए) एक बिशप को एक घोड़े के बदले में बदलें, बी) बिशप को रखें और खुली लाइनों पर दबाव बढ़ाएँ, सी) कमजोरियाँ पैदा करने के लिए प्यादों को धकेलें, डी) सरलीकरण के लिए रानियों का आदान-प्रदान करें")</f>
        <v>ए) एक बिशप को एक घोड़े के बदले में बदलें, बी) बिशप को रखें और खुली लाइनों पर दबाव बढ़ाएँ, सी) कमजोरियाँ पैदा करने के लिए प्यादों को धकेलें, डी) सरलीकरण के लिए रानियों का आदान-प्रदान करें</v>
      </c>
      <c r="I76" s="5" t="str">
        <f>IFERROR(__xludf.DUMMYFUNCTION("GOOGLETRANSLATE(D76, ""en"", ""hi"")"),"बी) बिशप को बनाए रखें और खुली लाइनों पर दबाव बढ़ाएँ")</f>
        <v>बी) बिशप को बनाए रखें और खुली लाइनों पर दबाव बढ़ाएँ</v>
      </c>
    </row>
    <row r="77" ht="22.5" customHeight="1">
      <c r="A77" s="2">
        <v>76.0</v>
      </c>
      <c r="B77" s="3" t="s">
        <v>1323</v>
      </c>
      <c r="C77" s="3" t="s">
        <v>1324</v>
      </c>
      <c r="D77" s="3" t="s">
        <v>1325</v>
      </c>
      <c r="F77" s="5" t="str">
        <f>IFERROR(__xludf.DUMMYFUNCTION("GOOGLETRANSLATE(A77, ""en"", ""hi"")"),"76")</f>
        <v>76</v>
      </c>
      <c r="G77" s="5" t="str">
        <f>IFERROR(__xludf.DUMMYFUNCTION("GOOGLETRANSLATE(B77, ""en"", ""hi"")"),"मध्य-खेल में, सफ़ेद के पास रानी की तरफ़ से ज़्यादा मोहरे होते हैं, जबकि काले के पास राजा की तरफ़ से मज़बूत आक्रमण होता है। सफ़ेद को किस पर ध्यान केंद्रित करना चाहिए?")</f>
        <v>मध्य-खेल में, सफ़ेद के पास रानी की तरफ़ से ज़्यादा मोहरे होते हैं, जबकि काले के पास राजा की तरफ़ से मज़बूत आक्रमण होता है। सफ़ेद को किस पर ध्यान केंद्रित करना चाहिए?</v>
      </c>
      <c r="H77" s="5" t="str">
        <f>IFERROR(__xludf.DUMMYFUNCTION("GOOGLETRANSLATE(C77, ""en"", ""hi"")"),"A) पास्ड पॉन बनाने के लिए क्वीनसाइड के प्यादों को धकेलें, B) काले के हमले को कमजोर करने के लिए मोहरों की अदला-बदली करें, C) किंगसाइड पर जवाबी हमला करें, D) रूक्स को केंद्रीकृत करें")</f>
        <v>A) पास्ड पॉन बनाने के लिए क्वीनसाइड के प्यादों को धकेलें, B) काले के हमले को कमजोर करने के लिए मोहरों की अदला-बदली करें, C) किंगसाइड पर जवाबी हमला करें, D) रूक्स को केंद्रीकृत करें</v>
      </c>
      <c r="I77" s="5" t="str">
        <f>IFERROR(__xludf.DUMMYFUNCTION("GOOGLETRANSLATE(D77, ""en"", ""hi"")"),"A) पास्ड प्यादा बनाने के लिए क्वीनसाइड प्यादों को धक्का दें")</f>
        <v>A) पास्ड प्यादा बनाने के लिए क्वीनसाइड प्यादों को धक्का दें</v>
      </c>
    </row>
    <row r="78" ht="22.5" customHeight="1">
      <c r="A78" s="2">
        <v>77.0</v>
      </c>
      <c r="B78" s="3" t="s">
        <v>1326</v>
      </c>
      <c r="C78" s="3" t="s">
        <v>1327</v>
      </c>
      <c r="D78" s="3" t="s">
        <v>1328</v>
      </c>
      <c r="F78" s="5" t="str">
        <f>IFERROR(__xludf.DUMMYFUNCTION("GOOGLETRANSLATE(A78, ""en"", ""hi"")"),"77")</f>
        <v>77</v>
      </c>
      <c r="G78" s="5" t="str">
        <f>IFERROR(__xludf.DUMMYFUNCTION("GOOGLETRANSLATE(B78, ""en"", ""hi"")"),"सफ़ेद का घोड़ा काले की रानी पर हमला कर रहा है, और काले का किश्ती राजा से बंधा हुआ है। सफ़ेद को क्या करना चाहिए?")</f>
        <v>सफ़ेद का घोड़ा काले की रानी पर हमला कर रहा है, और काले का किश्ती राजा से बंधा हुआ है। सफ़ेद को क्या करना चाहिए?</v>
      </c>
      <c r="H78" s="5" t="str">
        <f>IFERROR(__xludf.DUMMYFUNCTION("GOOGLETRANSLATE(C78, ""en"", ""hi"")"),"A) फंसे हुए हाथी को पकड़ें, B) दूसरे मोहरे से हमला जारी रखें, C) घोड़े को बेहतर स्थिति में ले जाएं, D) अधिक लाइनें खोलने के लिए मोहरे को धक्का दें")</f>
        <v>A) फंसे हुए हाथी को पकड़ें, B) दूसरे मोहरे से हमला जारी रखें, C) घोड़े को बेहतर स्थिति में ले जाएं, D) अधिक लाइनें खोलने के लिए मोहरे को धक्का दें</v>
      </c>
      <c r="I78" s="5" t="str">
        <f>IFERROR(__xludf.DUMMYFUNCTION("GOOGLETRANSLATE(D78, ""en"", ""hi"")"),"A) पिन किए गए किश्ती को पकड़ना")</f>
        <v>A) पिन किए गए किश्ती को पकड़ना</v>
      </c>
    </row>
    <row r="79" ht="22.5" customHeight="1">
      <c r="A79" s="2">
        <v>78.0</v>
      </c>
      <c r="B79" s="3" t="s">
        <v>1329</v>
      </c>
      <c r="C79" s="3" t="s">
        <v>1330</v>
      </c>
      <c r="D79" s="3" t="s">
        <v>1331</v>
      </c>
      <c r="F79" s="5" t="str">
        <f>IFERROR(__xludf.DUMMYFUNCTION("GOOGLETRANSLATE(A79, ""en"", ""hi"")"),"78")</f>
        <v>78</v>
      </c>
      <c r="G79" s="5" t="str">
        <f>IFERROR(__xludf.DUMMYFUNCTION("GOOGLETRANSLATE(B79, ""en"", ""hi"")"),"काली की रानी सफ़ेद के राजा के पक्ष पर दबाव बना रही है, और सफ़ेद के मोहरों में तालमेल ठीक नहीं है। सफ़ेद के लिए सबसे अच्छा रक्षात्मक कदम क्या है?")</f>
        <v>काली की रानी सफ़ेद के राजा के पक्ष पर दबाव बना रही है, और सफ़ेद के मोहरों में तालमेल ठीक नहीं है। सफ़ेद के लिए सबसे अच्छा रक्षात्मक कदम क्या है?</v>
      </c>
      <c r="H79" s="5" t="str">
        <f>IFERROR(__xludf.DUMMYFUNCTION("GOOGLETRANSLATE(C79, ""en"", ""hi"")"),"A) राजा को सुरक्षित स्थान पर ले जाएं, B) काले के हमले को खत्म करने के लिए रानियों की अदला-बदली करें, C) बचाव के लिए एक किश्ती लाएं, D) जगह बनाने के लिए एक मोहरे को धकेलें")</f>
        <v>A) राजा को सुरक्षित स्थान पर ले जाएं, B) काले के हमले को खत्म करने के लिए रानियों की अदला-बदली करें, C) बचाव के लिए एक किश्ती लाएं, D) जगह बनाने के लिए एक मोहरे को धकेलें</v>
      </c>
      <c r="I79" s="5" t="str">
        <f>IFERROR(__xludf.DUMMYFUNCTION("GOOGLETRANSLATE(D79, ""en"", ""hi"")"),"बी) काले के हमले को खत्म करने के लिए रानियों की अदला-बदली करें")</f>
        <v>बी) काले के हमले को खत्म करने के लिए रानियों की अदला-बदली करें</v>
      </c>
    </row>
    <row r="80" ht="22.5" customHeight="1">
      <c r="A80" s="2">
        <v>79.0</v>
      </c>
      <c r="B80" s="3" t="s">
        <v>1332</v>
      </c>
      <c r="C80" s="3" t="s">
        <v>1333</v>
      </c>
      <c r="D80" s="3" t="s">
        <v>1334</v>
      </c>
      <c r="F80" s="5" t="str">
        <f>IFERROR(__xludf.DUMMYFUNCTION("GOOGLETRANSLATE(A80, ""en"", ""hi"")"),"79")</f>
        <v>79</v>
      </c>
      <c r="G80" s="5" t="str">
        <f>IFERROR(__xludf.DUMMYFUNCTION("GOOGLETRANSLATE(B80, ""en"", ""hi"")"),"सफ़ेद के पास d4 पर एक अलग मोहरा है, लेकिन सक्रिय मोहरे हैं। काला मोहरे को रोकने की कोशिश कर रहा है। सफ़ेद को किस पर ध्यान केंद्रित करना चाहिए?")</f>
        <v>सफ़ेद के पास d4 पर एक अलग मोहरा है, लेकिन सक्रिय मोहरे हैं। काला मोहरे को रोकने की कोशिश कर रहा है। सफ़ेद को किस पर ध्यान केंद्रित करना चाहिए?</v>
      </c>
      <c r="H80" s="5" t="str">
        <f>IFERROR(__xludf.DUMMYFUNCTION("GOOGLETRANSLATE(C80, ""en"", ""hi"")"),"A) अलग-थलग पड़े मोहरे की रक्षा करें, B) प्रति-खेल बनाने के लिए मोहरे को धक्का दें, C) मोहरे को सहारा देने के लिए हाथी का उपयोग करें, D) काले के अवरोधक मोहरे पर हमला करें")</f>
        <v>A) अलग-थलग पड़े मोहरे की रक्षा करें, B) प्रति-खेल बनाने के लिए मोहरे को धक्का दें, C) मोहरे को सहारा देने के लिए हाथी का उपयोग करें, D) काले के अवरोधक मोहरे पर हमला करें</v>
      </c>
      <c r="I80" s="5" t="str">
        <f>IFERROR(__xludf.DUMMYFUNCTION("GOOGLETRANSLATE(D80, ""en"", ""hi"")"),"D) काले के अवरोधक मोहरे पर हमला करें")</f>
        <v>D) काले के अवरोधक मोहरे पर हमला करें</v>
      </c>
    </row>
    <row r="81" ht="22.5" customHeight="1">
      <c r="A81" s="2">
        <v>80.0</v>
      </c>
      <c r="B81" s="3" t="s">
        <v>1335</v>
      </c>
      <c r="C81" s="3" t="s">
        <v>1336</v>
      </c>
      <c r="D81" s="3" t="s">
        <v>1290</v>
      </c>
      <c r="F81" s="5" t="str">
        <f>IFERROR(__xludf.DUMMYFUNCTION("GOOGLETRANSLATE(A81, ""en"", ""hi"")"),"80")</f>
        <v>80</v>
      </c>
      <c r="G81" s="5" t="str">
        <f>IFERROR(__xludf.DUMMYFUNCTION("GOOGLETRANSLATE(B81, ""en"", ""hi"")"),"सफ़ेद ने काले के बादशाह को खोलने के लिए एक अदला-बदली (एक छोटी मोहरी के लिए एक किश्ती) का त्याग कर दिया है। अब सफ़ेद को क्या करना चाहिए?")</f>
        <v>सफ़ेद ने काले के बादशाह को खोलने के लिए एक अदला-बदली (एक छोटी मोहरी के लिए एक किश्ती) का त्याग कर दिया है। अब सफ़ेद को क्या करना चाहिए?</v>
      </c>
      <c r="H81" s="5" t="str">
        <f>IFERROR(__xludf.DUMMYFUNCTION("GOOGLETRANSLATE(C81, ""en"", ""hi"")"),"ए) सभी उपलब्ध मोहरों को आक्रमण में शामिल करें, बी) शेष मोहरों की रक्षा करें, सी) अधिक कमजोरियां पैदा करने के लिए मोहरों को आगे बढ़ाएं, डी) खेल को सरल बनाने के लिए रानियों की अदला-बदली करें")</f>
        <v>ए) सभी उपलब्ध मोहरों को आक्रमण में शामिल करें, बी) शेष मोहरों की रक्षा करें, सी) अधिक कमजोरियां पैदा करने के लिए मोहरों को आगे बढ़ाएं, डी) खेल को सरल बनाने के लिए रानियों की अदला-बदली करें</v>
      </c>
      <c r="I81" s="5" t="str">
        <f>IFERROR(__xludf.DUMMYFUNCTION("GOOGLETRANSLATE(D81, ""en"", ""hi"")"),"A) सभी उपलब्ध टुकड़ों को हमले में लगाएँ")</f>
        <v>A) सभी उपलब्ध टुकड़ों को हमले में लगाएँ</v>
      </c>
    </row>
    <row r="82" ht="22.5" customHeight="1">
      <c r="A82" s="2">
        <v>81.0</v>
      </c>
      <c r="B82" s="3" t="s">
        <v>1337</v>
      </c>
      <c r="C82" s="3" t="s">
        <v>1338</v>
      </c>
      <c r="D82" s="3" t="s">
        <v>1339</v>
      </c>
      <c r="F82" s="5" t="str">
        <f>IFERROR(__xludf.DUMMYFUNCTION("GOOGLETRANSLATE(A82, ""en"", ""hi"")"),"81")</f>
        <v>81</v>
      </c>
      <c r="G82" s="5" t="str">
        <f>IFERROR(__xludf.DUMMYFUNCTION("GOOGLETRANSLATE(B82, ""en"", ""hi"")"),"रानी और प्यादे के अंतिम खेल में, सफेद के पास एक पास्ड प्यादा है, लेकिन काले की रानी बहुत सक्रिय है। सफेद को किस पर ध्यान केंद्रित करना चाहिए?")</f>
        <v>रानी और प्यादे के अंतिम खेल में, सफेद के पास एक पास्ड प्यादा है, लेकिन काले की रानी बहुत सक्रिय है। सफेद को किस पर ध्यान केंद्रित करना चाहिए?</v>
      </c>
      <c r="H82" s="5" t="str">
        <f>IFERROR(__xludf.DUMMYFUNCTION("GOOGLETRANSLATE(C82, ""en"", ""hi"")"),"A) पास हुए मोहरे को तुरंत धकेलें, B) पहले काली की रानी से बचाव करें, C) विजयी अंत तक पहुँचने के लिए रानियों का व्यापार करें, D) राजा को सुरक्षित वर्ग में ले जाएँ")</f>
        <v>A) पास हुए मोहरे को तुरंत धकेलें, B) पहले काली की रानी से बचाव करें, C) विजयी अंत तक पहुँचने के लिए रानियों का व्यापार करें, D) राजा को सुरक्षित वर्ग में ले जाएँ</v>
      </c>
      <c r="I82" s="5" t="str">
        <f>IFERROR(__xludf.DUMMYFUNCTION("GOOGLETRANSLATE(D82, ""en"", ""hi"")"),"C) विजयी अंतिम गेम तक पहुंचने के लिए रानियों का व्यापार करें")</f>
        <v>C) विजयी अंतिम गेम तक पहुंचने के लिए रानियों का व्यापार करें</v>
      </c>
    </row>
    <row r="83" ht="22.5" customHeight="1">
      <c r="A83" s="2">
        <v>82.0</v>
      </c>
      <c r="B83" s="3" t="s">
        <v>1340</v>
      </c>
      <c r="C83" s="3" t="s">
        <v>1341</v>
      </c>
      <c r="D83" s="3" t="s">
        <v>1342</v>
      </c>
      <c r="F83" s="5" t="str">
        <f>IFERROR(__xludf.DUMMYFUNCTION("GOOGLETRANSLATE(A83, ""en"", ""hi"")"),"82")</f>
        <v>82</v>
      </c>
      <c r="G83" s="5" t="str">
        <f>IFERROR(__xludf.DUMMYFUNCTION("GOOGLETRANSLATE(B83, ""en"", ""hi"")"),"सफ़ेद का घोड़ा e5 पर एक मज़बूत चौकी पर है, और काले के मोहरे निष्क्रिय हैं। दबाव बढ़ाने के लिए सफ़ेद को क्या करना चाहिए?")</f>
        <v>सफ़ेद का घोड़ा e5 पर एक मज़बूत चौकी पर है, और काले के मोहरे निष्क्रिय हैं। दबाव बढ़ाने के लिए सफ़ेद को क्या करना चाहिए?</v>
      </c>
      <c r="H83" s="5" t="str">
        <f>IFERROR(__xludf.DUMMYFUNCTION("GOOGLETRANSLATE(C83, ""en"", ""hi"")"),"A) एक मोहरे को आगे बढ़ाकर नई चौकी बनाएं, B) घोड़े के साथ काले मोहरों पर हमला करें, C) घोड़े का समर्थन करने के लिए अन्य मोहरों का उपयोग करें, D) खेल को सरल बनाने के लिए रानियों की अदला-बदली करें")</f>
        <v>A) एक मोहरे को आगे बढ़ाकर नई चौकी बनाएं, B) घोड़े के साथ काले मोहरों पर हमला करें, C) घोड़े का समर्थन करने के लिए अन्य मोहरों का उपयोग करें, D) खेल को सरल बनाने के लिए रानियों की अदला-बदली करें</v>
      </c>
      <c r="I83" s="5" t="str">
        <f>IFERROR(__xludf.DUMMYFUNCTION("GOOGLETRANSLATE(D83, ""en"", ""hi"")"),"C) घोड़े का समर्थन करने के लिए अन्य मोहरों का उपयोग करें")</f>
        <v>C) घोड़े का समर्थन करने के लिए अन्य मोहरों का उपयोग करें</v>
      </c>
    </row>
    <row r="84" ht="22.5" customHeight="1">
      <c r="A84" s="2">
        <v>83.0</v>
      </c>
      <c r="B84" s="3" t="s">
        <v>1343</v>
      </c>
      <c r="C84" s="3" t="s">
        <v>1344</v>
      </c>
      <c r="D84" s="3" t="s">
        <v>1345</v>
      </c>
      <c r="F84" s="5" t="str">
        <f>IFERROR(__xludf.DUMMYFUNCTION("GOOGLETRANSLATE(A84, ""en"", ""hi"")"),"83")</f>
        <v>83</v>
      </c>
      <c r="G84" s="5" t="str">
        <f>IFERROR(__xludf.DUMMYFUNCTION("GOOGLETRANSLATE(B84, ""en"", ""hi"")"),"खुली स्थिति में, सफ़ेद के पास एक बिशप और काले के पास एक घोड़ा है। दोनों खिलाड़ियों के पास बराबर प्यादे हैं। सफ़ेद के लिए सबसे अच्छी योजना क्या है?")</f>
        <v>खुली स्थिति में, सफ़ेद के पास एक बिशप और काले के पास एक घोड़ा है। दोनों खिलाड़ियों के पास बराबर प्यादे हैं। सफ़ेद के लिए सबसे अच्छी योजना क्या है?</v>
      </c>
      <c r="H84" s="5" t="str">
        <f>IFERROR(__xludf.DUMMYFUNCTION("GOOGLETRANSLATE(C84, ""en"", ""hi"")"),"ए) घोड़े के लिए बिशप का व्यापार करें, बी) खुले विकर्णों पर हमला करने के लिए बिशप का उपयोग करें, सी) एक मोहरे को धक्का देकर एक पास मोहरा बनाएं, डी) मोहरों की रक्षा करें और काले की चाल की प्रतीक्षा करें")</f>
        <v>ए) घोड़े के लिए बिशप का व्यापार करें, बी) खुले विकर्णों पर हमला करने के लिए बिशप का उपयोग करें, सी) एक मोहरे को धक्का देकर एक पास मोहरा बनाएं, डी) मोहरों की रक्षा करें और काले की चाल की प्रतीक्षा करें</v>
      </c>
      <c r="I84" s="5" t="str">
        <f>IFERROR(__xludf.DUMMYFUNCTION("GOOGLETRANSLATE(D84, ""en"", ""hi"")"),"बी) खुले विकर्णों पर हमला करने के लिए बिशप का उपयोग करें")</f>
        <v>बी) खुले विकर्णों पर हमला करने के लिए बिशप का उपयोग करें</v>
      </c>
    </row>
    <row r="85" ht="22.5" customHeight="1">
      <c r="A85" s="2">
        <v>84.0</v>
      </c>
      <c r="B85" s="3" t="s">
        <v>1346</v>
      </c>
      <c r="C85" s="3" t="s">
        <v>1347</v>
      </c>
      <c r="D85" s="3" t="s">
        <v>1348</v>
      </c>
      <c r="F85" s="5" t="str">
        <f>IFERROR(__xludf.DUMMYFUNCTION("GOOGLETRANSLATE(A85, ""en"", ""hi"")"),"84")</f>
        <v>84</v>
      </c>
      <c r="G85" s="5" t="str">
        <f>IFERROR(__xludf.DUMMYFUNCTION("GOOGLETRANSLATE(B85, ""en"", ""hi"")"),"काले ने सक्रिय मोहरे के लिए एक मोहरे की बलि दे दी है और अब वह सफ़ेद के कमज़ोर f2 मोहरे को निशाना बना रहा है। सफ़ेद को किस पर ध्यान केंद्रित करना चाहिए?")</f>
        <v>काले ने सक्रिय मोहरे के लिए एक मोहरे की बलि दे दी है और अब वह सफ़ेद के कमज़ोर f2 मोहरे को निशाना बना रहा है। सफ़ेद को किस पर ध्यान केंद्रित करना चाहिए?</v>
      </c>
      <c r="H85" s="5" t="str">
        <f>IFERROR(__xludf.DUMMYFUNCTION("GOOGLETRANSLATE(C85, ""en"", ""hi"")"),"A) किश्ती से f2 मोहरे की रक्षा करें, B) काले के केंद्र पर पलटवार करें, C) काले की गतिविधि कम करने के लिए मोहरों का व्यापार करें, D) राजा को सुरक्षित वर्ग में ले जाएं")</f>
        <v>A) किश्ती से f2 मोहरे की रक्षा करें, B) काले के केंद्र पर पलटवार करें, C) काले की गतिविधि कम करने के लिए मोहरों का व्यापार करें, D) राजा को सुरक्षित वर्ग में ले जाएं</v>
      </c>
      <c r="I85" s="5" t="str">
        <f>IFERROR(__xludf.DUMMYFUNCTION("GOOGLETRANSLATE(D85, ""en"", ""hi"")"),"C) काले की गतिविधि को कम करने के लिए व्यापारिक टुकड़े")</f>
        <v>C) काले की गतिविधि को कम करने के लिए व्यापारिक टुकड़े</v>
      </c>
    </row>
    <row r="86" ht="22.5" customHeight="1">
      <c r="A86" s="2">
        <v>85.0</v>
      </c>
      <c r="B86" s="3" t="s">
        <v>1349</v>
      </c>
      <c r="C86" s="3" t="s">
        <v>1350</v>
      </c>
      <c r="D86" s="3" t="s">
        <v>1351</v>
      </c>
      <c r="F86" s="5" t="str">
        <f>IFERROR(__xludf.DUMMYFUNCTION("GOOGLETRANSLATE(A86, ""en"", ""hi"")"),"85")</f>
        <v>85</v>
      </c>
      <c r="G86" s="5" t="str">
        <f>IFERROR(__xludf.DUMMYFUNCTION("GOOGLETRANSLATE(B86, ""en"", ""hi"")"),"सफ़ेद के पास खुले डी-फ़ाइल पर नियंत्रण है और उसके हाथी दोगुने हो गए हैं। काले के हाथी निष्क्रिय हैं। सफ़ेद की सबसे अच्छी योजना क्या है?")</f>
        <v>सफ़ेद के पास खुले डी-फ़ाइल पर नियंत्रण है और उसके हाथी दोगुने हो गए हैं। काले के हाथी निष्क्रिय हैं। सफ़ेद की सबसे अच्छी योजना क्या है?</v>
      </c>
      <c r="H86" s="5" t="str">
        <f>IFERROR(__xludf.DUMMYFUNCTION("GOOGLETRANSLATE(C86, ""en"", ""hi"")"),"A) एक मोहरे को धकेलकर एक नई खुली फाइल बनाएं, B) रानी की तरफ से काले के कमजोर मोहरों पर हमला करें, C) रूक को सहारा देने के लिए रानी को डी-फाइल में लाएं, D) स्थिति को सरल बनाने के लिए एक रूक को बदलें")</f>
        <v>A) एक मोहरे को धकेलकर एक नई खुली फाइल बनाएं, B) रानी की तरफ से काले के कमजोर मोहरों पर हमला करें, C) रूक को सहारा देने के लिए रानी को डी-फाइल में लाएं, D) स्थिति को सरल बनाने के लिए एक रूक को बदलें</v>
      </c>
      <c r="I86" s="5" t="str">
        <f>IFERROR(__xludf.DUMMYFUNCTION("GOOGLETRANSLATE(D86, ""en"", ""hi"")"),"बी) रानी की तरफ से काले के कमजोर प्यादों पर हमला करें")</f>
        <v>बी) रानी की तरफ से काले के कमजोर प्यादों पर हमला करें</v>
      </c>
    </row>
    <row r="87" ht="22.5" customHeight="1">
      <c r="A87" s="2">
        <v>86.0</v>
      </c>
      <c r="B87" s="3" t="s">
        <v>1352</v>
      </c>
      <c r="C87" s="3" t="s">
        <v>1353</v>
      </c>
      <c r="D87" s="3" t="s">
        <v>1354</v>
      </c>
      <c r="F87" s="5" t="str">
        <f>IFERROR(__xludf.DUMMYFUNCTION("GOOGLETRANSLATE(A87, ""en"", ""hi"")"),"86")</f>
        <v>86</v>
      </c>
      <c r="G87" s="5" t="str">
        <f>IFERROR(__xludf.DUMMYFUNCTION("GOOGLETRANSLATE(B87, ""en"", ""hi"")"),"सफ़ेद के पास एक अतिरिक्त मोहरा है, लेकिन काले के मोहरे ज़्यादा सक्रिय हैं। सफ़ेद को किस चीज़ को प्राथमिकता देनी चाहिए?")</f>
        <v>सफ़ेद के पास एक अतिरिक्त मोहरा है, लेकिन काले के मोहरे ज़्यादा सक्रिय हैं। सफ़ेद को किस चीज़ को प्राथमिकता देनी चाहिए?</v>
      </c>
      <c r="H87" s="5" t="str">
        <f>IFERROR(__xludf.DUMMYFUNCTION("GOOGLETRANSLATE(C87, ""en"", ""hi"")"),"ए) अतिरिक्त मोहरे को तुरंत धकेलें, बी) सरलीकरण के लिए मोहरों का व्यापार करें, सी) निष्क्रिय रूप से बचाव करें और काले की चाल की प्रतीक्षा करें, डी) मोहरों का समर्थन करने के लिए राजा को सक्रिय करें")</f>
        <v>ए) अतिरिक्त मोहरे को तुरंत धकेलें, बी) सरलीकरण के लिए मोहरों का व्यापार करें, सी) निष्क्रिय रूप से बचाव करें और काले की चाल की प्रतीक्षा करें, डी) मोहरों का समर्थन करने के लिए राजा को सक्रिय करें</v>
      </c>
      <c r="I87" s="5" t="str">
        <f>IFERROR(__xludf.DUMMYFUNCTION("GOOGLETRANSLATE(D87, ""en"", ""hi"")"),"बी) व्यापार के टुकड़ों को सरल बनाने के लिए")</f>
        <v>बी) व्यापार के टुकड़ों को सरल बनाने के लिए</v>
      </c>
    </row>
    <row r="88" ht="22.5" customHeight="1">
      <c r="A88" s="2">
        <v>87.0</v>
      </c>
      <c r="B88" s="3" t="s">
        <v>1355</v>
      </c>
      <c r="C88" s="3" t="s">
        <v>1356</v>
      </c>
      <c r="D88" s="3" t="s">
        <v>1357</v>
      </c>
      <c r="F88" s="5" t="str">
        <f>IFERROR(__xludf.DUMMYFUNCTION("GOOGLETRANSLATE(A88, ""en"", ""hi"")"),"87")</f>
        <v>87</v>
      </c>
      <c r="G88" s="5" t="str">
        <f>IFERROR(__xludf.DUMMYFUNCTION("GOOGLETRANSLATE(B88, ""en"", ""hi"")"),"शुरुआत में, सफ़ेद ने किंगसाइड कैसलिंग की है, जबकि काले ने डिलेड कैसलिंग की है। सफ़ेद को किस पर ध्यान केंद्रित करना चाहिए?")</f>
        <v>शुरुआत में, सफ़ेद ने किंगसाइड कैसलिंग की है, जबकि काले ने डिलेड कैसलिंग की है। सफ़ेद को किस पर ध्यान केंद्रित करना चाहिए?</v>
      </c>
      <c r="H88" s="5" t="str">
        <f>IFERROR(__xludf.DUMMYFUNCTION("GOOGLETRANSLATE(C88, ""en"", ""hi"")"),"ए) पंक्तियों को खोलने के लिए केंद्र में एक मोहरे को धकेलें, बी) काले के बिना महल वाले राजा पर सीधे हमला करें, सी) शेष मोहरों को विकसित करें और काले की योजना की प्रतीक्षा करें, डी) रानी की ओर से मोहरे को आगे बढ़ाने की तैयारी करें")</f>
        <v>ए) पंक्तियों को खोलने के लिए केंद्र में एक मोहरे को धकेलें, बी) काले के बिना महल वाले राजा पर सीधे हमला करें, सी) शेष मोहरों को विकसित करें और काले की योजना की प्रतीक्षा करें, डी) रानी की ओर से मोहरे को आगे बढ़ाने की तैयारी करें</v>
      </c>
      <c r="I88" s="5" t="str">
        <f>IFERROR(__xludf.DUMMYFUNCTION("GOOGLETRANSLATE(D88, ""en"", ""hi"")"),"A) लाइन खोलने के लिए एक मोहरे को केंद्र में धकेलें")</f>
        <v>A) लाइन खोलने के लिए एक मोहरे को केंद्र में धकेलें</v>
      </c>
    </row>
    <row r="89" ht="22.5" customHeight="1">
      <c r="A89" s="2">
        <v>88.0</v>
      </c>
      <c r="B89" s="3" t="s">
        <v>1358</v>
      </c>
      <c r="C89" s="3" t="s">
        <v>1359</v>
      </c>
      <c r="D89" s="3" t="s">
        <v>1360</v>
      </c>
      <c r="F89" s="5" t="str">
        <f>IFERROR(__xludf.DUMMYFUNCTION("GOOGLETRANSLATE(A89, ""en"", ""hi"")"),"88")</f>
        <v>88</v>
      </c>
      <c r="G89" s="5" t="str">
        <f>IFERROR(__xludf.DUMMYFUNCTION("GOOGLETRANSLATE(B89, ""en"", ""hi"")"),"काले ने क्वीन्स साइड पर कैसलिंग कर ली है, और सफ़ेद के मोहरे किंग्स साइड पर केंद्रित हैं। सफ़ेद की सबसे अच्छी रणनीति क्या है?")</f>
        <v>काले ने क्वीन्स साइड पर कैसलिंग कर ली है, और सफ़ेद के मोहरे किंग्स साइड पर केंद्रित हैं। सफ़ेद की सबसे अच्छी रणनीति क्या है?</v>
      </c>
      <c r="H89" s="5" t="str">
        <f>IFERROR(__xludf.DUMMYFUNCTION("GOOGLETRANSLATE(C89, ""en"", ""hi"")"),"क) काले राजा पर हमला करने के लिए रानी की तरफ के मोहरों को आगे बढ़ाएं, ख) राजा की तरफ मोहरों का तूफान तैयार करें, ग) जटिलताओं से बचने के लिए रानियों की अदला-बदली करें, घ) हमला करने से पहले आखिरी मोहरा विकसित करें")</f>
        <v>क) काले राजा पर हमला करने के लिए रानी की तरफ के मोहरों को आगे बढ़ाएं, ख) राजा की तरफ मोहरों का तूफान तैयार करें, ग) जटिलताओं से बचने के लिए रानियों की अदला-बदली करें, घ) हमला करने से पहले आखिरी मोहरा विकसित करें</v>
      </c>
      <c r="I89" s="5" t="str">
        <f>IFERROR(__xludf.DUMMYFUNCTION("GOOGLETRANSLATE(D89, ""en"", ""hi"")"),"बी) किंगसाइड प्यादा तूफान तैयार करें")</f>
        <v>बी) किंगसाइड प्यादा तूफान तैयार करें</v>
      </c>
    </row>
    <row r="90" ht="22.5" customHeight="1">
      <c r="A90" s="2">
        <v>89.0</v>
      </c>
      <c r="B90" s="3" t="s">
        <v>1361</v>
      </c>
      <c r="C90" s="3" t="s">
        <v>1362</v>
      </c>
      <c r="D90" s="3" t="s">
        <v>1363</v>
      </c>
      <c r="F90" s="5" t="str">
        <f>IFERROR(__xludf.DUMMYFUNCTION("GOOGLETRANSLATE(A90, ""en"", ""hi"")"),"89")</f>
        <v>89</v>
      </c>
      <c r="G90" s="5" t="str">
        <f>IFERROR(__xludf.DUMMYFUNCTION("GOOGLETRANSLATE(B90, ""en"", ""hi"")"),"प्यादों के अंतिम खेल में, सफ़ेद के पास दूर से पास किया गया प्यादा होता है, और काले का राजा केंद्र के ज़्यादा करीब होता है। सफ़ेद की सबसे अच्छी चाल क्या है?")</f>
        <v>प्यादों के अंतिम खेल में, सफ़ेद के पास दूर से पास किया गया प्यादा होता है, और काले का राजा केंद्र के ज़्यादा करीब होता है। सफ़ेद की सबसे अच्छी चाल क्या है?</v>
      </c>
      <c r="H90" s="5" t="str">
        <f>IFERROR(__xludf.DUMMYFUNCTION("GOOGLETRANSLATE(C90, ""en"", ""hi"")"),"A) पास हुए मोहरे को तुरंत धकेलें, B) मोहरे को सहारा देने के लिए राजा को पास लाएँ, C) स्थिति को सरल बनाने के लिए मोहरों की अदला-बदली करें, D) पास हुए मोहरे का उपयोग काले के राजा का ध्यान भटकाने के लिए करें")</f>
        <v>A) पास हुए मोहरे को तुरंत धकेलें, B) मोहरे को सहारा देने के लिए राजा को पास लाएँ, C) स्थिति को सरल बनाने के लिए मोहरों की अदला-बदली करें, D) पास हुए मोहरे का उपयोग काले के राजा का ध्यान भटकाने के लिए करें</v>
      </c>
      <c r="I90" s="5" t="str">
        <f>IFERROR(__xludf.DUMMYFUNCTION("GOOGLETRANSLATE(D90, ""en"", ""hi"")"),"D) काले के राजा का ध्यान भटकाने के लिए पास किए गए मोहरे का उपयोग करें")</f>
        <v>D) काले के राजा का ध्यान भटकाने के लिए पास किए गए मोहरे का उपयोग करें</v>
      </c>
    </row>
    <row r="91" ht="22.5" customHeight="1">
      <c r="A91" s="2">
        <v>90.0</v>
      </c>
      <c r="B91" s="3" t="s">
        <v>1364</v>
      </c>
      <c r="C91" s="3" t="s">
        <v>1365</v>
      </c>
      <c r="D91" s="3" t="s">
        <v>1366</v>
      </c>
      <c r="F91" s="5" t="str">
        <f>IFERROR(__xludf.DUMMYFUNCTION("GOOGLETRANSLATE(A91, ""en"", ""hi"")"),"90")</f>
        <v>90</v>
      </c>
      <c r="G91" s="5" t="str">
        <f>IFERROR(__xludf.DUMMYFUNCTION("GOOGLETRANSLATE(B91, ""en"", ""hi"")"),"अंतिम बाजी में सफ़ेद के पास रानी और एक मोहरा है, जबकि काले के पास एक रानी और एक किश्ती है। दोनों राजा बेनकाब हो गए हैं। सफ़ेद को क्या करना चाहिए?")</f>
        <v>अंतिम बाजी में सफ़ेद के पास रानी और एक मोहरा है, जबकि काले के पास एक रानी और एक किश्ती है। दोनों राजा बेनकाब हो गए हैं। सफ़ेद को क्या करना चाहिए?</v>
      </c>
      <c r="H91" s="5" t="str">
        <f>IFERROR(__xludf.DUMMYFUNCTION("GOOGLETRANSLATE(C91, ""en"", ""hi"")"),"A) स्थिति को सरल बनाने के लिए रानियों का व्यापार करें, B) मोहरे को तुरंत धकेलें, C) राजा को सुरक्षित वर्ग में ले आएं, D) रानी के साथ काले राजा पर पलटवार करें")</f>
        <v>A) स्थिति को सरल बनाने के लिए रानियों का व्यापार करें, B) मोहरे को तुरंत धकेलें, C) राजा को सुरक्षित वर्ग में ले आएं, D) रानी के साथ काले राजा पर पलटवार करें</v>
      </c>
      <c r="I91" s="5" t="str">
        <f>IFERROR(__xludf.DUMMYFUNCTION("GOOGLETRANSLATE(D91, ""en"", ""hi"")"),"D) रानी के साथ काले के राजा पर पलटवार करें")</f>
        <v>D) रानी के साथ काले के राजा पर पलटवार करें</v>
      </c>
    </row>
    <row r="92" ht="22.5" customHeight="1">
      <c r="A92" s="2">
        <v>91.0</v>
      </c>
      <c r="B92" s="3" t="s">
        <v>1367</v>
      </c>
      <c r="C92" s="3" t="s">
        <v>1368</v>
      </c>
      <c r="D92" s="3" t="s">
        <v>1369</v>
      </c>
      <c r="F92" s="5" t="str">
        <f>IFERROR(__xludf.DUMMYFUNCTION("GOOGLETRANSLATE(A92, ""en"", ""hi"")"),"91")</f>
        <v>91</v>
      </c>
      <c r="G92" s="5" t="str">
        <f>IFERROR(__xludf.DUMMYFUNCTION("GOOGLETRANSLATE(B92, ""en"", ""hi"")"),"काले के पास एक पास्ड प्यादा है, लेकिन सफ़ेद के पास बीच में ज़्यादा सक्रिय मोहरे हैं। काले को किस पर ध्यान केंद्रित करना चाहिए?")</f>
        <v>काले के पास एक पास्ड प्यादा है, लेकिन सफ़ेद के पास बीच में ज़्यादा सक्रिय मोहरे हैं। काले को किस पर ध्यान केंद्रित करना चाहिए?</v>
      </c>
      <c r="H92" s="5" t="str">
        <f>IFERROR(__xludf.DUMMYFUNCTION("GOOGLETRANSLATE(C92, ""en"", ""hi"")"),"ए) ए-प्यादा को तुरंत धकेलें, बी) पास किए गए प्यादे को मोहरों से बचाएं, सी) सफेद के केंद्रीय मोहरों पर हमला करें, डी) स्थिति को सरल बनाने के लिए मोहरों की अदला-बदली करें")</f>
        <v>ए) ए-प्यादा को तुरंत धकेलें, बी) पास किए गए प्यादे को मोहरों से बचाएं, सी) सफेद के केंद्रीय मोहरों पर हमला करें, डी) स्थिति को सरल बनाने के लिए मोहरों की अदला-बदली करें</v>
      </c>
      <c r="I92" s="5" t="str">
        <f>IFERROR(__xludf.DUMMYFUNCTION("GOOGLETRANSLATE(D92, ""en"", ""hi"")"),"A) ए-प्यादा को तुरंत धकेलें")</f>
        <v>A) ए-प्यादा को तुरंत धकेलें</v>
      </c>
    </row>
    <row r="93" ht="22.5" customHeight="1">
      <c r="A93" s="2">
        <v>92.0</v>
      </c>
      <c r="B93" s="3" t="s">
        <v>1370</v>
      </c>
      <c r="C93" s="3" t="s">
        <v>1371</v>
      </c>
      <c r="D93" s="3" t="s">
        <v>1372</v>
      </c>
      <c r="F93" s="5" t="str">
        <f>IFERROR(__xludf.DUMMYFUNCTION("GOOGLETRANSLATE(A93, ""en"", ""hi"")"),"92")</f>
        <v>92</v>
      </c>
      <c r="G93" s="5" t="str">
        <f>IFERROR(__xludf.DUMMYFUNCTION("GOOGLETRANSLATE(B93, ""en"", ""hi"")"),"सफ़ेद के घोड़े की मज़बूत चौकी है, और काले का बिशप निष्क्रिय है। सफ़ेद को अब क्या करना चाहिए?")</f>
        <v>सफ़ेद के घोड़े की मज़बूत चौकी है, और काले का बिशप निष्क्रिय है। सफ़ेद को अब क्या करना चाहिए?</v>
      </c>
      <c r="H93" s="5" t="str">
        <f>IFERROR(__xludf.DUMMYFUNCTION("GOOGLETRANSLATE(C93, ""en"", ""hi"")"),"ए) घोड़े को बिशप के लिए बदलें, बी) नई कमजोरियां बनाने के लिए एक मोहरे को आगे बढ़ाएं, सी) घोड़े के साथ काले के मोहरों पर हमला करें, डी) जटिलताओं को कम करने के लिए रानियों का आदान-प्रदान करें")</f>
        <v>ए) घोड़े को बिशप के लिए बदलें, बी) नई कमजोरियां बनाने के लिए एक मोहरे को आगे बढ़ाएं, सी) घोड़े के साथ काले के मोहरों पर हमला करें, डी) जटिलताओं को कम करने के लिए रानियों का आदान-प्रदान करें</v>
      </c>
      <c r="I93" s="5" t="str">
        <f>IFERROR(__xludf.DUMMYFUNCTION("GOOGLETRANSLATE(D93, ""en"", ""hi"")"),"C) घोड़े के साथ काले के प्यादों पर हमला करें")</f>
        <v>C) घोड़े के साथ काले के प्यादों पर हमला करें</v>
      </c>
    </row>
    <row r="94" ht="22.5" customHeight="1">
      <c r="A94" s="2">
        <v>93.0</v>
      </c>
      <c r="B94" s="3" t="s">
        <v>1373</v>
      </c>
      <c r="C94" s="3" t="s">
        <v>1374</v>
      </c>
      <c r="D94" s="3" t="s">
        <v>1331</v>
      </c>
      <c r="F94" s="5" t="str">
        <f>IFERROR(__xludf.DUMMYFUNCTION("GOOGLETRANSLATE(A94, ""en"", ""hi"")"),"93")</f>
        <v>93</v>
      </c>
      <c r="G94" s="5" t="str">
        <f>IFERROR(__xludf.DUMMYFUNCTION("GOOGLETRANSLATE(B94, ""en"", ""hi"")"),"सफ़ेद का बादशाह g1 पर खुला है, और काले के मोहरे बादशाह की तरफ़ से हमला कर रहे हैं। सफ़ेद का सबसे अच्छा बचाव क्या है?")</f>
        <v>सफ़ेद का बादशाह g1 पर खुला है, और काले के मोहरे बादशाह की तरफ़ से हमला कर रहे हैं। सफ़ेद का सबसे अच्छा बचाव क्या है?</v>
      </c>
      <c r="H94" s="5" t="str">
        <f>IFERROR(__xludf.DUMMYFUNCTION("GOOGLETRANSLATE(C94, ""en"", ""hi"")"),"A) राजा को सुरक्षित वर्ग में ले जाएं, B) काले के हमले को खत्म करने के लिए रानियों की अदला-बदली करें, C) बचाव के लिए हाथी को राजा की ओर ले आएं, D) रानी की ओर से जवाबी हमला करें")</f>
        <v>A) राजा को सुरक्षित वर्ग में ले जाएं, B) काले के हमले को खत्म करने के लिए रानियों की अदला-बदली करें, C) बचाव के लिए हाथी को राजा की ओर ले आएं, D) रानी की ओर से जवाबी हमला करें</v>
      </c>
      <c r="I94" s="5" t="str">
        <f>IFERROR(__xludf.DUMMYFUNCTION("GOOGLETRANSLATE(D94, ""en"", ""hi"")"),"बी) काले के हमले को खत्म करने के लिए रानियों की अदला-बदली करें")</f>
        <v>बी) काले के हमले को खत्म करने के लिए रानियों की अदला-बदली करें</v>
      </c>
    </row>
    <row r="95" ht="22.5" customHeight="1">
      <c r="A95" s="2">
        <v>94.0</v>
      </c>
      <c r="B95" s="3" t="s">
        <v>1375</v>
      </c>
      <c r="C95" s="3" t="s">
        <v>1376</v>
      </c>
      <c r="D95" s="3" t="s">
        <v>1377</v>
      </c>
      <c r="F95" s="5" t="str">
        <f>IFERROR(__xludf.DUMMYFUNCTION("GOOGLETRANSLATE(A95, ""en"", ""hi"")"),"94")</f>
        <v>94</v>
      </c>
      <c r="G95" s="5" t="str">
        <f>IFERROR(__xludf.DUMMYFUNCTION("GOOGLETRANSLATE(B95, ""en"", ""hi"")"),"किश्ती और प्यादों के अंतिम खेल में सफ़ेद के पास एक प्यादा आगे है, लेकिन काले का राजा ज़्यादा सक्रिय है। सफ़ेद को किस पर ध्यान केंद्रित करना चाहिए?")</f>
        <v>किश्ती और प्यादों के अंतिम खेल में सफ़ेद के पास एक प्यादा आगे है, लेकिन काले का राजा ज़्यादा सक्रिय है। सफ़ेद को किस पर ध्यान केंद्रित करना चाहिए?</v>
      </c>
      <c r="H95" s="5" t="str">
        <f>IFERROR(__xludf.DUMMYFUNCTION("GOOGLETRANSLATE(C95, ""en"", ""hi"")"),"A) अतिरिक्त मोहरे को तुरंत धकेलें, B) स्थिति को सरल बनाने के लिए किश्ती बदलें, C) मोहरे का समर्थन करने के लिए राजा को लाएँ, D) रानी की तरफ से काले मोहरों पर हमला करें")</f>
        <v>A) अतिरिक्त मोहरे को तुरंत धकेलें, B) स्थिति को सरल बनाने के लिए किश्ती बदलें, C) मोहरे का समर्थन करने के लिए राजा को लाएँ, D) रानी की तरफ से काले मोहरों पर हमला करें</v>
      </c>
      <c r="I95" s="5" t="str">
        <f>IFERROR(__xludf.DUMMYFUNCTION("GOOGLETRANSLATE(D95, ""en"", ""hi"")"),"C) मोहरे का समर्थन करने के लिए राजा को लाना")</f>
        <v>C) मोहरे का समर्थन करने के लिए राजा को लाना</v>
      </c>
    </row>
    <row r="96" ht="22.5" customHeight="1">
      <c r="A96" s="2">
        <v>95.0</v>
      </c>
      <c r="B96" s="3" t="s">
        <v>1378</v>
      </c>
      <c r="C96" s="3" t="s">
        <v>1379</v>
      </c>
      <c r="D96" s="3" t="s">
        <v>1380</v>
      </c>
      <c r="F96" s="5" t="str">
        <f>IFERROR(__xludf.DUMMYFUNCTION("GOOGLETRANSLATE(A96, ""en"", ""hi"")"),"95")</f>
        <v>95</v>
      </c>
      <c r="G96" s="5" t="str">
        <f>IFERROR(__xludf.DUMMYFUNCTION("GOOGLETRANSLATE(B96, ""en"", ""hi"")"),"सफ़ेद के पास एक बिशप की जोड़ी खुली स्थिति में है, जबकि काले के पास d5 पर एक मज़बूत घोड़ा है। सफ़ेद को कैसे आगे बढ़ना चाहिए?")</f>
        <v>सफ़ेद के पास एक बिशप की जोड़ी खुली स्थिति में है, जबकि काले के पास d5 पर एक मज़बूत घोड़ा है। सफ़ेद को कैसे आगे बढ़ना चाहिए?</v>
      </c>
      <c r="H96" s="5" t="str">
        <f>IFERROR(__xludf.DUMMYFUNCTION("GOOGLETRANSLATE(C96, ""en"", ""hi"")"),"ए) घोड़े के बदले एक बिशप का व्यापार करें, बी) बिशप रखें और खुले विकर्णों को नियंत्रित करें, सी) काले घोड़े पर सीधे हमला करें, डी) कमजोरियों को बनाने के लिए प्यादों को धकेलें")</f>
        <v>ए) घोड़े के बदले एक बिशप का व्यापार करें, बी) बिशप रखें और खुले विकर्णों को नियंत्रित करें, सी) काले घोड़े पर सीधे हमला करें, डी) कमजोरियों को बनाने के लिए प्यादों को धकेलें</v>
      </c>
      <c r="I96" s="5" t="str">
        <f>IFERROR(__xludf.DUMMYFUNCTION("GOOGLETRANSLATE(D96, ""en"", ""hi"")"),"बी) बिशप रखें और खुले विकर्णों को नियंत्रित करें")</f>
        <v>बी) बिशप रखें और खुले विकर्णों को नियंत्रित करें</v>
      </c>
    </row>
    <row r="97" ht="22.5" customHeight="1">
      <c r="A97" s="2">
        <v>96.0</v>
      </c>
      <c r="B97" s="3" t="s">
        <v>1381</v>
      </c>
      <c r="C97" s="3" t="s">
        <v>1382</v>
      </c>
      <c r="D97" s="3" t="s">
        <v>1383</v>
      </c>
      <c r="F97" s="5" t="str">
        <f>IFERROR(__xludf.DUMMYFUNCTION("GOOGLETRANSLATE(A97, ""en"", ""hi"")"),"96")</f>
        <v>96</v>
      </c>
      <c r="G97" s="5" t="str">
        <f>IFERROR(__xludf.DUMMYFUNCTION("GOOGLETRANSLATE(B97, ""en"", ""hi"")"),"काले के मोहरे तंग हैं, और सफ़ेद का केंद्र पर नियंत्रण है। सफ़ेद की सबसे अच्छी योजना क्या है?")</f>
        <v>काले के मोहरे तंग हैं, और सफ़ेद का केंद्र पर नियंत्रण है। सफ़ेद की सबसे अच्छी योजना क्या है?</v>
      </c>
      <c r="H97" s="5" t="str">
        <f>IFERROR(__xludf.DUMMYFUNCTION("GOOGLETRANSLATE(C97, ""en"", ""hi"")"),"A) काले के राजा पर हमला करें, B) मोहरों की स्थिति सुधारें, C) अधिक लाइनें खोलने के लिए मोहरों को धकेलें, D) स्थिति को सरल बनाने के लिए रानियों का व्यापार करें")</f>
        <v>A) काले के राजा पर हमला करें, B) मोहरों की स्थिति सुधारें, C) अधिक लाइनें खोलने के लिए मोहरों को धकेलें, D) स्थिति को सरल बनाने के लिए रानियों का व्यापार करें</v>
      </c>
      <c r="I97" s="5" t="str">
        <f>IFERROR(__xludf.DUMMYFUNCTION("GOOGLETRANSLATE(D97, ""en"", ""hi"")"),"बी) मोहरों की स्थिति में सुधार करें")</f>
        <v>बी) मोहरों की स्थिति में सुधार करें</v>
      </c>
    </row>
    <row r="98" ht="22.5" customHeight="1">
      <c r="A98" s="2">
        <v>97.0</v>
      </c>
      <c r="B98" s="3" t="s">
        <v>1384</v>
      </c>
      <c r="C98" s="3" t="s">
        <v>1385</v>
      </c>
      <c r="D98" s="3" t="s">
        <v>1386</v>
      </c>
      <c r="F98" s="5" t="str">
        <f>IFERROR(__xludf.DUMMYFUNCTION("GOOGLETRANSLATE(A98, ""en"", ""hi"")"),"97")</f>
        <v>97</v>
      </c>
      <c r="G98" s="5" t="str">
        <f>IFERROR(__xludf.DUMMYFUNCTION("GOOGLETRANSLATE(B98, ""en"", ""hi"")"),"घोड़े के अंतिम खेल में, सफ़ेद के पास एक बाहरी पास वाला मोहरा है, लेकिन काले के पास एक ज़्यादा सक्रिय राजा है। सफ़ेद को क्या करना चाहिए?")</f>
        <v>घोड़े के अंतिम खेल में, सफ़ेद के पास एक बाहरी पास वाला मोहरा है, लेकिन काले के पास एक ज़्यादा सक्रिय राजा है। सफ़ेद को क्या करना चाहिए?</v>
      </c>
      <c r="H98" s="5" t="str">
        <f>IFERROR(__xludf.DUMMYFUNCTION("GOOGLETRANSLATE(C98, ""en"", ""hi"")"),"A) पास हुए मोहरे को तुरंत धकेलें, B) पास हुए मोहरे की रक्षा के लिए घोड़े का उपयोग करें, C) राजा को कार्रवाई के करीब लाएँ, D) सरलीकरण के लिए घोड़ों की अदला-बदली करें")</f>
        <v>A) पास हुए मोहरे को तुरंत धकेलें, B) पास हुए मोहरे की रक्षा के लिए घोड़े का उपयोग करें, C) राजा को कार्रवाई के करीब लाएँ, D) सरलीकरण के लिए घोड़ों की अदला-बदली करें</v>
      </c>
      <c r="I98" s="5" t="str">
        <f>IFERROR(__xludf.DUMMYFUNCTION("GOOGLETRANSLATE(D98, ""en"", ""hi"")"),"C) राजा को कार्रवाई के करीब लाना")</f>
        <v>C) राजा को कार्रवाई के करीब लाना</v>
      </c>
    </row>
    <row r="99" ht="22.5" customHeight="1">
      <c r="A99" s="2">
        <v>98.0</v>
      </c>
      <c r="B99" s="3" t="s">
        <v>1387</v>
      </c>
      <c r="C99" s="3" t="s">
        <v>1388</v>
      </c>
      <c r="D99" s="3" t="s">
        <v>1389</v>
      </c>
      <c r="F99" s="5" t="str">
        <f>IFERROR(__xludf.DUMMYFUNCTION("GOOGLETRANSLATE(A99, ""en"", ""hi"")"),"98")</f>
        <v>98</v>
      </c>
      <c r="G99" s="5" t="str">
        <f>IFERROR(__xludf.DUMMYFUNCTION("GOOGLETRANSLATE(B99, ""en"", ""hi"")"),"सातवीं पंक्ति पर सफ़ेद के हाथ में दोगुने हाथी हैं, जबकि काले के हाथ निष्क्रिय हैं। सफ़ेद के लिए सबसे अच्छी योजना क्या है?")</f>
        <v>सातवीं पंक्ति पर सफ़ेद के हाथ में दोगुने हाथी हैं, जबकि काले के हाथ निष्क्रिय हैं। सफ़ेद के लिए सबसे अच्छी योजना क्या है?</v>
      </c>
      <c r="H99" s="5" t="str">
        <f>IFERROR(__xludf.DUMMYFUNCTION("GOOGLETRANSLATE(C99, ""en"", ""hi"")"),"A) एक जोड़ी हाथी का व्यापार करें, B) काले के राजा पर सीधा हमला करें, C) एक मोहरे को धक्का देकर नई पंक्ति खोलें, D) सातवीं पंक्ति पर काले के मोहरों पर हमला करें")</f>
        <v>A) एक जोड़ी हाथी का व्यापार करें, B) काले के राजा पर सीधा हमला करें, C) एक मोहरे को धक्का देकर नई पंक्ति खोलें, D) सातवीं पंक्ति पर काले के मोहरों पर हमला करें</v>
      </c>
      <c r="I99" s="5" t="str">
        <f>IFERROR(__xludf.DUMMYFUNCTION("GOOGLETRANSLATE(D99, ""en"", ""hi"")"),"D) सातवीं पंक्ति पर काले के प्यादों पर हमला करें")</f>
        <v>D) सातवीं पंक्ति पर काले के प्यादों पर हमला करें</v>
      </c>
    </row>
    <row r="100" ht="22.5" customHeight="1">
      <c r="A100" s="2">
        <v>99.0</v>
      </c>
      <c r="B100" s="3" t="s">
        <v>1390</v>
      </c>
      <c r="C100" s="3" t="s">
        <v>1391</v>
      </c>
      <c r="D100" s="3" t="s">
        <v>1392</v>
      </c>
      <c r="F100" s="5" t="str">
        <f>IFERROR(__xludf.DUMMYFUNCTION("GOOGLETRANSLATE(A100, ""en"", ""hi"")"),"99")</f>
        <v>99</v>
      </c>
      <c r="G100" s="5" t="str">
        <f>IFERROR(__xludf.DUMMYFUNCTION("GOOGLETRANSLATE(B100, ""en"", ""hi"")"),"काले पक्ष के पास रानी पक्ष में ज़्यादा प्यादे हैं, लेकिन सफ़ेद पक्ष के पास बीच में ज़्यादा सक्रिय घोड़ा है। सफ़ेद पक्ष को किस पर ध्यान केंद्रित करना चाहिए?")</f>
        <v>काले पक्ष के पास रानी पक्ष में ज़्यादा प्यादे हैं, लेकिन सफ़ेद पक्ष के पास बीच में ज़्यादा सक्रिय घोड़ा है। सफ़ेद पक्ष को किस पर ध्यान केंद्रित करना चाहिए?</v>
      </c>
      <c r="H100" s="5" t="str">
        <f>IFERROR(__xludf.DUMMYFUNCTION("GOOGLETRANSLATE(C100, ""en"", ""hi"")"),"क) रानी की ओर से काले के प्यादों पर हमला करें, ख) काले के जवाबी हमले को कम करने के लिए घोड़ों की अदला-बदली करें, ग) काले की स्थिति में कमज़ोरी पैदा करने के लिए प्यादों को धकेलें, घ) प्रमुख वर्गों को नियंत्रित करने के लिए घोड़े का उपयोग करें")</f>
        <v>क) रानी की ओर से काले के प्यादों पर हमला करें, ख) काले के जवाबी हमले को कम करने के लिए घोड़ों की अदला-बदली करें, ग) काले की स्थिति में कमज़ोरी पैदा करने के लिए प्यादों को धकेलें, घ) प्रमुख वर्गों को नियंत्रित करने के लिए घोड़े का उपयोग करें</v>
      </c>
      <c r="I100" s="5" t="str">
        <f>IFERROR(__xludf.DUMMYFUNCTION("GOOGLETRANSLATE(D100, ""en"", ""hi"")"),"D) कुंजी वर्गों को नियंत्रित करने के लिए घोड़े का उपयोग करें")</f>
        <v>D) कुंजी वर्गों को नियंत्रित करने के लिए घोड़े का उपयोग करें</v>
      </c>
    </row>
    <row r="101" ht="22.5" customHeight="1">
      <c r="A101" s="2">
        <v>100.0</v>
      </c>
      <c r="B101" s="3" t="s">
        <v>1393</v>
      </c>
      <c r="C101" s="3" t="s">
        <v>1394</v>
      </c>
      <c r="D101" s="3" t="s">
        <v>1395</v>
      </c>
      <c r="F101" s="5" t="str">
        <f>IFERROR(__xludf.DUMMYFUNCTION("GOOGLETRANSLATE(A101, ""en"", ""hi"")"),"100")</f>
        <v>100</v>
      </c>
      <c r="G101" s="5" t="str">
        <f>IFERROR(__xludf.DUMMYFUNCTION("GOOGLETRANSLATE(B101, ""en"", ""hi"")"),"रूक एंडगेम में, सफ़ेद के पास किंग साइड पर एक अतिरिक्त मोहरा होता है, लेकिन काले का राजा ज़्यादा सक्रिय होता है। सफ़ेद के लिए सबसे अच्छी रणनीति क्या है?")</f>
        <v>रूक एंडगेम में, सफ़ेद के पास किंग साइड पर एक अतिरिक्त मोहरा होता है, लेकिन काले का राजा ज़्यादा सक्रिय होता है। सफ़ेद के लिए सबसे अच्छी रणनीति क्या है?</v>
      </c>
      <c r="H101" s="5" t="str">
        <f>IFERROR(__xludf.DUMMYFUNCTION("GOOGLETRANSLATE(C101, ""en"", ""hi"")"),"A) अतिरिक्त मोहरे को तुरंत धकेलें, B) सरलीकरण के लिए किश्ती बदलें, C) मोहरे को सहारा देने के लिए बादशाह का उपयोग करें, D) रानी की ओर से काले मोहरों पर हमला करें")</f>
        <v>A) अतिरिक्त मोहरे को तुरंत धकेलें, B) सरलीकरण के लिए किश्ती बदलें, C) मोहरे को सहारा देने के लिए बादशाह का उपयोग करें, D) रानी की ओर से काले मोहरों पर हमला करें</v>
      </c>
      <c r="I101" s="5" t="str">
        <f>IFERROR(__xludf.DUMMYFUNCTION("GOOGLETRANSLATE(D101, ""en"", ""hi"")"),"C) मोहरे को सहारा देने के लिए राजा का उपयोग करें")</f>
        <v>C) मोहरे को सहारा देने के लिए राजा का उपयोग करें</v>
      </c>
    </row>
    <row r="102" ht="22.5" customHeight="1">
      <c r="A102" s="2">
        <v>101.0</v>
      </c>
      <c r="B102" s="3" t="s">
        <v>1396</v>
      </c>
      <c r="C102" s="3" t="s">
        <v>1397</v>
      </c>
      <c r="D102" s="3" t="s">
        <v>1398</v>
      </c>
      <c r="F102" s="5" t="str">
        <f>IFERROR(__xludf.DUMMYFUNCTION("GOOGLETRANSLATE(A102, ""en"", ""hi"")"),"101")</f>
        <v>101</v>
      </c>
      <c r="G102" s="5" t="str">
        <f>IFERROR(__xludf.DUMMYFUNCTION("GOOGLETRANSLATE(B102, ""en"", ""hi"")"),"सफ़ेद ने क्वीन्स साइड पर कैसल किया है, जबकि काले ने किंग्स साइड पर कैसल किया है। सफ़ेद को किस पर ध्यान केंद्रित करना चाहिए?")</f>
        <v>सफ़ेद ने क्वीन्स साइड पर कैसल किया है, जबकि काले ने किंग्स साइड पर कैसल किया है। सफ़ेद को किस पर ध्यान केंद्रित करना चाहिए?</v>
      </c>
      <c r="H102" s="5" t="str">
        <f>IFERROR(__xludf.DUMMYFUNCTION("GOOGLETRANSLATE(C102, ""en"", ""hi"")"),"ए) काले राजा पर हमला करने के लिए राजा की तरफ के मोहरों को आगे बढ़ाएं, बी) कमजोरियां पैदा करने के लिए रानी की तरफ के मोहरों को आगे बढ़ाएं, सी) जटिलताओं से बचने के लिए रानियों का व्यापार करें, डी) हमला शुरू करने से पहले मोहरों को विकसित करें")</f>
        <v>ए) काले राजा पर हमला करने के लिए राजा की तरफ के मोहरों को आगे बढ़ाएं, बी) कमजोरियां पैदा करने के लिए रानी की तरफ के मोहरों को आगे बढ़ाएं, सी) जटिलताओं से बचने के लिए रानियों का व्यापार करें, डी) हमला शुरू करने से पहले मोहरों को विकसित करें</v>
      </c>
      <c r="I102" s="5" t="str">
        <f>IFERROR(__xludf.DUMMYFUNCTION("GOOGLETRANSLATE(D102, ""en"", ""hi"")"),"A) काले राजा पर हमला करने के लिए राजा की तरफ के प्यादों को धकेलें")</f>
        <v>A) काले राजा पर हमला करने के लिए राजा की तरफ के प्यादों को धकेलें</v>
      </c>
    </row>
    <row r="103" ht="22.5" customHeight="1">
      <c r="A103" s="2">
        <v>102.0</v>
      </c>
      <c r="B103" s="3" t="s">
        <v>1399</v>
      </c>
      <c r="C103" s="3" t="s">
        <v>1400</v>
      </c>
      <c r="D103" s="3" t="s">
        <v>1401</v>
      </c>
      <c r="F103" s="5" t="str">
        <f>IFERROR(__xludf.DUMMYFUNCTION("GOOGLETRANSLATE(A103, ""en"", ""hi"")"),"102")</f>
        <v>102</v>
      </c>
      <c r="G103" s="5" t="str">
        <f>IFERROR(__xludf.DUMMYFUNCTION("GOOGLETRANSLATE(B103, ""en"", ""hi"")"),"काले का एक किश्ती सातवीं पंक्ति पर है और सफ़ेद के प्यादों के लिए ख़तरा है। सफ़ेद को क्या जवाब देना चाहिए?")</f>
        <v>काले का एक किश्ती सातवीं पंक्ति पर है और सफ़ेद के प्यादों के लिए ख़तरा है। सफ़ेद को क्या जवाब देना चाहिए?</v>
      </c>
      <c r="H103" s="5" t="str">
        <f>IFERROR(__xludf.DUMMYFUNCTION("GOOGLETRANSLATE(C103, ""en"", ""hi"")"),"क) काले की गतिविधि को कम करने के लिए किश्ती बदलें, ख) अन्य मोहरों के साथ प्यादों की रक्षा करें, ग) काले के प्यादों पर पलटवार करें, घ) प्यादों की रक्षा के लिए राजा को आगे बढ़ाएँ")</f>
        <v>क) काले की गतिविधि को कम करने के लिए किश्ती बदलें, ख) अन्य मोहरों के साथ प्यादों की रक्षा करें, ग) काले के प्यादों पर पलटवार करें, घ) प्यादों की रक्षा के लिए राजा को आगे बढ़ाएँ</v>
      </c>
      <c r="I103" s="5" t="str">
        <f>IFERROR(__xludf.DUMMYFUNCTION("GOOGLETRANSLATE(D103, ""en"", ""hi"")"),"C) काले के प्यादों पर पलटवार करें")</f>
        <v>C) काले के प्यादों पर पलटवार करें</v>
      </c>
    </row>
    <row r="104" ht="22.5" customHeight="1">
      <c r="A104" s="2">
        <v>103.0</v>
      </c>
      <c r="B104" s="3" t="s">
        <v>1402</v>
      </c>
      <c r="C104" s="3" t="s">
        <v>1403</v>
      </c>
      <c r="D104" s="3" t="s">
        <v>1404</v>
      </c>
      <c r="F104" s="5" t="str">
        <f>IFERROR(__xludf.DUMMYFUNCTION("GOOGLETRANSLATE(A104, ""en"", ""hi"")"),"103")</f>
        <v>103</v>
      </c>
      <c r="G104" s="5" t="str">
        <f>IFERROR(__xludf.DUMMYFUNCTION("GOOGLETRANSLATE(B104, ""en"", ""hi"")"),"सफ़ेद की रानी काले के राजा पर हमला कर रही है, लेकिन काले का किश्ती पीछे वाले साथी को धमका रहा है। सफ़ेद के लिए सबसे अच्छी चाल क्या है?")</f>
        <v>सफ़ेद की रानी काले के राजा पर हमला कर रही है, लेकिन काले का किश्ती पीछे वाले साथी को धमका रहा है। सफ़ेद के लिए सबसे अच्छी चाल क्या है?</v>
      </c>
      <c r="H104" s="5" t="str">
        <f>IFERROR(__xludf.DUMMYFUNCTION("GOOGLETRANSLATE(C104, ""en"", ""hi"")"),"A) काले के राजा को तुरंत चेक करें, B) पीछे वाले साथी को रोकने के लिए एक मोहरा ले जाएँ, C) खतरे से बचने के लिए रानियों की अदला-बदली करें, D) एक किश्ती से बचाव करें")</f>
        <v>A) काले के राजा को तुरंत चेक करें, B) पीछे वाले साथी को रोकने के लिए एक मोहरा ले जाएँ, C) खतरे से बचने के लिए रानियों की अदला-बदली करें, D) एक किश्ती से बचाव करें</v>
      </c>
      <c r="I104" s="5" t="str">
        <f>IFERROR(__xludf.DUMMYFUNCTION("GOOGLETRANSLATE(D104, ""en"", ""hi"")"),"बी) पीछे के रैंक के साथी को रोकने के लिए एक मोहरा ले जाएँ")</f>
        <v>बी) पीछे के रैंक के साथी को रोकने के लिए एक मोहरा ले जाएँ</v>
      </c>
    </row>
    <row r="105" ht="22.5" customHeight="1">
      <c r="A105" s="2">
        <v>104.0</v>
      </c>
      <c r="B105" s="3" t="s">
        <v>1405</v>
      </c>
      <c r="C105" s="3" t="s">
        <v>1406</v>
      </c>
      <c r="D105" s="3" t="s">
        <v>1407</v>
      </c>
      <c r="F105" s="5" t="str">
        <f>IFERROR(__xludf.DUMMYFUNCTION("GOOGLETRANSLATE(A105, ""en"", ""hi"")"),"104")</f>
        <v>104</v>
      </c>
      <c r="G105" s="5" t="str">
        <f>IFERROR(__xludf.DUMMYFUNCTION("GOOGLETRANSLATE(B105, ""en"", ""hi"")"),"काले ने सफ़ेद के राजा पर ज़ोरदार हमला करने के लिए एक मोहरे की बलि दे दी है। सफ़ेद के लिए सबसे अच्छा रक्षात्मक कदम क्या है?")</f>
        <v>काले ने सफ़ेद के राजा पर ज़ोरदार हमला करने के लिए एक मोहरे की बलि दे दी है। सफ़ेद के लिए सबसे अच्छा रक्षात्मक कदम क्या है?</v>
      </c>
      <c r="H105" s="5" t="str">
        <f>IFERROR(__xludf.DUMMYFUNCTION("GOOGLETRANSLATE(C105, ""en"", ""hi"")"),"A) हमले को खत्म करने के लिए रानियों का व्यापार करें, B) राजा को सुरक्षित स्थान पर ले जाएं, C) राजा की रक्षा के लिए अधिक मोहरे लाएं, D) काले के कमजोर मोहरों पर पलटवार करें")</f>
        <v>A) हमले को खत्म करने के लिए रानियों का व्यापार करें, B) राजा को सुरक्षित स्थान पर ले जाएं, C) राजा की रक्षा के लिए अधिक मोहरे लाएं, D) काले के कमजोर मोहरों पर पलटवार करें</v>
      </c>
      <c r="I105" s="5" t="str">
        <f>IFERROR(__xludf.DUMMYFUNCTION("GOOGLETRANSLATE(D105, ""en"", ""hi"")"),"C) राजा की रक्षा के लिए अधिक मोहरे लाना")</f>
        <v>C) राजा की रक्षा के लिए अधिक मोहरे लाना</v>
      </c>
    </row>
    <row r="106" ht="22.5" customHeight="1">
      <c r="A106" s="2">
        <v>105.0</v>
      </c>
      <c r="B106" s="3" t="s">
        <v>1408</v>
      </c>
      <c r="C106" s="3" t="s">
        <v>1409</v>
      </c>
      <c r="D106" s="3" t="s">
        <v>1410</v>
      </c>
      <c r="F106" s="5" t="str">
        <f>IFERROR(__xludf.DUMMYFUNCTION("GOOGLETRANSLATE(A106, ""en"", ""hi"")"),"105")</f>
        <v>105</v>
      </c>
      <c r="G106" s="5" t="str">
        <f>IFERROR(__xludf.DUMMYFUNCTION("GOOGLETRANSLATE(B106, ""en"", ""hi"")"),"मध्य-खेल में, सफ़ेद ने f-फ़ाइल पर प्यादों की संख्या दोगुनी कर दी है, लेकिन खुली e-फ़ाइल पर उसका नियंत्रण है। सबसे अच्छी योजना क्या है?")</f>
        <v>मध्य-खेल में, सफ़ेद ने f-फ़ाइल पर प्यादों की संख्या दोगुनी कर दी है, लेकिन खुली e-फ़ाइल पर उसका नियंत्रण है। सबसे अच्छी योजना क्या है?</v>
      </c>
      <c r="H106" s="5" t="str">
        <f>IFERROR(__xludf.DUMMYFUNCTION("GOOGLETRANSLATE(C106, ""en"", ""hi"")"),"ए) प्रति-खेल बनाने के लिए एफ-प्यादों को धकेलें, बी) जटिलताओं को कम करने के लिए रानियों का व्यापार करें, सी) काले पर दबाव डालने के लिए खुली ई-फ़ाइल का उपयोग करें, डी) दोगुने प्यादों की रक्षा करें")</f>
        <v>ए) प्रति-खेल बनाने के लिए एफ-प्यादों को धकेलें, बी) जटिलताओं को कम करने के लिए रानियों का व्यापार करें, सी) काले पर दबाव डालने के लिए खुली ई-फ़ाइल का उपयोग करें, डी) दोगुने प्यादों की रक्षा करें</v>
      </c>
      <c r="I106" s="5" t="str">
        <f>IFERROR(__xludf.DUMMYFUNCTION("GOOGLETRANSLATE(D106, ""en"", ""hi"")"),"सी) ब्लैक पर दबाव डालने के लिए खुली ई-फाइल का उपयोग करें")</f>
        <v>सी) ब्लैक पर दबाव डालने के लिए खुली ई-फाइल का उपयोग करें</v>
      </c>
    </row>
    <row r="107" ht="22.5" customHeight="1">
      <c r="A107" s="2">
        <v>106.0</v>
      </c>
      <c r="B107" s="3" t="s">
        <v>1411</v>
      </c>
      <c r="C107" s="3" t="s">
        <v>1412</v>
      </c>
      <c r="D107" s="3" t="s">
        <v>1413</v>
      </c>
      <c r="F107" s="5" t="str">
        <f>IFERROR(__xludf.DUMMYFUNCTION("GOOGLETRANSLATE(A107, ""en"", ""hi"")"),"106")</f>
        <v>106</v>
      </c>
      <c r="G107" s="5" t="str">
        <f>IFERROR(__xludf.DUMMYFUNCTION("GOOGLETRANSLATE(B107, ""en"", ""hi"")"),"सफ़ेद के पास एक घोड़ा मज़बूत चौकी पर है, जबकि काले के मोहरे निष्क्रिय हैं। सफ़ेद को अब क्या करना चाहिए?")</f>
        <v>सफ़ेद के पास एक घोड़ा मज़बूत चौकी पर है, जबकि काले के मोहरे निष्क्रिय हैं। सफ़ेद को अब क्या करना चाहिए?</v>
      </c>
      <c r="H107" s="5" t="str">
        <f>IFERROR(__xludf.DUMMYFUNCTION("GOOGLETRANSLATE(C107, ""en"", ""hi"")"),"क) काले की स्थिति में नई कमज़ोरी पैदा करने के लिए मोहरे को आगे बढ़ाना, ख) घोड़े को काले के बिशप से बदलना, ग) घोड़े के साथ काले के मोहरों पर हमला करना, घ) घोड़े का समर्थन करने के लिए और मोहरे लाना")</f>
        <v>क) काले की स्थिति में नई कमज़ोरी पैदा करने के लिए मोहरे को आगे बढ़ाना, ख) घोड़े को काले के बिशप से बदलना, ग) घोड़े के साथ काले के मोहरों पर हमला करना, घ) घोड़े का समर्थन करने के लिए और मोहरे लाना</v>
      </c>
      <c r="I107" s="5" t="str">
        <f>IFERROR(__xludf.DUMMYFUNCTION("GOOGLETRANSLATE(D107, ""en"", ""hi"")"),"D) घोड़े का समर्थन करने के लिए अधिक मोहरे लाना")</f>
        <v>D) घोड़े का समर्थन करने के लिए अधिक मोहरे लाना</v>
      </c>
    </row>
    <row r="108" ht="22.5" customHeight="1">
      <c r="A108" s="2">
        <v>107.0</v>
      </c>
      <c r="B108" s="3" t="s">
        <v>1414</v>
      </c>
      <c r="C108" s="3" t="s">
        <v>1415</v>
      </c>
      <c r="D108" s="3" t="s">
        <v>1416</v>
      </c>
      <c r="F108" s="5" t="str">
        <f>IFERROR(__xludf.DUMMYFUNCTION("GOOGLETRANSLATE(A108, ""en"", ""hi"")"),"107")</f>
        <v>107</v>
      </c>
      <c r="G108" s="5" t="str">
        <f>IFERROR(__xludf.DUMMYFUNCTION("GOOGLETRANSLATE(B108, ""en"", ""hi"")"),"काले के पास बी-फाइल पर एक खतरनाक पास वाला मोहरा है, लेकिन सफेद के पास बीच में ज़्यादा सक्रिय मोहरे हैं। सफेद की सबसे अच्छी योजना क्या है?")</f>
        <v>काले के पास बी-फाइल पर एक खतरनाक पास वाला मोहरा है, लेकिन सफेद के पास बीच में ज़्यादा सक्रिय मोहरे हैं। सफेद की सबसे अच्छी योजना क्या है?</v>
      </c>
      <c r="H108" s="5" t="str">
        <f>IFERROR(__xludf.DUMMYFUNCTION("GOOGLETRANSLATE(C108, ""en"", ""hi"")"),"क) काले के पास किए गए मोहरे पर तुरंत हमला करें, ख) जवाबी हमले के लिए सफेद के केंद्रीय मोहरों को धकेलें, ग) काले के जवाबी हमले को कम करने के लिए मोहरों की अदला-बदली करें, घ) बादशाह के साथ पास किए गए मोहरे के खिलाफ बचाव करें")</f>
        <v>क) काले के पास किए गए मोहरे पर तुरंत हमला करें, ख) जवाबी हमले के लिए सफेद के केंद्रीय मोहरों को धकेलें, ग) काले के जवाबी हमले को कम करने के लिए मोहरों की अदला-बदली करें, घ) बादशाह के साथ पास किए गए मोहरे के खिलाफ बचाव करें</v>
      </c>
      <c r="I108" s="5" t="str">
        <f>IFERROR(__xludf.DUMMYFUNCTION("GOOGLETRANSLATE(D108, ""en"", ""hi"")"),"बी) प्रति-खेल बनाने के लिए सफ़ेद के केंद्रीय मोहरों को धकेलें")</f>
        <v>बी) प्रति-खेल बनाने के लिए सफ़ेद के केंद्रीय मोहरों को धकेलें</v>
      </c>
    </row>
    <row r="109" ht="22.5" customHeight="1">
      <c r="A109" s="2">
        <v>108.0</v>
      </c>
      <c r="B109" s="3" t="s">
        <v>1417</v>
      </c>
      <c r="C109" s="3" t="s">
        <v>1418</v>
      </c>
      <c r="D109" s="3" t="s">
        <v>1419</v>
      </c>
      <c r="F109" s="5" t="str">
        <f>IFERROR(__xludf.DUMMYFUNCTION("GOOGLETRANSLATE(A109, ""en"", ""hi"")"),"108")</f>
        <v>108</v>
      </c>
      <c r="G109" s="5" t="str">
        <f>IFERROR(__xludf.DUMMYFUNCTION("GOOGLETRANSLATE(B109, ""en"", ""hi"")"),"अंतिम बाजी में सफ़ेद के पास एक किश्ती और एक बिशप है जबकि काले के पास एक किश्ती और घोड़ा है। दोनों पक्षों के पास प्यादे हैं। सफ़ेद की सबसे अच्छी रणनीति क्या है?")</f>
        <v>अंतिम बाजी में सफ़ेद के पास एक किश्ती और एक बिशप है जबकि काले के पास एक किश्ती और घोड़ा है। दोनों पक्षों के पास प्यादे हैं। सफ़ेद की सबसे अच्छी रणनीति क्या है?</v>
      </c>
      <c r="H109" s="5" t="str">
        <f>IFERROR(__xludf.DUMMYFUNCTION("GOOGLETRANSLATE(C109, ""en"", ""hi"")"),"A) स्थिति को सरल बनाने के लिए रूक का व्यापार करें, B) बिशप के साथ काले के घोड़े पर हमला करें, C) प्यादों का समर्थन करने के लिए राजा का उपयोग करें, D) पास्ड प्यादा बनाने के लिए एक प्यादे को धक्का दें")</f>
        <v>A) स्थिति को सरल बनाने के लिए रूक का व्यापार करें, B) बिशप के साथ काले के घोड़े पर हमला करें, C) प्यादों का समर्थन करने के लिए राजा का उपयोग करें, D) पास्ड प्यादा बनाने के लिए एक प्यादे को धक्का दें</v>
      </c>
      <c r="I109" s="5" t="str">
        <f>IFERROR(__xludf.DUMMYFUNCTION("GOOGLETRANSLATE(D109, ""en"", ""hi"")"),"C) प्यादों की सहायता के लिए राजा का उपयोग करें")</f>
        <v>C) प्यादों की सहायता के लिए राजा का उपयोग करें</v>
      </c>
    </row>
    <row r="110" ht="22.5" customHeight="1">
      <c r="A110" s="2">
        <v>109.0</v>
      </c>
      <c r="B110" s="3" t="s">
        <v>1420</v>
      </c>
      <c r="C110" s="3" t="s">
        <v>1421</v>
      </c>
      <c r="D110" s="3" t="s">
        <v>1422</v>
      </c>
      <c r="F110" s="5" t="str">
        <f>IFERROR(__xludf.DUMMYFUNCTION("GOOGLETRANSLATE(A110, ""en"", ""hi"")"),"109")</f>
        <v>109</v>
      </c>
      <c r="G110" s="5" t="str">
        <f>IFERROR(__xludf.DUMMYFUNCTION("GOOGLETRANSLATE(B110, ""en"", ""hi"")"),"काले का राजा बेनकाब हो चुका है, और सफ़ेद की रानी केंद्र पर नियंत्रण कर रही है। सफ़ेद को आगे कैसे बढ़ना चाहिए?")</f>
        <v>काले का राजा बेनकाब हो चुका है, और सफ़ेद की रानी केंद्र पर नियंत्रण कर रही है। सफ़ेद को आगे कैसे बढ़ना चाहिए?</v>
      </c>
      <c r="H110" s="5" t="str">
        <f>IFERROR(__xludf.DUMMYFUNCTION("GOOGLETRANSLATE(C110, ""en"", ""hi"")"),"A) जटिलताओं से बचने के लिए रानियों की अदला-बदली करें, B) रानी से सीधे काले के राजा पर हमला करें, C) हमला करने से पहले अन्य मोहरों की स्थिति सुधारें, D) अधिक लाइनें खोलने के लिए प्यादों को आगे बढ़ाएँ")</f>
        <v>A) जटिलताओं से बचने के लिए रानियों की अदला-बदली करें, B) रानी से सीधे काले के राजा पर हमला करें, C) हमला करने से पहले अन्य मोहरों की स्थिति सुधारें, D) अधिक लाइनें खोलने के लिए प्यादों को आगे बढ़ाएँ</v>
      </c>
      <c r="I110" s="5" t="str">
        <f>IFERROR(__xludf.DUMMYFUNCTION("GOOGLETRANSLATE(D110, ""en"", ""hi"")"),"बी) रानी से सीधे काले के राजा पर हमला करें")</f>
        <v>बी) रानी से सीधे काले के राजा पर हमला करें</v>
      </c>
    </row>
    <row r="111" ht="22.5" customHeight="1">
      <c r="A111" s="2">
        <v>110.0</v>
      </c>
      <c r="B111" s="3" t="s">
        <v>1423</v>
      </c>
      <c r="C111" s="3" t="s">
        <v>1424</v>
      </c>
      <c r="D111" s="3" t="s">
        <v>1425</v>
      </c>
      <c r="F111" s="5" t="str">
        <f>IFERROR(__xludf.DUMMYFUNCTION("GOOGLETRANSLATE(A111, ""en"", ""hi"")"),"110")</f>
        <v>110</v>
      </c>
      <c r="G111" s="5" t="str">
        <f>IFERROR(__xludf.DUMMYFUNCTION("GOOGLETRANSLATE(B111, ""en"", ""hi"")"),"सफ़ेद ने काले के बादशाह पर ज़ोरदार हमला करने के लिए एक हाथी का बलिदान दिया है। हमला जारी रखने का सबसे अच्छा तरीका क्या है?")</f>
        <v>सफ़ेद ने काले के बादशाह पर ज़ोरदार हमला करने के लिए एक हाथी का बलिदान दिया है। हमला जारी रखने का सबसे अच्छा तरीका क्या है?</v>
      </c>
      <c r="H111" s="5" t="str">
        <f>IFERROR(__xludf.DUMMYFUNCTION("GOOGLETRANSLATE(C111, ""en"", ""hi"")"),"ए) हमले में अधिक मोहरे लाना, बी) जटिलताओं से बचने के लिए रानियों की अदला-बदली करना, सी) अधिक लाइनें खोलने के लिए मोहरे को आगे बढ़ाना, डी) पहले सफेद के अपने राजा की रक्षा करना")</f>
        <v>ए) हमले में अधिक मोहरे लाना, बी) जटिलताओं से बचने के लिए रानियों की अदला-बदली करना, सी) अधिक लाइनें खोलने के लिए मोहरे को आगे बढ़ाना, डी) पहले सफेद के अपने राजा की रक्षा करना</v>
      </c>
      <c r="I111" s="5" t="str">
        <f>IFERROR(__xludf.DUMMYFUNCTION("GOOGLETRANSLATE(D111, ""en"", ""hi"")"),"A) आक्रमण में अधिक टुकड़ियाँ लाना")</f>
        <v>A) आक्रमण में अधिक टुकड़ियाँ लाना</v>
      </c>
    </row>
    <row r="112" ht="22.5" customHeight="1">
      <c r="A112" s="2">
        <v>111.0</v>
      </c>
      <c r="B112" s="3" t="s">
        <v>1426</v>
      </c>
      <c r="C112" s="3" t="s">
        <v>1427</v>
      </c>
      <c r="D112" s="3" t="s">
        <v>1428</v>
      </c>
      <c r="F112" s="5" t="str">
        <f>IFERROR(__xludf.DUMMYFUNCTION("GOOGLETRANSLATE(A112, ""en"", ""hi"")"),"111")</f>
        <v>111</v>
      </c>
      <c r="G112" s="5" t="str">
        <f>IFERROR(__xludf.DUMMYFUNCTION("GOOGLETRANSLATE(B112, ""en"", ""hi"")"),"काले ने मध्य-खेल में पहल हासिल करने के लिए एक मोहरे की बलि दे दी है। सफेद की सबसे अच्छी चाल क्या है?")</f>
        <v>काले ने मध्य-खेल में पहल हासिल करने के लिए एक मोहरे की बलि दे दी है। सफेद की सबसे अच्छी चाल क्या है?</v>
      </c>
      <c r="H112" s="5" t="str">
        <f>IFERROR(__xludf.DUMMYFUNCTION("GOOGLETRANSLATE(C112, ""en"", ""hi"")"),"A) अतिरिक्त मोहरे की रक्षा करें, B) काले की गतिविधि कम करने के लिए मोहरों की अदला-बदली करें, C) काले के कमज़ोर मोहरों पर पलटवार करें, D) रक्षा के लिए और मोहरे लाएँ")</f>
        <v>A) अतिरिक्त मोहरे की रक्षा करें, B) काले की गतिविधि कम करने के लिए मोहरों की अदला-बदली करें, C) काले के कमज़ोर मोहरों पर पलटवार करें, D) रक्षा के लिए और मोहरे लाएँ</v>
      </c>
      <c r="I112" s="5" t="str">
        <f>IFERROR(__xludf.DUMMYFUNCTION("GOOGLETRANSLATE(D112, ""en"", ""hi"")"),"बी) काले की गतिविधि को कम करने के लिए मोहरों का आदान-प्रदान करें")</f>
        <v>बी) काले की गतिविधि को कम करने के लिए मोहरों का आदान-प्रदान करें</v>
      </c>
    </row>
    <row r="113" ht="22.5" customHeight="1">
      <c r="A113" s="2">
        <v>112.0</v>
      </c>
      <c r="B113" s="3" t="s">
        <v>1429</v>
      </c>
      <c r="C113" s="3" t="s">
        <v>1430</v>
      </c>
      <c r="D113" s="3" t="s">
        <v>1431</v>
      </c>
      <c r="F113" s="5" t="str">
        <f>IFERROR(__xludf.DUMMYFUNCTION("GOOGLETRANSLATE(A113, ""en"", ""hi"")"),"112")</f>
        <v>112</v>
      </c>
      <c r="G113" s="5" t="str">
        <f>IFERROR(__xludf.DUMMYFUNCTION("GOOGLETRANSLATE(B113, ""en"", ""hi"")"),"सफ़ेद के पास एक अलग रानी का मोहरा है, लेकिन मोहरे सक्रिय हैं। सफ़ेद के लिए सबसे अच्छी रणनीति क्या है?")</f>
        <v>सफ़ेद के पास एक अलग रानी का मोहरा है, लेकिन मोहरे सक्रिय हैं। सफ़ेद के लिए सबसे अच्छी रणनीति क्या है?</v>
      </c>
      <c r="H113" s="5" t="str">
        <f>IFERROR(__xludf.DUMMYFUNCTION("GOOGLETRANSLATE(C113, ""en"", ""hi"")"),"ए) अलग हुए मोहरे की रक्षा करें, बी) प्रति-खेल बनाने के लिए मोहरे को धकेलें, सी) स्थिति को सरल बनाने के लिए रानियों की अदला-बदली करें, डी) काले पर दबाव बनाने के लिए मोहरों का उपयोग करें")</f>
        <v>ए) अलग हुए मोहरे की रक्षा करें, बी) प्रति-खेल बनाने के लिए मोहरे को धकेलें, सी) स्थिति को सरल बनाने के लिए रानियों की अदला-बदली करें, डी) काले पर दबाव बनाने के लिए मोहरों का उपयोग करें</v>
      </c>
      <c r="I113" s="5" t="str">
        <f>IFERROR(__xludf.DUMMYFUNCTION("GOOGLETRANSLATE(D113, ""en"", ""hi"")"),"D) काले पर दबाव बनाने के लिए मोहरों का उपयोग करें")</f>
        <v>D) काले पर दबाव बनाने के लिए मोहरों का उपयोग करें</v>
      </c>
    </row>
    <row r="114" ht="22.5" customHeight="1">
      <c r="A114" s="2">
        <v>113.0</v>
      </c>
      <c r="B114" s="3" t="s">
        <v>1432</v>
      </c>
      <c r="C114" s="3" t="s">
        <v>1433</v>
      </c>
      <c r="D114" s="3" t="s">
        <v>1434</v>
      </c>
      <c r="F114" s="5" t="str">
        <f>IFERROR(__xludf.DUMMYFUNCTION("GOOGLETRANSLATE(A114, ""en"", ""hi"")"),"113")</f>
        <v>113</v>
      </c>
      <c r="G114" s="5" t="str">
        <f>IFERROR(__xludf.DUMMYFUNCTION("GOOGLETRANSLATE(B114, ""en"", ""hi"")"),"सफ़ेद के पास खुली डी-फ़ाइल का नियंत्रण है, जबकि काले के मोहरे निष्क्रिय हैं। सफ़ेद के लिए सबसे अच्छी योजना क्या है?")</f>
        <v>सफ़ेद के पास खुली डी-फ़ाइल का नियंत्रण है, जबकि काले के मोहरे निष्क्रिय हैं। सफ़ेद के लिए सबसे अच्छी योजना क्या है?</v>
      </c>
      <c r="H114" s="5" t="str">
        <f>IFERROR(__xludf.DUMMYFUNCTION("GOOGLETRANSLATE(C114, ""en"", ""hi"")"),"ए) स्थिति को सरल बनाने के लिए एक जोड़ी रूक का व्यापार करें, बी) काले की स्थिति पर आक्रमण करने के लिए डी-फाइल का उपयोग करें, सी) कमजोरियों को बनाने के लिए राजाओं की तरफ प्यादों को धकेलें, डी) जटिलताओं से बचने के लिए रानियों का आदान-प्रदान करें")</f>
        <v>ए) स्थिति को सरल बनाने के लिए एक जोड़ी रूक का व्यापार करें, बी) काले की स्थिति पर आक्रमण करने के लिए डी-फाइल का उपयोग करें, सी) कमजोरियों को बनाने के लिए राजाओं की तरफ प्यादों को धकेलें, डी) जटिलताओं से बचने के लिए रानियों का आदान-प्रदान करें</v>
      </c>
      <c r="I114" s="5" t="str">
        <f>IFERROR(__xludf.DUMMYFUNCTION("GOOGLETRANSLATE(D114, ""en"", ""hi"")"),"बी) ब्लैक की स्थिति पर आक्रमण करने के लिए डी-फाइल का उपयोग करें")</f>
        <v>बी) ब्लैक की स्थिति पर आक्रमण करने के लिए डी-फाइल का उपयोग करें</v>
      </c>
    </row>
    <row r="115" ht="22.5" customHeight="1">
      <c r="A115" s="2">
        <v>114.0</v>
      </c>
      <c r="B115" s="3" t="s">
        <v>1435</v>
      </c>
      <c r="C115" s="3" t="s">
        <v>1436</v>
      </c>
      <c r="D115" s="3" t="s">
        <v>1437</v>
      </c>
      <c r="F115" s="5" t="str">
        <f>IFERROR(__xludf.DUMMYFUNCTION("GOOGLETRANSLATE(A115, ""en"", ""hi"")"),"114")</f>
        <v>114</v>
      </c>
      <c r="G115" s="5" t="str">
        <f>IFERROR(__xludf.DUMMYFUNCTION("GOOGLETRANSLATE(B115, ""en"", ""hi"")"),"काले ने अभी-अभी क्वीनसाइड पर कैसल किया है, जबकि सफ़ेद ने किंगसाइड पर कैसल किया है। सफ़ेद की सबसे अच्छी योजना क्या है?")</f>
        <v>काले ने अभी-अभी क्वीनसाइड पर कैसल किया है, जबकि सफ़ेद ने किंगसाइड पर कैसल किया है। सफ़ेद की सबसे अच्छी योजना क्या है?</v>
      </c>
      <c r="H115" s="5" t="str">
        <f>IFERROR(__xludf.DUMMYFUNCTION("GOOGLETRANSLATE(C115, ""en"", ""hi"")"),"क) काले के राजा पर आक्रमण करने के लिए रानी की ओर के मोहरों को धकेलें, ख) प्रति-खेल बनाने के लिए राजा की ओर के मोहरों को धकेलें, ग) जटिलताओं से बचने के लिए रानियों की अदला-बदली करें, घ) काले के रानी की ओर के मोहरों पर मोहरों से आक्रमण करें")</f>
        <v>क) काले के राजा पर आक्रमण करने के लिए रानी की ओर के मोहरों को धकेलें, ख) प्रति-खेल बनाने के लिए राजा की ओर के मोहरों को धकेलें, ग) जटिलताओं से बचने के लिए रानियों की अदला-बदली करें, घ) काले के रानी की ओर के मोहरों पर मोहरों से आक्रमण करें</v>
      </c>
      <c r="I115" s="5" t="str">
        <f>IFERROR(__xludf.DUMMYFUNCTION("GOOGLETRANSLATE(D115, ""en"", ""hi"")"),"A) काले राजा पर हमला करने के लिए रानी की तरफ के प्यादों को धकेलें")</f>
        <v>A) काले राजा पर हमला करने के लिए रानी की तरफ के प्यादों को धकेलें</v>
      </c>
    </row>
    <row r="116" ht="22.5" customHeight="1">
      <c r="A116" s="2">
        <v>115.0</v>
      </c>
      <c r="B116" s="3" t="s">
        <v>1438</v>
      </c>
      <c r="C116" s="3" t="s">
        <v>1439</v>
      </c>
      <c r="D116" s="3" t="s">
        <v>1278</v>
      </c>
      <c r="F116" s="5" t="str">
        <f>IFERROR(__xludf.DUMMYFUNCTION("GOOGLETRANSLATE(A116, ""en"", ""hi"")"),"115")</f>
        <v>115</v>
      </c>
      <c r="G116" s="5" t="str">
        <f>IFERROR(__xludf.DUMMYFUNCTION("GOOGLETRANSLATE(B116, ""en"", ""hi"")"),"सफ़ेद के पास डी-फ़ाइल पर एक पास्ड प्यादा है, जबकि काले के पास क्वीन्स साइड पर प्यादों का बहुमत है। सफ़ेद को किस पर ध्यान केंद्रित करना चाहिए?")</f>
        <v>सफ़ेद के पास डी-फ़ाइल पर एक पास्ड प्यादा है, जबकि काले के पास क्वीन्स साइड पर प्यादों का बहुमत है। सफ़ेद को किस पर ध्यान केंद्रित करना चाहिए?</v>
      </c>
      <c r="H116" s="5" t="str">
        <f>IFERROR(__xludf.DUMMYFUNCTION("GOOGLETRANSLATE(C116, ""en"", ""hi"")"),"A) पास हुए मोहरे को तुरंत धकेलें, B) पास हुए मोहरे की गोटियों से रक्षा करें, C) रानी की तरफ से काले मोहरों पर हमला करें, D) स्थिति को सरल बनाने के लिए गोटियों की अदला-बदली करें")</f>
        <v>A) पास हुए मोहरे को तुरंत धकेलें, B) पास हुए मोहरे की गोटियों से रक्षा करें, C) रानी की तरफ से काले मोहरों पर हमला करें, D) स्थिति को सरल बनाने के लिए गोटियों की अदला-बदली करें</v>
      </c>
      <c r="I116" s="5" t="str">
        <f>IFERROR(__xludf.DUMMYFUNCTION("GOOGLETRANSLATE(D116, ""en"", ""hi"")"),"A) पास हुए मोहरे को तुरंत धकेलें")</f>
        <v>A) पास हुए मोहरे को तुरंत धकेलें</v>
      </c>
    </row>
    <row r="117" ht="22.5" customHeight="1">
      <c r="A117" s="2">
        <v>116.0</v>
      </c>
      <c r="B117" s="3" t="s">
        <v>1440</v>
      </c>
      <c r="C117" s="3" t="s">
        <v>1441</v>
      </c>
      <c r="D117" s="3" t="s">
        <v>1442</v>
      </c>
      <c r="F117" s="5" t="str">
        <f>IFERROR(__xludf.DUMMYFUNCTION("GOOGLETRANSLATE(A117, ""en"", ""hi"")"),"116")</f>
        <v>116</v>
      </c>
      <c r="G117" s="5" t="str">
        <f>IFERROR(__xludf.DUMMYFUNCTION("GOOGLETRANSLATE(B117, ""en"", ""hi"")"),"काले के पास d4 पर एक शक्तिशाली घोड़ा है, जबकि सफेद के पास एक निष्क्रिय बिशप है। सफेद को किस पर ध्यान केंद्रित करना चाहिए?")</f>
        <v>काले के पास d4 पर एक शक्तिशाली घोड़ा है, जबकि सफेद के पास एक निष्क्रिय बिशप है। सफेद को किस पर ध्यान केंद्रित करना चाहिए?</v>
      </c>
      <c r="H117" s="5" t="str">
        <f>IFERROR(__xludf.DUMMYFUNCTION("GOOGLETRANSLATE(C117, ""en"", ""hi"")"),"ए) घोड़े के लिए बिशप का व्यापार करें, बी) घोड़े को चुनौती देने के लिए एक मोहरे को आगे बढ़ाएं, सी) अन्य मोहरों की स्थिति में सुधार करें, डी) जवाबी कार्रवाई बनाने के लिए काले के मोहरों पर हमला करें")</f>
        <v>ए) घोड़े के लिए बिशप का व्यापार करें, बी) घोड़े को चुनौती देने के लिए एक मोहरे को आगे बढ़ाएं, सी) अन्य मोहरों की स्थिति में सुधार करें, डी) जवाबी कार्रवाई बनाने के लिए काले के मोहरों पर हमला करें</v>
      </c>
      <c r="I117" s="5" t="str">
        <f>IFERROR(__xludf.DUMMYFUNCTION("GOOGLETRANSLATE(D117, ""en"", ""hi"")"),"बी) घोड़े को चुनौती देने के लिए मोहरे को आगे बढ़ाना")</f>
        <v>बी) घोड़े को चुनौती देने के लिए मोहरे को आगे बढ़ाना</v>
      </c>
    </row>
    <row r="118" ht="22.5" customHeight="1">
      <c r="A118" s="2">
        <v>117.0</v>
      </c>
      <c r="B118" s="3" t="s">
        <v>1443</v>
      </c>
      <c r="C118" s="3" t="s">
        <v>1444</v>
      </c>
      <c r="D118" s="3" t="s">
        <v>1445</v>
      </c>
      <c r="F118" s="5" t="str">
        <f>IFERROR(__xludf.DUMMYFUNCTION("GOOGLETRANSLATE(A118, ""en"", ""hi"")"),"117")</f>
        <v>117</v>
      </c>
      <c r="G118" s="5" t="str">
        <f>IFERROR(__xludf.DUMMYFUNCTION("GOOGLETRANSLATE(B118, ""en"", ""hi"")"),"सफ़ेद के पास एक सक्रिय रानी और एक किश्ती है, जबकि काले का राजा खुला है। सफ़ेद के लिए आक्रमण जारी रखने का सबसे अच्छा तरीका क्या है?")</f>
        <v>सफ़ेद के पास एक सक्रिय रानी और एक किश्ती है, जबकि काले का राजा खुला है। सफ़ेद के लिए आक्रमण जारी रखने का सबसे अच्छा तरीका क्या है?</v>
      </c>
      <c r="H118" s="5" t="str">
        <f>IFERROR(__xludf.DUMMYFUNCTION("GOOGLETRANSLATE(C118, ""en"", ""hi"")"),"A) जटिलताओं को कम करने के लिए रानियों की अदला-बदली करें, B) दोनों मोहरों से काले के राजा पर सीधे हमला करें, C) नई लाइनें खोलने के लिए मोहरे को आगे बढ़ाएँ, D) पहले सफेद के अपने राजा की रक्षा करें")</f>
        <v>A) जटिलताओं को कम करने के लिए रानियों की अदला-बदली करें, B) दोनों मोहरों से काले के राजा पर सीधे हमला करें, C) नई लाइनें खोलने के लिए मोहरे को आगे बढ़ाएँ, D) पहले सफेद के अपने राजा की रक्षा करें</v>
      </c>
      <c r="I118" s="5" t="str">
        <f>IFERROR(__xludf.DUMMYFUNCTION("GOOGLETRANSLATE(D118, ""en"", ""hi"")"),"बी) दोनों मोहरों से काले के राजा पर सीधे हमला करें")</f>
        <v>बी) दोनों मोहरों से काले के राजा पर सीधे हमला करें</v>
      </c>
    </row>
    <row r="119" ht="22.5" customHeight="1">
      <c r="A119" s="2">
        <v>118.0</v>
      </c>
      <c r="B119" s="3" t="s">
        <v>1446</v>
      </c>
      <c r="C119" s="3" t="s">
        <v>1447</v>
      </c>
      <c r="D119" s="3" t="s">
        <v>1448</v>
      </c>
      <c r="F119" s="5" t="str">
        <f>IFERROR(__xludf.DUMMYFUNCTION("GOOGLETRANSLATE(A119, ""en"", ""hi"")"),"118")</f>
        <v>118</v>
      </c>
      <c r="G119" s="5" t="str">
        <f>IFERROR(__xludf.DUMMYFUNCTION("GOOGLETRANSLATE(B119, ""en"", ""hi"")"),"सफ़ेद के पास d5 पर एक मज़बूत घोड़ा है, जबकि काले के पास c8 पर एक बिशप है जो सक्रिय नहीं है। सफ़ेद की सबसे अच्छी रणनीति क्या है?")</f>
        <v>सफ़ेद के पास d5 पर एक मज़बूत घोड़ा है, जबकि काले के पास c8 पर एक बिशप है जो सक्रिय नहीं है। सफ़ेद की सबसे अच्छी रणनीति क्या है?</v>
      </c>
      <c r="H119" s="5" t="str">
        <f>IFERROR(__xludf.DUMMYFUNCTION("GOOGLETRANSLATE(C119, ""en"", ""hi"")"),"ए) घोड़े को बिशप से बदलें, बी) जगह बनाने के लिए केंद्रीय मोहरे को धकेलें, सी) काले की रानी की तरफ हमला करने पर ध्यान केंद्रित करें, डी) काले के राजा पर सीधा हमला करें")</f>
        <v>ए) घोड़े को बिशप से बदलें, बी) जगह बनाने के लिए केंद्रीय मोहरे को धकेलें, सी) काले की रानी की तरफ हमला करने पर ध्यान केंद्रित करें, डी) काले के राजा पर सीधा हमला करें</v>
      </c>
      <c r="I119" s="5" t="str">
        <f>IFERROR(__xludf.DUMMYFUNCTION("GOOGLETRANSLATE(D119, ""en"", ""hi"")"),"बी) जगह बनाने के लिए केंद्रीय मोहरे को धक्का दें")</f>
        <v>बी) जगह बनाने के लिए केंद्रीय मोहरे को धक्का दें</v>
      </c>
    </row>
    <row r="120" ht="22.5" customHeight="1">
      <c r="A120" s="2">
        <v>119.0</v>
      </c>
      <c r="B120" s="3" t="s">
        <v>1449</v>
      </c>
      <c r="C120" s="3" t="s">
        <v>1450</v>
      </c>
      <c r="D120" s="3" t="s">
        <v>1451</v>
      </c>
      <c r="F120" s="5" t="str">
        <f>IFERROR(__xludf.DUMMYFUNCTION("GOOGLETRANSLATE(A120, ""en"", ""hi"")"),"119")</f>
        <v>119</v>
      </c>
      <c r="G120" s="5" t="str">
        <f>IFERROR(__xludf.DUMMYFUNCTION("GOOGLETRANSLATE(B120, ""en"", ""hi"")"),"खुले ई-फाइल पर काले ने दोगुने हाथी बना लिए हैं, लेकिन सफ़ेद ने बीच में एक घोड़ा रखा है जो मुख्य वर्गों को नियंत्रित कर रहा है। सफ़ेद की सबसे अच्छी प्रतिक्रिया क्या है?")</f>
        <v>खुले ई-फाइल पर काले ने दोगुने हाथी बना लिए हैं, लेकिन सफ़ेद ने बीच में एक घोड़ा रखा है जो मुख्य वर्गों को नियंत्रित कर रहा है। सफ़ेद की सबसे अच्छी प्रतिक्रिया क्या है?</v>
      </c>
      <c r="H120" s="5" t="str">
        <f>IFERROR(__xludf.DUMMYFUNCTION("GOOGLETRANSLATE(C120, ""en"", ""hi"")"),"ए) काले के नियंत्रण को बेअसर करने के लिए रूक का व्यापार करें, बी) ई-फाइल की रक्षा के लिए घोड़े का उपयोग करें, सी) काले के रूक पर पलटवार करें, डी) घोड़े का समर्थन करने के लिए एक मोहरे को आगे बढ़ाएं")</f>
        <v>ए) काले के नियंत्रण को बेअसर करने के लिए रूक का व्यापार करें, बी) ई-फाइल की रक्षा के लिए घोड़े का उपयोग करें, सी) काले के रूक पर पलटवार करें, डी) घोड़े का समर्थन करने के लिए एक मोहरे को आगे बढ़ाएं</v>
      </c>
      <c r="I120" s="5" t="str">
        <f>IFERROR(__xludf.DUMMYFUNCTION("GOOGLETRANSLATE(D120, ""en"", ""hi"")"),"A) काले के नियंत्रण को बेअसर करने के लिए रूक्स का व्यापार करें")</f>
        <v>A) काले के नियंत्रण को बेअसर करने के लिए रूक्स का व्यापार करें</v>
      </c>
    </row>
    <row r="121" ht="22.5" customHeight="1">
      <c r="A121" s="2">
        <v>120.0</v>
      </c>
      <c r="B121" s="3" t="s">
        <v>1452</v>
      </c>
      <c r="C121" s="3" t="s">
        <v>1453</v>
      </c>
      <c r="D121" s="3" t="s">
        <v>1454</v>
      </c>
      <c r="F121" s="5" t="str">
        <f>IFERROR(__xludf.DUMMYFUNCTION("GOOGLETRANSLATE(A121, ""en"", ""hi"")"),"120")</f>
        <v>120</v>
      </c>
      <c r="G121" s="5" t="str">
        <f>IFERROR(__xludf.DUMMYFUNCTION("GOOGLETRANSLATE(B121, ""en"", ""hi"")"),"सफ़ेद के पास एक अलग रानी का मोहरा है, और काला उसे रोकने की कोशिश कर रहा है। सफ़ेद को किस पर ध्यान केंद्रित करना चाहिए?")</f>
        <v>सफ़ेद के पास एक अलग रानी का मोहरा है, और काला उसे रोकने की कोशिश कर रहा है। सफ़ेद को किस पर ध्यान केंद्रित करना चाहिए?</v>
      </c>
      <c r="H121" s="5" t="str">
        <f>IFERROR(__xludf.DUMMYFUNCTION("GOOGLETRANSLATE(C121, ""en"", ""hi"")"),"A) अलग हुए मोहरे को धकेलें, B) स्थिति को सरल बनाने के लिए रानियों की अदला-बदली करें, C) अलग हुए मोहरे की रक्षा हाथी से करें, D) बादशाह की ओर से आक्रमण करें")</f>
        <v>A) अलग हुए मोहरे को धकेलें, B) स्थिति को सरल बनाने के लिए रानियों की अदला-बदली करें, C) अलग हुए मोहरे की रक्षा हाथी से करें, D) बादशाह की ओर से आक्रमण करें</v>
      </c>
      <c r="I121" s="5" t="str">
        <f>IFERROR(__xludf.DUMMYFUNCTION("GOOGLETRANSLATE(D121, ""en"", ""hi"")"),"A) अलग हुए मोहरे को धकेलें")</f>
        <v>A) अलग हुए मोहरे को धकेलें</v>
      </c>
    </row>
    <row r="122" ht="22.5" customHeight="1">
      <c r="A122" s="2">
        <v>121.0</v>
      </c>
      <c r="B122" s="3" t="s">
        <v>1455</v>
      </c>
      <c r="C122" s="3" t="s">
        <v>1456</v>
      </c>
      <c r="D122" s="3" t="s">
        <v>1457</v>
      </c>
      <c r="F122" s="5" t="str">
        <f>IFERROR(__xludf.DUMMYFUNCTION("GOOGLETRANSLATE(A122, ""en"", ""hi"")"),"121")</f>
        <v>121</v>
      </c>
      <c r="G122" s="5" t="str">
        <f>IFERROR(__xludf.DUMMYFUNCTION("GOOGLETRANSLATE(B122, ""en"", ""hi"")"),"बंद स्थिति में, काले के प्यादे रानी की तरफ़ बंद हैं, और सफ़ेद का घोड़ा e5 पर तैनात है। सफ़ेद की योजना क्या है?")</f>
        <v>बंद स्थिति में, काले के प्यादे रानी की तरफ़ बंद हैं, और सफ़ेद का घोड़ा e5 पर तैनात है। सफ़ेद की योजना क्या है?</v>
      </c>
      <c r="H122" s="5" t="str">
        <f>IFERROR(__xludf.DUMMYFUNCTION("GOOGLETRANSLATE(C122, ""en"", ""hi"")"),"ए) स्थिति को सरल बनाने के लिए घोड़ों का व्यापार करें, बी) राजा की ओर खोलने के लिए एच-प्यादा को धक्का दें, सी) रानी की ओर से काले के प्यादों पर हमला करें, डी) एक खुली फ़ाइल पर डबल रूक्स")</f>
        <v>ए) स्थिति को सरल बनाने के लिए घोड़ों का व्यापार करें, बी) राजा की ओर खोलने के लिए एच-प्यादा को धक्का दें, सी) रानी की ओर से काले के प्यादों पर हमला करें, डी) एक खुली फ़ाइल पर डबल रूक्स</v>
      </c>
      <c r="I122" s="5" t="str">
        <f>IFERROR(__xludf.DUMMYFUNCTION("GOOGLETRANSLATE(D122, ""en"", ""hi"")"),"बी) किंगसाइड खोलने के लिए एच-प्यादा को धक्का दें")</f>
        <v>बी) किंगसाइड खोलने के लिए एच-प्यादा को धक्का दें</v>
      </c>
    </row>
    <row r="123" ht="22.5" customHeight="1">
      <c r="A123" s="2">
        <v>122.0</v>
      </c>
      <c r="B123" s="3" t="s">
        <v>1458</v>
      </c>
      <c r="C123" s="3" t="s">
        <v>1459</v>
      </c>
      <c r="D123" s="3" t="s">
        <v>1460</v>
      </c>
      <c r="F123" s="5" t="str">
        <f>IFERROR(__xludf.DUMMYFUNCTION("GOOGLETRANSLATE(A123, ""en"", ""hi"")"),"122")</f>
        <v>122</v>
      </c>
      <c r="G123" s="5" t="str">
        <f>IFERROR(__xludf.DUMMYFUNCTION("GOOGLETRANSLATE(B123, ""en"", ""hi"")"),"सफ़ेद के पास सी-फ़ाइल पर एक पास्ड प्यादा है, लेकिन काले का राजा उसके करीब है। सफ़ेद को क्या करना चाहिए?")</f>
        <v>सफ़ेद के पास सी-फ़ाइल पर एक पास्ड प्यादा है, लेकिन काले का राजा उसके करीब है। सफ़ेद को क्या करना चाहिए?</v>
      </c>
      <c r="H123" s="5" t="str">
        <f>IFERROR(__xludf.DUMMYFUNCTION("GOOGLETRANSLATE(C123, ""en"", ""hi"")"),"A) पास हुए मोहरे को तुरंत धकेलें, B) पास हुए मोहरे को बादशाह के साथ बचाएँ, C) पास हुए मोहरे को सहारा देने के लिए किश्ती लाएँ, D) जवाबी हमले के लिए काले मोहरे पर हमला करें")</f>
        <v>A) पास हुए मोहरे को तुरंत धकेलें, B) पास हुए मोहरे को बादशाह के साथ बचाएँ, C) पास हुए मोहरे को सहारा देने के लिए किश्ती लाएँ, D) जवाबी हमले के लिए काले मोहरे पर हमला करें</v>
      </c>
      <c r="I123" s="5" t="str">
        <f>IFERROR(__xludf.DUMMYFUNCTION("GOOGLETRANSLATE(D123, ""en"", ""hi"")"),"C) पास हुए मोहरे को सहारा देने के लिए एक किश्ती लाना")</f>
        <v>C) पास हुए मोहरे को सहारा देने के लिए एक किश्ती लाना</v>
      </c>
    </row>
    <row r="124" ht="22.5" customHeight="1">
      <c r="A124" s="2">
        <v>123.0</v>
      </c>
      <c r="B124" s="3" t="s">
        <v>1461</v>
      </c>
      <c r="C124" s="3" t="s">
        <v>1462</v>
      </c>
      <c r="D124" s="3" t="s">
        <v>1463</v>
      </c>
      <c r="F124" s="5" t="str">
        <f>IFERROR(__xludf.DUMMYFUNCTION("GOOGLETRANSLATE(A124, ""en"", ""hi"")"),"123")</f>
        <v>123</v>
      </c>
      <c r="G124" s="5" t="str">
        <f>IFERROR(__xludf.DUMMYFUNCTION("GOOGLETRANSLATE(B124, ""en"", ""hi"")"),"काले के पास एक मज़बूत बिशप है जो लंबे विकर्ण को नियंत्रित कर रहा है, लेकिन सफ़ेद का घोड़ा एक चौकी को ख़तरा बना रहा है। काले को क्या करना चाहिए?")</f>
        <v>काले के पास एक मज़बूत बिशप है जो लंबे विकर्ण को नियंत्रित कर रहा है, लेकिन सफ़ेद का घोड़ा एक चौकी को ख़तरा बना रहा है। काले को क्या करना चाहिए?</v>
      </c>
      <c r="H124" s="5" t="str">
        <f>IFERROR(__xludf.DUMMYFUNCTION("GOOGLETRANSLATE(C124, ""en"", ""hi"")"),"ए) घोड़े के लिए बिशप का व्यापार करें, बी) बिशप रखें और विकर्ण को नियंत्रित करें, सी) सफेद के रानी के पक्ष के प्यादों पर हमला करें, डी) स्थिति को सरल बनाने के लिए किश्ती का आदान-प्रदान करें")</f>
        <v>ए) घोड़े के लिए बिशप का व्यापार करें, बी) बिशप रखें और विकर्ण को नियंत्रित करें, सी) सफेद के रानी के पक्ष के प्यादों पर हमला करें, डी) स्थिति को सरल बनाने के लिए किश्ती का आदान-प्रदान करें</v>
      </c>
      <c r="I124" s="5" t="str">
        <f>IFERROR(__xludf.DUMMYFUNCTION("GOOGLETRANSLATE(D124, ""en"", ""hi"")"),"बी) बिशप को रखें और विकर्ण को नियंत्रित करें")</f>
        <v>बी) बिशप को रखें और विकर्ण को नियंत्रित करें</v>
      </c>
    </row>
    <row r="125" ht="22.5" customHeight="1">
      <c r="A125" s="2">
        <v>124.0</v>
      </c>
      <c r="B125" s="3" t="s">
        <v>1464</v>
      </c>
      <c r="C125" s="3" t="s">
        <v>1465</v>
      </c>
      <c r="D125" s="3" t="s">
        <v>1395</v>
      </c>
      <c r="F125" s="5" t="str">
        <f>IFERROR(__xludf.DUMMYFUNCTION("GOOGLETRANSLATE(A125, ""en"", ""hi"")"),"124")</f>
        <v>124</v>
      </c>
      <c r="G125" s="5" t="str">
        <f>IFERROR(__xludf.DUMMYFUNCTION("GOOGLETRANSLATE(B125, ""en"", ""hi"")"),"विपरीत रंग के बिशप वाले अंतिम खेल में, सफ़ेद पक्ष के पास एक मोहरा होता है, लेकिन काले पक्ष का बिशप मुख्य वर्गों पर नियंत्रण रखता है। सफ़ेद पक्ष की योजना क्या है?")</f>
        <v>विपरीत रंग के बिशप वाले अंतिम खेल में, सफ़ेद पक्ष के पास एक मोहरा होता है, लेकिन काले पक्ष का बिशप मुख्य वर्गों पर नियंत्रण रखता है। सफ़ेद पक्ष की योजना क्या है?</v>
      </c>
      <c r="H125" s="5" t="str">
        <f>IFERROR(__xludf.DUMMYFUNCTION("GOOGLETRANSLATE(C125, ""en"", ""hi"")"),"ए) लाभ को बदलने के लिए बिशप का व्यापार करें, बी) पास किए गए मोहरे को जल्दी से धक्का दें, सी) मोहरे का समर्थन करने के लिए राजा का उपयोग करें, डी) विपरीत विंग पर काले के मोहरों पर हमला करें")</f>
        <v>ए) लाभ को बदलने के लिए बिशप का व्यापार करें, बी) पास किए गए मोहरे को जल्दी से धक्का दें, सी) मोहरे का समर्थन करने के लिए राजा का उपयोग करें, डी) विपरीत विंग पर काले के मोहरों पर हमला करें</v>
      </c>
      <c r="I125" s="5" t="str">
        <f>IFERROR(__xludf.DUMMYFUNCTION("GOOGLETRANSLATE(D125, ""en"", ""hi"")"),"C) मोहरे को सहारा देने के लिए राजा का उपयोग करें")</f>
        <v>C) मोहरे को सहारा देने के लिए राजा का उपयोग करें</v>
      </c>
    </row>
    <row r="126" ht="22.5" customHeight="1">
      <c r="A126" s="2">
        <v>125.0</v>
      </c>
      <c r="B126" s="3" t="s">
        <v>1466</v>
      </c>
      <c r="C126" s="3" t="s">
        <v>1467</v>
      </c>
      <c r="D126" s="3" t="s">
        <v>1468</v>
      </c>
      <c r="F126" s="5" t="str">
        <f>IFERROR(__xludf.DUMMYFUNCTION("GOOGLETRANSLATE(A126, ""en"", ""hi"")"),"125")</f>
        <v>125</v>
      </c>
      <c r="G126" s="5" t="str">
        <f>IFERROR(__xludf.DUMMYFUNCTION("GOOGLETRANSLATE(B126, ""en"", ""hi"")"),"सफ़ेद के पास सातवीं पंक्ति पर एक हाथी है, जबकि काले के हाथी निष्क्रिय हैं। सफ़ेद की अगली चाल क्या होनी चाहिए?")</f>
        <v>सफ़ेद के पास सातवीं पंक्ति पर एक हाथी है, जबकि काले के हाथी निष्क्रिय हैं। सफ़ेद की अगली चाल क्या होनी चाहिए?</v>
      </c>
      <c r="H126" s="5" t="str">
        <f>IFERROR(__xludf.DUMMYFUNCTION("GOOGLETRANSLATE(C126, ""en"", ""hi"")"),"A) स्थिति को सरल बनाने के लिए किश्ती बदलें, B) सातवीं पंक्ति पर काले के प्यादों पर हमला करें, C) किश्ती को सहारा देने के लिए राजा को पास ले जाएं, D) नई पंक्ति खोलने के लिए प्यादे को आगे बढ़ाएं")</f>
        <v>A) स्थिति को सरल बनाने के लिए किश्ती बदलें, B) सातवीं पंक्ति पर काले के प्यादों पर हमला करें, C) किश्ती को सहारा देने के लिए राजा को पास ले जाएं, D) नई पंक्ति खोलने के लिए प्यादे को आगे बढ़ाएं</v>
      </c>
      <c r="I126" s="5" t="str">
        <f>IFERROR(__xludf.DUMMYFUNCTION("GOOGLETRANSLATE(D126, ""en"", ""hi"")"),"B) सातवीं पंक्ति पर काले के प्यादों पर हमला करें")</f>
        <v>B) सातवीं पंक्ति पर काले के प्यादों पर हमला करें</v>
      </c>
    </row>
    <row r="127" ht="22.5" customHeight="1">
      <c r="A127" s="2">
        <v>126.0</v>
      </c>
      <c r="B127" s="3" t="s">
        <v>1469</v>
      </c>
      <c r="C127" s="3" t="s">
        <v>1470</v>
      </c>
      <c r="D127" s="3" t="s">
        <v>1278</v>
      </c>
      <c r="F127" s="5" t="str">
        <f>IFERROR(__xludf.DUMMYFUNCTION("GOOGLETRANSLATE(A127, ""en"", ""hi"")"),"126")</f>
        <v>126</v>
      </c>
      <c r="G127" s="5" t="str">
        <f>IFERROR(__xludf.DUMMYFUNCTION("GOOGLETRANSLATE(B127, ""en"", ""hi"")"),"सफ़ेद के पास एक उन्नत मोहरा है, जबकि काले के पास ज़्यादा सक्रिय मोहरे हैं। सफ़ेद को क्या करना चाहिए?")</f>
        <v>सफ़ेद के पास एक उन्नत मोहरा है, जबकि काले के पास ज़्यादा सक्रिय मोहरे हैं। सफ़ेद को क्या करना चाहिए?</v>
      </c>
      <c r="H127" s="5" t="str">
        <f>IFERROR(__xludf.DUMMYFUNCTION("GOOGLETRANSLATE(C127, ""en"", ""hi"")"),"A) पास हुए मोहरे को तुरंत धकेलें, B) पास हुए मोहरे को किश्ती से बचाएँ, C) काले के राजा पर हमला करके जवाबी हमला बनाएँ, D) सरलीकरण के लिए मोहरों का व्यापार करें")</f>
        <v>A) पास हुए मोहरे को तुरंत धकेलें, B) पास हुए मोहरे को किश्ती से बचाएँ, C) काले के राजा पर हमला करके जवाबी हमला बनाएँ, D) सरलीकरण के लिए मोहरों का व्यापार करें</v>
      </c>
      <c r="I127" s="5" t="str">
        <f>IFERROR(__xludf.DUMMYFUNCTION("GOOGLETRANSLATE(D127, ""en"", ""hi"")"),"A) पास हुए मोहरे को तुरंत धकेलें")</f>
        <v>A) पास हुए मोहरे को तुरंत धकेलें</v>
      </c>
    </row>
    <row r="128" ht="22.5" customHeight="1">
      <c r="A128" s="2">
        <v>127.0</v>
      </c>
      <c r="B128" s="3" t="s">
        <v>1471</v>
      </c>
      <c r="C128" s="3" t="s">
        <v>1472</v>
      </c>
      <c r="D128" s="3" t="s">
        <v>1473</v>
      </c>
      <c r="F128" s="5" t="str">
        <f>IFERROR(__xludf.DUMMYFUNCTION("GOOGLETRANSLATE(A128, ""en"", ""hi"")"),"127")</f>
        <v>127</v>
      </c>
      <c r="G128" s="5" t="str">
        <f>IFERROR(__xludf.DUMMYFUNCTION("GOOGLETRANSLATE(B128, ""en"", ""hi"")"),"काले ने पहल हासिल करने के लिए एक मोहरा कुर्बान कर दिया है। हमले को बेअसर करने के लिए सफेद की सबसे अच्छी प्रतिक्रिया क्या है?")</f>
        <v>काले ने पहल हासिल करने के लिए एक मोहरा कुर्बान कर दिया है। हमले को बेअसर करने के लिए सफेद की सबसे अच्छी प्रतिक्रिया क्या है?</v>
      </c>
      <c r="H128" s="5" t="str">
        <f>IFERROR(__xludf.DUMMYFUNCTION("GOOGLETRANSLATE(C128, ""en"", ""hi"")"),"A) खतरे को खत्म करने के लिए रानियों का व्यापार करें, B) राजा को सुरक्षित वर्ग में ले जाएं, C) बचाव के लिए अधिक मोहरे लाएं, D) काले के कमजोर मोहरों पर पलटवार करें")</f>
        <v>A) खतरे को खत्म करने के लिए रानियों का व्यापार करें, B) राजा को सुरक्षित वर्ग में ले जाएं, C) बचाव के लिए अधिक मोहरे लाएं, D) काले के कमजोर मोहरों पर पलटवार करें</v>
      </c>
      <c r="I128" s="5" t="str">
        <f>IFERROR(__xludf.DUMMYFUNCTION("GOOGLETRANSLATE(D128, ""en"", ""hi"")"),"C) बचाव के लिए अधिक टुकड़े लाएं")</f>
        <v>C) बचाव के लिए अधिक टुकड़े लाएं</v>
      </c>
    </row>
    <row r="129" ht="22.5" customHeight="1">
      <c r="A129" s="2">
        <v>128.0</v>
      </c>
      <c r="B129" s="3" t="s">
        <v>1474</v>
      </c>
      <c r="C129" s="3" t="s">
        <v>1475</v>
      </c>
      <c r="D129" s="3" t="s">
        <v>1476</v>
      </c>
      <c r="F129" s="5" t="str">
        <f>IFERROR(__xludf.DUMMYFUNCTION("GOOGLETRANSLATE(A129, ""en"", ""hi"")"),"128")</f>
        <v>128</v>
      </c>
      <c r="G129" s="5" t="str">
        <f>IFERROR(__xludf.DUMMYFUNCTION("GOOGLETRANSLATE(B129, ""en"", ""hi"")"),"सफ़ेद ने सी-फ़ाइल पर प्यादों की संख्या दोगुनी कर दी है, लेकिन काले के मोहरे निष्क्रिय हैं। सफ़ेद को किस पर ध्यान केंद्रित करना चाहिए?")</f>
        <v>सफ़ेद ने सी-फ़ाइल पर प्यादों की संख्या दोगुनी कर दी है, लेकिन काले के मोहरे निष्क्रिय हैं। सफ़ेद को किस पर ध्यान केंद्रित करना चाहिए?</v>
      </c>
      <c r="H129" s="5" t="str">
        <f>IFERROR(__xludf.DUMMYFUNCTION("GOOGLETRANSLATE(C129, ""en"", ""hi"")"),"A) प्रति-खेल बनाने के लिए दुगुने प्यादों को धकेलें, B) काले के राजा पर सीधे हमला करें, C) किश्ती से खुली हुई फाइलों को नियंत्रित करें, D) मोहरों से दुगुने प्यादों की रक्षा करें")</f>
        <v>A) प्रति-खेल बनाने के लिए दुगुने प्यादों को धकेलें, B) काले के राजा पर सीधे हमला करें, C) किश्ती से खुली हुई फाइलों को नियंत्रित करें, D) मोहरों से दुगुने प्यादों की रक्षा करें</v>
      </c>
      <c r="I129" s="5" t="str">
        <f>IFERROR(__xludf.DUMMYFUNCTION("GOOGLETRANSLATE(D129, ""en"", ""hi"")"),"C) रूक्स के साथ खुली फाइलों को नियंत्रित करें")</f>
        <v>C) रूक्स के साथ खुली फाइलों को नियंत्रित करें</v>
      </c>
    </row>
    <row r="130" ht="22.5" customHeight="1">
      <c r="A130" s="2">
        <v>129.0</v>
      </c>
      <c r="B130" s="3" t="s">
        <v>1477</v>
      </c>
      <c r="C130" s="3" t="s">
        <v>1478</v>
      </c>
      <c r="D130" s="3" t="s">
        <v>1479</v>
      </c>
      <c r="F130" s="5" t="str">
        <f>IFERROR(__xludf.DUMMYFUNCTION("GOOGLETRANSLATE(A130, ""en"", ""hi"")"),"129")</f>
        <v>129</v>
      </c>
      <c r="G130" s="5" t="str">
        <f>IFERROR(__xludf.DUMMYFUNCTION("GOOGLETRANSLATE(B130, ""en"", ""hi"")"),"कैस्टलिंग के बाद काले का राजा रानी की तरफ़ खुला है, जबकि सफ़ेद के दोनों तरफ़ सक्रिय मोहरे हैं। सफ़ेद को क्या करना चाहिए?")</f>
        <v>कैस्टलिंग के बाद काले का राजा रानी की तरफ़ खुला है, जबकि सफ़ेद के दोनों तरफ़ सक्रिय मोहरे हैं। सफ़ेद को क्या करना चाहिए?</v>
      </c>
      <c r="H130" s="5" t="str">
        <f>IFERROR(__xludf.DUMMYFUNCTION("GOOGLETRANSLATE(C130, ""en"", ""hi"")"),"A) काले पक्ष के राजा पर तुरंत हमला करें, B) जटिलताओं को कम करने के लिए रानियों की अदला-बदली करें, C) हमले में और अधिक मोहरे लाएँ, D) रानी पक्ष के मोहरों को धकेलें")</f>
        <v>A) काले पक्ष के राजा पर तुरंत हमला करें, B) जटिलताओं को कम करने के लिए रानियों की अदला-बदली करें, C) हमले में और अधिक मोहरे लाएँ, D) रानी पक्ष के मोहरों को धकेलें</v>
      </c>
      <c r="I130" s="5" t="str">
        <f>IFERROR(__xludf.DUMMYFUNCTION("GOOGLETRANSLATE(D130, ""en"", ""hi"")"),"C) आक्रमण में अधिक टुकड़ियाँ लाना")</f>
        <v>C) आक्रमण में अधिक टुकड़ियाँ लाना</v>
      </c>
    </row>
    <row r="131" ht="22.5" customHeight="1">
      <c r="A131" s="2">
        <v>130.0</v>
      </c>
      <c r="B131" s="3" t="s">
        <v>1480</v>
      </c>
      <c r="C131" s="3" t="s">
        <v>1481</v>
      </c>
      <c r="D131" s="3" t="s">
        <v>1482</v>
      </c>
      <c r="F131" s="5" t="str">
        <f>IFERROR(__xludf.DUMMYFUNCTION("GOOGLETRANSLATE(A131, ""en"", ""hi"")"),"130")</f>
        <v>130</v>
      </c>
      <c r="G131" s="5" t="str">
        <f>IFERROR(__xludf.DUMMYFUNCTION("GOOGLETRANSLATE(B131, ""en"", ""hi"")"),"सफ़ेद के पास एक किश्ती और एक बिशप है, जबकि काले के पास एक किश्ती और घोड़ा है। दोनों पक्षों के पास प्यादे हैं। सफ़ेद की सबसे अच्छी योजना क्या है?")</f>
        <v>सफ़ेद के पास एक किश्ती और एक बिशप है, जबकि काले के पास एक किश्ती और घोड़ा है। दोनों पक्षों के पास प्यादे हैं। सफ़ेद की सबसे अच्छी योजना क्या है?</v>
      </c>
      <c r="H131" s="5" t="str">
        <f>IFERROR(__xludf.DUMMYFUNCTION("GOOGLETRANSLATE(C131, ""en"", ""hi"")"),"ए) स्थिति को सरल बनाने के लिए रूक का व्यापार करें, बी) प्रमुख वर्गों को नियंत्रित करने के लिए बिशप का उपयोग करें, सी) रूक के साथ काले घोड़े पर हमला करें, डी) पास्ड पॉन बनाने के लिए प्यादों को धक्का दें")</f>
        <v>ए) स्थिति को सरल बनाने के लिए रूक का व्यापार करें, बी) प्रमुख वर्गों को नियंत्रित करने के लिए बिशप का उपयोग करें, सी) रूक के साथ काले घोड़े पर हमला करें, डी) पास्ड पॉन बनाने के लिए प्यादों को धक्का दें</v>
      </c>
      <c r="I131" s="5" t="str">
        <f>IFERROR(__xludf.DUMMYFUNCTION("GOOGLETRANSLATE(D131, ""en"", ""hi"")"),"बी) कुंजी वर्गों को नियंत्रित करने के लिए बिशप का उपयोग करें")</f>
        <v>बी) कुंजी वर्गों को नियंत्रित करने के लिए बिशप का उपयोग करें</v>
      </c>
    </row>
    <row r="132" ht="22.5" customHeight="1">
      <c r="A132" s="2">
        <v>131.0</v>
      </c>
      <c r="B132" s="3" t="s">
        <v>1483</v>
      </c>
      <c r="C132" s="3" t="s">
        <v>1484</v>
      </c>
      <c r="D132" s="3" t="s">
        <v>1485</v>
      </c>
      <c r="F132" s="5" t="str">
        <f>IFERROR(__xludf.DUMMYFUNCTION("GOOGLETRANSLATE(A132, ""en"", ""hi"")"),"131")</f>
        <v>131</v>
      </c>
      <c r="G132" s="5" t="str">
        <f>IFERROR(__xludf.DUMMYFUNCTION("GOOGLETRANSLATE(B132, ""en"", ""hi"")"),"काले के पास प्यादों के साथ केंद्र का नियंत्रण है, लेकिन सफ़ेद के मोहरे ज़्यादा सक्रिय हैं। सफ़ेद को किस पर ध्यान केंद्रित करना चाहिए?")</f>
        <v>काले के पास प्यादों के साथ केंद्र का नियंत्रण है, लेकिन सफ़ेद के मोहरे ज़्यादा सक्रिय हैं। सफ़ेद को किस पर ध्यान केंद्रित करना चाहिए?</v>
      </c>
      <c r="H132" s="5" t="str">
        <f>IFERROR(__xludf.DUMMYFUNCTION("GOOGLETRANSLATE(C132, ""en"", ""hi"")"),"A) काले के प्यादों पर सीधे हमला करें, B) काले के नियंत्रण को कम करने के लिए मोहरों का व्यापार करें, C) काले के राजा पर हमला करने के लिए मोहरों का उपयोग करें, D) प्रति-खेल बनाने के लिए मोहरों को धकेलें")</f>
        <v>A) काले के प्यादों पर सीधे हमला करें, B) काले के नियंत्रण को कम करने के लिए मोहरों का व्यापार करें, C) काले के राजा पर हमला करने के लिए मोहरों का उपयोग करें, D) प्रति-खेल बनाने के लिए मोहरों को धकेलें</v>
      </c>
      <c r="I132" s="5" t="str">
        <f>IFERROR(__xludf.DUMMYFUNCTION("GOOGLETRANSLATE(D132, ""en"", ""hi"")"),"C) काले के राजा पर हमला करने के लिए मोहरों का उपयोग करें")</f>
        <v>C) काले के राजा पर हमला करने के लिए मोहरों का उपयोग करें</v>
      </c>
    </row>
    <row r="133" ht="22.5" customHeight="1">
      <c r="A133" s="2">
        <v>132.0</v>
      </c>
      <c r="B133" s="3" t="s">
        <v>1486</v>
      </c>
      <c r="C133" s="3" t="s">
        <v>1487</v>
      </c>
      <c r="D133" s="3" t="s">
        <v>1488</v>
      </c>
      <c r="F133" s="5" t="str">
        <f>IFERROR(__xludf.DUMMYFUNCTION("GOOGLETRANSLATE(A133, ""en"", ""hi"")"),"132")</f>
        <v>132</v>
      </c>
      <c r="G133" s="5" t="str">
        <f>IFERROR(__xludf.DUMMYFUNCTION("GOOGLETRANSLATE(B133, ""en"", ""hi"")"),"सफ़ेद के पास किंग साइड पर मज़बूत प्यादों की चेन है, लेकिन काले के पास क्वीन साइड पर ज़्यादा जगह है। सफ़ेद को क्या करना चाहिए?")</f>
        <v>सफ़ेद के पास किंग साइड पर मज़बूत प्यादों की चेन है, लेकिन काले के पास क्वीन साइड पर ज़्यादा जगह है। सफ़ेद को क्या करना चाहिए?</v>
      </c>
      <c r="H133" s="5" t="str">
        <f>IFERROR(__xludf.DUMMYFUNCTION("GOOGLETRANSLATE(C133, ""en"", ""hi"")"),"A) जगह बनाने के लिए राजा की ओर के प्यादों को धकेलें, B) रानी की ओर के काले प्यादों पर हमला करें, C) स्थिति को आसान बनाने के लिए रानियों की अदला-बदली करें, D) रेखाएँ खोलने के लिए केंद्र के प्यादों को धकेलें")</f>
        <v>A) जगह बनाने के लिए राजा की ओर के प्यादों को धकेलें, B) रानी की ओर के काले प्यादों पर हमला करें, C) स्थिति को आसान बनाने के लिए रानियों की अदला-बदली करें, D) रेखाएँ खोलने के लिए केंद्र के प्यादों को धकेलें</v>
      </c>
      <c r="I133" s="5" t="str">
        <f>IFERROR(__xludf.DUMMYFUNCTION("GOOGLETRANSLATE(D133, ""en"", ""hi"")"),"A) स्थान प्राप्त करने के लिए प्यादों को राजा की ओर धकेलें")</f>
        <v>A) स्थान प्राप्त करने के लिए प्यादों को राजा की ओर धकेलें</v>
      </c>
    </row>
    <row r="134" ht="22.5" customHeight="1">
      <c r="A134" s="2">
        <v>133.0</v>
      </c>
      <c r="B134" s="3" t="s">
        <v>1489</v>
      </c>
      <c r="C134" s="3" t="s">
        <v>1490</v>
      </c>
      <c r="D134" s="3" t="s">
        <v>1491</v>
      </c>
      <c r="F134" s="5" t="str">
        <f>IFERROR(__xludf.DUMMYFUNCTION("GOOGLETRANSLATE(A134, ""en"", ""hi"")"),"133")</f>
        <v>133</v>
      </c>
      <c r="G134" s="5" t="str">
        <f>IFERROR(__xludf.DUMMYFUNCTION("GOOGLETRANSLATE(B134, ""en"", ""hi"")"),"काले के पास एक बाहरी मोहरा है, लेकिन सफ़ेद के मोहरे केंद्र में ज़्यादा सक्रिय हैं। सफ़ेद को क्या करना चाहिए?")</f>
        <v>काले के पास एक बाहरी मोहरा है, लेकिन सफ़ेद के मोहरे केंद्र में ज़्यादा सक्रिय हैं। सफ़ेद को क्या करना चाहिए?</v>
      </c>
      <c r="H134" s="5" t="str">
        <f>IFERROR(__xludf.DUMMYFUNCTION("GOOGLETRANSLATE(C134, ""en"", ""hi"")"),"क) काले के पास गए मोहरे पर आक्रमण करना, ख) काले के कमजोर मोहरों पर पलटवार करना, ग) जवाबी हमले के लिए मोहरों को धकेलना, घ) मोहरों को सहारा देने के लिए राजा को पास लाना")</f>
        <v>क) काले के पास गए मोहरे पर आक्रमण करना, ख) काले के कमजोर मोहरों पर पलटवार करना, ग) जवाबी हमले के लिए मोहरों को धकेलना, घ) मोहरों को सहारा देने के लिए राजा को पास लाना</v>
      </c>
      <c r="I134" s="5" t="str">
        <f>IFERROR(__xludf.DUMMYFUNCTION("GOOGLETRANSLATE(D134, ""en"", ""hi"")"),"बी) काले के कमज़ोर प्यादों पर पलटवार करें")</f>
        <v>बी) काले के कमज़ोर प्यादों पर पलटवार करें</v>
      </c>
    </row>
    <row r="135" ht="22.5" customHeight="1">
      <c r="A135" s="2">
        <v>134.0</v>
      </c>
      <c r="B135" s="3" t="s">
        <v>1492</v>
      </c>
      <c r="C135" s="3" t="s">
        <v>1493</v>
      </c>
      <c r="D135" s="3" t="s">
        <v>1494</v>
      </c>
      <c r="F135" s="5" t="str">
        <f>IFERROR(__xludf.DUMMYFUNCTION("GOOGLETRANSLATE(A135, ""en"", ""hi"")"),"134")</f>
        <v>134</v>
      </c>
      <c r="G135" s="5" t="str">
        <f>IFERROR(__xludf.DUMMYFUNCTION("GOOGLETRANSLATE(B135, ""en"", ""hi"")"),"सफ़ेद के मोहरे ज़्यादा सक्रिय हैं, लेकिन काले के पास रानी की तरफ़ ज़्यादा मोहरे हैं। सफ़ेद को किस पर ध्यान केंद्रित करना चाहिए?")</f>
        <v>सफ़ेद के मोहरे ज़्यादा सक्रिय हैं, लेकिन काले के पास रानी की तरफ़ ज़्यादा मोहरे हैं। सफ़ेद को किस पर ध्यान केंद्रित करना चाहिए?</v>
      </c>
      <c r="H135" s="5" t="str">
        <f>IFERROR(__xludf.DUMMYFUNCTION("GOOGLETRANSLATE(C135, ""en"", ""hi"")"),"ए) काले के रानी की ओर के प्यादों पर हमला करें, बी) जवाबी कार्रवाई करने के लिए प्यादों को धकेलें, सी) खुली फाइलों को नियंत्रित करने के लिए मोहरों का उपयोग करें, डी) जटिलताओं से बचने के लिए रानियों की अदला-बदली करें")</f>
        <v>ए) काले के रानी की ओर के प्यादों पर हमला करें, बी) जवाबी कार्रवाई करने के लिए प्यादों को धकेलें, सी) खुली फाइलों को नियंत्रित करने के लिए मोहरों का उपयोग करें, डी) जटिलताओं से बचने के लिए रानियों की अदला-बदली करें</v>
      </c>
      <c r="I135" s="5" t="str">
        <f>IFERROR(__xludf.DUMMYFUNCTION("GOOGLETRANSLATE(D135, ""en"", ""hi"")"),"C) खुली फ़ाइलों को नियंत्रित करने के लिए टुकड़ों का उपयोग करें")</f>
        <v>C) खुली फ़ाइलों को नियंत्रित करने के लिए टुकड़ों का उपयोग करें</v>
      </c>
    </row>
    <row r="136" ht="22.5" customHeight="1">
      <c r="A136" s="2">
        <v>135.0</v>
      </c>
      <c r="B136" s="3" t="s">
        <v>1495</v>
      </c>
      <c r="C136" s="3" t="s">
        <v>1496</v>
      </c>
      <c r="D136" s="3" t="s">
        <v>1497</v>
      </c>
      <c r="F136" s="5" t="str">
        <f>IFERROR(__xludf.DUMMYFUNCTION("GOOGLETRANSLATE(A136, ""en"", ""hi"")"),"135")</f>
        <v>135</v>
      </c>
      <c r="G136" s="5" t="str">
        <f>IFERROR(__xludf.DUMMYFUNCTION("GOOGLETRANSLATE(B136, ""en"", ""hi"")"),"प्यादों के अंतिम खेल में, काले के पास एक बाहरी पास वाला प्यादा होता है, लेकिन सफ़ेद का राजा ज़्यादा केंद्रीय होता है। सफ़ेद की सबसे अच्छी योजना क्या है?")</f>
        <v>प्यादों के अंतिम खेल में, काले के पास एक बाहरी पास वाला प्यादा होता है, लेकिन सफ़ेद का राजा ज़्यादा केंद्रीय होता है। सफ़ेद की सबसे अच्छी योजना क्या है?</v>
      </c>
      <c r="H136" s="5" t="str">
        <f>IFERROR(__xludf.DUMMYFUNCTION("GOOGLETRANSLATE(C136, ""en"", ""hi"")"),"A) सफेद के केंद्रीय मोहरे को तुरंत धकेलें, B) काले के मोहरे को रोकने के लिए राजा को आगे बढ़ाएँ, C) दूसरी तरफ काले के मोहरों पर हमला करें, D) सरलीकरण के लिए मोहरों की अदला-बदली करें")</f>
        <v>A) सफेद के केंद्रीय मोहरे को तुरंत धकेलें, B) काले के मोहरे को रोकने के लिए राजा को आगे बढ़ाएँ, C) दूसरी तरफ काले के मोहरों पर हमला करें, D) सरलीकरण के लिए मोहरों की अदला-बदली करें</v>
      </c>
      <c r="I136" s="5" t="str">
        <f>IFERROR(__xludf.DUMMYFUNCTION("GOOGLETRANSLATE(D136, ""en"", ""hi"")"),"C) दूसरी तरफ काले के प्यादों पर हमला करें")</f>
        <v>C) दूसरी तरफ काले के प्यादों पर हमला करें</v>
      </c>
    </row>
    <row r="137" ht="22.5" customHeight="1">
      <c r="A137" s="2">
        <v>136.0</v>
      </c>
      <c r="B137" s="3" t="s">
        <v>1498</v>
      </c>
      <c r="C137" s="3" t="s">
        <v>1499</v>
      </c>
      <c r="D137" s="3" t="s">
        <v>1500</v>
      </c>
      <c r="F137" s="5" t="str">
        <f>IFERROR(__xludf.DUMMYFUNCTION("GOOGLETRANSLATE(A137, ""en"", ""hi"")"),"136")</f>
        <v>136</v>
      </c>
      <c r="G137" s="5" t="str">
        <f>IFERROR(__xludf.DUMMYFUNCTION("GOOGLETRANSLATE(B137, ""en"", ""hi"")"),"सफ़ेद का बादशाह g1 पर है, और काले का हाथी खुली g-फ़ाइल पर हमला कर रहा है। सफ़ेद के लिए सबसे अच्छी चाल क्या है?")</f>
        <v>सफ़ेद का बादशाह g1 पर है, और काले का हाथी खुली g-फ़ाइल पर हमला कर रहा है। सफ़ेद के लिए सबसे अच्छी चाल क्या है?</v>
      </c>
      <c r="H137" s="5" t="str">
        <f>IFERROR(__xludf.DUMMYFUNCTION("GOOGLETRANSLATE(C137, ""en"", ""hi"")"),"A) राजा को सुरक्षित स्थान पर ले जाएं, B) एक मोहरे से g-फ़ाइल को रोकें, C) काले के किश्ती पर पलटवार करें, D) एक मोहरे को धक्का देकर नई लाइन खोलें")</f>
        <v>A) राजा को सुरक्षित स्थान पर ले जाएं, B) एक मोहरे से g-फ़ाइल को रोकें, C) काले के किश्ती पर पलटवार करें, D) एक मोहरे को धक्का देकर नई लाइन खोलें</v>
      </c>
      <c r="I137" s="5" t="str">
        <f>IFERROR(__xludf.DUMMYFUNCTION("GOOGLETRANSLATE(D137, ""en"", ""hi"")"),"बी) जी-फाइल को एक टुकड़े से ब्लॉक करें")</f>
        <v>बी) जी-फाइल को एक टुकड़े से ब्लॉक करें</v>
      </c>
    </row>
    <row r="138" ht="22.5" customHeight="1">
      <c r="A138" s="2">
        <v>137.0</v>
      </c>
      <c r="B138" s="3" t="s">
        <v>1501</v>
      </c>
      <c r="C138" s="3" t="s">
        <v>1502</v>
      </c>
      <c r="D138" s="3" t="s">
        <v>1503</v>
      </c>
      <c r="F138" s="5" t="str">
        <f>IFERROR(__xludf.DUMMYFUNCTION("GOOGLETRANSLATE(A138, ""en"", ""hi"")"),"137")</f>
        <v>137</v>
      </c>
      <c r="G138" s="5" t="str">
        <f>IFERROR(__xludf.DUMMYFUNCTION("GOOGLETRANSLATE(B138, ""en"", ""hi"")"),"सफ़ेद के पास दो हाथी हैं जो खुली डी-फ़ाइल पर नियंत्रण कर रहे हैं, जबकि काले के मोहरे तंग हैं। अब सफ़ेद को क्या करना चाहिए?")</f>
        <v>सफ़ेद के पास दो हाथी हैं जो खुली डी-फ़ाइल पर नियंत्रण कर रहे हैं, जबकि काले के मोहरे तंग हैं। अब सफ़ेद को क्या करना चाहिए?</v>
      </c>
      <c r="H138" s="5" t="str">
        <f>IFERROR(__xludf.DUMMYFUNCTION("GOOGLETRANSLATE(C138, ""en"", ""hi"")"),"ए) दबाव बनाने के लिए डी-फाइल पर रूक को दोगुना करें, बी) नई कमजोरियां बनाने के लिए एक मोहरे को धक्का दें, सी) काले के राजा पर सीधे हमला करें, डी) सरलीकरण के लिए एक रूक बदलें")</f>
        <v>ए) दबाव बनाने के लिए डी-फाइल पर रूक को दोगुना करें, बी) नई कमजोरियां बनाने के लिए एक मोहरे को धक्का दें, सी) काले के राजा पर सीधे हमला करें, डी) सरलीकरण के लिए एक रूक बदलें</v>
      </c>
      <c r="I138" s="5" t="str">
        <f>IFERROR(__xludf.DUMMYFUNCTION("GOOGLETRANSLATE(D138, ""en"", ""hi"")"),"A) दबाव बनाने के लिए डी-फाइल पर रूक्स को दोगुना करें")</f>
        <v>A) दबाव बनाने के लिए डी-फाइल पर रूक्स को दोगुना करें</v>
      </c>
    </row>
    <row r="139" ht="22.5" customHeight="1">
      <c r="A139" s="2">
        <v>138.0</v>
      </c>
      <c r="B139" s="3" t="s">
        <v>1504</v>
      </c>
      <c r="C139" s="3" t="s">
        <v>1505</v>
      </c>
      <c r="D139" s="3" t="s">
        <v>1506</v>
      </c>
      <c r="F139" s="5" t="str">
        <f>IFERROR(__xludf.DUMMYFUNCTION("GOOGLETRANSLATE(A139, ""en"", ""hi"")"),"138")</f>
        <v>138</v>
      </c>
      <c r="G139" s="5" t="str">
        <f>IFERROR(__xludf.DUMMYFUNCTION("GOOGLETRANSLATE(B139, ""en"", ""hi"")"),"सफ़ेद की रानी और बिशप, दोनों ही काले के महलनुमा राजा पर निशाना साध रहे हैं। दबाव बढ़ाने का सबसे अच्छा तरीका क्या है?")</f>
        <v>सफ़ेद की रानी और बिशप, दोनों ही काले के महलनुमा राजा पर निशाना साध रहे हैं। दबाव बढ़ाने का सबसे अच्छा तरीका क्या है?</v>
      </c>
      <c r="H139" s="5" t="str">
        <f>IFERROR(__xludf.DUMMYFUNCTION("GOOGLETRANSLATE(C139, ""en"", ""hi"")"),"A) राजा के विरुद्ध रेखाएँ खोलने के लिए मोहरे को आगे बढ़ाएँ, B) हाथी को आक्रमण में लाएँ, C) सरलीकरण के लिए रानियों की अदला-बदली करें, D) काले के मोहरों पर सीधे आक्रमण करें")</f>
        <v>A) राजा के विरुद्ध रेखाएँ खोलने के लिए मोहरे को आगे बढ़ाएँ, B) हाथी को आक्रमण में लाएँ, C) सरलीकरण के लिए रानियों की अदला-बदली करें, D) काले के मोहरों पर सीधे आक्रमण करें</v>
      </c>
      <c r="I139" s="5" t="str">
        <f>IFERROR(__xludf.DUMMYFUNCTION("GOOGLETRANSLATE(D139, ""en"", ""hi"")"),"बी) रूक को आक्रमण में लाना")</f>
        <v>बी) रूक को आक्रमण में लाना</v>
      </c>
    </row>
    <row r="140" ht="22.5" customHeight="1">
      <c r="A140" s="2">
        <v>139.0</v>
      </c>
      <c r="B140" s="3" t="s">
        <v>1507</v>
      </c>
      <c r="C140" s="3" t="s">
        <v>1508</v>
      </c>
      <c r="D140" s="3" t="s">
        <v>1509</v>
      </c>
      <c r="F140" s="5" t="str">
        <f>IFERROR(__xludf.DUMMYFUNCTION("GOOGLETRANSLATE(A140, ""en"", ""hi"")"),"139")</f>
        <v>139</v>
      </c>
      <c r="G140" s="5" t="str">
        <f>IFERROR(__xludf.DUMMYFUNCTION("GOOGLETRANSLATE(B140, ""en"", ""hi"")"),"काले के पास किंगसाइड पर प्यादों का बहुमत है, लेकिन सफ़ेद के पास खुले ए-फ़ाइल पर नियंत्रण है। सफ़ेद को क्या करना चाहिए?")</f>
        <v>काले के पास किंगसाइड पर प्यादों का बहुमत है, लेकिन सफ़ेद के पास खुले ए-फ़ाइल पर नियंत्रण है। सफ़ेद को क्या करना चाहिए?</v>
      </c>
      <c r="H140" s="5" t="str">
        <f>IFERROR(__xludf.DUMMYFUNCTION("GOOGLETRANSLATE(C140, ""en"", ""hi"")"),"ए) ए-फाइल पर प्यादों को धकेलें, बी) स्थिति को सरल बनाने के लिए किश्ती बदलें, सी) काले के राजा के प्यादों पर हमला करें, डी) हमले का समर्थन करने के लिए राजा को करीब लाएं")</f>
        <v>ए) ए-फाइल पर प्यादों को धकेलें, बी) स्थिति को सरल बनाने के लिए किश्ती बदलें, सी) काले के राजा के प्यादों पर हमला करें, डी) हमले का समर्थन करने के लिए राजा को करीब लाएं</v>
      </c>
      <c r="I140" s="5" t="str">
        <f>IFERROR(__xludf.DUMMYFUNCTION("GOOGLETRANSLATE(D140, ""en"", ""hi"")"),"ए) प्यादों को ए-फाइल पर धकेलें")</f>
        <v>ए) प्यादों को ए-फाइल पर धकेलें</v>
      </c>
    </row>
    <row r="141" ht="22.5" customHeight="1">
      <c r="A141" s="2">
        <v>140.0</v>
      </c>
      <c r="B141" s="3" t="s">
        <v>1510</v>
      </c>
      <c r="C141" s="3" t="s">
        <v>1511</v>
      </c>
      <c r="D141" s="3" t="s">
        <v>1512</v>
      </c>
      <c r="F141" s="5" t="str">
        <f>IFERROR(__xludf.DUMMYFUNCTION("GOOGLETRANSLATE(A141, ""en"", ""hi"")"),"140")</f>
        <v>140</v>
      </c>
      <c r="G141" s="5" t="str">
        <f>IFERROR(__xludf.DUMMYFUNCTION("GOOGLETRANSLATE(B141, ""en"", ""hi"")"),"सफ़ेद के पास केंद्रीय मोहरों की एक मज़बूत श्रृंखला है, लेकिन काले के मोहरे किनारों पर ज़्यादा सक्रिय हैं। सफ़ेद की सबसे अच्छी योजना क्या है?")</f>
        <v>सफ़ेद के पास केंद्रीय मोहरों की एक मज़बूत श्रृंखला है, लेकिन काले के मोहरे किनारों पर ज़्यादा सक्रिय हैं। सफ़ेद की सबसे अच्छी योजना क्या है?</v>
      </c>
      <c r="H141" s="5" t="str">
        <f>IFERROR(__xludf.DUMMYFUNCTION("GOOGLETRANSLATE(C141, ""en"", ""hi"")"),"A) जगह बनाने के लिए केंद्रीय मोहरों को धकेलें, B) केंद्र को खोलने के लिए मोहरों की अदला-बदली करें, C) पार्श्व में काले मोहरों पर हमला करें, D) मोहरों से मोहरों की श्रृंखला की रक्षा करें")</f>
        <v>A) जगह बनाने के लिए केंद्रीय मोहरों को धकेलें, B) केंद्र को खोलने के लिए मोहरों की अदला-बदली करें, C) पार्श्व में काले मोहरों पर हमला करें, D) मोहरों से मोहरों की श्रृंखला की रक्षा करें</v>
      </c>
      <c r="I141" s="5" t="str">
        <f>IFERROR(__xludf.DUMMYFUNCTION("GOOGLETRANSLATE(D141, ""en"", ""hi"")"),"A) जगह पाने के लिए केंद्रीय मोहरों को धक्का दें")</f>
        <v>A) जगह पाने के लिए केंद्रीय मोहरों को धक्का दें</v>
      </c>
    </row>
    <row r="142" ht="22.5" customHeight="1">
      <c r="A142" s="2">
        <v>141.0</v>
      </c>
      <c r="B142" s="3" t="s">
        <v>1513</v>
      </c>
      <c r="C142" s="3" t="s">
        <v>1514</v>
      </c>
      <c r="D142" s="3" t="s">
        <v>1515</v>
      </c>
      <c r="F142" s="5" t="str">
        <f>IFERROR(__xludf.DUMMYFUNCTION("GOOGLETRANSLATE(A142, ""en"", ""hi"")"),"141")</f>
        <v>141</v>
      </c>
      <c r="G142" s="5" t="str">
        <f>IFERROR(__xludf.DUMMYFUNCTION("GOOGLETRANSLATE(B142, ""en"", ""hi"")"),"सफ़ेद ने सी-फ़ाइल पर प्यादों की संख्या दोगुनी कर दी है, लेकिन काले का राजा खतरे में है। सफ़ेद को किस चीज़ को प्राथमिकता देनी चाहिए?")</f>
        <v>सफ़ेद ने सी-फ़ाइल पर प्यादों की संख्या दोगुनी कर दी है, लेकिन काले का राजा खतरे में है। सफ़ेद को किस चीज़ को प्राथमिकता देनी चाहिए?</v>
      </c>
      <c r="H142" s="5" t="str">
        <f>IFERROR(__xludf.DUMMYFUNCTION("GOOGLETRANSLATE(C142, ""en"", ""hi"")"),"A) दुगुने प्यादों की रक्षा करें, B) काले के राजा पर हमला करें, C) रानियों का व्यापार करें, D) केंद्र खोलने के लिए एक मोहरे को धक्का दें")</f>
        <v>A) दुगुने प्यादों की रक्षा करें, B) काले के राजा पर हमला करें, C) रानियों का व्यापार करें, D) केंद्र खोलने के लिए एक मोहरे को धक्का दें</v>
      </c>
      <c r="I142" s="5" t="str">
        <f>IFERROR(__xludf.DUMMYFUNCTION("GOOGLETRANSLATE(D142, ""en"", ""hi"")"),"बी) काले के राजा पर हमला करें")</f>
        <v>बी) काले के राजा पर हमला करें</v>
      </c>
    </row>
    <row r="143" ht="22.5" customHeight="1">
      <c r="A143" s="2">
        <v>142.0</v>
      </c>
      <c r="B143" s="3" t="s">
        <v>1516</v>
      </c>
      <c r="C143" s="3" t="s">
        <v>1517</v>
      </c>
      <c r="D143" s="3" t="s">
        <v>1518</v>
      </c>
      <c r="F143" s="5" t="str">
        <f>IFERROR(__xludf.DUMMYFUNCTION("GOOGLETRANSLATE(A143, ""en"", ""hi"")"),"142")</f>
        <v>142</v>
      </c>
      <c r="G143" s="5" t="str">
        <f>IFERROR(__xludf.DUMMYFUNCTION("GOOGLETRANSLATE(B143, ""en"", ""hi"")"),"काले के पास e4 पर एक सक्रिय घोड़ा है, जबकि सफेद के पास एक निष्क्रिय बिशप है। सफेद को किस पर निशाना साधना चाहिए?")</f>
        <v>काले के पास e4 पर एक सक्रिय घोड़ा है, जबकि सफेद के पास एक निष्क्रिय बिशप है। सफेद को किस पर निशाना साधना चाहिए?</v>
      </c>
      <c r="H143" s="5" t="str">
        <f>IFERROR(__xludf.DUMMYFUNCTION("GOOGLETRANSLATE(C143, ""en"", ""hi"")"),"ए) घोड़े के लिए बिशप का आदान-प्रदान करें, बी) रानी की तरफ काले के प्यादों पर हमला करें, सी) काले के राजा पर दबाव डालने के लिए किश्ती का उपयोग करें, डी) बिशप के लिए एक चौकी बनाने के लिए प्यादों को धक्का दें")</f>
        <v>ए) घोड़े के लिए बिशप का आदान-प्रदान करें, बी) रानी की तरफ काले के प्यादों पर हमला करें, सी) काले के राजा पर दबाव डालने के लिए किश्ती का उपयोग करें, डी) बिशप के लिए एक चौकी बनाने के लिए प्यादों को धक्का दें</v>
      </c>
      <c r="I143" s="5" t="str">
        <f>IFERROR(__xludf.DUMMYFUNCTION("GOOGLETRANSLATE(D143, ""en"", ""hi"")"),"A) बिशप को नाइट से बदलें")</f>
        <v>A) बिशप को नाइट से बदलें</v>
      </c>
    </row>
    <row r="144" ht="22.5" customHeight="1">
      <c r="A144" s="2">
        <v>143.0</v>
      </c>
      <c r="B144" s="3" t="s">
        <v>1519</v>
      </c>
      <c r="C144" s="3" t="s">
        <v>1520</v>
      </c>
      <c r="D144" s="3" t="s">
        <v>1521</v>
      </c>
      <c r="F144" s="5" t="str">
        <f>IFERROR(__xludf.DUMMYFUNCTION("GOOGLETRANSLATE(A144, ""en"", ""hi"")"),"143")</f>
        <v>143</v>
      </c>
      <c r="G144" s="5" t="str">
        <f>IFERROR(__xludf.DUMMYFUNCTION("GOOGLETRANSLATE(B144, ""en"", ""hi"")"),"सफ़ेद के पास सातवीं पंक्ति पर एक किश्ती है और काले का राजा सामने है। सफ़ेद को आगे क्या करना चाहिए?")</f>
        <v>सफ़ेद के पास सातवीं पंक्ति पर एक किश्ती है और काले का राजा सामने है। सफ़ेद को आगे क्या करना चाहिए?</v>
      </c>
      <c r="H144" s="5" t="str">
        <f>IFERROR(__xludf.DUMMYFUNCTION("GOOGLETRANSLATE(C144, ""en"", ""hi"")"),"ए) सातवीं पंक्ति पर डबल रूक्स, बी) रानी को हमले में लाना, सी) सरलीकरण के लिए रानियों का व्यापार करना, डी) राजा की ओर खोलने के लिए एक मोहरे को धक्का देना")</f>
        <v>ए) सातवीं पंक्ति पर डबल रूक्स, बी) रानी को हमले में लाना, सी) सरलीकरण के लिए रानियों का व्यापार करना, डी) राजा की ओर खोलने के लिए एक मोहरे को धक्का देना</v>
      </c>
      <c r="I144" s="5" t="str">
        <f>IFERROR(__xludf.DUMMYFUNCTION("GOOGLETRANSLATE(D144, ""en"", ""hi"")"),"बी) रानी को आक्रमण में लाना")</f>
        <v>बी) रानी को आक्रमण में लाना</v>
      </c>
    </row>
    <row r="145" ht="22.5" customHeight="1">
      <c r="A145" s="2">
        <v>144.0</v>
      </c>
      <c r="B145" s="3" t="s">
        <v>1522</v>
      </c>
      <c r="C145" s="3" t="s">
        <v>1523</v>
      </c>
      <c r="D145" s="3" t="s">
        <v>1524</v>
      </c>
      <c r="F145" s="5" t="str">
        <f>IFERROR(__xludf.DUMMYFUNCTION("GOOGLETRANSLATE(A145, ""en"", ""hi"")"),"144")</f>
        <v>144</v>
      </c>
      <c r="G145" s="5" t="str">
        <f>IFERROR(__xludf.DUMMYFUNCTION("GOOGLETRANSLATE(B145, ""en"", ""hi"")"),"काले के पास एक पास्ड प्यादा है, जबकि सफेद के पास एंडगेम में एक ज़्यादा सक्रिय राजा है। सफेद को क्या करना चाहिए?")</f>
        <v>काले के पास एक पास्ड प्यादा है, जबकि सफेद के पास एंडगेम में एक ज़्यादा सक्रिय राजा है। सफेद को क्या करना चाहिए?</v>
      </c>
      <c r="H145" s="5" t="str">
        <f>IFERROR(__xludf.DUMMYFUNCTION("GOOGLETRANSLATE(C145, ""en"", ""hi"")"),"क) पास हुए मोहरे को किश्ती से रोकना, ख) जवाबी खेल बनाने के लिए केंद्रीय मोहरे को धकेलना, ग) राजा को केंद्र के करीब ले जाना, घ) खेल को सरल बनाने के लिए किश्ती बदलना")</f>
        <v>क) पास हुए मोहरे को किश्ती से रोकना, ख) जवाबी खेल बनाने के लिए केंद्रीय मोहरे को धकेलना, ग) राजा को केंद्र के करीब ले जाना, घ) खेल को सरल बनाने के लिए किश्ती बदलना</v>
      </c>
      <c r="I145" s="5" t="str">
        <f>IFERROR(__xludf.DUMMYFUNCTION("GOOGLETRANSLATE(D145, ""en"", ""hi"")"),"बी) प्रति-खेल बनाने के लिए केंद्रीय मोहरे को धकेलना")</f>
        <v>बी) प्रति-खेल बनाने के लिए केंद्रीय मोहरे को धकेलना</v>
      </c>
    </row>
    <row r="146" ht="22.5" customHeight="1">
      <c r="A146" s="2">
        <v>145.0</v>
      </c>
      <c r="B146" s="3" t="s">
        <v>1525</v>
      </c>
      <c r="C146" s="3" t="s">
        <v>1526</v>
      </c>
      <c r="D146" s="3" t="s">
        <v>1527</v>
      </c>
      <c r="F146" s="5" t="str">
        <f>IFERROR(__xludf.DUMMYFUNCTION("GOOGLETRANSLATE(A146, ""en"", ""hi"")"),"145")</f>
        <v>145</v>
      </c>
      <c r="G146" s="5" t="str">
        <f>IFERROR(__xludf.DUMMYFUNCTION("GOOGLETRANSLATE(B146, ""en"", ""hi"")"),"सफ़ेद के पास d6 पर एक मज़बूत मोहरा है, लेकिन काला उस पर हमला करने की धमकी दे रहा है। सफ़ेद को क्या जवाब देना चाहिए?")</f>
        <v>सफ़ेद के पास d6 पर एक मज़बूत मोहरा है, लेकिन काला उस पर हमला करने की धमकी दे रहा है। सफ़ेद को क्या जवाब देना चाहिए?</v>
      </c>
      <c r="H146" s="5" t="str">
        <f>IFERROR(__xludf.DUMMYFUNCTION("GOOGLETRANSLATE(C146, ""en"", ""hi"")"),"A) मोहरों से मोहरे की रक्षा करें, B) मोहरे को d7 पर धकेलें, C) मोहरे की रक्षा के लिए मोहरों का आदान-प्रदान करें, D) काले के कमज़ोर मोहरों पर पलटवार करें")</f>
        <v>A) मोहरों से मोहरे की रक्षा करें, B) मोहरे को d7 पर धकेलें, C) मोहरे की रक्षा के लिए मोहरों का आदान-प्रदान करें, D) काले के कमज़ोर मोहरों पर पलटवार करें</v>
      </c>
      <c r="I146" s="5" t="str">
        <f>IFERROR(__xludf.DUMMYFUNCTION("GOOGLETRANSLATE(D146, ""en"", ""hi"")"),"A) मोहरों से मोहरे की रक्षा करें")</f>
        <v>A) मोहरों से मोहरे की रक्षा करें</v>
      </c>
    </row>
    <row r="147" ht="22.5" customHeight="1">
      <c r="A147" s="2">
        <v>146.0</v>
      </c>
      <c r="B147" s="3" t="s">
        <v>1528</v>
      </c>
      <c r="C147" s="3" t="s">
        <v>1529</v>
      </c>
      <c r="D147" s="3" t="s">
        <v>1530</v>
      </c>
      <c r="F147" s="5" t="str">
        <f>IFERROR(__xludf.DUMMYFUNCTION("GOOGLETRANSLATE(A147, ""en"", ""hi"")"),"146")</f>
        <v>146</v>
      </c>
      <c r="G147" s="5" t="str">
        <f>IFERROR(__xludf.DUMMYFUNCTION("GOOGLETRANSLATE(B147, ""en"", ""hi"")"),"काले ने एफ-फाइल पर प्यादों की संख्या दोगुनी कर दी है, लेकिन सफेद के हाथी निष्क्रिय हैं। काले की सबसे अच्छी योजना क्या है?")</f>
        <v>काले ने एफ-फाइल पर प्यादों की संख्या दोगुनी कर दी है, लेकिन सफेद के हाथी निष्क्रिय हैं। काले की सबसे अच्छी योजना क्या है?</v>
      </c>
      <c r="H147" s="5" t="str">
        <f>IFERROR(__xludf.DUMMYFUNCTION("GOOGLETRANSLATE(C147, ""en"", ""hi"")"),"ए) जगह बनाने के लिए एफ-प्यादों को धकेलें, बी) स्थिति को सरल बनाने के लिए किश्ती का व्यापार करें, सी) प्यादों का समर्थन करने के लिए राजा का उपयोग करें, डी) किश्ती के साथ खुली फाइलों को नियंत्रित करें")</f>
        <v>ए) जगह बनाने के लिए एफ-प्यादों को धकेलें, बी) स्थिति को सरल बनाने के लिए किश्ती का व्यापार करें, सी) प्यादों का समर्थन करने के लिए राजा का उपयोग करें, डी) किश्ती के साथ खुली फाइलों को नियंत्रित करें</v>
      </c>
      <c r="I147" s="5" t="str">
        <f>IFERROR(__xludf.DUMMYFUNCTION("GOOGLETRANSLATE(D147, ""en"", ""hi"")"),"D) खुली फाइलों को रूक्स से नियंत्रित करें")</f>
        <v>D) खुली फाइलों को रूक्स से नियंत्रित करें</v>
      </c>
    </row>
    <row r="148" ht="22.5" customHeight="1">
      <c r="A148" s="2">
        <v>147.0</v>
      </c>
      <c r="B148" s="3" t="s">
        <v>1531</v>
      </c>
      <c r="C148" s="3" t="s">
        <v>1532</v>
      </c>
      <c r="D148" s="3" t="s">
        <v>1533</v>
      </c>
      <c r="F148" s="5" t="str">
        <f>IFERROR(__xludf.DUMMYFUNCTION("GOOGLETRANSLATE(A148, ""en"", ""hi"")"),"147")</f>
        <v>147</v>
      </c>
      <c r="G148" s="5" t="str">
        <f>IFERROR(__xludf.DUMMYFUNCTION("GOOGLETRANSLATE(B148, ""en"", ""hi"")"),"सफ़ेद के पास रानी की तरफ़ एक उन्नत मोहरा है, लेकिन काले का राजा ज़्यादा केंद्रित है। सफ़ेद को क्या करना चाहिए?")</f>
        <v>सफ़ेद के पास रानी की तरफ़ एक उन्नत मोहरा है, लेकिन काले का राजा ज़्यादा केंद्रित है। सफ़ेद को क्या करना चाहिए?</v>
      </c>
      <c r="H148" s="5" t="str">
        <f>IFERROR(__xludf.DUMMYFUNCTION("GOOGLETRANSLATE(C148, ""en"", ""hi"")"),"A) पास्ड प्यादा बनाने के लिए प्यादे को धक्का दें, B) किश्ती से प्यादे की रक्षा करें, C) काले के किंगसाइड प्यादों पर हमला करें, D) सरलीकरण के लिए किश्ती बदलें")</f>
        <v>A) पास्ड प्यादा बनाने के लिए प्यादे को धक्का दें, B) किश्ती से प्यादे की रक्षा करें, C) काले के किंगसाइड प्यादों पर हमला करें, D) सरलीकरण के लिए किश्ती बदलें</v>
      </c>
      <c r="I148" s="5" t="str">
        <f>IFERROR(__xludf.DUMMYFUNCTION("GOOGLETRANSLATE(D148, ""en"", ""hi"")"),"A) पास्ड प्यादा बनाने के लिए प्यादे को धक्का दें")</f>
        <v>A) पास्ड प्यादा बनाने के लिए प्यादे को धक्का दें</v>
      </c>
    </row>
    <row r="149" ht="22.5" customHeight="1">
      <c r="A149" s="2">
        <v>148.0</v>
      </c>
      <c r="B149" s="3" t="s">
        <v>1534</v>
      </c>
      <c r="C149" s="3" t="s">
        <v>1535</v>
      </c>
      <c r="D149" s="3" t="s">
        <v>1442</v>
      </c>
      <c r="F149" s="5" t="str">
        <f>IFERROR(__xludf.DUMMYFUNCTION("GOOGLETRANSLATE(A149, ""en"", ""hi"")"),"148")</f>
        <v>148</v>
      </c>
      <c r="G149" s="5" t="str">
        <f>IFERROR(__xludf.DUMMYFUNCTION("GOOGLETRANSLATE(B149, ""en"", ""hi"")"),"काले का घोड़ा d4 पर एक शक्तिशाली चौकी पर है, जबकि सफ़ेद का बिशप सीमित है। सफ़ेद को कैसे आगे बढ़ना चाहिए?")</f>
        <v>काले का घोड़ा d4 पर एक शक्तिशाली चौकी पर है, जबकि सफ़ेद का बिशप सीमित है। सफ़ेद को कैसे आगे बढ़ना चाहिए?</v>
      </c>
      <c r="H149" s="5" t="str">
        <f>IFERROR(__xludf.DUMMYFUNCTION("GOOGLETRANSLATE(C149, ""en"", ""hi"")"),"A) घोड़े के बदले बिशप का व्यापार करें, B) घोड़े को चुनौती देने के लिए एक मोहरे को आगे बढ़ाएँ, C) बिशप की स्थिति में सुधार करें, D) काले के रानी पक्ष के मोहरों पर हमला करें")</f>
        <v>A) घोड़े के बदले बिशप का व्यापार करें, B) घोड़े को चुनौती देने के लिए एक मोहरे को आगे बढ़ाएँ, C) बिशप की स्थिति में सुधार करें, D) काले के रानी पक्ष के मोहरों पर हमला करें</v>
      </c>
      <c r="I149" s="5" t="str">
        <f>IFERROR(__xludf.DUMMYFUNCTION("GOOGLETRANSLATE(D149, ""en"", ""hi"")"),"बी) घोड़े को चुनौती देने के लिए मोहरे को आगे बढ़ाना")</f>
        <v>बी) घोड़े को चुनौती देने के लिए मोहरे को आगे बढ़ाना</v>
      </c>
    </row>
    <row r="150" ht="22.5" customHeight="1">
      <c r="A150" s="2">
        <v>149.0</v>
      </c>
      <c r="B150" s="3" t="s">
        <v>1536</v>
      </c>
      <c r="C150" s="3" t="s">
        <v>1537</v>
      </c>
      <c r="D150" s="3" t="s">
        <v>1538</v>
      </c>
      <c r="F150" s="5" t="str">
        <f>IFERROR(__xludf.DUMMYFUNCTION("GOOGLETRANSLATE(A150, ""en"", ""hi"")"),"149")</f>
        <v>149</v>
      </c>
      <c r="G150" s="5" t="str">
        <f>IFERROR(__xludf.DUMMYFUNCTION("GOOGLETRANSLATE(B150, ""en"", ""hi"")"),"सफ़ेद के पास किंगसाइड पर ज़्यादातर प्यादे हैं, जबकि काले के पास खुली फ़ाइल पर एक किश्ती है। सफ़ेद को किस पर ध्यान केंद्रित करना चाहिए?")</f>
        <v>सफ़ेद के पास किंगसाइड पर ज़्यादातर प्यादे हैं, जबकि काले के पास खुली फ़ाइल पर एक किश्ती है। सफ़ेद को किस पर ध्यान केंद्रित करना चाहिए?</v>
      </c>
      <c r="H150" s="5" t="str">
        <f>IFERROR(__xludf.DUMMYFUNCTION("GOOGLETRANSLATE(C150, ""en"", ""hi"")"),"A) राजा की ओर के प्यादों को धकेलना, B) काले की गतिविधि को कम करने के लिए हाथी बदलना, C) राजा को खेल में लाना, D) रानी की ओर के काले के प्यादों पर हमला करना")</f>
        <v>A) राजा की ओर के प्यादों को धकेलना, B) काले की गतिविधि को कम करने के लिए हाथी बदलना, C) राजा को खेल में लाना, D) रानी की ओर के काले के प्यादों पर हमला करना</v>
      </c>
      <c r="I150" s="5" t="str">
        <f>IFERROR(__xludf.DUMMYFUNCTION("GOOGLETRANSLATE(D150, ""en"", ""hi"")"),"A) किंगसाइड प्यादों को धकेलें")</f>
        <v>A) किंगसाइड प्यादों को धकेलें</v>
      </c>
    </row>
    <row r="151" ht="22.5" customHeight="1">
      <c r="A151" s="2">
        <v>150.0</v>
      </c>
      <c r="B151" s="3" t="s">
        <v>1539</v>
      </c>
      <c r="C151" s="3" t="s">
        <v>1540</v>
      </c>
      <c r="D151" s="3" t="s">
        <v>1541</v>
      </c>
      <c r="F151" s="5" t="str">
        <f>IFERROR(__xludf.DUMMYFUNCTION("GOOGLETRANSLATE(A151, ""en"", ""hi"")"),"150")</f>
        <v>150</v>
      </c>
      <c r="G151" s="5" t="str">
        <f>IFERROR(__xludf.DUMMYFUNCTION("GOOGLETRANSLATE(B151, ""en"", ""hi"")"),"काले के पास d5 पर एक अलग मोहरा है, लेकिन सफ़ेद का घोड़ा कार्रवाई से दूर है। काले को कैसे आगे बढ़ना चाहिए?")</f>
        <v>काले के पास d5 पर एक अलग मोहरा है, लेकिन सफ़ेद का घोड़ा कार्रवाई से दूर है। काले को कैसे आगे बढ़ना चाहिए?</v>
      </c>
      <c r="H151" s="5" t="str">
        <f>IFERROR(__xludf.DUMMYFUNCTION("GOOGLETRANSLATE(C151, ""en"", ""hi"")"),"A) मोहरों से अलग हुए मोहरे की रक्षा करें, B) जवाबी कार्रवाई के लिए अलग हुए मोहरे को धक्का दें, C) सफेद घोड़े पर हमला करें, D) स्थिति को सरल बनाने के लिए रानियों की अदला-बदली करें")</f>
        <v>A) मोहरों से अलग हुए मोहरे की रक्षा करें, B) जवाबी कार्रवाई के लिए अलग हुए मोहरे को धक्का दें, C) सफेद घोड़े पर हमला करें, D) स्थिति को सरल बनाने के लिए रानियों की अदला-बदली करें</v>
      </c>
      <c r="I151" s="5" t="str">
        <f>IFERROR(__xludf.DUMMYFUNCTION("GOOGLETRANSLATE(D151, ""en"", ""hi"")"),"बी) प्रति-खेल बनाने के लिए अलग-थलग पड़े मोहरे को धकेलें")</f>
        <v>बी) प्रति-खेल बनाने के लिए अलग-थलग पड़े मोहरे को धकेलें</v>
      </c>
    </row>
    <row r="152" ht="22.5" customHeight="1">
      <c r="A152" s="2">
        <v>151.0</v>
      </c>
      <c r="B152" s="3" t="s">
        <v>1542</v>
      </c>
      <c r="C152" s="3" t="s">
        <v>1543</v>
      </c>
      <c r="D152" s="3" t="s">
        <v>1544</v>
      </c>
      <c r="F152" s="5" t="str">
        <f>IFERROR(__xludf.DUMMYFUNCTION("GOOGLETRANSLATE(A152, ""en"", ""hi"")"),"151")</f>
        <v>151</v>
      </c>
      <c r="G152" s="5" t="str">
        <f>IFERROR(__xludf.DUMMYFUNCTION("GOOGLETRANSLATE(B152, ""en"", ""hi"")"),"सफ़ेद की रानी सक्रिय है, लेकिन काले के पास रानी की तरफ़ एक ख़तरनाक पास वाला मोहरा है। सफ़ेद को किस चीज़ को प्राथमिकता देनी चाहिए?")</f>
        <v>सफ़ेद की रानी सक्रिय है, लेकिन काले के पास रानी की तरफ़ एक ख़तरनाक पास वाला मोहरा है। सफ़ेद को किस चीज़ को प्राथमिकता देनी चाहिए?</v>
      </c>
      <c r="H152" s="5" t="str">
        <f>IFERROR(__xludf.DUMMYFUNCTION("GOOGLETRANSLATE(C152, ""en"", ""hi"")"),"ए) जटिलताओं को कम करने के लिए रानियों की अदला-बदली करें, बी) काले के राजा पर सीधे हमला करें, सी) पास हुए मोहरे को रोकने के लिए मोहरे को आगे बढ़ाएं, डी) राजा को कार्रवाई के करीब लाएं")</f>
        <v>ए) जटिलताओं को कम करने के लिए रानियों की अदला-बदली करें, बी) काले के राजा पर सीधे हमला करें, सी) पास हुए मोहरे को रोकने के लिए मोहरे को आगे बढ़ाएं, डी) राजा को कार्रवाई के करीब लाएं</v>
      </c>
      <c r="I152" s="5" t="str">
        <f>IFERROR(__xludf.DUMMYFUNCTION("GOOGLETRANSLATE(D152, ""en"", ""hi"")"),"A) जटिलताओं को कम करने के लिए रानियों की अदला-बदली")</f>
        <v>A) जटिलताओं को कम करने के लिए रानियों की अदला-बदली</v>
      </c>
    </row>
    <row r="153" ht="22.5" customHeight="1">
      <c r="A153" s="2">
        <v>152.0</v>
      </c>
      <c r="B153" s="3" t="s">
        <v>1545</v>
      </c>
      <c r="C153" s="3" t="s">
        <v>1546</v>
      </c>
      <c r="D153" s="3" t="s">
        <v>1547</v>
      </c>
      <c r="F153" s="5" t="str">
        <f>IFERROR(__xludf.DUMMYFUNCTION("GOOGLETRANSLATE(A153, ""en"", ""hi"")"),"152")</f>
        <v>152</v>
      </c>
      <c r="G153" s="5" t="str">
        <f>IFERROR(__xludf.DUMMYFUNCTION("GOOGLETRANSLATE(B153, ""en"", ""hi"")"),"काले के पास लंबे विकर्ण पर एक मज़बूत बिशप है, जबकि सफ़ेद के प्यादे केंद्र को रोक रहे हैं। काले की सबसे अच्छी योजना क्या है?")</f>
        <v>काले के पास लंबे विकर्ण पर एक मज़बूत बिशप है, जबकि सफ़ेद के प्यादे केंद्र को रोक रहे हैं। काले की सबसे अच्छी योजना क्या है?</v>
      </c>
      <c r="H153" s="5" t="str">
        <f>IFERROR(__xludf.DUMMYFUNCTION("GOOGLETRANSLATE(C153, ""en"", ""hi"")"),"A) विकर्ण खोलने के लिए प्यादों को धक्का दें, B) सफेद के घोड़े के लिए बिशप का व्यापार करें, C) एक खुली फ़ाइल पर डबल रूक्स, D) सफेद के रानी के प्यादों पर हमला करें")</f>
        <v>A) विकर्ण खोलने के लिए प्यादों को धक्का दें, B) सफेद के घोड़े के लिए बिशप का व्यापार करें, C) एक खुली फ़ाइल पर डबल रूक्स, D) सफेद के रानी के प्यादों पर हमला करें</v>
      </c>
      <c r="I153" s="5" t="str">
        <f>IFERROR(__xludf.DUMMYFUNCTION("GOOGLETRANSLATE(D153, ""en"", ""hi"")"),"A) विकर्ण खोलने के लिए प्यादों को धकेलें")</f>
        <v>A) विकर्ण खोलने के लिए प्यादों को धकेलें</v>
      </c>
    </row>
    <row r="154" ht="22.5" customHeight="1">
      <c r="A154" s="2">
        <v>153.0</v>
      </c>
      <c r="B154" s="3" t="s">
        <v>1548</v>
      </c>
      <c r="C154" s="3" t="s">
        <v>1549</v>
      </c>
      <c r="D154" s="3" t="s">
        <v>1550</v>
      </c>
      <c r="F154" s="5" t="str">
        <f>IFERROR(__xludf.DUMMYFUNCTION("GOOGLETRANSLATE(A154, ""en"", ""hi"")"),"153")</f>
        <v>153</v>
      </c>
      <c r="G154" s="5" t="str">
        <f>IFERROR(__xludf.DUMMYFUNCTION("GOOGLETRANSLATE(B154, ""en"", ""hi"")"),"सफ़ेद ने एफ़-फ़ाइल पर प्यादों की संख्या दोगुनी कर दी है, लेकिन काले का राजा बेनकाब हो गया है। सफ़ेद को आगे क्या करना चाहिए?")</f>
        <v>सफ़ेद ने एफ़-फ़ाइल पर प्यादों की संख्या दोगुनी कर दी है, लेकिन काले का राजा बेनकाब हो गया है। सफ़ेद को आगे क्या करना चाहिए?</v>
      </c>
      <c r="H154" s="5" t="str">
        <f>IFERROR(__xludf.DUMMYFUNCTION("GOOGLETRANSLATE(C154, ""en"", ""hi"")"),"A) जगह बनाने के लिए f-प्यादों को धकेलें, B) मोहरों से काले के राजा पर हमला करें, C) सरलीकरण के लिए किश्ती का व्यापार करें, D) राजा के साथ दुगुने मोहरों की रक्षा करें")</f>
        <v>A) जगह बनाने के लिए f-प्यादों को धकेलें, B) मोहरों से काले के राजा पर हमला करें, C) सरलीकरण के लिए किश्ती का व्यापार करें, D) राजा के साथ दुगुने मोहरों की रक्षा करें</v>
      </c>
      <c r="I154" s="5" t="str">
        <f>IFERROR(__xludf.DUMMYFUNCTION("GOOGLETRANSLATE(D154, ""en"", ""hi"")"),"बी) काले के राजा पर मोहरों से हमला करें")</f>
        <v>बी) काले के राजा पर मोहरों से हमला करें</v>
      </c>
    </row>
    <row r="155" ht="22.5" customHeight="1">
      <c r="A155" s="2">
        <v>154.0</v>
      </c>
      <c r="B155" s="3" t="s">
        <v>1551</v>
      </c>
      <c r="C155" s="3" t="s">
        <v>1552</v>
      </c>
      <c r="D155" s="3" t="s">
        <v>1553</v>
      </c>
      <c r="F155" s="5" t="str">
        <f>IFERROR(__xludf.DUMMYFUNCTION("GOOGLETRANSLATE(A155, ""en"", ""hi"")"),"154")</f>
        <v>154</v>
      </c>
      <c r="G155" s="5" t="str">
        <f>IFERROR(__xludf.DUMMYFUNCTION("GOOGLETRANSLATE(B155, ""en"", ""hi"")"),"काले का एक किश्ती सातवें क्रम पर है, लेकिन सफ़ेद के प्यादे ज़्यादा आगे हैं। काले को किस पर ध्यान केंद्रित करना चाहिए?")</f>
        <v>काले का एक किश्ती सातवें क्रम पर है, लेकिन सफ़ेद के प्यादे ज़्यादा आगे हैं। काले को किस पर ध्यान केंद्रित करना चाहिए?</v>
      </c>
      <c r="H155" s="5" t="str">
        <f>IFERROR(__xludf.DUMMYFUNCTION("GOOGLETRANSLATE(C155, ""en"", ""hi"")"),"A) सफ़ेद के प्यादों पर पीछे से हमला करें, B) सफ़ेद की सक्रियता कम करने के लिए किश्ती का व्यापार करें, C) पास हुए प्यादे को बनाने के लिए प्यादे को धक्का दें, D) मोहरों से सातवीं पंक्ति की रक्षा करें")</f>
        <v>A) सफ़ेद के प्यादों पर पीछे से हमला करें, B) सफ़ेद की सक्रियता कम करने के लिए किश्ती का व्यापार करें, C) पास हुए प्यादे को बनाने के लिए प्यादे को धक्का दें, D) मोहरों से सातवीं पंक्ति की रक्षा करें</v>
      </c>
      <c r="I155" s="5" t="str">
        <f>IFERROR(__xludf.DUMMYFUNCTION("GOOGLETRANSLATE(D155, ""en"", ""hi"")"),"A) सफ़ेद के प्यादों पर पीछे से हमला करें")</f>
        <v>A) सफ़ेद के प्यादों पर पीछे से हमला करें</v>
      </c>
    </row>
    <row r="156" ht="22.5" customHeight="1">
      <c r="A156" s="2">
        <v>155.0</v>
      </c>
      <c r="B156" s="3" t="s">
        <v>1554</v>
      </c>
      <c r="C156" s="3" t="s">
        <v>1555</v>
      </c>
      <c r="D156" s="3" t="s">
        <v>1556</v>
      </c>
      <c r="F156" s="5" t="str">
        <f>IFERROR(__xludf.DUMMYFUNCTION("GOOGLETRANSLATE(A156, ""en"", ""hi"")"),"155")</f>
        <v>155</v>
      </c>
      <c r="G156" s="5" t="str">
        <f>IFERROR(__xludf.DUMMYFUNCTION("GOOGLETRANSLATE(B156, ""en"", ""hi"")"),"सफ़ेद के पास एक रानी और एक घोड़ा है जो काले के राजा की तरफ निशाना साध रहा है, जबकि काले का बचाव मज़बूत है। सफ़ेद को आगे कैसे बढ़ना चाहिए?")</f>
        <v>सफ़ेद के पास एक रानी और एक घोड़ा है जो काले के राजा की तरफ निशाना साध रहा है, जबकि काले का बचाव मज़बूत है। सफ़ेद को आगे कैसे बढ़ना चाहिए?</v>
      </c>
      <c r="H156" s="5" t="str">
        <f>IFERROR(__xludf.DUMMYFUNCTION("GOOGLETRANSLATE(C156, ""en"", ""hi"")"),"A) लाइन खोलने के लिए एक मोहरे की बलि दें, B) हमले में और मोहरे लाएँ, C) सरलीकरण के लिए रानियों की अदला-बदली करें, D) रानी की तरफ से काले मोहरों पर हमला करें")</f>
        <v>A) लाइन खोलने के लिए एक मोहरे की बलि दें, B) हमले में और मोहरे लाएँ, C) सरलीकरण के लिए रानियों की अदला-बदली करें, D) रानी की तरफ से काले मोहरों पर हमला करें</v>
      </c>
      <c r="I156" s="5" t="str">
        <f>IFERROR(__xludf.DUMMYFUNCTION("GOOGLETRANSLATE(D156, ""en"", ""hi"")"),"बी) हमले में अधिक टुकड़े लाना")</f>
        <v>बी) हमले में अधिक टुकड़े लाना</v>
      </c>
    </row>
    <row r="157" ht="22.5" customHeight="1">
      <c r="A157" s="2">
        <v>156.0</v>
      </c>
      <c r="B157" s="3" t="s">
        <v>1557</v>
      </c>
      <c r="C157" s="3" t="s">
        <v>1558</v>
      </c>
      <c r="D157" s="3" t="s">
        <v>1559</v>
      </c>
      <c r="F157" s="5" t="str">
        <f>IFERROR(__xludf.DUMMYFUNCTION("GOOGLETRANSLATE(A157, ""en"", ""hi"")"),"156")</f>
        <v>156</v>
      </c>
      <c r="G157" s="5" t="str">
        <f>IFERROR(__xludf.DUMMYFUNCTION("GOOGLETRANSLATE(B157, ""en"", ""hi"")"),"काले ने खुले मैदान में दुगुने हाथी बना लिए हैं, लेकिन सफ़ेद के पास बीच वाले वर्ग में एक शक्तिशाली घोड़ा है। काले को क्या करना चाहिए?")</f>
        <v>काले ने खुले मैदान में दुगुने हाथी बना लिए हैं, लेकिन सफ़ेद के पास बीच वाले वर्ग में एक शक्तिशाली घोड़ा है। काले को क्या करना चाहिए?</v>
      </c>
      <c r="H157" s="5" t="str">
        <f>IFERROR(__xludf.DUMMYFUNCTION("GOOGLETRANSLATE(C157, ""en"", ""hi"")"),"A) सफ़ेद की सक्रियता कम करने के लिए किश्ती का व्यापार करना, B) सफ़ेद के घोड़े पर मोहरे से हमला करना, C) सफ़ेद के राजा पर दबाव डालने के लिए किश्ती का उपयोग करना, D) प्रति-खेल बनाने के लिए मोहरे को धकेलना")</f>
        <v>A) सफ़ेद की सक्रियता कम करने के लिए किश्ती का व्यापार करना, B) सफ़ेद के घोड़े पर मोहरे से हमला करना, C) सफ़ेद के राजा पर दबाव डालने के लिए किश्ती का उपयोग करना, D) प्रति-खेल बनाने के लिए मोहरे को धकेलना</v>
      </c>
      <c r="I157" s="5" t="str">
        <f>IFERROR(__xludf.DUMMYFUNCTION("GOOGLETRANSLATE(D157, ""en"", ""hi"")"),"C) सफ़ेद के बादशाह पर दबाव बनाने के लिए हाथी का प्रयोग करें")</f>
        <v>C) सफ़ेद के बादशाह पर दबाव बनाने के लिए हाथी का प्रयोग करें</v>
      </c>
    </row>
    <row r="158" ht="22.5" customHeight="1">
      <c r="A158" s="2">
        <v>157.0</v>
      </c>
      <c r="B158" s="3" t="s">
        <v>1560</v>
      </c>
      <c r="C158" s="3" t="s">
        <v>1561</v>
      </c>
      <c r="D158" s="3" t="s">
        <v>1562</v>
      </c>
      <c r="F158" s="5" t="str">
        <f>IFERROR(__xludf.DUMMYFUNCTION("GOOGLETRANSLATE(A158, ""en"", ""hi"")"),"157")</f>
        <v>157</v>
      </c>
      <c r="G158" s="5" t="str">
        <f>IFERROR(__xludf.DUMMYFUNCTION("GOOGLETRANSLATE(B158, ""en"", ""hi"")"),"सफ़ेद के हाथी खुले मैदान पर नियंत्रण कर रहे हैं, लेकिन काले के पास एक पास्ड प्यादा है। सफ़ेद की सबसे अच्छी चाल क्या है?")</f>
        <v>सफ़ेद के हाथी खुले मैदान पर नियंत्रण कर रहे हैं, लेकिन काले के पास एक पास्ड प्यादा है। सफ़ेद की सबसे अच्छी चाल क्या है?</v>
      </c>
      <c r="H158" s="5" t="str">
        <f>IFERROR(__xludf.DUMMYFUNCTION("GOOGLETRANSLATE(C158, ""en"", ""hi"")"),"क) काले के मोहरे पर हाथी से हमला करना, ख) खुली फाइल पर हाथी को दोगुना करना, ग) सरलीकरण के लिए एक हाथी को बदलना, घ) प्रति-खेल बनाने के लिए एक मोहरे को धकेलना")</f>
        <v>क) काले के मोहरे पर हाथी से हमला करना, ख) खुली फाइल पर हाथी को दोगुना करना, ग) सरलीकरण के लिए एक हाथी को बदलना, घ) प्रति-खेल बनाने के लिए एक मोहरे को धकेलना</v>
      </c>
      <c r="I158" s="5" t="str">
        <f>IFERROR(__xludf.DUMMYFUNCTION("GOOGLETRANSLATE(D158, ""en"", ""hi"")"),"A) हाथी से काले के मोहरे पर हमला करें")</f>
        <v>A) हाथी से काले के मोहरे पर हमला करें</v>
      </c>
    </row>
    <row r="159" ht="22.5" customHeight="1">
      <c r="A159" s="2">
        <v>158.0</v>
      </c>
      <c r="B159" s="3" t="s">
        <v>1563</v>
      </c>
      <c r="C159" s="3" t="s">
        <v>1564</v>
      </c>
      <c r="D159" s="3" t="s">
        <v>1206</v>
      </c>
      <c r="F159" s="5" t="str">
        <f>IFERROR(__xludf.DUMMYFUNCTION("GOOGLETRANSLATE(A159, ""en"", ""hi"")"),"158")</f>
        <v>158</v>
      </c>
      <c r="G159" s="5" t="str">
        <f>IFERROR(__xludf.DUMMYFUNCTION("GOOGLETRANSLATE(B159, ""en"", ""hi"")"),"काली की रानी केंद्रीकृत है, लेकिन सफ़ेद के पास एक उन्नत पास वाला मोहरा है। काले को क्या जवाब देना चाहिए?")</f>
        <v>काली की रानी केंद्रीकृत है, लेकिन सफ़ेद के पास एक उन्नत पास वाला मोहरा है। काले को क्या जवाब देना चाहिए?</v>
      </c>
      <c r="H159" s="5" t="str">
        <f>IFERROR(__xludf.DUMMYFUNCTION("GOOGLETRANSLATE(C159, ""en"", ""hi"")"),"A) रानी के साथ पास हुए मोहरे को रोकें, B) स्थिति को सरल बनाने के लिए रानियों की अदला-बदली करें, C) सफेद के राजा पर सीधे हमला करें, D) राजा को मोहरे के करीब लाएँ")</f>
        <v>A) रानी के साथ पास हुए मोहरे को रोकें, B) स्थिति को सरल बनाने के लिए रानियों की अदला-बदली करें, C) सफेद के राजा पर सीधे हमला करें, D) राजा को मोहरे के करीब लाएँ</v>
      </c>
      <c r="I159" s="5" t="str">
        <f>IFERROR(__xludf.DUMMYFUNCTION("GOOGLETRANSLATE(D159, ""en"", ""hi"")"),"बी) स्थिति को सरल बनाने के लिए रानियों का आदान-प्रदान करें")</f>
        <v>बी) स्थिति को सरल बनाने के लिए रानियों का आदान-प्रदान करें</v>
      </c>
    </row>
    <row r="160" ht="22.5" customHeight="1">
      <c r="A160" s="2">
        <v>159.0</v>
      </c>
      <c r="B160" s="3" t="s">
        <v>1565</v>
      </c>
      <c r="C160" s="3" t="s">
        <v>1566</v>
      </c>
      <c r="D160" s="3" t="s">
        <v>1567</v>
      </c>
      <c r="F160" s="5" t="str">
        <f>IFERROR(__xludf.DUMMYFUNCTION("GOOGLETRANSLATE(A160, ""en"", ""hi"")"),"159")</f>
        <v>159</v>
      </c>
      <c r="G160" s="5" t="str">
        <f>IFERROR(__xludf.DUMMYFUNCTION("GOOGLETRANSLATE(B160, ""en"", ""hi"")"),"सफ़ेद के पास d5 पर एक मज़बूत घोड़ा है, लेकिन काला रानी की तरफ़ दबाव बना रहा है। सफ़ेद को किस पर ध्यान केंद्रित करना चाहिए?")</f>
        <v>सफ़ेद के पास d5 पर एक मज़बूत घोड़ा है, लेकिन काला रानी की तरफ़ दबाव बना रहा है। सफ़ेद को किस पर ध्यान केंद्रित करना चाहिए?</v>
      </c>
      <c r="H160" s="5" t="str">
        <f>IFERROR(__xludf.DUMMYFUNCTION("GOOGLETRANSLATE(C160, ""en"", ""hi"")"),"A) काले के रानी की ओर के प्यादों पर हमला करें, B) घोड़े की रक्षा के लिए हाथी का उपयोग करें, C) केंद्रीय मोहरे को लाइन खोलने के लिए धकेलें, D) जटिलताओं को कम करने के लिए रानियों की अदला-बदली करें")</f>
        <v>A) काले के रानी की ओर के प्यादों पर हमला करें, B) घोड़े की रक्षा के लिए हाथी का उपयोग करें, C) केंद्रीय मोहरे को लाइन खोलने के लिए धकेलें, D) जटिलताओं को कम करने के लिए रानियों की अदला-बदली करें</v>
      </c>
      <c r="I160" s="5" t="str">
        <f>IFERROR(__xludf.DUMMYFUNCTION("GOOGLETRANSLATE(D160, ""en"", ""hi"")"),"A) काले के रानी पक्ष के प्यादों पर हमला करें")</f>
        <v>A) काले के रानी पक्ष के प्यादों पर हमला करें</v>
      </c>
    </row>
    <row r="161" ht="22.5" customHeight="1">
      <c r="A161" s="2">
        <v>160.0</v>
      </c>
      <c r="B161" s="3" t="s">
        <v>1568</v>
      </c>
      <c r="C161" s="3" t="s">
        <v>1569</v>
      </c>
      <c r="D161" s="3" t="s">
        <v>1570</v>
      </c>
      <c r="F161" s="5" t="str">
        <f>IFERROR(__xludf.DUMMYFUNCTION("GOOGLETRANSLATE(A161, ""en"", ""hi"")"),"160")</f>
        <v>160</v>
      </c>
      <c r="G161" s="5" t="str">
        <f>IFERROR(__xludf.DUMMYFUNCTION("GOOGLETRANSLATE(B161, ""en"", ""hi"")"),"काले के मोहरे बादशाह की तरफ़ से अच्छी तरह से तालमेल बिठा रहे हैं, जबकि सफ़ेद के मोहरे बादशाह की तरफ़ से कमज़ोर हैं। काले को क्या करना चाहिए?")</f>
        <v>काले के मोहरे बादशाह की तरफ़ से अच्छी तरह से तालमेल बिठा रहे हैं, जबकि सफ़ेद के मोहरे बादशाह की तरफ़ से कमज़ोर हैं। काले को क्या करना चाहिए?</v>
      </c>
      <c r="H161" s="5" t="str">
        <f>IFERROR(__xludf.DUMMYFUNCTION("GOOGLETRANSLATE(C161, ""en"", ""hi"")"),"ए) राजा की ओर से मोहरों को धकेलकर खोलना, बी) रानी की ओर से सफेद मोहरों पर हमला करना, सी) स्थिति को सरल बनाने के लिए मोहरों का व्यापार करना, डी) हमले का समर्थन करने के लिए राजा का उपयोग करना")</f>
        <v>ए) राजा की ओर से मोहरों को धकेलकर खोलना, बी) रानी की ओर से सफेद मोहरों पर हमला करना, सी) स्थिति को सरल बनाने के लिए मोहरों का व्यापार करना, डी) हमले का समर्थन करने के लिए राजा का उपयोग करना</v>
      </c>
      <c r="I161" s="5" t="str">
        <f>IFERROR(__xludf.DUMMYFUNCTION("GOOGLETRANSLATE(D161, ""en"", ""hi"")"),"A) किंगसाइड खोलने के लिए प्यादों को धकेलें")</f>
        <v>A) किंगसाइड खोलने के लिए प्यादों को धकेलें</v>
      </c>
    </row>
    <row r="162" ht="22.5" customHeight="1">
      <c r="A162" s="2">
        <v>161.0</v>
      </c>
      <c r="B162" s="3" t="s">
        <v>1571</v>
      </c>
      <c r="C162" s="3" t="s">
        <v>1572</v>
      </c>
      <c r="D162" s="3" t="s">
        <v>1573</v>
      </c>
      <c r="F162" s="5" t="str">
        <f>IFERROR(__xludf.DUMMYFUNCTION("GOOGLETRANSLATE(A162, ""en"", ""hi"")"),"161")</f>
        <v>161</v>
      </c>
      <c r="G162" s="5" t="str">
        <f>IFERROR(__xludf.DUMMYFUNCTION("GOOGLETRANSLATE(B162, ""en"", ""hi"")"),"सफ़ेद का किश्ती सातवीं पंक्ति पर सक्रिय है, लेकिन काले के प्यादे आगे बढ़ रहे हैं। सफ़ेद को कैसे आगे बढ़ना चाहिए?")</f>
        <v>सफ़ेद का किश्ती सातवीं पंक्ति पर सक्रिय है, लेकिन काले के प्यादे आगे बढ़ रहे हैं। सफ़ेद को कैसे आगे बढ़ना चाहिए?</v>
      </c>
      <c r="H162" s="5" t="str">
        <f>IFERROR(__xludf.DUMMYFUNCTION("GOOGLETRANSLATE(C162, ""en"", ""hi"")"),"A) काले के प्यादों पर पीछे से हमला करें, B) राजा के साथ सफेद के प्यादों की रक्षा करें, C) स्थिति को सरल बनाने के लिए किश्ती बदलें, D) नई लाइनें खोलने के लिए एक मोहरे को धक्का दें")</f>
        <v>A) काले के प्यादों पर पीछे से हमला करें, B) राजा के साथ सफेद के प्यादों की रक्षा करें, C) स्थिति को सरल बनाने के लिए किश्ती बदलें, D) नई लाइनें खोलने के लिए एक मोहरे को धक्का दें</v>
      </c>
      <c r="I162" s="5" t="str">
        <f>IFERROR(__xludf.DUMMYFUNCTION("GOOGLETRANSLATE(D162, ""en"", ""hi"")"),"A) काले के प्यादों पर पीछे से हमला करें")</f>
        <v>A) काले के प्यादों पर पीछे से हमला करें</v>
      </c>
    </row>
    <row r="163" ht="22.5" customHeight="1">
      <c r="A163" s="2">
        <v>162.0</v>
      </c>
      <c r="B163" s="3" t="s">
        <v>1574</v>
      </c>
      <c r="C163" s="3" t="s">
        <v>1575</v>
      </c>
      <c r="D163" s="3" t="s">
        <v>1576</v>
      </c>
      <c r="F163" s="5" t="str">
        <f>IFERROR(__xludf.DUMMYFUNCTION("GOOGLETRANSLATE(A163, ""en"", ""hi"")"),"162")</f>
        <v>162</v>
      </c>
      <c r="G163" s="5" t="str">
        <f>IFERROR(__xludf.DUMMYFUNCTION("GOOGLETRANSLATE(B163, ""en"", ""hi"")"),"काले के पास d4 पर एक सक्रिय घोड़ा है, जबकि सफेद के पास एक निष्क्रिय किश्ती है। काले की सबसे अच्छी रणनीति क्या है?")</f>
        <v>काले के पास d4 पर एक सक्रिय घोड़ा है, जबकि सफेद के पास एक निष्क्रिय किश्ती है। काले की सबसे अच्छी रणनीति क्या है?</v>
      </c>
      <c r="H163" s="5" t="str">
        <f>IFERROR(__xludf.DUMMYFUNCTION("GOOGLETRANSLATE(C163, ""en"", ""hi"")"),"क) घोड़े के साथ सफेद के प्यादों पर हमला करें, ख) सफेद के हाथी के बदले घोड़े का व्यापार करें, ग) काले के प्यादों की रक्षा के लिए घोड़े का उपयोग करें, घ) चौकी बनाने के लिए एक मोहरे को धकेलें")</f>
        <v>क) घोड़े के साथ सफेद के प्यादों पर हमला करें, ख) सफेद के हाथी के बदले घोड़े का व्यापार करें, ग) काले के प्यादों की रक्षा के लिए घोड़े का उपयोग करें, घ) चौकी बनाने के लिए एक मोहरे को धकेलें</v>
      </c>
      <c r="I163" s="5" t="str">
        <f>IFERROR(__xludf.DUMMYFUNCTION("GOOGLETRANSLATE(D163, ""en"", ""hi"")"),"A) घोड़े के साथ सफेद के मोहरों पर हमला करें")</f>
        <v>A) घोड़े के साथ सफेद के मोहरों पर हमला करें</v>
      </c>
    </row>
    <row r="164" ht="22.5" customHeight="1">
      <c r="A164" s="2">
        <v>163.0</v>
      </c>
      <c r="B164" s="3" t="s">
        <v>1577</v>
      </c>
      <c r="C164" s="3" t="s">
        <v>1578</v>
      </c>
      <c r="D164" s="3" t="s">
        <v>1550</v>
      </c>
      <c r="F164" s="5" t="str">
        <f>IFERROR(__xludf.DUMMYFUNCTION("GOOGLETRANSLATE(A164, ""en"", ""hi"")"),"163")</f>
        <v>163</v>
      </c>
      <c r="G164" s="5" t="str">
        <f>IFERROR(__xludf.DUMMYFUNCTION("GOOGLETRANSLATE(B164, ""en"", ""hi"")"),"सफ़ेद ने जी-फ़ाइल पर प्यादों की संख्या दोगुनी कर दी है, लेकिन काले का राजा बीच में है। सफ़ेद को आगे कैसे बढ़ना चाहिए?")</f>
        <v>सफ़ेद ने जी-फ़ाइल पर प्यादों की संख्या दोगुनी कर दी है, लेकिन काले का राजा बीच में है। सफ़ेद को आगे कैसे बढ़ना चाहिए?</v>
      </c>
      <c r="H164" s="5" t="str">
        <f>IFERROR(__xludf.DUMMYFUNCTION("GOOGLETRANSLATE(C164, ""en"", ""hi"")"),"A) प्रति-खेल बनाने के लिए दुगुने प्यादों को धकेलें, B) मोहरों से काले के राजा पर हमला करें, C) स्थिति को सरल बनाने के लिए प्यादों की अदला-बदली करें, D) किश्ती से दुगुने प्यादों की रक्षा करें")</f>
        <v>A) प्रति-खेल बनाने के लिए दुगुने प्यादों को धकेलें, B) मोहरों से काले के राजा पर हमला करें, C) स्थिति को सरल बनाने के लिए प्यादों की अदला-बदली करें, D) किश्ती से दुगुने प्यादों की रक्षा करें</v>
      </c>
      <c r="I164" s="5" t="str">
        <f>IFERROR(__xludf.DUMMYFUNCTION("GOOGLETRANSLATE(D164, ""en"", ""hi"")"),"बी) काले के राजा पर मोहरों से हमला करें")</f>
        <v>बी) काले के राजा पर मोहरों से हमला करें</v>
      </c>
    </row>
    <row r="165" ht="22.5" customHeight="1">
      <c r="A165" s="2">
        <v>164.0</v>
      </c>
      <c r="B165" s="3" t="s">
        <v>1579</v>
      </c>
      <c r="C165" s="3" t="s">
        <v>1580</v>
      </c>
      <c r="D165" s="3" t="s">
        <v>1581</v>
      </c>
      <c r="F165" s="5" t="str">
        <f>IFERROR(__xludf.DUMMYFUNCTION("GOOGLETRANSLATE(A165, ""en"", ""hi"")"),"164")</f>
        <v>164</v>
      </c>
      <c r="G165" s="5" t="str">
        <f>IFERROR(__xludf.DUMMYFUNCTION("GOOGLETRANSLATE(B165, ""en"", ""hi"")"),"काले के पास बिशप की जोड़ी है, जबकि सफेद के पास घोड़ा और किश्ती है। काले को किस पर ध्यान केंद्रित करना चाहिए?")</f>
        <v>काले के पास बिशप की जोड़ी है, जबकि सफेद के पास घोड़ा और किश्ती है। काले को किस पर ध्यान केंद्रित करना चाहिए?</v>
      </c>
      <c r="H165" s="5" t="str">
        <f>IFERROR(__xludf.DUMMYFUNCTION("GOOGLETRANSLATE(C165, ""en"", ""hi"")"),"ए) सफेद घोड़े के लिए एक बिशप का व्यापार करें, बी) खुले विकर्णों को नियंत्रित करने के लिए बिशप का उपयोग करें, सी) कमजोरियों को बनाने के लिए प्यादों को धक्का दें, डी) अंतिम गेम तक पहुंचने के लिए टुकड़ों का आदान-प्रदान करें")</f>
        <v>ए) सफेद घोड़े के लिए एक बिशप का व्यापार करें, बी) खुले विकर्णों को नियंत्रित करने के लिए बिशप का उपयोग करें, सी) कमजोरियों को बनाने के लिए प्यादों को धक्का दें, डी) अंतिम गेम तक पहुंचने के लिए टुकड़ों का आदान-प्रदान करें</v>
      </c>
      <c r="I165" s="5" t="str">
        <f>IFERROR(__xludf.DUMMYFUNCTION("GOOGLETRANSLATE(D165, ""en"", ""hi"")"),"बी) खुले विकर्णों को नियंत्रित करने के लिए बिशप का उपयोग करें")</f>
        <v>बी) खुले विकर्णों को नियंत्रित करने के लिए बिशप का उपयोग करें</v>
      </c>
    </row>
    <row r="166" ht="22.5" customHeight="1">
      <c r="A166" s="2">
        <v>165.0</v>
      </c>
      <c r="B166" s="3" t="s">
        <v>1582</v>
      </c>
      <c r="C166" s="3" t="s">
        <v>1583</v>
      </c>
      <c r="D166" s="3" t="s">
        <v>1584</v>
      </c>
      <c r="F166" s="5" t="str">
        <f>IFERROR(__xludf.DUMMYFUNCTION("GOOGLETRANSLATE(A166, ""en"", ""hi"")"),"165")</f>
        <v>165</v>
      </c>
      <c r="G166" s="5" t="str">
        <f>IFERROR(__xludf.DUMMYFUNCTION("GOOGLETRANSLATE(B166, ""en"", ""hi"")"),"सफ़ेद के पास काले के क़बीले के ख़िलाफ़ एक क़बीला और एक मोहरा है। काले का राजा कोने में है। सफ़ेद को किस पर निशाना लगाना चाहिए?")</f>
        <v>सफ़ेद के पास काले के क़बीले के ख़िलाफ़ एक क़बीला और एक मोहरा है। काले का राजा कोने में है। सफ़ेद को किस पर निशाना लगाना चाहिए?</v>
      </c>
      <c r="H166" s="5" t="str">
        <f>IFERROR(__xludf.DUMMYFUNCTION("GOOGLETRANSLATE(C166, ""en"", ""hi"")"),"A) मोहरे को आगे बढ़ाना, B) काले के हाथी के बदले हाथी का व्यापार करना, C) राजा को कार्रवाई के करीब लाना, D) सरलीकरण के लिए मोहरों का आदान-प्रदान करना")</f>
        <v>A) मोहरे को आगे बढ़ाना, B) काले के हाथी के बदले हाथी का व्यापार करना, C) राजा को कार्रवाई के करीब लाना, D) सरलीकरण के लिए मोहरों का आदान-प्रदान करना</v>
      </c>
      <c r="I166" s="5" t="str">
        <f>IFERROR(__xludf.DUMMYFUNCTION("GOOGLETRANSLATE(D166, ""en"", ""hi"")"),"A) मोहरे को पदोन्नति की ओर धकेलना")</f>
        <v>A) मोहरे को पदोन्नति की ओर धकेलना</v>
      </c>
    </row>
    <row r="167" ht="22.5" customHeight="1">
      <c r="A167" s="2">
        <v>166.0</v>
      </c>
      <c r="B167" s="3" t="s">
        <v>1585</v>
      </c>
      <c r="C167" s="3" t="s">
        <v>1586</v>
      </c>
      <c r="D167" s="3" t="s">
        <v>1587</v>
      </c>
      <c r="F167" s="5" t="str">
        <f>IFERROR(__xludf.DUMMYFUNCTION("GOOGLETRANSLATE(A167, ""en"", ""hi"")"),"166")</f>
        <v>166</v>
      </c>
      <c r="G167" s="5" t="str">
        <f>IFERROR(__xludf.DUMMYFUNCTION("GOOGLETRANSLATE(B167, ""en"", ""hi"")"),"काले के पास बिशप का जोड़ा है और सफ़ेद के पास दोगुने प्यादे हैं। काले को किस पर ध्यान केंद्रित करना चाहिए?")</f>
        <v>काले के पास बिशप का जोड़ा है और सफ़ेद के पास दोगुने प्यादे हैं। काले को किस पर ध्यान केंद्रित करना चाहिए?</v>
      </c>
      <c r="H167" s="5" t="str">
        <f>IFERROR(__xludf.DUMMYFUNCTION("GOOGLETRANSLATE(C167, ""en"", ""hi"")"),"ए) खुले विकर्णों को नियंत्रित करने के लिए बिशप का उपयोग करें, बी) रानी की तरफ के प्यादों को धकेलें, सी) एक बिशप को एक किश्ती से बदलें, डी) सफेद के प्यादों पर सीधे हमला करें")</f>
        <v>ए) खुले विकर्णों को नियंत्रित करने के लिए बिशप का उपयोग करें, बी) रानी की तरफ के प्यादों को धकेलें, सी) एक बिशप को एक किश्ती से बदलें, डी) सफेद के प्यादों पर सीधे हमला करें</v>
      </c>
      <c r="I167" s="5" t="str">
        <f>IFERROR(__xludf.DUMMYFUNCTION("GOOGLETRANSLATE(D167, ""en"", ""hi"")"),"A) खुले विकर्णों को नियंत्रित करने के लिए बिशप का उपयोग करें")</f>
        <v>A) खुले विकर्णों को नियंत्रित करने के लिए बिशप का उपयोग करें</v>
      </c>
    </row>
    <row r="168" ht="22.5" customHeight="1">
      <c r="A168" s="2">
        <v>167.0</v>
      </c>
      <c r="B168" s="3" t="s">
        <v>1588</v>
      </c>
      <c r="C168" s="3" t="s">
        <v>1589</v>
      </c>
      <c r="D168" s="3" t="s">
        <v>1590</v>
      </c>
      <c r="F168" s="5" t="str">
        <f>IFERROR(__xludf.DUMMYFUNCTION("GOOGLETRANSLATE(A168, ""en"", ""hi"")"),"167")</f>
        <v>167</v>
      </c>
      <c r="G168" s="5" t="str">
        <f>IFERROR(__xludf.DUMMYFUNCTION("GOOGLETRANSLATE(B168, ""en"", ""hi"")"),"e5 पर सफ़ेद के पास एक मज़बूत घोड़ा है, जबकि काले के प्यादों की संरचना कमज़ोर है। सफ़ेद की सबसे अच्छी रणनीति क्या है?")</f>
        <v>e5 पर सफ़ेद के पास एक मज़बूत घोड़ा है, जबकि काले के प्यादों की संरचना कमज़ोर है। सफ़ेद की सबसे अच्छी रणनीति क्या है?</v>
      </c>
      <c r="H168" s="5" t="str">
        <f>IFERROR(__xludf.DUMMYFUNCTION("GOOGLETRANSLATE(C168, ""en"", ""hi"")"),"क) आक्रमण करने के लिए घोड़े की स्थिति का फायदा उठाना, ख) कमजोरियां पैदा करने के लिए मोहरों को आगे बढ़ाना, ग) सरलीकरण के लिए मोहरों की अदला-बदली करना, घ) घोड़े को सुरक्षित वर्ग में ले जाना")</f>
        <v>क) आक्रमण करने के लिए घोड़े की स्थिति का फायदा उठाना, ख) कमजोरियां पैदा करने के लिए मोहरों को आगे बढ़ाना, ग) सरलीकरण के लिए मोहरों की अदला-बदली करना, घ) घोड़े को सुरक्षित वर्ग में ले जाना</v>
      </c>
      <c r="I168" s="5" t="str">
        <f>IFERROR(__xludf.DUMMYFUNCTION("GOOGLETRANSLATE(D168, ""en"", ""hi"")"),"A) आक्रमण करने के लिए शूरवीर की स्थिति का फायदा उठाना")</f>
        <v>A) आक्रमण करने के लिए शूरवीर की स्थिति का फायदा उठाना</v>
      </c>
    </row>
    <row r="169" ht="22.5" customHeight="1">
      <c r="A169" s="2">
        <v>168.0</v>
      </c>
      <c r="B169" s="3" t="s">
        <v>1591</v>
      </c>
      <c r="C169" s="3" t="s">
        <v>1592</v>
      </c>
      <c r="D169" s="3" t="s">
        <v>1593</v>
      </c>
      <c r="F169" s="5" t="str">
        <f>IFERROR(__xludf.DUMMYFUNCTION("GOOGLETRANSLATE(A169, ""en"", ""hi"")"),"168")</f>
        <v>168</v>
      </c>
      <c r="G169" s="5" t="str">
        <f>IFERROR(__xludf.DUMMYFUNCTION("GOOGLETRANSLATE(B169, ""en"", ""hi"")"),"काले के पास d4 पर एक उन्नत मोहरा है, लेकिन सफ़ेद के मोहरे ज़्यादा सक्रिय हैं। सफ़ेद को क्या करना चाहिए?")</f>
        <v>काले के पास d4 पर एक उन्नत मोहरा है, लेकिन सफ़ेद के मोहरे ज़्यादा सक्रिय हैं। सफ़ेद को क्या करना चाहिए?</v>
      </c>
      <c r="H169" s="5" t="str">
        <f>IFERROR(__xludf.DUMMYFUNCTION("GOOGLETRANSLATE(C169, ""en"", ""hi"")"),"A) आगे बढ़ते हुए मोहरे पर सीधे हमला करें, B) मोहरों की अदला-बदली करके लाइनें खोलें, C) मोहरों की स्थिति सुधारें, D) काले मोहरे की स्थिति पर दबाव बनाने के लिए हाथी का इस्तेमाल करें")</f>
        <v>A) आगे बढ़ते हुए मोहरे पर सीधे हमला करें, B) मोहरों की अदला-बदली करके लाइनें खोलें, C) मोहरों की स्थिति सुधारें, D) काले मोहरे की स्थिति पर दबाव बनाने के लिए हाथी का इस्तेमाल करें</v>
      </c>
      <c r="I169" s="5" t="str">
        <f>IFERROR(__xludf.DUMMYFUNCTION("GOOGLETRANSLATE(D169, ""en"", ""hi"")"),"C) मोहरों की स्थिति में सुधार करना")</f>
        <v>C) मोहरों की स्थिति में सुधार करना</v>
      </c>
    </row>
    <row r="170" ht="22.5" customHeight="1">
      <c r="A170" s="2">
        <v>169.0</v>
      </c>
      <c r="B170" s="3" t="s">
        <v>1594</v>
      </c>
      <c r="C170" s="3" t="s">
        <v>1595</v>
      </c>
      <c r="D170" s="3" t="s">
        <v>1596</v>
      </c>
      <c r="F170" s="5" t="str">
        <f>IFERROR(__xludf.DUMMYFUNCTION("GOOGLETRANSLATE(A170, ""en"", ""hi"")"),"169")</f>
        <v>169</v>
      </c>
      <c r="G170" s="5" t="str">
        <f>IFERROR(__xludf.DUMMYFUNCTION("GOOGLETRANSLATE(B170, ""en"", ""hi"")"),"सफ़ेद के पास राजा की तरफ़ एक किश्ती और एक मोहरा है, जबकि काले का राजा सामने है। सफ़ेद की सबसे अच्छी योजना क्या है?")</f>
        <v>सफ़ेद के पास राजा की तरफ़ एक किश्ती और एक मोहरा है, जबकि काले का राजा सामने है। सफ़ेद की सबसे अच्छी योजना क्या है?</v>
      </c>
      <c r="H170" s="5" t="str">
        <f>IFERROR(__xludf.DUMMYFUNCTION("GOOGLETRANSLATE(C170, ""en"", ""hi"")"),"A) खतरा पैदा करने के लिए मोहरे को धकेलें, B) राजा को हमले में लाएँ, C) सरलीकरण के लिए किश्ती का व्यापार करें, D) रानी की तरफ से काले के मोहरों पर हमला करें")</f>
        <v>A) खतरा पैदा करने के लिए मोहरे को धकेलें, B) राजा को हमले में लाएँ, C) सरलीकरण के लिए किश्ती का व्यापार करें, D) रानी की तरफ से काले के मोहरों पर हमला करें</v>
      </c>
      <c r="I170" s="5" t="str">
        <f>IFERROR(__xludf.DUMMYFUNCTION("GOOGLETRANSLATE(D170, ""en"", ""hi"")"),"A) खतरा पैदा करने के लिए मोहरे को धक्का देना")</f>
        <v>A) खतरा पैदा करने के लिए मोहरे को धक्का देना</v>
      </c>
    </row>
    <row r="171" ht="22.5" customHeight="1">
      <c r="A171" s="2">
        <v>170.0</v>
      </c>
      <c r="B171" s="3" t="s">
        <v>1597</v>
      </c>
      <c r="C171" s="3" t="s">
        <v>1598</v>
      </c>
      <c r="D171" s="3" t="s">
        <v>1599</v>
      </c>
      <c r="F171" s="5" t="str">
        <f>IFERROR(__xludf.DUMMYFUNCTION("GOOGLETRANSLATE(A171, ""en"", ""hi"")"),"170")</f>
        <v>170</v>
      </c>
      <c r="G171" s="5" t="str">
        <f>IFERROR(__xludf.DUMMYFUNCTION("GOOGLETRANSLATE(B171, ""en"", ""hi"")"),"काले के पास खुले मैदान में एक सक्रिय हाथी है, लेकिन सफ़ेद का राजा पूरी तरह सुरक्षित है। काले को आगे कैसे बढ़ना चाहिए?")</f>
        <v>काले के पास खुले मैदान में एक सक्रिय हाथी है, लेकिन सफ़ेद का राजा पूरी तरह सुरक्षित है। काले को आगे कैसे बढ़ना चाहिए?</v>
      </c>
      <c r="H171" s="5" t="str">
        <f>IFERROR(__xludf.DUMMYFUNCTION("GOOGLETRANSLATE(C171, ""en"", ""hi"")"),"ए) रानी की तरफ के प्यादों को धकेलें, बी) खुली फाइल पर बदमाशों को दोगुना करें, सी) राजा की तरफ के सफेद के प्यादों पर हमला करें, डी) सरलीकरण के लिए रानियों की अदला-बदली करें")</f>
        <v>ए) रानी की तरफ के प्यादों को धकेलें, बी) खुली फाइल पर बदमाशों को दोगुना करें, सी) राजा की तरफ के सफेद के प्यादों पर हमला करें, डी) सरलीकरण के लिए रानियों की अदला-बदली करें</v>
      </c>
      <c r="I171" s="5" t="str">
        <f>IFERROR(__xludf.DUMMYFUNCTION("GOOGLETRANSLATE(D171, ""en"", ""hi"")"),"बी) खुली फाइल पर रूक्स को दोगुना करें")</f>
        <v>बी) खुली फाइल पर रूक्स को दोगुना करें</v>
      </c>
    </row>
    <row r="172" ht="22.5" customHeight="1">
      <c r="A172" s="2">
        <v>171.0</v>
      </c>
      <c r="B172" s="3" t="s">
        <v>1600</v>
      </c>
      <c r="C172" s="3" t="s">
        <v>1601</v>
      </c>
      <c r="D172" s="3" t="s">
        <v>1482</v>
      </c>
      <c r="F172" s="5" t="str">
        <f>IFERROR(__xludf.DUMMYFUNCTION("GOOGLETRANSLATE(A172, ""en"", ""hi"")"),"171")</f>
        <v>171</v>
      </c>
      <c r="G172" s="5" t="str">
        <f>IFERROR(__xludf.DUMMYFUNCTION("GOOGLETRANSLATE(B172, ""en"", ""hi"")"),"सफ़ेद के पास लंबे विकर्ण पर एक मज़बूत बिशप है, लेकिन काले के प्यादे बिशप के समान रंग पर हैं। सफ़ेद को क्या करना चाहिए?")</f>
        <v>सफ़ेद के पास लंबे विकर्ण पर एक मज़बूत बिशप है, लेकिन काले के प्यादे बिशप के समान रंग पर हैं। सफ़ेद को क्या करना चाहिए?</v>
      </c>
      <c r="H172" s="5" t="str">
        <f>IFERROR(__xludf.DUMMYFUNCTION("GOOGLETRANSLATE(C172, ""en"", ""hi"")"),"क) रानी की ओर के प्यादों को धकेलना, ख) मुख्य वर्गों को नियंत्रित करने के लिए बिशप का उपयोग करना, ग) घोड़े के लिए बिशप का आदान-प्रदान करना, घ) बिशप को एक अलग विकर्ण पर ले जाना")</f>
        <v>क) रानी की ओर के प्यादों को धकेलना, ख) मुख्य वर्गों को नियंत्रित करने के लिए बिशप का उपयोग करना, ग) घोड़े के लिए बिशप का आदान-प्रदान करना, घ) बिशप को एक अलग विकर्ण पर ले जाना</v>
      </c>
      <c r="I172" s="5" t="str">
        <f>IFERROR(__xludf.DUMMYFUNCTION("GOOGLETRANSLATE(D172, ""en"", ""hi"")"),"बी) कुंजी वर्गों को नियंत्रित करने के लिए बिशप का उपयोग करें")</f>
        <v>बी) कुंजी वर्गों को नियंत्रित करने के लिए बिशप का उपयोग करें</v>
      </c>
    </row>
    <row r="173" ht="22.5" customHeight="1">
      <c r="A173" s="2">
        <v>172.0</v>
      </c>
      <c r="B173" s="3" t="s">
        <v>1602</v>
      </c>
      <c r="C173" s="3" t="s">
        <v>1603</v>
      </c>
      <c r="D173" s="3" t="s">
        <v>1604</v>
      </c>
      <c r="F173" s="5" t="str">
        <f>IFERROR(__xludf.DUMMYFUNCTION("GOOGLETRANSLATE(A173, ""en"", ""hi"")"),"172")</f>
        <v>172</v>
      </c>
      <c r="G173" s="5" t="str">
        <f>IFERROR(__xludf.DUMMYFUNCTION("GOOGLETRANSLATE(B173, ""en"", ""hi"")"),"काले का घोड़ा सफ़ेद की रानी को धमका रहा है, लेकिन सफ़ेद के पास एक हाथी और एक हाथी है जो काले के राजा पर निशाना साध रहा है। सफ़ेद को किस पर ध्यान केंद्रित करना चाहिए?")</f>
        <v>काले का घोड़ा सफ़ेद की रानी को धमका रहा है, लेकिन सफ़ेद के पास एक हाथी और एक हाथी है जो काले के राजा पर निशाना साध रहा है। सफ़ेद को किस पर ध्यान केंद्रित करना चाहिए?</v>
      </c>
      <c r="H173" s="5" t="str">
        <f>IFERROR(__xludf.DUMMYFUNCTION("GOOGLETRANSLATE(C173, ""en"", ""hi"")"),"A) हाथी और बिशप के साथ काले के राजा पर हमला करें, B) घोड़े से रानी की रक्षा करें, C) सरलीकरण के लिए हाथी का व्यापार करें, D) प्रति-खेल बनाने के लिए प्यादों को धकेलें")</f>
        <v>A) हाथी और बिशप के साथ काले के राजा पर हमला करें, B) घोड़े से रानी की रक्षा करें, C) सरलीकरण के लिए हाथी का व्यापार करें, D) प्रति-खेल बनाने के लिए प्यादों को धकेलें</v>
      </c>
      <c r="I173" s="5" t="str">
        <f>IFERROR(__xludf.DUMMYFUNCTION("GOOGLETRANSLATE(D173, ""en"", ""hi"")"),"A) हाथी और बिशप से काले के राजा पर हमला करें")</f>
        <v>A) हाथी और बिशप से काले के राजा पर हमला करें</v>
      </c>
    </row>
    <row r="174" ht="22.5" customHeight="1">
      <c r="A174" s="2">
        <v>173.0</v>
      </c>
      <c r="B174" s="3" t="s">
        <v>1605</v>
      </c>
      <c r="C174" s="3" t="s">
        <v>1606</v>
      </c>
      <c r="D174" s="3" t="s">
        <v>1607</v>
      </c>
      <c r="F174" s="5" t="str">
        <f>IFERROR(__xludf.DUMMYFUNCTION("GOOGLETRANSLATE(A174, ""en"", ""hi"")"),"173")</f>
        <v>173</v>
      </c>
      <c r="G174" s="5" t="str">
        <f>IFERROR(__xludf.DUMMYFUNCTION("GOOGLETRANSLATE(B174, ""en"", ""hi"")"),"सफ़ेद के पास डी-फ़ाइल पर एक पास्ड प्यादा है, जबकि काले का किश्ती खुली फ़ाइल पर सक्रिय है। सफ़ेद की सबसे अच्छी चाल क्या है?")</f>
        <v>सफ़ेद के पास डी-फ़ाइल पर एक पास्ड प्यादा है, जबकि काले का किश्ती खुली फ़ाइल पर सक्रिय है। सफ़ेद की सबसे अच्छी चाल क्या है?</v>
      </c>
      <c r="H174" s="5" t="str">
        <f>IFERROR(__xludf.DUMMYFUNCTION("GOOGLETRANSLATE(C174, ""en"", ""hi"")"),"A) पास हुए मोहरे को धकेलना, B) मोहरों से मोहरे की रक्षा करना, C) काले की गतिविधि कम करने के लिए किश्ती का व्यापार करना, D) रानी की ओर से काले के मोहरों पर आक्रमण करना")</f>
        <v>A) पास हुए मोहरे को धकेलना, B) मोहरों से मोहरे की रक्षा करना, C) काले की गतिविधि कम करने के लिए किश्ती का व्यापार करना, D) रानी की ओर से काले के मोहरों पर आक्रमण करना</v>
      </c>
      <c r="I174" s="5" t="str">
        <f>IFERROR(__xludf.DUMMYFUNCTION("GOOGLETRANSLATE(D174, ""en"", ""hi"")"),"A) पास हुए मोहरे को धकेलना")</f>
        <v>A) पास हुए मोहरे को धकेलना</v>
      </c>
    </row>
    <row r="175" ht="22.5" customHeight="1">
      <c r="A175" s="2">
        <v>174.0</v>
      </c>
      <c r="B175" s="3" t="s">
        <v>1608</v>
      </c>
      <c r="C175" s="3" t="s">
        <v>1609</v>
      </c>
      <c r="D175" s="3" t="s">
        <v>1610</v>
      </c>
      <c r="F175" s="5" t="str">
        <f>IFERROR(__xludf.DUMMYFUNCTION("GOOGLETRANSLATE(A175, ""en"", ""hi"")"),"174")</f>
        <v>174</v>
      </c>
      <c r="G175" s="5" t="str">
        <f>IFERROR(__xludf.DUMMYFUNCTION("GOOGLETRANSLATE(B175, ""en"", ""hi"")"),"काले के पास सातवीं पंक्ति पर एक हाथी है और सफ़ेद का राजा सामने है। काले को आगे कैसे बढ़ना चाहिए?")</f>
        <v>काले के पास सातवीं पंक्ति पर एक हाथी है और सफ़ेद का राजा सामने है। काले को आगे कैसे बढ़ना चाहिए?</v>
      </c>
      <c r="H175" s="5" t="str">
        <f>IFERROR(__xludf.DUMMYFUNCTION("GOOGLETRANSLATE(C175, ""en"", ""hi"")"),"A) सफ़ेद पक्ष के राजा पर हमला करने के लिए किश्ती का उपयोग करें, B) रानी पक्ष के प्यादों को धकेलें, C) सरलीकरण के लिए किश्ती बदलें, D) रानी को हमले में शामिल करें")</f>
        <v>A) सफ़ेद पक्ष के राजा पर हमला करने के लिए किश्ती का उपयोग करें, B) रानी पक्ष के प्यादों को धकेलें, C) सरलीकरण के लिए किश्ती बदलें, D) रानी को हमले में शामिल करें</v>
      </c>
      <c r="I175" s="5" t="str">
        <f>IFERROR(__xludf.DUMMYFUNCTION("GOOGLETRANSLATE(D175, ""en"", ""hi"")"),"A) सफ़ेद के बादशाह पर हमला करने के लिए हाथी का उपयोग करें")</f>
        <v>A) सफ़ेद के बादशाह पर हमला करने के लिए हाथी का उपयोग करें</v>
      </c>
    </row>
    <row r="176" ht="22.5" customHeight="1">
      <c r="A176" s="2">
        <v>175.0</v>
      </c>
      <c r="B176" s="3" t="s">
        <v>1611</v>
      </c>
      <c r="C176" s="3" t="s">
        <v>1612</v>
      </c>
      <c r="D176" s="3" t="s">
        <v>1613</v>
      </c>
      <c r="F176" s="5" t="str">
        <f>IFERROR(__xludf.DUMMYFUNCTION("GOOGLETRANSLATE(A176, ""en"", ""hi"")"),"175")</f>
        <v>175</v>
      </c>
      <c r="G176" s="5" t="str">
        <f>IFERROR(__xludf.DUMMYFUNCTION("GOOGLETRANSLATE(B176, ""en"", ""hi"")"),"सफ़ेद का घोड़ा c5 पर चौकी पर है, लेकिन काले के प्यादे उस पर हमला कर रहे हैं। सफ़ेद को क्या करना चाहिए?")</f>
        <v>सफ़ेद का घोड़ा c5 पर चौकी पर है, लेकिन काले के प्यादे उस पर हमला कर रहे हैं। सफ़ेद को क्या करना चाहिए?</v>
      </c>
      <c r="H176" s="5" t="str">
        <f>IFERROR(__xludf.DUMMYFUNCTION("GOOGLETRANSLATE(C176, ""en"", ""hi"")"),"क) घोड़े की रक्षा के लिए दूसरे मोहरे का उपयोग करना, ख) घोड़े के बदले मोहरा लेना, ग) घोड़े को सुरक्षित वर्ग में ले जाना, घ) घोड़े को सहारा देने के लिए मोहरे को आगे बढ़ाना")</f>
        <v>क) घोड़े की रक्षा के लिए दूसरे मोहरे का उपयोग करना, ख) घोड़े के बदले मोहरा लेना, ग) घोड़े को सुरक्षित वर्ग में ले जाना, घ) घोड़े को सहारा देने के लिए मोहरे को आगे बढ़ाना</v>
      </c>
      <c r="I176" s="5" t="str">
        <f>IFERROR(__xludf.DUMMYFUNCTION("GOOGLETRANSLATE(D176, ""en"", ""hi"")"),"A) घोड़े की रक्षा दूसरे मोहरे से करें")</f>
        <v>A) घोड़े की रक्षा दूसरे मोहरे से करें</v>
      </c>
    </row>
    <row r="177" ht="22.5" customHeight="1">
      <c r="A177" s="2">
        <v>176.0</v>
      </c>
      <c r="B177" s="3" t="s">
        <v>1614</v>
      </c>
      <c r="C177" s="3" t="s">
        <v>1615</v>
      </c>
      <c r="D177" s="3" t="s">
        <v>1616</v>
      </c>
      <c r="F177" s="5" t="str">
        <f>IFERROR(__xludf.DUMMYFUNCTION("GOOGLETRANSLATE(A177, ""en"", ""hi"")"),"176")</f>
        <v>176</v>
      </c>
      <c r="G177" s="5" t="str">
        <f>IFERROR(__xludf.DUMMYFUNCTION("GOOGLETRANSLATE(B177, ""en"", ""hi"")"),"काले के मोहरे की संरचना कमज़ोर है, लेकिन सफ़ेद के पास एक किश्ती और एक रानी है। सफ़ेद की सबसे अच्छी रणनीति क्या है?")</f>
        <v>काले के मोहरे की संरचना कमज़ोर है, लेकिन सफ़ेद के पास एक किश्ती और एक रानी है। सफ़ेद की सबसे अच्छी रणनीति क्या है?</v>
      </c>
      <c r="H177" s="5" t="str">
        <f>IFERROR(__xludf.DUMMYFUNCTION("GOOGLETRANSLATE(C177, ""en"", ""hi"")"),"A) काले के मोहरे की कमज़ोरियों का फायदा उठाना, B) सरलीकरण के लिए रानियों का व्यापार करना, C) कमज़ोरियाँ पैदा करने के लिए मोहरों को धकेलना, D) हाथी से काले के राजा पर हमला करना")</f>
        <v>A) काले के मोहरे की कमज़ोरियों का फायदा उठाना, B) सरलीकरण के लिए रानियों का व्यापार करना, C) कमज़ोरियाँ पैदा करने के लिए मोहरों को धकेलना, D) हाथी से काले के राजा पर हमला करना</v>
      </c>
      <c r="I177" s="5" t="str">
        <f>IFERROR(__xludf.DUMMYFUNCTION("GOOGLETRANSLATE(D177, ""en"", ""hi"")"),"A) काले मोहरे की कमजोरियों का फायदा उठाएँ")</f>
        <v>A) काले मोहरे की कमजोरियों का फायदा उठाएँ</v>
      </c>
    </row>
    <row r="178" ht="22.5" customHeight="1">
      <c r="A178" s="2">
        <v>177.0</v>
      </c>
      <c r="B178" s="3" t="s">
        <v>1617</v>
      </c>
      <c r="C178" s="3" t="s">
        <v>1618</v>
      </c>
      <c r="D178" s="3" t="s">
        <v>1619</v>
      </c>
      <c r="F178" s="5" t="str">
        <f>IFERROR(__xludf.DUMMYFUNCTION("GOOGLETRANSLATE(A178, ""en"", ""hi"")"),"177")</f>
        <v>177</v>
      </c>
      <c r="G178" s="5" t="str">
        <f>IFERROR(__xludf.DUMMYFUNCTION("GOOGLETRANSLATE(B178, ""en"", ""hi"")"),"सफ़ेद के पास e6 पर एक उन्नत मोहरा है, लेकिन काले के मोहरों का तालमेल अच्छा है। सफ़ेद को क्या करना चाहिए?")</f>
        <v>सफ़ेद के पास e6 पर एक उन्नत मोहरा है, लेकिन काले के मोहरों का तालमेल अच्छा है। सफ़ेद को क्या करना चाहिए?</v>
      </c>
      <c r="H178" s="5" t="str">
        <f>IFERROR(__xludf.DUMMYFUNCTION("GOOGLETRANSLATE(C178, ""en"", ""hi"")"),"A) आगे बढ़ने के लिए मोहरे को धकेलना, B) मोहरों से मोहरे की रक्षा करना, C) काले की गतिविधि कम करने के लिए मोहरों की अदला-बदली करना, D) रानी की तरफ से काले के मोहरों पर हमला करना")</f>
        <v>A) आगे बढ़ने के लिए मोहरे को धकेलना, B) मोहरों से मोहरे की रक्षा करना, C) काले की गतिविधि कम करने के लिए मोहरों की अदला-बदली करना, D) रानी की तरफ से काले के मोहरों पर हमला करना</v>
      </c>
      <c r="I178" s="5" t="str">
        <f>IFERROR(__xludf.DUMMYFUNCTION("GOOGLETRANSLATE(D178, ""en"", ""hi"")"),"C) काले की गतिविधि को कम करने के लिए मोहरों का आदान-प्रदान करें")</f>
        <v>C) काले की गतिविधि को कम करने के लिए मोहरों का आदान-प्रदान करें</v>
      </c>
    </row>
    <row r="179" ht="22.5" customHeight="1">
      <c r="A179" s="2">
        <v>178.0</v>
      </c>
      <c r="B179" s="3" t="s">
        <v>1620</v>
      </c>
      <c r="C179" s="3" t="s">
        <v>1621</v>
      </c>
      <c r="D179" s="3" t="s">
        <v>1596</v>
      </c>
      <c r="F179" s="5" t="str">
        <f>IFERROR(__xludf.DUMMYFUNCTION("GOOGLETRANSLATE(A179, ""en"", ""hi"")"),"178")</f>
        <v>178</v>
      </c>
      <c r="G179" s="5" t="str">
        <f>IFERROR(__xludf.DUMMYFUNCTION("GOOGLETRANSLATE(B179, ""en"", ""hi"")"),"काले के पास राजा की तरफ़ एक रानी और एक मोहरा है, जबकि सफ़ेद के मोहरे रानी की तरफ़ सक्रिय हैं। काले को किस पर ध्यान केंद्रित करना चाहिए?")</f>
        <v>काले के पास राजा की तरफ़ एक रानी और एक मोहरा है, जबकि सफ़ेद के मोहरे रानी की तरफ़ सक्रिय हैं। काले को किस पर ध्यान केंद्रित करना चाहिए?</v>
      </c>
      <c r="H179" s="5" t="str">
        <f>IFERROR(__xludf.DUMMYFUNCTION("GOOGLETRANSLATE(C179, ""en"", ""hi"")"),"A) खतरा पैदा करने के लिए मोहरे को धकेलें, B) राजा को हमले में लाएँ, C) सरलीकरण के लिए रानियों की अदला-बदली करें, D) रानी की तरफ से सफेद मोहरों पर हमला करें")</f>
        <v>A) खतरा पैदा करने के लिए मोहरे को धकेलें, B) राजा को हमले में लाएँ, C) सरलीकरण के लिए रानियों की अदला-बदली करें, D) रानी की तरफ से सफेद मोहरों पर हमला करें</v>
      </c>
      <c r="I179" s="5" t="str">
        <f>IFERROR(__xludf.DUMMYFUNCTION("GOOGLETRANSLATE(D179, ""en"", ""hi"")"),"A) खतरा पैदा करने के लिए मोहरे को धक्का देना")</f>
        <v>A) खतरा पैदा करने के लिए मोहरे को धक्का देना</v>
      </c>
    </row>
    <row r="180" ht="22.5" customHeight="1">
      <c r="A180" s="2">
        <v>179.0</v>
      </c>
      <c r="B180" s="3" t="s">
        <v>1622</v>
      </c>
      <c r="C180" s="3" t="s">
        <v>1623</v>
      </c>
      <c r="D180" s="3" t="s">
        <v>1599</v>
      </c>
      <c r="F180" s="5" t="str">
        <f>IFERROR(__xludf.DUMMYFUNCTION("GOOGLETRANSLATE(A180, ""en"", ""hi"")"),"179")</f>
        <v>179</v>
      </c>
      <c r="G180" s="5" t="str">
        <f>IFERROR(__xludf.DUMMYFUNCTION("GOOGLETRANSLATE(B180, ""en"", ""hi"")"),"सफ़ेद का हाथी खुली जगह पर है, लेकिन काले का राजा पूरी तरह सुरक्षित है। सफ़ेद को आगे कैसे बढ़ना चाहिए?")</f>
        <v>सफ़ेद का हाथी खुली जगह पर है, लेकिन काले का राजा पूरी तरह सुरक्षित है। सफ़ेद को आगे कैसे बढ़ना चाहिए?</v>
      </c>
      <c r="H180" s="5" t="str">
        <f>IFERROR(__xludf.DUMMYFUNCTION("GOOGLETRANSLATE(C180, ""en"", ""hi"")"),"क) रानी की ओर के प्यादों को धकेलना, ख) खुली फाइल पर किश्तों को दोगुना करना, ग) सरलीकरण के लिए किश्तों की अदला-बदली करना, घ) राजा की ओर के काले प्यादों पर आक्रमण करना")</f>
        <v>क) रानी की ओर के प्यादों को धकेलना, ख) खुली फाइल पर किश्तों को दोगुना करना, ग) सरलीकरण के लिए किश्तों की अदला-बदली करना, घ) राजा की ओर के काले प्यादों पर आक्रमण करना</v>
      </c>
      <c r="I180" s="5" t="str">
        <f>IFERROR(__xludf.DUMMYFUNCTION("GOOGLETRANSLATE(D180, ""en"", ""hi"")"),"बी) खुली फाइल पर रूक्स को दोगुना करें")</f>
        <v>बी) खुली फाइल पर रूक्स को दोगुना करें</v>
      </c>
    </row>
    <row r="181" ht="22.5" customHeight="1">
      <c r="A181" s="2">
        <v>180.0</v>
      </c>
      <c r="B181" s="3" t="s">
        <v>1624</v>
      </c>
      <c r="C181" s="3" t="s">
        <v>1625</v>
      </c>
      <c r="D181" s="3" t="s">
        <v>1626</v>
      </c>
      <c r="F181" s="5" t="str">
        <f>IFERROR(__xludf.DUMMYFUNCTION("GOOGLETRANSLATE(A181, ""en"", ""hi"")"),"180")</f>
        <v>180</v>
      </c>
      <c r="G181" s="5" t="str">
        <f>IFERROR(__xludf.DUMMYFUNCTION("GOOGLETRANSLATE(B181, ""en"", ""hi"")"),"काले घोड़े की चौकी पर एक घोड़ा है, लेकिन सफेद घोड़े का राजा मज़बूत स्थिति में है। काले घोड़े को क्या करना चाहिए?")</f>
        <v>काले घोड़े की चौकी पर एक घोड़ा है, लेकिन सफेद घोड़े का राजा मज़बूत स्थिति में है। काले घोड़े को क्या करना चाहिए?</v>
      </c>
      <c r="H181" s="5" t="str">
        <f>IFERROR(__xludf.DUMMYFUNCTION("GOOGLETRANSLATE(C181, ""en"", ""hi"")"),"ए) सफ़ेद के मोहरों पर हमला करने के लिए घोड़े का उपयोग करें, बी) जवाबी हमले के लिए मोहरों को धकेलें, सी) हमले में और मोहरे लाएँ, डी) खेल को सरल बनाने के लिए घोड़ों की अदला-बदली करें")</f>
        <v>ए) सफ़ेद के मोहरों पर हमला करने के लिए घोड़े का उपयोग करें, बी) जवाबी हमले के लिए मोहरों को धकेलें, सी) हमले में और मोहरे लाएँ, डी) खेल को सरल बनाने के लिए घोड़ों की अदला-बदली करें</v>
      </c>
      <c r="I181" s="5" t="str">
        <f>IFERROR(__xludf.DUMMYFUNCTION("GOOGLETRANSLATE(D181, ""en"", ""hi"")"),"A) सफ़ेद के मोहरों पर हमला करने के लिए घोड़े का उपयोग करें")</f>
        <v>A) सफ़ेद के मोहरों पर हमला करने के लिए घोड़े का उपयोग करें</v>
      </c>
    </row>
    <row r="182" ht="22.5" customHeight="1">
      <c r="A182" s="2">
        <v>181.0</v>
      </c>
      <c r="B182" s="3" t="s">
        <v>1627</v>
      </c>
      <c r="C182" s="3" t="s">
        <v>1628</v>
      </c>
      <c r="D182" s="3" t="s">
        <v>1533</v>
      </c>
      <c r="F182" s="5" t="str">
        <f>IFERROR(__xludf.DUMMYFUNCTION("GOOGLETRANSLATE(A182, ""en"", ""hi"")"),"181")</f>
        <v>181</v>
      </c>
      <c r="G182" s="5" t="str">
        <f>IFERROR(__xludf.DUMMYFUNCTION("GOOGLETRANSLATE(B182, ""en"", ""hi"")"),"सफ़ेद के पास किंगसाइड पर एक किश्ती और एक मोहरा है, लेकिन काले का किश्ती एक खुली फ़ाइल पर सक्रिय है। सफ़ेद की सबसे अच्छी योजना क्या है?")</f>
        <v>सफ़ेद के पास किंगसाइड पर एक किश्ती और एक मोहरा है, लेकिन काले का किश्ती एक खुली फ़ाइल पर सक्रिय है। सफ़ेद की सबसे अच्छी योजना क्या है?</v>
      </c>
      <c r="H182" s="5" t="str">
        <f>IFERROR(__xludf.DUMMYFUNCTION("GOOGLETRANSLATE(C182, ""en"", ""hi"")"),"A) पास्ड प्यादा बनाने के लिए प्यादे को धक्का दें, B) राजा को हमले में लाएं, C) सरलीकरण के लिए रूक का व्यापार करें, D) रानी की तरफ से काले के प्यादों पर हमला करें")</f>
        <v>A) पास्ड प्यादा बनाने के लिए प्यादे को धक्का दें, B) राजा को हमले में लाएं, C) सरलीकरण के लिए रूक का व्यापार करें, D) रानी की तरफ से काले के प्यादों पर हमला करें</v>
      </c>
      <c r="I182" s="5" t="str">
        <f>IFERROR(__xludf.DUMMYFUNCTION("GOOGLETRANSLATE(D182, ""en"", ""hi"")"),"A) पास्ड प्यादा बनाने के लिए प्यादे को धक्का दें")</f>
        <v>A) पास्ड प्यादा बनाने के लिए प्यादे को धक्का दें</v>
      </c>
    </row>
    <row r="183" ht="22.5" customHeight="1">
      <c r="A183" s="2">
        <v>182.0</v>
      </c>
      <c r="B183" s="3" t="s">
        <v>1629</v>
      </c>
      <c r="C183" s="3" t="s">
        <v>1630</v>
      </c>
      <c r="D183" s="3" t="s">
        <v>1587</v>
      </c>
      <c r="F183" s="5" t="str">
        <f>IFERROR(__xludf.DUMMYFUNCTION("GOOGLETRANSLATE(A183, ""en"", ""hi"")"),"182")</f>
        <v>182</v>
      </c>
      <c r="G183" s="5" t="str">
        <f>IFERROR(__xludf.DUMMYFUNCTION("GOOGLETRANSLATE(B183, ""en"", ""hi"")"),"काले के पास एक बिशप का जोड़ा है, लेकिन सफ़ेद के प्यादे आगे हैं। काले को किस चीज़ को प्राथमिकता देनी चाहिए?")</f>
        <v>काले के पास एक बिशप का जोड़ा है, लेकिन सफ़ेद के प्यादे आगे हैं। काले को किस चीज़ को प्राथमिकता देनी चाहिए?</v>
      </c>
      <c r="H183" s="5" t="str">
        <f>IFERROR(__xludf.DUMMYFUNCTION("GOOGLETRANSLATE(C183, ""en"", ""hi"")"),"ए) खुले विकर्णों को नियंत्रित करने के लिए बिशप का उपयोग करें, बी) रानी की तरफ के प्यादों को धकेलें, सी) एक बिशप को एक किश्ती से बदलें, डी) राजा की तरफ के सफेद प्यादों पर हमला करें")</f>
        <v>ए) खुले विकर्णों को नियंत्रित करने के लिए बिशप का उपयोग करें, बी) रानी की तरफ के प्यादों को धकेलें, सी) एक बिशप को एक किश्ती से बदलें, डी) राजा की तरफ के सफेद प्यादों पर हमला करें</v>
      </c>
      <c r="I183" s="5" t="str">
        <f>IFERROR(__xludf.DUMMYFUNCTION("GOOGLETRANSLATE(D183, ""en"", ""hi"")"),"A) खुले विकर्णों को नियंत्रित करने के लिए बिशप का उपयोग करें")</f>
        <v>A) खुले विकर्णों को नियंत्रित करने के लिए बिशप का उपयोग करें</v>
      </c>
    </row>
    <row r="184" ht="22.5" customHeight="1">
      <c r="A184" s="2">
        <v>183.0</v>
      </c>
      <c r="B184" s="3" t="s">
        <v>1631</v>
      </c>
      <c r="C184" s="3" t="s">
        <v>1632</v>
      </c>
      <c r="D184" s="3" t="s">
        <v>1527</v>
      </c>
      <c r="F184" s="5" t="str">
        <f>IFERROR(__xludf.DUMMYFUNCTION("GOOGLETRANSLATE(A184, ""en"", ""hi"")"),"183")</f>
        <v>183</v>
      </c>
      <c r="G184" s="5" t="str">
        <f>IFERROR(__xludf.DUMMYFUNCTION("GOOGLETRANSLATE(B184, ""en"", ""hi"")"),"सफ़ेद के पास d6 पर एक मज़बूत मोहरा है, लेकिन काले के पास एक सक्रिय रानी है। सफ़ेद की सबसे अच्छी रणनीति क्या है?")</f>
        <v>सफ़ेद के पास d6 पर एक मज़बूत मोहरा है, लेकिन काले के पास एक सक्रिय रानी है। सफ़ेद की सबसे अच्छी रणनीति क्या है?</v>
      </c>
      <c r="H184" s="5" t="str">
        <f>IFERROR(__xludf.DUMMYFUNCTION("GOOGLETRANSLATE(C184, ""en"", ""hi"")"),"A) मोहरों से मोहरे की रक्षा करें, B) रानी से काले के राजा पर आक्रमण करें, C) आगे बढ़ने के लिए मोहरे को धकेलें, D) सरलीकरण के लिए रानियों की अदला-बदली करें")</f>
        <v>A) मोहरों से मोहरे की रक्षा करें, B) रानी से काले के राजा पर आक्रमण करें, C) आगे बढ़ने के लिए मोहरे को धकेलें, D) सरलीकरण के लिए रानियों की अदला-बदली करें</v>
      </c>
      <c r="I184" s="5" t="str">
        <f>IFERROR(__xludf.DUMMYFUNCTION("GOOGLETRANSLATE(D184, ""en"", ""hi"")"),"A) मोहरों से मोहरे की रक्षा करें")</f>
        <v>A) मोहरों से मोहरे की रक्षा करें</v>
      </c>
    </row>
    <row r="185" ht="22.5" customHeight="1">
      <c r="A185" s="2">
        <v>184.0</v>
      </c>
      <c r="B185" s="3" t="s">
        <v>1633</v>
      </c>
      <c r="C185" s="3" t="s">
        <v>1634</v>
      </c>
      <c r="D185" s="3" t="s">
        <v>1635</v>
      </c>
      <c r="F185" s="5" t="str">
        <f>IFERROR(__xludf.DUMMYFUNCTION("GOOGLETRANSLATE(A185, ""en"", ""hi"")"),"184")</f>
        <v>184</v>
      </c>
      <c r="G185" s="5" t="str">
        <f>IFERROR(__xludf.DUMMYFUNCTION("GOOGLETRANSLATE(B185, ""en"", ""hi"")"),"काले ने खुले मैदान में दुगुने हाथी बना लिए हैं, लेकिन सफ़ेद के पास e5 पर एक शक्तिशाली घोड़ा है। सफ़ेद को क्या जवाब देना चाहिए?")</f>
        <v>काले ने खुले मैदान में दुगुने हाथी बना लिए हैं, लेकिन सफ़ेद के पास e5 पर एक शक्तिशाली घोड़ा है। सफ़ेद को क्या जवाब देना चाहिए?</v>
      </c>
      <c r="H185" s="5" t="str">
        <f>IFERROR(__xludf.DUMMYFUNCTION("GOOGLETRANSLATE(C185, ""en"", ""hi"")"),"क) घोड़े के साथ काले के हाथी पर हमला करें, ख) काले की गतिविधि को कम करने के लिए हाथी का व्यापार करें, ग) रानी की ओर के प्यादों को धकेलें, घ) राजा को खेल में लाएँ")</f>
        <v>क) घोड़े के साथ काले के हाथी पर हमला करें, ख) काले की गतिविधि को कम करने के लिए हाथी का व्यापार करें, ग) रानी की ओर के प्यादों को धकेलें, घ) राजा को खेल में लाएँ</v>
      </c>
      <c r="I185" s="5" t="str">
        <f>IFERROR(__xludf.DUMMYFUNCTION("GOOGLETRANSLATE(D185, ""en"", ""hi"")"),"बी) काले की गतिविधि को कम करने के लिए रूक्स का व्यापार करें")</f>
        <v>बी) काले की गतिविधि को कम करने के लिए रूक्स का व्यापार करें</v>
      </c>
    </row>
    <row r="186" ht="22.5" customHeight="1">
      <c r="A186" s="2">
        <v>185.0</v>
      </c>
      <c r="B186" s="3" t="s">
        <v>1636</v>
      </c>
      <c r="C186" s="3" t="s">
        <v>1637</v>
      </c>
      <c r="D186" s="3" t="s">
        <v>1573</v>
      </c>
      <c r="F186" s="5" t="str">
        <f>IFERROR(__xludf.DUMMYFUNCTION("GOOGLETRANSLATE(A186, ""en"", ""hi"")"),"185")</f>
        <v>185</v>
      </c>
      <c r="G186" s="5" t="str">
        <f>IFERROR(__xludf.DUMMYFUNCTION("GOOGLETRANSLATE(B186, ""en"", ""hi"")"),"सफ़ेद का एक किश्ती सातवें पायदान पर है, जबकि काले के प्यादे आगे बढ़ रहे हैं। सफ़ेद को किस पर ध्यान केंद्रित करना चाहिए?")</f>
        <v>सफ़ेद का एक किश्ती सातवें पायदान पर है, जबकि काले के प्यादे आगे बढ़ रहे हैं। सफ़ेद को किस पर ध्यान केंद्रित करना चाहिए?</v>
      </c>
      <c r="H186" s="5" t="str">
        <f>IFERROR(__xludf.DUMMYFUNCTION("GOOGLETRANSLATE(C186, ""en"", ""hi"")"),"A) काले के प्यादों पर पीछे से हमला करें, B) मोहरों से किश्ती की रक्षा करें, C) जवाबी कार्रवाई के लिए प्यादों को आगे बढ़ाएँ, D) खेल को आसान बनाने के लिए प्यादों की अदला-बदली करें")</f>
        <v>A) काले के प्यादों पर पीछे से हमला करें, B) मोहरों से किश्ती की रक्षा करें, C) जवाबी कार्रवाई के लिए प्यादों को आगे बढ़ाएँ, D) खेल को आसान बनाने के लिए प्यादों की अदला-बदली करें</v>
      </c>
      <c r="I186" s="5" t="str">
        <f>IFERROR(__xludf.DUMMYFUNCTION("GOOGLETRANSLATE(D186, ""en"", ""hi"")"),"A) काले के प्यादों पर पीछे से हमला करें")</f>
        <v>A) काले के प्यादों पर पीछे से हमला करें</v>
      </c>
    </row>
    <row r="187" ht="22.5" customHeight="1">
      <c r="A187" s="2">
        <v>186.0</v>
      </c>
      <c r="B187" s="3" t="s">
        <v>1638</v>
      </c>
      <c r="C187" s="3" t="s">
        <v>1639</v>
      </c>
      <c r="D187" s="3" t="s">
        <v>1626</v>
      </c>
      <c r="F187" s="5" t="str">
        <f>IFERROR(__xludf.DUMMYFUNCTION("GOOGLETRANSLATE(A187, ""en"", ""hi"")"),"186")</f>
        <v>186</v>
      </c>
      <c r="G187" s="5" t="str">
        <f>IFERROR(__xludf.DUMMYFUNCTION("GOOGLETRANSLATE(B187, ""en"", ""hi"")"),"काले के पास एक सक्रिय वर्ग पर घोड़ा है, लेकिन सफेद का बिशप मुख्य विकर्णों को नियंत्रित कर रहा है। काले को क्या करना चाहिए?")</f>
        <v>काले के पास एक सक्रिय वर्ग पर घोड़ा है, लेकिन सफेद का बिशप मुख्य विकर्णों को नियंत्रित कर रहा है। काले को क्या करना चाहिए?</v>
      </c>
      <c r="H187" s="5" t="str">
        <f>IFERROR(__xludf.DUMMYFUNCTION("GOOGLETRANSLATE(C187, ""en"", ""hi"")"),"A)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f>
        <v>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v>
      </c>
      <c r="I187" s="5" t="str">
        <f>IFERROR(__xludf.DUMMYFUNCTION("GOOGLETRANSLATE(D187, ""en"", ""hi"")"),"A) सफ़ेद के मोहरों पर हमला करने के लिए घोड़े का उपयोग करें")</f>
        <v>A) सफ़ेद के मोहरों पर हमला करने के लिए घोड़े का उपयोग करें</v>
      </c>
    </row>
    <row r="188" ht="22.5" customHeight="1">
      <c r="A188" s="2">
        <v>187.0</v>
      </c>
      <c r="B188" s="3" t="s">
        <v>1640</v>
      </c>
      <c r="C188" s="3" t="s">
        <v>1641</v>
      </c>
      <c r="D188" s="3" t="s">
        <v>1642</v>
      </c>
      <c r="F188" s="5" t="str">
        <f>IFERROR(__xludf.DUMMYFUNCTION("GOOGLETRANSLATE(A188, ""en"", ""hi"")"),"187")</f>
        <v>187</v>
      </c>
      <c r="G188" s="5" t="str">
        <f>IFERROR(__xludf.DUMMYFUNCTION("GOOGLETRANSLATE(B188, ""en"", ""hi"")"),"सफ़ेद का हाथी और रानी राजा की तरफ़ हैं, लेकिन काले का राजा बीच में है। सफ़ेद की सबसे अच्छी योजना क्या है?")</f>
        <v>सफ़ेद का हाथी और रानी राजा की तरफ़ हैं, लेकिन काले का राजा बीच में है। सफ़ेद की सबसे अच्छी योजना क्या है?</v>
      </c>
      <c r="H188" s="5" t="str">
        <f>IFERROR(__xludf.DUMMYFUNCTION("GOOGLETRANSLATE(C188, ""en"", ""hi"")"),"A) आक्रमण करने के लिए हाथी और रानी का समन्वय करें, B) रानी की ओर के प्यादों को धकेलें, C) सरलीकरण के लिए रानियों की अदला-बदली करें, D) राजा को केंद्र में लाएँ")</f>
        <v>A) आक्रमण करने के लिए हाथी और रानी का समन्वय करें, B) रानी की ओर के प्यादों को धकेलें, C) सरलीकरण के लिए रानियों की अदला-बदली करें, D) राजा को केंद्र में लाएँ</v>
      </c>
      <c r="I188" s="5" t="str">
        <f>IFERROR(__xludf.DUMMYFUNCTION("GOOGLETRANSLATE(D188, ""en"", ""hi"")"),"A) आक्रमण करने के लिए हाथी और रानी का समन्वय करें")</f>
        <v>A) आक्रमण करने के लिए हाथी और रानी का समन्वय करें</v>
      </c>
    </row>
    <row r="189" ht="22.5" customHeight="1">
      <c r="A189" s="2">
        <v>188.0</v>
      </c>
      <c r="B189" s="3" t="s">
        <v>1643</v>
      </c>
      <c r="C189" s="3" t="s">
        <v>1644</v>
      </c>
      <c r="D189" s="3" t="s">
        <v>1383</v>
      </c>
      <c r="F189" s="5" t="str">
        <f>IFERROR(__xludf.DUMMYFUNCTION("GOOGLETRANSLATE(A189, ""en"", ""hi"")"),"188")</f>
        <v>188</v>
      </c>
      <c r="G189" s="5" t="str">
        <f>IFERROR(__xludf.DUMMYFUNCTION("GOOGLETRANSLATE(B189, ""en"", ""hi"")"),"काले के पास c5 पर एक उन्नत मोहरा है, जबकि सफ़ेद के मोहरे सक्रिय हैं। सफ़ेद को किस पर ध्यान केंद्रित करना चाहिए?")</f>
        <v>काले के पास c5 पर एक उन्नत मोहरा है, जबकि सफ़ेद के मोहरे सक्रिय हैं। सफ़ेद को किस पर ध्यान केंद्रित करना चाहिए?</v>
      </c>
      <c r="H189" s="5" t="str">
        <f>IFERROR(__xludf.DUMMYFUNCTION("GOOGLETRANSLATE(C189, ""en"", ""hi"")"),"A) आगे बढ़े हुए मोहरे पर सीधे हमला करें, B) मोहरों की स्थिति सुधारें, C) प्यादों की अदला-बदली कर लाइनें खोलें, D) जवाबी हमले के लिए मोहरों को धकेलें")</f>
        <v>A) आगे बढ़े हुए मोहरे पर सीधे हमला करें, B) मोहरों की स्थिति सुधारें, C) प्यादों की अदला-बदली कर लाइनें खोलें, D) जवाबी हमले के लिए मोहरों को धकेलें</v>
      </c>
      <c r="I189" s="5" t="str">
        <f>IFERROR(__xludf.DUMMYFUNCTION("GOOGLETRANSLATE(D189, ""en"", ""hi"")"),"बी) मोहरों की स्थिति में सुधार करें")</f>
        <v>बी) मोहरों की स्थिति में सुधार करें</v>
      </c>
    </row>
    <row r="190" ht="22.5" customHeight="1">
      <c r="A190" s="2">
        <v>189.0</v>
      </c>
      <c r="B190" s="3" t="s">
        <v>1645</v>
      </c>
      <c r="C190" s="3" t="s">
        <v>1646</v>
      </c>
      <c r="D190" s="3" t="s">
        <v>1647</v>
      </c>
      <c r="F190" s="5" t="str">
        <f>IFERROR(__xludf.DUMMYFUNCTION("GOOGLETRANSLATE(A190, ""en"", ""hi"")"),"189")</f>
        <v>189</v>
      </c>
      <c r="G190" s="5" t="str">
        <f>IFERROR(__xludf.DUMMYFUNCTION("GOOGLETRANSLATE(B190, ""en"", ""hi"")"),"सफ़ेद के पास एक घोड़ा और एक बिशप है, लेकिन काले के पास एक रानी है। सफ़ेद को इस स्थिति में कैसे आगे बढ़ना चाहिए?")</f>
        <v>सफ़ेद के पास एक घोड़ा और एक बिशप है, लेकिन काले के पास एक रानी है। सफ़ेद को इस स्थिति में कैसे आगे बढ़ना चाहिए?</v>
      </c>
      <c r="H190" s="5" t="str">
        <f>IFERROR(__xludf.DUMMYFUNCTION("GOOGLETRANSLATE(C190, ""en"", ""hi"")"),"ए) हमले के लिए घोड़े और बिशप का समन्वय करें, बी) सरलीकरण के लिए मोहरों की अदला-बदली करें, सी) जवाबी हमले के लिए प्यादों को आगे बढ़ाएं, डी) मोहरों से घोड़े की रक्षा करें")</f>
        <v>ए) हमले के लिए घोड़े और बिशप का समन्वय करें, बी) सरलीकरण के लिए मोहरों की अदला-बदली करें, सी) जवाबी हमले के लिए प्यादों को आगे बढ़ाएं, डी) मोहरों से घोड़े की रक्षा करें</v>
      </c>
      <c r="I190" s="5" t="str">
        <f>IFERROR(__xludf.DUMMYFUNCTION("GOOGLETRANSLATE(D190, ""en"", ""hi"")"),"A) हमले के लिए नाइट और बिशप का समन्वय करना")</f>
        <v>A) हमले के लिए नाइट और बिशप का समन्वय करना</v>
      </c>
    </row>
    <row r="191" ht="22.5" customHeight="1">
      <c r="A191" s="2">
        <v>190.0</v>
      </c>
      <c r="B191" s="3" t="s">
        <v>1648</v>
      </c>
      <c r="C191" s="3" t="s">
        <v>1649</v>
      </c>
      <c r="D191" s="3" t="s">
        <v>1650</v>
      </c>
      <c r="F191" s="5" t="str">
        <f>IFERROR(__xludf.DUMMYFUNCTION("GOOGLETRANSLATE(A191, ""en"", ""hi"")"),"190")</f>
        <v>190</v>
      </c>
      <c r="G191" s="5" t="str">
        <f>IFERROR(__xludf.DUMMYFUNCTION("GOOGLETRANSLATE(B191, ""en"", ""hi"")"),"काले के पास d4 पर एक मज़बूत मोहरा है, लेकिन सफ़ेद के पास खुली फ़ाइल पर एक किश्ती है। सफ़ेद की सबसे अच्छी योजना क्या है?")</f>
        <v>काले के पास d4 पर एक मज़बूत मोहरा है, लेकिन सफ़ेद के पास खुली फ़ाइल पर एक किश्ती है। सफ़ेद की सबसे अच्छी योजना क्या है?</v>
      </c>
      <c r="H191" s="5" t="str">
        <f>IFERROR(__xludf.DUMMYFUNCTION("GOOGLETRANSLATE(C191, ""en"", ""hi"")"),"क) काले की स्थिति पर दबाव डालने के लिए किश्ती का उपयोग करें, ख) रानी की ओर के प्यादों को धकेलें, ग) सरलीकरण के लिए किश्ती बदलें, घ) मोहरों से किश्ती की रक्षा करें")</f>
        <v>क) काले की स्थिति पर दबाव डालने के लिए किश्ती का उपयोग करें, ख) रानी की ओर के प्यादों को धकेलें, ग) सरलीकरण के लिए किश्ती बदलें, घ) मोहरों से किश्ती की रक्षा करें</v>
      </c>
      <c r="I191" s="5" t="str">
        <f>IFERROR(__xludf.DUMMYFUNCTION("GOOGLETRANSLATE(D191, ""en"", ""hi"")"),"A) काले की स्थिति पर दबाव डालने के लिए हाथी का उपयोग करें")</f>
        <v>A) काले की स्थिति पर दबाव डालने के लिए हाथी का उपयोग करें</v>
      </c>
    </row>
    <row r="192" ht="22.5" customHeight="1">
      <c r="A192" s="2">
        <v>191.0</v>
      </c>
      <c r="B192" s="3" t="s">
        <v>1651</v>
      </c>
      <c r="C192" s="3" t="s">
        <v>1652</v>
      </c>
      <c r="D192" s="3" t="s">
        <v>1584</v>
      </c>
      <c r="F192" s="5" t="str">
        <f>IFERROR(__xludf.DUMMYFUNCTION("GOOGLETRANSLATE(A192, ""en"", ""hi"")"),"191")</f>
        <v>191</v>
      </c>
      <c r="G192" s="5" t="str">
        <f>IFERROR(__xludf.DUMMYFUNCTION("GOOGLETRANSLATE(B192, ""en"", ""hi"")"),"सफ़ेद के पास b7 पर एक उन्नत मोहरा है, लेकिन काले के मोहरे सक्रिय हैं। सफ़ेद को किस पर निशाना साधना चाहिए?")</f>
        <v>सफ़ेद के पास b7 पर एक उन्नत मोहरा है, लेकिन काले के मोहरे सक्रिय हैं। सफ़ेद को किस पर निशाना साधना चाहिए?</v>
      </c>
      <c r="H192" s="5" t="str">
        <f>IFERROR(__xludf.DUMMYFUNCTION("GOOGLETRANSLATE(C192, ""en"", ""hi"")"),"A) मोहरे को आगे बढ़ाने के लिए धक्का दें, B) मोहरों से मोहरे की रक्षा करें, C) सरलीकरण के लिए मोहरों की अदला-बदली करें, D) राजा की ओर से काले मोहरों पर हमला करें")</f>
        <v>A) मोहरे को आगे बढ़ाने के लिए धक्का दें, B) मोहरों से मोहरे की रक्षा करें, C) सरलीकरण के लिए मोहरों की अदला-बदली करें, D) राजा की ओर से काले मोहरों पर हमला करें</v>
      </c>
      <c r="I192" s="5" t="str">
        <f>IFERROR(__xludf.DUMMYFUNCTION("GOOGLETRANSLATE(D192, ""en"", ""hi"")"),"A) मोहरे को पदोन्नति की ओर धकेलना")</f>
        <v>A) मोहरे को पदोन्नति की ओर धकेलना</v>
      </c>
    </row>
    <row r="193" ht="22.5" customHeight="1">
      <c r="A193" s="2">
        <v>192.0</v>
      </c>
      <c r="B193" s="3" t="s">
        <v>1653</v>
      </c>
      <c r="C193" s="3" t="s">
        <v>1654</v>
      </c>
      <c r="D193" s="3" t="s">
        <v>1610</v>
      </c>
      <c r="F193" s="5" t="str">
        <f>IFERROR(__xludf.DUMMYFUNCTION("GOOGLETRANSLATE(A193, ""en"", ""hi"")"),"192")</f>
        <v>192</v>
      </c>
      <c r="G193" s="5" t="str">
        <f>IFERROR(__xludf.DUMMYFUNCTION("GOOGLETRANSLATE(B193, ""en"", ""hi"")"),"काले के पास राजा की तरफ़ एक किश्ती और एक मोहरा है, जबकि सफ़ेद का राजा सामने है। काले को क्या करना चाहिए?")</f>
        <v>काले के पास राजा की तरफ़ एक किश्ती और एक मोहरा है, जबकि सफ़ेद का राजा सामने है। काले को क्या करना चाहिए?</v>
      </c>
      <c r="H193" s="5" t="str">
        <f>IFERROR(__xludf.DUMMYFUNCTION("GOOGLETRANSLATE(C193, ""en"", ""hi"")"),"A) सफ़ेद के बादशाह पर हमला करने के लिए हाथी का इस्तेमाल करें, B) ख़तरा पैदा करने के लिए मोहरे को धकेलें, C) सरलीकरण के लिए हाथी बदलें, D) रानी को हमले में शामिल करें")</f>
        <v>A) सफ़ेद के बादशाह पर हमला करने के लिए हाथी का इस्तेमाल करें, B) ख़तरा पैदा करने के लिए मोहरे को धकेलें, C) सरलीकरण के लिए हाथी बदलें, D) रानी को हमले में शामिल करें</v>
      </c>
      <c r="I193" s="5" t="str">
        <f>IFERROR(__xludf.DUMMYFUNCTION("GOOGLETRANSLATE(D193, ""en"", ""hi"")"),"A) सफ़ेद के बादशाह पर हमला करने के लिए हाथी का उपयोग करें")</f>
        <v>A) सफ़ेद के बादशाह पर हमला करने के लिए हाथी का उपयोग करें</v>
      </c>
    </row>
    <row r="194" ht="22.5" customHeight="1">
      <c r="A194" s="2">
        <v>193.0</v>
      </c>
      <c r="B194" s="3" t="s">
        <v>1655</v>
      </c>
      <c r="C194" s="3" t="s">
        <v>1656</v>
      </c>
      <c r="D194" s="3" t="s">
        <v>1657</v>
      </c>
      <c r="F194" s="5" t="str">
        <f>IFERROR(__xludf.DUMMYFUNCTION("GOOGLETRANSLATE(A194, ""en"", ""hi"")"),"193")</f>
        <v>193</v>
      </c>
      <c r="G194" s="5" t="str">
        <f>IFERROR(__xludf.DUMMYFUNCTION("GOOGLETRANSLATE(B194, ""en"", ""hi"")"),"सफ़ेद के पास खुली फ़ाइल पर एक हाथी है, लेकिन काले का राजा अच्छी तरह सुरक्षित है। सफ़ेद को किस पर ध्यान केंद्रित करना चाहिए?")</f>
        <v>सफ़ेद के पास खुली फ़ाइल पर एक हाथी है, लेकिन काले का राजा अच्छी तरह सुरक्षित है। सफ़ेद को किस पर ध्यान केंद्रित करना चाहिए?</v>
      </c>
      <c r="H194" s="5" t="str">
        <f>IFERROR(__xludf.DUMMYFUNCTION("GOOGLETRANSLATE(C194, ""en"", ""hi"")"),"A) खुली फाइल पर रूक को दोगुना करें, B) रानी की तरफ के प्यादों को धकेलें, C) सरलीकरण के लिए रूक बदलें, D) राजा की तरफ के काले के प्यादों पर हमला करें")</f>
        <v>A) खुली फाइल पर रूक को दोगुना करें, B) रानी की तरफ के प्यादों को धकेलें, C) सरलीकरण के लिए रूक बदलें, D) राजा की तरफ के काले के प्यादों पर हमला करें</v>
      </c>
      <c r="I194" s="5" t="str">
        <f>IFERROR(__xludf.DUMMYFUNCTION("GOOGLETRANSLATE(D194, ""en"", ""hi"")"),"A) खुली फाइल पर रूक्स को दोगुना करें")</f>
        <v>A) खुली फाइल पर रूक्स को दोगुना करें</v>
      </c>
    </row>
    <row r="195" ht="22.5" customHeight="1">
      <c r="A195" s="2">
        <v>194.0</v>
      </c>
      <c r="B195" s="3" t="s">
        <v>1658</v>
      </c>
      <c r="C195" s="3" t="s">
        <v>1659</v>
      </c>
      <c r="D195" s="3" t="s">
        <v>1660</v>
      </c>
      <c r="F195" s="5" t="str">
        <f>IFERROR(__xludf.DUMMYFUNCTION("GOOGLETRANSLATE(A195, ""en"", ""hi"")"),"194")</f>
        <v>194</v>
      </c>
      <c r="G195" s="5" t="str">
        <f>IFERROR(__xludf.DUMMYFUNCTION("GOOGLETRANSLATE(B195, ""en"", ""hi"")"),"काले का घोड़ा c5 पर चौकी पर है, लेकिन सफ़ेद के मोहरे सक्रिय हैं। सफ़ेद को कैसे आगे बढ़ना चाहिए?")</f>
        <v>काले का घोड़ा c5 पर चौकी पर है, लेकिन सफ़ेद के मोहरे सक्रिय हैं। सफ़ेद को कैसे आगे बढ़ना चाहिए?</v>
      </c>
      <c r="H195" s="5" t="str">
        <f>IFERROR(__xludf.DUMMYFUNCTION("GOOGLETRANSLATE(C195, ""en"", ""hi"")"),"A) घोड़े पर मोहरों से आक्रमण करें, B) मोहरों को रानी की ओर धकेलें, C) सरलीकरण के लिए घोड़े बदलें, D) रानी को खेल में शामिल करें")</f>
        <v>A) घोड़े पर मोहरों से आक्रमण करें, B) मोहरों को रानी की ओर धकेलें, C) सरलीकरण के लिए घोड़े बदलें, D) रानी को खेल में शामिल करें</v>
      </c>
      <c r="I195" s="5" t="str">
        <f>IFERROR(__xludf.DUMMYFUNCTION("GOOGLETRANSLATE(D195, ""en"", ""hi"")"),"A) घोड़े पर मोहरों से हमला करें")</f>
        <v>A) घोड़े पर मोहरों से हमला करें</v>
      </c>
    </row>
    <row r="196" ht="22.5" customHeight="1">
      <c r="A196" s="2">
        <v>195.0</v>
      </c>
      <c r="B196" s="3" t="s">
        <v>1661</v>
      </c>
      <c r="C196" s="3" t="s">
        <v>1662</v>
      </c>
      <c r="D196" s="3" t="s">
        <v>1663</v>
      </c>
      <c r="F196" s="5" t="str">
        <f>IFERROR(__xludf.DUMMYFUNCTION("GOOGLETRANSLATE(A196, ""en"", ""hi"")"),"195")</f>
        <v>195</v>
      </c>
      <c r="G196" s="5" t="str">
        <f>IFERROR(__xludf.DUMMYFUNCTION("GOOGLETRANSLATE(B196, ""en"", ""hi"")"),"सफ़ेद के पास बिशप का जोड़ा है, लेकिन काले के प्यादे बिशप के रंग के ही हैं। सफ़ेद को किस पर ध्यान केंद्रित करना चाहिए?")</f>
        <v>सफ़ेद के पास बिशप का जोड़ा है, लेकिन काले के प्यादे बिशप के रंग के ही हैं। सफ़ेद को किस पर ध्यान केंद्रित करना चाहिए?</v>
      </c>
      <c r="H196" s="5" t="str">
        <f>IFERROR(__xludf.DUMMYFUNCTION("GOOGLETRANSLATE(C196, ""en"", ""hi"")"),"ए) प्रमुख विकर्णों को नियंत्रित करने के लिए बिशप का उपयोग करें, बी) कमजोरियों को बनाने के लिए प्यादों को धक्का दें, सी) एक बिशप को एक किश्ती के लिए बदलें, डी) राजा की तरफ काले के प्यादों पर हमला करें")</f>
        <v>ए) प्रमुख विकर्णों को नियंत्रित करने के लिए बिशप का उपयोग करें, बी) कमजोरियों को बनाने के लिए प्यादों को धक्का दें, सी) एक बिशप को एक किश्ती के लिए बदलें, डी) राजा की तरफ काले के प्यादों पर हमला करें</v>
      </c>
      <c r="I196" s="5" t="str">
        <f>IFERROR(__xludf.DUMMYFUNCTION("GOOGLETRANSLATE(D196, ""en"", ""hi"")"),"A) कुंजी विकर्णों को नियंत्रित करने के लिए बिशप का उपयोग करें")</f>
        <v>A) कुंजी विकर्णों को नियंत्रित करने के लिए बिशप का उपयोग करें</v>
      </c>
    </row>
    <row r="197" ht="22.5" customHeight="1">
      <c r="A197" s="2">
        <v>196.0</v>
      </c>
      <c r="B197" s="3" t="s">
        <v>1664</v>
      </c>
      <c r="C197" s="3" t="s">
        <v>1665</v>
      </c>
      <c r="D197" s="3" t="s">
        <v>1666</v>
      </c>
      <c r="F197" s="5" t="str">
        <f>IFERROR(__xludf.DUMMYFUNCTION("GOOGLETRANSLATE(A197, ""en"", ""hi"")"),"196")</f>
        <v>196</v>
      </c>
      <c r="G197" s="5" t="str">
        <f>IFERROR(__xludf.DUMMYFUNCTION("GOOGLETRANSLATE(B197, ""en"", ""hi"")"),"काले के पास एक किश्ती और प्यादे राजा की तरफ हैं, जबकि सफेद के मोहरे रानी की तरफ हैं। काले की सबसे अच्छी योजना क्या है?")</f>
        <v>काले के पास एक किश्ती और प्यादे राजा की तरफ हैं, जबकि सफेद के मोहरे रानी की तरफ हैं। काले की सबसे अच्छी योजना क्या है?</v>
      </c>
      <c r="H197" s="5" t="str">
        <f>IFERROR(__xludf.DUMMYFUNCTION("GOOGLETRANSLATE(C197, ""en"", ""hi"")"),"A) खतरा पैदा करने के लिए प्यादों को आगे बढ़ाना, B) राजा को आक्रमण में लाना, C) सरलीकरण के लिए किश्ती बदलना, D) रानी की ओर के प्यादों को आगे बढ़ाना")</f>
        <v>A) खतरा पैदा करने के लिए प्यादों को आगे बढ़ाना, B) राजा को आक्रमण में लाना, C) सरलीकरण के लिए किश्ती बदलना, D) रानी की ओर के प्यादों को आगे बढ़ाना</v>
      </c>
      <c r="I197" s="5" t="str">
        <f>IFERROR(__xludf.DUMMYFUNCTION("GOOGLETRANSLATE(D197, ""en"", ""hi"")"),"A) खतरे पैदा करने के लिए प्यादों को आगे बढ़ाना")</f>
        <v>A) खतरे पैदा करने के लिए प्यादों को आगे बढ़ाना</v>
      </c>
    </row>
    <row r="198" ht="22.5" customHeight="1">
      <c r="A198" s="2">
        <v>197.0</v>
      </c>
      <c r="B198" s="3" t="s">
        <v>1667</v>
      </c>
      <c r="C198" s="3" t="s">
        <v>1618</v>
      </c>
      <c r="D198" s="3" t="s">
        <v>1619</v>
      </c>
      <c r="F198" s="5" t="str">
        <f>IFERROR(__xludf.DUMMYFUNCTION("GOOGLETRANSLATE(A198, ""en"", ""hi"")"),"197")</f>
        <v>197</v>
      </c>
      <c r="G198" s="5" t="str">
        <f>IFERROR(__xludf.DUMMYFUNCTION("GOOGLETRANSLATE(B198, ""en"", ""hi"")"),"e6 पर सफ़ेद के पास एक मज़बूत मोहरा है, लेकिन काले के मोहरों में तालमेल अच्छा है। सफ़ेद को क्या लक्ष्य रखना चाहिए?")</f>
        <v>e6 पर सफ़ेद के पास एक मज़बूत मोहरा है, लेकिन काले के मोहरों में तालमेल अच्छा है। सफ़ेद को क्या लक्ष्य रखना चाहिए?</v>
      </c>
      <c r="H198" s="5" t="str">
        <f>IFERROR(__xludf.DUMMYFUNCTION("GOOGLETRANSLATE(C198, ""en"", ""hi"")"),"A) आगे बढ़ने के लिए मोहरे को धकेलना, B) मोहरों से मोहरे की रक्षा करना, C) काले की गतिविधि कम करने के लिए मोहरों की अदला-बदली करना, D) रानी की तरफ से काले के मोहरों पर हमला करना")</f>
        <v>A) आगे बढ़ने के लिए मोहरे को धकेलना, B) मोहरों से मोहरे की रक्षा करना, C) काले की गतिविधि कम करने के लिए मोहरों की अदला-बदली करना, D) रानी की तरफ से काले के मोहरों पर हमला करना</v>
      </c>
      <c r="I198" s="5" t="str">
        <f>IFERROR(__xludf.DUMMYFUNCTION("GOOGLETRANSLATE(D198, ""en"", ""hi"")"),"C) काले की गतिविधि को कम करने के लिए मोहरों का आदान-प्रदान करें")</f>
        <v>C) काले की गतिविधि को कम करने के लिए मोहरों का आदान-प्रदान करें</v>
      </c>
    </row>
    <row r="199" ht="22.5" customHeight="1">
      <c r="A199" s="2">
        <v>198.0</v>
      </c>
      <c r="B199" s="3" t="s">
        <v>1668</v>
      </c>
      <c r="C199" s="3" t="s">
        <v>1649</v>
      </c>
      <c r="D199" s="3" t="s">
        <v>1650</v>
      </c>
      <c r="F199" s="5" t="str">
        <f>IFERROR(__xludf.DUMMYFUNCTION("GOOGLETRANSLATE(A199, ""en"", ""hi"")"),"198")</f>
        <v>198</v>
      </c>
      <c r="G199" s="5" t="str">
        <f>IFERROR(__xludf.DUMMYFUNCTION("GOOGLETRANSLATE(B199, ""en"", ""hi"")"),"काले के पास d4 पर एक उन्नत मोहरा है, जबकि सफ़ेद के पास खुली फ़ाइल पर एक किश्ती है। सफ़ेद को किस पर ध्यान केंद्रित करना चाहिए?")</f>
        <v>काले के पास d4 पर एक उन्नत मोहरा है, जबकि सफ़ेद के पास खुली फ़ाइल पर एक किश्ती है। सफ़ेद को किस पर ध्यान केंद्रित करना चाहिए?</v>
      </c>
      <c r="H199" s="5" t="str">
        <f>IFERROR(__xludf.DUMMYFUNCTION("GOOGLETRANSLATE(C199, ""en"", ""hi"")"),"क) काले की स्थिति पर दबाव डालने के लिए किश्ती का उपयोग करें, ख) रानी की ओर के प्यादों को धकेलें, ग) सरलीकरण के लिए किश्ती बदलें, घ) मोहरों से किश्ती की रक्षा करें")</f>
        <v>क) काले की स्थिति पर दबाव डालने के लिए किश्ती का उपयोग करें, ख) रानी की ओर के प्यादों को धकेलें, ग) सरलीकरण के लिए किश्ती बदलें, घ) मोहरों से किश्ती की रक्षा करें</v>
      </c>
      <c r="I199" s="5" t="str">
        <f>IFERROR(__xludf.DUMMYFUNCTION("GOOGLETRANSLATE(D199, ""en"", ""hi"")"),"A) काले की स्थिति पर दबाव डालने के लिए हाथी का उपयोग करें")</f>
        <v>A) काले की स्थिति पर दबाव डालने के लिए हाथी का उपयोग करें</v>
      </c>
    </row>
    <row r="200" ht="22.5" customHeight="1">
      <c r="A200" s="2">
        <v>199.0</v>
      </c>
      <c r="B200" s="3" t="s">
        <v>1669</v>
      </c>
      <c r="C200" s="3" t="s">
        <v>1612</v>
      </c>
      <c r="D200" s="3" t="s">
        <v>1613</v>
      </c>
      <c r="F200" s="5" t="str">
        <f>IFERROR(__xludf.DUMMYFUNCTION("GOOGLETRANSLATE(A200, ""en"", ""hi"")"),"199")</f>
        <v>199</v>
      </c>
      <c r="G200" s="5" t="str">
        <f>IFERROR(__xludf.DUMMYFUNCTION("GOOGLETRANSLATE(B200, ""en"", ""hi"")"),"सफ़ेद के पास e5 पर एक मज़बूत घोड़ा है, लेकिन काले के प्यादे उस पर हमला कर रहे हैं। सफ़ेद को क्या करना चाहिए?")</f>
        <v>सफ़ेद के पास e5 पर एक मज़बूत घोड़ा है, लेकिन काले के प्यादे उस पर हमला कर रहे हैं। सफ़ेद को क्या करना चाहिए?</v>
      </c>
      <c r="H200" s="5" t="str">
        <f>IFERROR(__xludf.DUMMYFUNCTION("GOOGLETRANSLATE(C200, ""en"", ""hi"")"),"क) घोड़े की रक्षा के लिए दूसरे मोहरे का उपयोग करना, ख) घोड़े के बदले मोहरा लेना, ग) घोड़े को सुरक्षित वर्ग में ले जाना, घ) घोड़े को सहारा देने के लिए मोहरे को आगे बढ़ाना")</f>
        <v>क) घोड़े की रक्षा के लिए दूसरे मोहरे का उपयोग करना, ख) घोड़े के बदले मोहरा लेना, ग) घोड़े को सुरक्षित वर्ग में ले जाना, घ) घोड़े को सहारा देने के लिए मोहरे को आगे बढ़ाना</v>
      </c>
      <c r="I200" s="5" t="str">
        <f>IFERROR(__xludf.DUMMYFUNCTION("GOOGLETRANSLATE(D200, ""en"", ""hi"")"),"A) घोड़े की रक्षा दूसरे मोहरे से करें")</f>
        <v>A) घोड़े की रक्षा दूसरे मोहरे से करें</v>
      </c>
    </row>
    <row r="201" ht="22.5" customHeight="1">
      <c r="A201" s="2">
        <v>200.0</v>
      </c>
      <c r="B201" s="3" t="s">
        <v>1670</v>
      </c>
      <c r="C201" s="3" t="s">
        <v>1621</v>
      </c>
      <c r="D201" s="3" t="s">
        <v>1596</v>
      </c>
      <c r="F201" s="5" t="str">
        <f>IFERROR(__xludf.DUMMYFUNCTION("GOOGLETRANSLATE(A201, ""en"", ""hi"")"),"200")</f>
        <v>200</v>
      </c>
      <c r="G201" s="5" t="str">
        <f>IFERROR(__xludf.DUMMYFUNCTION("GOOGLETRANSLATE(B201, ""en"", ""hi"")"),"काले के पास राजा की तरफ़ एक रानी और एक मोहरा है, जबकि सफ़ेद के मोहरे रानी की तरफ़ हैं। काले को क्या करना चाहिए?")</f>
        <v>काले के पास राजा की तरफ़ एक रानी और एक मोहरा है, जबकि सफ़ेद के मोहरे रानी की तरफ़ हैं। काले को क्या करना चाहिए?</v>
      </c>
      <c r="H201" s="5" t="str">
        <f>IFERROR(__xludf.DUMMYFUNCTION("GOOGLETRANSLATE(C201, ""en"", ""hi"")"),"A) खतरा पैदा करने के लिए मोहरे को धकेलें, B) राजा को हमले में लाएँ, C) सरलीकरण के लिए रानियों की अदला-बदली करें, D) रानी की तरफ से सफेद मोहरों पर हमला करें")</f>
        <v>A) खतरा पैदा करने के लिए मोहरे को धकेलें, B) राजा को हमले में लाएँ, C) सरलीकरण के लिए रानियों की अदला-बदली करें, D) रानी की तरफ से सफेद मोहरों पर हमला करें</v>
      </c>
      <c r="I201" s="5" t="str">
        <f>IFERROR(__xludf.DUMMYFUNCTION("GOOGLETRANSLATE(D201, ""en"", ""hi"")"),"A) खतरा पैदा करने के लिए मोहरे को धक्का देना")</f>
        <v>A) खतरा पैदा करने के लिए मोहरे को धक्का देना</v>
      </c>
    </row>
    <row r="202" ht="22.5" customHeight="1">
      <c r="A202" s="2">
        <v>201.0</v>
      </c>
      <c r="B202" s="3" t="s">
        <v>1671</v>
      </c>
      <c r="C202" s="3" t="s">
        <v>1656</v>
      </c>
      <c r="D202" s="3" t="s">
        <v>1657</v>
      </c>
      <c r="F202" s="5" t="str">
        <f>IFERROR(__xludf.DUMMYFUNCTION("GOOGLETRANSLATE(A202, ""en"", ""hi"")"),"201")</f>
        <v>201</v>
      </c>
      <c r="G202" s="5" t="str">
        <f>IFERROR(__xludf.DUMMYFUNCTION("GOOGLETRANSLATE(B202, ""en"", ""hi"")"),"सफ़ेद के पास खुली फ़ाइल पर एक किश्ती है, लेकिन काले का राजा पूरी तरह सुरक्षित है। सफ़ेद को आगे कैसे बढ़ना चाहिए?")</f>
        <v>सफ़ेद के पास खुली फ़ाइल पर एक किश्ती है, लेकिन काले का राजा पूरी तरह सुरक्षित है। सफ़ेद को आगे कैसे बढ़ना चाहिए?</v>
      </c>
      <c r="H202" s="5" t="str">
        <f>IFERROR(__xludf.DUMMYFUNCTION("GOOGLETRANSLATE(C202, ""en"", ""hi"")"),"A) खुली फाइल पर रूक को दोगुना करें, B) रानी की तरफ के प्यादों को धकेलें, C) सरलीकरण के लिए रूक बदलें, D) राजा की तरफ के काले के प्यादों पर हमला करें")</f>
        <v>A) खुली फाइल पर रूक को दोगुना करें, B) रानी की तरफ के प्यादों को धकेलें, C) सरलीकरण के लिए रूक बदलें, D) राजा की तरफ के काले के प्यादों पर हमला करें</v>
      </c>
      <c r="I202" s="5" t="str">
        <f>IFERROR(__xludf.DUMMYFUNCTION("GOOGLETRANSLATE(D202, ""en"", ""hi"")"),"A) खुली फाइल पर रूक्स को दोगुना करें")</f>
        <v>A) खुली फाइल पर रूक्स को दोगुना करें</v>
      </c>
    </row>
    <row r="203" ht="22.5" customHeight="1">
      <c r="A203" s="2">
        <v>202.0</v>
      </c>
      <c r="B203" s="3" t="s">
        <v>1672</v>
      </c>
      <c r="C203" s="3" t="s">
        <v>1639</v>
      </c>
      <c r="D203" s="3" t="s">
        <v>1626</v>
      </c>
      <c r="F203" s="5" t="str">
        <f>IFERROR(__xludf.DUMMYFUNCTION("GOOGLETRANSLATE(A203, ""en"", ""hi"")"),"202")</f>
        <v>202</v>
      </c>
      <c r="G203" s="5" t="str">
        <f>IFERROR(__xludf.DUMMYFUNCTION("GOOGLETRANSLATE(B203, ""en"", ""hi"")"),"काले घोड़े के पास चौकी है, लेकिन सफेद घोड़े का बिशप मुख्य विकर्णों को नियंत्रित कर रहा है। काले घोड़े को क्या करना चाहिए?")</f>
        <v>काले घोड़े के पास चौकी है, लेकिन सफेद घोड़े का बिशप मुख्य विकर्णों को नियंत्रित कर रहा है। काले घोड़े को क्या करना चाहिए?</v>
      </c>
      <c r="H203" s="5" t="str">
        <f>IFERROR(__xludf.DUMMYFUNCTION("GOOGLETRANSLATE(C203, ""en"", ""hi"")"),"A)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f>
        <v>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v>
      </c>
      <c r="I203" s="5" t="str">
        <f>IFERROR(__xludf.DUMMYFUNCTION("GOOGLETRANSLATE(D203, ""en"", ""hi"")"),"A) सफ़ेद के मोहरों पर हमला करने के लिए घोड़े का उपयोग करें")</f>
        <v>A) सफ़ेद के मोहरों पर हमला करने के लिए घोड़े का उपयोग करें</v>
      </c>
    </row>
    <row r="204" ht="22.5" customHeight="1">
      <c r="A204" s="2">
        <v>203.0</v>
      </c>
      <c r="B204" s="3" t="s">
        <v>1651</v>
      </c>
      <c r="C204" s="3" t="s">
        <v>1652</v>
      </c>
      <c r="D204" s="3" t="s">
        <v>1584</v>
      </c>
      <c r="F204" s="5" t="str">
        <f>IFERROR(__xludf.DUMMYFUNCTION("GOOGLETRANSLATE(A204, ""en"", ""hi"")"),"203")</f>
        <v>203</v>
      </c>
      <c r="G204" s="5" t="str">
        <f>IFERROR(__xludf.DUMMYFUNCTION("GOOGLETRANSLATE(B204, ""en"", ""hi"")"),"सफ़ेद के पास b7 पर एक उन्नत मोहरा है, लेकिन काले के मोहरे सक्रिय हैं। सफ़ेद को किस पर निशाना साधना चाहिए?")</f>
        <v>सफ़ेद के पास b7 पर एक उन्नत मोहरा है, लेकिन काले के मोहरे सक्रिय हैं। सफ़ेद को किस पर निशाना साधना चाहिए?</v>
      </c>
      <c r="H204" s="5" t="str">
        <f>IFERROR(__xludf.DUMMYFUNCTION("GOOGLETRANSLATE(C204, ""en"", ""hi"")"),"A) मोहरे को आगे बढ़ाने के लिए धक्का दें, B) मोहरों से मोहरे की रक्षा करें, C) सरलीकरण के लिए मोहरों की अदला-बदली करें, D) राजा की ओर से काले मोहरों पर हमला करें")</f>
        <v>A) मोहरे को आगे बढ़ाने के लिए धक्का दें, B) मोहरों से मोहरे की रक्षा करें, C) सरलीकरण के लिए मोहरों की अदला-बदली करें, D) राजा की ओर से काले मोहरों पर हमला करें</v>
      </c>
      <c r="I204" s="5" t="str">
        <f>IFERROR(__xludf.DUMMYFUNCTION("GOOGLETRANSLATE(D204, ""en"", ""hi"")"),"A) मोहरे को पदोन्नति की ओर धकेलना")</f>
        <v>A) मोहरे को पदोन्नति की ओर धकेलना</v>
      </c>
    </row>
    <row r="205" ht="22.5" customHeight="1">
      <c r="A205" s="2">
        <v>204.0</v>
      </c>
      <c r="B205" s="3" t="s">
        <v>1673</v>
      </c>
      <c r="C205" s="3" t="s">
        <v>1674</v>
      </c>
      <c r="D205" s="3" t="s">
        <v>1675</v>
      </c>
      <c r="F205" s="5" t="str">
        <f>IFERROR(__xludf.DUMMYFUNCTION("GOOGLETRANSLATE(A205, ""en"", ""hi"")"),"204")</f>
        <v>204</v>
      </c>
      <c r="G205" s="5" t="str">
        <f>IFERROR(__xludf.DUMMYFUNCTION("GOOGLETRANSLATE(B205, ""en"", ""hi"")"),"काले का हाथी सातवें स्थान पर है, लेकिन सफ़ेद का राजा सुरक्षित है। काले को क्या करना चाहिए?")</f>
        <v>काले का हाथी सातवें स्थान पर है, लेकिन सफ़ेद का राजा सुरक्षित है। काले को क्या करना चाहिए?</v>
      </c>
      <c r="H205" s="5" t="str">
        <f>IFERROR(__xludf.DUMMYFUNCTION("GOOGLETRANSLATE(C205, ""en"", ""hi"")"),"A) सफ़ेद पक्ष के प्यादों पर आक्रमण करने के लिए किश्ती का प्रयोग करें, B) प्यादों को रानी पक्ष की ओर धकेलें, C) सरलीकरण के लिए किश्ती बदलें, D) रानी को आक्रमण में शामिल करें")</f>
        <v>A) सफ़ेद पक्ष के प्यादों पर आक्रमण करने के लिए किश्ती का प्रयोग करें, B) प्यादों को रानी पक्ष की ओर धकेलें, C) सरलीकरण के लिए किश्ती बदलें, D) रानी को आक्रमण में शामिल करें</v>
      </c>
      <c r="I205" s="5" t="str">
        <f>IFERROR(__xludf.DUMMYFUNCTION("GOOGLETRANSLATE(D205, ""en"", ""hi"")"),"A) सफ़ेद के प्यादों पर हमला करने के लिए किश्ती का उपयोग करें")</f>
        <v>A) सफ़ेद के प्यादों पर हमला करने के लिए किश्ती का उपयोग करें</v>
      </c>
    </row>
    <row r="206" ht="22.5" customHeight="1">
      <c r="A206" s="2">
        <v>205.0</v>
      </c>
      <c r="B206" s="3" t="s">
        <v>1594</v>
      </c>
      <c r="C206" s="3" t="s">
        <v>1676</v>
      </c>
      <c r="D206" s="3" t="s">
        <v>1677</v>
      </c>
      <c r="F206" s="5" t="str">
        <f>IFERROR(__xludf.DUMMYFUNCTION("GOOGLETRANSLATE(A206, ""en"", ""hi"")"),"205")</f>
        <v>205</v>
      </c>
      <c r="G206" s="5" t="str">
        <f>IFERROR(__xludf.DUMMYFUNCTION("GOOGLETRANSLATE(B206, ""en"", ""hi"")"),"सफ़ेद के पास राजा की तरफ़ एक किश्ती और एक मोहरा है, जबकि काले का राजा सामने है। सफ़ेद की सबसे अच्छी योजना क्या है?")</f>
        <v>सफ़ेद के पास राजा की तरफ़ एक किश्ती और एक मोहरा है, जबकि काले का राजा सामने है। सफ़ेद की सबसे अच्छी योजना क्या है?</v>
      </c>
      <c r="H206" s="5" t="str">
        <f>IFERROR(__xludf.DUMMYFUNCTION("GOOGLETRANSLATE(C206, ""en"", ""hi"")"),"A) आक्रमण करने के लिए किश्ती और मोहरे का समन्वय करना, B) मोहरों को रानी की ओर धकेलना, C) सरलीकरण के लिए किश्ती बदलना, D) राजा को खेल में लाना")</f>
        <v>A) आक्रमण करने के लिए किश्ती और मोहरे का समन्वय करना, B) मोहरों को रानी की ओर धकेलना, C) सरलीकरण के लिए किश्ती बदलना, D) राजा को खेल में लाना</v>
      </c>
      <c r="I206" s="5" t="str">
        <f>IFERROR(__xludf.DUMMYFUNCTION("GOOGLETRANSLATE(D206, ""en"", ""hi"")"),"A) आक्रमण करने के लिए किश्ती और मोहरे का समन्वय करें")</f>
        <v>A) आक्रमण करने के लिए किश्ती और मोहरे का समन्वय करें</v>
      </c>
    </row>
    <row r="207" ht="22.5" customHeight="1">
      <c r="A207" s="2">
        <v>206.0</v>
      </c>
      <c r="B207" s="3" t="s">
        <v>1678</v>
      </c>
      <c r="C207" s="3" t="s">
        <v>1644</v>
      </c>
      <c r="D207" s="3" t="s">
        <v>1383</v>
      </c>
      <c r="F207" s="5" t="str">
        <f>IFERROR(__xludf.DUMMYFUNCTION("GOOGLETRANSLATE(A207, ""en"", ""hi"")"),"206")</f>
        <v>206</v>
      </c>
      <c r="G207" s="5" t="str">
        <f>IFERROR(__xludf.DUMMYFUNCTION("GOOGLETRANSLATE(B207, ""en"", ""hi"")"),"d4 पर काले का मोहरा मज़बूत है, जबकि सफ़ेद के मोहरे ज़्यादा सक्रिय हैं। सफ़ेद को क्या करना चाहिए?")</f>
        <v>d4 पर काले का मोहरा मज़बूत है, जबकि सफ़ेद के मोहरे ज़्यादा सक्रिय हैं। सफ़ेद को क्या करना चाहिए?</v>
      </c>
      <c r="H207" s="5" t="str">
        <f>IFERROR(__xludf.DUMMYFUNCTION("GOOGLETRANSLATE(C207, ""en"", ""hi"")"),"A) आगे बढ़े हुए मोहरे पर सीधे हमला करें, B) मोहरों की स्थिति सुधारें, C) प्यादों की अदला-बदली कर लाइनें खोलें, D) जवाबी हमले के लिए मोहरों को धकेलें")</f>
        <v>A) आगे बढ़े हुए मोहरे पर सीधे हमला करें, B) मोहरों की स्थिति सुधारें, C) प्यादों की अदला-बदली कर लाइनें खोलें, D) जवाबी हमले के लिए मोहरों को धकेलें</v>
      </c>
      <c r="I207" s="5" t="str">
        <f>IFERROR(__xludf.DUMMYFUNCTION("GOOGLETRANSLATE(D207, ""en"", ""hi"")"),"बी) मोहरों की स्थिति में सुधार करें")</f>
        <v>बी) मोहरों की स्थिति में सुधार करें</v>
      </c>
    </row>
    <row r="208" ht="22.5" customHeight="1">
      <c r="A208" s="2">
        <v>207.0</v>
      </c>
      <c r="B208" s="3" t="s">
        <v>1679</v>
      </c>
      <c r="C208" s="3" t="s">
        <v>1656</v>
      </c>
      <c r="D208" s="3" t="s">
        <v>1657</v>
      </c>
      <c r="F208" s="5" t="str">
        <f>IFERROR(__xludf.DUMMYFUNCTION("GOOGLETRANSLATE(A208, ""en"", ""hi"")"),"207")</f>
        <v>207</v>
      </c>
      <c r="G208" s="5" t="str">
        <f>IFERROR(__xludf.DUMMYFUNCTION("GOOGLETRANSLATE(B208, ""en"", ""hi"")"),"सफ़ेद के पास खुले मैदान में एक हाथी है, लेकिन काले का राजा पूरी तरह सुरक्षित है। सफ़ेद को इस स्थिति पर कैसे ध्यान केंद्रित करना चाहिए?")</f>
        <v>सफ़ेद के पास खुले मैदान में एक हाथी है, लेकिन काले का राजा पूरी तरह सुरक्षित है। सफ़ेद को इस स्थिति पर कैसे ध्यान केंद्रित करना चाहिए?</v>
      </c>
      <c r="H208" s="5" t="str">
        <f>IFERROR(__xludf.DUMMYFUNCTION("GOOGLETRANSLATE(C208, ""en"", ""hi"")"),"A) खुली फाइल पर रूक को दोगुना करें, B) रानी की तरफ के प्यादों को धकेलें, C) सरलीकरण के लिए रूक बदलें, D) राजा की तरफ के काले के प्यादों पर हमला करें")</f>
        <v>A) खुली फाइल पर रूक को दोगुना करें, B) रानी की तरफ के प्यादों को धकेलें, C) सरलीकरण के लिए रूक बदलें, D) राजा की तरफ के काले के प्यादों पर हमला करें</v>
      </c>
      <c r="I208" s="5" t="str">
        <f>IFERROR(__xludf.DUMMYFUNCTION("GOOGLETRANSLATE(D208, ""en"", ""hi"")"),"A) खुली फाइल पर रूक्स को दोगुना करें")</f>
        <v>A) खुली फाइल पर रूक्स को दोगुना करें</v>
      </c>
    </row>
    <row r="209" ht="22.5" customHeight="1">
      <c r="A209" s="2">
        <v>208.0</v>
      </c>
      <c r="B209" s="3" t="s">
        <v>1680</v>
      </c>
      <c r="C209" s="3" t="s">
        <v>1681</v>
      </c>
      <c r="D209" s="3" t="s">
        <v>1682</v>
      </c>
      <c r="F209" s="5" t="str">
        <f>IFERROR(__xludf.DUMMYFUNCTION("GOOGLETRANSLATE(A209, ""en"", ""hi"")"),"208")</f>
        <v>208</v>
      </c>
      <c r="G209" s="5" t="str">
        <f>IFERROR(__xludf.DUMMYFUNCTION("GOOGLETRANSLATE(B209, ""en"", ""hi"")"),"काले का बिशप सफ़ेद के हाथी से घिरा हुआ है, लेकिन सफ़ेद का राजा पूरी तरह सुरक्षित है। काले को क्या करना चाहिए?")</f>
        <v>काले का बिशप सफ़ेद के हाथी से घिरा हुआ है, लेकिन सफ़ेद का राजा पूरी तरह सुरक्षित है। काले को क्या करना चाहिए?</v>
      </c>
      <c r="H209" s="5" t="str">
        <f>IFERROR(__xludf.DUMMYFUNCTION("GOOGLETRANSLATE(C209, ""en"", ""hi"")"),"ए) बिशप को सुरक्षित स्थान पर ले जाएं, बी) प्रति-खेल बनाने के लिए प्यादों को आगे बढ़ाएं, सी) रानी को हमले में लाएं, डी) सरलीकरण के लिए बिशपों की अदला-बदली करें")</f>
        <v>ए) बिशप को सुरक्षित स्थान पर ले जाएं, बी) प्रति-खेल बनाने के लिए प्यादों को आगे बढ़ाएं, सी) रानी को हमले में लाएं, डी) सरलीकरण के लिए बिशपों की अदला-बदली करें</v>
      </c>
      <c r="I209" s="5" t="str">
        <f>IFERROR(__xludf.DUMMYFUNCTION("GOOGLETRANSLATE(D209, ""en"", ""hi"")"),"A) बिशप को सुरक्षित स्थान पर ले जाएं")</f>
        <v>A) बिशप को सुरक्षित स्थान पर ले जाएं</v>
      </c>
    </row>
    <row r="210" ht="22.5" customHeight="1">
      <c r="A210" s="2">
        <v>209.0</v>
      </c>
      <c r="B210" s="3" t="s">
        <v>1683</v>
      </c>
      <c r="C210" s="3" t="s">
        <v>1618</v>
      </c>
      <c r="D210" s="3" t="s">
        <v>1619</v>
      </c>
      <c r="F210" s="5" t="str">
        <f>IFERROR(__xludf.DUMMYFUNCTION("GOOGLETRANSLATE(A210, ""en"", ""hi"")"),"209")</f>
        <v>209</v>
      </c>
      <c r="G210" s="5" t="str">
        <f>IFERROR(__xludf.DUMMYFUNCTION("GOOGLETRANSLATE(B210, ""en"", ""hi"")"),"e6 पर सफ़ेद के पास एक मज़बूत मोहरा है, लेकिन काले के मोहरों में तालमेल अच्छा है। सफ़ेद की सबसे अच्छी चाल क्या है?")</f>
        <v>e6 पर सफ़ेद के पास एक मज़बूत मोहरा है, लेकिन काले के मोहरों में तालमेल अच्छा है। सफ़ेद की सबसे अच्छी चाल क्या है?</v>
      </c>
      <c r="H210" s="5" t="str">
        <f>IFERROR(__xludf.DUMMYFUNCTION("GOOGLETRANSLATE(C210, ""en"", ""hi"")"),"A) आगे बढ़ने के लिए मोहरे को धकेलना, B) मोहरों से मोहरे की रक्षा करना, C) काले की गतिविधि कम करने के लिए मोहरों की अदला-बदली करना, D) रानी की तरफ से काले के मोहरों पर हमला करना")</f>
        <v>A) आगे बढ़ने के लिए मोहरे को धकेलना, B) मोहरों से मोहरे की रक्षा करना, C) काले की गतिविधि कम करने के लिए मोहरों की अदला-बदली करना, D) रानी की तरफ से काले के मोहरों पर हमला करना</v>
      </c>
      <c r="I210" s="5" t="str">
        <f>IFERROR(__xludf.DUMMYFUNCTION("GOOGLETRANSLATE(D210, ""en"", ""hi"")"),"C) काले की गतिविधि को कम करने के लिए मोहरों का आदान-प्रदान करें")</f>
        <v>C) काले की गतिविधि को कम करने के लिए मोहरों का आदान-प्रदान करें</v>
      </c>
    </row>
    <row r="211" ht="22.5" customHeight="1">
      <c r="A211" s="2">
        <v>210.0</v>
      </c>
      <c r="B211" s="3" t="s">
        <v>1684</v>
      </c>
      <c r="C211" s="3" t="s">
        <v>1644</v>
      </c>
      <c r="D211" s="3" t="s">
        <v>1383</v>
      </c>
      <c r="F211" s="5" t="str">
        <f>IFERROR(__xludf.DUMMYFUNCTION("GOOGLETRANSLATE(A211, ""en"", ""hi"")"),"210")</f>
        <v>210</v>
      </c>
      <c r="G211" s="5" t="str">
        <f>IFERROR(__xludf.DUMMYFUNCTION("GOOGLETRANSLATE(B211, ""en"", ""hi"")"),"काले के पास c5 पर एक उन्नत मोहरा है, जबकि सफ़ेद के मोहरे ज़्यादा सक्रिय हैं। सफ़ेद को किस पर निशाना साधना चाहिए?")</f>
        <v>काले के पास c5 पर एक उन्नत मोहरा है, जबकि सफ़ेद के मोहरे ज़्यादा सक्रिय हैं। सफ़ेद को किस पर निशाना साधना चाहिए?</v>
      </c>
      <c r="H211" s="5" t="str">
        <f>IFERROR(__xludf.DUMMYFUNCTION("GOOGLETRANSLATE(C211, ""en"", ""hi"")"),"A) आगे बढ़े हुए मोहरे पर सीधे हमला करें, B) मोहरों की स्थिति सुधारें, C) प्यादों की अदला-बदली कर लाइनें खोलें, D) जवाबी हमले के लिए मोहरों को धकेलें")</f>
        <v>A) आगे बढ़े हुए मोहरे पर सीधे हमला करें, B) मोहरों की स्थिति सुधारें, C) प्यादों की अदला-बदली कर लाइनें खोलें, D) जवाबी हमले के लिए मोहरों को धकेलें</v>
      </c>
      <c r="I211" s="5" t="str">
        <f>IFERROR(__xludf.DUMMYFUNCTION("GOOGLETRANSLATE(D211, ""en"", ""hi"")"),"बी) मोहरों की स्थिति में सुधार करें")</f>
        <v>बी) मोहरों की स्थिति में सुधार करें</v>
      </c>
    </row>
    <row r="212" ht="22.5" customHeight="1">
      <c r="A212" s="2">
        <v>211.0</v>
      </c>
      <c r="B212" s="3" t="s">
        <v>1685</v>
      </c>
      <c r="C212" s="3" t="s">
        <v>1686</v>
      </c>
      <c r="D212" s="3" t="s">
        <v>1687</v>
      </c>
      <c r="F212" s="5" t="str">
        <f>IFERROR(__xludf.DUMMYFUNCTION("GOOGLETRANSLATE(A212, ""en"", ""hi"")"),"211")</f>
        <v>211</v>
      </c>
      <c r="G212" s="5" t="str">
        <f>IFERROR(__xludf.DUMMYFUNCTION("GOOGLETRANSLATE(B212, ""en"", ""hi"")"),"सफ़ेद का घोड़ा काली की रानी पर हमला कर रहा है, लेकिन काले का किश्ती खुली जगह पर सक्रिय है। सफ़ेद को क्या करना चाहिए?")</f>
        <v>सफ़ेद का घोड़ा काली की रानी पर हमला कर रहा है, लेकिन काले का किश्ती खुली जगह पर सक्रिय है। सफ़ेद को क्या करना चाहिए?</v>
      </c>
      <c r="H212" s="5" t="str">
        <f>IFERROR(__xludf.DUMMYFUNCTION("GOOGLETRANSLATE(C212, ""en"", ""hi"")"),"A) घोड़े को सुरक्षित स्थान पर ले जाएं, B) सरलीकरण के लिए रानियों की अदला-बदली करें, C) काले के हाथी पर दूसरे मोहरे से हमला करें, D) प्रति-खेल बनाने के लिए प्यादों को आगे बढ़ाएं")</f>
        <v>A) घोड़े को सुरक्षित स्थान पर ले जाएं, B) सरलीकरण के लिए रानियों की अदला-बदली करें, C) काले के हाथी पर दूसरे मोहरे से हमला करें, D) प्रति-खेल बनाने के लिए प्यादों को आगे बढ़ाएं</v>
      </c>
      <c r="I212" s="5" t="str">
        <f>IFERROR(__xludf.DUMMYFUNCTION("GOOGLETRANSLATE(D212, ""en"", ""hi"")"),"बी) सरलीकरण के लिए रानियों का आदान-प्रदान करें")</f>
        <v>बी) सरलीकरण के लिए रानियों का आदान-प्रदान करें</v>
      </c>
    </row>
    <row r="213" ht="22.5" customHeight="1">
      <c r="A213" s="2">
        <v>212.0</v>
      </c>
      <c r="B213" s="3" t="s">
        <v>1688</v>
      </c>
      <c r="C213" s="3" t="s">
        <v>1689</v>
      </c>
      <c r="D213" s="3" t="s">
        <v>1690</v>
      </c>
      <c r="F213" s="5" t="str">
        <f>IFERROR(__xludf.DUMMYFUNCTION("GOOGLETRANSLATE(A213, ""en"", ""hi"")"),"212")</f>
        <v>212</v>
      </c>
      <c r="G213" s="5" t="str">
        <f>IFERROR(__xludf.DUMMYFUNCTION("GOOGLETRANSLATE(B213, ""en"", ""hi"")"),"काले के पास सातवीं पंक्ति पर एक किश्ती है, जबकि सफेद के पास एक सक्रिय रानी है। सफेद की सबसे अच्छी रणनीति क्या है?")</f>
        <v>काले के पास सातवीं पंक्ति पर एक किश्ती है, जबकि सफेद के पास एक सक्रिय रानी है। सफेद की सबसे अच्छी रणनीति क्या है?</v>
      </c>
      <c r="H213" s="5" t="str">
        <f>IFERROR(__xludf.DUMMYFUNCTION("GOOGLETRANSLATE(C213, ""en"", ""hi"")"),"A) रानी और किश्ती को आक्रमण के लिए समन्वित करना, B) रानी की ओर के प्यादों को धकेलना, C) सरलीकरण के लिए किश्ती को बदलना, D) राजा को केंद्र में लाना")</f>
        <v>A) रानी और किश्ती को आक्रमण के लिए समन्वित करना, B) रानी की ओर के प्यादों को धकेलना, C) सरलीकरण के लिए किश्ती को बदलना, D) राजा को केंद्र में लाना</v>
      </c>
      <c r="I213" s="5" t="str">
        <f>IFERROR(__xludf.DUMMYFUNCTION("GOOGLETRANSLATE(D213, ""en"", ""hi"")"),"A) रानी और किश्ती को आक्रमण के लिए समन्वित करना")</f>
        <v>A) रानी और किश्ती को आक्रमण के लिए समन्वित करना</v>
      </c>
    </row>
    <row r="214" ht="22.5" customHeight="1">
      <c r="A214" s="2">
        <v>213.0</v>
      </c>
      <c r="B214" s="3" t="s">
        <v>1691</v>
      </c>
      <c r="C214" s="3" t="s">
        <v>1618</v>
      </c>
      <c r="D214" s="3" t="s">
        <v>1619</v>
      </c>
      <c r="F214" s="5" t="str">
        <f>IFERROR(__xludf.DUMMYFUNCTION("GOOGLETRANSLATE(A214, ""en"", ""hi"")"),"213")</f>
        <v>213</v>
      </c>
      <c r="G214" s="5" t="str">
        <f>IFERROR(__xludf.DUMMYFUNCTION("GOOGLETRANSLATE(B214, ""en"", ""hi"")"),"सफ़ेद के पास d6 पर एक शक्तिशाली मोहरा है, लेकिन काले के मोहरों में तालमेल अच्छा है। सफ़ेद को क्या करना चाहिए?")</f>
        <v>सफ़ेद के पास d6 पर एक शक्तिशाली मोहरा है, लेकिन काले के मोहरों में तालमेल अच्छा है। सफ़ेद को क्या करना चाहिए?</v>
      </c>
      <c r="H214" s="5" t="str">
        <f>IFERROR(__xludf.DUMMYFUNCTION("GOOGLETRANSLATE(C214, ""en"", ""hi"")"),"A) आगे बढ़ने के लिए मोहरे को धकेलना, B) मोहरों से मोहरे की रक्षा करना, C) काले की गतिविधि कम करने के लिए मोहरों की अदला-बदली करना, D) रानी की तरफ से काले के मोहरों पर हमला करना")</f>
        <v>A) आगे बढ़ने के लिए मोहरे को धकेलना, B) मोहरों से मोहरे की रक्षा करना, C) काले की गतिविधि कम करने के लिए मोहरों की अदला-बदली करना, D) रानी की तरफ से काले के मोहरों पर हमला करना</v>
      </c>
      <c r="I214" s="5" t="str">
        <f>IFERROR(__xludf.DUMMYFUNCTION("GOOGLETRANSLATE(D214, ""en"", ""hi"")"),"C) काले की गतिविधि को कम करने के लिए मोहरों का आदान-प्रदान करें")</f>
        <v>C) काले की गतिविधि को कम करने के लिए मोहरों का आदान-प्रदान करें</v>
      </c>
    </row>
    <row r="215" ht="22.5" customHeight="1">
      <c r="A215" s="2">
        <v>214.0</v>
      </c>
      <c r="B215" s="3" t="s">
        <v>1692</v>
      </c>
      <c r="C215" s="3" t="s">
        <v>1693</v>
      </c>
      <c r="D215" s="3" t="s">
        <v>1663</v>
      </c>
      <c r="F215" s="5" t="str">
        <f>IFERROR(__xludf.DUMMYFUNCTION("GOOGLETRANSLATE(A215, ""en"", ""hi"")"),"214")</f>
        <v>214</v>
      </c>
      <c r="G215" s="5" t="str">
        <f>IFERROR(__xludf.DUMMYFUNCTION("GOOGLETRANSLATE(B215, ""en"", ""hi"")"),"काले के पास एक बिशप का जोड़ा है, लेकिन सफ़ेद के प्यादे आगे हैं। काले की सबसे अच्छी चाल क्या है?")</f>
        <v>काले के पास एक बिशप का जोड़ा है, लेकिन सफ़ेद के प्यादे आगे हैं। काले की सबसे अच्छी चाल क्या है?</v>
      </c>
      <c r="H215" s="5" t="str">
        <f>IFERROR(__xludf.DUMMYFUNCTION("GOOGLETRANSLATE(C215, ""en"", ""hi"")"),"A) प्रमुख विकर्णों को नियंत्रित करने के लिए बिशप का उपयोग करें, B) प्रति-खेल बनाने के लिए प्यादों को धकेलें, C) एक बिशप को एक किश्ती से बदलें, D) किंगसाइड पर सफेद के प्यादों पर हमला करें")</f>
        <v>A) प्रमुख विकर्णों को नियंत्रित करने के लिए बिशप का उपयोग करें, B) प्रति-खेल बनाने के लिए प्यादों को धकेलें, C) एक बिशप को एक किश्ती से बदलें, D) किंगसाइड पर सफेद के प्यादों पर हमला करें</v>
      </c>
      <c r="I215" s="5" t="str">
        <f>IFERROR(__xludf.DUMMYFUNCTION("GOOGLETRANSLATE(D215, ""en"", ""hi"")"),"A) कुंजी विकर्णों को नियंत्रित करने के लिए बिशप का उपयोग करें")</f>
        <v>A) कुंजी विकर्णों को नियंत्रित करने के लिए बिशप का उपयोग करें</v>
      </c>
    </row>
    <row r="216" ht="22.5" customHeight="1">
      <c r="A216" s="2">
        <v>215.0</v>
      </c>
      <c r="B216" s="3" t="s">
        <v>1694</v>
      </c>
      <c r="C216" s="3" t="s">
        <v>1676</v>
      </c>
      <c r="D216" s="3" t="s">
        <v>1677</v>
      </c>
      <c r="F216" s="5" t="str">
        <f>IFERROR(__xludf.DUMMYFUNCTION("GOOGLETRANSLATE(A216, ""en"", ""hi"")"),"215")</f>
        <v>215</v>
      </c>
      <c r="G216" s="5" t="str">
        <f>IFERROR(__xludf.DUMMYFUNCTION("GOOGLETRANSLATE(B216, ""en"", ""hi"")"),"सफ़ेद के पास राजा की तरफ़ एक किश्ती और एक मोहरा है, जबकि काले का राजा खुला है। सफ़ेद को किस पर ध्यान केंद्रित करना चाहिए?")</f>
        <v>सफ़ेद के पास राजा की तरफ़ एक किश्ती और एक मोहरा है, जबकि काले का राजा खुला है। सफ़ेद को किस पर ध्यान केंद्रित करना चाहिए?</v>
      </c>
      <c r="H216" s="5" t="str">
        <f>IFERROR(__xludf.DUMMYFUNCTION("GOOGLETRANSLATE(C216, ""en"", ""hi"")"),"A) आक्रमण करने के लिए किश्ती और मोहरे का समन्वय करना, B) मोहरों को रानी की ओर धकेलना, C) सरलीकरण के लिए किश्ती बदलना, D) राजा को खेल में लाना")</f>
        <v>A) आक्रमण करने के लिए किश्ती और मोहरे का समन्वय करना, B) मोहरों को रानी की ओर धकेलना, C) सरलीकरण के लिए किश्ती बदलना, D) राजा को खेल में लाना</v>
      </c>
      <c r="I216" s="5" t="str">
        <f>IFERROR(__xludf.DUMMYFUNCTION("GOOGLETRANSLATE(D216, ""en"", ""hi"")"),"A) आक्रमण करने के लिए किश्ती और मोहरे का समन्वय करें")</f>
        <v>A) आक्रमण करने के लिए किश्ती और मोहरे का समन्वय करें</v>
      </c>
    </row>
    <row r="217" ht="22.5" customHeight="1">
      <c r="A217" s="2">
        <v>216.0</v>
      </c>
      <c r="B217" s="3" t="s">
        <v>1695</v>
      </c>
      <c r="C217" s="3" t="s">
        <v>1674</v>
      </c>
      <c r="D217" s="3" t="s">
        <v>1675</v>
      </c>
      <c r="F217" s="5" t="str">
        <f>IFERROR(__xludf.DUMMYFUNCTION("GOOGLETRANSLATE(A217, ""en"", ""hi"")"),"216")</f>
        <v>216</v>
      </c>
      <c r="G217" s="5" t="str">
        <f>IFERROR(__xludf.DUMMYFUNCTION("GOOGLETRANSLATE(B217, ""en"", ""hi"")"),"काले के पास सातवीं पंक्ति पर एक हाथी है, लेकिन सफ़ेद का राजा पूरी तरह सुरक्षित है। काले को क्या करना चाहिए?")</f>
        <v>काले के पास सातवीं पंक्ति पर एक हाथी है, लेकिन सफ़ेद का राजा पूरी तरह सुरक्षित है। काले को क्या करना चाहिए?</v>
      </c>
      <c r="H217" s="5" t="str">
        <f>IFERROR(__xludf.DUMMYFUNCTION("GOOGLETRANSLATE(C217, ""en"", ""hi"")"),"A) सफ़ेद पक्ष के प्यादों पर आक्रमण करने के लिए किश्ती का प्रयोग करें, B) प्यादों को रानी पक्ष की ओर धकेलें, C) सरलीकरण के लिए किश्ती बदलें, D) रानी को आक्रमण में शामिल करें")</f>
        <v>A) सफ़ेद पक्ष के प्यादों पर आक्रमण करने के लिए किश्ती का प्रयोग करें, B) प्यादों को रानी पक्ष की ओर धकेलें, C) सरलीकरण के लिए किश्ती बदलें, D) रानी को आक्रमण में शामिल करें</v>
      </c>
      <c r="I217" s="5" t="str">
        <f>IFERROR(__xludf.DUMMYFUNCTION("GOOGLETRANSLATE(D217, ""en"", ""hi"")"),"A) सफ़ेद के प्यादों पर हमला करने के लिए किश्ती का उपयोग करें")</f>
        <v>A) सफ़ेद के प्यादों पर हमला करने के लिए किश्ती का उपयोग करें</v>
      </c>
    </row>
    <row r="218" ht="22.5" customHeight="1">
      <c r="A218" s="2">
        <v>217.0</v>
      </c>
      <c r="B218" s="3" t="s">
        <v>1696</v>
      </c>
      <c r="C218" s="3" t="s">
        <v>1646</v>
      </c>
      <c r="D218" s="3" t="s">
        <v>1647</v>
      </c>
      <c r="F218" s="5" t="str">
        <f>IFERROR(__xludf.DUMMYFUNCTION("GOOGLETRANSLATE(A218, ""en"", ""hi"")"),"217")</f>
        <v>217</v>
      </c>
      <c r="G218" s="5" t="str">
        <f>IFERROR(__xludf.DUMMYFUNCTION("GOOGLETRANSLATE(B218, ""en"", ""hi"")"),"सफ़ेद के पास एक घोड़ा और एक बिशप है, लेकिन काले के पास एक रानी है। सफ़ेद को किस पर ध्यान केंद्रित करना चाहिए?")</f>
        <v>सफ़ेद के पास एक घोड़ा और एक बिशप है, लेकिन काले के पास एक रानी है। सफ़ेद को किस पर ध्यान केंद्रित करना चाहिए?</v>
      </c>
      <c r="H218" s="5" t="str">
        <f>IFERROR(__xludf.DUMMYFUNCTION("GOOGLETRANSLATE(C218, ""en"", ""hi"")"),"ए) हमले के लिए घोड़े और बिशप का समन्वय करें, बी) सरलीकरण के लिए मोहरों की अदला-बदली करें, सी) जवाबी हमले के लिए प्यादों को आगे बढ़ाएं, डी) मोहरों से घोड़े की रक्षा करें")</f>
        <v>ए) हमले के लिए घोड़े और बिशप का समन्वय करें, बी) सरलीकरण के लिए मोहरों की अदला-बदली करें, सी) जवाबी हमले के लिए प्यादों को आगे बढ़ाएं, डी) मोहरों से घोड़े की रक्षा करें</v>
      </c>
      <c r="I218" s="5" t="str">
        <f>IFERROR(__xludf.DUMMYFUNCTION("GOOGLETRANSLATE(D218, ""en"", ""hi"")"),"A) हमले के लिए नाइट और बिशप का समन्वय करना")</f>
        <v>A) हमले के लिए नाइट और बिशप का समन्वय करना</v>
      </c>
    </row>
    <row r="219" ht="22.5" customHeight="1">
      <c r="A219" s="2">
        <v>218.0</v>
      </c>
      <c r="B219" s="3" t="s">
        <v>1697</v>
      </c>
      <c r="C219" s="3" t="s">
        <v>1644</v>
      </c>
      <c r="D219" s="3" t="s">
        <v>1383</v>
      </c>
      <c r="F219" s="5" t="str">
        <f>IFERROR(__xludf.DUMMYFUNCTION("GOOGLETRANSLATE(A219, ""en"", ""hi"")"),"218")</f>
        <v>218</v>
      </c>
      <c r="G219" s="5" t="str">
        <f>IFERROR(__xludf.DUMMYFUNCTION("GOOGLETRANSLATE(B219, ""en"", ""hi"")"),"काले के पास c5 पर एक उन्नत मोहरा है, जबकि सफ़ेद के मोहरे सक्रिय हैं। सफ़ेद को क्या करना चाहिए?")</f>
        <v>काले के पास c5 पर एक उन्नत मोहरा है, जबकि सफ़ेद के मोहरे सक्रिय हैं। सफ़ेद को क्या करना चाहिए?</v>
      </c>
      <c r="H219" s="5" t="str">
        <f>IFERROR(__xludf.DUMMYFUNCTION("GOOGLETRANSLATE(C219, ""en"", ""hi"")"),"A) आगे बढ़े हुए मोहरे पर सीधे हमला करें, B) मोहरों की स्थिति सुधारें, C) प्यादों की अदला-बदली कर लाइनें खोलें, D) जवाबी हमले के लिए मोहरों को धकेलें")</f>
        <v>A) आगे बढ़े हुए मोहरे पर सीधे हमला करें, B) मोहरों की स्थिति सुधारें, C) प्यादों की अदला-बदली कर लाइनें खोलें, D) जवाबी हमले के लिए मोहरों को धकेलें</v>
      </c>
      <c r="I219" s="5" t="str">
        <f>IFERROR(__xludf.DUMMYFUNCTION("GOOGLETRANSLATE(D219, ""en"", ""hi"")"),"बी) मोहरों की स्थिति में सुधार करें")</f>
        <v>बी) मोहरों की स्थिति में सुधार करें</v>
      </c>
    </row>
    <row r="220" ht="22.5" customHeight="1">
      <c r="A220" s="2">
        <v>219.0</v>
      </c>
      <c r="B220" s="3" t="s">
        <v>1698</v>
      </c>
      <c r="C220" s="3" t="s">
        <v>1652</v>
      </c>
      <c r="D220" s="3" t="s">
        <v>1584</v>
      </c>
      <c r="F220" s="5" t="str">
        <f>IFERROR(__xludf.DUMMYFUNCTION("GOOGLETRANSLATE(A220, ""en"", ""hi"")"),"219")</f>
        <v>219</v>
      </c>
      <c r="G220" s="5" t="str">
        <f>IFERROR(__xludf.DUMMYFUNCTION("GOOGLETRANSLATE(B220, ""en"", ""hi"")"),"सफ़ेद के पास b7 पर एक उन्नत मोहरा है, लेकिन काले के मोहरे सक्रिय हैं। सफ़ेद को क्या करना चाहिए?")</f>
        <v>सफ़ेद के पास b7 पर एक उन्नत मोहरा है, लेकिन काले के मोहरे सक्रिय हैं। सफ़ेद को क्या करना चाहिए?</v>
      </c>
      <c r="H220" s="5" t="str">
        <f>IFERROR(__xludf.DUMMYFUNCTION("GOOGLETRANSLATE(C220, ""en"", ""hi"")"),"A) मोहरे को आगे बढ़ाने के लिए धक्का दें, B) मोहरों से मोहरे की रक्षा करें, C) सरलीकरण के लिए मोहरों की अदला-बदली करें, D) राजा की ओर से काले मोहरों पर हमला करें")</f>
        <v>A) मोहरे को आगे बढ़ाने के लिए धक्का दें, B) मोहरों से मोहरे की रक्षा करें, C) सरलीकरण के लिए मोहरों की अदला-बदली करें, D) राजा की ओर से काले मोहरों पर हमला करें</v>
      </c>
      <c r="I220" s="5" t="str">
        <f>IFERROR(__xludf.DUMMYFUNCTION("GOOGLETRANSLATE(D220, ""en"", ""hi"")"),"A) मोहरे को पदोन्नति की ओर धकेलना")</f>
        <v>A) मोहरे को पदोन्नति की ओर धकेलना</v>
      </c>
    </row>
    <row r="221" ht="22.5" customHeight="1">
      <c r="A221" s="2">
        <v>220.0</v>
      </c>
      <c r="B221" s="3" t="s">
        <v>1653</v>
      </c>
      <c r="C221" s="3" t="s">
        <v>1654</v>
      </c>
      <c r="D221" s="3" t="s">
        <v>1610</v>
      </c>
      <c r="F221" s="5" t="str">
        <f>IFERROR(__xludf.DUMMYFUNCTION("GOOGLETRANSLATE(A221, ""en"", ""hi"")"),"220")</f>
        <v>220</v>
      </c>
      <c r="G221" s="5" t="str">
        <f>IFERROR(__xludf.DUMMYFUNCTION("GOOGLETRANSLATE(B221, ""en"", ""hi"")"),"काले के पास राजा की तरफ़ एक किश्ती और एक मोहरा है, जबकि सफ़ेद का राजा सामने है। काले को क्या करना चाहिए?")</f>
        <v>काले के पास राजा की तरफ़ एक किश्ती और एक मोहरा है, जबकि सफ़ेद का राजा सामने है। काले को क्या करना चाहिए?</v>
      </c>
      <c r="H221" s="5" t="str">
        <f>IFERROR(__xludf.DUMMYFUNCTION("GOOGLETRANSLATE(C221, ""en"", ""hi"")"),"A) सफ़ेद के बादशाह पर हमला करने के लिए हाथी का इस्तेमाल करें, B) ख़तरा पैदा करने के लिए मोहरे को धकेलें, C) सरलीकरण के लिए हाथी बदलें, D) रानी को हमले में शामिल करें")</f>
        <v>A) सफ़ेद के बादशाह पर हमला करने के लिए हाथी का इस्तेमाल करें, B) ख़तरा पैदा करने के लिए मोहरे को धकेलें, C) सरलीकरण के लिए हाथी बदलें, D) रानी को हमले में शामिल करें</v>
      </c>
      <c r="I221" s="5" t="str">
        <f>IFERROR(__xludf.DUMMYFUNCTION("GOOGLETRANSLATE(D221, ""en"", ""hi"")"),"A) सफ़ेद के बादशाह पर हमला करने के लिए हाथी का उपयोग करें")</f>
        <v>A) सफ़ेद के बादशाह पर हमला करने के लिए हाथी का उपयोग करें</v>
      </c>
    </row>
    <row r="222" ht="22.5" customHeight="1">
      <c r="A222" s="2">
        <v>221.0</v>
      </c>
      <c r="B222" s="3" t="s">
        <v>1699</v>
      </c>
      <c r="C222" s="3" t="s">
        <v>1656</v>
      </c>
      <c r="D222" s="3" t="s">
        <v>1657</v>
      </c>
      <c r="F222" s="5" t="str">
        <f>IFERROR(__xludf.DUMMYFUNCTION("GOOGLETRANSLATE(A222, ""en"", ""hi"")"),"221")</f>
        <v>221</v>
      </c>
      <c r="G222" s="5" t="str">
        <f>IFERROR(__xludf.DUMMYFUNCTION("GOOGLETRANSLATE(B222, ""en"", ""hi"")"),"सफ़ेद का हाथी खुली जगह पर है, लेकिन काले का राजा पूरी तरह सुरक्षित है। सफ़ेद को इस स्थिति पर कैसे ध्यान केंद्रित करना चाहिए?")</f>
        <v>सफ़ेद का हाथी खुली जगह पर है, लेकिन काले का राजा पूरी तरह सुरक्षित है। सफ़ेद को इस स्थिति पर कैसे ध्यान केंद्रित करना चाहिए?</v>
      </c>
      <c r="H222" s="5" t="str">
        <f>IFERROR(__xludf.DUMMYFUNCTION("GOOGLETRANSLATE(C222, ""en"", ""hi"")"),"A) खुली फाइल पर रूक को दोगुना करें, B) रानी की तरफ के प्यादों को धकेलें, C) सरलीकरण के लिए रूक बदलें, D) राजा की तरफ के काले के प्यादों पर हमला करें")</f>
        <v>A) खुली फाइल पर रूक को दोगुना करें, B) रानी की तरफ के प्यादों को धकेलें, C) सरलीकरण के लिए रूक बदलें, D) राजा की तरफ के काले के प्यादों पर हमला करें</v>
      </c>
      <c r="I222" s="5" t="str">
        <f>IFERROR(__xludf.DUMMYFUNCTION("GOOGLETRANSLATE(D222, ""en"", ""hi"")"),"A) खुली फाइल पर रूक्स को दोगुना करें")</f>
        <v>A) खुली फाइल पर रूक्स को दोगुना करें</v>
      </c>
    </row>
    <row r="223" ht="22.5" customHeight="1">
      <c r="A223" s="2">
        <v>222.0</v>
      </c>
      <c r="B223" s="3" t="s">
        <v>1700</v>
      </c>
      <c r="C223" s="3" t="s">
        <v>1639</v>
      </c>
      <c r="D223" s="3" t="s">
        <v>1626</v>
      </c>
      <c r="F223" s="5" t="str">
        <f>IFERROR(__xludf.DUMMYFUNCTION("GOOGLETRANSLATE(A223, ""en"", ""hi"")"),"222")</f>
        <v>222</v>
      </c>
      <c r="G223" s="5" t="str">
        <f>IFERROR(__xludf.DUMMYFUNCTION("GOOGLETRANSLATE(B223, ""en"", ""hi"")"),"काले का घोड़ा चौकी पर है, लेकिन सफेद का बिशप मुख्य विकर्णों को नियंत्रित कर रहा है। काले को क्या करना चाहिए?")</f>
        <v>काले का घोड़ा चौकी पर है, लेकिन सफेद का बिशप मुख्य विकर्णों को नियंत्रित कर रहा है। काले को क्या करना चाहिए?</v>
      </c>
      <c r="H223" s="5" t="str">
        <f>IFERROR(__xludf.DUMMYFUNCTION("GOOGLETRANSLATE(C223, ""en"", ""hi"")"),"A)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f>
        <v>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v>
      </c>
      <c r="I223" s="5" t="str">
        <f>IFERROR(__xludf.DUMMYFUNCTION("GOOGLETRANSLATE(D223, ""en"", ""hi"")"),"A) सफ़ेद के मोहरों पर हमला करने के लिए घोड़े का उपयोग करें")</f>
        <v>A) सफ़ेद के मोहरों पर हमला करने के लिए घोड़े का उपयोग करें</v>
      </c>
    </row>
    <row r="224" ht="22.5" customHeight="1">
      <c r="A224" s="2">
        <v>223.0</v>
      </c>
      <c r="B224" s="3" t="s">
        <v>1701</v>
      </c>
      <c r="C224" s="3" t="s">
        <v>1618</v>
      </c>
      <c r="D224" s="3" t="s">
        <v>1619</v>
      </c>
      <c r="F224" s="5" t="str">
        <f>IFERROR(__xludf.DUMMYFUNCTION("GOOGLETRANSLATE(A224, ""en"", ""hi"")"),"223")</f>
        <v>223</v>
      </c>
      <c r="G224" s="5" t="str">
        <f>IFERROR(__xludf.DUMMYFUNCTION("GOOGLETRANSLATE(B224, ""en"", ""hi"")"),"सफ़ेद के पास e6 पर एक उन्नत मोहरा है, लेकिन काले के मोहरों का तालमेल अच्छा है। सफ़ेद की सबसे अच्छी चाल क्या है?")</f>
        <v>सफ़ेद के पास e6 पर एक उन्नत मोहरा है, लेकिन काले के मोहरों का तालमेल अच्छा है। सफ़ेद की सबसे अच्छी चाल क्या है?</v>
      </c>
      <c r="H224" s="5" t="str">
        <f>IFERROR(__xludf.DUMMYFUNCTION("GOOGLETRANSLATE(C224, ""en"", ""hi"")"),"A) आगे बढ़ने के लिए मोहरे को धकेलना, B) मोहरों से मोहरे की रक्षा करना, C) काले की गतिविधि कम करने के लिए मोहरों की अदला-बदली करना, D) रानी की तरफ से काले के मोहरों पर हमला करना")</f>
        <v>A) आगे बढ़ने के लिए मोहरे को धकेलना, B) मोहरों से मोहरे की रक्षा करना, C) काले की गतिविधि कम करने के लिए मोहरों की अदला-बदली करना, D) रानी की तरफ से काले के मोहरों पर हमला करना</v>
      </c>
      <c r="I224" s="5" t="str">
        <f>IFERROR(__xludf.DUMMYFUNCTION("GOOGLETRANSLATE(D224, ""en"", ""hi"")"),"C) काले की गतिविधि को कम करने के लिए मोहरों का आदान-प्रदान करें")</f>
        <v>C) काले की गतिविधि को कम करने के लिए मोहरों का आदान-प्रदान करें</v>
      </c>
    </row>
    <row r="225" ht="22.5" customHeight="1">
      <c r="A225" s="2">
        <v>224.0</v>
      </c>
      <c r="B225" s="3" t="s">
        <v>1702</v>
      </c>
      <c r="C225" s="3" t="s">
        <v>1644</v>
      </c>
      <c r="D225" s="3" t="s">
        <v>1383</v>
      </c>
      <c r="F225" s="5" t="str">
        <f>IFERROR(__xludf.DUMMYFUNCTION("GOOGLETRANSLATE(A225, ""en"", ""hi"")"),"224")</f>
        <v>224</v>
      </c>
      <c r="G225" s="5" t="str">
        <f>IFERROR(__xludf.DUMMYFUNCTION("GOOGLETRANSLATE(B225, ""en"", ""hi"")"),"d4 पर काले के पास एक मज़बूत मोहरा है, जबकि सफ़ेद के मोहरे सक्रिय हैं। सफ़ेद को क्या करना चाहिए?")</f>
        <v>d4 पर काले के पास एक मज़बूत मोहरा है, जबकि सफ़ेद के मोहरे सक्रिय हैं। सफ़ेद को क्या करना चाहिए?</v>
      </c>
      <c r="H225" s="5" t="str">
        <f>IFERROR(__xludf.DUMMYFUNCTION("GOOGLETRANSLATE(C225, ""en"", ""hi"")"),"A) आगे बढ़े हुए मोहरे पर सीधे हमला करें, B) मोहरों की स्थिति सुधारें, C) प्यादों की अदला-बदली कर लाइनें खोलें, D) जवाबी हमले के लिए मोहरों को धकेलें")</f>
        <v>A) आगे बढ़े हुए मोहरे पर सीधे हमला करें, B) मोहरों की स्थिति सुधारें, C) प्यादों की अदला-बदली कर लाइनें खोलें, D) जवाबी हमले के लिए मोहरों को धकेलें</v>
      </c>
      <c r="I225" s="5" t="str">
        <f>IFERROR(__xludf.DUMMYFUNCTION("GOOGLETRANSLATE(D225, ""en"", ""hi"")"),"बी) मोहरों की स्थिति में सुधार करें")</f>
        <v>बी) मोहरों की स्थिति में सुधार करें</v>
      </c>
    </row>
    <row r="226" ht="22.5" customHeight="1">
      <c r="A226" s="2">
        <v>225.0</v>
      </c>
      <c r="B226" s="3" t="s">
        <v>1703</v>
      </c>
      <c r="C226" s="3" t="s">
        <v>1656</v>
      </c>
      <c r="D226" s="3" t="s">
        <v>1657</v>
      </c>
      <c r="F226" s="5" t="str">
        <f>IFERROR(__xludf.DUMMYFUNCTION("GOOGLETRANSLATE(A226, ""en"", ""hi"")"),"225")</f>
        <v>225</v>
      </c>
      <c r="G226" s="5" t="str">
        <f>IFERROR(__xludf.DUMMYFUNCTION("GOOGLETRANSLATE(B226, ""en"", ""hi"")"),"सफ़ेद के पास खुले मैदान में एक हाथी है, लेकिन काले का राजा पूरी तरह सुरक्षित है। सफ़ेद को क्या करना चाहिए?")</f>
        <v>सफ़ेद के पास खुले मैदान में एक हाथी है, लेकिन काले का राजा पूरी तरह सुरक्षित है। सफ़ेद को क्या करना चाहिए?</v>
      </c>
      <c r="H226" s="5" t="str">
        <f>IFERROR(__xludf.DUMMYFUNCTION("GOOGLETRANSLATE(C226, ""en"", ""hi"")"),"A) खुली फाइल पर रूक को दोगुना करें, B) रानी की तरफ के प्यादों को धकेलें, C) सरलीकरण के लिए रूक बदलें, D) राजा की तरफ के काले के प्यादों पर हमला करें")</f>
        <v>A) खुली फाइल पर रूक को दोगुना करें, B) रानी की तरफ के प्यादों को धकेलें, C) सरलीकरण के लिए रूक बदलें, D) राजा की तरफ के काले के प्यादों पर हमला करें</v>
      </c>
      <c r="I226" s="5" t="str">
        <f>IFERROR(__xludf.DUMMYFUNCTION("GOOGLETRANSLATE(D226, ""en"", ""hi"")"),"A) खुली फाइल पर रूक्स को दोगुना करें")</f>
        <v>A) खुली फाइल पर रूक्स को दोगुना करें</v>
      </c>
    </row>
    <row r="227" ht="22.5" customHeight="1">
      <c r="A227" s="2">
        <v>226.0</v>
      </c>
      <c r="B227" s="3" t="s">
        <v>1680</v>
      </c>
      <c r="C227" s="3" t="s">
        <v>1681</v>
      </c>
      <c r="D227" s="3" t="s">
        <v>1682</v>
      </c>
      <c r="F227" s="5" t="str">
        <f>IFERROR(__xludf.DUMMYFUNCTION("GOOGLETRANSLATE(A227, ""en"", ""hi"")"),"226")</f>
        <v>226</v>
      </c>
      <c r="G227" s="5" t="str">
        <f>IFERROR(__xludf.DUMMYFUNCTION("GOOGLETRANSLATE(B227, ""en"", ""hi"")"),"काले का बिशप सफ़ेद के हाथी से घिरा हुआ है, लेकिन सफ़ेद का राजा पूरी तरह सुरक्षित है। काले को क्या करना चाहिए?")</f>
        <v>काले का बिशप सफ़ेद के हाथी से घिरा हुआ है, लेकिन सफ़ेद का राजा पूरी तरह सुरक्षित है। काले को क्या करना चाहिए?</v>
      </c>
      <c r="H227" s="5" t="str">
        <f>IFERROR(__xludf.DUMMYFUNCTION("GOOGLETRANSLATE(C227, ""en"", ""hi"")"),"ए) बिशप को सुरक्षित स्थान पर ले जाएं, बी) प्रति-खेल बनाने के लिए प्यादों को आगे बढ़ाएं, सी) रानी को हमले में लाएं, डी) सरलीकरण के लिए बिशपों की अदला-बदली करें")</f>
        <v>ए) बिशप को सुरक्षित स्थान पर ले जाएं, बी) प्रति-खेल बनाने के लिए प्यादों को आगे बढ़ाएं, सी) रानी को हमले में लाएं, डी) सरलीकरण के लिए बिशपों की अदला-बदली करें</v>
      </c>
      <c r="I227" s="5" t="str">
        <f>IFERROR(__xludf.DUMMYFUNCTION("GOOGLETRANSLATE(D227, ""en"", ""hi"")"),"A) बिशप को सुरक्षित स्थान पर ले जाएं")</f>
        <v>A) बिशप को सुरक्षित स्थान पर ले जाएं</v>
      </c>
    </row>
    <row r="228" ht="22.5" customHeight="1">
      <c r="A228" s="2">
        <v>227.0</v>
      </c>
      <c r="B228" s="3" t="s">
        <v>1691</v>
      </c>
      <c r="C228" s="3" t="s">
        <v>1618</v>
      </c>
      <c r="D228" s="3" t="s">
        <v>1619</v>
      </c>
      <c r="F228" s="5" t="str">
        <f>IFERROR(__xludf.DUMMYFUNCTION("GOOGLETRANSLATE(A228, ""en"", ""hi"")"),"227")</f>
        <v>227</v>
      </c>
      <c r="G228" s="5" t="str">
        <f>IFERROR(__xludf.DUMMYFUNCTION("GOOGLETRANSLATE(B228, ""en"", ""hi"")"),"सफ़ेद के पास d6 पर एक शक्तिशाली मोहरा है, लेकिन काले के मोहरों में तालमेल अच्छा है। सफ़ेद को क्या करना चाहिए?")</f>
        <v>सफ़ेद के पास d6 पर एक शक्तिशाली मोहरा है, लेकिन काले के मोहरों में तालमेल अच्छा है। सफ़ेद को क्या करना चाहिए?</v>
      </c>
      <c r="H228" s="5" t="str">
        <f>IFERROR(__xludf.DUMMYFUNCTION("GOOGLETRANSLATE(C228, ""en"", ""hi"")"),"A) आगे बढ़ने के लिए मोहरे को धकेलना, B) मोहरों से मोहरे की रक्षा करना, C) काले की गतिविधि कम करने के लिए मोहरों की अदला-बदली करना, D) रानी की तरफ से काले के मोहरों पर हमला करना")</f>
        <v>A) आगे बढ़ने के लिए मोहरे को धकेलना, B) मोहरों से मोहरे की रक्षा करना, C) काले की गतिविधि कम करने के लिए मोहरों की अदला-बदली करना, D) रानी की तरफ से काले के मोहरों पर हमला करना</v>
      </c>
      <c r="I228" s="5" t="str">
        <f>IFERROR(__xludf.DUMMYFUNCTION("GOOGLETRANSLATE(D228, ""en"", ""hi"")"),"C) काले की गतिविधि को कम करने के लिए मोहरों का आदान-प्रदान करें")</f>
        <v>C) काले की गतिविधि को कम करने के लिए मोहरों का आदान-प्रदान करें</v>
      </c>
    </row>
    <row r="229" ht="22.5" customHeight="1">
      <c r="A229" s="2">
        <v>228.0</v>
      </c>
      <c r="B229" s="3" t="s">
        <v>1704</v>
      </c>
      <c r="C229" s="3" t="s">
        <v>1689</v>
      </c>
      <c r="D229" s="3" t="s">
        <v>1690</v>
      </c>
      <c r="F229" s="5" t="str">
        <f>IFERROR(__xludf.DUMMYFUNCTION("GOOGLETRANSLATE(A229, ""en"", ""hi"")"),"228")</f>
        <v>228</v>
      </c>
      <c r="G229" s="5" t="str">
        <f>IFERROR(__xludf.DUMMYFUNCTION("GOOGLETRANSLATE(B229, ""en"", ""hi"")"),"काले के पास सातवीं पंक्ति पर एक किश्ती है, जबकि सफेद के पास एक सक्रिय रानी है। सफेद को किस पर ध्यान केंद्रित करना चाहिए?")</f>
        <v>काले के पास सातवीं पंक्ति पर एक किश्ती है, जबकि सफेद के पास एक सक्रिय रानी है। सफेद को किस पर ध्यान केंद्रित करना चाहिए?</v>
      </c>
      <c r="H229" s="5" t="str">
        <f>IFERROR(__xludf.DUMMYFUNCTION("GOOGLETRANSLATE(C229, ""en"", ""hi"")"),"A) रानी और किश्ती को आक्रमण के लिए समन्वित करना, B) रानी की ओर के प्यादों को धकेलना, C) सरलीकरण के लिए किश्ती को बदलना, D) राजा को केंद्र में लाना")</f>
        <v>A) रानी और किश्ती को आक्रमण के लिए समन्वित करना, B) रानी की ओर के प्यादों को धकेलना, C) सरलीकरण के लिए किश्ती को बदलना, D) राजा को केंद्र में लाना</v>
      </c>
      <c r="I229" s="5" t="str">
        <f>IFERROR(__xludf.DUMMYFUNCTION("GOOGLETRANSLATE(D229, ""en"", ""hi"")"),"A) रानी और किश्ती को आक्रमण के लिए समन्वित करना")</f>
        <v>A) रानी और किश्ती को आक्रमण के लिए समन्वित करना</v>
      </c>
    </row>
    <row r="230" ht="22.5" customHeight="1">
      <c r="A230" s="2">
        <v>229.0</v>
      </c>
      <c r="B230" s="3" t="s">
        <v>1698</v>
      </c>
      <c r="C230" s="3" t="s">
        <v>1652</v>
      </c>
      <c r="D230" s="3" t="s">
        <v>1584</v>
      </c>
      <c r="F230" s="5" t="str">
        <f>IFERROR(__xludf.DUMMYFUNCTION("GOOGLETRANSLATE(A230, ""en"", ""hi"")"),"229")</f>
        <v>229</v>
      </c>
      <c r="G230" s="5" t="str">
        <f>IFERROR(__xludf.DUMMYFUNCTION("GOOGLETRANSLATE(B230, ""en"", ""hi"")"),"सफ़ेद के पास b7 पर एक उन्नत मोहरा है, लेकिन काले के मोहरे सक्रिय हैं। सफ़ेद को क्या करना चाहिए?")</f>
        <v>सफ़ेद के पास b7 पर एक उन्नत मोहरा है, लेकिन काले के मोहरे सक्रिय हैं। सफ़ेद को क्या करना चाहिए?</v>
      </c>
      <c r="H230" s="5" t="str">
        <f>IFERROR(__xludf.DUMMYFUNCTION("GOOGLETRANSLATE(C230, ""en"", ""hi"")"),"A) मोहरे को आगे बढ़ाने के लिए धक्का दें, B) मोहरों से मोहरे की रक्षा करें, C) सरलीकरण के लिए मोहरों की अदला-बदली करें, D) राजा की ओर से काले मोहरों पर हमला करें")</f>
        <v>A) मोहरे को आगे बढ़ाने के लिए धक्का दें, B) मोहरों से मोहरे की रक्षा करें, C) सरलीकरण के लिए मोहरों की अदला-बदली करें, D) राजा की ओर से काले मोहरों पर हमला करें</v>
      </c>
      <c r="I230" s="5" t="str">
        <f>IFERROR(__xludf.DUMMYFUNCTION("GOOGLETRANSLATE(D230, ""en"", ""hi"")"),"A) मोहरे को पदोन्नति की ओर धकेलना")</f>
        <v>A) मोहरे को पदोन्नति की ओर धकेलना</v>
      </c>
    </row>
    <row r="231" ht="22.5" customHeight="1">
      <c r="A231" s="2">
        <v>230.0</v>
      </c>
      <c r="B231" s="3" t="s">
        <v>1653</v>
      </c>
      <c r="C231" s="3" t="s">
        <v>1654</v>
      </c>
      <c r="D231" s="3" t="s">
        <v>1610</v>
      </c>
      <c r="F231" s="5" t="str">
        <f>IFERROR(__xludf.DUMMYFUNCTION("GOOGLETRANSLATE(A231, ""en"", ""hi"")"),"230")</f>
        <v>230</v>
      </c>
      <c r="G231" s="5" t="str">
        <f>IFERROR(__xludf.DUMMYFUNCTION("GOOGLETRANSLATE(B231, ""en"", ""hi"")"),"काले के पास राजा की तरफ़ एक किश्ती और एक मोहरा है, जबकि सफ़ेद का राजा सामने है। काले को क्या करना चाहिए?")</f>
        <v>काले के पास राजा की तरफ़ एक किश्ती और एक मोहरा है, जबकि सफ़ेद का राजा सामने है। काले को क्या करना चाहिए?</v>
      </c>
      <c r="H231" s="5" t="str">
        <f>IFERROR(__xludf.DUMMYFUNCTION("GOOGLETRANSLATE(C231, ""en"", ""hi"")"),"A) सफ़ेद के बादशाह पर हमला करने के लिए हाथी का इस्तेमाल करें, B) ख़तरा पैदा करने के लिए मोहरे को धकेलें, C) सरलीकरण के लिए हाथी बदलें, D) रानी को हमले में शामिल करें")</f>
        <v>A) सफ़ेद के बादशाह पर हमला करने के लिए हाथी का इस्तेमाल करें, B) ख़तरा पैदा करने के लिए मोहरे को धकेलें, C) सरलीकरण के लिए हाथी बदलें, D) रानी को हमले में शामिल करें</v>
      </c>
      <c r="I231" s="5" t="str">
        <f>IFERROR(__xludf.DUMMYFUNCTION("GOOGLETRANSLATE(D231, ""en"", ""hi"")"),"A) सफ़ेद के बादशाह पर हमला करने के लिए हाथी का उपयोग करें")</f>
        <v>A) सफ़ेद के बादशाह पर हमला करने के लिए हाथी का उपयोग करें</v>
      </c>
    </row>
    <row r="232" ht="22.5" customHeight="1">
      <c r="A232" s="2">
        <v>231.0</v>
      </c>
      <c r="B232" s="3" t="s">
        <v>1705</v>
      </c>
      <c r="C232" s="3" t="s">
        <v>1656</v>
      </c>
      <c r="D232" s="3" t="s">
        <v>1657</v>
      </c>
      <c r="F232" s="5" t="str">
        <f>IFERROR(__xludf.DUMMYFUNCTION("GOOGLETRANSLATE(A232, ""en"", ""hi"")"),"231")</f>
        <v>231</v>
      </c>
      <c r="G232" s="5" t="str">
        <f>IFERROR(__xludf.DUMMYFUNCTION("GOOGLETRANSLATE(B232, ""en"", ""hi"")"),"सफ़ेद के पास खुली फ़ाइल पर एक किश्ती है, लेकिन काले का राजा अच्छी तरह सुरक्षित है। सफ़ेद की सबसे अच्छी चाल क्या है?")</f>
        <v>सफ़ेद के पास खुली फ़ाइल पर एक किश्ती है, लेकिन काले का राजा अच्छी तरह सुरक्षित है। सफ़ेद की सबसे अच्छी चाल क्या है?</v>
      </c>
      <c r="H232" s="5" t="str">
        <f>IFERROR(__xludf.DUMMYFUNCTION("GOOGLETRANSLATE(C232, ""en"", ""hi"")"),"A) खुली फाइल पर रूक को दोगुना करें, B) रानी की तरफ के प्यादों को धकेलें, C) सरलीकरण के लिए रूक बदलें, D) राजा की तरफ के काले के प्यादों पर हमला करें")</f>
        <v>A) खुली फाइल पर रूक को दोगुना करें, B) रानी की तरफ के प्यादों को धकेलें, C) सरलीकरण के लिए रूक बदलें, D) राजा की तरफ के काले के प्यादों पर हमला करें</v>
      </c>
      <c r="I232" s="5" t="str">
        <f>IFERROR(__xludf.DUMMYFUNCTION("GOOGLETRANSLATE(D232, ""en"", ""hi"")"),"A) खुली फाइल पर रूक्स को दोगुना करें")</f>
        <v>A) खुली फाइल पर रूक्स को दोगुना करें</v>
      </c>
    </row>
    <row r="233" ht="22.5" customHeight="1">
      <c r="A233" s="2">
        <v>232.0</v>
      </c>
      <c r="B233" s="3" t="s">
        <v>1700</v>
      </c>
      <c r="C233" s="3" t="s">
        <v>1639</v>
      </c>
      <c r="D233" s="3" t="s">
        <v>1626</v>
      </c>
      <c r="F233" s="5" t="str">
        <f>IFERROR(__xludf.DUMMYFUNCTION("GOOGLETRANSLATE(A233, ""en"", ""hi"")"),"232")</f>
        <v>232</v>
      </c>
      <c r="G233" s="5" t="str">
        <f>IFERROR(__xludf.DUMMYFUNCTION("GOOGLETRANSLATE(B233, ""en"", ""hi"")"),"काले का घोड़ा चौकी पर है, लेकिन सफेद का बिशप मुख्य विकर्णों को नियंत्रित कर रहा है। काले को क्या करना चाहिए?")</f>
        <v>काले का घोड़ा चौकी पर है, लेकिन सफेद का बिशप मुख्य विकर्णों को नियंत्रित कर रहा है। काले को क्या करना चाहिए?</v>
      </c>
      <c r="H233" s="5" t="str">
        <f>IFERROR(__xludf.DUMMYFUNCTION("GOOGLETRANSLATE(C233, ""en"", ""hi"")"),"A)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f>
        <v>A) सफ़ेद के मोहरों पर हमला करने के लिए घोड़े का उपयोग करें, B) सफ़ेद के बिशप के लिए घोड़े का आदान-प्रदान करें, C) कमजोरियाँ पैदा करने के लिए मोहरों को धकेलें, D) हमले में अधिक मोहरे लाएँ</v>
      </c>
      <c r="I233" s="5" t="str">
        <f>IFERROR(__xludf.DUMMYFUNCTION("GOOGLETRANSLATE(D233, ""en"", ""hi"")"),"A) सफ़ेद के मोहरों पर हमला करने के लिए घोड़े का उपयोग करें")</f>
        <v>A) सफ़ेद के मोहरों पर हमला करने के लिए घोड़े का उपयोग करें</v>
      </c>
    </row>
    <row r="234" ht="22.5" customHeight="1">
      <c r="A234" s="2">
        <v>233.0</v>
      </c>
      <c r="B234" s="3" t="s">
        <v>1706</v>
      </c>
      <c r="C234" s="3" t="s">
        <v>1618</v>
      </c>
      <c r="D234" s="3" t="s">
        <v>1619</v>
      </c>
      <c r="F234" s="5" t="str">
        <f>IFERROR(__xludf.DUMMYFUNCTION("GOOGLETRANSLATE(A234, ""en"", ""hi"")"),"233")</f>
        <v>233</v>
      </c>
      <c r="G234" s="5" t="str">
        <f>IFERROR(__xludf.DUMMYFUNCTION("GOOGLETRANSLATE(B234, ""en"", ""hi"")"),"सफ़ेद के पास e6 पर एक शक्तिशाली मोहरा है, लेकिन काले के मोहरों में तालमेल अच्छा है। सफ़ेद की सबसे अच्छी चाल क्या है?")</f>
        <v>सफ़ेद के पास e6 पर एक शक्तिशाली मोहरा है, लेकिन काले के मोहरों में तालमेल अच्छा है। सफ़ेद की सबसे अच्छी चाल क्या है?</v>
      </c>
      <c r="H234" s="5" t="str">
        <f>IFERROR(__xludf.DUMMYFUNCTION("GOOGLETRANSLATE(C234, ""en"", ""hi"")"),"A) आगे बढ़ने के लिए मोहरे को धकेलना, B) मोहरों से मोहरे की रक्षा करना, C) काले की गतिविधि कम करने के लिए मोहरों की अदला-बदली करना, D) रानी की तरफ से काले के मोहरों पर हमला करना")</f>
        <v>A) आगे बढ़ने के लिए मोहरे को धकेलना, B) मोहरों से मोहरे की रक्षा करना, C) काले की गतिविधि कम करने के लिए मोहरों की अदला-बदली करना, D) रानी की तरफ से काले के मोहरों पर हमला करना</v>
      </c>
      <c r="I234" s="5" t="str">
        <f>IFERROR(__xludf.DUMMYFUNCTION("GOOGLETRANSLATE(D234, ""en"", ""hi"")"),"C) काले की गतिविधि को कम करने के लिए मोहरों का आदान-प्रदान करें")</f>
        <v>C) काले की गतिविधि को कम करने के लिए मोहरों का आदान-प्रदान करें</v>
      </c>
    </row>
    <row r="235" ht="22.5" customHeight="1">
      <c r="A235" s="2">
        <v>234.0</v>
      </c>
      <c r="B235" s="3" t="s">
        <v>1707</v>
      </c>
      <c r="C235" s="3" t="s">
        <v>1708</v>
      </c>
      <c r="D235" s="3" t="s">
        <v>1709</v>
      </c>
      <c r="F235" s="5" t="str">
        <f>IFERROR(__xludf.DUMMYFUNCTION("GOOGLETRANSLATE(A235, ""en"", ""hi"")"),"234")</f>
        <v>234</v>
      </c>
      <c r="G235" s="5" t="str">
        <f>IFERROR(__xludf.DUMMYFUNCTION("GOOGLETRANSLATE(B235, ""en"", ""hi"")"),"सफ़ेद के पास एक किश्ती कम है, लेकिन d6 पर उसका एक मज़बूत मोहरा है। काले का राजा g8 पर है। सफ़ेद को अपनी बढ़त बढ़ाने के लिए क्या करना चाहिए?")</f>
        <v>सफ़ेद के पास एक किश्ती कम है, लेकिन d6 पर उसका एक मज़बूत मोहरा है। काले का राजा g8 पर है। सफ़ेद को अपनी बढ़त बढ़ाने के लिए क्या करना चाहिए?</v>
      </c>
      <c r="H235" s="5" t="str">
        <f>IFERROR(__xludf.DUMMYFUNCTION("GOOGLETRANSLATE(C235, ""en"", ""hi"")"),"A) मोहरे को d7 पर धकेलें, B) खतरे पैदा करने के लिए मोहरे का प्रयोग प्रलोभन के रूप में करें, C) सरलीकरण के लिए मोहरों की अदला-बदली करें, D) मोहरे का समर्थन करने के लिए राजा को सक्रिय करें")</f>
        <v>A) मोहरे को d7 पर धकेलें, B) खतरे पैदा करने के लिए मोहरे का प्रयोग प्रलोभन के रूप में करें, C) सरलीकरण के लिए मोहरों की अदला-बदली करें, D) मोहरे का समर्थन करने के लिए राजा को सक्रिय करें</v>
      </c>
      <c r="I235" s="5" t="str">
        <f>IFERROR(__xludf.DUMMYFUNCTION("GOOGLETRANSLATE(D235, ""en"", ""hi"")"),"ख) खतरा पैदा करने के लिए मोहरे का प्रयोग प्रलोभन के रूप में करना")</f>
        <v>ख) खतरा पैदा करने के लिए मोहरे का प्रयोग प्रलोभन के रूप में करना</v>
      </c>
    </row>
    <row r="236" ht="22.5" customHeight="1">
      <c r="A236" s="2">
        <v>235.0</v>
      </c>
      <c r="B236" s="3" t="s">
        <v>1710</v>
      </c>
      <c r="C236" s="3" t="s">
        <v>1711</v>
      </c>
      <c r="D236" s="3" t="s">
        <v>1712</v>
      </c>
      <c r="F236" s="5" t="str">
        <f>IFERROR(__xludf.DUMMYFUNCTION("GOOGLETRANSLATE(A236, ""en"", ""hi"")"),"235")</f>
        <v>235</v>
      </c>
      <c r="G236" s="5" t="str">
        <f>IFERROR(__xludf.DUMMYFUNCTION("GOOGLETRANSLATE(B236, ""en"", ""hi"")"),"e4 पर काले के पास एक प्यादा है, जबकि सफेद के पास एक किश्ती और एक बिशप है। सफेद को इस प्यादे के खतरे का कैसे जवाब देना चाहिए?")</f>
        <v>e4 पर काले के पास एक प्यादा है, जबकि सफेद के पास एक किश्ती और एक बिशप है। सफेद को इस प्यादे के खतरे का कैसे जवाब देना चाहिए?</v>
      </c>
      <c r="H236" s="5" t="str">
        <f>IFERROR(__xludf.DUMMYFUNCTION("GOOGLETRANSLATE(C236, ""en"", ""hi"")"),"क) मोहरे को रानी की तरफ धकेलें, ख) मोहरे पर हमला करने के लिए किश्ती का उपयोग करें, ग) किश्ती को सहारा देने के लिए बिशप का उपयोग करें, घ) पास किए गए मोहरे को सफेद के मोहरे से बदलें")</f>
        <v>क) मोहरे को रानी की तरफ धकेलें, ख) मोहरे पर हमला करने के लिए किश्ती का उपयोग करें, ग) किश्ती को सहारा देने के लिए बिशप का उपयोग करें, घ) पास किए गए मोहरे को सफेद के मोहरे से बदलें</v>
      </c>
      <c r="I236" s="5" t="str">
        <f>IFERROR(__xludf.DUMMYFUNCTION("GOOGLETRANSLATE(D236, ""en"", ""hi"")"),"बी) मोहरे पर हमला करने के लिए किश्ती का उपयोग करें")</f>
        <v>बी) मोहरे पर हमला करने के लिए किश्ती का उपयोग करें</v>
      </c>
    </row>
    <row r="237" ht="22.5" customHeight="1">
      <c r="A237" s="2">
        <v>236.0</v>
      </c>
      <c r="B237" s="3" t="s">
        <v>1713</v>
      </c>
      <c r="C237" s="3" t="s">
        <v>1714</v>
      </c>
      <c r="D237" s="3" t="s">
        <v>1715</v>
      </c>
      <c r="F237" s="5" t="str">
        <f>IFERROR(__xludf.DUMMYFUNCTION("GOOGLETRANSLATE(A237, ""en"", ""hi"")"),"236")</f>
        <v>236</v>
      </c>
      <c r="G237" s="5" t="str">
        <f>IFERROR(__xludf.DUMMYFUNCTION("GOOGLETRANSLATE(B237, ""en"", ""hi"")"),"सफ़ेद के पास सातवीं पंक्ति पर एक किश्ती और f3 पर एक घोड़ा है। काले का राजा g8 पर है और a8 पर एक किश्ती है। सफ़ेद की सबसे अच्छी रणनीति क्या है?")</f>
        <v>सफ़ेद के पास सातवीं पंक्ति पर एक किश्ती और f3 पर एक घोड़ा है। काले का राजा g8 पर है और a8 पर एक किश्ती है। सफ़ेद की सबसे अच्छी रणनीति क्या है?</v>
      </c>
      <c r="H237" s="5" t="str">
        <f>IFERROR(__xludf.DUMMYFUNCTION("GOOGLETRANSLATE(C237, ""en"", ""hi"")"),"ए) खुली फाइल पर किश्तों को दोगुना करें, बी) हमले के लिए घोड़े और किश्ती का समन्वय करें, सी) रानी की तरफ प्यादों को धकेलें, डी) सरलीकरण के लिए किश्तों की अदला-बदली करें")</f>
        <v>ए) खुली फाइल पर किश्तों को दोगुना करें, बी) हमले के लिए घोड़े और किश्ती का समन्वय करें, सी) रानी की तरफ प्यादों को धकेलें, डी) सरलीकरण के लिए किश्तों की अदला-बदली करें</v>
      </c>
      <c r="I237" s="5" t="str">
        <f>IFERROR(__xludf.DUMMYFUNCTION("GOOGLETRANSLATE(D237, ""en"", ""hi"")"),"बी) हमले के लिए घोड़े और किश्ती का समन्वय करना")</f>
        <v>बी) हमले के लिए घोड़े और किश्ती का समन्वय करना</v>
      </c>
    </row>
    <row r="238" ht="22.5" customHeight="1">
      <c r="A238" s="2">
        <v>237.0</v>
      </c>
      <c r="B238" s="3" t="s">
        <v>1716</v>
      </c>
      <c r="C238" s="3" t="s">
        <v>1717</v>
      </c>
      <c r="D238" s="3" t="s">
        <v>1215</v>
      </c>
      <c r="F238" s="5" t="str">
        <f>IFERROR(__xludf.DUMMYFUNCTION("GOOGLETRANSLATE(A238, ""en"", ""hi"")"),"237")</f>
        <v>237</v>
      </c>
      <c r="G238" s="5" t="str">
        <f>IFERROR(__xludf.DUMMYFUNCTION("GOOGLETRANSLATE(B238, ""en"", ""hi"")"),"काले के पास बिशप की जोड़ी है और सफ़ेद के पास रानी की तरफ़ प्यादे हैं। सफ़ेद को अपने प्यादों का फ़ायदा कैसे उठाना चाहिए?")</f>
        <v>काले के पास बिशप की जोड़ी है और सफ़ेद के पास रानी की तरफ़ प्यादे हैं। सफ़ेद को अपने प्यादों का फ़ायदा कैसे उठाना चाहिए?</v>
      </c>
      <c r="H238" s="5" t="str">
        <f>IFERROR(__xludf.DUMMYFUNCTION("GOOGLETRANSLATE(C238, ""en"", ""hi"")"),"A) पास्ड प्यादा बनाने के लिए प्यादों को धकेलना, B) मोहरों से प्यादों की रक्षा करना, C) लाइनें खोलने के लिए प्यादों का आदान-प्रदान करना, D) नाकाबंदी बनाने के लिए प्यादों को धकेलना")</f>
        <v>A) पास्ड प्यादा बनाने के लिए प्यादों को धकेलना, B) मोहरों से प्यादों की रक्षा करना, C) लाइनें खोलने के लिए प्यादों का आदान-प्रदान करना, D) नाकाबंदी बनाने के लिए प्यादों को धकेलना</v>
      </c>
      <c r="I238" s="5" t="str">
        <f>IFERROR(__xludf.DUMMYFUNCTION("GOOGLETRANSLATE(D238, ""en"", ""hi"")"),"A) पास्ड प्यादा बनाने के लिए प्यादों को धक्का दें")</f>
        <v>A) पास्ड प्यादा बनाने के लिए प्यादों को धक्का दें</v>
      </c>
    </row>
    <row r="239" ht="22.5" customHeight="1">
      <c r="A239" s="2">
        <v>238.0</v>
      </c>
      <c r="B239" s="3" t="s">
        <v>1718</v>
      </c>
      <c r="C239" s="3" t="s">
        <v>1719</v>
      </c>
      <c r="D239" s="3" t="s">
        <v>1720</v>
      </c>
      <c r="F239" s="5" t="str">
        <f>IFERROR(__xludf.DUMMYFUNCTION("GOOGLETRANSLATE(A239, ""en"", ""hi"")"),"238")</f>
        <v>238</v>
      </c>
      <c r="G239" s="5" t="str">
        <f>IFERROR(__xludf.DUMMYFUNCTION("GOOGLETRANSLATE(B239, ""en"", ""hi"")"),"सफ़ेद के पास किंगसाइड पर एक किश्ती और एक मोहरा है, जबकि काले के पास c5 पर एक उन्नत मोहरा है। सफ़ेद को अपनी स्थिति का फ़ायदा उठाने के लिए क्या करना चाहिए?")</f>
        <v>सफ़ेद के पास किंगसाइड पर एक किश्ती और एक मोहरा है, जबकि काले के पास c5 पर एक उन्नत मोहरा है। सफ़ेद को अपनी स्थिति का फ़ायदा उठाने के लिए क्या करना चाहिए?</v>
      </c>
      <c r="H239" s="5" t="str">
        <f>IFERROR(__xludf.DUMMYFUNCTION("GOOGLETRANSLATE(C239, ""en"", ""hi"")"),"A) मोहरे को आगे बढ़ाने के लिए धक्का दें, B) काले के c5 मोहरे पर हमला करने के लिए हाथी का उपयोग करें, C) मोहरों को रानी की ओर धकेलें, D) लाइनों को खोलने के लिए मोहरों का आदान-प्रदान करें")</f>
        <v>A) मोहरे को आगे बढ़ाने के लिए धक्का दें, B) काले के c5 मोहरे पर हमला करने के लिए हाथी का उपयोग करें, C) मोहरों को रानी की ओर धकेलें, D) लाइनों को खोलने के लिए मोहरों का आदान-प्रदान करें</v>
      </c>
      <c r="I239" s="5" t="str">
        <f>IFERROR(__xludf.DUMMYFUNCTION("GOOGLETRANSLATE(D239, ""en"", ""hi"")"),"बी) काले के c5 मोहरे पर हमला करने के लिए हाथी का उपयोग करें")</f>
        <v>बी) काले के c5 मोहरे पर हमला करने के लिए हाथी का उपयोग करें</v>
      </c>
    </row>
    <row r="240" ht="22.5" customHeight="1">
      <c r="A240" s="2">
        <v>239.0</v>
      </c>
      <c r="B240" s="3" t="s">
        <v>1721</v>
      </c>
      <c r="C240" s="3" t="s">
        <v>1722</v>
      </c>
      <c r="D240" s="3" t="s">
        <v>1687</v>
      </c>
      <c r="F240" s="5" t="str">
        <f>IFERROR(__xludf.DUMMYFUNCTION("GOOGLETRANSLATE(A240, ""en"", ""hi"")"),"239")</f>
        <v>239</v>
      </c>
      <c r="G240" s="5" t="str">
        <f>IFERROR(__xludf.DUMMYFUNCTION("GOOGLETRANSLATE(B240, ""en"", ""hi"")"),"काली की रानी सफ़ेद के हाथी पर हमला कर रही है, लेकिन सफ़ेद के पास e2 पर एक सक्रिय बिशप है। सफ़ेद को क्या करना चाहिए?")</f>
        <v>काली की रानी सफ़ेद के हाथी पर हमला कर रही है, लेकिन सफ़ेद के पास e2 पर एक सक्रिय बिशप है। सफ़ेद को क्या करना चाहिए?</v>
      </c>
      <c r="H240" s="5" t="str">
        <f>IFERROR(__xludf.DUMMYFUNCTION("GOOGLETRANSLATE(C240, ""en"", ""hi"")"),"ए) किश्ती को सुरक्षित स्थान पर ले जाएं, बी) सरलीकरण के लिए रानियों की अदला-बदली करें, सी) किश्ती की रक्षा के लिए बिशप का उपयोग करें, डी) प्रति-खेल बनाने के लिए प्यादों को धकेलें")</f>
        <v>ए) किश्ती को सुरक्षित स्थान पर ले जाएं, बी) सरलीकरण के लिए रानियों की अदला-बदली करें, सी) किश्ती की रक्षा के लिए बिशप का उपयोग करें, डी) प्रति-खेल बनाने के लिए प्यादों को धकेलें</v>
      </c>
      <c r="I240" s="5" t="str">
        <f>IFERROR(__xludf.DUMMYFUNCTION("GOOGLETRANSLATE(D240, ""en"", ""hi"")"),"बी) सरलीकरण के लिए रानियों का आदान-प्रदान करें")</f>
        <v>बी) सरलीकरण के लिए रानियों का आदान-प्रदान करें</v>
      </c>
    </row>
    <row r="241" ht="22.5" customHeight="1">
      <c r="A241" s="2">
        <v>240.0</v>
      </c>
      <c r="B241" s="3" t="s">
        <v>1723</v>
      </c>
      <c r="C241" s="3" t="s">
        <v>1724</v>
      </c>
      <c r="D241" s="3" t="s">
        <v>1135</v>
      </c>
      <c r="F241" s="5" t="str">
        <f>IFERROR(__xludf.DUMMYFUNCTION("GOOGLETRANSLATE(A241, ""en"", ""hi"")"),"240")</f>
        <v>240</v>
      </c>
      <c r="G241" s="5" t="str">
        <f>IFERROR(__xludf.DUMMYFUNCTION("GOOGLETRANSLATE(B241, ""en"", ""hi"")"),"सफ़ेद के पास f7 पर एक आगे का मोहरा है और काले के पास f8 पर एक किश्ती है। सफ़ेद को कैसे आगे बढ़ना चाहिए?")</f>
        <v>सफ़ेद के पास f7 पर एक आगे का मोहरा है और काले के पास f8 पर एक किश्ती है। सफ़ेद को कैसे आगे बढ़ना चाहिए?</v>
      </c>
      <c r="H241" s="5" t="str">
        <f>IFERROR(__xludf.DUMMYFUNCTION("GOOGLETRANSLATE(C241, ""en"", ""hi"")"),"A) मोहरे को आगे बढ़ाने के लिए धक्का दें, B) काले के हाथी पर हमला करने के लिए हाथी का उपयोग करें, C) रेखाएँ खोलने के लिए मोहरों की अदला-बदली करें, D) राजा को केंद्र में लाएँ")</f>
        <v>A) मोहरे को आगे बढ़ाने के लिए धक्का दें, B) काले के हाथी पर हमला करने के लिए हाथी का उपयोग करें, C) रेखाएँ खोलने के लिए मोहरों की अदला-बदली करें, D) राजा को केंद्र में लाएँ</v>
      </c>
      <c r="I241" s="5" t="str">
        <f>IFERROR(__xludf.DUMMYFUNCTION("GOOGLETRANSLATE(D241, ""en"", ""hi"")"),"A) मोहरे को आगे बढ़ाने के लिए धक्का देना")</f>
        <v>A) मोहरे को आगे बढ़ाने के लिए धक्का देना</v>
      </c>
    </row>
    <row r="242" ht="22.5" customHeight="1">
      <c r="A242" s="2">
        <v>241.0</v>
      </c>
      <c r="B242" s="3" t="s">
        <v>1725</v>
      </c>
      <c r="C242" s="3" t="s">
        <v>1726</v>
      </c>
      <c r="D242" s="3" t="s">
        <v>1675</v>
      </c>
      <c r="F242" s="5" t="str">
        <f>IFERROR(__xludf.DUMMYFUNCTION("GOOGLETRANSLATE(A242, ""en"", ""hi"")"),"241")</f>
        <v>241</v>
      </c>
      <c r="G242" s="5" t="str">
        <f>IFERROR(__xludf.DUMMYFUNCTION("GOOGLETRANSLATE(B242, ""en"", ""hi"")"),"काले का किश्ती सातवें क्रम पर है और सफ़ेद का राजा g1 पर है। काले को किस पर ध्यान केंद्रित करना चाहिए?")</f>
        <v>काले का किश्ती सातवें क्रम पर है और सफ़ेद का राजा g1 पर है। काले को किस पर ध्यान केंद्रित करना चाहिए?</v>
      </c>
      <c r="H242" s="5" t="str">
        <f>IFERROR(__xludf.DUMMYFUNCTION("GOOGLETRANSLATE(C242, ""en"", ""hi"")"),"A) सफ़ेद के प्यादों पर हमला करने के लिए किश्ती का उपयोग करें, B) रानी की तरफ के प्यादों को धकेलें, C) रानी को हमले में शामिल करें, D) सरलीकरण के लिए किश्ती बदलें")</f>
        <v>A) सफ़ेद के प्यादों पर हमला करने के लिए किश्ती का उपयोग करें, B) रानी की तरफ के प्यादों को धकेलें, C) रानी को हमले में शामिल करें, D) सरलीकरण के लिए किश्ती बदलें</v>
      </c>
      <c r="I242" s="5" t="str">
        <f>IFERROR(__xludf.DUMMYFUNCTION("GOOGLETRANSLATE(D242, ""en"", ""hi"")"),"A) सफ़ेद के प्यादों पर हमला करने के लिए किश्ती का उपयोग करें")</f>
        <v>A) सफ़ेद के प्यादों पर हमला करने के लिए किश्ती का उपयोग करें</v>
      </c>
    </row>
    <row r="243" ht="22.5" customHeight="1">
      <c r="A243" s="2">
        <v>242.0</v>
      </c>
      <c r="B243" s="3" t="s">
        <v>1727</v>
      </c>
      <c r="C243" s="3" t="s">
        <v>1728</v>
      </c>
      <c r="D243" s="3" t="s">
        <v>1729</v>
      </c>
      <c r="F243" s="5" t="str">
        <f>IFERROR(__xludf.DUMMYFUNCTION("GOOGLETRANSLATE(A243, ""en"", ""hi"")"),"242")</f>
        <v>242</v>
      </c>
      <c r="G243" s="5" t="str">
        <f>IFERROR(__xludf.DUMMYFUNCTION("GOOGLETRANSLATE(B243, ""en"", ""hi"")"),"सफ़ेद के पास d5 पर एक शक्तिशाली घोड़ा है और काले का बिशप b7 पर है। सफ़ेद को अपना लाभ अधिकतम करने के लिए क्या करना चाहिए?")</f>
        <v>सफ़ेद के पास d5 पर एक शक्तिशाली घोड़ा है और काले का बिशप b7 पर है। सफ़ेद को अपना लाभ अधिकतम करने के लिए क्या करना चाहिए?</v>
      </c>
      <c r="H243" s="5" t="str">
        <f>IFERROR(__xludf.DUMMYFUNCTION("GOOGLETRANSLATE(C243, ""en"", ""hi"")"),"ए) काले के प्यादों पर हमला करने के लिए घोड़े का उपयोग करें, बी) पास्ड प्यादा बनाने के लिए प्यादों को धक्का दें, सी) हमले के लिए घोड़े और किश्ती का समन्वय करें, डी) सरलीकरण के लिए घोड़ों की अदला-बदली करें")</f>
        <v>ए) काले के प्यादों पर हमला करने के लिए घोड़े का उपयोग करें, बी) पास्ड प्यादा बनाने के लिए प्यादों को धक्का दें, सी) हमले के लिए घोड़े और किश्ती का समन्वय करें, डी) सरलीकरण के लिए घोड़ों की अदला-बदली करें</v>
      </c>
      <c r="I243" s="5" t="str">
        <f>IFERROR(__xludf.DUMMYFUNCTION("GOOGLETRANSLATE(D243, ""en"", ""hi"")"),"C) हमले के लिए घोड़े और किश्ती का समन्वय करना")</f>
        <v>C) हमले के लिए घोड़े और किश्ती का समन्वय करना</v>
      </c>
    </row>
    <row r="244" ht="22.5" customHeight="1">
      <c r="A244" s="2">
        <v>243.0</v>
      </c>
      <c r="B244" s="3" t="s">
        <v>1730</v>
      </c>
      <c r="C244" s="3" t="s">
        <v>1731</v>
      </c>
      <c r="D244" s="3" t="s">
        <v>1657</v>
      </c>
      <c r="F244" s="5" t="str">
        <f>IFERROR(__xludf.DUMMYFUNCTION("GOOGLETRANSLATE(A244, ""en"", ""hi"")"),"243")</f>
        <v>243</v>
      </c>
      <c r="G244" s="5" t="str">
        <f>IFERROR(__xludf.DUMMYFUNCTION("GOOGLETRANSLATE(B244, ""en"", ""hi"")"),"काले के पास राजा की तरफ़ एक रानी और एक मोहरा है, जबकि सफ़ेद के पास खुली फ़ाइल पर एक किश्ती है। सफ़ेद को क्या जवाब देना चाहिए?")</f>
        <v>काले के पास राजा की तरफ़ एक रानी और एक मोहरा है, जबकि सफ़ेद के पास खुली फ़ाइल पर एक किश्ती है। सफ़ेद को क्या जवाब देना चाहिए?</v>
      </c>
      <c r="H244" s="5" t="str">
        <f>IFERROR(__xludf.DUMMYFUNCTION("GOOGLETRANSLATE(C244, ""en"", ""hi"")"),"ए) खुली फाइल पर किश्तों को दोगुना करें, बी) रानी की तरफ प्यादों को धकेलें, सी) सरलीकरण के लिए किश्तों की अदला-बदली करें, डी) बचाव के लिए किश्ती और राजा का समन्वय करें")</f>
        <v>ए) खुली फाइल पर किश्तों को दोगुना करें, बी) रानी की तरफ प्यादों को धकेलें, सी) सरलीकरण के लिए किश्तों की अदला-बदली करें, डी) बचाव के लिए किश्ती और राजा का समन्वय करें</v>
      </c>
      <c r="I244" s="5" t="str">
        <f>IFERROR(__xludf.DUMMYFUNCTION("GOOGLETRANSLATE(D244, ""en"", ""hi"")"),"A) खुली फाइल पर रूक्स को दोगुना करें")</f>
        <v>A) खुली फाइल पर रूक्स को दोगुना करें</v>
      </c>
    </row>
    <row r="245" ht="22.5" customHeight="1">
      <c r="A245" s="2">
        <v>244.0</v>
      </c>
      <c r="B245" s="3" t="s">
        <v>1732</v>
      </c>
      <c r="C245" s="3" t="s">
        <v>1733</v>
      </c>
      <c r="D245" s="3" t="s">
        <v>1734</v>
      </c>
      <c r="F245" s="5" t="str">
        <f>IFERROR(__xludf.DUMMYFUNCTION("GOOGLETRANSLATE(A245, ""en"", ""hi"")"),"244")</f>
        <v>244</v>
      </c>
      <c r="G245" s="5" t="str">
        <f>IFERROR(__xludf.DUMMYFUNCTION("GOOGLETRANSLATE(B245, ""en"", ""hi"")"),"सफ़ेद के पास खुली फ़ाइल पर एक किश्ती और d6 पर एक मोहरा है, जबकि काले के पास e6 पर एक घोड़ा है। सफ़ेद को किस पर ध्यान केंद्रित करना चाहिए?")</f>
        <v>सफ़ेद के पास खुली फ़ाइल पर एक किश्ती और d6 पर एक मोहरा है, जबकि काले के पास e6 पर एक घोड़ा है। सफ़ेद को किस पर ध्यान केंद्रित करना चाहिए?</v>
      </c>
      <c r="H245" s="5" t="str">
        <f>IFERROR(__xludf.DUMMYFUNCTION("GOOGLETRANSLATE(C245, ""en"", ""hi"")"),"A) मोहरे को d7 पर धकेलें, B) काले घोड़े पर हमला करने के लिए हाथी का उपयोग करें, C) सरलीकरण के लिए हाथी बदलें, D) राजा को खेल में शामिल करें")</f>
        <v>A) मोहरे को d7 पर धकेलें, B) काले घोड़े पर हमला करने के लिए हाथी का उपयोग करें, C) सरलीकरण के लिए हाथी बदलें, D) राजा को खेल में शामिल करें</v>
      </c>
      <c r="I245" s="5" t="str">
        <f>IFERROR(__xludf.DUMMYFUNCTION("GOOGLETRANSLATE(D245, ""en"", ""hi"")"),"A) मोहरे को d7 पर धकेलें")</f>
        <v>A) मोहरे को d7 पर धकेलें</v>
      </c>
    </row>
    <row r="246" ht="22.5" customHeight="1">
      <c r="A246" s="2">
        <v>245.0</v>
      </c>
      <c r="B246" s="3" t="s">
        <v>1735</v>
      </c>
      <c r="C246" s="3" t="s">
        <v>1736</v>
      </c>
      <c r="D246" s="3" t="s">
        <v>1737</v>
      </c>
      <c r="F246" s="5" t="str">
        <f>IFERROR(__xludf.DUMMYFUNCTION("GOOGLETRANSLATE(A246, ""en"", ""hi"")"),"245")</f>
        <v>245</v>
      </c>
      <c r="G246" s="5" t="str">
        <f>IFERROR(__xludf.DUMMYFUNCTION("GOOGLETRANSLATE(B246, ""en"", ""hi"")"),"काले का एक आगे का मोहरा a4 पर है और सफ़ेद का बिशप f1 पर है। इस मोहरे को संभालने के लिए सफ़ेद को क्या करना चाहिए?")</f>
        <v>काले का एक आगे का मोहरा a4 पर है और सफ़ेद का बिशप f1 पर है। इस मोहरे को संभालने के लिए सफ़ेद को क्या करना चाहिए?</v>
      </c>
      <c r="H246" s="5" t="str">
        <f>IFERROR(__xludf.DUMMYFUNCTION("GOOGLETRANSLATE(C246, ""en"", ""hi"")"),"ए) मोहरे पर हमला करने के लिए बिशप को आगे बढ़ाएं, बी) मोहरों को रानी की तरफ धकेलें, सी) अन्य मोहरों के साथ बिशप की रक्षा करें, डी) लाइनें खोलने के लिए मोहरों का आदान-प्रदान करें")</f>
        <v>ए) मोहरे पर हमला करने के लिए बिशप को आगे बढ़ाएं, बी) मोहरों को रानी की तरफ धकेलें, सी) अन्य मोहरों के साथ बिशप की रक्षा करें, डी) लाइनें खोलने के लिए मोहरों का आदान-प्रदान करें</v>
      </c>
      <c r="I246" s="5" t="str">
        <f>IFERROR(__xludf.DUMMYFUNCTION("GOOGLETRANSLATE(D246, ""en"", ""hi"")"),"A) प्यादे पर हमला करने के लिए बिशप को आगे बढ़ाएँ")</f>
        <v>A) प्यादे पर हमला करने के लिए बिशप को आगे बढ़ाएँ</v>
      </c>
    </row>
    <row r="247" ht="22.5" customHeight="1">
      <c r="A247" s="2">
        <v>246.0</v>
      </c>
      <c r="B247" s="3" t="s">
        <v>1738</v>
      </c>
      <c r="C247" s="3" t="s">
        <v>1739</v>
      </c>
      <c r="D247" s="3" t="s">
        <v>1740</v>
      </c>
      <c r="F247" s="5" t="str">
        <f>IFERROR(__xludf.DUMMYFUNCTION("GOOGLETRANSLATE(A247, ""en"", ""hi"")"),"246")</f>
        <v>246</v>
      </c>
      <c r="G247" s="5" t="str">
        <f>IFERROR(__xludf.DUMMYFUNCTION("GOOGLETRANSLATE(B247, ""en"", ""hi"")"),"सफ़ेद के पास b6 पर एक उन्नत मोहरा है और काले के पास a8 पर एक किश्ती है। अपनी स्थिति को अधिकतम करने के लिए सफ़ेद को क्या करना चाहिए?")</f>
        <v>सफ़ेद के पास b6 पर एक उन्नत मोहरा है और काले के पास a8 पर एक किश्ती है। अपनी स्थिति को अधिकतम करने के लिए सफ़ेद को क्या करना चाहिए?</v>
      </c>
      <c r="H247" s="5" t="str">
        <f>IFERROR(__xludf.DUMMYFUNCTION("GOOGLETRANSLATE(C247, ""en"", ""hi"")"),"A) मोहरे को b7 पर धकेलें, B) हमले के लिए मोहरे और किश्ती का समन्वय करें, C) सरलीकरण के लिए किश्ती बदलें, D) बादशाह को खेल में लाएँ")</f>
        <v>A) मोहरे को b7 पर धकेलें, B) हमले के लिए मोहरे और किश्ती का समन्वय करें, C) सरलीकरण के लिए किश्ती बदलें, D) बादशाह को खेल में लाएँ</v>
      </c>
      <c r="I247" s="5" t="str">
        <f>IFERROR(__xludf.DUMMYFUNCTION("GOOGLETRANSLATE(D247, ""en"", ""hi"")"),"A) मोहरे को b7 पर धकेलें")</f>
        <v>A) मोहरे को b7 पर धकेलें</v>
      </c>
    </row>
    <row r="248" ht="22.5" customHeight="1">
      <c r="A248" s="2">
        <v>247.0</v>
      </c>
      <c r="B248" s="3" t="s">
        <v>1741</v>
      </c>
      <c r="C248" s="3" t="s">
        <v>1742</v>
      </c>
      <c r="D248" s="3" t="s">
        <v>1743</v>
      </c>
      <c r="F248" s="5" t="str">
        <f>IFERROR(__xludf.DUMMYFUNCTION("GOOGLETRANSLATE(A248, ""en"", ""hi"")"),"247")</f>
        <v>247</v>
      </c>
      <c r="G248" s="5" t="str">
        <f>IFERROR(__xludf.DUMMYFUNCTION("GOOGLETRANSLATE(B248, ""en"", ""hi"")"),"काले की रानी राजा की तरफ सक्रिय है और सफेद के पास रानी की तरफ एक हाथी और एक बिशप है। सफेद को किस पर ध्यान केंद्रित करना चाहिए?")</f>
        <v>काले की रानी राजा की तरफ सक्रिय है और सफेद के पास रानी की तरफ एक हाथी और एक बिशप है। सफेद को किस पर ध्यान केंद्रित करना चाहिए?</v>
      </c>
      <c r="H248" s="5" t="str">
        <f>IFERROR(__xludf.DUMMYFUNCTION("GOOGLETRANSLATE(C248, ""en"", ""hi"")"),"ए) आक्रमण के लिए हाथी और हाथी का समन्वय करें, बी) प्यादों को राजा की ओर धकेलें, सी) सरलीकरण के लिए रानियों की अदला-बदली करें, डी) राजा को केंद्र में लाएं")</f>
        <v>ए) आक्रमण के लिए हाथी और हाथी का समन्वय करें, बी) प्यादों को राजा की ओर धकेलें, सी) सरलीकरण के लिए रानियों की अदला-बदली करें, डी) राजा को केंद्र में लाएं</v>
      </c>
      <c r="I248" s="5" t="str">
        <f>IFERROR(__xludf.DUMMYFUNCTION("GOOGLETRANSLATE(D248, ""en"", ""hi"")"),"A) हमले के लिए रूक और बिशप का समन्वय करें")</f>
        <v>A) हमले के लिए रूक और बिशप का समन्वय करें</v>
      </c>
    </row>
    <row r="249" ht="22.5" customHeight="1">
      <c r="A249" s="2">
        <v>248.0</v>
      </c>
      <c r="B249" s="3" t="s">
        <v>1744</v>
      </c>
      <c r="C249" s="3" t="s">
        <v>1745</v>
      </c>
      <c r="D249" s="3" t="s">
        <v>1746</v>
      </c>
      <c r="F249" s="5" t="str">
        <f>IFERROR(__xludf.DUMMYFUNCTION("GOOGLETRANSLATE(A249, ""en"", ""hi"")"),"248")</f>
        <v>248</v>
      </c>
      <c r="G249" s="5" t="str">
        <f>IFERROR(__xludf.DUMMYFUNCTION("GOOGLETRANSLATE(B249, ""en"", ""hi"")"),"सफ़ेद के पास सातवीं पंक्ति पर एक किश्ती है और काले के पास e5 पर एक उन्नत मोहरा है। सफ़ेद को क्या करना चाहिए?")</f>
        <v>सफ़ेद के पास सातवीं पंक्ति पर एक किश्ती है और काले के पास e5 पर एक उन्नत मोहरा है। सफ़ेद को क्या करना चाहिए?</v>
      </c>
      <c r="H249" s="5" t="str">
        <f>IFERROR(__xludf.DUMMYFUNCTION("GOOGLETRANSLATE(C249, ""en"", ""hi"")"),"क) मोहरे पर आक्रमण करने के लिए किश्ती का प्रयोग करें, ख) मोहरों को रानी की ओर धकेलें, ग) सरलीकरण के लिए किश्ती बदलें, घ) राजा को खेल में शामिल करें")</f>
        <v>क) मोहरे पर आक्रमण करने के लिए किश्ती का प्रयोग करें, ख) मोहरों को रानी की ओर धकेलें, ग) सरलीकरण के लिए किश्ती बदलें, घ) राजा को खेल में शामिल करें</v>
      </c>
      <c r="I249" s="5" t="str">
        <f>IFERROR(__xludf.DUMMYFUNCTION("GOOGLETRANSLATE(D249, ""en"", ""hi"")"),"A) मोहरे पर हमला करने के लिए किश्ती का उपयोग करें")</f>
        <v>A) मोहरे पर हमला करने के लिए किश्ती का उपयोग करें</v>
      </c>
    </row>
    <row r="250" ht="22.5" customHeight="1">
      <c r="A250" s="2">
        <v>249.0</v>
      </c>
      <c r="B250" s="3" t="s">
        <v>1747</v>
      </c>
      <c r="C250" s="3" t="s">
        <v>1748</v>
      </c>
      <c r="D250" s="3" t="s">
        <v>1749</v>
      </c>
      <c r="F250" s="5" t="str">
        <f>IFERROR(__xludf.DUMMYFUNCTION("GOOGLETRANSLATE(A250, ""en"", ""hi"")"),"249")</f>
        <v>249</v>
      </c>
      <c r="G250" s="5" t="str">
        <f>IFERROR(__xludf.DUMMYFUNCTION("GOOGLETRANSLATE(B250, ""en"", ""hi"")"),"काले के पास c6 पर एक घोड़ा है और सफ़ेद के पास रानी की तरफ़ एक बिशप और एक प्यादा है। सफ़ेद को किस पर ध्यान केंद्रित करना चाहिए?")</f>
        <v>काले के पास c6 पर एक घोड़ा है और सफ़ेद के पास रानी की तरफ़ एक बिशप और एक प्यादा है। सफ़ेद को किस पर ध्यान केंद्रित करना चाहिए?</v>
      </c>
      <c r="H250" s="5" t="str">
        <f>IFERROR(__xludf.DUMMYFUNCTION("GOOGLETRANSLATE(C250, ""en"", ""hi"")"),"ए) पास्ड प्यादा बनाने के लिए प्यादों को धकेलें, बी) काले घोड़े पर हमला करने के लिए बिशप का उपयोग करें, सी) हमले के लिए बिशप और प्यादा का समन्वय करें, डी) सरलीकरण के लिए टुकड़ों का आदान-प्रदान करें")</f>
        <v>ए) पास्ड प्यादा बनाने के लिए प्यादों को धकेलें, बी) काले घोड़े पर हमला करने के लिए बिशप का उपयोग करें, सी) हमले के लिए बिशप और प्यादा का समन्वय करें, डी) सरलीकरण के लिए टुकड़ों का आदान-प्रदान करें</v>
      </c>
      <c r="I250" s="5" t="str">
        <f>IFERROR(__xludf.DUMMYFUNCTION("GOOGLETRANSLATE(D250, ""en"", ""hi"")"),"C) हमले के लिए बिशप और प्यादा का समन्वय करें")</f>
        <v>C) हमले के लिए बिशप और प्यादा का समन्वय करें</v>
      </c>
    </row>
    <row r="251" ht="22.5" customHeight="1">
      <c r="A251" s="2">
        <v>250.0</v>
      </c>
      <c r="B251" s="3" t="s">
        <v>1750</v>
      </c>
      <c r="C251" s="3" t="s">
        <v>1751</v>
      </c>
      <c r="D251" s="3" t="s">
        <v>1657</v>
      </c>
      <c r="F251" s="5" t="str">
        <f>IFERROR(__xludf.DUMMYFUNCTION("GOOGLETRANSLATE(A251, ""en"", ""hi"")"),"250")</f>
        <v>250</v>
      </c>
      <c r="G251" s="5" t="str">
        <f>IFERROR(__xludf.DUMMYFUNCTION("GOOGLETRANSLATE(B251, ""en"", ""hi"")"),"सफ़ेद के पास खुली फ़ाइल पर एक रूक है और काले के पास एक बिशप का जोड़ा है। सफ़ेद को अपनी बढ़त बढ़ाने के लिए क्या करना चाहिए?")</f>
        <v>सफ़ेद के पास खुली फ़ाइल पर एक रूक है और काले के पास एक बिशप का जोड़ा है। सफ़ेद को अपनी बढ़त बढ़ाने के लिए क्या करना चाहिए?</v>
      </c>
      <c r="H251" s="5" t="str">
        <f>IFERROR(__xludf.DUMMYFUNCTION("GOOGLETRANSLATE(C251, ""en"", ""hi"")"),"ए) खुली फाइल पर रूक्स को दोगुना करें, बी) काले के प्यादों पर हमला करने के लिए रूक्स का उपयोग करें, सी) रानी की तरफ के प्यादों को धकेलें, डी) सरलीकरण के लिए रूक्स का आदान-प्रदान करें")</f>
        <v>ए) खुली फाइल पर रूक्स को दोगुना करें, बी) काले के प्यादों पर हमला करने के लिए रूक्स का उपयोग करें, सी) रानी की तरफ के प्यादों को धकेलें, डी) सरलीकरण के लिए रूक्स का आदान-प्रदान करें</v>
      </c>
      <c r="I251" s="5" t="str">
        <f>IFERROR(__xludf.DUMMYFUNCTION("GOOGLETRANSLATE(D251, ""en"", ""hi"")"),"A) खुली फाइल पर रूक्स को दोगुना करें")</f>
        <v>A) खुली फाइल पर रूक्स को दोगुना करें</v>
      </c>
    </row>
    <row r="252" ht="22.5" customHeight="1">
      <c r="A252" s="2">
        <v>251.0</v>
      </c>
      <c r="B252" s="3" t="s">
        <v>1752</v>
      </c>
      <c r="C252" s="3" t="s">
        <v>1753</v>
      </c>
      <c r="D252" s="3" t="s">
        <v>1754</v>
      </c>
      <c r="F252" s="5" t="str">
        <f>IFERROR(__xludf.DUMMYFUNCTION("GOOGLETRANSLATE(A252, ""en"", ""hi"")"),"251")</f>
        <v>251</v>
      </c>
      <c r="G252" s="5" t="str">
        <f>IFERROR(__xludf.DUMMYFUNCTION("GOOGLETRANSLATE(B252, ""en"", ""hi"")"),"काले के पास राजा की तरफ़ एक किश्ती और एक मोहरा है, जबकि सफ़ेद के पास f5 पर एक घोड़ा है। सफ़ेद को क्या करना चाहिए?")</f>
        <v>काले के पास राजा की तरफ़ एक किश्ती और एक मोहरा है, जबकि सफ़ेद के पास f5 पर एक घोड़ा है। सफ़ेद को क्या करना चाहिए?</v>
      </c>
      <c r="H252" s="5" t="str">
        <f>IFERROR(__xludf.DUMMYFUNCTION("GOOGLETRANSLATE(C252, ""en"", ""hi"")"),"ए) काले के प्यादों पर हमला करने के लिए घोड़े का उपयोग करें, बी) रानी की तरफ के प्यादों को धकेलें, सी) हमले के लिए घोड़े और किश्ती का समन्वय करें, डी) सरलीकरण के लिए घोड़ों की अदला-बदली करें")</f>
        <v>ए) काले के प्यादों पर हमला करने के लिए घोड़े का उपयोग करें, बी) रानी की तरफ के प्यादों को धकेलें, सी) हमले के लिए घोड़े और किश्ती का समन्वय करें, डी) सरलीकरण के लिए घोड़ों की अदला-बदली करें</v>
      </c>
      <c r="I252" s="5" t="str">
        <f>IFERROR(__xludf.DUMMYFUNCTION("GOOGLETRANSLATE(D252, ""en"", ""hi"")"),"A) काले के प्यादों पर हमला करने के लिए घोड़े का उपयोग करें")</f>
        <v>A) काले के प्यादों पर हमला करने के लिए घोड़े का उपयोग करें</v>
      </c>
    </row>
    <row r="253" ht="22.5" customHeight="1">
      <c r="A253" s="2">
        <v>252.0</v>
      </c>
      <c r="B253" s="3" t="s">
        <v>1755</v>
      </c>
      <c r="C253" s="3" t="s">
        <v>1756</v>
      </c>
      <c r="D253" s="3" t="s">
        <v>1757</v>
      </c>
      <c r="F253" s="5" t="str">
        <f>IFERROR(__xludf.DUMMYFUNCTION("GOOGLETRANSLATE(A253, ""en"", ""hi"")"),"252")</f>
        <v>252</v>
      </c>
      <c r="G253" s="5" t="str">
        <f>IFERROR(__xludf.DUMMYFUNCTION("GOOGLETRANSLATE(B253, ""en"", ""hi"")"),"सफ़ेद का मोहरा g7 पर है और काले का राजा h8 पर है। जीत पक्की करने के लिए सफ़ेद को क्या करना चाहिए?")</f>
        <v>सफ़ेद का मोहरा g7 पर है और काले का राजा h8 पर है। जीत पक्की करने के लिए सफ़ेद को क्या करना चाहिए?</v>
      </c>
      <c r="H253" s="5" t="str">
        <f>IFERROR(__xludf.DUMMYFUNCTION("GOOGLETRANSLATE(C253, ""en"", ""hi"")"),"क) मोहरे को आगे बढ़ाना, ख) काले मोहरों पर आक्रमण करने के लिए हाथी का प्रयोग करना, ग) आक्रमण के लिए हाथी और मोहरे का समन्वय करना, घ) राजा को खेल में लाना")</f>
        <v>क) मोहरे को आगे बढ़ाना, ख) काले मोहरों पर आक्रमण करने के लिए हाथी का प्रयोग करना, ग) आक्रमण के लिए हाथी और मोहरे का समन्वय करना, घ) राजा को खेल में लाना</v>
      </c>
      <c r="I253" s="5" t="str">
        <f>IFERROR(__xludf.DUMMYFUNCTION("GOOGLETRANSLATE(D253, ""en"", ""hi"")"),"A) मोहरे को बढ़ावा देना")</f>
        <v>A) मोहरे को बढ़ावा देना</v>
      </c>
    </row>
    <row r="254" ht="22.5" customHeight="1">
      <c r="A254" s="2">
        <v>253.0</v>
      </c>
      <c r="B254" s="3" t="s">
        <v>1758</v>
      </c>
      <c r="C254" s="3" t="s">
        <v>1759</v>
      </c>
      <c r="D254" s="3" t="s">
        <v>1760</v>
      </c>
      <c r="F254" s="5" t="str">
        <f>IFERROR(__xludf.DUMMYFUNCTION("GOOGLETRANSLATE(A254, ""en"", ""hi"")"),"253")</f>
        <v>253</v>
      </c>
      <c r="G254" s="5" t="str">
        <f>IFERROR(__xludf.DUMMYFUNCTION("GOOGLETRANSLATE(B254, ""en"", ""hi"")"),"काले के पास एक बिशप का जोड़ा है और सफ़ेद के पास एक सक्रिय किश्ती है। इस स्थिति में सफ़ेद को किस पर ध्यान केंद्रित करना चाहिए?")</f>
        <v>काले के पास एक बिशप का जोड़ा है और सफ़ेद के पास एक सक्रिय किश्ती है। इस स्थिति में सफ़ेद को किस पर ध्यान केंद्रित करना चाहिए?</v>
      </c>
      <c r="H254" s="5" t="str">
        <f>IFERROR(__xludf.DUMMYFUNCTION("GOOGLETRANSLATE(C254, ""en"", ""hi"")"),"A) हमले के लिए किश्ती और मोहरे का समन्वय करें, B) सरलीकरण के लिए मोहरों की अदला-बदली करें, C) जवाबी हमले के लिए मोहरों को आगे बढ़ाएँ, D) काले के बिशप पर सीधे हमला करें")</f>
        <v>A) हमले के लिए किश्ती और मोहरे का समन्वय करें, B) सरलीकरण के लिए मोहरों की अदला-बदली करें, C) जवाबी हमले के लिए मोहरों को आगे बढ़ाएँ, D) काले के बिशप पर सीधे हमला करें</v>
      </c>
      <c r="I254" s="5" t="str">
        <f>IFERROR(__xludf.DUMMYFUNCTION("GOOGLETRANSLATE(D254, ""en"", ""hi"")"),"A) आक्रमण के लिए किश्ती और मोहरे का समन्वय करना")</f>
        <v>A) आक्रमण के लिए किश्ती और मोहरे का समन्वय करना</v>
      </c>
    </row>
    <row r="255" ht="22.5" customHeight="1">
      <c r="A255" s="2">
        <v>254.0</v>
      </c>
      <c r="B255" s="3" t="s">
        <v>1761</v>
      </c>
      <c r="C255" s="3" t="s">
        <v>1762</v>
      </c>
      <c r="D255" s="3" t="s">
        <v>1763</v>
      </c>
      <c r="F255" s="5" t="str">
        <f>IFERROR(__xludf.DUMMYFUNCTION("GOOGLETRANSLATE(A255, ""en"", ""hi"")"),"254")</f>
        <v>254</v>
      </c>
      <c r="G255" s="5" t="str">
        <f>IFERROR(__xludf.DUMMYFUNCTION("GOOGLETRANSLATE(B255, ""en"", ""hi"")"),"सफ़ेद के पास e4 पर रानी है और काले के पास f8 पर किश्ती है। सफ़ेद की सबसे अच्छी रणनीति क्या है?")</f>
        <v>सफ़ेद के पास e4 पर रानी है और काले के पास f8 पर किश्ती है। सफ़ेद की सबसे अच्छी रणनीति क्या है?</v>
      </c>
      <c r="H255" s="5" t="str">
        <f>IFERROR(__xludf.DUMMYFUNCTION("GOOGLETRANSLATE(C255, ""en"", ""hi"")"),"A) हमले के लिए रानी और किश्ती का समन्वय करें, B) राजा की ओर के प्यादों को धकेलें, C) सरलीकरण के लिए रानियों की अदला-बदली करें, D) रानी के साथ काले के किश्ती पर हमला करें")</f>
        <v>A) हमले के लिए रानी और किश्ती का समन्वय करें, B) राजा की ओर के प्यादों को धकेलें, C) सरलीकरण के लिए रानियों की अदला-बदली करें, D) रानी के साथ काले के किश्ती पर हमला करें</v>
      </c>
      <c r="I255" s="5" t="str">
        <f>IFERROR(__xludf.DUMMYFUNCTION("GOOGLETRANSLATE(D255, ""en"", ""hi"")"),"A) हमले के लिए रानी और किश्ती का समन्वय करें")</f>
        <v>A) हमले के लिए रानी और किश्ती का समन्वय करें</v>
      </c>
    </row>
    <row r="256" ht="22.5" customHeight="1">
      <c r="A256" s="2">
        <v>255.0</v>
      </c>
      <c r="B256" s="3" t="s">
        <v>1764</v>
      </c>
      <c r="C256" s="3" t="s">
        <v>1765</v>
      </c>
      <c r="D256" s="3" t="s">
        <v>1766</v>
      </c>
      <c r="F256" s="5" t="str">
        <f>IFERROR(__xludf.DUMMYFUNCTION("GOOGLETRANSLATE(A256, ""en"", ""hi"")"),"255")</f>
        <v>255</v>
      </c>
      <c r="G256" s="5" t="str">
        <f>IFERROR(__xludf.DUMMYFUNCTION("GOOGLETRANSLATE(B256, ""en"", ""hi"")"),"काले के पास f4 पर एक उन्नत मोहरा है, जबकि सफ़ेद के पास एक बिशप और एक घोड़ा है। सफ़ेद को क्या करना चाहिए?")</f>
        <v>काले के पास f4 पर एक उन्नत मोहरा है, जबकि सफ़ेद के पास एक बिशप और एक घोड़ा है। सफ़ेद को क्या करना चाहिए?</v>
      </c>
      <c r="H256" s="5" t="str">
        <f>IFERROR(__xludf.DUMMYFUNCTION("GOOGLETRANSLATE(C256, ""en"", ""hi"")"),"A) मोहरे पर हमला करने के लिए घोड़े का उपयोग करें, B) मोहरों को रानी की तरफ धकेलें, C) मोहरे को सफेद मोहरों से बदलें, D) हमले के लिए बिशप और घोड़े का समन्वय करें")</f>
        <v>A) मोहरे पर हमला करने के लिए घोड़े का उपयोग करें, B) मोहरों को रानी की तरफ धकेलें, C) मोहरे को सफेद मोहरों से बदलें, D) हमले के लिए बिशप और घोड़े का समन्वय करें</v>
      </c>
      <c r="I256" s="5" t="str">
        <f>IFERROR(__xludf.DUMMYFUNCTION("GOOGLETRANSLATE(D256, ""en"", ""hi"")"),"D) हमले के लिए बिशप और नाइट का समन्वय करना")</f>
        <v>D) हमले के लिए बिशप और नाइट का समन्वय करना</v>
      </c>
    </row>
    <row r="257" ht="22.5" customHeight="1">
      <c r="A257" s="2">
        <v>256.0</v>
      </c>
      <c r="B257" s="3" t="s">
        <v>1767</v>
      </c>
      <c r="C257" s="3" t="s">
        <v>1768</v>
      </c>
      <c r="D257" s="3" t="s">
        <v>1769</v>
      </c>
      <c r="F257" s="5" t="str">
        <f>IFERROR(__xludf.DUMMYFUNCTION("GOOGLETRANSLATE(A257, ""en"", ""hi"")"),"256")</f>
        <v>256</v>
      </c>
      <c r="G257" s="5" t="str">
        <f>IFERROR(__xludf.DUMMYFUNCTION("GOOGLETRANSLATE(B257, ""en"", ""hi"")"),"सफ़ेद के पास बादशाह की तरफ़ एक किश्ती और एक मोहरा है, जबकि काले के पास एक रानी और दो मोहरे हैं। सफ़ेद को किस पर ध्यान केंद्रित करना चाहिए?")</f>
        <v>सफ़ेद के पास बादशाह की तरफ़ एक किश्ती और एक मोहरा है, जबकि काले के पास एक रानी और दो मोहरे हैं। सफ़ेद को किस पर ध्यान केंद्रित करना चाहिए?</v>
      </c>
      <c r="H257" s="5" t="str">
        <f>IFERROR(__xludf.DUMMYFUNCTION("GOOGLETRANSLATE(C257, ""en"", ""hi"")"),"क) मोहरे की उन्नति में सहायता के लिए किश्ती का प्रयोग करें, ख) मोहरों को रानी की ओर धकेलें, ग) सरलीकरण के लिए किश्ती बदलें, घ) बचाव के लिए किश्ती और बादशाह का समन्वय करें")</f>
        <v>क) मोहरे की उन्नति में सहायता के लिए किश्ती का प्रयोग करें, ख) मोहरों को रानी की ओर धकेलें, ग) सरलीकरण के लिए किश्ती बदलें, घ) बचाव के लिए किश्ती और बादशाह का समन्वय करें</v>
      </c>
      <c r="I257" s="5" t="str">
        <f>IFERROR(__xludf.DUMMYFUNCTION("GOOGLETRANSLATE(D257, ""en"", ""hi"")"),"A) मोहरे की पदोन्नति का समर्थन करने के लिए किश्ती का उपयोग करें")</f>
        <v>A) मोहरे की पदोन्नति का समर्थन करने के लिए किश्ती का उपयोग करें</v>
      </c>
    </row>
    <row r="258" ht="22.5" customHeight="1">
      <c r="A258" s="2">
        <v>257.0</v>
      </c>
      <c r="B258" s="3" t="s">
        <v>1770</v>
      </c>
      <c r="C258" s="3" t="s">
        <v>1771</v>
      </c>
      <c r="D258" s="3" t="s">
        <v>1170</v>
      </c>
      <c r="F258" s="5" t="str">
        <f>IFERROR(__xludf.DUMMYFUNCTION("GOOGLETRANSLATE(A258, ""en"", ""hi"")"),"257")</f>
        <v>257</v>
      </c>
      <c r="G258" s="5" t="str">
        <f>IFERROR(__xludf.DUMMYFUNCTION("GOOGLETRANSLATE(B258, ""en"", ""hi"")"),"काले के पास एक हाथी और एक बिशप है, और सफ़ेद के पास रानी की तरफ़ एक रानी और एक मोहरा है। सफ़ेद को क्या करना चाहिए?")</f>
        <v>काले के पास एक हाथी और एक बिशप है, और सफ़ेद के पास रानी की तरफ़ एक रानी और एक मोहरा है। सफ़ेद को क्या करना चाहिए?</v>
      </c>
      <c r="H258" s="5" t="str">
        <f>IFERROR(__xludf.DUMMYFUNCTION("GOOGLETRANSLATE(C258, ""en"", ""hi"")"),"ए) काले के प्यादों पर हमला करने के लिए रानी का उपयोग करें, बी) पास्ड प्यादा बनाने के लिए प्यादे को धक्का दें, सी) हमले के लिए रानी और प्यादे का समन्वय करें, डी) सरलीकरण के लिए रानियों का आदान-प्रदान करें")</f>
        <v>ए) काले के प्यादों पर हमला करने के लिए रानी का उपयोग करें, बी) पास्ड प्यादा बनाने के लिए प्यादे को धक्का दें, सी) हमले के लिए रानी और प्यादे का समन्वय करें, डी) सरलीकरण के लिए रानियों का आदान-प्रदान करें</v>
      </c>
      <c r="I258" s="5" t="str">
        <f>IFERROR(__xludf.DUMMYFUNCTION("GOOGLETRANSLATE(D258, ""en"", ""hi"")"),"बी) पास्ड प्यादा बनाने के लिए प्यादे को धक्का दें")</f>
        <v>बी) पास्ड प्यादा बनाने के लिए प्यादे को धक्का दें</v>
      </c>
    </row>
    <row r="259" ht="22.5" customHeight="1">
      <c r="A259" s="2">
        <v>258.0</v>
      </c>
      <c r="B259" s="3" t="s">
        <v>1772</v>
      </c>
      <c r="C259" s="3" t="s">
        <v>1773</v>
      </c>
      <c r="D259" s="3" t="s">
        <v>1774</v>
      </c>
      <c r="F259" s="5" t="str">
        <f>IFERROR(__xludf.DUMMYFUNCTION("GOOGLETRANSLATE(A259, ""en"", ""hi"")"),"258")</f>
        <v>258</v>
      </c>
      <c r="G259" s="5" t="str">
        <f>IFERROR(__xludf.DUMMYFUNCTION("GOOGLETRANSLATE(B259, ""en"", ""hi"")"),"सफ़ेद का घोड़ा e5 पर है और काले का राजा g8 पर है। सफ़ेद को किस पर ध्यान केंद्रित करना चाहिए?")</f>
        <v>सफ़ेद का घोड़ा e5 पर है और काले का राजा g8 पर है। सफ़ेद को किस पर ध्यान केंद्रित करना चाहिए?</v>
      </c>
      <c r="H259" s="5" t="str">
        <f>IFERROR(__xludf.DUMMYFUNCTION("GOOGLETRANSLATE(C259, ""en"", ""hi"")"),"ए) काले के मोहरों पर हमला करने के लिए घोड़े का उपयोग करें, बी) हमले के लिए घोड़े और अन्य मोहरों का समन्वय करें, सी) राजाओं की ओर मोहरों को धकेलें, डी) सरलीकरण के लिए घोड़ों की अदला-बदली करें")</f>
        <v>ए) काले के मोहरों पर हमला करने के लिए घोड़े का उपयोग करें, बी) हमले के लिए घोड़े और अन्य मोहरों का समन्वय करें, सी) राजाओं की ओर मोहरों को धकेलें, डी) सरलीकरण के लिए घोड़ों की अदला-बदली करें</v>
      </c>
      <c r="I259" s="5" t="str">
        <f>IFERROR(__xludf.DUMMYFUNCTION("GOOGLETRANSLATE(D259, ""en"", ""hi"")"),"बी) हमले के लिए घोड़े और अन्य मोहरों का समन्वय करना")</f>
        <v>बी) हमले के लिए घोड़े और अन्य मोहरों का समन्वय करना</v>
      </c>
    </row>
    <row r="260" ht="22.5" customHeight="1">
      <c r="A260" s="2">
        <v>259.0</v>
      </c>
      <c r="B260" s="3" t="s">
        <v>1775</v>
      </c>
      <c r="C260" s="3" t="s">
        <v>1776</v>
      </c>
      <c r="D260" s="3" t="s">
        <v>1777</v>
      </c>
      <c r="F260" s="5" t="str">
        <f>IFERROR(__xludf.DUMMYFUNCTION("GOOGLETRANSLATE(A260, ""en"", ""hi"")"),"259")</f>
        <v>259</v>
      </c>
      <c r="G260" s="5" t="str">
        <f>IFERROR(__xludf.DUMMYFUNCTION("GOOGLETRANSLATE(B260, ""en"", ""hi"")"),"काले के पास रानी की तरफ एक रानी और एक मोहरा है, जबकि सफेद के पास एक किश्ती और एक बिशप है। सफेद को क्या करना चाहिए?")</f>
        <v>काले के पास रानी की तरफ एक रानी और एक मोहरा है, जबकि सफेद के पास एक किश्ती और एक बिशप है। सफेद को क्या करना चाहिए?</v>
      </c>
      <c r="H260" s="5" t="str">
        <f>IFERROR(__xludf.DUMMYFUNCTION("GOOGLETRANSLATE(C260, ""en"", ""hi"")"),"क) काले के प्यादों पर हमला करने के लिए किश्ती और बिशप का उपयोग करें, ख) प्यादों को राजा की ओर धकेलें, ग) सरलीकरण के लिए मोहरों की अदला-बदली करें, घ) हमले के लिए किश्ती और बिशप का समन्वय करें")</f>
        <v>क) काले के प्यादों पर हमला करने के लिए किश्ती और बिशप का उपयोग करें, ख) प्यादों को राजा की ओर धकेलें, ग) सरलीकरण के लिए मोहरों की अदला-बदली करें, घ) हमले के लिए किश्ती और बिशप का समन्वय करें</v>
      </c>
      <c r="I260" s="5" t="str">
        <f>IFERROR(__xludf.DUMMYFUNCTION("GOOGLETRANSLATE(D260, ""en"", ""hi"")"),"A) काले के प्यादों पर हमला करने के लिए हाथी और बिशप का उपयोग करें")</f>
        <v>A) काले के प्यादों पर हमला करने के लिए हाथी और बिशप का उपयोग करें</v>
      </c>
    </row>
    <row r="261" ht="22.5" customHeight="1">
      <c r="A261" s="2">
        <v>260.0</v>
      </c>
      <c r="B261" s="3" t="s">
        <v>1778</v>
      </c>
      <c r="C261" s="3" t="s">
        <v>1779</v>
      </c>
      <c r="D261" s="3" t="s">
        <v>1740</v>
      </c>
      <c r="F261" s="5" t="str">
        <f>IFERROR(__xludf.DUMMYFUNCTION("GOOGLETRANSLATE(A261, ""en"", ""hi"")"),"260")</f>
        <v>260</v>
      </c>
      <c r="G261" s="5" t="str">
        <f>IFERROR(__xludf.DUMMYFUNCTION("GOOGLETRANSLATE(B261, ""en"", ""hi"")"),"सफ़ेद का प्यादा b6 पर है और काले का राजा g8 पर है। सफ़ेद को क्या करना चाहिए?")</f>
        <v>सफ़ेद का प्यादा b6 पर है और काले का राजा g8 पर है। सफ़ेद को क्या करना चाहिए?</v>
      </c>
      <c r="H261" s="5" t="str">
        <f>IFERROR(__xludf.DUMMYFUNCTION("GOOGLETRANSLATE(C261, ""en"", ""hi"")"),"A) मोहरे को b7 पर धकेलें, B) खतरे पैदा करने के लिए मोहरे का उपयोग करें, C) मोहरे को अन्य मोहरों के साथ समन्वयित करें, D) राजा को खेल में शामिल करें")</f>
        <v>A) मोहरे को b7 पर धकेलें, B) खतरे पैदा करने के लिए मोहरे का उपयोग करें, C) मोहरे को अन्य मोहरों के साथ समन्वयित करें, D) राजा को खेल में शामिल करें</v>
      </c>
      <c r="I261" s="5" t="str">
        <f>IFERROR(__xludf.DUMMYFUNCTION("GOOGLETRANSLATE(D261, ""en"", ""hi"")"),"A) मोहरे को b7 पर धकेलें")</f>
        <v>A) मोहरे को b7 पर धकेलें</v>
      </c>
    </row>
    <row r="262" ht="22.5" customHeight="1">
      <c r="A262" s="2">
        <v>261.0</v>
      </c>
      <c r="B262" s="3" t="s">
        <v>1780</v>
      </c>
      <c r="C262" s="3" t="s">
        <v>1781</v>
      </c>
      <c r="D262" s="3" t="s">
        <v>1763</v>
      </c>
      <c r="F262" s="5" t="str">
        <f>IFERROR(__xludf.DUMMYFUNCTION("GOOGLETRANSLATE(A262, ""en"", ""hi"")"),"261")</f>
        <v>261</v>
      </c>
      <c r="G262" s="5" t="str">
        <f>IFERROR(__xludf.DUMMYFUNCTION("GOOGLETRANSLATE(B262, ""en"", ""hi"")"),"काले के पास राजा की तरफ़ एक किश्ती और एक मोहरा है, जबकि सफ़ेद के पास खुले मैदान में एक रानी है। सफ़ेद को किस पर ध्यान केंद्रित करना चाहिए?")</f>
        <v>काले के पास राजा की तरफ़ एक किश्ती और एक मोहरा है, जबकि सफ़ेद के पास खुले मैदान में एक रानी है। सफ़ेद को किस पर ध्यान केंद्रित करना चाहिए?</v>
      </c>
      <c r="H262" s="5" t="str">
        <f>IFERROR(__xludf.DUMMYFUNCTION("GOOGLETRANSLATE(C262, ""en"", ""hi"")"),"ए) हमले के लिए रानी और किश्ती का समन्वय करें, बी) रानी की तरफ के प्यादों को धकेलें, सी) सरलीकरण के लिए रानियों की अदला-बदली करें, डी) काले के प्यादों पर हमला करने के लिए रानी का उपयोग करें")</f>
        <v>ए) हमले के लिए रानी और किश्ती का समन्वय करें, बी) रानी की तरफ के प्यादों को धकेलें, सी) सरलीकरण के लिए रानियों की अदला-बदली करें, डी) काले के प्यादों पर हमला करने के लिए रानी का उपयोग करें</v>
      </c>
      <c r="I262" s="5" t="str">
        <f>IFERROR(__xludf.DUMMYFUNCTION("GOOGLETRANSLATE(D262, ""en"", ""hi"")"),"A) हमले के लिए रानी और किश्ती का समन्वय करें")</f>
        <v>A) हमले के लिए रानी और किश्ती का समन्वय करें</v>
      </c>
    </row>
    <row r="263" ht="22.5" customHeight="1">
      <c r="A263" s="2">
        <v>262.0</v>
      </c>
      <c r="B263" s="3" t="s">
        <v>1782</v>
      </c>
      <c r="C263" s="3" t="s">
        <v>1783</v>
      </c>
      <c r="D263" s="3" t="s">
        <v>1584</v>
      </c>
      <c r="F263" s="5" t="str">
        <f>IFERROR(__xludf.DUMMYFUNCTION("GOOGLETRANSLATE(A263, ""en"", ""hi"")"),"262")</f>
        <v>262</v>
      </c>
      <c r="G263" s="5" t="str">
        <f>IFERROR(__xludf.DUMMYFUNCTION("GOOGLETRANSLATE(B263, ""en"", ""hi"")"),"सफ़ेद के पास f7 पर एक शक्तिशाली मोहरा है और काले का किश्ती f8 पर है। सफ़ेद को क्या करना चाहिए?")</f>
        <v>सफ़ेद के पास f7 पर एक शक्तिशाली मोहरा है और काले का किश्ती f8 पर है। सफ़ेद को क्या करना चाहिए?</v>
      </c>
      <c r="H263" s="5" t="str">
        <f>IFERROR(__xludf.DUMMYFUNCTION("GOOGLETRANSLATE(C263, ""en"", ""hi"")"),"क) मोहरे को आगे बढ़ाने के लिए धक्का दें, ख) मोहरे को प्रलोभन के रूप में उपयोग करें, ग) हमले के लिए मोहरे और किश्ती का समन्वय करें, घ) सरलीकरण के लिए किश्ती बदलें")</f>
        <v>क) मोहरे को आगे बढ़ाने के लिए धक्का दें, ख) मोहरे को प्रलोभन के रूप में उपयोग करें, ग) हमले के लिए मोहरे और किश्ती का समन्वय करें, घ) सरलीकरण के लिए किश्ती बदलें</v>
      </c>
      <c r="I263" s="5" t="str">
        <f>IFERROR(__xludf.DUMMYFUNCTION("GOOGLETRANSLATE(D263, ""en"", ""hi"")"),"A) मोहरे को पदोन्नति की ओर धकेलना")</f>
        <v>A) मोहरे को पदोन्नति की ओर धकेलना</v>
      </c>
    </row>
    <row r="264" ht="22.5" customHeight="1">
      <c r="A264" s="2">
        <v>263.0</v>
      </c>
      <c r="B264" s="3" t="s">
        <v>1784</v>
      </c>
      <c r="C264" s="3" t="s">
        <v>1785</v>
      </c>
      <c r="D264" s="3" t="s">
        <v>1786</v>
      </c>
      <c r="F264" s="5" t="str">
        <f>IFERROR(__xludf.DUMMYFUNCTION("GOOGLETRANSLATE(A264, ""en"", ""hi"")"),"263")</f>
        <v>263</v>
      </c>
      <c r="G264" s="5" t="str">
        <f>IFERROR(__xludf.DUMMYFUNCTION("GOOGLETRANSLATE(B264, ""en"", ""hi"")"),"काले की रानी राजा की तरफ सक्रिय है और सफेद की रानी की तरफ एक हाथी है। सफेद को क्या जवाब देना चाहिए?")</f>
        <v>काले की रानी राजा की तरफ सक्रिय है और सफेद की रानी की तरफ एक हाथी है। सफेद को क्या जवाब देना चाहिए?</v>
      </c>
      <c r="H264" s="5" t="str">
        <f>IFERROR(__xludf.DUMMYFUNCTION("GOOGLETRANSLATE(C264, ""en"", ""hi"")"),"क) रानी की तरफ के मोहरों को धकेलना, ख) काले मोहरों पर हमला करने के लिए हाथी का इस्तेमाल करना, ग) हमले के लिए हाथी और अन्य मोहरों का समन्वय करना, घ) खेल को सरल बनाने के लिए रानियों की अदला-बदली करना")</f>
        <v>क) रानी की तरफ के मोहरों को धकेलना, ख) काले मोहरों पर हमला करने के लिए हाथी का इस्तेमाल करना, ग) हमले के लिए हाथी और अन्य मोहरों का समन्वय करना, घ) खेल को सरल बनाने के लिए रानियों की अदला-बदली करना</v>
      </c>
      <c r="I264" s="5" t="str">
        <f>IFERROR(__xludf.DUMMYFUNCTION("GOOGLETRANSLATE(D264, ""en"", ""hi"")"),"C) आक्रमण के लिए किश्ती और अन्य मोहरों का समन्वय करना")</f>
        <v>C) आक्रमण के लिए किश्ती और अन्य मोहरों का समन्वय करना</v>
      </c>
    </row>
    <row r="265" ht="22.5" customHeight="1">
      <c r="A265" s="2">
        <v>264.0</v>
      </c>
      <c r="B265" s="3" t="s">
        <v>1787</v>
      </c>
      <c r="C265" s="3" t="s">
        <v>1788</v>
      </c>
      <c r="D265" s="3" t="s">
        <v>1789</v>
      </c>
      <c r="F265" s="5" t="str">
        <f>IFERROR(__xludf.DUMMYFUNCTION("GOOGLETRANSLATE(A265, ""en"", ""hi"")"),"264")</f>
        <v>264</v>
      </c>
      <c r="G265" s="5" t="str">
        <f>IFERROR(__xludf.DUMMYFUNCTION("GOOGLETRANSLATE(B265, ""en"", ""hi"")"),"सफ़ेद के पास सातवें रैंक पर एक रूक है और काले के पास e6 पर एक बिशप है। सफ़ेद को क्या करना चाहिए?")</f>
        <v>सफ़ेद के पास सातवें रैंक पर एक रूक है और काले के पास e6 पर एक बिशप है। सफ़ेद को क्या करना चाहिए?</v>
      </c>
      <c r="H265" s="5" t="str">
        <f>IFERROR(__xludf.DUMMYFUNCTION("GOOGLETRANSLATE(C265, ""en"", ""hi"")"),"क)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f>
        <v>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v>
      </c>
      <c r="I265" s="5" t="str">
        <f>IFERROR(__xludf.DUMMYFUNCTION("GOOGLETRANSLATE(D265, ""en"", ""hi"")"),"A) काले के प्यादों पर हमला करने के लिए किश्ती का उपयोग करें")</f>
        <v>A) काले के प्यादों पर हमला करने के लिए किश्ती का उपयोग करें</v>
      </c>
    </row>
    <row r="266" ht="22.5" customHeight="1">
      <c r="A266" s="2">
        <v>265.0</v>
      </c>
      <c r="B266" s="3" t="s">
        <v>1790</v>
      </c>
      <c r="C266" s="3" t="s">
        <v>1791</v>
      </c>
      <c r="D266" s="3" t="s">
        <v>1792</v>
      </c>
      <c r="F266" s="5" t="str">
        <f>IFERROR(__xludf.DUMMYFUNCTION("GOOGLETRANSLATE(A266, ""en"", ""hi"")"),"265")</f>
        <v>265</v>
      </c>
      <c r="G266" s="5" t="str">
        <f>IFERROR(__xludf.DUMMYFUNCTION("GOOGLETRANSLATE(B266, ""en"", ""hi"")"),"काले के पास d4 पर एक उन्नत मोहरा है और सफ़ेद के पास रानी की तरफ़ एक किश्ती और एक बिशप है। सफ़ेद को क्या करना चाहिए?")</f>
        <v>काले के पास d4 पर एक उन्नत मोहरा है और सफ़ेद के पास रानी की तरफ़ एक किश्ती और एक बिशप है। सफ़ेद को क्या करना चाहिए?</v>
      </c>
      <c r="H266" s="5" t="str">
        <f>IFERROR(__xludf.DUMMYFUNCTION("GOOGLETRANSLATE(C266, ""en"", ""hi"")"),"ए) काले के मोहरे पर हमला करने के लिए हाथी का उपयोग करें, बी) मोहरों को राजा की ओर धकेलें, सी) हमले के लिए हाथी और बिशप का समन्वय करें, डी) खेल को सरल बनाने के लिए मोहरों की अदला-बदली करें")</f>
        <v>ए) काले के मोहरे पर हमला करने के लिए हाथी का उपयोग करें, बी) मोहरों को राजा की ओर धकेलें, सी) हमले के लिए हाथी और बिशप का समन्वय करें, डी) खेल को सरल बनाने के लिए मोहरों की अदला-बदली करें</v>
      </c>
      <c r="I266" s="5" t="str">
        <f>IFERROR(__xludf.DUMMYFUNCTION("GOOGLETRANSLATE(D266, ""en"", ""hi"")"),"C) आक्रमण के लिए रूक और बिशप का समन्वय करें")</f>
        <v>C) आक्रमण के लिए रूक और बिशप का समन्वय करें</v>
      </c>
    </row>
    <row r="267" ht="22.5" customHeight="1">
      <c r="A267" s="2">
        <v>266.0</v>
      </c>
      <c r="B267" s="3" t="s">
        <v>1793</v>
      </c>
      <c r="C267" s="3" t="s">
        <v>1794</v>
      </c>
      <c r="D267" s="3" t="s">
        <v>1795</v>
      </c>
      <c r="F267" s="5" t="str">
        <f>IFERROR(__xludf.DUMMYFUNCTION("GOOGLETRANSLATE(A267, ""en"", ""hi"")"),"266")</f>
        <v>266</v>
      </c>
      <c r="G267" s="5" t="str">
        <f>IFERROR(__xludf.DUMMYFUNCTION("GOOGLETRANSLATE(B267, ""en"", ""hi"")"),"सफ़ेद के पास बादशाह की तरफ़ एक रानी और एक मोहरा है, जबकि काले के पास खुली फ़ाइल पर एक किश्ती है। सफ़ेद को क्या करना चाहिए?")</f>
        <v>सफ़ेद के पास बादशाह की तरफ़ एक रानी और एक मोहरा है, जबकि काले के पास खुली फ़ाइल पर एक किश्ती है। सफ़ेद को क्या करना चाहिए?</v>
      </c>
      <c r="H267" s="5" t="str">
        <f>IFERROR(__xludf.DUMMYFUNCTION("GOOGLETRANSLATE(C267, ""en"", ""hi"")"),"ए)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f>
        <v>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v>
      </c>
      <c r="I267" s="5" t="str">
        <f>IFERROR(__xludf.DUMMYFUNCTION("GOOGLETRANSLATE(D267, ""en"", ""hi"")"),"D) मोहरे की पदोन्नति का समर्थन करने के लिए रानी का उपयोग करें")</f>
        <v>D) मोहरे की पदोन्नति का समर्थन करने के लिए रानी का उपयोग करें</v>
      </c>
    </row>
    <row r="268" ht="22.5" customHeight="1">
      <c r="A268" s="2">
        <v>267.0</v>
      </c>
      <c r="B268" s="3" t="s">
        <v>1796</v>
      </c>
      <c r="C268" s="3" t="s">
        <v>1797</v>
      </c>
      <c r="D268" s="3" t="s">
        <v>1798</v>
      </c>
      <c r="F268" s="5" t="str">
        <f>IFERROR(__xludf.DUMMYFUNCTION("GOOGLETRANSLATE(A268, ""en"", ""hi"")"),"267")</f>
        <v>267</v>
      </c>
      <c r="G268" s="5" t="str">
        <f>IFERROR(__xludf.DUMMYFUNCTION("GOOGLETRANSLATE(B268, ""en"", ""hi"")"),"काले का घोड़ा d5 पर है और सफ़ेद का राजा h1 पर है। सफ़ेद की सबसे अच्छी चाल क्या है?")</f>
        <v>काले का घोड़ा d5 पर है और सफ़ेद का राजा h1 पर है। सफ़ेद की सबसे अच्छी चाल क्या है?</v>
      </c>
      <c r="H268" s="5" t="str">
        <f>IFERROR(__xludf.DUMMYFUNCTION("GOOGLETRANSLATE(C268, ""en"", ""hi"")"),"ए) काले घोड़े पर हमला करने के लिए रानी का उपयोग करें, बी) रानी की तरफ के मोहरों को धकेलें, सी) हमले के लिए रानी और अन्य मोहरों का समन्वय करें, डी) खेल को सरल बनाने के लिए मोहरों की अदला-बदली करें")</f>
        <v>ए) काले घोड़े पर हमला करने के लिए रानी का उपयोग करें, बी) रानी की तरफ के मोहरों को धकेलें, सी) हमले के लिए रानी और अन्य मोहरों का समन्वय करें, डी) खेल को सरल बनाने के लिए मोहरों की अदला-बदली करें</v>
      </c>
      <c r="I268" s="5" t="str">
        <f>IFERROR(__xludf.DUMMYFUNCTION("GOOGLETRANSLATE(D268, ""en"", ""hi"")"),"C) हमले के लिए रानी और अन्य मोहरों का समन्वय करना")</f>
        <v>C) हमले के लिए रानी और अन्य मोहरों का समन्वय करना</v>
      </c>
    </row>
    <row r="269" ht="22.5" customHeight="1">
      <c r="A269" s="2">
        <v>268.0</v>
      </c>
      <c r="B269" s="3" t="s">
        <v>1799</v>
      </c>
      <c r="C269" s="3" t="s">
        <v>1788</v>
      </c>
      <c r="D269" s="3" t="s">
        <v>1789</v>
      </c>
      <c r="F269" s="5" t="str">
        <f>IFERROR(__xludf.DUMMYFUNCTION("GOOGLETRANSLATE(A269, ""en"", ""hi"")"),"268")</f>
        <v>268</v>
      </c>
      <c r="G269" s="5" t="str">
        <f>IFERROR(__xludf.DUMMYFUNCTION("GOOGLETRANSLATE(B269, ""en"", ""hi"")"),"सफ़ेद के पास सातवें रैंक पर एक रूक है और काले के पास b7 पर एक बिशप है। सफ़ेद को किस पर ध्यान केंद्रित करना चाहिए?")</f>
        <v>सफ़ेद के पास सातवें रैंक पर एक रूक है और काले के पास b7 पर एक बिशप है। सफ़ेद को किस पर ध्यान केंद्रित करना चाहिए?</v>
      </c>
      <c r="H269" s="5" t="str">
        <f>IFERROR(__xludf.DUMMYFUNCTION("GOOGLETRANSLATE(C269, ""en"", ""hi"")"),"क)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f>
        <v>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v>
      </c>
      <c r="I269" s="5" t="str">
        <f>IFERROR(__xludf.DUMMYFUNCTION("GOOGLETRANSLATE(D269, ""en"", ""hi"")"),"A) काले के प्यादों पर हमला करने के लिए किश्ती का उपयोग करें")</f>
        <v>A) काले के प्यादों पर हमला करने के लिए किश्ती का उपयोग करें</v>
      </c>
    </row>
    <row r="270" ht="22.5" customHeight="1">
      <c r="A270" s="2">
        <v>269.0</v>
      </c>
      <c r="B270" s="3" t="s">
        <v>1800</v>
      </c>
      <c r="C270" s="3" t="s">
        <v>1801</v>
      </c>
      <c r="D270" s="3" t="s">
        <v>1802</v>
      </c>
      <c r="F270" s="5" t="str">
        <f>IFERROR(__xludf.DUMMYFUNCTION("GOOGLETRANSLATE(A270, ""en"", ""hi"")"),"269")</f>
        <v>269</v>
      </c>
      <c r="G270" s="5" t="str">
        <f>IFERROR(__xludf.DUMMYFUNCTION("GOOGLETRANSLATE(B270, ""en"", ""hi"")"),"काले का प्यादा b5 पर है और सफ़ेद का राजा h3 पर है। सफ़ेद को क्या करना चाहिए?")</f>
        <v>काले का प्यादा b5 पर है और सफ़ेद का राजा h3 पर है। सफ़ेद को क्या करना चाहिए?</v>
      </c>
      <c r="H270" s="5" t="str">
        <f>IFERROR(__xludf.DUMMYFUNCTION("GOOGLETRANSLATE(C270, ""en"", ""hi"")"),"क) प्यादों को सहारा देने के लिए बादशाह का प्रयोग करें, ख) प्यादों को रानी की ओर धकेलें, ग) आक्रमण के लिए बादशाह और किश्ती का समन्वय करें, घ) खेल को सरल बनाने के लिए प्यादों की अदला-बदली करें")</f>
        <v>क) प्यादों को सहारा देने के लिए बादशाह का प्रयोग करें, ख) प्यादों को रानी की ओर धकेलें, ग) आक्रमण के लिए बादशाह और किश्ती का समन्वय करें, घ) खेल को सरल बनाने के लिए प्यादों की अदला-बदली करें</v>
      </c>
      <c r="I270" s="5" t="str">
        <f>IFERROR(__xludf.DUMMYFUNCTION("GOOGLETRANSLATE(D270, ""en"", ""hi"")"),"बी) रानी की ओर के प्यादों को धकेलना")</f>
        <v>बी) रानी की ओर के प्यादों को धकेलना</v>
      </c>
    </row>
    <row r="271" ht="22.5" customHeight="1">
      <c r="A271" s="2">
        <v>270.0</v>
      </c>
      <c r="B271" s="3" t="s">
        <v>1803</v>
      </c>
      <c r="C271" s="3" t="s">
        <v>1804</v>
      </c>
      <c r="D271" s="3" t="s">
        <v>1760</v>
      </c>
      <c r="F271" s="5" t="str">
        <f>IFERROR(__xludf.DUMMYFUNCTION("GOOGLETRANSLATE(A271, ""en"", ""hi"")"),"270")</f>
        <v>270</v>
      </c>
      <c r="G271" s="5" t="str">
        <f>IFERROR(__xludf.DUMMYFUNCTION("GOOGLETRANSLATE(B271, ""en"", ""hi"")"),"सफ़ेद के पास बादशाह की तरफ़ एक किश्ती और एक मोहरा है, जबकि काले के पास खुली हुई फ़ाइल में एक रानी है। सफ़ेद को क्या करना चाहिए?")</f>
        <v>सफ़ेद के पास बादशाह की तरफ़ एक किश्ती और एक मोहरा है, जबकि काले के पास खुली हुई फ़ाइल में एक रानी है। सफ़ेद को क्या करना चाहिए?</v>
      </c>
      <c r="H271" s="5" t="str">
        <f>IFERROR(__xludf.DUMMYFUNCTION("GOOGLETRANSLATE(C271, ""en"", ""hi"")"),"ए) हमले के लिए किश्ती और मोहरे का समन्वय करें, बी) काली की रानी पर हमला करने के लिए किश्ती का उपयोग करें, सी) रानी की तरफ के मोहरों को धकेलें, डी) सरलीकरण के लिए रानियों की अदला-बदली करें")</f>
        <v>ए) हमले के लिए किश्ती और मोहरे का समन्वय करें, बी) काली की रानी पर हमला करने के लिए किश्ती का उपयोग करें, सी) रानी की तरफ के मोहरों को धकेलें, डी) सरलीकरण के लिए रानियों की अदला-बदली करें</v>
      </c>
      <c r="I271" s="5" t="str">
        <f>IFERROR(__xludf.DUMMYFUNCTION("GOOGLETRANSLATE(D271, ""en"", ""hi"")"),"A) आक्रमण के लिए किश्ती और मोहरे का समन्वय करना")</f>
        <v>A) आक्रमण के लिए किश्ती और मोहरे का समन्वय करना</v>
      </c>
    </row>
    <row r="272" ht="22.5" customHeight="1">
      <c r="A272" s="2">
        <v>271.0</v>
      </c>
      <c r="B272" s="3" t="s">
        <v>1805</v>
      </c>
      <c r="C272" s="3" t="s">
        <v>1806</v>
      </c>
      <c r="D272" s="3" t="s">
        <v>1807</v>
      </c>
      <c r="F272" s="5" t="str">
        <f>IFERROR(__xludf.DUMMYFUNCTION("GOOGLETRANSLATE(A272, ""en"", ""hi"")"),"271")</f>
        <v>271</v>
      </c>
      <c r="G272" s="5" t="str">
        <f>IFERROR(__xludf.DUMMYFUNCTION("GOOGLETRANSLATE(B272, ""en"", ""hi"")"),"काले के पास e6 पर एक घोड़ा है और सफ़ेद के पास f7 पर एक मोहरा है। अपनी स्थिति को अधिकतम करने के लिए सफ़ेद को क्या करना चाहिए?")</f>
        <v>काले के पास e6 पर एक घोड़ा है और सफ़ेद के पास f7 पर एक मोहरा है। अपनी स्थिति को अधिकतम करने के लिए सफ़ेद को क्या करना चाहिए?</v>
      </c>
      <c r="H272" s="5" t="str">
        <f>IFERROR(__xludf.DUMMYFUNCTION("GOOGLETRANSLATE(C272, ""en"", ""hi"")"),"क) मोहरे को f8 पर धकेलें, ख) खतरे पैदा करने के लिए मोहरे का उपयोग करें, ग) हमले के लिए मोहरे को अन्य मोहरों के साथ समन्वयित करें, घ) सरलीकरण के लिए घोड़ों की अदला-बदली करें")</f>
        <v>क) मोहरे को f8 पर धकेलें, ख) खतरे पैदा करने के लिए मोहरे का उपयोग करें, ग) हमले के लिए मोहरे को अन्य मोहरों के साथ समन्वयित करें, घ) सरलीकरण के लिए घोड़ों की अदला-बदली करें</v>
      </c>
      <c r="I272" s="5" t="str">
        <f>IFERROR(__xludf.DUMMYFUNCTION("GOOGLETRANSLATE(D272, ""en"", ""hi"")"),"A) मोहरे को f8 पर धकेलें")</f>
        <v>A) मोहरे को f8 पर धकेलें</v>
      </c>
    </row>
    <row r="273" ht="22.5" customHeight="1">
      <c r="A273" s="2">
        <v>272.0</v>
      </c>
      <c r="B273" s="3" t="s">
        <v>1808</v>
      </c>
      <c r="C273" s="3" t="s">
        <v>1809</v>
      </c>
      <c r="D273" s="3" t="s">
        <v>1810</v>
      </c>
      <c r="F273" s="5" t="str">
        <f>IFERROR(__xludf.DUMMYFUNCTION("GOOGLETRANSLATE(A273, ""en"", ""hi"")"),"272")</f>
        <v>272</v>
      </c>
      <c r="G273" s="5" t="str">
        <f>IFERROR(__xludf.DUMMYFUNCTION("GOOGLETRANSLATE(B273, ""en"", ""hi"")"),"सफ़ेद के पास d1 पर रानी है और काले के पास a8 पर किश्ती है। सफ़ेद की सबसे अच्छी रणनीति क्या है?")</f>
        <v>सफ़ेद के पास d1 पर रानी है और काले के पास a8 पर किश्ती है। सफ़ेद की सबसे अच्छी रणनीति क्या है?</v>
      </c>
      <c r="H273" s="5" t="str">
        <f>IFERROR(__xludf.DUMMYFUNCTION("GOOGLETRANSLATE(C273, ""en"", ""hi"")"),"ए) हमले के लिए रानी को अन्य मोहरों के साथ समन्वयित करें, बी) राजाओं की ओर मोहरों को धकेलें, सी) सरलीकरण के लिए रानियों की अदला-बदली करें, डी) काले के हाथी पर हमला करने के लिए रानी का उपयोग करें")</f>
        <v>ए) हमले के लिए रानी को अन्य मोहरों के साथ समन्वयित करें, बी) राजाओं की ओर मोहरों को धकेलें, सी) सरलीकरण के लिए रानियों की अदला-बदली करें, डी) काले के हाथी पर हमला करने के लिए रानी का उपयोग करें</v>
      </c>
      <c r="I273" s="5" t="str">
        <f>IFERROR(__xludf.DUMMYFUNCTION("GOOGLETRANSLATE(D273, ""en"", ""hi"")"),"A) आक्रमण के लिए रानी को अन्य मोहरों के साथ समन्वयित करें")</f>
        <v>A) आक्रमण के लिए रानी को अन्य मोहरों के साथ समन्वयित करें</v>
      </c>
    </row>
    <row r="274" ht="22.5" customHeight="1">
      <c r="A274" s="2">
        <v>273.0</v>
      </c>
      <c r="B274" s="3" t="s">
        <v>1811</v>
      </c>
      <c r="C274" s="3" t="s">
        <v>1812</v>
      </c>
      <c r="D274" s="3" t="s">
        <v>1792</v>
      </c>
      <c r="F274" s="5" t="str">
        <f>IFERROR(__xludf.DUMMYFUNCTION("GOOGLETRANSLATE(A274, ""en"", ""hi"")"),"273")</f>
        <v>273</v>
      </c>
      <c r="G274" s="5" t="str">
        <f>IFERROR(__xludf.DUMMYFUNCTION("GOOGLETRANSLATE(B274, ""en"", ""hi"")"),"काले के पास f4 पर एक उन्नत मोहरा है और सफ़ेद के पास एक किश्ती और एक बिशप है। सफ़ेद को क्या करना चाहिए?")</f>
        <v>काले के पास f4 पर एक उन्नत मोहरा है और सफ़ेद के पास एक किश्ती और एक बिशप है। सफ़ेद को क्या करना चाहिए?</v>
      </c>
      <c r="H274" s="5" t="str">
        <f>IFERROR(__xludf.DUMMYFUNCTION("GOOGLETRANSLATE(C274, ""en"", ""hi"")"),"ए) काले के मोहरे पर हमला करने के लिए हाथी और बिशप का उपयोग करें, बी) मोहरों को रानी की तरफ धकेलें, सी) हमले के लिए हाथी और बिशप का समन्वय करें, डी) खेल को सरल बनाने के लिए मोहरों की अदला-बदली करें")</f>
        <v>ए) काले के मोहरे पर हमला करने के लिए हाथी और बिशप का उपयोग करें, बी) मोहरों को रानी की तरफ धकेलें, सी) हमले के लिए हाथी और बिशप का समन्वय करें, डी) खेल को सरल बनाने के लिए मोहरों की अदला-बदली करें</v>
      </c>
      <c r="I274" s="5" t="str">
        <f>IFERROR(__xludf.DUMMYFUNCTION("GOOGLETRANSLATE(D274, ""en"", ""hi"")"),"C) आक्रमण के लिए रूक और बिशप का समन्वय करें")</f>
        <v>C) आक्रमण के लिए रूक और बिशप का समन्वय करें</v>
      </c>
    </row>
    <row r="275" ht="22.5" customHeight="1">
      <c r="A275" s="2">
        <v>274.0</v>
      </c>
      <c r="B275" s="3" t="s">
        <v>1813</v>
      </c>
      <c r="C275" s="3" t="s">
        <v>1814</v>
      </c>
      <c r="D275" s="3" t="s">
        <v>1815</v>
      </c>
      <c r="F275" s="5" t="str">
        <f>IFERROR(__xludf.DUMMYFUNCTION("GOOGLETRANSLATE(A275, ""en"", ""hi"")"),"274")</f>
        <v>274</v>
      </c>
      <c r="G275" s="5" t="str">
        <f>IFERROR(__xludf.DUMMYFUNCTION("GOOGLETRANSLATE(B275, ""en"", ""hi"")"),"सफ़ेद के पास g6 पर एक शक्तिशाली मोहरा है और काले का राजा h8 पर है। जीतने के लिए सफ़ेद को क्या करना चाहिए?")</f>
        <v>सफ़ेद के पास g6 पर एक शक्तिशाली मोहरा है और काले का राजा h8 पर है। जीतने के लिए सफ़ेद को क्या करना चाहिए?</v>
      </c>
      <c r="H275" s="5" t="str">
        <f>IFERROR(__xludf.DUMMYFUNCTION("GOOGLETRANSLATE(C275, ""en"", ""hi"")"),"क)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f>
        <v>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v>
      </c>
      <c r="I275" s="5" t="str">
        <f>IFERROR(__xludf.DUMMYFUNCTION("GOOGLETRANSLATE(D275, ""en"", ""hi"")"),"A) मोहरे को रानी बनाना")</f>
        <v>A) मोहरे को रानी बनाना</v>
      </c>
    </row>
    <row r="276" ht="22.5" customHeight="1">
      <c r="A276" s="2">
        <v>275.0</v>
      </c>
      <c r="B276" s="3" t="s">
        <v>1784</v>
      </c>
      <c r="C276" s="3" t="s">
        <v>1785</v>
      </c>
      <c r="D276" s="3" t="s">
        <v>1786</v>
      </c>
      <c r="F276" s="5" t="str">
        <f>IFERROR(__xludf.DUMMYFUNCTION("GOOGLETRANSLATE(A276, ""en"", ""hi"")"),"275")</f>
        <v>275</v>
      </c>
      <c r="G276" s="5" t="str">
        <f>IFERROR(__xludf.DUMMYFUNCTION("GOOGLETRANSLATE(B276, ""en"", ""hi"")"),"काले की रानी राजा की तरफ सक्रिय है और सफेद की रानी की तरफ एक हाथी है। सफेद को क्या जवाब देना चाहिए?")</f>
        <v>काले की रानी राजा की तरफ सक्रिय है और सफेद की रानी की तरफ एक हाथी है। सफेद को क्या जवाब देना चाहिए?</v>
      </c>
      <c r="H276" s="5" t="str">
        <f>IFERROR(__xludf.DUMMYFUNCTION("GOOGLETRANSLATE(C276, ""en"", ""hi"")"),"क) रानी की तरफ के मोहरों को धकेलना, ख) काले मोहरों पर हमला करने के लिए हाथी का इस्तेमाल करना, ग) हमले के लिए हाथी और अन्य मोहरों का समन्वय करना, घ) खेल को सरल बनाने के लिए रानियों की अदला-बदली करना")</f>
        <v>क) रानी की तरफ के मोहरों को धकेलना, ख) काले मोहरों पर हमला करने के लिए हाथी का इस्तेमाल करना, ग) हमले के लिए हाथी और अन्य मोहरों का समन्वय करना, घ) खेल को सरल बनाने के लिए रानियों की अदला-बदली करना</v>
      </c>
      <c r="I276" s="5" t="str">
        <f>IFERROR(__xludf.DUMMYFUNCTION("GOOGLETRANSLATE(D276, ""en"", ""hi"")"),"C) आक्रमण के लिए किश्ती और अन्य मोहरों का समन्वय करना")</f>
        <v>C) आक्रमण के लिए किश्ती और अन्य मोहरों का समन्वय करना</v>
      </c>
    </row>
    <row r="277" ht="22.5" customHeight="1">
      <c r="A277" s="2">
        <v>276.0</v>
      </c>
      <c r="B277" s="3" t="s">
        <v>1816</v>
      </c>
      <c r="C277" s="3" t="s">
        <v>1788</v>
      </c>
      <c r="D277" s="3" t="s">
        <v>1789</v>
      </c>
      <c r="F277" s="5" t="str">
        <f>IFERROR(__xludf.DUMMYFUNCTION("GOOGLETRANSLATE(A277, ""en"", ""hi"")"),"276")</f>
        <v>276</v>
      </c>
      <c r="G277" s="5" t="str">
        <f>IFERROR(__xludf.DUMMYFUNCTION("GOOGLETRANSLATE(B277, ""en"", ""hi"")"),"सफ़ेद के पास सातवें रैंक पर एक रूक है और काले के पास e6 पर एक बिशप है। सफ़ेद को किस पर ध्यान केंद्रित करना चाहिए?")</f>
        <v>सफ़ेद के पास सातवें रैंक पर एक रूक है और काले के पास e6 पर एक बिशप है। सफ़ेद को किस पर ध्यान केंद्रित करना चाहिए?</v>
      </c>
      <c r="H277" s="5" t="str">
        <f>IFERROR(__xludf.DUMMYFUNCTION("GOOGLETRANSLATE(C277, ""en"", ""hi"")"),"क)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f>
        <v>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v>
      </c>
      <c r="I277" s="5" t="str">
        <f>IFERROR(__xludf.DUMMYFUNCTION("GOOGLETRANSLATE(D277, ""en"", ""hi"")"),"A) काले के प्यादों पर हमला करने के लिए किश्ती का उपयोग करें")</f>
        <v>A) काले के प्यादों पर हमला करने के लिए किश्ती का उपयोग करें</v>
      </c>
    </row>
    <row r="278" ht="22.5" customHeight="1">
      <c r="A278" s="2">
        <v>277.0</v>
      </c>
      <c r="B278" s="3" t="s">
        <v>1817</v>
      </c>
      <c r="C278" s="3" t="s">
        <v>1818</v>
      </c>
      <c r="D278" s="3" t="s">
        <v>1789</v>
      </c>
      <c r="F278" s="5" t="str">
        <f>IFERROR(__xludf.DUMMYFUNCTION("GOOGLETRANSLATE(A278, ""en"", ""hi"")"),"277")</f>
        <v>277</v>
      </c>
      <c r="G278" s="5" t="str">
        <f>IFERROR(__xludf.DUMMYFUNCTION("GOOGLETRANSLATE(B278, ""en"", ""hi"")"),"काले के पास d5 पर घोड़ा है और सफ़ेद के पास सातवें स्थान पर किश्ती है। सफ़ेद को क्या करना चाहिए?")</f>
        <v>काले के पास d5 पर घोड़ा है और सफ़ेद के पास सातवें स्थान पर किश्ती है। सफ़ेद को क्या करना चाहिए?</v>
      </c>
      <c r="H278" s="5" t="str">
        <f>IFERROR(__xludf.DUMMYFUNCTION("GOOGLETRANSLATE(C278, ""en"", ""hi"")"),"क) काले के प्यादों पर हमला करने के लिए किश्ती का उपयोग करें, ख) रानी की ओर के प्यादों को धकेलें, ग) हमले के लिए किश्ती और घोड़े का समन्वय करें, घ) सरलीकरण के लिए किश्ती बदलें")</f>
        <v>क) काले के प्यादों पर हमला करने के लिए किश्ती का उपयोग करें, ख) रानी की ओर के प्यादों को धकेलें, ग) हमले के लिए किश्ती और घोड़े का समन्वय करें, घ) सरलीकरण के लिए किश्ती बदलें</v>
      </c>
      <c r="I278" s="5" t="str">
        <f>IFERROR(__xludf.DUMMYFUNCTION("GOOGLETRANSLATE(D278, ""en"", ""hi"")"),"A) काले के प्यादों पर हमला करने के लिए किश्ती का उपयोग करें")</f>
        <v>A) काले के प्यादों पर हमला करने के लिए किश्ती का उपयोग करें</v>
      </c>
    </row>
    <row r="279" ht="22.5" customHeight="1">
      <c r="A279" s="2">
        <v>278.0</v>
      </c>
      <c r="B279" s="3" t="s">
        <v>1819</v>
      </c>
      <c r="C279" s="3" t="s">
        <v>1820</v>
      </c>
      <c r="D279" s="3" t="s">
        <v>1821</v>
      </c>
      <c r="F279" s="5" t="str">
        <f>IFERROR(__xludf.DUMMYFUNCTION("GOOGLETRANSLATE(A279, ""en"", ""hi"")"),"278")</f>
        <v>278</v>
      </c>
      <c r="G279" s="5" t="str">
        <f>IFERROR(__xludf.DUMMYFUNCTION("GOOGLETRANSLATE(B279, ""en"", ""hi"")"),"सफ़ेद का प्यादा c6 पर है और काले का राजा g8 पर है। सफ़ेद को क्या करना चाहिए?")</f>
        <v>सफ़ेद का प्यादा c6 पर है और काले का राजा g8 पर है। सफ़ेद को क्या करना चाहिए?</v>
      </c>
      <c r="H279" s="5" t="str">
        <f>IFERROR(__xludf.DUMMYFUNCTION("GOOGLETRANSLATE(C279, ""en"", ""hi"")"),"A) मोहरे को c7 पर धकेलना, B) खतरे पैदा करने के लिए मोहरे का उपयोग करना, C) हमले के लिए मोहरे को अन्य मोहरों के साथ समन्वयित करना, D) राजा को खेल में लाना")</f>
        <v>A) मोहरे को c7 पर धकेलना, B) खतरे पैदा करने के लिए मोहरे का उपयोग करना, C) हमले के लिए मोहरे को अन्य मोहरों के साथ समन्वयित करना, D) राजा को खेल में लाना</v>
      </c>
      <c r="I279" s="5" t="str">
        <f>IFERROR(__xludf.DUMMYFUNCTION("GOOGLETRANSLATE(D279, ""en"", ""hi"")"),"A) मोहरे को c7 पर धकेलें")</f>
        <v>A) मोहरे को c7 पर धकेलें</v>
      </c>
    </row>
    <row r="280" ht="22.5" customHeight="1">
      <c r="A280" s="2">
        <v>279.0</v>
      </c>
      <c r="B280" s="3" t="s">
        <v>1822</v>
      </c>
      <c r="C280" s="3" t="s">
        <v>1823</v>
      </c>
      <c r="D280" s="3" t="s">
        <v>1763</v>
      </c>
      <c r="F280" s="5" t="str">
        <f>IFERROR(__xludf.DUMMYFUNCTION("GOOGLETRANSLATE(A280, ""en"", ""hi"")"),"279")</f>
        <v>279</v>
      </c>
      <c r="G280" s="5" t="str">
        <f>IFERROR(__xludf.DUMMYFUNCTION("GOOGLETRANSLATE(B280, ""en"", ""hi"")"),"काले के पास राजा की तरफ़ एक किश्ती और एक मोहरा है, जबकि सफ़ेद के पास खुली फ़ाइल में एक रानी है। सफ़ेद को क्या करना चाहिए?")</f>
        <v>काले के पास राजा की तरफ़ एक किश्ती और एक मोहरा है, जबकि सफ़ेद के पास खुली फ़ाइल में एक रानी है। सफ़ेद को क्या करना चाहिए?</v>
      </c>
      <c r="H280" s="5" t="str">
        <f>IFERROR(__xludf.DUMMYFUNCTION("GOOGLETRANSLATE(C280, ""en"", ""hi"")"),"ए) आक्रमण के लिए रानी और किश्ती का समन्वय करें, बी) रानी की ओर के प्यादों को धकेलें, सी) सरलीकरण के लिए रानियों की अदला-बदली करें, डी) प्यादों की पदोन्नति में सहायता के लिए रानी का उपयोग करें")</f>
        <v>ए) आक्रमण के लिए रानी और किश्ती का समन्वय करें, बी) रानी की ओर के प्यादों को धकेलें, सी) सरलीकरण के लिए रानियों की अदला-बदली करें, डी) प्यादों की पदोन्नति में सहायता के लिए रानी का उपयोग करें</v>
      </c>
      <c r="I280" s="5" t="str">
        <f>IFERROR(__xludf.DUMMYFUNCTION("GOOGLETRANSLATE(D280, ""en"", ""hi"")"),"A) हमले के लिए रानी और किश्ती का समन्वय करें")</f>
        <v>A) हमले के लिए रानी और किश्ती का समन्वय करें</v>
      </c>
    </row>
    <row r="281" ht="22.5" customHeight="1">
      <c r="A281" s="2">
        <v>280.0</v>
      </c>
      <c r="B281" s="3" t="s">
        <v>1824</v>
      </c>
      <c r="C281" s="3" t="s">
        <v>1825</v>
      </c>
      <c r="D281" s="3" t="s">
        <v>1734</v>
      </c>
      <c r="F281" s="5" t="str">
        <f>IFERROR(__xludf.DUMMYFUNCTION("GOOGLETRANSLATE(A281, ""en"", ""hi"")"),"280")</f>
        <v>280</v>
      </c>
      <c r="G281" s="5" t="str">
        <f>IFERROR(__xludf.DUMMYFUNCTION("GOOGLETRANSLATE(B281, ""en"", ""hi"")"),"सफ़ेद के पास d6 पर एक उन्नत मोहरा है और काले के पास a8 पर एक किश्ती है। सफ़ेद को किस पर ध्यान केंद्रित करना चाहिए?")</f>
        <v>सफ़ेद के पास d6 पर एक उन्नत मोहरा है और काले के पास a8 पर एक किश्ती है। सफ़ेद को किस पर ध्यान केंद्रित करना चाहिए?</v>
      </c>
      <c r="H281" s="5" t="str">
        <f>IFERROR(__xludf.DUMMYFUNCTION("GOOGLETRANSLATE(C281, ""en"", ""hi"")"),"क) मोहरे को d7 पर धकेलें, ख) मोहरे को प्रलोभन के रूप में प्रयोग करें, ग) हमले के लिए मोहरे को अन्य मोहरों के साथ समन्वयित करें, घ) सरलीकरण के लिए किश्ती बदलें")</f>
        <v>क) मोहरे को d7 पर धकेलें, ख) मोहरे को प्रलोभन के रूप में प्रयोग करें, ग) हमले के लिए मोहरे को अन्य मोहरों के साथ समन्वयित करें, घ) सरलीकरण के लिए किश्ती बदलें</v>
      </c>
      <c r="I281" s="5" t="str">
        <f>IFERROR(__xludf.DUMMYFUNCTION("GOOGLETRANSLATE(D281, ""en"", ""hi"")"),"A) मोहरे को d7 पर धकेलें")</f>
        <v>A) मोहरे को d7 पर धकेलें</v>
      </c>
    </row>
    <row r="282" ht="22.5" customHeight="1">
      <c r="A282" s="2">
        <v>281.0</v>
      </c>
      <c r="B282" s="3" t="s">
        <v>1826</v>
      </c>
      <c r="C282" s="3" t="s">
        <v>1827</v>
      </c>
      <c r="D282" s="3" t="s">
        <v>1828</v>
      </c>
      <c r="F282" s="5" t="str">
        <f>IFERROR(__xludf.DUMMYFUNCTION("GOOGLETRANSLATE(A282, ""en"", ""hi"")"),"281")</f>
        <v>281</v>
      </c>
      <c r="G282" s="5" t="str">
        <f>IFERROR(__xludf.DUMMYFUNCTION("GOOGLETRANSLATE(B282, ""en"", ""hi"")"),"काले का एक आगे का मोहरा a5 पर है और सफ़ेद का राजा h1 पर है। सफ़ेद को क्या करना चाहिए?")</f>
        <v>काले का एक आगे का मोहरा a5 पर है और सफ़ेद का राजा h1 पर है। सफ़ेद को क्या करना चाहिए?</v>
      </c>
      <c r="H282" s="5" t="str">
        <f>IFERROR(__xludf.DUMMYFUNCTION("GOOGLETRANSLATE(C282, ""en"", ""hi"")"),"क) रानी की ओर के प्यादों को धकेलना, ख) प्यादों को सहारा देने के लिए राजा का उपयोग करना, ग) आक्रमण के लिए राजा और किश्ती का समन्वय करना, घ) खेल को सरल बनाने के लिए प्यादों की अदला-बदली करना")</f>
        <v>क) रानी की ओर के प्यादों को धकेलना, ख) प्यादों को सहारा देने के लिए राजा का उपयोग करना, ग) आक्रमण के लिए राजा और किश्ती का समन्वय करना, घ) खेल को सरल बनाने के लिए प्यादों की अदला-बदली करना</v>
      </c>
      <c r="I282" s="5" t="str">
        <f>IFERROR(__xludf.DUMMYFUNCTION("GOOGLETRANSLATE(D282, ""en"", ""hi"")"),"A) रानी की ओर के प्यादों को धकेलना")</f>
        <v>A) रानी की ओर के प्यादों को धकेलना</v>
      </c>
    </row>
    <row r="283" ht="22.5" customHeight="1">
      <c r="A283" s="2">
        <v>282.0</v>
      </c>
      <c r="B283" s="3" t="s">
        <v>1829</v>
      </c>
      <c r="C283" s="3" t="s">
        <v>1794</v>
      </c>
      <c r="D283" s="3" t="s">
        <v>1795</v>
      </c>
      <c r="F283" s="5" t="str">
        <f>IFERROR(__xludf.DUMMYFUNCTION("GOOGLETRANSLATE(A283, ""en"", ""hi"")"),"282")</f>
        <v>282</v>
      </c>
      <c r="G283" s="5" t="str">
        <f>IFERROR(__xludf.DUMMYFUNCTION("GOOGLETRANSLATE(B283, ""en"", ""hi"")"),"सफ़ेद के पास बादशाह की तरफ़ एक रानी और एक मोहरा है, जबकि काले के पास एक किश्ती और एक बिशप है। सफ़ेद को क्या करना चाहिए?")</f>
        <v>सफ़ेद के पास बादशाह की तरफ़ एक रानी और एक मोहरा है, जबकि काले के पास एक किश्ती और एक बिशप है। सफ़ेद को क्या करना चाहिए?</v>
      </c>
      <c r="H283" s="5" t="str">
        <f>IFERROR(__xludf.DUMMYFUNCTION("GOOGLETRANSLATE(C283, ""en"", ""hi"")"),"ए)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f>
        <v>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v>
      </c>
      <c r="I283" s="5" t="str">
        <f>IFERROR(__xludf.DUMMYFUNCTION("GOOGLETRANSLATE(D283, ""en"", ""hi"")"),"D) मोहरे की पदोन्नति का समर्थन करने के लिए रानी का उपयोग करें")</f>
        <v>D) मोहरे की पदोन्नति का समर्थन करने के लिए रानी का उपयोग करें</v>
      </c>
    </row>
    <row r="284" ht="22.5" customHeight="1">
      <c r="A284" s="2">
        <v>283.0</v>
      </c>
      <c r="B284" s="3" t="s">
        <v>1830</v>
      </c>
      <c r="C284" s="3" t="s">
        <v>1791</v>
      </c>
      <c r="D284" s="3" t="s">
        <v>1792</v>
      </c>
      <c r="F284" s="5" t="str">
        <f>IFERROR(__xludf.DUMMYFUNCTION("GOOGLETRANSLATE(A284, ""en"", ""hi"")"),"283")</f>
        <v>283</v>
      </c>
      <c r="G284" s="5" t="str">
        <f>IFERROR(__xludf.DUMMYFUNCTION("GOOGLETRANSLATE(B284, ""en"", ""hi"")"),"काले के पास c4 पर एक पास्ड प्यादा है और सफ़ेद के पास रानी की तरफ़ एक किश्ती और एक बिशप है। सफ़ेद को क्या करना चाहिए?")</f>
        <v>काले के पास c4 पर एक पास्ड प्यादा है और सफ़ेद के पास रानी की तरफ़ एक किश्ती और एक बिशप है। सफ़ेद को क्या करना चाहिए?</v>
      </c>
      <c r="H284" s="5" t="str">
        <f>IFERROR(__xludf.DUMMYFUNCTION("GOOGLETRANSLATE(C284, ""en"", ""hi"")"),"ए) काले के मोहरे पर हमला करने के लिए हाथी का उपयोग करें, बी) मोहरों को राजा की ओर धकेलें, सी) हमले के लिए हाथी और बिशप का समन्वय करें, डी) खेल को सरल बनाने के लिए मोहरों की अदला-बदली करें")</f>
        <v>ए) काले के मोहरे पर हमला करने के लिए हाथी का उपयोग करें, बी) मोहरों को राजा की ओर धकेलें, सी) हमले के लिए हाथी और बिशप का समन्वय करें, डी) खेल को सरल बनाने के लिए मोहरों की अदला-बदली करें</v>
      </c>
      <c r="I284" s="5" t="str">
        <f>IFERROR(__xludf.DUMMYFUNCTION("GOOGLETRANSLATE(D284, ""en"", ""hi"")"),"C) आक्रमण के लिए रूक और बिशप का समन्वय करें")</f>
        <v>C) आक्रमण के लिए रूक और बिशप का समन्वय करें</v>
      </c>
    </row>
    <row r="285" ht="22.5" customHeight="1">
      <c r="A285" s="2">
        <v>284.0</v>
      </c>
      <c r="B285" s="3" t="s">
        <v>1831</v>
      </c>
      <c r="C285" s="3" t="s">
        <v>1788</v>
      </c>
      <c r="D285" s="3" t="s">
        <v>1789</v>
      </c>
      <c r="F285" s="5" t="str">
        <f>IFERROR(__xludf.DUMMYFUNCTION("GOOGLETRANSLATE(A285, ""en"", ""hi"")"),"284")</f>
        <v>284</v>
      </c>
      <c r="G285" s="5" t="str">
        <f>IFERROR(__xludf.DUMMYFUNCTION("GOOGLETRANSLATE(B285, ""en"", ""hi"")"),"सफ़ेद के पास सातवीं पंक्ति पर एक किश्ती है और काले के पास e6 पर एक घोड़ा है। सफ़ेद को किस पर ध्यान केंद्रित करना चाहिए?")</f>
        <v>सफ़ेद के पास सातवीं पंक्ति पर एक किश्ती है और काले के पास e6 पर एक घोड़ा है। सफ़ेद को किस पर ध्यान केंद्रित करना चाहिए?</v>
      </c>
      <c r="H285" s="5" t="str">
        <f>IFERROR(__xludf.DUMMYFUNCTION("GOOGLETRANSLATE(C285, ""en"", ""hi"")"),"क)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f>
        <v>क) काले मोहरों पर आक्रमण करने के लिए किश्ती का प्रयोग करें, ख) मोहरों को रानी की ओर धकेलें, ग) सरलीकरण के लिए किश्ती बदलें, घ) आक्रमण के लिए किश्ती को अन्य मोहरों के साथ समन्वित करें</v>
      </c>
      <c r="I285" s="5" t="str">
        <f>IFERROR(__xludf.DUMMYFUNCTION("GOOGLETRANSLATE(D285, ""en"", ""hi"")"),"A) काले के प्यादों पर हमला करने के लिए किश्ती का उपयोग करें")</f>
        <v>A) काले के प्यादों पर हमला करने के लिए किश्ती का उपयोग करें</v>
      </c>
    </row>
    <row r="286" ht="22.5" customHeight="1">
      <c r="A286" s="2">
        <v>285.0</v>
      </c>
      <c r="B286" s="3" t="s">
        <v>1832</v>
      </c>
      <c r="C286" s="3" t="s">
        <v>1833</v>
      </c>
      <c r="D286" s="3" t="s">
        <v>1834</v>
      </c>
      <c r="F286" s="5" t="str">
        <f>IFERROR(__xludf.DUMMYFUNCTION("GOOGLETRANSLATE(A286, ""en"", ""hi"")"),"285")</f>
        <v>285</v>
      </c>
      <c r="G286" s="5" t="str">
        <f>IFERROR(__xludf.DUMMYFUNCTION("GOOGLETRANSLATE(B286, ""en"", ""hi"")"),"काले के पास बिशप की जोड़ी है और सफ़ेद के पास किंगसाइड पर एक किश्ती और एक प्यादा है। सफ़ेद को क्या करना चाहिए?")</f>
        <v>काले के पास बिशप की जोड़ी है और सफ़ेद के पास किंगसाइड पर एक किश्ती और एक प्यादा है। सफ़ेद को क्या करना चाहिए?</v>
      </c>
      <c r="H286" s="5" t="str">
        <f>IFERROR(__xludf.DUMMYFUNCTION("GOOGLETRANSLATE(C286, ""en"", ""hi"")"),"ए) काले के बिशप पर हमला करने के लिए किश्ती का उपयोग करें, बी) रानी की तरफ के प्यादों को धकेलें, सी) हमले के लिए किश्ती और प्यादा का समन्वय करें, डी) खेल को सरल बनाने के लिए मोहरों की अदला-बदली करें")</f>
        <v>ए) काले के बिशप पर हमला करने के लिए किश्ती का उपयोग करें, बी) रानी की तरफ के प्यादों को धकेलें, सी) हमले के लिए किश्ती और प्यादा का समन्वय करें, डी) खेल को सरल बनाने के लिए मोहरों की अदला-बदली करें</v>
      </c>
      <c r="I286" s="5" t="str">
        <f>IFERROR(__xludf.DUMMYFUNCTION("GOOGLETRANSLATE(D286, ""en"", ""hi"")"),"C) आक्रमण के लिए किश्ती और मोहरे का समन्वय करना")</f>
        <v>C) आक्रमण के लिए किश्ती और मोहरे का समन्वय करना</v>
      </c>
    </row>
    <row r="287" ht="22.5" customHeight="1">
      <c r="A287" s="2">
        <v>286.0</v>
      </c>
      <c r="B287" s="3" t="s">
        <v>1835</v>
      </c>
      <c r="C287" s="3" t="s">
        <v>1814</v>
      </c>
      <c r="D287" s="3" t="s">
        <v>1815</v>
      </c>
      <c r="F287" s="5" t="str">
        <f>IFERROR(__xludf.DUMMYFUNCTION("GOOGLETRANSLATE(A287, ""en"", ""hi"")"),"286")</f>
        <v>286</v>
      </c>
      <c r="G287" s="5" t="str">
        <f>IFERROR(__xludf.DUMMYFUNCTION("GOOGLETRANSLATE(B287, ""en"", ""hi"")"),"सफ़ेद का मोहरा d7 पर है और काले का राजा g8 पर है। जीतने के लिए सफ़ेद को क्या करना चाहिए?")</f>
        <v>सफ़ेद का मोहरा d7 पर है और काले का राजा g8 पर है। जीतने के लिए सफ़ेद को क्या करना चाहिए?</v>
      </c>
      <c r="H287" s="5" t="str">
        <f>IFERROR(__xludf.DUMMYFUNCTION("GOOGLETRANSLATE(C287, ""en"", ""hi"")"),"क)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f>
        <v>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v>
      </c>
      <c r="I287" s="5" t="str">
        <f>IFERROR(__xludf.DUMMYFUNCTION("GOOGLETRANSLATE(D287, ""en"", ""hi"")"),"A) मोहरे को रानी बनाना")</f>
        <v>A) मोहरे को रानी बनाना</v>
      </c>
    </row>
    <row r="288" ht="22.5" customHeight="1">
      <c r="A288" s="2">
        <v>287.0</v>
      </c>
      <c r="B288" s="3" t="s">
        <v>1836</v>
      </c>
      <c r="C288" s="3" t="s">
        <v>1812</v>
      </c>
      <c r="D288" s="3" t="s">
        <v>1837</v>
      </c>
      <c r="F288" s="5" t="str">
        <f>IFERROR(__xludf.DUMMYFUNCTION("GOOGLETRANSLATE(A288, ""en"", ""hi"")"),"287")</f>
        <v>287</v>
      </c>
      <c r="G288" s="5" t="str">
        <f>IFERROR(__xludf.DUMMYFUNCTION("GOOGLETRANSLATE(B288, ""en"", ""hi"")"),"काले के पास g4 पर एक उन्नत मोहरा है और सफ़ेद के पास एक किश्ती और एक बिशप है। सफ़ेद को क्या करना चाहिए?")</f>
        <v>काले के पास g4 पर एक उन्नत मोहरा है और सफ़ेद के पास एक किश्ती और एक बिशप है। सफ़ेद को क्या करना चाहिए?</v>
      </c>
      <c r="H288" s="5" t="str">
        <f>IFERROR(__xludf.DUMMYFUNCTION("GOOGLETRANSLATE(C288, ""en"", ""hi"")"),"ए) काले के मोहरे पर हमला करने के लिए हाथी और बिशप का उपयोग करें, बी) मोहरों को रानी की तरफ धकेलें, सी) हमले के लिए हाथी और बिशप का समन्वय करें, डी) खेल को सरल बनाने के लिए मोहरों की अदला-बदली करें")</f>
        <v>ए) काले के मोहरे पर हमला करने के लिए हाथी और बिशप का उपयोग करें, बी) मोहरों को रानी की तरफ धकेलें, सी) हमले के लिए हाथी और बिशप का समन्वय करें, डी) खेल को सरल बनाने के लिए मोहरों की अदला-बदली करें</v>
      </c>
      <c r="I288" s="5" t="str">
        <f>IFERROR(__xludf.DUMMYFUNCTION("GOOGLETRANSLATE(D288, ""en"", ""hi"")"),"A) काले के मोहरे पर हमला करने के लिए हाथी और बिशप का उपयोग करें")</f>
        <v>A) काले के मोहरे पर हमला करने के लिए हाथी और बिशप का उपयोग करें</v>
      </c>
    </row>
    <row r="289" ht="22.5" customHeight="1">
      <c r="A289" s="2">
        <v>288.0</v>
      </c>
      <c r="B289" s="3" t="s">
        <v>1838</v>
      </c>
      <c r="C289" s="3" t="s">
        <v>1794</v>
      </c>
      <c r="D289" s="3" t="s">
        <v>1795</v>
      </c>
      <c r="F289" s="5" t="str">
        <f>IFERROR(__xludf.DUMMYFUNCTION("GOOGLETRANSLATE(A289, ""en"", ""hi"")"),"288")</f>
        <v>288</v>
      </c>
      <c r="G289" s="5" t="str">
        <f>IFERROR(__xludf.DUMMYFUNCTION("GOOGLETRANSLATE(B289, ""en"", ""hi"")"),"सफ़ेद के पास बादशाह की तरफ़ एक रानी और एक मोहरा है, जबकि काले के पास खुली फ़ाइल पर एक किश्ती है। सफ़ेद को किस पर ध्यान केंद्रित करना चाहिए?")</f>
        <v>सफ़ेद के पास बादशाह की तरफ़ एक रानी और एक मोहरा है, जबकि काले के पास खुली फ़ाइल पर एक किश्ती है। सफ़ेद को किस पर ध्यान केंद्रित करना चाहिए?</v>
      </c>
      <c r="H289" s="5" t="str">
        <f>IFERROR(__xludf.DUMMYFUNCTION("GOOGLETRANSLATE(C289, ""en"", ""hi"")"),"ए)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f>
        <v>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v>
      </c>
      <c r="I289" s="5" t="str">
        <f>IFERROR(__xludf.DUMMYFUNCTION("GOOGLETRANSLATE(D289, ""en"", ""hi"")"),"D) मोहरे की पदोन्नति का समर्थन करने के लिए रानी का उपयोग करें")</f>
        <v>D) मोहरे की पदोन्नति का समर्थन करने के लिए रानी का उपयोग करें</v>
      </c>
    </row>
    <row r="290" ht="22.5" customHeight="1">
      <c r="A290" s="2">
        <v>289.0</v>
      </c>
      <c r="B290" s="3" t="s">
        <v>1839</v>
      </c>
      <c r="C290" s="3" t="s">
        <v>1840</v>
      </c>
      <c r="D290" s="3" t="s">
        <v>1841</v>
      </c>
      <c r="F290" s="5" t="str">
        <f>IFERROR(__xludf.DUMMYFUNCTION("GOOGLETRANSLATE(A290, ""en"", ""hi"")"),"289")</f>
        <v>289</v>
      </c>
      <c r="G290" s="5" t="str">
        <f>IFERROR(__xludf.DUMMYFUNCTION("GOOGLETRANSLATE(B290, ""en"", ""hi"")"),"काले के पास सातवीं पंक्ति पर एक किश्ती है और सफ़ेद के पास d5 पर एक घोड़ा है। सफ़ेद को क्या करना चाहिए?")</f>
        <v>काले के पास सातवीं पंक्ति पर एक किश्ती है और सफ़ेद के पास d5 पर एक घोड़ा है। सफ़ेद को क्या करना चाहिए?</v>
      </c>
      <c r="H290" s="5" t="str">
        <f>IFERROR(__xludf.DUMMYFUNCTION("GOOGLETRANSLATE(C290, ""en"", ""hi"")"),"ए) काले के हाथी पर हमला करने के लिए घोड़े का उपयोग करें, बी) रानी की तरफ के मोहरों को धकेलें, सी) हमले के लिए घोड़े और अन्य मोहरों का समन्वय करें, डी) सरलीकरण के लिए घोड़ों की अदला-बदली करें")</f>
        <v>ए) काले के हाथी पर हमला करने के लिए घोड़े का उपयोग करें, बी) रानी की तरफ के मोहरों को धकेलें, सी) हमले के लिए घोड़े और अन्य मोहरों का समन्वय करें, डी) सरलीकरण के लिए घोड़ों की अदला-बदली करें</v>
      </c>
      <c r="I290" s="5" t="str">
        <f>IFERROR(__xludf.DUMMYFUNCTION("GOOGLETRANSLATE(D290, ""en"", ""hi"")"),"A) काले के हाथी पर हमला करने के लिए घोड़े का उपयोग करें")</f>
        <v>A) काले के हाथी पर हमला करने के लिए घोड़े का उपयोग करें</v>
      </c>
    </row>
    <row r="291" ht="22.5" customHeight="1">
      <c r="A291" s="2">
        <v>290.0</v>
      </c>
      <c r="B291" s="3" t="s">
        <v>1842</v>
      </c>
      <c r="C291" s="3" t="s">
        <v>1843</v>
      </c>
      <c r="D291" s="3" t="s">
        <v>1584</v>
      </c>
      <c r="F291" s="5" t="str">
        <f>IFERROR(__xludf.DUMMYFUNCTION("GOOGLETRANSLATE(A291, ""en"", ""hi"")"),"290")</f>
        <v>290</v>
      </c>
      <c r="G291" s="5" t="str">
        <f>IFERROR(__xludf.DUMMYFUNCTION("GOOGLETRANSLATE(B291, ""en"", ""hi"")"),"सफ़ेद के पास e6 पर एक शक्तिशाली मोहरा है और काले का राजा g8 पर है। जीतने के लिए सफ़ेद को क्या करना चाहिए?")</f>
        <v>सफ़ेद के पास e6 पर एक शक्तिशाली मोहरा है और काले का राजा g8 पर है। जीतने के लिए सफ़ेद को क्या करना चाहिए?</v>
      </c>
      <c r="H291" s="5" t="str">
        <f>IFERROR(__xludf.DUMMYFUNCTION("GOOGLETRANSLATE(C291, ""en"", ""hi"")"),"क) मोहरे को आगे बढ़ाने के लिए दबाव डालना, ख) खतरे पैदा करने के लिए मोहरे का उपयोग करना, ग) मोहरे को अन्य मोहरों के साथ समन्वयित करना, घ) खेल को सरल बनाने के लिए मोहरों का आदान-प्रदान करना")</f>
        <v>क) मोहरे को आगे बढ़ाने के लिए दबाव डालना, ख) खतरे पैदा करने के लिए मोहरे का उपयोग करना, ग) मोहरे को अन्य मोहरों के साथ समन्वयित करना, घ) खेल को सरल बनाने के लिए मोहरों का आदान-प्रदान करना</v>
      </c>
      <c r="I291" s="5" t="str">
        <f>IFERROR(__xludf.DUMMYFUNCTION("GOOGLETRANSLATE(D291, ""en"", ""hi"")"),"A) मोहरे को पदोन्नति की ओर धकेलना")</f>
        <v>A) मोहरे को पदोन्नति की ओर धकेलना</v>
      </c>
    </row>
    <row r="292" ht="22.5" customHeight="1">
      <c r="A292" s="2">
        <v>291.0</v>
      </c>
      <c r="B292" s="3" t="s">
        <v>1844</v>
      </c>
      <c r="C292" s="3" t="s">
        <v>1845</v>
      </c>
      <c r="D292" s="3" t="s">
        <v>1846</v>
      </c>
      <c r="F292" s="5" t="str">
        <f>IFERROR(__xludf.DUMMYFUNCTION("GOOGLETRANSLATE(A292, ""en"", ""hi"")"),"291")</f>
        <v>291</v>
      </c>
      <c r="G292" s="5" t="str">
        <f>IFERROR(__xludf.DUMMYFUNCTION("GOOGLETRANSLATE(B292, ""en"", ""hi"")"),"काले के पास f4 पर एक घोड़ा है और सफ़ेद के पास सातवें क्रम पर एक किश्ती है। सफ़ेद को किस पर ध्यान केंद्रित करना चाहिए?")</f>
        <v>काले के पास f4 पर एक घोड़ा है और सफ़ेद के पास सातवें क्रम पर एक किश्ती है। सफ़ेद को किस पर ध्यान केंद्रित करना चाहिए?</v>
      </c>
      <c r="H292" s="5" t="str">
        <f>IFERROR(__xludf.DUMMYFUNCTION("GOOGLETRANSLATE(C292, ""en"", ""hi"")"),"ए) काले घोड़े पर हमला करने के लिए हाथी का उपयोग करें, बी) रानी की तरफ के मोहरों को धकेलें, सी) हमले के लिए हाथी और अन्य मोहरों का समन्वय करें, डी) सरलीकरण के लिए हाथी बदलें")</f>
        <v>ए) काले घोड़े पर हमला करने के लिए हाथी का उपयोग करें, बी) रानी की तरफ के मोहरों को धकेलें, सी) हमले के लिए हाथी और अन्य मोहरों का समन्वय करें, डी) सरलीकरण के लिए हाथी बदलें</v>
      </c>
      <c r="I292" s="5" t="str">
        <f>IFERROR(__xludf.DUMMYFUNCTION("GOOGLETRANSLATE(D292, ""en"", ""hi"")"),"A) काले घोड़े पर हमला करने के लिए हाथी का उपयोग करें")</f>
        <v>A) काले घोड़े पर हमला करने के लिए हाथी का उपयोग करें</v>
      </c>
    </row>
    <row r="293" ht="22.5" customHeight="1">
      <c r="A293" s="2">
        <v>292.0</v>
      </c>
      <c r="B293" s="3" t="s">
        <v>1847</v>
      </c>
      <c r="C293" s="3" t="s">
        <v>1848</v>
      </c>
      <c r="D293" s="3" t="s">
        <v>1849</v>
      </c>
      <c r="F293" s="5" t="str">
        <f>IFERROR(__xludf.DUMMYFUNCTION("GOOGLETRANSLATE(A293, ""en"", ""hi"")"),"292")</f>
        <v>292</v>
      </c>
      <c r="G293" s="5" t="str">
        <f>IFERROR(__xludf.DUMMYFUNCTION("GOOGLETRANSLATE(B293, ""en"", ""hi"")"),"सफ़ेद का एक आगे वाला मोहरा a6 पर है और काले का राजा g8 पर है। सफ़ेद को क्या करना चाहिए?")</f>
        <v>सफ़ेद का एक आगे वाला मोहरा a6 पर है और काले का राजा g8 पर है। सफ़ेद को क्या करना चाहिए?</v>
      </c>
      <c r="H293" s="5" t="str">
        <f>IFERROR(__xludf.DUMMYFUNCTION("GOOGLETRANSLATE(C293, ""en"", ""hi"")"),"क) मोहरे को a7 पर धकेलें, ख) खतरे पैदा करने के लिए मोहरे का उपयोग करें, ग) मोहरे को अन्य मोहरों के साथ समन्वयित करें, घ) खेल को सरल बनाने के लिए मोहरों की अदला-बदली करें")</f>
        <v>क) मोहरे को a7 पर धकेलें, ख) खतरे पैदा करने के लिए मोहरे का उपयोग करें, ग) मोहरे को अन्य मोहरों के साथ समन्वयित करें, घ) खेल को सरल बनाने के लिए मोहरों की अदला-बदली करें</v>
      </c>
      <c r="I293" s="5" t="str">
        <f>IFERROR(__xludf.DUMMYFUNCTION("GOOGLETRANSLATE(D293, ""en"", ""hi"")"),"A) मोहरे को a7 पर धकेलें")</f>
        <v>A) मोहरे को a7 पर धकेलें</v>
      </c>
    </row>
    <row r="294" ht="22.5" customHeight="1">
      <c r="A294" s="2">
        <v>293.0</v>
      </c>
      <c r="B294" s="3" t="s">
        <v>1850</v>
      </c>
      <c r="C294" s="3" t="s">
        <v>1851</v>
      </c>
      <c r="D294" s="3" t="s">
        <v>1852</v>
      </c>
      <c r="F294" s="5" t="str">
        <f>IFERROR(__xludf.DUMMYFUNCTION("GOOGLETRANSLATE(A294, ""en"", ""hi"")"),"293")</f>
        <v>293</v>
      </c>
      <c r="G294" s="5" t="str">
        <f>IFERROR(__xludf.DUMMYFUNCTION("GOOGLETRANSLATE(B294, ""en"", ""hi"")"),"काले के पास किंगसाइड पर एक रानी है और सफ़ेद के पास ओपन फ़ाइल पर एक किश्ती है। सफ़ेद को किस पर ध्यान केंद्रित करना चाहिए?")</f>
        <v>काले के पास किंगसाइड पर एक रानी है और सफ़ेद के पास ओपन फ़ाइल पर एक किश्ती है। सफ़ेद को किस पर ध्यान केंद्रित करना चाहिए?</v>
      </c>
      <c r="H294" s="5" t="str">
        <f>IFERROR(__xludf.DUMMYFUNCTION("GOOGLETRANSLATE(C294, ""en"", ""hi"")"),"ए) हमले के लिए किश्ती और अन्य मोहरों का समन्वय करें, बी) रानी की तरफ के मोहरों को धकेलें, सी) सरलीकरण के लिए रानियों की अदला-बदली करें, डी) काले मोहरों पर हमला करने के लिए किश्ती का उपयोग करें")</f>
        <v>ए) हमले के लिए किश्ती और अन्य मोहरों का समन्वय करें, बी) रानी की तरफ के मोहरों को धकेलें, सी) सरलीकरण के लिए रानियों की अदला-बदली करें, डी) काले मोहरों पर हमला करने के लिए किश्ती का उपयोग करें</v>
      </c>
      <c r="I294" s="5" t="str">
        <f>IFERROR(__xludf.DUMMYFUNCTION("GOOGLETRANSLATE(D294, ""en"", ""hi"")"),"A) आक्रमण के लिए किश्ती और अन्य मोहरों का समन्वय करना")</f>
        <v>A) आक्रमण के लिए किश्ती और अन्य मोहरों का समन्वय करना</v>
      </c>
    </row>
    <row r="295" ht="22.5" customHeight="1">
      <c r="A295" s="2">
        <v>294.0</v>
      </c>
      <c r="B295" s="3" t="s">
        <v>1744</v>
      </c>
      <c r="C295" s="3" t="s">
        <v>1853</v>
      </c>
      <c r="D295" s="3" t="s">
        <v>1854</v>
      </c>
      <c r="F295" s="5" t="str">
        <f>IFERROR(__xludf.DUMMYFUNCTION("GOOGLETRANSLATE(A295, ""en"", ""hi"")"),"294")</f>
        <v>294</v>
      </c>
      <c r="G295" s="5" t="str">
        <f>IFERROR(__xludf.DUMMYFUNCTION("GOOGLETRANSLATE(B295, ""en"", ""hi"")"),"सफ़ेद के पास सातवीं पंक्ति पर एक किश्ती है और काले के पास e5 पर एक उन्नत मोहरा है। सफ़ेद को क्या करना चाहिए?")</f>
        <v>सफ़ेद के पास सातवीं पंक्ति पर एक किश्ती है और काले के पास e5 पर एक उन्नत मोहरा है। सफ़ेद को क्या करना चाहिए?</v>
      </c>
      <c r="H295" s="5" t="str">
        <f>IFERROR(__xludf.DUMMYFUNCTION("GOOGLETRANSLATE(C295, ""en"", ""hi"")"),"क) काले मोहरे पर हमला करने के लिए हाथी का उपयोग करें, ख) मोहरों को रानी की ओर धकेलें, ग) हमले के लिए हाथी और अन्य मोहरों का समन्वय करें, घ) सरलीकरण के लिए हाथी बदलें")</f>
        <v>क) काले मोहरे पर हमला करने के लिए हाथी का उपयोग करें, ख) मोहरों को रानी की ओर धकेलें, ग) हमले के लिए हाथी और अन्य मोहरों का समन्वय करें, घ) सरलीकरण के लिए हाथी बदलें</v>
      </c>
      <c r="I295" s="5" t="str">
        <f>IFERROR(__xludf.DUMMYFUNCTION("GOOGLETRANSLATE(D295, ""en"", ""hi"")"),"A) काले के मोहरे पर हमला करने के लिए हाथी का उपयोग करें")</f>
        <v>A) काले के मोहरे पर हमला करने के लिए हाथी का उपयोग करें</v>
      </c>
    </row>
    <row r="296" ht="22.5" customHeight="1">
      <c r="A296" s="2">
        <v>295.0</v>
      </c>
      <c r="B296" s="3" t="s">
        <v>1855</v>
      </c>
      <c r="C296" s="3" t="s">
        <v>1856</v>
      </c>
      <c r="D296" s="3" t="s">
        <v>1857</v>
      </c>
      <c r="F296" s="5" t="str">
        <f>IFERROR(__xludf.DUMMYFUNCTION("GOOGLETRANSLATE(A296, ""en"", ""hi"")"),"295")</f>
        <v>295</v>
      </c>
      <c r="G296" s="5" t="str">
        <f>IFERROR(__xludf.DUMMYFUNCTION("GOOGLETRANSLATE(B296, ""en"", ""hi"")"),"काले के पास c6 पर एक बिशप है और सफेद के पास e6 पर एक मोहरा है। अपनी स्थिति को अधिकतम करने के लिए सफेद को क्या करना चाहिए?")</f>
        <v>काले के पास c6 पर एक बिशप है और सफेद के पास e6 पर एक मोहरा है। अपनी स्थिति को अधिकतम करने के लिए सफेद को क्या करना चाहिए?</v>
      </c>
      <c r="H296" s="5" t="str">
        <f>IFERROR(__xludf.DUMMYFUNCTION("GOOGLETRANSLATE(C296, ""en"", ""hi"")"),"क) मोहरे को e7 पर धकेलें, ख) खतरे पैदा करने के लिए मोहरे का उपयोग करें, ग) हमले के लिए मोहरे को अन्य मोहरों के साथ समन्वयित करें, घ) खेल को सरल बनाने के लिए मोहरों की अदला-बदली करें")</f>
        <v>क) मोहरे को e7 पर धकेलें, ख) खतरे पैदा करने के लिए मोहरे का उपयोग करें, ग) हमले के लिए मोहरे को अन्य मोहरों के साथ समन्वयित करें, घ) खेल को सरल बनाने के लिए मोहरों की अदला-बदली करें</v>
      </c>
      <c r="I296" s="5" t="str">
        <f>IFERROR(__xludf.DUMMYFUNCTION("GOOGLETRANSLATE(D296, ""en"", ""hi"")"),"A) मोहरे को e7 पर धकेलें")</f>
        <v>A) मोहरे को e7 पर धकेलें</v>
      </c>
    </row>
    <row r="297" ht="22.5" customHeight="1">
      <c r="A297" s="2">
        <v>296.0</v>
      </c>
      <c r="B297" s="3" t="s">
        <v>1858</v>
      </c>
      <c r="C297" s="3" t="s">
        <v>1823</v>
      </c>
      <c r="D297" s="3" t="s">
        <v>1763</v>
      </c>
      <c r="F297" s="5" t="str">
        <f>IFERROR(__xludf.DUMMYFUNCTION("GOOGLETRANSLATE(A297, ""en"", ""hi"")"),"296")</f>
        <v>296</v>
      </c>
      <c r="G297" s="5" t="str">
        <f>IFERROR(__xludf.DUMMYFUNCTION("GOOGLETRANSLATE(B297, ""en"", ""hi"")"),"सफ़ेद के पास किंग साइड पर एक रानी और एक किश्ती है, जबकि काले के पास एक बिशप का जोड़ा है। सफ़ेद को क्या करना चाहिए?")</f>
        <v>सफ़ेद के पास किंग साइड पर एक रानी और एक किश्ती है, जबकि काले के पास एक बिशप का जोड़ा है। सफ़ेद को क्या करना चाहिए?</v>
      </c>
      <c r="H297" s="5" t="str">
        <f>IFERROR(__xludf.DUMMYFUNCTION("GOOGLETRANSLATE(C297, ""en"", ""hi"")"),"ए) आक्रमण के लिए रानी और किश्ती का समन्वय करें, बी) रानी की ओर के प्यादों को धकेलें, सी) सरलीकरण के लिए रानियों की अदला-बदली करें, डी) प्यादों की पदोन्नति में सहायता के लिए रानी का उपयोग करें")</f>
        <v>ए) आक्रमण के लिए रानी और किश्ती का समन्वय करें, बी) रानी की ओर के प्यादों को धकेलें, सी) सरलीकरण के लिए रानियों की अदला-बदली करें, डी) प्यादों की पदोन्नति में सहायता के लिए रानी का उपयोग करें</v>
      </c>
      <c r="I297" s="5" t="str">
        <f>IFERROR(__xludf.DUMMYFUNCTION("GOOGLETRANSLATE(D297, ""en"", ""hi"")"),"A) हमले के लिए रानी और किश्ती का समन्वय करें")</f>
        <v>A) हमले के लिए रानी और किश्ती का समन्वय करें</v>
      </c>
    </row>
    <row r="298" ht="22.5" customHeight="1">
      <c r="A298" s="2">
        <v>297.0</v>
      </c>
      <c r="B298" s="3" t="s">
        <v>1859</v>
      </c>
      <c r="C298" s="3" t="s">
        <v>1860</v>
      </c>
      <c r="D298" s="3" t="s">
        <v>1854</v>
      </c>
      <c r="F298" s="5" t="str">
        <f>IFERROR(__xludf.DUMMYFUNCTION("GOOGLETRANSLATE(A298, ""en"", ""hi"")"),"297")</f>
        <v>297</v>
      </c>
      <c r="G298" s="5" t="str">
        <f>IFERROR(__xludf.DUMMYFUNCTION("GOOGLETRANSLATE(B298, ""en"", ""hi"")"),"काले के पास b4 पर एक आगे का मोहरा है और सफ़ेद के पास सातवीं पंक्ति पर एक किश्ती है। सफ़ेद को क्या करना चाहिए?")</f>
        <v>काले के पास b4 पर एक आगे का मोहरा है और सफ़ेद के पास सातवीं पंक्ति पर एक किश्ती है। सफ़ेद को क्या करना चाहिए?</v>
      </c>
      <c r="H298" s="5" t="str">
        <f>IFERROR(__xludf.DUMMYFUNCTION("GOOGLETRANSLATE(C298, ""en"", ""hi"")"),"क) काले मोहरे पर हमला करने के लिए किश्ती का उपयोग करें, ख) मोहरों को बादशाह की ओर धकेलें, ग) हमले के लिए किश्ती को अन्य मोहरों के साथ समन्वयित करें, घ) खेल को सरल बनाने के लिए मोहरों की अदला-बदली करें")</f>
        <v>क) काले मोहरे पर हमला करने के लिए किश्ती का उपयोग करें, ख) मोहरों को बादशाह की ओर धकेलें, ग) हमले के लिए किश्ती को अन्य मोहरों के साथ समन्वयित करें, घ) खेल को सरल बनाने के लिए मोहरों की अदला-बदली करें</v>
      </c>
      <c r="I298" s="5" t="str">
        <f>IFERROR(__xludf.DUMMYFUNCTION("GOOGLETRANSLATE(D298, ""en"", ""hi"")"),"A) काले के मोहरे पर हमला करने के लिए हाथी का उपयोग करें")</f>
        <v>A) काले के मोहरे पर हमला करने के लिए हाथी का उपयोग करें</v>
      </c>
    </row>
    <row r="299" ht="22.5" customHeight="1">
      <c r="A299" s="2">
        <v>298.0</v>
      </c>
      <c r="B299" s="3" t="s">
        <v>1861</v>
      </c>
      <c r="C299" s="3" t="s">
        <v>1862</v>
      </c>
      <c r="D299" s="3" t="s">
        <v>1863</v>
      </c>
      <c r="F299" s="5" t="str">
        <f>IFERROR(__xludf.DUMMYFUNCTION("GOOGLETRANSLATE(A299, ""en"", ""hi"")"),"298")</f>
        <v>298</v>
      </c>
      <c r="G299" s="5" t="str">
        <f>IFERROR(__xludf.DUMMYFUNCTION("GOOGLETRANSLATE(B299, ""en"", ""hi"")"),"सफ़ेद के पास c5 पर एक उन्नत मोहरा है और काले के पास f8 पर एक किश्ती है। सफ़ेद को क्या करना चाहिए?")</f>
        <v>सफ़ेद के पास c5 पर एक उन्नत मोहरा है और काले के पास f8 पर एक किश्ती है। सफ़ेद को क्या करना चाहिए?</v>
      </c>
      <c r="H299" s="5" t="str">
        <f>IFERROR(__xludf.DUMMYFUNCTION("GOOGLETRANSLATE(C299, ""en"", ""hi"")"),"क) मोहरे को c6 पर धकेलें, ख) खतरे पैदा करने के लिए मोहरे का उपयोग करें, ग) मोहरे को अन्य मोहरों के साथ समन्वयित करें, घ) खेल को सरल बनाने के लिए मोहरों की अदला-बदली करें")</f>
        <v>क) मोहरे को c6 पर धकेलें, ख) खतरे पैदा करने के लिए मोहरे का उपयोग करें, ग) मोहरे को अन्य मोहरों के साथ समन्वयित करें, घ) खेल को सरल बनाने के लिए मोहरों की अदला-बदली करें</v>
      </c>
      <c r="I299" s="5" t="str">
        <f>IFERROR(__xludf.DUMMYFUNCTION("GOOGLETRANSLATE(D299, ""en"", ""hi"")"),"A) मोहरे को c6 पर धकेलें")</f>
        <v>A) मोहरे को c6 पर धकेलें</v>
      </c>
    </row>
    <row r="300" ht="22.5" customHeight="1">
      <c r="A300" s="2">
        <v>299.0</v>
      </c>
      <c r="B300" s="3" t="s">
        <v>1864</v>
      </c>
      <c r="C300" s="3" t="s">
        <v>1865</v>
      </c>
      <c r="D300" s="3" t="s">
        <v>1866</v>
      </c>
      <c r="F300" s="5" t="str">
        <f>IFERROR(__xludf.DUMMYFUNCTION("GOOGLETRANSLATE(A300, ""en"", ""hi"")"),"299")</f>
        <v>299</v>
      </c>
      <c r="G300" s="5" t="str">
        <f>IFERROR(__xludf.DUMMYFUNCTION("GOOGLETRANSLATE(B300, ""en"", ""hi"")"),"काले के पास d5 पर एक पास्ड प्यादा है और सफ़ेद के पास किंगसाइड पर एक रानी है। सफ़ेद को किस पर ध्यान केंद्रित करना चाहिए?")</f>
        <v>काले के पास d5 पर एक पास्ड प्यादा है और सफ़ेद के पास किंगसाइड पर एक रानी है। सफ़ेद को किस पर ध्यान केंद्रित करना चाहिए?</v>
      </c>
      <c r="H300" s="5" t="str">
        <f>IFERROR(__xludf.DUMMYFUNCTION("GOOGLETRANSLATE(C300, ""en"", ""hi"")"),"ए) हमले के लिए रानी और अन्य मोहरों का समन्वय करें, बी) रानी की ओर के मोहरों को धकेलें, सी) सरलीकरण के लिए रानियों की अदला-बदली करें, डी) मोहरों की पदोन्नति में सहायता के लिए रानी का उपयोग करें")</f>
        <v>ए) हमले के लिए रानी और अन्य मोहरों का समन्वय करें, बी) रानी की ओर के मोहरों को धकेलें, सी) सरलीकरण के लिए रानियों की अदला-बदली करें, डी) मोहरों की पदोन्नति में सहायता के लिए रानी का उपयोग करें</v>
      </c>
      <c r="I300" s="5" t="str">
        <f>IFERROR(__xludf.DUMMYFUNCTION("GOOGLETRANSLATE(D300, ""en"", ""hi"")"),"A) हमले के लिए रानी और अन्य मोहरों का समन्वय करना")</f>
        <v>A) हमले के लिए रानी और अन्य मोहरों का समन्वय करना</v>
      </c>
    </row>
    <row r="301" ht="22.5" customHeight="1">
      <c r="A301" s="2">
        <v>300.0</v>
      </c>
      <c r="B301" s="3" t="s">
        <v>1867</v>
      </c>
      <c r="C301" s="3" t="s">
        <v>1818</v>
      </c>
      <c r="D301" s="3" t="s">
        <v>1789</v>
      </c>
      <c r="F301" s="5" t="str">
        <f>IFERROR(__xludf.DUMMYFUNCTION("GOOGLETRANSLATE(A301, ""en"", ""hi"")"),"300")</f>
        <v>300</v>
      </c>
      <c r="G301" s="5" t="str">
        <f>IFERROR(__xludf.DUMMYFUNCTION("GOOGLETRANSLATE(B301, ""en"", ""hi"")"),"सफ़ेद के पास सातवीं पंक्ति पर एक किश्ती है और काले के पास d5 पर एक घोड़ा है। सफ़ेद को क्या करना चाहिए?")</f>
        <v>सफ़ेद के पास सातवीं पंक्ति पर एक किश्ती है और काले के पास d5 पर एक घोड़ा है। सफ़ेद को क्या करना चाहिए?</v>
      </c>
      <c r="H301" s="5" t="str">
        <f>IFERROR(__xludf.DUMMYFUNCTION("GOOGLETRANSLATE(C301, ""en"", ""hi"")"),"क) काले के प्यादों पर हमला करने के लिए किश्ती का उपयोग करें, ख) रानी की ओर के प्यादों को धकेलें, ग) हमले के लिए किश्ती और घोड़े का समन्वय करें, घ) सरलीकरण के लिए किश्ती बदलें")</f>
        <v>क) काले के प्यादों पर हमला करने के लिए किश्ती का उपयोग करें, ख) रानी की ओर के प्यादों को धकेलें, ग) हमले के लिए किश्ती और घोड़े का समन्वय करें, घ) सरलीकरण के लिए किश्ती बदलें</v>
      </c>
      <c r="I301" s="5" t="str">
        <f>IFERROR(__xludf.DUMMYFUNCTION("GOOGLETRANSLATE(D301, ""en"", ""hi"")"),"A) काले के प्यादों पर हमला करने के लिए किश्ती का उपयोग करें")</f>
        <v>A) काले के प्यादों पर हमला करने के लिए किश्ती का उपयोग करें</v>
      </c>
    </row>
    <row r="302" ht="22.5" customHeight="1">
      <c r="A302" s="2">
        <v>301.0</v>
      </c>
      <c r="B302" s="3" t="s">
        <v>1868</v>
      </c>
      <c r="C302" s="3" t="s">
        <v>1869</v>
      </c>
      <c r="D302" s="3" t="s">
        <v>1870</v>
      </c>
      <c r="F302" s="5" t="str">
        <f>IFERROR(__xludf.DUMMYFUNCTION("GOOGLETRANSLATE(A302, ""en"", ""hi"")"),"301")</f>
        <v>301</v>
      </c>
      <c r="G302" s="5" t="str">
        <f>IFERROR(__xludf.DUMMYFUNCTION("GOOGLETRANSLATE(B302, ""en"", ""hi"")"),"काले के पास g5 पर एक बिशप है और सफ़ेद के पास खुली फ़ाइल पर एक रूक है। सफ़ेद को क्या करना चाहिए?")</f>
        <v>काले के पास g5 पर एक बिशप है और सफ़ेद के पास खुली फ़ाइल पर एक रूक है। सफ़ेद को क्या करना चाहिए?</v>
      </c>
      <c r="H302" s="5" t="str">
        <f>IFERROR(__xludf.DUMMYFUNCTION("GOOGLETRANSLATE(C302, ""en"", ""hi"")"),"A) हमले के लिए अन्य मोहरों के साथ किश्ती का समन्वय करें, B) रानी की ओर के मोहरों को धकेलें, C) सरलीकरण के लिए किश्ती बदलें, D) काले के बिशप पर हमला करने के लिए किश्ती का उपयोग करें")</f>
        <v>A) हमले के लिए अन्य मोहरों के साथ किश्ती का समन्वय करें, B) रानी की ओर के मोहरों को धकेलें, C) सरलीकरण के लिए किश्ती बदलें, D) काले के बिशप पर हमला करने के लिए किश्ती का उपयोग करें</v>
      </c>
      <c r="I302" s="5" t="str">
        <f>IFERROR(__xludf.DUMMYFUNCTION("GOOGLETRANSLATE(D302, ""en"", ""hi"")"),"A) आक्रमण के लिए किश्ती को अन्य मोहरों के साथ समन्वयित करना")</f>
        <v>A) आक्रमण के लिए किश्ती को अन्य मोहरों के साथ समन्वयित करना</v>
      </c>
    </row>
    <row r="303" ht="22.5" customHeight="1">
      <c r="A303" s="2">
        <v>302.0</v>
      </c>
      <c r="B303" s="3" t="s">
        <v>1871</v>
      </c>
      <c r="C303" s="3" t="s">
        <v>1872</v>
      </c>
      <c r="D303" s="3" t="s">
        <v>1854</v>
      </c>
      <c r="F303" s="5" t="str">
        <f>IFERROR(__xludf.DUMMYFUNCTION("GOOGLETRANSLATE(A303, ""en"", ""hi"")"),"302")</f>
        <v>302</v>
      </c>
      <c r="G303" s="5" t="str">
        <f>IFERROR(__xludf.DUMMYFUNCTION("GOOGLETRANSLATE(B303, ""en"", ""hi"")"),"सफ़ेद के पास सातवें क्रम पर एक किश्ती है और काले के पास f4 पर एक मोहरा है। सफ़ेद को किस पर ध्यान केंद्रित करना चाहिए?")</f>
        <v>सफ़ेद के पास सातवें क्रम पर एक किश्ती है और काले के पास f4 पर एक मोहरा है। सफ़ेद को किस पर ध्यान केंद्रित करना चाहिए?</v>
      </c>
      <c r="H303" s="5" t="str">
        <f>IFERROR(__xludf.DUMMYFUNCTION("GOOGLETRANSLATE(C303, ""en"", ""hi"")"),"क) काले मोहरे पर हमला करने के लिए हाथी का उपयोग करें, ख) मोहरों को रानी की ओर धकेलें, ग) हमले के लिए हाथी को अन्य मोहरों के साथ समन्वयित करें, घ) सरलीकरण के लिए हाथी बदलें")</f>
        <v>क) काले मोहरे पर हमला करने के लिए हाथी का उपयोग करें, ख) मोहरों को रानी की ओर धकेलें, ग) हमले के लिए हाथी को अन्य मोहरों के साथ समन्वयित करें, घ) सरलीकरण के लिए हाथी बदलें</v>
      </c>
      <c r="I303" s="5" t="str">
        <f>IFERROR(__xludf.DUMMYFUNCTION("GOOGLETRANSLATE(D303, ""en"", ""hi"")"),"A) काले के मोहरे पर हमला करने के लिए हाथी का उपयोग करें")</f>
        <v>A) काले के मोहरे पर हमला करने के लिए हाथी का उपयोग करें</v>
      </c>
    </row>
    <row r="304" ht="22.5" customHeight="1">
      <c r="A304" s="2">
        <v>303.0</v>
      </c>
      <c r="B304" s="3" t="s">
        <v>1873</v>
      </c>
      <c r="C304" s="3" t="s">
        <v>1874</v>
      </c>
      <c r="D304" s="3" t="s">
        <v>1584</v>
      </c>
      <c r="F304" s="5" t="str">
        <f>IFERROR(__xludf.DUMMYFUNCTION("GOOGLETRANSLATE(A304, ""en"", ""hi"")"),"303")</f>
        <v>303</v>
      </c>
      <c r="G304" s="5" t="str">
        <f>IFERROR(__xludf.DUMMYFUNCTION("GOOGLETRANSLATE(B304, ""en"", ""hi"")"),"काले के पास f8 पर एक किश्ती है और सफेद के पास f7 पर एक मोहरा है। जीतने के लिए सफेद को क्या करना चाहिए?")</f>
        <v>काले के पास f8 पर एक किश्ती है और सफेद के पास f7 पर एक मोहरा है। जीतने के लिए सफेद को क्या करना चाहिए?</v>
      </c>
      <c r="H304" s="5" t="str">
        <f>IFERROR(__xludf.DUMMYFUNCTION("GOOGLETRANSLATE(C304, ""en"", ""hi"")"),"क) मोहरे को आगे बढ़ाने के लिए धक्का दें, ख) खतरे पैदा करने के लिए मोहरे का उपयोग करें, ग) मोहरे को अन्य मोहरों के साथ समन्वयित करें, घ) सरलीकरण के लिए किश्ती बदलें")</f>
        <v>क) मोहरे को आगे बढ़ाने के लिए धक्का दें, ख) खतरे पैदा करने के लिए मोहरे का उपयोग करें, ग) मोहरे को अन्य मोहरों के साथ समन्वयित करें, घ) सरलीकरण के लिए किश्ती बदलें</v>
      </c>
      <c r="I304" s="5" t="str">
        <f>IFERROR(__xludf.DUMMYFUNCTION("GOOGLETRANSLATE(D304, ""en"", ""hi"")"),"A) मोहरे को पदोन्नति की ओर धकेलना")</f>
        <v>A) मोहरे को पदोन्नति की ओर धकेलना</v>
      </c>
    </row>
    <row r="305" ht="22.5" customHeight="1">
      <c r="A305" s="2">
        <v>304.0</v>
      </c>
      <c r="B305" s="3" t="s">
        <v>1829</v>
      </c>
      <c r="C305" s="3" t="s">
        <v>1794</v>
      </c>
      <c r="D305" s="3" t="s">
        <v>1795</v>
      </c>
      <c r="F305" s="5" t="str">
        <f>IFERROR(__xludf.DUMMYFUNCTION("GOOGLETRANSLATE(A305, ""en"", ""hi"")"),"304")</f>
        <v>304</v>
      </c>
      <c r="G305" s="5" t="str">
        <f>IFERROR(__xludf.DUMMYFUNCTION("GOOGLETRANSLATE(B305, ""en"", ""hi"")"),"सफ़ेद के पास बादशाह की तरफ़ एक रानी और एक मोहरा है, जबकि काले के पास एक किश्ती और एक बिशप है। सफ़ेद को क्या करना चाहिए?")</f>
        <v>सफ़ेद के पास बादशाह की तरफ़ एक रानी और एक मोहरा है, जबकि काले के पास एक किश्ती और एक बिशप है। सफ़ेद को क्या करना चाहिए?</v>
      </c>
      <c r="H305" s="5" t="str">
        <f>IFERROR(__xludf.DUMMYFUNCTION("GOOGLETRANSLATE(C305, ""en"", ""hi"")"),"ए)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f>
        <v>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v>
      </c>
      <c r="I305" s="5" t="str">
        <f>IFERROR(__xludf.DUMMYFUNCTION("GOOGLETRANSLATE(D305, ""en"", ""hi"")"),"D) मोहरे की पदोन्नति का समर्थन करने के लिए रानी का उपयोग करें")</f>
        <v>D) मोहरे की पदोन्नति का समर्थन करने के लिए रानी का उपयोग करें</v>
      </c>
    </row>
    <row r="306" ht="22.5" customHeight="1">
      <c r="A306" s="2">
        <v>305.0</v>
      </c>
      <c r="B306" s="3" t="s">
        <v>1875</v>
      </c>
      <c r="C306" s="3" t="s">
        <v>1876</v>
      </c>
      <c r="D306" s="3" t="s">
        <v>1786</v>
      </c>
      <c r="F306" s="5" t="str">
        <f>IFERROR(__xludf.DUMMYFUNCTION("GOOGLETRANSLATE(A306, ""en"", ""hi"")"),"305")</f>
        <v>305</v>
      </c>
      <c r="G306" s="5" t="str">
        <f>IFERROR(__xludf.DUMMYFUNCTION("GOOGLETRANSLATE(B306, ""en"", ""hi"")"),"काले के पास d4 पर एक उन्नत मोहरा है और सफ़ेद के पास खुली फ़ाइल पर एक किश्ती है। सफ़ेद को क्या करना चाहिए?")</f>
        <v>काले के पास d4 पर एक उन्नत मोहरा है और सफ़ेद के पास खुली फ़ाइल पर एक किश्ती है। सफ़ेद को क्या करना चाहिए?</v>
      </c>
      <c r="H306" s="5" t="str">
        <f>IFERROR(__xludf.DUMMYFUNCTION("GOOGLETRANSLATE(C306, ""en"", ""hi"")"),"ए) काले मोहरे पर हमला करने के लिए हाथी का उपयोग करें, बी) मोहरों को राजा की ओर धकेलें, सी) हमले के लिए हाथी और अन्य मोहरों का समन्वय करें, डी) सरलीकरण के लिए हाथी बदलें")</f>
        <v>ए) काले मोहरे पर हमला करने के लिए हाथी का उपयोग करें, बी) मोहरों को राजा की ओर धकेलें, सी) हमले के लिए हाथी और अन्य मोहरों का समन्वय करें, डी) सरलीकरण के लिए हाथी बदलें</v>
      </c>
      <c r="I306" s="5" t="str">
        <f>IFERROR(__xludf.DUMMYFUNCTION("GOOGLETRANSLATE(D306, ""en"", ""hi"")"),"C) आक्रमण के लिए किश्ती और अन्य मोहरों का समन्वय करना")</f>
        <v>C) आक्रमण के लिए किश्ती और अन्य मोहरों का समन्वय करना</v>
      </c>
    </row>
    <row r="307" ht="22.5" customHeight="1">
      <c r="A307" s="2">
        <v>306.0</v>
      </c>
      <c r="B307" s="3" t="s">
        <v>1877</v>
      </c>
      <c r="C307" s="3" t="s">
        <v>1814</v>
      </c>
      <c r="D307" s="3" t="s">
        <v>1815</v>
      </c>
      <c r="F307" s="5" t="str">
        <f>IFERROR(__xludf.DUMMYFUNCTION("GOOGLETRANSLATE(A307, ""en"", ""hi"")"),"306")</f>
        <v>306</v>
      </c>
      <c r="G307" s="5" t="str">
        <f>IFERROR(__xludf.DUMMYFUNCTION("GOOGLETRANSLATE(B307, ""en"", ""hi"")"),"सफ़ेद का एक शक्तिशाली मोहरा h6 पर है और काले का राजा g8 पर है। जीतने के लिए सफ़ेद को क्या करना चाहिए?")</f>
        <v>सफ़ेद का एक शक्तिशाली मोहरा h6 पर है और काले का राजा g8 पर है। जीतने के लिए सफ़ेद को क्या करना चाहिए?</v>
      </c>
      <c r="H307" s="5" t="str">
        <f>IFERROR(__xludf.DUMMYFUNCTION("GOOGLETRANSLATE(C307, ""en"", ""hi"")"),"क)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f>
        <v>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v>
      </c>
      <c r="I307" s="5" t="str">
        <f>IFERROR(__xludf.DUMMYFUNCTION("GOOGLETRANSLATE(D307, ""en"", ""hi"")"),"A) मोहरे को रानी बनाना")</f>
        <v>A) मोहरे को रानी बनाना</v>
      </c>
    </row>
    <row r="308" ht="22.5" customHeight="1">
      <c r="A308" s="2">
        <v>307.0</v>
      </c>
      <c r="B308" s="3" t="s">
        <v>1878</v>
      </c>
      <c r="C308" s="3" t="s">
        <v>1860</v>
      </c>
      <c r="D308" s="3" t="s">
        <v>1854</v>
      </c>
      <c r="F308" s="5" t="str">
        <f>IFERROR(__xludf.DUMMYFUNCTION("GOOGLETRANSLATE(A308, ""en"", ""hi"")"),"307")</f>
        <v>307</v>
      </c>
      <c r="G308" s="5" t="str">
        <f>IFERROR(__xludf.DUMMYFUNCTION("GOOGLETRANSLATE(B308, ""en"", ""hi"")"),"काले के पास a4 पर एक पास्ड प्यादा है और सफ़ेद के पास सातवें रैंक पर एक किश्ती है। सफ़ेद को क्या करना चाहिए?")</f>
        <v>काले के पास a4 पर एक पास्ड प्यादा है और सफ़ेद के पास सातवें रैंक पर एक किश्ती है। सफ़ेद को क्या करना चाहिए?</v>
      </c>
      <c r="H308" s="5" t="str">
        <f>IFERROR(__xludf.DUMMYFUNCTION("GOOGLETRANSLATE(C308, ""en"", ""hi"")"),"क) काले मोहरे पर हमला करने के लिए किश्ती का उपयोग करें, ख) मोहरों को बादशाह की ओर धकेलें, ग) हमले के लिए किश्ती को अन्य मोहरों के साथ समन्वयित करें, घ) खेल को सरल बनाने के लिए मोहरों की अदला-बदली करें")</f>
        <v>क) काले मोहरे पर हमला करने के लिए किश्ती का उपयोग करें, ख) मोहरों को बादशाह की ओर धकेलें, ग) हमले के लिए किश्ती को अन्य मोहरों के साथ समन्वयित करें, घ) खेल को सरल बनाने के लिए मोहरों की अदला-बदली करें</v>
      </c>
      <c r="I308" s="5" t="str">
        <f>IFERROR(__xludf.DUMMYFUNCTION("GOOGLETRANSLATE(D308, ""en"", ""hi"")"),"A) काले के मोहरे पर हमला करने के लिए हाथी का उपयोग करें")</f>
        <v>A) काले के मोहरे पर हमला करने के लिए हाथी का उपयोग करें</v>
      </c>
    </row>
    <row r="309" ht="22.5" customHeight="1">
      <c r="A309" s="2">
        <v>308.0</v>
      </c>
      <c r="B309" s="3" t="s">
        <v>1879</v>
      </c>
      <c r="C309" s="3" t="s">
        <v>1814</v>
      </c>
      <c r="D309" s="3" t="s">
        <v>1815</v>
      </c>
      <c r="F309" s="5" t="str">
        <f>IFERROR(__xludf.DUMMYFUNCTION("GOOGLETRANSLATE(A309, ""en"", ""hi"")"),"308")</f>
        <v>308</v>
      </c>
      <c r="G309" s="5" t="str">
        <f>IFERROR(__xludf.DUMMYFUNCTION("GOOGLETRANSLATE(B309, ""en"", ""hi"")"),"सफ़ेद का एक उन्नत मोहरा g7 पर है और काले का राजा h8 पर है। जीतने के लिए सफ़ेद को क्या करना चाहिए?")</f>
        <v>सफ़ेद का एक उन्नत मोहरा g7 पर है और काले का राजा h8 पर है। जीतने के लिए सफ़ेद को क्या करना चाहिए?</v>
      </c>
      <c r="H309" s="5" t="str">
        <f>IFERROR(__xludf.DUMMYFUNCTION("GOOGLETRANSLATE(C309, ""en"", ""hi"")"),"क)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f>
        <v>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v>
      </c>
      <c r="I309" s="5" t="str">
        <f>IFERROR(__xludf.DUMMYFUNCTION("GOOGLETRANSLATE(D309, ""en"", ""hi"")"),"A) मोहरे को रानी बनाना")</f>
        <v>A) मोहरे को रानी बनाना</v>
      </c>
    </row>
    <row r="310" ht="22.5" customHeight="1">
      <c r="A310" s="2">
        <v>309.0</v>
      </c>
      <c r="B310" s="3" t="s">
        <v>1880</v>
      </c>
      <c r="C310" s="3" t="s">
        <v>1881</v>
      </c>
      <c r="D310" s="3" t="s">
        <v>1882</v>
      </c>
      <c r="F310" s="5" t="str">
        <f>IFERROR(__xludf.DUMMYFUNCTION("GOOGLETRANSLATE(A310, ""en"", ""hi"")"),"309")</f>
        <v>309</v>
      </c>
      <c r="G310" s="5" t="str">
        <f>IFERROR(__xludf.DUMMYFUNCTION("GOOGLETRANSLATE(B310, ""en"", ""hi"")"),"काले के पास e8 पर एक हाथी है और सफेद के पास d3 पर एक हाथी है। सफेद को क्या करना चाहिए?")</f>
        <v>काले के पास e8 पर एक हाथी है और सफेद के पास d3 पर एक हाथी है। सफेद को क्या करना चाहिए?</v>
      </c>
      <c r="H310" s="5" t="str">
        <f>IFERROR(__xludf.DUMMYFUNCTION("GOOGLETRANSLATE(C310, ""en"", ""hi"")"),"ए) काले के हाथी पर हमला करने के लिए बिशप का उपयोग करें, बी) रानी की तरफ के मोहरों को धकेलें, सी) हमले के लिए बिशप को अन्य मोहरों के साथ समन्वयित करें, डी) खेल को सरल बनाने के लिए मोहरों की अदला-बदली करें")</f>
        <v>ए) काले के हाथी पर हमला करने के लिए बिशप का उपयोग करें, बी) रानी की तरफ के मोहरों को धकेलें, सी) हमले के लिए बिशप को अन्य मोहरों के साथ समन्वयित करें, डी) खेल को सरल बनाने के लिए मोहरों की अदला-बदली करें</v>
      </c>
      <c r="I310" s="5" t="str">
        <f>IFERROR(__xludf.DUMMYFUNCTION("GOOGLETRANSLATE(D310, ""en"", ""hi"")"),"C) हमले के लिए बिशप को अन्य टुकड़ों के साथ समन्वयित करें")</f>
        <v>C) हमले के लिए बिशप को अन्य टुकड़ों के साथ समन्वयित करें</v>
      </c>
    </row>
    <row r="311" ht="22.5" customHeight="1">
      <c r="A311" s="2">
        <v>310.0</v>
      </c>
      <c r="B311" s="3" t="s">
        <v>1883</v>
      </c>
      <c r="C311" s="3" t="s">
        <v>1843</v>
      </c>
      <c r="D311" s="3" t="s">
        <v>1584</v>
      </c>
      <c r="F311" s="5" t="str">
        <f>IFERROR(__xludf.DUMMYFUNCTION("GOOGLETRANSLATE(A311, ""en"", ""hi"")"),"310")</f>
        <v>310</v>
      </c>
      <c r="G311" s="5" t="str">
        <f>IFERROR(__xludf.DUMMYFUNCTION("GOOGLETRANSLATE(B311, ""en"", ""hi"")"),"सफ़ेद का मोहरा f6 पर है और काले का राजा g8 पर है। सफ़ेद को किस पर ध्यान केंद्रित करना चाहिए?")</f>
        <v>सफ़ेद का मोहरा f6 पर है और काले का राजा g8 पर है। सफ़ेद को किस पर ध्यान केंद्रित करना चाहिए?</v>
      </c>
      <c r="H311" s="5" t="str">
        <f>IFERROR(__xludf.DUMMYFUNCTION("GOOGLETRANSLATE(C311, ""en"", ""hi"")"),"क) मोहरे को आगे बढ़ाने के लिए दबाव डालना, ख) खतरे पैदा करने के लिए मोहरे का उपयोग करना, ग) मोहरे को अन्य मोहरों के साथ समन्वयित करना, घ) खेल को सरल बनाने के लिए मोहरों का आदान-प्रदान करना")</f>
        <v>क) मोहरे को आगे बढ़ाने के लिए दबाव डालना, ख) खतरे पैदा करने के लिए मोहरे का उपयोग करना, ग) मोहरे को अन्य मोहरों के साथ समन्वयित करना, घ) खेल को सरल बनाने के लिए मोहरों का आदान-प्रदान करना</v>
      </c>
      <c r="I311" s="5" t="str">
        <f>IFERROR(__xludf.DUMMYFUNCTION("GOOGLETRANSLATE(D311, ""en"", ""hi"")"),"A) मोहरे को पदोन्नति की ओर धकेलना")</f>
        <v>A) मोहरे को पदोन्नति की ओर धकेलना</v>
      </c>
    </row>
    <row r="312" ht="22.5" customHeight="1">
      <c r="A312" s="2">
        <v>311.0</v>
      </c>
      <c r="B312" s="3" t="s">
        <v>1884</v>
      </c>
      <c r="C312" s="3" t="s">
        <v>1885</v>
      </c>
      <c r="D312" s="3" t="s">
        <v>1789</v>
      </c>
      <c r="F312" s="5" t="str">
        <f>IFERROR(__xludf.DUMMYFUNCTION("GOOGLETRANSLATE(A312, ""en"", ""hi"")"),"311")</f>
        <v>311</v>
      </c>
      <c r="G312" s="5" t="str">
        <f>IFERROR(__xludf.DUMMYFUNCTION("GOOGLETRANSLATE(B312, ""en"", ""hi"")"),"काले के पास c5 पर एक घोड़ा है और सफ़ेद के पास सातवें स्थान पर एक किश्ती है। सफ़ेद को क्या करना चाहिए?")</f>
        <v>काले के पास c5 पर एक घोड़ा है और सफ़ेद के पास सातवें स्थान पर एक किश्ती है। सफ़ेद को क्या करना चाहिए?</v>
      </c>
      <c r="H312" s="5" t="str">
        <f>IFERROR(__xludf.DUMMYFUNCTION("GOOGLETRANSLATE(C312, ""en"", ""hi"")"),"क) काले मोहरों पर हमला करने के लिए हाथी का उपयोग करें, ख) मोहरों को रानी की ओर धकेलें, ग) हमले के लिए हाथी को अन्य मोहरों के साथ समन्वयित करें, घ) खेल को सरल बनाने के लिए मोहरों की अदला-बदली करें")</f>
        <v>क) काले मोहरों पर हमला करने के लिए हाथी का उपयोग करें, ख) मोहरों को रानी की ओर धकेलें, ग) हमले के लिए हाथी को अन्य मोहरों के साथ समन्वयित करें, घ) खेल को सरल बनाने के लिए मोहरों की अदला-बदली करें</v>
      </c>
      <c r="I312" s="5" t="str">
        <f>IFERROR(__xludf.DUMMYFUNCTION("GOOGLETRANSLATE(D312, ""en"", ""hi"")"),"A) काले के प्यादों पर हमला करने के लिए किश्ती का उपयोग करें")</f>
        <v>A) काले के प्यादों पर हमला करने के लिए किश्ती का उपयोग करें</v>
      </c>
    </row>
    <row r="313" ht="22.5" customHeight="1">
      <c r="A313" s="2">
        <v>312.0</v>
      </c>
      <c r="B313" s="3" t="s">
        <v>1886</v>
      </c>
      <c r="C313" s="3" t="s">
        <v>1814</v>
      </c>
      <c r="D313" s="3" t="s">
        <v>1815</v>
      </c>
      <c r="F313" s="5" t="str">
        <f>IFERROR(__xludf.DUMMYFUNCTION("GOOGLETRANSLATE(A313, ""en"", ""hi"")"),"312")</f>
        <v>312</v>
      </c>
      <c r="G313" s="5" t="str">
        <f>IFERROR(__xludf.DUMMYFUNCTION("GOOGLETRANSLATE(B313, ""en"", ""hi"")"),"सफ़ेद के पास b7 पर एक शक्तिशाली मोहरा है और काले का राजा g8 पर है। सफ़ेद को क्या करना चाहिए?")</f>
        <v>सफ़ेद के पास b7 पर एक शक्तिशाली मोहरा है और काले का राजा g8 पर है। सफ़ेद को क्या करना चाहिए?</v>
      </c>
      <c r="H313" s="5" t="str">
        <f>IFERROR(__xludf.DUMMYFUNCTION("GOOGLETRANSLATE(C313, ""en"", ""hi"")"),"क)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f>
        <v>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v>
      </c>
      <c r="I313" s="5" t="str">
        <f>IFERROR(__xludf.DUMMYFUNCTION("GOOGLETRANSLATE(D313, ""en"", ""hi"")"),"A) मोहरे को रानी बनाना")</f>
        <v>A) मोहरे को रानी बनाना</v>
      </c>
    </row>
    <row r="314" ht="22.5" customHeight="1">
      <c r="A314" s="2">
        <v>313.0</v>
      </c>
      <c r="B314" s="3" t="s">
        <v>1887</v>
      </c>
      <c r="C314" s="3" t="s">
        <v>1888</v>
      </c>
      <c r="D314" s="3" t="s">
        <v>1889</v>
      </c>
      <c r="F314" s="5" t="str">
        <f>IFERROR(__xludf.DUMMYFUNCTION("GOOGLETRANSLATE(A314, ""en"", ""hi"")"),"313")</f>
        <v>313</v>
      </c>
      <c r="G314" s="5" t="str">
        <f>IFERROR(__xludf.DUMMYFUNCTION("GOOGLETRANSLATE(B314, ""en"", ""hi"")"),"काले के पास e4 पर एक उन्नत मोहरा है और सफ़ेद के पास खुली फ़ाइल पर एक किश्ती है। सफ़ेद को क्या करना चाहिए?")</f>
        <v>काले के पास e4 पर एक उन्नत मोहरा है और सफ़ेद के पास खुली फ़ाइल पर एक किश्ती है। सफ़ेद को क्या करना चाहिए?</v>
      </c>
      <c r="H314" s="5" t="str">
        <f>IFERROR(__xludf.DUMMYFUNCTION("GOOGLETRANSLATE(C314, ""en"", ""hi"")"),"क) काले मोहरे पर हमला करने के लिए हाथी का उपयोग करें, ख) मोहरों को बादशाह की ओर धकेलें, ग) हमले के लिए हाथी को अन्य मोहरों के साथ समन्वयित करें, घ) सरलीकरण के लिए हाथी बदलें")</f>
        <v>क) काले मोहरे पर हमला करने के लिए हाथी का उपयोग करें, ख) मोहरों को बादशाह की ओर धकेलें, ग) हमले के लिए हाथी को अन्य मोहरों के साथ समन्वयित करें, घ) सरलीकरण के लिए हाथी बदलें</v>
      </c>
      <c r="I314" s="5" t="str">
        <f>IFERROR(__xludf.DUMMYFUNCTION("GOOGLETRANSLATE(D314, ""en"", ""hi"")"),"C) आक्रमण के लिए किश्ती को अन्य मोहरों के साथ समन्वयित करना")</f>
        <v>C) आक्रमण के लिए किश्ती को अन्य मोहरों के साथ समन्वयित करना</v>
      </c>
    </row>
    <row r="315" ht="22.5" customHeight="1">
      <c r="A315" s="2">
        <v>314.0</v>
      </c>
      <c r="B315" s="3" t="s">
        <v>1829</v>
      </c>
      <c r="C315" s="3" t="s">
        <v>1794</v>
      </c>
      <c r="D315" s="3" t="s">
        <v>1795</v>
      </c>
      <c r="F315" s="5" t="str">
        <f>IFERROR(__xludf.DUMMYFUNCTION("GOOGLETRANSLATE(A315, ""en"", ""hi"")"),"314")</f>
        <v>314</v>
      </c>
      <c r="G315" s="5" t="str">
        <f>IFERROR(__xludf.DUMMYFUNCTION("GOOGLETRANSLATE(B315, ""en"", ""hi"")"),"सफ़ेद के पास बादशाह की तरफ़ एक रानी और एक मोहरा है, जबकि काले के पास एक किश्ती और एक बिशप है। सफ़ेद को क्या करना चाहिए?")</f>
        <v>सफ़ेद के पास बादशाह की तरफ़ एक रानी और एक मोहरा है, जबकि काले के पास एक किश्ती और एक बिशप है। सफ़ेद को क्या करना चाहिए?</v>
      </c>
      <c r="H315" s="5" t="str">
        <f>IFERROR(__xludf.DUMMYFUNCTION("GOOGLETRANSLATE(C315, ""en"", ""hi"")"),"ए)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f>
        <v>ए) हमले के लिए रानी और मोहरे का समन्वय करें, बी) मोहरों को रानी की ओर धकेलें, सी) सरलीकरण के लिए रानियों की अदला-बदली करें, डी) मोहरे की उन्नति में सहायता के लिए रानी का उपयोग करें</v>
      </c>
      <c r="I315" s="5" t="str">
        <f>IFERROR(__xludf.DUMMYFUNCTION("GOOGLETRANSLATE(D315, ""en"", ""hi"")"),"D) मोहरे की पदोन्नति का समर्थन करने के लिए रानी का उपयोग करें")</f>
        <v>D) मोहरे की पदोन्नति का समर्थन करने के लिए रानी का उपयोग करें</v>
      </c>
    </row>
    <row r="316" ht="22.5" customHeight="1">
      <c r="A316" s="2">
        <v>315.0</v>
      </c>
      <c r="B316" s="3" t="s">
        <v>1890</v>
      </c>
      <c r="C316" s="3" t="s">
        <v>1891</v>
      </c>
      <c r="D316" s="3" t="s">
        <v>1892</v>
      </c>
      <c r="F316" s="5" t="str">
        <f>IFERROR(__xludf.DUMMYFUNCTION("GOOGLETRANSLATE(A316, ""en"", ""hi"")"),"315")</f>
        <v>315</v>
      </c>
      <c r="G316" s="5" t="str">
        <f>IFERROR(__xludf.DUMMYFUNCTION("GOOGLETRANSLATE(B316, ""en"", ""hi"")"),"सफ़ेद के पास d1 पर एक किश्ती और f1 पर एक बिशप है। काले का राजा g8 पर है, और काले का एक मोहरा d5 पर है। सफ़ेद को क्या करना चाहिए?")</f>
        <v>सफ़ेद के पास d1 पर एक किश्ती और f1 पर एक बिशप है। काले का राजा g8 पर है, और काले का एक मोहरा d5 पर है। सफ़ेद को क्या करना चाहिए?</v>
      </c>
      <c r="H316" s="5" t="str">
        <f>IFERROR(__xludf.DUMMYFUNCTION("GOOGLETRANSLATE(C316, ""en"", ""hi"")"),"A) d5 पर काले के मोहरे पर हमला करने के लिए किश्ती का उपयोग करें, B) बिशप को e2 पर ले जाएं, C) रानी की ओर के मोहरों को धकेलें, D) हमले के लिए किश्ती और बिशप का समन्वय करें")</f>
        <v>A) d5 पर काले के मोहरे पर हमला करने के लिए किश्ती का उपयोग करें, B) बिशप को e2 पर ले जाएं, C) रानी की ओर के मोहरों को धकेलें, D) हमले के लिए किश्ती और बिशप का समन्वय करें</v>
      </c>
      <c r="I316" s="5" t="str">
        <f>IFERROR(__xludf.DUMMYFUNCTION("GOOGLETRANSLATE(D316, ""en"", ""hi"")"),"A) d5 पर काले के मोहरे पर हमला करने के लिए हाथी का उपयोग करें")</f>
        <v>A) d5 पर काले के मोहरे पर हमला करने के लिए हाथी का उपयोग करें</v>
      </c>
    </row>
    <row r="317" ht="22.5" customHeight="1">
      <c r="A317" s="2">
        <v>316.0</v>
      </c>
      <c r="B317" s="3" t="s">
        <v>1893</v>
      </c>
      <c r="C317" s="3" t="s">
        <v>1894</v>
      </c>
      <c r="D317" s="3" t="s">
        <v>1895</v>
      </c>
      <c r="F317" s="5" t="str">
        <f>IFERROR(__xludf.DUMMYFUNCTION("GOOGLETRANSLATE(A317, ""en"", ""hi"")"),"316")</f>
        <v>316</v>
      </c>
      <c r="G317" s="5" t="str">
        <f>IFERROR(__xludf.DUMMYFUNCTION("GOOGLETRANSLATE(B317, ""en"", ""hi"")"),"काले के पास e5 पर घोड़ा है और सफ़ेद के पास d1 पर रानी और a1 पर किश्ती है। सफ़ेद को क्या करना चाहिए?")</f>
        <v>काले के पास e5 पर घोड़ा है और सफ़ेद के पास d1 पर रानी और a1 पर किश्ती है। सफ़ेद को क्या करना चाहिए?</v>
      </c>
      <c r="H317" s="5" t="str">
        <f>IFERROR(__xludf.DUMMYFUNCTION("GOOGLETRANSLATE(C317, ""en"", ""hi"")"),"ए) हमले के समन्वय के लिए रानी और किश्ती का उपयोग करें, बी) किश्ती को c1 पर ले जाएं, सी) प्यादों को राजा की ओर धकेलें, डी) सरलीकरण के लिए रानियों की अदला-बदली करें")</f>
        <v>ए) हमले के समन्वय के लिए रानी और किश्ती का उपयोग करें, बी) किश्ती को c1 पर ले जाएं, सी) प्यादों को राजा की ओर धकेलें, डी) सरलीकरण के लिए रानियों की अदला-बदली करें</v>
      </c>
      <c r="I317" s="5" t="str">
        <f>IFERROR(__xludf.DUMMYFUNCTION("GOOGLETRANSLATE(D317, ""en"", ""hi"")"),"A) हमले के समन्वय के लिए रानी और किश्ती का उपयोग करें")</f>
        <v>A) हमले के समन्वय के लिए रानी और किश्ती का उपयोग करें</v>
      </c>
    </row>
    <row r="318" ht="22.5" customHeight="1">
      <c r="A318" s="2">
        <v>317.0</v>
      </c>
      <c r="B318" s="3" t="s">
        <v>1896</v>
      </c>
      <c r="C318" s="3" t="s">
        <v>1897</v>
      </c>
      <c r="D318" s="3" t="s">
        <v>1766</v>
      </c>
      <c r="F318" s="5" t="str">
        <f>IFERROR(__xludf.DUMMYFUNCTION("GOOGLETRANSLATE(A318, ""en"", ""hi"")"),"317")</f>
        <v>317</v>
      </c>
      <c r="G318" s="5" t="str">
        <f>IFERROR(__xludf.DUMMYFUNCTION("GOOGLETRANSLATE(B318, ""en"", ""hi"")"),"सफ़ेद के पास d4 पर एक बिशप और f3 पर एक घोड़ा है। काले के पास e5 पर एक प्यादा और a8 पर एक किश्ती है। सफ़ेद को किस पर ध्यान केंद्रित करना चाहिए?")</f>
        <v>सफ़ेद के पास d4 पर एक बिशप और f3 पर एक घोड़ा है। काले के पास e5 पर एक प्यादा और a8 पर एक किश्ती है। सफ़ेद को किस पर ध्यान केंद्रित करना चाहिए?</v>
      </c>
      <c r="H318" s="5" t="str">
        <f>IFERROR(__xludf.DUMMYFUNCTION("GOOGLETRANSLATE(C318, ""en"", ""hi"")"),"A) e5 पर काले के मोहरे पर हमला करने के लिए बिशप का उपयोग करें, B) घोड़े को e1 पर ले जाएं, C) रानी की ओर के मोहरों को धकेलें, D) हमले के लिए बिशप और घोड़े का समन्वय करें")</f>
        <v>A) e5 पर काले के मोहरे पर हमला करने के लिए बिशप का उपयोग करें, B) घोड़े को e1 पर ले जाएं, C) रानी की ओर के मोहरों को धकेलें, D) हमले के लिए बिशप और घोड़े का समन्वय करें</v>
      </c>
      <c r="I318" s="5" t="str">
        <f>IFERROR(__xludf.DUMMYFUNCTION("GOOGLETRANSLATE(D318, ""en"", ""hi"")"),"D) हमले के लिए बिशप और नाइट का समन्वय करना")</f>
        <v>D) हमले के लिए बिशप और नाइट का समन्वय करना</v>
      </c>
    </row>
    <row r="319" ht="22.5" customHeight="1">
      <c r="A319" s="2">
        <v>318.0</v>
      </c>
      <c r="B319" s="3" t="s">
        <v>1898</v>
      </c>
      <c r="C319" s="3" t="s">
        <v>1899</v>
      </c>
      <c r="D319" s="3" t="s">
        <v>1900</v>
      </c>
      <c r="F319" s="5" t="str">
        <f>IFERROR(__xludf.DUMMYFUNCTION("GOOGLETRANSLATE(A319, ""en"", ""hi"")"),"318")</f>
        <v>318</v>
      </c>
      <c r="G319" s="5" t="str">
        <f>IFERROR(__xludf.DUMMYFUNCTION("GOOGLETRANSLATE(B319, ""en"", ""hi"")"),"काले के पास h4 पर एक रानी है और सफेद के पास e1 पर एक किश्ती और e5 पर एक मोहरा है। सफेद को क्या करना चाहिए?")</f>
        <v>काले के पास h4 पर एक रानी है और सफेद के पास e1 पर एक किश्ती और e5 पर एक मोहरा है। सफेद को क्या करना चाहिए?</v>
      </c>
      <c r="H319" s="5" t="str">
        <f>IFERROR(__xludf.DUMMYFUNCTION("GOOGLETRANSLATE(C319, ""en"", ""hi"")"),"A) काले की रानी पर हमला करने के लिए किश्ती का उपयोग करें, B) मोहरे को e6 पर धकेलें, C) हमले के लिए किश्ती और मोहरे का समन्वय करें, D) किश्ती को d1 पर ले जाएं")</f>
        <v>A) काले की रानी पर हमला करने के लिए किश्ती का उपयोग करें, B) मोहरे को e6 पर धकेलें, C) हमले के लिए किश्ती और मोहरे का समन्वय करें, D) किश्ती को d1 पर ले जाएं</v>
      </c>
      <c r="I319" s="5" t="str">
        <f>IFERROR(__xludf.DUMMYFUNCTION("GOOGLETRANSLATE(D319, ""en"", ""hi"")"),"B) मोहरे को e6 पर धकेलें")</f>
        <v>B) मोहरे को e6 पर धकेलें</v>
      </c>
    </row>
    <row r="320" ht="22.5" customHeight="1">
      <c r="A320" s="2">
        <v>319.0</v>
      </c>
      <c r="B320" s="3" t="s">
        <v>1901</v>
      </c>
      <c r="C320" s="3" t="s">
        <v>1902</v>
      </c>
      <c r="D320" s="3" t="s">
        <v>1903</v>
      </c>
      <c r="F320" s="5" t="str">
        <f>IFERROR(__xludf.DUMMYFUNCTION("GOOGLETRANSLATE(A320, ""en"", ""hi"")"),"319")</f>
        <v>319</v>
      </c>
      <c r="G320" s="5" t="str">
        <f>IFERROR(__xludf.DUMMYFUNCTION("GOOGLETRANSLATE(B320, ""en"", ""hi"")"),"सफ़ेद का एक मोहरा b7 पर और एक किश्ती d1 पर है। काले का राजा g8 पर है और काले का एक किश्ती f8 पर है। सफ़ेद को क्या करना चाहिए?")</f>
        <v>सफ़ेद का एक मोहरा b7 पर और एक किश्ती d1 पर है। काले का राजा g8 पर है और काले का एक किश्ती f8 पर है। सफ़ेद को क्या करना चाहिए?</v>
      </c>
      <c r="H320" s="5" t="str">
        <f>IFERROR(__xludf.DUMMYFUNCTION("GOOGLETRANSLATE(C320, ""en"", ""hi"")"),"A) पदोन्नति के लिए मोहरे को b8 पर धकेलें, B) f8 पर काले के हाथी पर हमला करने के लिए हाथी का उपयोग करें, C) हमले के लिए हाथी और मोहरे का समन्वय करें, D) हाथी को a1 पर ले जाएं")</f>
        <v>A) पदोन्नति के लिए मोहरे को b8 पर धकेलें, B) f8 पर काले के हाथी पर हमला करने के लिए हाथी का उपयोग करें, C) हमले के लिए हाथी और मोहरे का समन्वय करें, D) हाथी को a1 पर ले जाएं</v>
      </c>
      <c r="I320" s="5" t="str">
        <f>IFERROR(__xludf.DUMMYFUNCTION("GOOGLETRANSLATE(D320, ""en"", ""hi"")"),"A) पदोन्नति के लिए मोहरे को b8 पर धकेलें")</f>
        <v>A) पदोन्नति के लिए मोहरे को b8 पर धकेलें</v>
      </c>
    </row>
    <row r="321" ht="22.5" customHeight="1">
      <c r="A321" s="2">
        <v>320.0</v>
      </c>
      <c r="B321" s="3" t="s">
        <v>1904</v>
      </c>
      <c r="C321" s="3" t="s">
        <v>1905</v>
      </c>
      <c r="D321" s="3" t="s">
        <v>1906</v>
      </c>
      <c r="F321" s="5" t="str">
        <f>IFERROR(__xludf.DUMMYFUNCTION("GOOGLETRANSLATE(A321, ""en"", ""hi"")"),"320")</f>
        <v>320</v>
      </c>
      <c r="G321" s="5" t="str">
        <f>IFERROR(__xludf.DUMMYFUNCTION("GOOGLETRANSLATE(B321, ""en"", ""hi"")"),"काले के पास e8 पर एक किश्ती और c6 पर एक बिशप है। सफेद के पास d4 पर एक रानी और f3 पर एक घोड़ा है। सफेद को किस पर ध्यान केंद्रित करना चाहिए?")</f>
        <v>काले के पास e8 पर एक किश्ती और c6 पर एक बिशप है। सफेद के पास d4 पर एक रानी और f3 पर एक घोड़ा है। सफेद को किस पर ध्यान केंद्रित करना चाहिए?</v>
      </c>
      <c r="H321" s="5" t="str">
        <f>IFERROR(__xludf.DUMMYFUNCTION("GOOGLETRANSLATE(C321, ""en"", ""hi"")"),"A) काले के हाथी पर आक्रमण करने के लिए रानी का उपयोग करें, B) घोड़े को e1 पर ले जाएं, C) आक्रमण के लिए रानी और घोड़े का समन्वय करें, D) प्यादों को राजा की ओर धकेलें")</f>
        <v>A) काले के हाथी पर आक्रमण करने के लिए रानी का उपयोग करें, B) घोड़े को e1 पर ले जाएं, C) आक्रमण के लिए रानी और घोड़े का समन्वय करें, D) प्यादों को राजा की ओर धकेलें</v>
      </c>
      <c r="I321" s="5" t="str">
        <f>IFERROR(__xludf.DUMMYFUNCTION("GOOGLETRANSLATE(D321, ""en"", ""hi"")"),"C) हमले के लिए रानी और शूरवीर का समन्वय करना")</f>
        <v>C) हमले के लिए रानी और शूरवीर का समन्वय करना</v>
      </c>
    </row>
    <row r="322" ht="22.5" customHeight="1">
      <c r="A322" s="2">
        <v>321.0</v>
      </c>
      <c r="B322" s="3" t="s">
        <v>1907</v>
      </c>
      <c r="C322" s="3" t="s">
        <v>1908</v>
      </c>
      <c r="D322" s="3" t="s">
        <v>1909</v>
      </c>
      <c r="F322" s="5" t="str">
        <f>IFERROR(__xludf.DUMMYFUNCTION("GOOGLETRANSLATE(A322, ""en"", ""hi"")"),"321")</f>
        <v>321</v>
      </c>
      <c r="G322" s="5" t="str">
        <f>IFERROR(__xludf.DUMMYFUNCTION("GOOGLETRANSLATE(B322, ""en"", ""hi"")"),"सफ़ेद के पास d5 पर एक घोड़ा और f1 पर एक किश्ती है। काले के पास e6 पर एक मोहरा और c7 पर एक रानी है। सफ़ेद को क्या करना चाहिए?")</f>
        <v>सफ़ेद के पास d5 पर एक घोड़ा और f1 पर एक किश्ती है। काले के पास e6 पर एक मोहरा और c7 पर एक रानी है। सफ़ेद को क्या करना चाहिए?</v>
      </c>
      <c r="H322" s="5" t="str">
        <f>IFERROR(__xludf.DUMMYFUNCTION("GOOGLETRANSLATE(C322, ""en"", ""hi"")"),"A) e6 पर काले के मोहरे पर हमला करने के लिए घोड़े का उपयोग करें, B) किश्ती को f7 पर ले जाएं, C) मोहरों को रानी की ओर धकेलें, D) हमले के लिए घोड़े और किश्ती का समन्वय करें")</f>
        <v>A) e6 पर काले के मोहरे पर हमला करने के लिए घोड़े का उपयोग करें, B) किश्ती को f7 पर ले जाएं, C) मोहरों को रानी की ओर धकेलें, D) हमले के लिए घोड़े और किश्ती का समन्वय करें</v>
      </c>
      <c r="I322" s="5" t="str">
        <f>IFERROR(__xludf.DUMMYFUNCTION("GOOGLETRANSLATE(D322, ""en"", ""hi"")"),"A) e6 पर काले के मोहरे पर हमला करने के लिए घोड़े का उपयोग करें")</f>
        <v>A) e6 पर काले के मोहरे पर हमला करने के लिए घोड़े का उपयोग करें</v>
      </c>
    </row>
    <row r="323" ht="22.5" customHeight="1">
      <c r="A323" s="2">
        <v>322.0</v>
      </c>
      <c r="B323" s="3" t="s">
        <v>1910</v>
      </c>
      <c r="C323" s="3" t="s">
        <v>1911</v>
      </c>
      <c r="D323" s="3" t="s">
        <v>1912</v>
      </c>
      <c r="F323" s="5" t="str">
        <f>IFERROR(__xludf.DUMMYFUNCTION("GOOGLETRANSLATE(A323, ""en"", ""hi"")"),"322")</f>
        <v>322</v>
      </c>
      <c r="G323" s="5" t="str">
        <f>IFERROR(__xludf.DUMMYFUNCTION("GOOGLETRANSLATE(B323, ""en"", ""hi"")"),"काले के पास g8 पर एक किश्ती और f6 पर एक मोहरा है। सफेद के पास e2 पर एक रानी और h3 पर एक बिशप है। सफेद को क्या करना चाहिए?")</f>
        <v>काले के पास g8 पर एक किश्ती और f6 पर एक मोहरा है। सफेद के पास e2 पर एक रानी और h3 पर एक बिशप है। सफेद को क्या करना चाहिए?</v>
      </c>
      <c r="H323" s="5" t="str">
        <f>IFERROR(__xludf.DUMMYFUNCTION("GOOGLETRANSLATE(C323, ""en"", ""hi"")"),"A) काले के हाथी पर हमला करने के लिए रानी का उपयोग करें, B) बिशप को g2 पर ले जाएं, C) रानी की तरफ के प्यादों को धकेलें, D) हमले के लिए रानी और बिशप का समन्वय करें")</f>
        <v>A) काले के हाथी पर हमला करने के लिए रानी का उपयोग करें, B) बिशप को g2 पर ले जाएं, C) रानी की तरफ के प्यादों को धकेलें, D) हमले के लिए रानी और बिशप का समन्वय करें</v>
      </c>
      <c r="I323" s="5" t="str">
        <f>IFERROR(__xludf.DUMMYFUNCTION("GOOGLETRANSLATE(D323, ""en"", ""hi"")"),"D) हमले के लिए रानी और बिशप का समन्वय करें")</f>
        <v>D) हमले के लिए रानी और बिशप का समन्वय करें</v>
      </c>
    </row>
    <row r="324" ht="22.5" customHeight="1">
      <c r="A324" s="2">
        <v>323.0</v>
      </c>
      <c r="B324" s="3" t="s">
        <v>1913</v>
      </c>
      <c r="C324" s="3" t="s">
        <v>1914</v>
      </c>
      <c r="D324" s="3" t="s">
        <v>1815</v>
      </c>
      <c r="F324" s="5" t="str">
        <f>IFERROR(__xludf.DUMMYFUNCTION("GOOGLETRANSLATE(A324, ""en"", ""hi"")"),"323")</f>
        <v>323</v>
      </c>
      <c r="G324" s="5" t="str">
        <f>IFERROR(__xludf.DUMMYFUNCTION("GOOGLETRANSLATE(B324, ""en"", ""hi"")"),"सफ़ेद का मोहरा c7 पर है और काले का घोड़ा f6 पर। अपनी स्थिति को अधिकतम करने के लिए सफ़ेद को क्या करना चाहिए?")</f>
        <v>सफ़ेद का मोहरा c7 पर है और काले का घोड़ा f6 पर। अपनी स्थिति को अधिकतम करने के लिए सफ़ेद को क्या करना चाहिए?</v>
      </c>
      <c r="H324" s="5" t="str">
        <f>IFERROR(__xludf.DUMMYFUNCTION("GOOGLETRANSLATE(C324, ""en"", ""hi"")"),"क) मोहरे को रानी बनाना, ख) खतरे पैदा करने के लिए मोहरे का उपयोग करना, ग) मोहरे को अन्य मोहरों के साथ समन्वयित करना, घ) खेल को सरल बनाने के लिए मोहरों की अदला-बदली करना")</f>
        <v>क) मोहरे को रानी बनाना, ख) खतरे पैदा करने के लिए मोहरे का उपयोग करना, ग) मोहरे को अन्य मोहरों के साथ समन्वयित करना, घ) खेल को सरल बनाने के लिए मोहरों की अदला-बदली करना</v>
      </c>
      <c r="I324" s="5" t="str">
        <f>IFERROR(__xludf.DUMMYFUNCTION("GOOGLETRANSLATE(D324, ""en"", ""hi"")"),"A) मोहरे को रानी बनाना")</f>
        <v>A) मोहरे को रानी बनाना</v>
      </c>
    </row>
    <row r="325" ht="22.5" customHeight="1">
      <c r="A325" s="2">
        <v>324.0</v>
      </c>
      <c r="B325" s="3" t="s">
        <v>1915</v>
      </c>
      <c r="C325" s="3" t="s">
        <v>1916</v>
      </c>
      <c r="D325" s="3" t="s">
        <v>1917</v>
      </c>
      <c r="F325" s="5" t="str">
        <f>IFERROR(__xludf.DUMMYFUNCTION("GOOGLETRANSLATE(A325, ""en"", ""hi"")"),"324")</f>
        <v>324</v>
      </c>
      <c r="G325" s="5" t="str">
        <f>IFERROR(__xludf.DUMMYFUNCTION("GOOGLETRANSLATE(B325, ""en"", ""hi"")"),"काले के पास f6 पर एक रानी है और सफेद के पास d1 पर एक किश्ती और d5 पर एक मोहरा है। सफेद को किस पर ध्यान केंद्रित करना चाहिए?")</f>
        <v>काले के पास f6 पर एक रानी है और सफेद के पास d1 पर एक किश्ती और d5 पर एक मोहरा है। सफेद को किस पर ध्यान केंद्रित करना चाहिए?</v>
      </c>
      <c r="H325" s="5" t="str">
        <f>IFERROR(__xludf.DUMMYFUNCTION("GOOGLETRANSLATE(C325, ""en"", ""hi"")"),"क) काले की रानी पर हमला करने के लिए किश्ती का उपयोग करें, ख) मोहरे को d6 पर धकेलें, ग) हमले के लिए किश्ती और मोहरे का समन्वय करें, घ) किश्ती को e1 पर ले जाएं")</f>
        <v>क) काले की रानी पर हमला करने के लिए किश्ती का उपयोग करें, ख) मोहरे को d6 पर धकेलें, ग) हमले के लिए किश्ती और मोहरे का समन्वय करें, घ) किश्ती को e1 पर ले जाएं</v>
      </c>
      <c r="I325" s="5" t="str">
        <f>IFERROR(__xludf.DUMMYFUNCTION("GOOGLETRANSLATE(D325, ""en"", ""hi"")"),"B) मोहरे को d6 पर धकेलें")</f>
        <v>B) मोहरे को d6 पर धकेलें</v>
      </c>
    </row>
    <row r="326" ht="22.5" customHeight="1">
      <c r="A326" s="2">
        <v>325.0</v>
      </c>
      <c r="B326" s="3" t="s">
        <v>1918</v>
      </c>
      <c r="C326" s="3" t="s">
        <v>1919</v>
      </c>
      <c r="D326" s="3" t="s">
        <v>1920</v>
      </c>
      <c r="F326" s="5" t="str">
        <f>IFERROR(__xludf.DUMMYFUNCTION("GOOGLETRANSLATE(A326, ""en"", ""hi"")"),"325")</f>
        <v>325</v>
      </c>
      <c r="G326" s="5" t="str">
        <f>IFERROR(__xludf.DUMMYFUNCTION("GOOGLETRANSLATE(B326, ""en"", ""hi"")"),"सफ़ेद के पास e5 पर एक घोड़ा है और काले के पास d8 पर एक रानी और a6 पर एक मोहरा है। सफ़ेद को क्या करना चाहिए?")</f>
        <v>सफ़ेद के पास e5 पर एक घोड़ा है और काले के पास d8 पर एक रानी और a6 पर एक मोहरा है। सफ़ेद को क्या करना चाहिए?</v>
      </c>
      <c r="H326" s="5" t="str">
        <f>IFERROR(__xludf.DUMMYFUNCTION("GOOGLETRANSLATE(C326, ""en"", ""hi"")"),"A) काले की रानी पर हमला करने के लिए घोड़े का उपयोग करें, B) घोड़े को f3 पर ले जाएं, C) रानी की तरफ के मोहरों को धकेलें, D) हमले के लिए घोड़े और अन्य मोहरों का समन्वय करें")</f>
        <v>A) काले की रानी पर हमला करने के लिए घोड़े का उपयोग करें, B) घोड़े को f3 पर ले जाएं, C) रानी की तरफ के मोहरों को धकेलें, D) हमले के लिए घोड़े और अन्य मोहरों का समन्वय करें</v>
      </c>
      <c r="I326" s="5" t="str">
        <f>IFERROR(__xludf.DUMMYFUNCTION("GOOGLETRANSLATE(D326, ""en"", ""hi"")"),"A) काले की रानी पर हमला करने के लिए घोड़े का उपयोग करें")</f>
        <v>A) काले की रानी पर हमला करने के लिए घोड़े का उपयोग करें</v>
      </c>
    </row>
    <row r="327" ht="22.5" customHeight="1">
      <c r="A327" s="2">
        <v>326.0</v>
      </c>
      <c r="B327" s="3" t="s">
        <v>1921</v>
      </c>
      <c r="C327" s="3" t="s">
        <v>1922</v>
      </c>
      <c r="D327" s="3" t="s">
        <v>1923</v>
      </c>
      <c r="F327" s="5" t="str">
        <f>IFERROR(__xludf.DUMMYFUNCTION("GOOGLETRANSLATE(A327, ""en"", ""hi"")"),"326")</f>
        <v>326</v>
      </c>
      <c r="G327" s="5" t="str">
        <f>IFERROR(__xludf.DUMMYFUNCTION("GOOGLETRANSLATE(B327, ""en"", ""hi"")"),"काले के पास a7 पर एक किश्ती और f6 पर एक बिशप है। सफेद के पास d1 पर एक रानी और e5 पर एक मोहरा है। सफेद को क्या करना चाहिए?")</f>
        <v>काले के पास a7 पर एक किश्ती और f6 पर एक बिशप है। सफेद के पास d1 पर एक रानी और e5 पर एक मोहरा है। सफेद को क्या करना चाहिए?</v>
      </c>
      <c r="H327" s="5" t="str">
        <f>IFERROR(__xludf.DUMMYFUNCTION("GOOGLETRANSLATE(C327, ""en"", ""hi"")"),"ए) काले के बिशप पर हमला करने के लिए रानी का उपयोग करें, बी) मोहरे को e6 पर ले जाएं, सी) हमले के लिए रानी और मोहरे का समन्वय करें, डी) सरलीकरण के लिए टुकड़ों की अदला-बदली करें")</f>
        <v>ए) काले के बिशप पर हमला करने के लिए रानी का उपयोग करें, बी) मोहरे को e6 पर ले जाएं, सी) हमले के लिए रानी और मोहरे का समन्वय करें, डी) सरलीकरण के लिए टुकड़ों की अदला-बदली करें</v>
      </c>
      <c r="I327" s="5" t="str">
        <f>IFERROR(__xludf.DUMMYFUNCTION("GOOGLETRANSLATE(D327, ""en"", ""hi"")"),"बी) मोहरे को e6 पर ले जाएं")</f>
        <v>बी) मोहरे को e6 पर ले जाएं</v>
      </c>
    </row>
    <row r="328" ht="22.5" customHeight="1">
      <c r="A328" s="2">
        <v>327.0</v>
      </c>
      <c r="B328" s="3" t="s">
        <v>1924</v>
      </c>
      <c r="C328" s="3" t="s">
        <v>1925</v>
      </c>
      <c r="D328" s="3" t="s">
        <v>1926</v>
      </c>
      <c r="F328" s="5" t="str">
        <f>IFERROR(__xludf.DUMMYFUNCTION("GOOGLETRANSLATE(A328, ""en"", ""hi"")"),"327")</f>
        <v>327</v>
      </c>
      <c r="G328" s="5" t="str">
        <f>IFERROR(__xludf.DUMMYFUNCTION("GOOGLETRANSLATE(B328, ""en"", ""hi"")"),"सफ़ेद के पास f1 पर एक किश्ती और g7 पर एक मोहरा है। काले के पास c7 पर एक रानी और d5 पर एक घोड़ा है। सफ़ेद को क्या करना चाहिए?")</f>
        <v>सफ़ेद के पास f1 पर एक किश्ती और g7 पर एक मोहरा है। काले के पास c7 पर एक रानी और d5 पर एक घोड़ा है। सफ़ेद को क्या करना चाहिए?</v>
      </c>
      <c r="H328" s="5" t="str">
        <f>IFERROR(__xludf.DUMMYFUNCTION("GOOGLETRANSLATE(C328, ""en"", ""hi"")"),"A) पदोन्नति के लिए मोहरे को g8 पर धकेलें, B) काले घोड़े पर हमला करने के लिए किश्ती का उपयोग करें, C) हमले के लिए किश्ती और मोहरे का समन्वय करें, D) किश्ती को e1 पर ले जाएं")</f>
        <v>A) पदोन्नति के लिए मोहरे को g8 पर धकेलें, B) काले घोड़े पर हमला करने के लिए किश्ती का उपयोग करें, C) हमले के लिए किश्ती और मोहरे का समन्वय करें, D) किश्ती को e1 पर ले जाएं</v>
      </c>
      <c r="I328" s="5" t="str">
        <f>IFERROR(__xludf.DUMMYFUNCTION("GOOGLETRANSLATE(D328, ""en"", ""hi"")"),"A) पदोन्नति के लिए मोहरे को g8 की ओर धकेलें")</f>
        <v>A) पदोन्नति के लिए मोहरे को g8 की ओर धकेलें</v>
      </c>
    </row>
    <row r="329" ht="22.5" customHeight="1">
      <c r="A329" s="2">
        <v>328.0</v>
      </c>
      <c r="B329" s="3" t="s">
        <v>1927</v>
      </c>
      <c r="C329" s="3" t="s">
        <v>1928</v>
      </c>
      <c r="D329" s="3" t="s">
        <v>1929</v>
      </c>
      <c r="F329" s="5" t="str">
        <f>IFERROR(__xludf.DUMMYFUNCTION("GOOGLETRANSLATE(A329, ""en"", ""hi"")"),"328")</f>
        <v>328</v>
      </c>
      <c r="G329" s="5" t="str">
        <f>IFERROR(__xludf.DUMMYFUNCTION("GOOGLETRANSLATE(B329, ""en"", ""hi"")"),"काले के पास c5 पर एक बिशप और e8 पर एक किश्ती है। सफेद के पास d4 पर एक रानी और f3 पर एक घोड़ा है। सफेद को किस पर ध्यान केंद्रित करना चाहिए?")</f>
        <v>काले के पास c5 पर एक बिशप और e8 पर एक किश्ती है। सफेद के पास d4 पर एक रानी और f3 पर एक घोड़ा है। सफेद को किस पर ध्यान केंद्रित करना चाहिए?</v>
      </c>
      <c r="H329" s="5" t="str">
        <f>IFERROR(__xludf.DUMMYFUNCTION("GOOGLETRANSLATE(C329, ""en"", ""hi"")"),"ए) काले के हाथी पर हमला करने के लिए रानी का उपयोग करें, बी) हमले के लिए रानी और घोड़े का समन्वय करें, सी) रानी की तरफ के प्यादों को धकेलें, डी) सरलीकरण के लिए रानियों की अदला-बदली करें")</f>
        <v>ए) काले के हाथी पर हमला करने के लिए रानी का उपयोग करें, बी) हमले के लिए रानी और घोड़े का समन्वय करें, सी) रानी की तरफ के प्यादों को धकेलें, डी) सरलीकरण के लिए रानियों की अदला-बदली करें</v>
      </c>
      <c r="I329" s="5" t="str">
        <f>IFERROR(__xludf.DUMMYFUNCTION("GOOGLETRANSLATE(D329, ""en"", ""hi"")"),"बी) हमले के लिए रानी और शूरवीर का समन्वय करना")</f>
        <v>बी) हमले के लिए रानी और शूरवीर का समन्वय करना</v>
      </c>
    </row>
    <row r="330" ht="22.5" customHeight="1">
      <c r="A330" s="2">
        <v>329.0</v>
      </c>
      <c r="B330" s="3" t="s">
        <v>1930</v>
      </c>
      <c r="C330" s="3" t="s">
        <v>1814</v>
      </c>
      <c r="D330" s="3" t="s">
        <v>1815</v>
      </c>
      <c r="F330" s="5" t="str">
        <f>IFERROR(__xludf.DUMMYFUNCTION("GOOGLETRANSLATE(A330, ""en"", ""hi"")"),"329")</f>
        <v>329</v>
      </c>
      <c r="G330" s="5" t="str">
        <f>IFERROR(__xludf.DUMMYFUNCTION("GOOGLETRANSLATE(B330, ""en"", ""hi"")"),"सफ़ेद का एक आगे का मोहरा h6 पर है और काले का राजा h8 पर है। जीतने के लिए सफ़ेद को क्या करना चाहिए?")</f>
        <v>सफ़ेद का एक आगे का मोहरा h6 पर है और काले का राजा h8 पर है। जीतने के लिए सफ़ेद को क्या करना चाहिए?</v>
      </c>
      <c r="H330" s="5" t="str">
        <f>IFERROR(__xludf.DUMMYFUNCTION("GOOGLETRANSLATE(C330, ""en"", ""hi"")"),"क)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f>
        <v>क) मोहरे को रानी बनाना, ख) खतरे पैदा करने के लिए मोहरे का उपयोग करना, ग) मोहरे को अन्य मोहरों के साथ समन्वयित करना, घ) खेल को सरल बनाने के लिए मोहरों का आदान-प्रदान करना</v>
      </c>
      <c r="I330" s="5" t="str">
        <f>IFERROR(__xludf.DUMMYFUNCTION("GOOGLETRANSLATE(D330, ""en"", ""hi"")"),"A) मोहरे को रानी बनाना")</f>
        <v>A) मोहरे को रानी बनाना</v>
      </c>
    </row>
    <row r="331" ht="22.5" customHeight="1">
      <c r="A331" s="2">
        <v>330.0</v>
      </c>
      <c r="B331" s="3" t="s">
        <v>1931</v>
      </c>
      <c r="C331" s="3" t="s">
        <v>1932</v>
      </c>
      <c r="D331" s="3" t="s">
        <v>1912</v>
      </c>
      <c r="F331" s="5" t="str">
        <f>IFERROR(__xludf.DUMMYFUNCTION("GOOGLETRANSLATE(A331, ""en"", ""hi"")"),"330")</f>
        <v>330</v>
      </c>
      <c r="G331" s="5" t="str">
        <f>IFERROR(__xludf.DUMMYFUNCTION("GOOGLETRANSLATE(B331, ""en"", ""hi"")"),"काले के पास d8 पर एक किश्ती और e5 पर एक मोहरा है। सफेद के पास d1 पर एक रानी और f3 पर एक बिशप है। सफेद को क्या करना चाहिए?")</f>
        <v>काले के पास d8 पर एक किश्ती और e5 पर एक मोहरा है। सफेद के पास d1 पर एक रानी और f3 पर एक बिशप है। सफेद को क्या करना चाहिए?</v>
      </c>
      <c r="H331" s="5" t="str">
        <f>IFERROR(__xludf.DUMMYFUNCTION("GOOGLETRANSLATE(C331, ""en"", ""hi"")"),"A) काले के हाथी पर हमला करने के लिए रानी का उपयोग करें, B) बिशप को e4 पर ले जाएं, C) रानी की तरफ के प्यादों को धकेलें, D) हमले के लिए रानी और बिशप का समन्वय करें")</f>
        <v>A) काले के हाथी पर हमला करने के लिए रानी का उपयोग करें, B) बिशप को e4 पर ले जाएं, C) रानी की तरफ के प्यादों को धकेलें, D) हमले के लिए रानी और बिशप का समन्वय करें</v>
      </c>
      <c r="I331" s="5" t="str">
        <f>IFERROR(__xludf.DUMMYFUNCTION("GOOGLETRANSLATE(D331, ""en"", ""hi"")"),"D) हमले के लिए रानी और बिशप का समन्वय करें")</f>
        <v>D) हमले के लिए रानी और बिशप का समन्वय करें</v>
      </c>
    </row>
    <row r="332" ht="22.5" customHeight="1">
      <c r="A332" s="2">
        <v>331.0</v>
      </c>
      <c r="B332" s="3" t="s">
        <v>1933</v>
      </c>
      <c r="C332" s="3" t="s">
        <v>1919</v>
      </c>
      <c r="D332" s="3" t="s">
        <v>1920</v>
      </c>
      <c r="F332" s="5" t="str">
        <f>IFERROR(__xludf.DUMMYFUNCTION("GOOGLETRANSLATE(A332, ""en"", ""hi"")"),"331")</f>
        <v>331</v>
      </c>
      <c r="G332" s="5" t="str">
        <f>IFERROR(__xludf.DUMMYFUNCTION("GOOGLETRANSLATE(B332, ""en"", ""hi"")"),"सफ़ेद के पास e5 पर घोड़ा है और काले के पास d8 पर रानी और a8 पर किश्ती है। सफ़ेद को क्या करना चाहिए?")</f>
        <v>सफ़ेद के पास e5 पर घोड़ा है और काले के पास d8 पर रानी और a8 पर किश्ती है। सफ़ेद को क्या करना चाहिए?</v>
      </c>
      <c r="H332" s="5" t="str">
        <f>IFERROR(__xludf.DUMMYFUNCTION("GOOGLETRANSLATE(C332, ""en"", ""hi"")"),"A) काले की रानी पर हमला करने के लिए घोड़े का उपयोग करें, B) घोड़े को f3 पर ले जाएं, C) रानी की तरफ के मोहरों को धकेलें, D) हमले के लिए घोड़े और अन्य मोहरों का समन्वय करें")</f>
        <v>A) काले की रानी पर हमला करने के लिए घोड़े का उपयोग करें, B) घोड़े को f3 पर ले जाएं, C) रानी की तरफ के मोहरों को धकेलें, D) हमले के लिए घोड़े और अन्य मोहरों का समन्वय करें</v>
      </c>
      <c r="I332" s="5" t="str">
        <f>IFERROR(__xludf.DUMMYFUNCTION("GOOGLETRANSLATE(D332, ""en"", ""hi"")"),"A) काले की रानी पर हमला करने के लिए घोड़े का उपयोग करें")</f>
        <v>A) काले की रानी पर हमला करने के लिए घोड़े का उपयोग करें</v>
      </c>
    </row>
    <row r="333" ht="22.5" customHeight="1">
      <c r="A333" s="2">
        <v>332.0</v>
      </c>
      <c r="B333" s="3" t="s">
        <v>1934</v>
      </c>
      <c r="C333" s="3" t="s">
        <v>1935</v>
      </c>
      <c r="D333" s="3" t="s">
        <v>1936</v>
      </c>
      <c r="F333" s="5" t="str">
        <f>IFERROR(__xludf.DUMMYFUNCTION("GOOGLETRANSLATE(A333, ""en"", ""hi"")"),"332")</f>
        <v>332</v>
      </c>
      <c r="G333" s="5" t="str">
        <f>IFERROR(__xludf.DUMMYFUNCTION("GOOGLETRANSLATE(B333, ""en"", ""hi"")"),"काले के पास c4 पर एक मोहरा है और सफेद के पास e1 पर एक किश्ती और d1 पर एक रानी है। सफेद को क्या करना चाहिए?")</f>
        <v>काले के पास c4 पर एक मोहरा है और सफेद के पास e1 पर एक किश्ती और d1 पर एक रानी है। सफेद को क्या करना चाहिए?</v>
      </c>
      <c r="H333" s="5" t="str">
        <f>IFERROR(__xludf.DUMMYFUNCTION("GOOGLETRANSLATE(C333, ""en"", ""hi"")"),"A) c4 पर काले मोहरे पर हमला करने के लिए रानी का उपयोग करें, B) किश्ती को e2 पर ले जाएं, C) मोहरों को राजा की ओर धकेलें, D) हमले के लिए रानी और किश्ती का समन्वय करें")</f>
        <v>A) c4 पर काले मोहरे पर हमला करने के लिए रानी का उपयोग करें, B) किश्ती को e2 पर ले जाएं, C) मोहरों को राजा की ओर धकेलें, D) हमले के लिए रानी और किश्ती का समन्वय करें</v>
      </c>
      <c r="I333" s="5" t="str">
        <f>IFERROR(__xludf.DUMMYFUNCTION("GOOGLETRANSLATE(D333, ""en"", ""hi"")"),"A) c4 पर काले के मोहरे पर हमला करने के लिए रानी का उपयोग करें")</f>
        <v>A) c4 पर काले के मोहरे पर हमला करने के लिए रानी का उपयोग करें</v>
      </c>
    </row>
    <row r="334" ht="22.5" customHeight="1">
      <c r="A334" s="2">
        <v>333.0</v>
      </c>
      <c r="B334" s="3" t="s">
        <v>1937</v>
      </c>
      <c r="C334" s="3" t="s">
        <v>1938</v>
      </c>
      <c r="D334" s="3" t="s">
        <v>1926</v>
      </c>
      <c r="F334" s="5" t="str">
        <f>IFERROR(__xludf.DUMMYFUNCTION("GOOGLETRANSLATE(A334, ""en"", ""hi"")"),"333")</f>
        <v>333</v>
      </c>
      <c r="G334" s="5" t="str">
        <f>IFERROR(__xludf.DUMMYFUNCTION("GOOGLETRANSLATE(B334, ""en"", ""hi"")"),"सफ़ेद के पास h1 पर एक किश्ती और g7 पर एक मोहरा है। काले के पास d8 पर एक रानी और e8 पर एक किश्ती है। सफ़ेद को क्या करना चाहिए?")</f>
        <v>सफ़ेद के पास h1 पर एक किश्ती और g7 पर एक मोहरा है। काले के पास d8 पर एक रानी और e8 पर एक किश्ती है। सफ़ेद को क्या करना चाहिए?</v>
      </c>
      <c r="H334" s="5" t="str">
        <f>IFERROR(__xludf.DUMMYFUNCTION("GOOGLETRANSLATE(C334, ""en"", ""hi"")"),"A) पदोन्नति के लिए मोहरे को g8 पर धकेलें, B) काले के हाथी पर हमला करने के लिए हाथी का उपयोग करें, C) हमले के लिए हाथी और मोहरे का समन्वय करें, D) हाथी को e1 पर ले जाएं")</f>
        <v>A) पदोन्नति के लिए मोहरे को g8 पर धकेलें, B) काले के हाथी पर हमला करने के लिए हाथी का उपयोग करें, C) हमले के लिए हाथी और मोहरे का समन्वय करें, D) हाथी को e1 पर ले जाएं</v>
      </c>
      <c r="I334" s="5" t="str">
        <f>IFERROR(__xludf.DUMMYFUNCTION("GOOGLETRANSLATE(D334, ""en"", ""hi"")"),"A) पदोन्नति के लिए मोहरे को g8 की ओर धकेलें")</f>
        <v>A) पदोन्नति के लिए मोहरे को g8 की ओर धकेलें</v>
      </c>
    </row>
    <row r="335" ht="22.5" customHeight="1">
      <c r="A335" s="2">
        <v>334.0</v>
      </c>
      <c r="B335" s="3" t="s">
        <v>1939</v>
      </c>
      <c r="C335" s="3" t="s">
        <v>1940</v>
      </c>
      <c r="D335" s="3" t="s">
        <v>1941</v>
      </c>
      <c r="F335" s="5" t="str">
        <f>IFERROR(__xludf.DUMMYFUNCTION("GOOGLETRANSLATE(A335, ""en"", ""hi"")"),"334")</f>
        <v>334</v>
      </c>
      <c r="G335" s="5" t="str">
        <f>IFERROR(__xludf.DUMMYFUNCTION("GOOGLETRANSLATE(B335, ""en"", ""hi"")"),"काले के पास g7 पर एक बिशप है और सफेद के पास e1 पर एक किश्ती और e5 पर एक प्यादा है। सफेद को क्या करना चाहिए?")</f>
        <v>काले के पास g7 पर एक बिशप है और सफेद के पास e1 पर एक किश्ती और e5 पर एक प्यादा है। सफेद को क्या करना चाहिए?</v>
      </c>
      <c r="H335" s="5" t="str">
        <f>IFERROR(__xludf.DUMMYFUNCTION("GOOGLETRANSLATE(C335, ""en"", ""hi"")"),"A) मोहरे को e6 पर धकेलें, B) काले के बिशप पर हमला करने के लिए किश्ती का उपयोग करें, C) हमले के लिए किश्ती और मोहरे का समन्वय करें, D) सरलीकरण के लिए मोहरों की अदला-बदली करें")</f>
        <v>A) मोहरे को e6 पर धकेलें, B) काले के बिशप पर हमला करने के लिए किश्ती का उपयोग करें, C) हमले के लिए किश्ती और मोहरे का समन्वय करें, D) सरलीकरण के लिए मोहरों की अदला-बदली करें</v>
      </c>
      <c r="I335" s="5" t="str">
        <f>IFERROR(__xludf.DUMMYFUNCTION("GOOGLETRANSLATE(D335, ""en"", ""hi"")"),"A) मोहरे को e6 पर धकेलें")</f>
        <v>A) मोहरे को e6 पर धकेलें</v>
      </c>
    </row>
    <row r="336" ht="22.5" customHeight="1">
      <c r="A336" s="2">
        <v>335.0</v>
      </c>
      <c r="B336" s="3" t="s">
        <v>1942</v>
      </c>
      <c r="C336" s="3" t="s">
        <v>1943</v>
      </c>
      <c r="D336" s="3" t="s">
        <v>1944</v>
      </c>
      <c r="F336" s="5" t="str">
        <f>IFERROR(__xludf.DUMMYFUNCTION("GOOGLETRANSLATE(A336, ""en"", ""hi"")"),"335")</f>
        <v>335</v>
      </c>
      <c r="G336" s="5" t="str">
        <f>IFERROR(__xludf.DUMMYFUNCTION("GOOGLETRANSLATE(B336, ""en"", ""hi"")"),"सफ़ेद के पास c3 पर एक घोड़ा और d4 पर एक मोहरा है। काले के पास a8 पर एक किश्ती और d8 पर एक रानी है। सफ़ेद को क्या करना चाहिए?")</f>
        <v>सफ़ेद के पास c3 पर एक घोड़ा और d4 पर एक मोहरा है। काले के पास a8 पर एक किश्ती और d8 पर एक रानी है। सफ़ेद को क्या करना चाहिए?</v>
      </c>
      <c r="H336" s="5" t="str">
        <f>IFERROR(__xludf.DUMMYFUNCTION("GOOGLETRANSLATE(C336, ""en"", ""hi"")"),"A) काले के हाथी पर हमला करने के लिए घोड़े का उपयोग करें, B) घोड़े को e4 पर ले जाएं, C) मोहरे को d5 पर धकेलें, D) हमले के लिए घोड़े और मोहरे का समन्वय करें")</f>
        <v>A) काले के हाथी पर हमला करने के लिए घोड़े का उपयोग करें, B) घोड़े को e4 पर ले जाएं, C) मोहरे को d5 पर धकेलें, D) हमले के लिए घोड़े और मोहरे का समन्वय करें</v>
      </c>
      <c r="I336" s="5" t="str">
        <f>IFERROR(__xludf.DUMMYFUNCTION("GOOGLETRANSLATE(D336, ""en"", ""hi"")"),"C) मोहरे को d5 पर धकेलें")</f>
        <v>C) मोहरे को d5 पर धकेलें</v>
      </c>
    </row>
    <row r="337" ht="22.5" customHeight="1">
      <c r="A337" s="2">
        <v>336.0</v>
      </c>
      <c r="B337" s="3" t="s">
        <v>1945</v>
      </c>
      <c r="C337" s="3" t="s">
        <v>1911</v>
      </c>
      <c r="D337" s="3" t="s">
        <v>1912</v>
      </c>
      <c r="F337" s="5" t="str">
        <f>IFERROR(__xludf.DUMMYFUNCTION("GOOGLETRANSLATE(A337, ""en"", ""hi"")"),"336")</f>
        <v>336</v>
      </c>
      <c r="G337" s="5" t="str">
        <f>IFERROR(__xludf.DUMMYFUNCTION("GOOGLETRANSLATE(B337, ""en"", ""hi"")"),"काले के पास f8 पर एक किश्ती और f6 पर एक मोहरा है। सफ़ेद के पास g5 पर एक रानी और h3 पर एक बिशप है। सफ़ेद को क्या करना चाहिए?")</f>
        <v>काले के पास f8 पर एक किश्ती और f6 पर एक मोहरा है। सफ़ेद के पास g5 पर एक रानी और h3 पर एक बिशप है। सफ़ेद को क्या करना चाहिए?</v>
      </c>
      <c r="H337" s="5" t="str">
        <f>IFERROR(__xludf.DUMMYFUNCTION("GOOGLETRANSLATE(C337, ""en"", ""hi"")"),"A) काले के हाथी पर हमला करने के लिए रानी का उपयोग करें, B) बिशप को g2 पर ले जाएं, C) रानी की तरफ के प्यादों को धकेलें, D) हमले के लिए रानी और बिशप का समन्वय करें")</f>
        <v>A) काले के हाथी पर हमला करने के लिए रानी का उपयोग करें, B) बिशप को g2 पर ले जाएं, C) रानी की तरफ के प्यादों को धकेलें, D) हमले के लिए रानी और बिशप का समन्वय करें</v>
      </c>
      <c r="I337" s="5" t="str">
        <f>IFERROR(__xludf.DUMMYFUNCTION("GOOGLETRANSLATE(D337, ""en"", ""hi"")"),"D) हमले के लिए रानी और बिशप का समन्वय करें")</f>
        <v>D) हमले के लिए रानी और बिशप का समन्वय करें</v>
      </c>
    </row>
    <row r="338" ht="22.5" customHeight="1">
      <c r="A338" s="2">
        <v>337.0</v>
      </c>
      <c r="B338" s="3" t="s">
        <v>1946</v>
      </c>
      <c r="C338" s="3" t="s">
        <v>1947</v>
      </c>
      <c r="D338" s="3" t="s">
        <v>1948</v>
      </c>
      <c r="F338" s="5" t="str">
        <f>IFERROR(__xludf.DUMMYFUNCTION("GOOGLETRANSLATE(A338, ""en"", ""hi"")"),"337")</f>
        <v>337</v>
      </c>
      <c r="G338" s="5" t="str">
        <f>IFERROR(__xludf.DUMMYFUNCTION("GOOGLETRANSLATE(B338, ""en"", ""hi"")"),"सफ़ेद का एक मोहरा f7 पर है और काले का एक राजा g8 पर और एक किश्ती e8 पर है। जीतने के लिए सफ़ेद को क्या करना चाहिए?")</f>
        <v>सफ़ेद का एक मोहरा f7 पर है और काले का एक राजा g8 पर और एक किश्ती e8 पर है। जीतने के लिए सफ़ेद को क्या करना चाहिए?</v>
      </c>
      <c r="H338" s="5" t="str">
        <f>IFERROR(__xludf.DUMMYFUNCTION("GOOGLETRANSLATE(C338, ""en"", ""hi"")"),"ए) पदोन्नति के लिए मोहरे को f8 पर धकेलें, बी) खतरे पैदा करने के लिए मोहरे का उपयोग करें, सी) मोहरे को अन्य मोहरों के साथ समन्वयित करें, डी) सरलीकरण के लिए मोहरों का आदान-प्रदान करें")</f>
        <v>ए) पदोन्नति के लिए मोहरे को f8 पर धकेलें, बी) खतरे पैदा करने के लिए मोहरे का उपयोग करें, सी) मोहरे को अन्य मोहरों के साथ समन्वयित करें, डी) सरलीकरण के लिए मोहरों का आदान-प्रदान करें</v>
      </c>
      <c r="I338" s="5" t="str">
        <f>IFERROR(__xludf.DUMMYFUNCTION("GOOGLETRANSLATE(D338, ""en"", ""hi"")"),"A) पदोन्नति के लिए मोहरे को f8 पर धकेलें")</f>
        <v>A) पदोन्नति के लिए मोहरे को f8 पर धकेलें</v>
      </c>
    </row>
    <row r="339" ht="22.5" customHeight="1">
      <c r="A339" s="2">
        <v>338.0</v>
      </c>
      <c r="B339" s="3" t="s">
        <v>1949</v>
      </c>
      <c r="C339" s="3" t="s">
        <v>1950</v>
      </c>
      <c r="D339" s="3" t="s">
        <v>1792</v>
      </c>
      <c r="F339" s="5" t="str">
        <f>IFERROR(__xludf.DUMMYFUNCTION("GOOGLETRANSLATE(A339, ""en"", ""hi"")"),"338")</f>
        <v>338</v>
      </c>
      <c r="G339" s="5" t="str">
        <f>IFERROR(__xludf.DUMMYFUNCTION("GOOGLETRANSLATE(B339, ""en"", ""hi"")"),"काले के पास c8 पर एक रानी है और सफ़ेद के पास f1 पर एक किश्ती और d3 पर एक बिशप है। सफ़ेद को क्या करना चाहिए?")</f>
        <v>काले के पास c8 पर एक रानी है और सफ़ेद के पास f1 पर एक किश्ती और d3 पर एक बिशप है। सफ़ेद को क्या करना चाहिए?</v>
      </c>
      <c r="H339" s="5" t="str">
        <f>IFERROR(__xludf.DUMMYFUNCTION("GOOGLETRANSLATE(C339, ""en"", ""hi"")"),"A) काले की रानी पर हमला करने के लिए हाथी का उपयोग करें, B) बिशप को e4 पर ले जाएं, C) हमले के लिए हाथी और बिशप का समन्वय करें, D) रानी की ओर के प्यादों को धकेलें")</f>
        <v>A) काले की रानी पर हमला करने के लिए हाथी का उपयोग करें, B) बिशप को e4 पर ले जाएं, C) हमले के लिए हाथी और बिशप का समन्वय करें, D) रानी की ओर के प्यादों को धकेलें</v>
      </c>
      <c r="I339" s="5" t="str">
        <f>IFERROR(__xludf.DUMMYFUNCTION("GOOGLETRANSLATE(D339, ""en"", ""hi"")"),"C) आक्रमण के लिए रूक और बिशप का समन्वय करें")</f>
        <v>C) आक्रमण के लिए रूक और बिशप का समन्वय करें</v>
      </c>
    </row>
    <row r="340" ht="22.5" customHeight="1">
      <c r="A340" s="2">
        <v>339.0</v>
      </c>
      <c r="B340" s="3" t="s">
        <v>1951</v>
      </c>
      <c r="C340" s="3" t="s">
        <v>1952</v>
      </c>
      <c r="D340" s="3" t="s">
        <v>1846</v>
      </c>
      <c r="F340" s="5" t="str">
        <f>IFERROR(__xludf.DUMMYFUNCTION("GOOGLETRANSLATE(A340, ""en"", ""hi"")"),"339")</f>
        <v>339</v>
      </c>
      <c r="G340" s="5" t="str">
        <f>IFERROR(__xludf.DUMMYFUNCTION("GOOGLETRANSLATE(B340, ""en"", ""hi"")"),"सफ़ेद के पास h1 पर एक किश्ती है और काले के पास e5 पर एक घोड़ा और f6 पर एक मोहरा है। सफ़ेद को क्या करना चाहिए?")</f>
        <v>सफ़ेद के पास h1 पर एक किश्ती है और काले के पास e5 पर एक घोड़ा और f6 पर एक मोहरा है। सफ़ेद को क्या करना चाहिए?</v>
      </c>
      <c r="H340" s="5" t="str">
        <f>IFERROR(__xludf.DUMMYFUNCTION("GOOGLETRANSLATE(C340, ""en"", ""hi"")"),"A) काले घोड़े पर हमला करने के लिए हाथी का उपयोग करें, B) हाथी को g1 पर ले जाएं, C) रानी की तरफ के मोहरों को धकेलें, D) हमले के लिए हाथी को अन्य मोहरों के साथ समन्वयित करें")</f>
        <v>A) काले घोड़े पर हमला करने के लिए हाथी का उपयोग करें, B) हाथी को g1 पर ले जाएं, C) रानी की तरफ के मोहरों को धकेलें, D) हमले के लिए हाथी को अन्य मोहरों के साथ समन्वयित करें</v>
      </c>
      <c r="I340" s="5" t="str">
        <f>IFERROR(__xludf.DUMMYFUNCTION("GOOGLETRANSLATE(D340, ""en"", ""hi"")"),"A) काले घोड़े पर हमला करने के लिए हाथी का उपयोग करें")</f>
        <v>A) काले घोड़े पर हमला करने के लिए हाथी का उपयोग करें</v>
      </c>
    </row>
    <row r="341" ht="22.5" customHeight="1">
      <c r="A341" s="2">
        <v>340.0</v>
      </c>
      <c r="B341" s="3" t="s">
        <v>1953</v>
      </c>
      <c r="C341" s="3" t="s">
        <v>1954</v>
      </c>
      <c r="D341" s="3" t="s">
        <v>1955</v>
      </c>
      <c r="F341" s="5" t="str">
        <f>IFERROR(__xludf.DUMMYFUNCTION("GOOGLETRANSLATE(A341, ""en"", ""hi"")"),"340")</f>
        <v>340</v>
      </c>
      <c r="G341" s="5" t="str">
        <f>IFERROR(__xludf.DUMMYFUNCTION("GOOGLETRANSLATE(B341, ""en"", ""hi"")"),"काले के पास a4 पर एक मोहरा है और सफ़ेद के पास d1 पर एक रानी और a1 पर एक किश्ती है। सफ़ेद को क्या करना चाहिए?")</f>
        <v>काले के पास a4 पर एक मोहरा है और सफ़ेद के पास d1 पर एक रानी और a1 पर एक किश्ती है। सफ़ेद को क्या करना चाहिए?</v>
      </c>
      <c r="H341" s="5" t="str">
        <f>IFERROR(__xludf.DUMMYFUNCTION("GOOGLETRANSLATE(C341, ""en"", ""hi"")"),"क) काले के मोहरे पर हमला करने के लिए रानी का उपयोग करें, ख) किश्ती को b1 पर ले जाएं, ग) मोहरों को राजा की ओर धकेलें, घ) हमले के लिए रानी और किश्ती का समन्वय करें")</f>
        <v>क) काले के मोहरे पर हमला करने के लिए रानी का उपयोग करें, ख) किश्ती को b1 पर ले जाएं, ग) मोहरों को राजा की ओर धकेलें, घ) हमले के लिए रानी और किश्ती का समन्वय करें</v>
      </c>
      <c r="I341" s="5" t="str">
        <f>IFERROR(__xludf.DUMMYFUNCTION("GOOGLETRANSLATE(D341, ""en"", ""hi"")"),"A) रानी का उपयोग काले के मोहरे पर हमला करने के लिए करें")</f>
        <v>A) रानी का उपयोग काले के मोहरे पर हमला करने के लिए करें</v>
      </c>
    </row>
    <row r="342" ht="22.5" customHeight="1">
      <c r="A342" s="2">
        <v>341.0</v>
      </c>
      <c r="B342" s="3" t="s">
        <v>1956</v>
      </c>
      <c r="C342" s="3" t="s">
        <v>1957</v>
      </c>
      <c r="D342" s="3" t="s">
        <v>1958</v>
      </c>
      <c r="F342" s="5" t="str">
        <f>IFERROR(__xludf.DUMMYFUNCTION("GOOGLETRANSLATE(A342, ""en"", ""hi"")"),"341")</f>
        <v>341</v>
      </c>
      <c r="G342" s="5" t="str">
        <f>IFERROR(__xludf.DUMMYFUNCTION("GOOGLETRANSLATE(B342, ""en"", ""hi"")"),"सफ़ेद के पास c3 पर एक रानी और e1 पर एक किश्ती है। काले के पास d4 पर एक मोहरा और g8 पर एक राजा है। सफ़ेद को क्या करना चाहिए?")</f>
        <v>सफ़ेद के पास c3 पर एक रानी और e1 पर एक किश्ती है। काले के पास d4 पर एक मोहरा और g8 पर एक राजा है। सफ़ेद को क्या करना चाहिए?</v>
      </c>
      <c r="H342" s="5" t="str">
        <f>IFERROR(__xludf.DUMMYFUNCTION("GOOGLETRANSLATE(C342, ""en"", ""hi"")"),"A) d4 पर काले के मोहरे पर हमला करने के लिए रानी का उपयोग करें, B) किश्ती को e4 पर ले जाएं, C) रानी की ओर के मोहरों को धकेलें, D) हमले के लिए रानी और किश्ती का समन्वय करें")</f>
        <v>A) d4 पर काले के मोहरे पर हमला करने के लिए रानी का उपयोग करें, B) किश्ती को e4 पर ले जाएं, C) रानी की ओर के मोहरों को धकेलें, D) हमले के लिए रानी और किश्ती का समन्वय करें</v>
      </c>
      <c r="I342" s="5" t="str">
        <f>IFERROR(__xludf.DUMMYFUNCTION("GOOGLETRANSLATE(D342, ""en"", ""hi"")"),"A) d4 पर काले के मोहरे पर हमला करने के लिए रानी का उपयोग करें")</f>
        <v>A) d4 पर काले के मोहरे पर हमला करने के लिए रानी का उपयोग करें</v>
      </c>
    </row>
    <row r="343" ht="22.5" customHeight="1">
      <c r="A343" s="2">
        <v>342.0</v>
      </c>
      <c r="B343" s="3" t="s">
        <v>1959</v>
      </c>
      <c r="C343" s="3" t="s">
        <v>1960</v>
      </c>
      <c r="D343" s="3" t="s">
        <v>1961</v>
      </c>
      <c r="F343" s="5" t="str">
        <f>IFERROR(__xludf.DUMMYFUNCTION("GOOGLETRANSLATE(A343, ""en"", ""hi"")"),"342")</f>
        <v>342</v>
      </c>
      <c r="G343" s="5" t="str">
        <f>IFERROR(__xludf.DUMMYFUNCTION("GOOGLETRANSLATE(B343, ""en"", ""hi"")"),"काले के पास e4 पर एक बिशप है और सफ़ेद के पास f1 पर एक किश्ती और f5 पर एक प्यादा है। सफ़ेद को क्या करना चाहिए?")</f>
        <v>काले के पास e4 पर एक बिशप है और सफ़ेद के पास f1 पर एक किश्ती और f5 पर एक प्यादा है। सफ़ेद को क्या करना चाहिए?</v>
      </c>
      <c r="H343" s="5" t="str">
        <f>IFERROR(__xludf.DUMMYFUNCTION("GOOGLETRANSLATE(C343, ""en"", ""hi"")"),"A) मोहरे को f6 पर धकेलें, B) काले के बिशप पर हमला करने के लिए किश्ती का उपयोग करें, C) हमले के लिए किश्ती और मोहरे का समन्वय करें, D) किश्ती को f2 पर ले जाएं")</f>
        <v>A) मोहरे को f6 पर धकेलें, B) काले के बिशप पर हमला करने के लिए किश्ती का उपयोग करें, C) हमले के लिए किश्ती और मोहरे का समन्वय करें, D) किश्ती को f2 पर ले जाएं</v>
      </c>
      <c r="I343" s="5" t="str">
        <f>IFERROR(__xludf.DUMMYFUNCTION("GOOGLETRANSLATE(D343, ""en"", ""hi"")"),"A) मोहरे को f6 पर धकेलें")</f>
        <v>A) मोहरे को f6 पर धकेलें</v>
      </c>
    </row>
    <row r="344" ht="22.5" customHeight="1">
      <c r="A344" s="2">
        <v>343.0</v>
      </c>
      <c r="B344" s="3" t="s">
        <v>1962</v>
      </c>
      <c r="C344" s="3" t="s">
        <v>1963</v>
      </c>
      <c r="D344" s="3" t="s">
        <v>1926</v>
      </c>
      <c r="F344" s="5" t="str">
        <f>IFERROR(__xludf.DUMMYFUNCTION("GOOGLETRANSLATE(A344, ""en"", ""hi"")"),"343")</f>
        <v>343</v>
      </c>
      <c r="G344" s="5" t="str">
        <f>IFERROR(__xludf.DUMMYFUNCTION("GOOGLETRANSLATE(B344, ""en"", ""hi"")"),"सफ़ेद के पास f3 पर एक घोड़ा और g7 पर एक मोहरा है। काले के पास d8 पर एक रानी और e8 पर एक किश्ती है। सफ़ेद को क्या करना चाहिए?")</f>
        <v>सफ़ेद के पास f3 पर एक घोड़ा और g7 पर एक मोहरा है। काले के पास d8 पर एक रानी और e8 पर एक किश्ती है। सफ़ेद को क्या करना चाहिए?</v>
      </c>
      <c r="H344" s="5" t="str">
        <f>IFERROR(__xludf.DUMMYFUNCTION("GOOGLETRANSLATE(C344, ""en"", ""hi"")"),"A) पदोन्नति के लिए मोहरे को g8 पर धकेलें, B) काले के हाथी पर हमला करने के लिए घोड़े का उपयोग करें, C) हमले के लिए घोड़े और मोहरे का समन्वय करें, D) घोड़े को e1 पर ले जाएं")</f>
        <v>A) पदोन्नति के लिए मोहरे को g8 पर धकेलें, B) काले के हाथी पर हमला करने के लिए घोड़े का उपयोग करें, C) हमले के लिए घोड़े और मोहरे का समन्वय करें, D) घोड़े को e1 पर ले जाएं</v>
      </c>
      <c r="I344" s="5" t="str">
        <f>IFERROR(__xludf.DUMMYFUNCTION("GOOGLETRANSLATE(D344, ""en"", ""hi"")"),"A) पदोन्नति के लिए मोहरे को g8 की ओर धकेलें")</f>
        <v>A) पदोन्नति के लिए मोहरे को g8 की ओर धकेलें</v>
      </c>
    </row>
    <row r="345" ht="22.5" customHeight="1">
      <c r="A345" s="2">
        <v>344.0</v>
      </c>
      <c r="B345" s="3" t="s">
        <v>1964</v>
      </c>
      <c r="C345" s="3" t="s">
        <v>1965</v>
      </c>
      <c r="D345" s="3" t="s">
        <v>1961</v>
      </c>
      <c r="F345" s="5" t="str">
        <f>IFERROR(__xludf.DUMMYFUNCTION("GOOGLETRANSLATE(A345, ""en"", ""hi"")"),"344")</f>
        <v>344</v>
      </c>
      <c r="G345" s="5" t="str">
        <f>IFERROR(__xludf.DUMMYFUNCTION("GOOGLETRANSLATE(B345, ""en"", ""hi"")"),"काले के पास h6 पर एक रानी है और सफ़ेद के पास f1 पर एक किश्ती और f5 पर एक मोहरा है। सफ़ेद को क्या करना चाहिए?")</f>
        <v>काले के पास h6 पर एक रानी है और सफ़ेद के पास f1 पर एक किश्ती और f5 पर एक मोहरा है। सफ़ेद को क्या करना चाहिए?</v>
      </c>
      <c r="H345" s="5" t="str">
        <f>IFERROR(__xludf.DUMMYFUNCTION("GOOGLETRANSLATE(C345, ""en"", ""hi"")"),"A) मोहरे को f6 पर धकेलें, B) काले की रानी पर हमला करने के लिए हाथी का उपयोग करें, C) हमले के लिए हाथी और मोहरे का समन्वय करें, D) हाथी को f2 पर ले जाएं")</f>
        <v>A) मोहरे को f6 पर धकेलें, B) काले की रानी पर हमला करने के लिए हाथी का उपयोग करें, C) हमले के लिए हाथी और मोहरे का समन्वय करें, D) हाथी को f2 पर ले जाएं</v>
      </c>
      <c r="I345" s="5" t="str">
        <f>IFERROR(__xludf.DUMMYFUNCTION("GOOGLETRANSLATE(D345, ""en"", ""hi"")"),"A) मोहरे को f6 पर धकेलें")</f>
        <v>A) मोहरे को f6 पर धकेलें</v>
      </c>
    </row>
    <row r="346" ht="22.5" customHeight="1">
      <c r="A346" s="2">
        <v>345.0</v>
      </c>
      <c r="B346" s="3" t="s">
        <v>1966</v>
      </c>
      <c r="C346" s="3" t="s">
        <v>1967</v>
      </c>
      <c r="D346" s="3" t="s">
        <v>1968</v>
      </c>
      <c r="F346" s="5" t="str">
        <f>IFERROR(__xludf.DUMMYFUNCTION("GOOGLETRANSLATE(A346, ""en"", ""hi"")"),"345")</f>
        <v>345</v>
      </c>
      <c r="G346" s="5" t="str">
        <f>IFERROR(__xludf.DUMMYFUNCTION("GOOGLETRANSLATE(B346, ""en"", ""hi"")"),"सफ़ेद के पास f4 पर एक बिशप और e5 पर एक मोहरा है। काले के पास a8 पर एक किश्ती और d6 पर एक मोहरा है। सफ़ेद को क्या करना चाहिए?")</f>
        <v>सफ़ेद के पास f4 पर एक बिशप और e5 पर एक मोहरा है। काले के पास a8 पर एक किश्ती और d6 पर एक मोहरा है। सफ़ेद को क्या करना चाहिए?</v>
      </c>
      <c r="H346" s="5" t="str">
        <f>IFERROR(__xludf.DUMMYFUNCTION("GOOGLETRANSLATE(C346, ""en"", ""hi"")"),"ए) डी6 पर काले के मोहरे पर हमला करने के लिए बिशप का उपयोग करें, बी) मोहरे को ई6 पर ले जाएं, सी) हमले के लिए बिशप और मोहरे का समन्वय करें, डी) मोहरों को रानी की तरफ धकेलें")</f>
        <v>ए) डी6 पर काले के मोहरे पर हमला करने के लिए बिशप का उपयोग करें, बी) मोहरे को ई6 पर ले जाएं, सी) हमले के लिए बिशप और मोहरे का समन्वय करें, डी) मोहरों को रानी की तरफ धकेलें</v>
      </c>
      <c r="I346" s="5" t="str">
        <f>IFERROR(__xludf.DUMMYFUNCTION("GOOGLETRANSLATE(D346, ""en"", ""hi"")"),"A) d6 पर काले के मोहरे पर हमला करने के लिए बिशप का उपयोग करें")</f>
        <v>A) d6 पर काले के मोहरे पर हमला करने के लिए बिशप का उपयोग करें</v>
      </c>
    </row>
    <row r="347" ht="22.5" customHeight="1">
      <c r="A347" s="2">
        <v>346.0</v>
      </c>
      <c r="B347" s="3" t="s">
        <v>1969</v>
      </c>
      <c r="C347" s="3" t="s">
        <v>1970</v>
      </c>
      <c r="D347" s="3" t="s">
        <v>1926</v>
      </c>
      <c r="F347" s="5" t="str">
        <f>IFERROR(__xludf.DUMMYFUNCTION("GOOGLETRANSLATE(A347, ""en"", ""hi"")"),"346")</f>
        <v>346</v>
      </c>
      <c r="G347" s="5" t="str">
        <f>IFERROR(__xludf.DUMMYFUNCTION("GOOGLETRANSLATE(B347, ""en"", ""hi"")"),"काले के पास g8 पर एक किश्ती और f6 पर एक घोड़ा है। सफेद के पास d1 पर एक रानी और g7 पर एक मोहरा है। सफेद को क्या करना चाहिए?")</f>
        <v>काले के पास g8 पर एक किश्ती और f6 पर एक घोड़ा है। सफेद के पास d1 पर एक रानी और g7 पर एक मोहरा है। सफेद को क्या करना चाहिए?</v>
      </c>
      <c r="H347" s="5" t="str">
        <f>IFERROR(__xludf.DUMMYFUNCTION("GOOGLETRANSLATE(C347, ""en"", ""hi"")"),"A) पदोन्नति के लिए मोहरे को g8 पर धकेलें, B) काले घोड़े पर हमला करने के लिए रानी का उपयोग करें, C) हमले के लिए रानी और मोहरे का समन्वय करें, D) रानी को e2 पर ले जाएं")</f>
        <v>A) पदोन्नति के लिए मोहरे को g8 पर धकेलें, B) काले घोड़े पर हमला करने के लिए रानी का उपयोग करें, C) हमले के लिए रानी और मोहरे का समन्वय करें, D) रानी को e2 पर ले जाएं</v>
      </c>
      <c r="I347" s="5" t="str">
        <f>IFERROR(__xludf.DUMMYFUNCTION("GOOGLETRANSLATE(D347, ""en"", ""hi"")"),"A) पदोन्नति के लिए मोहरे को g8 की ओर धकेलें")</f>
        <v>A) पदोन्नति के लिए मोहरे को g8 की ओर धकेलें</v>
      </c>
    </row>
    <row r="348" ht="22.5" customHeight="1">
      <c r="A348" s="2">
        <v>347.0</v>
      </c>
      <c r="B348" s="3" t="s">
        <v>1971</v>
      </c>
      <c r="C348" s="3" t="s">
        <v>1972</v>
      </c>
      <c r="D348" s="3" t="s">
        <v>1958</v>
      </c>
      <c r="F348" s="5" t="str">
        <f>IFERROR(__xludf.DUMMYFUNCTION("GOOGLETRANSLATE(A348, ""en"", ""hi"")"),"347")</f>
        <v>347</v>
      </c>
      <c r="G348" s="5" t="str">
        <f>IFERROR(__xludf.DUMMYFUNCTION("GOOGLETRANSLATE(B348, ""en"", ""hi"")"),"सफ़ेद के पास h3 पर एक रानी और e4 पर एक बिशप है। काले के पास d4 पर एक मोहरा और a8 पर एक किश्ती है। सफ़ेद को क्या करना चाहिए?")</f>
        <v>सफ़ेद के पास h3 पर एक रानी और e4 पर एक बिशप है। काले के पास d4 पर एक मोहरा और a8 पर एक किश्ती है। सफ़ेद को क्या करना चाहिए?</v>
      </c>
      <c r="H348" s="5" t="str">
        <f>IFERROR(__xludf.DUMMYFUNCTION("GOOGLETRANSLATE(C348, ""en"", ""hi"")"),"A) d4 पर काले के मोहरे पर हमला करने के लिए रानी का उपयोग करें, B) बिशप को f3 पर ले जाएं, C) रानी की तरफ के मोहरों को धकेलें, D) हमले के लिए रानी और बिशप का समन्वय करें")</f>
        <v>A) d4 पर काले के मोहरे पर हमला करने के लिए रानी का उपयोग करें, B) बिशप को f3 पर ले जाएं, C) रानी की तरफ के मोहरों को धकेलें, D) हमले के लिए रानी और बिशप का समन्वय करें</v>
      </c>
      <c r="I348" s="5" t="str">
        <f>IFERROR(__xludf.DUMMYFUNCTION("GOOGLETRANSLATE(D348, ""en"", ""hi"")"),"A) d4 पर काले के मोहरे पर हमला करने के लिए रानी का उपयोग करें")</f>
        <v>A) d4 पर काले के मोहरे पर हमला करने के लिए रानी का उपयोग करें</v>
      </c>
    </row>
    <row r="349" ht="22.5" customHeight="1">
      <c r="A349" s="2">
        <v>348.0</v>
      </c>
      <c r="B349" s="3" t="s">
        <v>1973</v>
      </c>
      <c r="C349" s="3" t="s">
        <v>1974</v>
      </c>
      <c r="D349" s="3" t="s">
        <v>1975</v>
      </c>
      <c r="F349" s="5" t="str">
        <f>IFERROR(__xludf.DUMMYFUNCTION("GOOGLETRANSLATE(A349, ""en"", ""hi"")"),"348")</f>
        <v>348</v>
      </c>
      <c r="G349" s="5" t="str">
        <f>IFERROR(__xludf.DUMMYFUNCTION("GOOGLETRANSLATE(B349, ""en"", ""hi"")"),"काले के पास e4 पर एक मोहरा है और सफ़ेद के पास f1 पर एक किश्ती और e3 पर एक बिशप है। सफ़ेद को क्या करना चाहिए?")</f>
        <v>काले के पास e4 पर एक मोहरा है और सफ़ेद के पास f1 पर एक किश्ती और e3 पर एक बिशप है। सफ़ेद को क्या करना चाहिए?</v>
      </c>
      <c r="H349" s="5" t="str">
        <f>IFERROR(__xludf.DUMMYFUNCTION("GOOGLETRANSLATE(C349, ""en"", ""hi"")"),"A) e4 पर काले के मोहरे पर हमला करने के लिए किश्ती का उपयोग करें, B) बिशप को f2 पर ले जाएं, C) रानी की ओर के मोहरों को धकेलें, D) हमले के लिए किश्ती और बिशप का समन्वय करें")</f>
        <v>A) e4 पर काले के मोहरे पर हमला करने के लिए किश्ती का उपयोग करें, B) बिशप को f2 पर ले जाएं, C) रानी की ओर के मोहरों को धकेलें, D) हमले के लिए किश्ती और बिशप का समन्वय करें</v>
      </c>
      <c r="I349" s="5" t="str">
        <f>IFERROR(__xludf.DUMMYFUNCTION("GOOGLETRANSLATE(D349, ""en"", ""hi"")"),"A) e4 पर काले के मोहरे पर हमला करने के लिए हाथी का उपयोग करें")</f>
        <v>A) e4 पर काले के मोहरे पर हमला करने के लिए हाथी का उपयोग करें</v>
      </c>
    </row>
    <row r="350" ht="22.5" customHeight="1">
      <c r="A350" s="2">
        <v>349.0</v>
      </c>
      <c r="B350" s="3" t="s">
        <v>1976</v>
      </c>
      <c r="C350" s="3" t="s">
        <v>1977</v>
      </c>
      <c r="D350" s="3" t="s">
        <v>1978</v>
      </c>
      <c r="F350" s="5" t="str">
        <f>IFERROR(__xludf.DUMMYFUNCTION("GOOGLETRANSLATE(A350, ""en"", ""hi"")"),"349")</f>
        <v>349</v>
      </c>
      <c r="G350" s="5" t="str">
        <f>IFERROR(__xludf.DUMMYFUNCTION("GOOGLETRANSLATE(B350, ""en"", ""hi"")"),"सफ़ेद के पास a7 पर एक मोहरा है, काले के पास b8 पर एक किश्ती और g8 पर एक राजा है। सफ़ेद को क्या करना चाहिए?")</f>
        <v>सफ़ेद के पास a7 पर एक मोहरा है, काले के पास b8 पर एक किश्ती और g8 पर एक राजा है। सफ़ेद को क्या करना चाहिए?</v>
      </c>
      <c r="H350" s="5" t="str">
        <f>IFERROR(__xludf.DUMMYFUNCTION("GOOGLETRANSLATE(C350, ""en"", ""hi"")"),"क) पदोन्नति के लिए मोहरे को a8 पर धकेलें, ख) खतरे पैदा करने के लिए मोहरे का उपयोग करें, ग) मोहरे को अन्य मोहरों के साथ समन्वयित करें, घ) सरलीकरण के लिए मोहरों का आदान-प्रदान करें")</f>
        <v>क) पदोन्नति के लिए मोहरे को a8 पर धकेलें, ख) खतरे पैदा करने के लिए मोहरे का उपयोग करें, ग) मोहरे को अन्य मोहरों के साथ समन्वयित करें, घ) सरलीकरण के लिए मोहरों का आदान-प्रदान करें</v>
      </c>
      <c r="I350" s="5" t="str">
        <f>IFERROR(__xludf.DUMMYFUNCTION("GOOGLETRANSLATE(D350, ""en"", ""hi"")"),"A) पदोन्नति के लिए मोहरे को a8 पर धकेलें")</f>
        <v>A) पदोन्नति के लिए मोहरे को a8 पर धकेलें</v>
      </c>
    </row>
    <row r="351" ht="22.5" customHeight="1">
      <c r="A351" s="2">
        <v>350.0</v>
      </c>
      <c r="B351" s="3" t="s">
        <v>1979</v>
      </c>
      <c r="C351" s="3" t="s">
        <v>1980</v>
      </c>
      <c r="D351" s="3" t="s">
        <v>1981</v>
      </c>
      <c r="F351" s="5" t="str">
        <f>IFERROR(__xludf.DUMMYFUNCTION("GOOGLETRANSLATE(A351, ""en"", ""hi"")"),"350")</f>
        <v>350</v>
      </c>
      <c r="G351" s="5" t="str">
        <f>IFERROR(__xludf.DUMMYFUNCTION("GOOGLETRANSLATE(B351, ""en"", ""hi"")"),"काले के पास e5 पर एक रानी है और सफ़ेद के पास f1 पर एक किश्ती और f6 पर एक मोहरा है। सफ़ेद को क्या करना चाहिए?")</f>
        <v>काले के पास e5 पर एक रानी है और सफ़ेद के पास f1 पर एक किश्ती और f6 पर एक मोहरा है। सफ़ेद को क्या करना चाहिए?</v>
      </c>
      <c r="H351" s="5" t="str">
        <f>IFERROR(__xludf.DUMMYFUNCTION("GOOGLETRANSLATE(C351, ""en"", ""hi"")"),"A) मोहरे को f7 पर धकेलें, B) काले की रानी पर हमला करने के लिए हाथी का उपयोग करें, C) हमले के लिए हाथी और मोहरे का समन्वय करें, D) हाथी को f2 पर ले जाएं")</f>
        <v>A) मोहरे को f7 पर धकेलें, B) काले की रानी पर हमला करने के लिए हाथी का उपयोग करें, C) हमले के लिए हाथी और मोहरे का समन्वय करें, D) हाथी को f2 पर ले जाएं</v>
      </c>
      <c r="I351" s="5" t="str">
        <f>IFERROR(__xludf.DUMMYFUNCTION("GOOGLETRANSLATE(D351, ""en"", ""hi"")"),"A) मोहरे को f7 पर धकेलें")</f>
        <v>A) मोहरे को f7 पर धकेलें</v>
      </c>
    </row>
    <row r="352" ht="22.5" customHeight="1">
      <c r="A352" s="2">
        <v>351.0</v>
      </c>
      <c r="B352" s="3" t="s">
        <v>1982</v>
      </c>
      <c r="C352" s="3" t="s">
        <v>1983</v>
      </c>
      <c r="D352" s="3" t="s">
        <v>1978</v>
      </c>
      <c r="F352" s="5" t="str">
        <f>IFERROR(__xludf.DUMMYFUNCTION("GOOGLETRANSLATE(A352, ""en"", ""hi"")"),"351")</f>
        <v>351</v>
      </c>
      <c r="G352" s="5" t="str">
        <f>IFERROR(__xludf.DUMMYFUNCTION("GOOGLETRANSLATE(B352, ""en"", ""hi"")"),"सफ़ेद के पास a1 पर एक किश्ती और a7 पर एक मोहरा है। काले के पास c5 पर एक घोड़ा और g8 पर एक राजा है। सफ़ेद को क्या करना चाहिए?")</f>
        <v>सफ़ेद के पास a1 पर एक किश्ती और a7 पर एक मोहरा है। काले के पास c5 पर एक घोड़ा और g8 पर एक राजा है। सफ़ेद को क्या करना चाहिए?</v>
      </c>
      <c r="H352" s="5" t="str">
        <f>IFERROR(__xludf.DUMMYFUNCTION("GOOGLETRANSLATE(C352, ""en"", ""hi"")"),"A) पदोन्नति के लिए मोहरे को a8 पर धकेलें, B) काले घोड़े पर हमला करने के लिए किश्ती का उपयोग करें, C) हमले के लिए किश्ती और मोहरे का समन्वय करें, D) किश्ती को a3 पर ले जाएं")</f>
        <v>A) पदोन्नति के लिए मोहरे को a8 पर धकेलें, B) काले घोड़े पर हमला करने के लिए किश्ती का उपयोग करें, C) हमले के लिए किश्ती और मोहरे का समन्वय करें, D) किश्ती को a3 पर ले जाएं</v>
      </c>
      <c r="I352" s="5" t="str">
        <f>IFERROR(__xludf.DUMMYFUNCTION("GOOGLETRANSLATE(D352, ""en"", ""hi"")"),"A) पदोन्नति के लिए मोहरे को a8 पर धकेलें")</f>
        <v>A) पदोन्नति के लिए मोहरे को a8 पर धकेलें</v>
      </c>
    </row>
    <row r="353" ht="22.5" customHeight="1">
      <c r="A353" s="2">
        <v>352.0</v>
      </c>
      <c r="B353" s="3" t="s">
        <v>1984</v>
      </c>
      <c r="C353" s="3" t="s">
        <v>1985</v>
      </c>
      <c r="D353" s="3" t="s">
        <v>1986</v>
      </c>
      <c r="F353" s="5" t="str">
        <f>IFERROR(__xludf.DUMMYFUNCTION("GOOGLETRANSLATE(A353, ""en"", ""hi"")"),"352")</f>
        <v>352</v>
      </c>
      <c r="G353" s="5" t="str">
        <f>IFERROR(__xludf.DUMMYFUNCTION("GOOGLETRANSLATE(B353, ""en"", ""hi"")"),"काले के पास d4 पर एक बिशप और f6 पर एक मोहरा है। सफेद के पास d1 पर एक रानी और h1 पर एक किश्ती है। सफेद को क्या करना चाहिए?")</f>
        <v>काले के पास d4 पर एक बिशप और f6 पर एक मोहरा है। सफेद के पास d1 पर एक रानी और h1 पर एक किश्ती है। सफेद को क्या करना चाहिए?</v>
      </c>
      <c r="H353" s="5" t="str">
        <f>IFERROR(__xludf.DUMMYFUNCTION("GOOGLETRANSLATE(C353, ""en"", ""hi"")"),"A) काले के बिशप पर हमला करने के लिए रानी का उपयोग करें, B) हाथी को g1 पर ले जाएं, C) रानी की तरफ के प्यादों को धकेलें, D) हमले के लिए रानी और हाथी का समन्वय करें")</f>
        <v>A) काले के बिशप पर हमला करने के लिए रानी का उपयोग करें, B) हाथी को g1 पर ले जाएं, C) रानी की तरफ के प्यादों को धकेलें, D) हमले के लिए रानी और हाथी का समन्वय करें</v>
      </c>
      <c r="I353" s="5" t="str">
        <f>IFERROR(__xludf.DUMMYFUNCTION("GOOGLETRANSLATE(D353, ""en"", ""hi"")"),"A) काले रंग के बिशप पर हमला करने के लिए रानी का उपयोग करें")</f>
        <v>A) काले रंग के बिशप पर हमला करने के लिए रानी का उपयोग करें</v>
      </c>
    </row>
    <row r="354" ht="22.5" customHeight="1">
      <c r="A354" s="2">
        <v>353.0</v>
      </c>
      <c r="B354" s="3" t="s">
        <v>1987</v>
      </c>
      <c r="C354" s="3" t="s">
        <v>1988</v>
      </c>
      <c r="D354" s="3" t="s">
        <v>1926</v>
      </c>
      <c r="F354" s="5" t="str">
        <f>IFERROR(__xludf.DUMMYFUNCTION("GOOGLETRANSLATE(A354, ""en"", ""hi"")"),"353")</f>
        <v>353</v>
      </c>
      <c r="G354" s="5" t="str">
        <f>IFERROR(__xludf.DUMMYFUNCTION("GOOGLETRANSLATE(B354, ""en"", ""hi"")"),"सफ़ेद के पास g6 पर एक रानी है और काले के पास f8 पर एक किश्ती और g7 पर एक मोहरा है। सफ़ेद को क्या करना चाहिए?")</f>
        <v>सफ़ेद के पास g6 पर एक रानी है और काले के पास f8 पर एक किश्ती और g7 पर एक मोहरा है। सफ़ेद को क्या करना चाहिए?</v>
      </c>
      <c r="H354" s="5" t="str">
        <f>IFERROR(__xludf.DUMMYFUNCTION("GOOGLETRANSLATE(C354, ""en"", ""hi"")"),"A) पदोन्नति के लिए मोहरे को g8 पर धकेलें, B) काले के हाथी पर हमला करने के लिए रानी का उपयोग करें, C) हमले के लिए रानी और मोहरे का समन्वय करें, D) रानी को e4 पर ले जाएं")</f>
        <v>A) पदोन्नति के लिए मोहरे को g8 पर धकेलें, B) काले के हाथी पर हमला करने के लिए रानी का उपयोग करें, C) हमले के लिए रानी और मोहरे का समन्वय करें, D) रानी को e4 पर ले जाएं</v>
      </c>
      <c r="I354" s="5" t="str">
        <f>IFERROR(__xludf.DUMMYFUNCTION("GOOGLETRANSLATE(D354, ""en"", ""hi"")"),"A) पदोन्नति के लिए मोहरे को g8 की ओर धकेलें")</f>
        <v>A) पदोन्नति के लिए मोहरे को g8 की ओर धकेलें</v>
      </c>
    </row>
    <row r="355" ht="22.5" customHeight="1">
      <c r="A355" s="2">
        <v>354.0</v>
      </c>
      <c r="B355" s="3" t="s">
        <v>1989</v>
      </c>
      <c r="C355" s="3" t="s">
        <v>1990</v>
      </c>
      <c r="D355" s="3" t="s">
        <v>1991</v>
      </c>
      <c r="F355" s="5" t="str">
        <f>IFERROR(__xludf.DUMMYFUNCTION("GOOGLETRANSLATE(A355, ""en"", ""hi"")"),"354")</f>
        <v>354</v>
      </c>
      <c r="G355" s="5" t="str">
        <f>IFERROR(__xludf.DUMMYFUNCTION("GOOGLETRANSLATE(B355, ""en"", ""hi"")"),"काले के पास d7 पर एक रानी है और सफेद के पास a1 पर एक किश्ती और e4 पर एक बिशप है। सफेद को क्या करना चाहिए?")</f>
        <v>काले के पास d7 पर एक रानी है और सफेद के पास a1 पर एक किश्ती और e4 पर एक बिशप है। सफेद को क्या करना चाहिए?</v>
      </c>
      <c r="H355" s="5" t="str">
        <f>IFERROR(__xludf.DUMMYFUNCTION("GOOGLETRANSLATE(C355, ""en"", ""hi"")"),"A) काले की रानी पर हमला करने के लिए हाथी का उपयोग करें, B) बिशप को f3 पर ले जाएं, C) रानी की तरफ के प्यादों को धकेलें, D) हमले के लिए हाथी और बिशप का समन्वय करें")</f>
        <v>A) काले की रानी पर हमला करने के लिए हाथी का उपयोग करें, B) बिशप को f3 पर ले जाएं, C) रानी की तरफ के प्यादों को धकेलें, D) हमले के लिए हाथी और बिशप का समन्वय करें</v>
      </c>
      <c r="I355" s="5" t="str">
        <f>IFERROR(__xludf.DUMMYFUNCTION("GOOGLETRANSLATE(D355, ""en"", ""hi"")"),"D) हमले के लिए रूक और बिशप का समन्वय करें")</f>
        <v>D) हमले के लिए रूक और बिशप का समन्वय करें</v>
      </c>
    </row>
    <row r="356" ht="22.5" customHeight="1">
      <c r="A356" s="2">
        <v>355.0</v>
      </c>
      <c r="B356" s="3" t="s">
        <v>1992</v>
      </c>
      <c r="C356" s="3" t="s">
        <v>1993</v>
      </c>
      <c r="D356" s="3" t="s">
        <v>1920</v>
      </c>
      <c r="F356" s="5" t="str">
        <f>IFERROR(__xludf.DUMMYFUNCTION("GOOGLETRANSLATE(A356, ""en"", ""hi"")"),"355")</f>
        <v>355</v>
      </c>
      <c r="G356" s="5" t="str">
        <f>IFERROR(__xludf.DUMMYFUNCTION("GOOGLETRANSLATE(B356, ""en"", ""hi"")"),"सफ़ेद के पास g5 पर एक घोड़ा है और काले के पास f6 पर एक मोहरा और d8 पर एक रानी है। सफ़ेद को क्या करना चाहिए?")</f>
        <v>सफ़ेद के पास g5 पर एक घोड़ा है और काले के पास f6 पर एक मोहरा और d8 पर एक रानी है। सफ़ेद को क्या करना चाहिए?</v>
      </c>
      <c r="H356" s="5" t="str">
        <f>IFERROR(__xludf.DUMMYFUNCTION("GOOGLETRANSLATE(C356, ""en"", ""hi"")"),"A) काले की रानी पर हमला करने के लिए घोड़े का उपयोग करें, B) घोड़े को f3 पर ले जाएं, C) राजा की ओर प्यादों को धकेलें, D) हमले के लिए घोड़े और अन्य टुकड़ों का समन्वय करें")</f>
        <v>A) काले की रानी पर हमला करने के लिए घोड़े का उपयोग करें, B) घोड़े को f3 पर ले जाएं, C) राजा की ओर प्यादों को धकेलें, D) हमले के लिए घोड़े और अन्य टुकड़ों का समन्वय करें</v>
      </c>
      <c r="I356" s="5" t="str">
        <f>IFERROR(__xludf.DUMMYFUNCTION("GOOGLETRANSLATE(D356, ""en"", ""hi"")"),"A) काले की रानी पर हमला करने के लिए घोड़े का उपयोग करें")</f>
        <v>A) काले की रानी पर हमला करने के लिए घोड़े का उपयोग करें</v>
      </c>
    </row>
    <row r="357" ht="22.5" customHeight="1">
      <c r="A357" s="2">
        <v>356.0</v>
      </c>
      <c r="B357" s="3" t="s">
        <v>1994</v>
      </c>
      <c r="C357" s="3" t="s">
        <v>1995</v>
      </c>
      <c r="D357" s="3" t="s">
        <v>1996</v>
      </c>
      <c r="F357" s="5" t="str">
        <f>IFERROR(__xludf.DUMMYFUNCTION("GOOGLETRANSLATE(A357, ""en"", ""hi"")"),"356")</f>
        <v>356</v>
      </c>
      <c r="G357" s="5" t="str">
        <f>IFERROR(__xludf.DUMMYFUNCTION("GOOGLETRANSLATE(B357, ""en"", ""hi"")"),"काले के पास e8 पर एक किश्ती और e5 पर एक मोहरा है। सफ़ेद के पास d4 पर एक रानी और f4 पर एक मोहरा है। सफ़ेद को क्या करना चाहिए?")</f>
        <v>काले के पास e8 पर एक किश्ती और e5 पर एक मोहरा है। सफ़ेद के पास d4 पर एक रानी और f4 पर एक मोहरा है। सफ़ेद को क्या करना चाहिए?</v>
      </c>
      <c r="H357" s="5" t="str">
        <f>IFERROR(__xludf.DUMMYFUNCTION("GOOGLETRANSLATE(C357, ""en"", ""hi"")"),"A) e5 पर काले मोहरे पर हमला करने के लिए रानी का उपयोग करें, B) रानी को e3 पर ले जाएं, C) मोहरे को f5 पर धकेलें, D) हमले के लिए रानी और मोहरे का समन्वय करें")</f>
        <v>A) e5 पर काले मोहरे पर हमला करने के लिए रानी का उपयोग करें, B) रानी को e3 पर ले जाएं, C) मोहरे को f5 पर धकेलें, D) हमले के लिए रानी और मोहरे का समन्वय करें</v>
      </c>
      <c r="I357" s="5" t="str">
        <f>IFERROR(__xludf.DUMMYFUNCTION("GOOGLETRANSLATE(D357, ""en"", ""hi"")"),"A) e5 पर काले के मोहरे पर हमला करने के लिए रानी का उपयोग करें")</f>
        <v>A) e5 पर काले के मोहरे पर हमला करने के लिए रानी का उपयोग करें</v>
      </c>
    </row>
    <row r="358" ht="22.5" customHeight="1">
      <c r="A358" s="2">
        <v>357.0</v>
      </c>
      <c r="B358" s="3" t="s">
        <v>1997</v>
      </c>
      <c r="C358" s="3" t="s">
        <v>1998</v>
      </c>
      <c r="D358" s="3" t="s">
        <v>1734</v>
      </c>
      <c r="F358" s="5" t="str">
        <f>IFERROR(__xludf.DUMMYFUNCTION("GOOGLETRANSLATE(A358, ""en"", ""hi"")"),"357")</f>
        <v>357</v>
      </c>
      <c r="G358" s="5" t="str">
        <f>IFERROR(__xludf.DUMMYFUNCTION("GOOGLETRANSLATE(B358, ""en"", ""hi"")"),"सफ़ेद के पास d1 पर एक किश्ती और d6 पर एक मोहरा है। काले के पास f6 पर एक घोड़ा और h8 पर एक राजा है। सफ़ेद को क्या करना चाहिए?")</f>
        <v>सफ़ेद के पास d1 पर एक किश्ती और d6 पर एक मोहरा है। काले के पास f6 पर एक घोड़ा और h8 पर एक राजा है। सफ़ेद को क्या करना चाहिए?</v>
      </c>
      <c r="H358" s="5" t="str">
        <f>IFERROR(__xludf.DUMMYFUNCTION("GOOGLETRANSLATE(C358, ""en"", ""hi"")"),"A) मोहरे को d7 पर धकेलें, B) काले घोड़े पर हमला करने के लिए हाथी का उपयोग करें, C) हमले के लिए हाथी और मोहरे का समन्वय करें, D) हाथी को d2 पर ले जाएं")</f>
        <v>A) मोहरे को d7 पर धकेलें, B) काले घोड़े पर हमला करने के लिए हाथी का उपयोग करें, C) हमले के लिए हाथी और मोहरे का समन्वय करें, D) हाथी को d2 पर ले जाएं</v>
      </c>
      <c r="I358" s="5" t="str">
        <f>IFERROR(__xludf.DUMMYFUNCTION("GOOGLETRANSLATE(D358, ""en"", ""hi"")"),"A) मोहरे को d7 पर धकेलें")</f>
        <v>A) मोहरे को d7 पर धकेलें</v>
      </c>
    </row>
    <row r="359" ht="22.5" customHeight="1">
      <c r="A359" s="2">
        <v>358.0</v>
      </c>
      <c r="B359" s="3" t="s">
        <v>1999</v>
      </c>
      <c r="C359" s="3" t="s">
        <v>2000</v>
      </c>
      <c r="D359" s="3" t="s">
        <v>2001</v>
      </c>
      <c r="F359" s="5" t="str">
        <f>IFERROR(__xludf.DUMMYFUNCTION("GOOGLETRANSLATE(A359, ""en"", ""hi"")"),"358")</f>
        <v>358</v>
      </c>
      <c r="G359" s="5" t="str">
        <f>IFERROR(__xludf.DUMMYFUNCTION("GOOGLETRANSLATE(B359, ""en"", ""hi"")"),"काले के पास h8 पर एक किश्ती और h5 पर एक मोहरा है। सफ़ेद के पास g6 पर एक रानी और d4 पर एक बिशप है। सफ़ेद को क्या करना चाहिए?")</f>
        <v>काले के पास h8 पर एक किश्ती और h5 पर एक मोहरा है। सफ़ेद के पास g6 पर एक रानी और d4 पर एक बिशप है। सफ़ेद को क्या करना चाहिए?</v>
      </c>
      <c r="H359" s="5" t="str">
        <f>IFERROR(__xludf.DUMMYFUNCTION("GOOGLETRANSLATE(C359, ""en"", ""hi"")"),"A) पदोन्नति के लिए मोहरे को g7 पर धकेलें, B) काले के हाथी पर हमला करने के लिए रानी का उपयोग करें, C) हमले के लिए रानी और बिशप का समन्वय करें, D) रानी को e4 पर ले जाएं")</f>
        <v>A) पदोन्नति के लिए मोहरे को g7 पर धकेलें, B) काले के हाथी पर हमला करने के लिए रानी का उपयोग करें, C) हमले के लिए रानी और बिशप का समन्वय करें, D) रानी को e4 पर ले जाएं</v>
      </c>
      <c r="I359" s="5" t="str">
        <f>IFERROR(__xludf.DUMMYFUNCTION("GOOGLETRANSLATE(D359, ""en"", ""hi"")"),"A) पदोन्नति के लिए मोहरे को g7 पर धकेलें")</f>
        <v>A) पदोन्नति के लिए मोहरे को g7 पर धकेलें</v>
      </c>
    </row>
    <row r="360" ht="22.5" customHeight="1">
      <c r="A360" s="2">
        <v>359.0</v>
      </c>
      <c r="B360" s="3" t="s">
        <v>2002</v>
      </c>
      <c r="C360" s="3" t="s">
        <v>2003</v>
      </c>
      <c r="D360" s="3" t="s">
        <v>1941</v>
      </c>
      <c r="F360" s="5" t="str">
        <f>IFERROR(__xludf.DUMMYFUNCTION("GOOGLETRANSLATE(A360, ""en"", ""hi"")"),"359")</f>
        <v>359</v>
      </c>
      <c r="G360" s="5" t="str">
        <f>IFERROR(__xludf.DUMMYFUNCTION("GOOGLETRANSLATE(B360, ""en"", ""hi"")"),"सफ़ेद के पास e1 पर एक किश्ती और e5 पर एक मोहरा है। काले के पास d7 पर एक रानी और f6 पर एक घोड़ा है। सफ़ेद को क्या करना चाहिए?")</f>
        <v>सफ़ेद के पास e1 पर एक किश्ती और e5 पर एक मोहरा है। काले के पास d7 पर एक रानी और f6 पर एक घोड़ा है। सफ़ेद को क्या करना चाहिए?</v>
      </c>
      <c r="H360" s="5" t="str">
        <f>IFERROR(__xludf.DUMMYFUNCTION("GOOGLETRANSLATE(C360, ""en"", ""hi"")"),"A) मोहरे को e6 पर धकेलें, B) काले की रानी पर हमला करने के लिए हाथी का उपयोग करें, C) हमले के लिए हाथी और मोहरे का समन्वय करें, D) हाथी को e2 पर ले जाएं")</f>
        <v>A) मोहरे को e6 पर धकेलें, B) काले की रानी पर हमला करने के लिए हाथी का उपयोग करें, C) हमले के लिए हाथी और मोहरे का समन्वय करें, D) हाथी को e2 पर ले जाएं</v>
      </c>
      <c r="I360" s="5" t="str">
        <f>IFERROR(__xludf.DUMMYFUNCTION("GOOGLETRANSLATE(D360, ""en"", ""hi"")"),"A) मोहरे को e6 पर धकेलें")</f>
        <v>A) मोहरे को e6 पर धकेलें</v>
      </c>
    </row>
    <row r="361" ht="22.5" customHeight="1">
      <c r="A361" s="2">
        <v>360.0</v>
      </c>
      <c r="B361" s="3" t="s">
        <v>2004</v>
      </c>
      <c r="C361" s="3" t="s">
        <v>2005</v>
      </c>
      <c r="D361" s="3" t="s">
        <v>1961</v>
      </c>
      <c r="F361" s="5" t="str">
        <f>IFERROR(__xludf.DUMMYFUNCTION("GOOGLETRANSLATE(A361, ""en"", ""hi"")"),"360")</f>
        <v>360</v>
      </c>
      <c r="G361" s="5" t="str">
        <f>IFERROR(__xludf.DUMMYFUNCTION("GOOGLETRANSLATE(B361, ""en"", ""hi"")"),"काले के पास d6 पर एक बिशप और f8 पर एक किश्ती है। सफेद के पास e2 पर एक रानी और f5 पर एक मोहरा है। सफेद को क्या करना चाहिए?")</f>
        <v>काले के पास d6 पर एक बिशप और f8 पर एक किश्ती है। सफेद के पास e2 पर एक रानी और f5 पर एक मोहरा है। सफेद को क्या करना चाहिए?</v>
      </c>
      <c r="H361" s="5" t="str">
        <f>IFERROR(__xludf.DUMMYFUNCTION("GOOGLETRANSLATE(C361, ""en"", ""hi"")"),"A) मोहरे को f6 पर धकेलें, B) रानी का उपयोग करके काले के बिशप पर हमला करें, C) हमले के लिए रानी और मोहरे का समन्वय करें, D) रानी को e3 पर ले जाएं")</f>
        <v>A) मोहरे को f6 पर धकेलें, B) रानी का उपयोग करके काले के बिशप पर हमला करें, C) हमले के लिए रानी और मोहरे का समन्वय करें, D) रानी को e3 पर ले जाएं</v>
      </c>
      <c r="I361" s="5" t="str">
        <f>IFERROR(__xludf.DUMMYFUNCTION("GOOGLETRANSLATE(D361, ""en"", ""hi"")"),"A) मोहरे को f6 पर धकेलें")</f>
        <v>A) मोहरे को f6 पर धकेलें</v>
      </c>
    </row>
    <row r="362" ht="22.5" customHeight="1">
      <c r="A362" s="2">
        <v>361.0</v>
      </c>
      <c r="B362" s="3" t="s">
        <v>2006</v>
      </c>
      <c r="C362" s="3" t="s">
        <v>2007</v>
      </c>
      <c r="D362" s="3" t="s">
        <v>1821</v>
      </c>
      <c r="F362" s="5" t="str">
        <f>IFERROR(__xludf.DUMMYFUNCTION("GOOGLETRANSLATE(A362, ""en"", ""hi"")"),"361")</f>
        <v>361</v>
      </c>
      <c r="G362" s="5" t="str">
        <f>IFERROR(__xludf.DUMMYFUNCTION("GOOGLETRANSLATE(B362, ""en"", ""hi"")"),"सफ़ेद के पास c6 पर एक मोहरा है और काले के पास f6 पर एक घोड़ा और d8 पर एक रानी है। सफ़ेद को क्या करना चाहिए?")</f>
        <v>सफ़ेद के पास c6 पर एक मोहरा है और काले के पास f6 पर एक घोड़ा और d8 पर एक रानी है। सफ़ेद को क्या करना चाहिए?</v>
      </c>
      <c r="H362" s="5" t="str">
        <f>IFERROR(__xludf.DUMMYFUNCTION("GOOGLETRANSLATE(C362, ""en"", ""hi"")"),"A) मोहरे को c7 पर धकेलें, B) खतरे पैदा करने के लिए मोहरे का उपयोग करें, C) मोहरे को अन्य मोहरों के साथ समन्वयित करें, D) मोहरे को c5 पर ले जाएं")</f>
        <v>A) मोहरे को c7 पर धकेलें, B) खतरे पैदा करने के लिए मोहरे का उपयोग करें, C) मोहरे को अन्य मोहरों के साथ समन्वयित करें, D) मोहरे को c5 पर ले जाएं</v>
      </c>
      <c r="I362" s="5" t="str">
        <f>IFERROR(__xludf.DUMMYFUNCTION("GOOGLETRANSLATE(D362, ""en"", ""hi"")"),"A) मोहरे को c7 पर धकेलें")</f>
        <v>A) मोहरे को c7 पर धकेलें</v>
      </c>
    </row>
    <row r="363" ht="22.5" customHeight="1">
      <c r="A363" s="2">
        <v>362.0</v>
      </c>
      <c r="B363" s="3" t="s">
        <v>2008</v>
      </c>
      <c r="C363" s="3" t="s">
        <v>2009</v>
      </c>
      <c r="D363" s="3" t="s">
        <v>2010</v>
      </c>
      <c r="F363" s="5" t="str">
        <f>IFERROR(__xludf.DUMMYFUNCTION("GOOGLETRANSLATE(A363, ""en"", ""hi"")"),"362")</f>
        <v>362</v>
      </c>
      <c r="G363" s="5" t="str">
        <f>IFERROR(__xludf.DUMMYFUNCTION("GOOGLETRANSLATE(B363, ""en"", ""hi"")"),"काले के पास c6 पर एक रानी है और सफ़ेद के पास d1 पर एक किश्ती और f4 पर एक बिशप है। सफ़ेद को क्या करना चाहिए?")</f>
        <v>काले के पास c6 पर एक रानी है और सफ़ेद के पास d1 पर एक किश्ती और f4 पर एक बिशप है। सफ़ेद को क्या करना चाहिए?</v>
      </c>
      <c r="H363" s="5" t="str">
        <f>IFERROR(__xludf.DUMMYFUNCTION("GOOGLETRANSLATE(C363, ""en"", ""hi"")"),"A) काले की रानी पर हमला करने के लिए किश्ती का उपयोग करें, B) बिशप को e3 पर ले जाएं, C) प्यादों को राजा की ओर धकेलें, D) हमले के लिए किश्ती और बिशप का समन्वय करें")</f>
        <v>A) काले की रानी पर हमला करने के लिए किश्ती का उपयोग करें, B) बिशप को e3 पर ले जाएं, C) प्यादों को राजा की ओर धकेलें, D) हमले के लिए किश्ती और बिशप का समन्वय करें</v>
      </c>
      <c r="I363" s="5" t="str">
        <f>IFERROR(__xludf.DUMMYFUNCTION("GOOGLETRANSLATE(D363, ""en"", ""hi"")"),"A) काले की रानी पर हमला करने के लिए हाथी का उपयोग करें")</f>
        <v>A) काले की रानी पर हमला करने के लिए हाथी का उपयोग करें</v>
      </c>
    </row>
    <row r="364" ht="22.5" customHeight="1">
      <c r="A364" s="2">
        <v>363.0</v>
      </c>
      <c r="B364" s="3" t="s">
        <v>2011</v>
      </c>
      <c r="C364" s="3" t="s">
        <v>2012</v>
      </c>
      <c r="D364" s="3" t="s">
        <v>1734</v>
      </c>
      <c r="F364" s="5" t="str">
        <f>IFERROR(__xludf.DUMMYFUNCTION("GOOGLETRANSLATE(A364, ""en"", ""hi"")"),"363")</f>
        <v>363</v>
      </c>
      <c r="G364" s="5" t="str">
        <f>IFERROR(__xludf.DUMMYFUNCTION("GOOGLETRANSLATE(B364, ""en"", ""hi"")"),"सफ़ेद के पास d6 पर एक मोहरा है, काले के पास a8 पर एक किश्ती और f6 पर एक घोड़ा है। सफ़ेद को क्या करना चाहिए?")</f>
        <v>सफ़ेद के पास d6 पर एक मोहरा है, काले के पास a8 पर एक किश्ती और f6 पर एक घोड़ा है। सफ़ेद को क्या करना चाहिए?</v>
      </c>
      <c r="H364" s="5" t="str">
        <f>IFERROR(__xludf.DUMMYFUNCTION("GOOGLETRANSLATE(C364, ""en"", ""hi"")"),"A) मोहरे को d7 पर धकेलें, B) खतरे पैदा करने के लिए मोहरे का उपयोग करें, C) मोहरे को अन्य मोहरों के साथ समन्वयित करें, D) मोहरे को d5 पर ले जाएं")</f>
        <v>A) मोहरे को d7 पर धकेलें, B) खतरे पैदा करने के लिए मोहरे का उपयोग करें, C) मोहरे को अन्य मोहरों के साथ समन्वयित करें, D) मोहरे को d5 पर ले जाएं</v>
      </c>
      <c r="I364" s="5" t="str">
        <f>IFERROR(__xludf.DUMMYFUNCTION("GOOGLETRANSLATE(D364, ""en"", ""hi"")"),"A) मोहरे को d7 पर धकेलें")</f>
        <v>A) मोहरे को d7 पर धकेलें</v>
      </c>
    </row>
    <row r="365" ht="22.5" customHeight="1">
      <c r="A365" s="2">
        <v>364.0</v>
      </c>
      <c r="B365" s="3" t="s">
        <v>2013</v>
      </c>
      <c r="C365" s="3" t="s">
        <v>2014</v>
      </c>
      <c r="D365" s="3" t="s">
        <v>1941</v>
      </c>
      <c r="F365" s="5" t="str">
        <f>IFERROR(__xludf.DUMMYFUNCTION("GOOGLETRANSLATE(A365, ""en"", ""hi"")"),"364")</f>
        <v>364</v>
      </c>
      <c r="G365" s="5" t="str">
        <f>IFERROR(__xludf.DUMMYFUNCTION("GOOGLETRANSLATE(B365, ""en"", ""hi"")"),"काले के पास e8 पर एक किश्ती और f6 पर एक बिशप है। सफेद के पास d1 पर एक रानी और e5 पर एक मोहरा है। सफेद को क्या करना चाहिए?")</f>
        <v>काले के पास e8 पर एक किश्ती और f6 पर एक बिशप है। सफेद के पास d1 पर एक रानी और e5 पर एक मोहरा है। सफेद को क्या करना चाहिए?</v>
      </c>
      <c r="H365" s="5" t="str">
        <f>IFERROR(__xludf.DUMMYFUNCTION("GOOGLETRANSLATE(C365, ""en"", ""hi"")"),"A) मोहरे को e6 पर धकेलें, B) रानी का उपयोग करके काले के हाथी पर हमला करें, C) हमले के लिए रानी और मोहरे का समन्वय करें, D) रानी को e2 पर ले जाएं")</f>
        <v>A) मोहरे को e6 पर धकेलें, B) रानी का उपयोग करके काले के हाथी पर हमला करें, C) हमले के लिए रानी और मोहरे का समन्वय करें, D) रानी को e2 पर ले जाएं</v>
      </c>
      <c r="I365" s="5" t="str">
        <f>IFERROR(__xludf.DUMMYFUNCTION("GOOGLETRANSLATE(D365, ""en"", ""hi"")"),"A) मोहरे को e6 पर धकेलें")</f>
        <v>A) मोहरे को e6 पर धकेलें</v>
      </c>
    </row>
    <row r="366" ht="22.5" customHeight="1">
      <c r="A366" s="2">
        <v>365.0</v>
      </c>
      <c r="B366" s="3" t="s">
        <v>2015</v>
      </c>
      <c r="C366" s="3" t="s">
        <v>2016</v>
      </c>
      <c r="D366" s="3" t="s">
        <v>2017</v>
      </c>
      <c r="F366" s="5" t="str">
        <f>IFERROR(__xludf.DUMMYFUNCTION("GOOGLETRANSLATE(A366, ""en"", ""hi"")"),"365")</f>
        <v>365</v>
      </c>
      <c r="G366" s="5" t="str">
        <f>IFERROR(__xludf.DUMMYFUNCTION("GOOGLETRANSLATE(B366, ""en"", ""hi"")"),"सफ़ेद के पास f1 पर एक किश्ती और e5 पर एक घोड़ा है। काले के पास d7 पर एक रानी और f6 पर एक मोहरा है। सफ़ेद को क्या करना चाहिए?")</f>
        <v>सफ़ेद के पास f1 पर एक किश्ती और e5 पर एक घोड़ा है। काले के पास d7 पर एक रानी और f6 पर एक मोहरा है। सफ़ेद को क्या करना चाहिए?</v>
      </c>
      <c r="H366" s="5" t="str">
        <f>IFERROR(__xludf.DUMMYFUNCTION("GOOGLETRANSLATE(C366, ""en"", ""hi"")"),"A) काले की रानी पर हमला करने के लिए किश्ती का उपयोग करें, B) घोड़े को f3 पर ले जाएं, C) मोहरे को f7 पर धकेलें, D) हमले के लिए किश्ती और घोड़े का समन्वय करें")</f>
        <v>A) काले की रानी पर हमला करने के लिए किश्ती का उपयोग करें, B) घोड़े को f3 पर ले जाएं, C) मोहरे को f7 पर धकेलें, D) हमले के लिए किश्ती और घोड़े का समन्वय करें</v>
      </c>
      <c r="I366" s="5" t="str">
        <f>IFERROR(__xludf.DUMMYFUNCTION("GOOGLETRANSLATE(D366, ""en"", ""hi"")"),"C) मोहरे को f7 पर धकेलें")</f>
        <v>C) मोहरे को f7 पर धकेलें</v>
      </c>
    </row>
    <row r="367" ht="22.5" customHeight="1">
      <c r="A367" s="2">
        <v>366.0</v>
      </c>
      <c r="B367" s="3" t="s">
        <v>2018</v>
      </c>
      <c r="C367" s="3" t="s">
        <v>2019</v>
      </c>
      <c r="D367" s="3" t="s">
        <v>1955</v>
      </c>
      <c r="F367" s="5" t="str">
        <f>IFERROR(__xludf.DUMMYFUNCTION("GOOGLETRANSLATE(A367, ""en"", ""hi"")"),"366")</f>
        <v>366</v>
      </c>
      <c r="G367" s="5" t="str">
        <f>IFERROR(__xludf.DUMMYFUNCTION("GOOGLETRANSLATE(B367, ""en"", ""hi"")"),"काले के पास b5 पर एक मोहरा और a8 पर एक किश्ती है। सफेद के पास d1 पर एक रानी और f1 पर एक किश्ती है। सफेद को क्या करना चाहिए?")</f>
        <v>काले के पास b5 पर एक मोहरा और a8 पर एक किश्ती है। सफेद के पास d1 पर एक रानी और f1 पर एक किश्ती है। सफेद को क्या करना चाहिए?</v>
      </c>
      <c r="H367" s="5" t="str">
        <f>IFERROR(__xludf.DUMMYFUNCTION("GOOGLETRANSLATE(C367, ""en"", ""hi"")"),"A) काले के मोहरे पर हमला करने के लिए रानी का उपयोग करें, B) हाथी को f2 पर ले जाएं, C) मोहरों को राजा की ओर धकेलें, D) हमले के लिए रानी और हाथी का समन्वय करें")</f>
        <v>A) काले के मोहरे पर हमला करने के लिए रानी का उपयोग करें, B) हाथी को f2 पर ले जाएं, C) मोहरों को राजा की ओर धकेलें, D) हमले के लिए रानी और हाथी का समन्वय करें</v>
      </c>
      <c r="I367" s="5" t="str">
        <f>IFERROR(__xludf.DUMMYFUNCTION("GOOGLETRANSLATE(D367, ""en"", ""hi"")"),"A) रानी का उपयोग काले के मोहरे पर हमला करने के लिए करें")</f>
        <v>A) रानी का उपयोग काले के मोहरे पर हमला करने के लिए करें</v>
      </c>
    </row>
    <row r="368" ht="22.5" customHeight="1">
      <c r="A368" s="2">
        <v>367.0</v>
      </c>
      <c r="B368" s="3" t="s">
        <v>2020</v>
      </c>
      <c r="C368" s="3" t="s">
        <v>2021</v>
      </c>
      <c r="D368" s="3" t="s">
        <v>1920</v>
      </c>
      <c r="F368" s="5" t="str">
        <f>IFERROR(__xludf.DUMMYFUNCTION("GOOGLETRANSLATE(A368, ""en"", ""hi"")"),"367")</f>
        <v>367</v>
      </c>
      <c r="G368" s="5" t="str">
        <f>IFERROR(__xludf.DUMMYFUNCTION("GOOGLETRANSLATE(B368, ""en"", ""hi"")"),"सफ़ेद के पास d4 पर घोड़ा है और काले के पास d8 पर रानी और f8 पर किश्ती है। सफ़ेद को क्या करना चाहिए?")</f>
        <v>सफ़ेद के पास d4 पर घोड़ा है और काले के पास d8 पर रानी और f8 पर किश्ती है। सफ़ेद को क्या करना चाहिए?</v>
      </c>
      <c r="H368" s="5" t="str">
        <f>IFERROR(__xludf.DUMMYFUNCTION("GOOGLETRANSLATE(C368, ""en"", ""hi"")"),"A) काले की रानी पर हमला करने के लिए घोड़े का उपयोग करें, B) घोड़े को e2 पर ले जाएं, C) रानी की तरफ के मोहरों को धकेलें, D) हमले के लिए घोड़े को अन्य मोहरों के साथ समन्वयित करें")</f>
        <v>A) काले की रानी पर हमला करने के लिए घोड़े का उपयोग करें, B) घोड़े को e2 पर ले जाएं, C) रानी की तरफ के मोहरों को धकेलें, D) हमले के लिए घोड़े को अन्य मोहरों के साथ समन्वयित करें</v>
      </c>
      <c r="I368" s="5" t="str">
        <f>IFERROR(__xludf.DUMMYFUNCTION("GOOGLETRANSLATE(D368, ""en"", ""hi"")"),"A) काले की रानी पर हमला करने के लिए घोड़े का उपयोग करें")</f>
        <v>A) काले की रानी पर हमला करने के लिए घोड़े का उपयोग करें</v>
      </c>
    </row>
    <row r="369" ht="22.5" customHeight="1">
      <c r="A369" s="2">
        <v>368.0</v>
      </c>
      <c r="B369" s="3" t="s">
        <v>2022</v>
      </c>
      <c r="C369" s="3" t="s">
        <v>2023</v>
      </c>
      <c r="D369" s="3" t="s">
        <v>2024</v>
      </c>
      <c r="F369" s="5" t="str">
        <f>IFERROR(__xludf.DUMMYFUNCTION("GOOGLETRANSLATE(A369, ""en"", ""hi"")"),"368")</f>
        <v>368</v>
      </c>
      <c r="G369" s="5" t="str">
        <f>IFERROR(__xludf.DUMMYFUNCTION("GOOGLETRANSLATE(B369, ""en"", ""hi"")"),"काले के पास g4 पर एक बिशप है और सफ़ेद के पास h1 पर एक किश्ती और h5 पर एक प्यादा है। सफ़ेद को क्या करना चाहिए?")</f>
        <v>काले के पास g4 पर एक बिशप है और सफ़ेद के पास h1 पर एक किश्ती और h5 पर एक प्यादा है। सफ़ेद को क्या करना चाहिए?</v>
      </c>
      <c r="H369" s="5" t="str">
        <f>IFERROR(__xludf.DUMMYFUNCTION("GOOGLETRANSLATE(C369, ""en"", ""hi"")"),"A) मोहरे को h6 पर धकेलें, B) काले के बिशप पर हमला करने के लिए किश्ती का उपयोग करें, C) हमले के लिए किश्ती और मोहरे का समन्वय करें, D) किश्ती को h2 पर ले जाएं")</f>
        <v>A) मोहरे को h6 पर धकेलें, B) काले के बिशप पर हमला करने के लिए किश्ती का उपयोग करें, C) हमले के लिए किश्ती और मोहरे का समन्वय करें, D) किश्ती को h2 पर ले जाएं</v>
      </c>
      <c r="I369" s="5" t="str">
        <f>IFERROR(__xludf.DUMMYFUNCTION("GOOGLETRANSLATE(D369, ""en"", ""hi"")"),"A) मोहरे को h6 पर धकेलें")</f>
        <v>A) मोहरे को h6 पर धकेलें</v>
      </c>
    </row>
    <row r="370" ht="22.5" customHeight="1">
      <c r="A370" s="2">
        <v>369.0</v>
      </c>
      <c r="B370" s="3" t="s">
        <v>2025</v>
      </c>
      <c r="C370" s="3" t="s">
        <v>2026</v>
      </c>
      <c r="D370" s="3" t="s">
        <v>1857</v>
      </c>
      <c r="F370" s="5" t="str">
        <f>IFERROR(__xludf.DUMMYFUNCTION("GOOGLETRANSLATE(A370, ""en"", ""hi"")"),"369")</f>
        <v>369</v>
      </c>
      <c r="G370" s="5" t="str">
        <f>IFERROR(__xludf.DUMMYFUNCTION("GOOGLETRANSLATE(B370, ""en"", ""hi"")"),"सफ़ेद के पास e6 पर एक मोहरा है और काले के पास d8 पर एक किश्ती और f6 पर एक बिशप है। सफ़ेद को क्या करना चाहिए?")</f>
        <v>सफ़ेद के पास e6 पर एक मोहरा है और काले के पास d8 पर एक किश्ती और f6 पर एक बिशप है। सफ़ेद को क्या करना चाहिए?</v>
      </c>
      <c r="H370" s="5" t="str">
        <f>IFERROR(__xludf.DUMMYFUNCTION("GOOGLETRANSLATE(C370, ""en"", ""hi"")"),"A) मोहरे को e7 पर धकेलें, B) खतरे पैदा करने के लिए मोहरे का उपयोग करें, C) मोहरे को अन्य मोहरों के साथ समन्वयित करें, D) मोहरे को e5 पर ले जाएं")</f>
        <v>A) मोहरे को e7 पर धकेलें, B) खतरे पैदा करने के लिए मोहरे का उपयोग करें, C) मोहरे को अन्य मोहरों के साथ समन्वयित करें, D) मोहरे को e5 पर ले जाएं</v>
      </c>
      <c r="I370" s="5" t="str">
        <f>IFERROR(__xludf.DUMMYFUNCTION("GOOGLETRANSLATE(D370, ""en"", ""hi"")"),"A) मोहरे को e7 पर धकेलें")</f>
        <v>A) मोहरे को e7 पर धकेलें</v>
      </c>
    </row>
    <row r="371" ht="22.5" customHeight="1">
      <c r="A371" s="2">
        <v>370.0</v>
      </c>
      <c r="B371" s="3" t="s">
        <v>2027</v>
      </c>
      <c r="C371" s="3" t="s">
        <v>2028</v>
      </c>
      <c r="D371" s="3" t="s">
        <v>2010</v>
      </c>
      <c r="F371" s="5" t="str">
        <f>IFERROR(__xludf.DUMMYFUNCTION("GOOGLETRANSLATE(A371, ""en"", ""hi"")"),"370")</f>
        <v>370</v>
      </c>
      <c r="G371" s="5" t="str">
        <f>IFERROR(__xludf.DUMMYFUNCTION("GOOGLETRANSLATE(B371, ""en"", ""hi"")"),"काले के पास c7 पर एक रानी है और सफेद के पास e1 पर एक किश्ती और f1 पर एक बिशप है। सफेद को क्या करना चाहिए?")</f>
        <v>काले के पास c7 पर एक रानी है और सफेद के पास e1 पर एक किश्ती और f1 पर एक बिशप है। सफेद को क्या करना चाहिए?</v>
      </c>
      <c r="H371" s="5" t="str">
        <f>IFERROR(__xludf.DUMMYFUNCTION("GOOGLETRANSLATE(C371, ""en"", ""hi"")"),"A) काले की रानी पर हमला करने के लिए हाथी का उपयोग करें, B) बिशप को e3 पर ले जाएं, C) रानी की तरफ के प्यादों को धकेलें, D) हमले के लिए हाथी और बिशप का समन्वय करें")</f>
        <v>A) काले की रानी पर हमला करने के लिए हाथी का उपयोग करें, B) बिशप को e3 पर ले जाएं, C) रानी की तरफ के प्यादों को धकेलें, D) हमले के लिए हाथी और बिशप का समन्वय करें</v>
      </c>
      <c r="I371" s="5" t="str">
        <f>IFERROR(__xludf.DUMMYFUNCTION("GOOGLETRANSLATE(D371, ""en"", ""hi"")"),"A) काले की रानी पर हमला करने के लिए हाथी का उपयोग करें")</f>
        <v>A) काले की रानी पर हमला करने के लिए हाथी का उपयोग करें</v>
      </c>
    </row>
    <row r="372" ht="22.5" customHeight="1">
      <c r="A372" s="2">
        <v>371.0</v>
      </c>
      <c r="B372" s="3" t="s">
        <v>2029</v>
      </c>
      <c r="C372" s="3" t="s">
        <v>2030</v>
      </c>
      <c r="D372" s="3" t="s">
        <v>2001</v>
      </c>
      <c r="F372" s="5" t="str">
        <f>IFERROR(__xludf.DUMMYFUNCTION("GOOGLETRANSLATE(A372, ""en"", ""hi"")"),"371")</f>
        <v>371</v>
      </c>
      <c r="G372" s="5" t="str">
        <f>IFERROR(__xludf.DUMMYFUNCTION("GOOGLETRANSLATE(B372, ""en"", ""hi"")"),"सफ़ेद के पास g6 पर एक मोहरा है और काले के पास e7 पर एक रानी और h8 पर एक किश्ती है। सफ़ेद को क्या करना चाहिए?")</f>
        <v>सफ़ेद के पास g6 पर एक मोहरा है और काले के पास e7 पर एक रानी और h8 पर एक किश्ती है। सफ़ेद को क्या करना चाहिए?</v>
      </c>
      <c r="H372" s="5" t="str">
        <f>IFERROR(__xludf.DUMMYFUNCTION("GOOGLETRANSLATE(C372, ""en"", ""hi"")"),"A) पदोन्नति के लिए मोहरे को g7 पर धकेलें, B) खतरे पैदा करने के लिए मोहरे का उपयोग करें, C) मोहरे को अन्य मोहरों के साथ समन्वयित करें, D) मोहरे को g5 पर ले जाएं")</f>
        <v>A) पदोन्नति के लिए मोहरे को g7 पर धकेलें, B) खतरे पैदा करने के लिए मोहरे का उपयोग करें, C) मोहरे को अन्य मोहरों के साथ समन्वयित करें, D) मोहरे को g5 पर ले जाएं</v>
      </c>
      <c r="I372" s="5" t="str">
        <f>IFERROR(__xludf.DUMMYFUNCTION("GOOGLETRANSLATE(D372, ""en"", ""hi"")"),"A) पदोन्नति के लिए मोहरे को g7 पर धकेलें")</f>
        <v>A) पदोन्नति के लिए मोहरे को g7 पर धकेलें</v>
      </c>
    </row>
    <row r="373" ht="22.5" customHeight="1">
      <c r="A373" s="2">
        <v>372.0</v>
      </c>
      <c r="B373" s="3" t="s">
        <v>2031</v>
      </c>
      <c r="C373" s="3" t="s">
        <v>2032</v>
      </c>
      <c r="D373" s="3" t="s">
        <v>2033</v>
      </c>
      <c r="F373" s="5" t="str">
        <f>IFERROR(__xludf.DUMMYFUNCTION("GOOGLETRANSLATE(A373, ""en"", ""hi"")"),"372")</f>
        <v>372</v>
      </c>
      <c r="G373" s="5" t="str">
        <f>IFERROR(__xludf.DUMMYFUNCTION("GOOGLETRANSLATE(B373, ""en"", ""hi"")"),"काले के पास c8 पर एक किश्ती है और सफ़ेद के पास d4 पर एक रानी और f3 पर एक घोड़ा है। सफ़ेद को क्या करना चाहिए?")</f>
        <v>काले के पास c8 पर एक किश्ती है और सफ़ेद के पास d4 पर एक रानी और f3 पर एक घोड़ा है। सफ़ेद को क्या करना चाहिए?</v>
      </c>
      <c r="H373" s="5" t="str">
        <f>IFERROR(__xludf.DUMMYFUNCTION("GOOGLETRANSLATE(C373, ""en"", ""hi"")"),"A) काले के हाथी पर आक्रमण करने के लिए रानी का उपयोग करें, B) घोड़े को e1 पर ले जाएं, C) राजा की ओर के प्यादों को धकेलें, D) आक्रमण के लिए रानी और घोड़े का समन्वय करें")</f>
        <v>A) काले के हाथी पर आक्रमण करने के लिए रानी का उपयोग करें, B) घोड़े को e1 पर ले जाएं, C) राजा की ओर के प्यादों को धकेलें, D) आक्रमण के लिए रानी और घोड़े का समन्वय करें</v>
      </c>
      <c r="I373" s="5" t="str">
        <f>IFERROR(__xludf.DUMMYFUNCTION("GOOGLETRANSLATE(D373, ""en"", ""hi"")"),"D) हमले के लिए रानी और शूरवीर का समन्वय करना")</f>
        <v>D) हमले के लिए रानी और शूरवीर का समन्वय करना</v>
      </c>
    </row>
    <row r="374" ht="22.5" customHeight="1">
      <c r="A374" s="2">
        <v>373.0</v>
      </c>
      <c r="B374" s="3" t="s">
        <v>2034</v>
      </c>
      <c r="C374" s="3" t="s">
        <v>2035</v>
      </c>
      <c r="D374" s="3" t="s">
        <v>2036</v>
      </c>
      <c r="F374" s="5" t="str">
        <f>IFERROR(__xludf.DUMMYFUNCTION("GOOGLETRANSLATE(A374, ""en"", ""hi"")"),"373")</f>
        <v>373</v>
      </c>
      <c r="G374" s="5" t="str">
        <f>IFERROR(__xludf.DUMMYFUNCTION("GOOGLETRANSLATE(B374, ""en"", ""hi"")"),"सफ़ेद के पास g1 पर एक किश्ती है और काले के पास g7 पर एक मोहरा और f6 पर एक घोड़ा है। सफ़ेद को क्या करना चाहिए?")</f>
        <v>सफ़ेद के पास g1 पर एक किश्ती है और काले के पास g7 पर एक मोहरा और f6 पर एक घोड़ा है। सफ़ेद को क्या करना चाहिए?</v>
      </c>
      <c r="H374" s="5" t="str">
        <f>IFERROR(__xludf.DUMMYFUNCTION("GOOGLETRANSLATE(C374, ""en"", ""hi"")"),"A) काले के मोहरे पर हमला करने के लिए हाथी का उपयोग करें, B) आगे बढ़ने के लिए मोहरे को g8 पर धकेलें, C) हमले के लिए हाथी और मोहरे का समन्वय करें, D) हाथी को g2 पर ले जाएं")</f>
        <v>A) काले के मोहरे पर हमला करने के लिए हाथी का उपयोग करें, B) आगे बढ़ने के लिए मोहरे को g8 पर धकेलें, C) हमले के लिए हाथी और मोहरे का समन्वय करें, D) हाथी को g2 पर ले जाएं</v>
      </c>
      <c r="I374" s="5" t="str">
        <f>IFERROR(__xludf.DUMMYFUNCTION("GOOGLETRANSLATE(D374, ""en"", ""hi"")"),"बी) पदोन्नति के लिए मोहरे को g8 पर धकेलें")</f>
        <v>बी) पदोन्नति के लिए मोहरे को g8 पर धकेलें</v>
      </c>
    </row>
    <row r="375" ht="22.5" customHeight="1">
      <c r="A375" s="2">
        <v>374.0</v>
      </c>
      <c r="B375" s="3" t="s">
        <v>2037</v>
      </c>
      <c r="C375" s="3" t="s">
        <v>2038</v>
      </c>
      <c r="D375" s="3" t="s">
        <v>1955</v>
      </c>
      <c r="F375" s="5" t="str">
        <f>IFERROR(__xludf.DUMMYFUNCTION("GOOGLETRANSLATE(A375, ""en"", ""hi"")"),"374")</f>
        <v>374</v>
      </c>
      <c r="G375" s="5" t="str">
        <f>IFERROR(__xludf.DUMMYFUNCTION("GOOGLETRANSLATE(B375, ""en"", ""hi"")"),"काले के पास b4 पर एक मोहरा है और सफ़ेद के पास d1 पर एक रानी और a1 पर एक किश्ती है। सफ़ेद को क्या करना चाहिए?")</f>
        <v>काले के पास b4 पर एक मोहरा है और सफ़ेद के पास d1 पर एक रानी और a1 पर एक किश्ती है। सफ़ेद को क्या करना चाहिए?</v>
      </c>
      <c r="H375" s="5" t="str">
        <f>IFERROR(__xludf.DUMMYFUNCTION("GOOGLETRANSLATE(C375, ""en"", ""hi"")"),"A) काले के मोहरे पर हमला करने के लिए रानी का उपयोग करें, B) किश्ती को a2 पर ले जाएं, C) मोहरों को राजा की ओर धकेलें, D) हमले के लिए रानी और किश्ती का समन्वय करें")</f>
        <v>A) काले के मोहरे पर हमला करने के लिए रानी का उपयोग करें, B) किश्ती को a2 पर ले जाएं, C) मोहरों को राजा की ओर धकेलें, D) हमले के लिए रानी और किश्ती का समन्वय करें</v>
      </c>
      <c r="I375" s="5" t="str">
        <f>IFERROR(__xludf.DUMMYFUNCTION("GOOGLETRANSLATE(D375, ""en"", ""hi"")"),"A) रानी का उपयोग काले के मोहरे पर हमला करने के लिए करें")</f>
        <v>A) रानी का उपयोग काले के मोहरे पर हमला करने के लिए करें</v>
      </c>
    </row>
    <row r="376" ht="22.5" customHeight="1">
      <c r="A376" s="2">
        <v>375.0</v>
      </c>
      <c r="B376" s="3" t="s">
        <v>2039</v>
      </c>
      <c r="C376" s="3" t="s">
        <v>2040</v>
      </c>
      <c r="D376" s="3" t="s">
        <v>1981</v>
      </c>
      <c r="F376" s="5" t="str">
        <f>IFERROR(__xludf.DUMMYFUNCTION("GOOGLETRANSLATE(A376, ""en"", ""hi"")"),"375")</f>
        <v>375</v>
      </c>
      <c r="G376" s="5" t="str">
        <f>IFERROR(__xludf.DUMMYFUNCTION("GOOGLETRANSLATE(B376, ""en"", ""hi"")"),"सफ़ेद के पास h3 पर एक बिशप और f6 पर एक प्यादा है। काले के पास f8 पर एक किश्ती और d5 पर एक घोड़ा है। सफ़ेद को क्या करना चाहिए?")</f>
        <v>सफ़ेद के पास h3 पर एक बिशप और f6 पर एक प्यादा है। काले के पास f8 पर एक किश्ती और d5 पर एक घोड़ा है। सफ़ेद को क्या करना चाहिए?</v>
      </c>
      <c r="H376" s="5" t="str">
        <f>IFERROR(__xludf.DUMMYFUNCTION("GOOGLETRANSLATE(C376, ""en"", ""hi"")"),"A) मोहरे को f7 पर धकेलें, B) काले के हाथी पर हमला करने के लिए बिशप का उपयोग करें, C) हमले के लिए बिशप और मोहरे का समन्वय करें, D) बिशप को g4 पर ले जाएं")</f>
        <v>A) मोहरे को f7 पर धकेलें, B) काले के हाथी पर हमला करने के लिए बिशप का उपयोग करें, C) हमले के लिए बिशप और मोहरे का समन्वय करें, D) बिशप को g4 पर ले जाएं</v>
      </c>
      <c r="I376" s="5" t="str">
        <f>IFERROR(__xludf.DUMMYFUNCTION("GOOGLETRANSLATE(D376, ""en"", ""hi"")"),"A) मोहरे को f7 पर धकेलें")</f>
        <v>A) मोहरे को f7 पर धकेलें</v>
      </c>
    </row>
    <row r="377" ht="22.5" customHeight="1">
      <c r="A377" s="2">
        <v>376.0</v>
      </c>
      <c r="B377" s="3" t="s">
        <v>2041</v>
      </c>
      <c r="C377" s="3" t="s">
        <v>2042</v>
      </c>
      <c r="D377" s="3" t="s">
        <v>2017</v>
      </c>
      <c r="F377" s="5" t="str">
        <f>IFERROR(__xludf.DUMMYFUNCTION("GOOGLETRANSLATE(A377, ""en"", ""hi"")"),"376")</f>
        <v>376</v>
      </c>
      <c r="G377" s="5" t="str">
        <f>IFERROR(__xludf.DUMMYFUNCTION("GOOGLETRANSLATE(B377, ""en"", ""hi"")"),"काले के पास a7 पर एक रानी है और सफ़ेद के पास f1 पर एक किश्ती और f6 पर एक मोहरा है। सफ़ेद को क्या करना चाहिए?")</f>
        <v>काले के पास a7 पर एक रानी है और सफ़ेद के पास f1 पर एक किश्ती और f6 पर एक मोहरा है। सफ़ेद को क्या करना चाहिए?</v>
      </c>
      <c r="H377" s="5" t="str">
        <f>IFERROR(__xludf.DUMMYFUNCTION("GOOGLETRANSLATE(C377, ""en"", ""hi"")"),"A) काले की रानी पर हमला करने के लिए किश्ती का उपयोग करें, B) किश्ती को f2 पर ले जाएं, C) मोहरे को f7 पर धकेलें, D) हमले के लिए किश्ती और मोहरे का समन्वय करें")</f>
        <v>A) काले की रानी पर हमला करने के लिए किश्ती का उपयोग करें, B) किश्ती को f2 पर ले जाएं, C) मोहरे को f7 पर धकेलें, D) हमले के लिए किश्ती और मोहरे का समन्वय करें</v>
      </c>
      <c r="I377" s="5" t="str">
        <f>IFERROR(__xludf.DUMMYFUNCTION("GOOGLETRANSLATE(D377, ""en"", ""hi"")"),"C) मोहरे को f7 पर धकेलें")</f>
        <v>C) मोहरे को f7 पर धकेलें</v>
      </c>
    </row>
    <row r="378" ht="22.5" customHeight="1">
      <c r="A378" s="2">
        <v>377.0</v>
      </c>
      <c r="B378" s="3" t="s">
        <v>2043</v>
      </c>
      <c r="C378" s="3" t="s">
        <v>2044</v>
      </c>
      <c r="D378" s="3" t="s">
        <v>2045</v>
      </c>
      <c r="F378" s="5" t="str">
        <f>IFERROR(__xludf.DUMMYFUNCTION("GOOGLETRANSLATE(A378, ""en"", ""hi"")"),"377")</f>
        <v>377</v>
      </c>
      <c r="G378" s="5" t="str">
        <f>IFERROR(__xludf.DUMMYFUNCTION("GOOGLETRANSLATE(B378, ""en"", ""hi"")"),"सफ़ेद के पास a5 पर एक मोहरा है, काले के पास b8 पर एक किश्ती और e4 पर एक घोड़ा है। सफ़ेद को क्या करना चाहिए?")</f>
        <v>सफ़ेद के पास a5 पर एक मोहरा है, काले के पास b8 पर एक किश्ती और e4 पर एक घोड़ा है। सफ़ेद को क्या करना चाहिए?</v>
      </c>
      <c r="H378" s="5" t="str">
        <f>IFERROR(__xludf.DUMMYFUNCTION("GOOGLETRANSLATE(C378, ""en"", ""hi"")"),"A) मोहरे को a6 पर धकेलें, B) खतरे पैदा करने के लिए मोहरे का उपयोग करें, C) मोहरे को अन्य मोहरों के साथ समन्वयित करें, D) मोहरे को a4 पर ले जाएं")</f>
        <v>A) मोहरे को a6 पर धकेलें, B) खतरे पैदा करने के लिए मोहरे का उपयोग करें, C) मोहरे को अन्य मोहरों के साथ समन्वयित करें, D) मोहरे को a4 पर ले जाएं</v>
      </c>
      <c r="I378" s="5" t="str">
        <f>IFERROR(__xludf.DUMMYFUNCTION("GOOGLETRANSLATE(D378, ""en"", ""hi"")"),"A) मोहरे को a6 पर धकेलें")</f>
        <v>A) मोहरे को a6 पर धकेलें</v>
      </c>
    </row>
    <row r="379" ht="22.5" customHeight="1">
      <c r="A379" s="2">
        <v>378.0</v>
      </c>
      <c r="B379" s="3" t="s">
        <v>2046</v>
      </c>
      <c r="C379" s="3" t="s">
        <v>2047</v>
      </c>
      <c r="D379" s="3" t="s">
        <v>1941</v>
      </c>
      <c r="F379" s="5" t="str">
        <f>IFERROR(__xludf.DUMMYFUNCTION("GOOGLETRANSLATE(A379, ""en"", ""hi"")"),"378")</f>
        <v>378</v>
      </c>
      <c r="G379" s="5" t="str">
        <f>IFERROR(__xludf.DUMMYFUNCTION("GOOGLETRANSLATE(B379, ""en"", ""hi"")"),"सफ़ेद के पास e1 पर एक किश्ती और e5 पर एक मोहरा है। काले के पास e8 पर एक रानी और d6 पर एक बिशप है। सफ़ेद को क्या करना चाहिए?")</f>
        <v>सफ़ेद के पास e1 पर एक किश्ती और e5 पर एक मोहरा है। काले के पास e8 पर एक रानी और d6 पर एक बिशप है। सफ़ेद को क्या करना चाहिए?</v>
      </c>
      <c r="H379" s="5" t="str">
        <f>IFERROR(__xludf.DUMMYFUNCTION("GOOGLETRANSLATE(C379, ""en"", ""hi"")"),"A) मोहरे को e6 पर धकेलें, B) काले की रानी पर हमला करने के लिए किश्ती का उपयोग करें, C) किश्ती को e2 पर ले जाएं, D) हमले के लिए किश्ती और मोहरे का समन्वय करें")</f>
        <v>A) मोहरे को e6 पर धकेलें, B) काले की रानी पर हमला करने के लिए किश्ती का उपयोग करें, C) किश्ती को e2 पर ले जाएं, D) हमले के लिए किश्ती और मोहरे का समन्वय करें</v>
      </c>
      <c r="I379" s="5" t="str">
        <f>IFERROR(__xludf.DUMMYFUNCTION("GOOGLETRANSLATE(D379, ""en"", ""hi"")"),"A) मोहरे को e6 पर धकेलें")</f>
        <v>A) मोहरे को e6 पर धकेलें</v>
      </c>
    </row>
    <row r="380" ht="22.5" customHeight="1">
      <c r="A380" s="2">
        <v>379.0</v>
      </c>
      <c r="B380" s="3" t="s">
        <v>2048</v>
      </c>
      <c r="C380" s="3" t="s">
        <v>2049</v>
      </c>
      <c r="D380" s="3" t="s">
        <v>2033</v>
      </c>
      <c r="F380" s="5" t="str">
        <f>IFERROR(__xludf.DUMMYFUNCTION("GOOGLETRANSLATE(A380, ""en"", ""hi"")"),"379")</f>
        <v>379</v>
      </c>
      <c r="G380" s="5" t="str">
        <f>IFERROR(__xludf.DUMMYFUNCTION("GOOGLETRANSLATE(B380, ""en"", ""hi"")"),"काले के पास a7 पर एक किश्ती और a5 पर एक मोहरा है। सफ़ेद के पास d4 पर एक रानी और f3 पर एक घोड़ा है। सफ़ेद को क्या करना चाहिए?")</f>
        <v>काले के पास a7 पर एक किश्ती और a5 पर एक मोहरा है। सफ़ेद के पास d4 पर एक रानी और f3 पर एक घोड़ा है। सफ़ेद को क्या करना चाहिए?</v>
      </c>
      <c r="H380" s="5" t="str">
        <f>IFERROR(__xludf.DUMMYFUNCTION("GOOGLETRANSLATE(C380, ""en"", ""hi"")"),"A) काले के मोहरे पर हमला करने के लिए रानी का उपयोग करें, B) घोड़े को e5 पर ले जाएं, C) मोहरे को रानी की तरफ धकेलें, D) हमले के लिए रानी और घोड़े का समन्वय करें")</f>
        <v>A) काले के मोहरे पर हमला करने के लिए रानी का उपयोग करें, B) घोड़े को e5 पर ले जाएं, C) मोहरे को रानी की तरफ धकेलें, D) हमले के लिए रानी और घोड़े का समन्वय करें</v>
      </c>
      <c r="I380" s="5" t="str">
        <f>IFERROR(__xludf.DUMMYFUNCTION("GOOGLETRANSLATE(D380, ""en"", ""hi"")"),"D) हमले के लिए रानी और शूरवीर का समन्वय करना")</f>
        <v>D) हमले के लिए रानी और शूरवीर का समन्वय करना</v>
      </c>
    </row>
    <row r="381" ht="22.5" customHeight="1">
      <c r="A381" s="2">
        <v>380.0</v>
      </c>
      <c r="B381" s="3" t="s">
        <v>2050</v>
      </c>
      <c r="C381" s="3" t="s">
        <v>2051</v>
      </c>
      <c r="D381" s="3" t="s">
        <v>1948</v>
      </c>
      <c r="F381" s="5" t="str">
        <f>IFERROR(__xludf.DUMMYFUNCTION("GOOGLETRANSLATE(A381, ""en"", ""hi"")"),"380")</f>
        <v>380</v>
      </c>
      <c r="G381" s="5" t="str">
        <f>IFERROR(__xludf.DUMMYFUNCTION("GOOGLETRANSLATE(B381, ""en"", ""hi"")"),"सफ़ेद के पास f7 पर एक मोहरा है, काले के पास g8 पर एक किश्ती और h8 पर एक राजा है। सफ़ेद को क्या करना चाहिए?")</f>
        <v>सफ़ेद के पास f7 पर एक मोहरा है, काले के पास g8 पर एक किश्ती और h8 पर एक राजा है। सफ़ेद को क्या करना चाहिए?</v>
      </c>
      <c r="H381" s="5" t="str">
        <f>IFERROR(__xludf.DUMMYFUNCTION("GOOGLETRANSLATE(C381, ""en"", ""hi"")"),"A) पदोन्नति के लिए मोहरे को f8 पर धकेलें, B) काले के हाथी पर हमला करने के लिए मोहरे का उपयोग करें, C) मोहरे को अन्य मोहरों के साथ समन्वयित करें, D) मोहरे को f6 पर ले जाएं")</f>
        <v>A) पदोन्नति के लिए मोहरे को f8 पर धकेलें, B) काले के हाथी पर हमला करने के लिए मोहरे का उपयोग करें, C) मोहरे को अन्य मोहरों के साथ समन्वयित करें, D) मोहरे को f6 पर ले जाएं</v>
      </c>
      <c r="I381" s="5" t="str">
        <f>IFERROR(__xludf.DUMMYFUNCTION("GOOGLETRANSLATE(D381, ""en"", ""hi"")"),"A) पदोन्नति के लिए मोहरे को f8 पर धकेलें")</f>
        <v>A) पदोन्नति के लिए मोहरे को f8 पर धकेलें</v>
      </c>
    </row>
    <row r="382" ht="22.5" customHeight="1">
      <c r="A382" s="2">
        <v>381.0</v>
      </c>
      <c r="B382" s="3" t="s">
        <v>2052</v>
      </c>
      <c r="C382" s="3" t="s">
        <v>2053</v>
      </c>
      <c r="D382" s="3" t="s">
        <v>2010</v>
      </c>
      <c r="F382" s="5" t="str">
        <f>IFERROR(__xludf.DUMMYFUNCTION("GOOGLETRANSLATE(A382, ""en"", ""hi"")"),"381")</f>
        <v>381</v>
      </c>
      <c r="G382" s="5" t="str">
        <f>IFERROR(__xludf.DUMMYFUNCTION("GOOGLETRANSLATE(B382, ""en"", ""hi"")"),"काले के पास b7 पर एक रानी और b4 पर एक मोहरा है। सफेद के पास a1 पर एक किश्ती और f4 पर एक बिशप है। सफेद को क्या करना चाहिए?")</f>
        <v>काले के पास b7 पर एक रानी और b4 पर एक मोहरा है। सफेद के पास a1 पर एक किश्ती और f4 पर एक बिशप है। सफेद को क्या करना चाहिए?</v>
      </c>
      <c r="H382" s="5" t="str">
        <f>IFERROR(__xludf.DUMMYFUNCTION("GOOGLETRANSLATE(C382, ""en"", ""hi"")"),"A) काले की रानी पर हमला करने के लिए हाथी का उपयोग करें, B) बिशप को e3 पर ले जाएं, C) रानी की तरफ मोहरे को धकेलें, D) हमले के लिए हाथी और बिशप का समन्वय करें")</f>
        <v>A) काले की रानी पर हमला करने के लिए हाथी का उपयोग करें, B) बिशप को e3 पर ले जाएं, C) रानी की तरफ मोहरे को धकेलें, D) हमले के लिए हाथी और बिशप का समन्वय करें</v>
      </c>
      <c r="I382" s="5" t="str">
        <f>IFERROR(__xludf.DUMMYFUNCTION("GOOGLETRANSLATE(D382, ""en"", ""hi"")"),"A) काले की रानी पर हमला करने के लिए हाथी का उपयोग करें")</f>
        <v>A) काले की रानी पर हमला करने के लिए हाथी का उपयोग करें</v>
      </c>
    </row>
    <row r="383" ht="22.5" customHeight="1">
      <c r="A383" s="2">
        <v>382.0</v>
      </c>
      <c r="B383" s="3" t="s">
        <v>2054</v>
      </c>
      <c r="C383" s="3" t="s">
        <v>1998</v>
      </c>
      <c r="D383" s="3" t="s">
        <v>1734</v>
      </c>
      <c r="F383" s="5" t="str">
        <f>IFERROR(__xludf.DUMMYFUNCTION("GOOGLETRANSLATE(A383, ""en"", ""hi"")"),"382")</f>
        <v>382</v>
      </c>
      <c r="G383" s="5" t="str">
        <f>IFERROR(__xludf.DUMMYFUNCTION("GOOGLETRANSLATE(B383, ""en"", ""hi"")"),"सफ़ेद के पास d1 पर एक किश्ती और d6 पर एक प्यादा है। काले के पास f6 पर एक घोड़ा और c8 पर एक बिशप है। सफ़ेद को क्या करना चाहिए?")</f>
        <v>सफ़ेद के पास d1 पर एक किश्ती और d6 पर एक प्यादा है। काले के पास f6 पर एक घोड़ा और c8 पर एक बिशप है। सफ़ेद को क्या करना चाहिए?</v>
      </c>
      <c r="H383" s="5" t="str">
        <f>IFERROR(__xludf.DUMMYFUNCTION("GOOGLETRANSLATE(C383, ""en"", ""hi"")"),"A) मोहरे को d7 पर धकेलें, B) काले घोड़े पर हमला करने के लिए हाथी का उपयोग करें, C) हमले के लिए हाथी और मोहरे का समन्वय करें, D) हाथी को d2 पर ले जाएं")</f>
        <v>A) मोहरे को d7 पर धकेलें, B) काले घोड़े पर हमला करने के लिए हाथी का उपयोग करें, C) हमले के लिए हाथी और मोहरे का समन्वय करें, D) हाथी को d2 पर ले जाएं</v>
      </c>
      <c r="I383" s="5" t="str">
        <f>IFERROR(__xludf.DUMMYFUNCTION("GOOGLETRANSLATE(D383, ""en"", ""hi"")"),"A) मोहरे को d7 पर धकेलें")</f>
        <v>A) मोहरे को d7 पर धकेलें</v>
      </c>
    </row>
    <row r="384" ht="22.5" customHeight="1">
      <c r="A384" s="2">
        <v>383.0</v>
      </c>
      <c r="B384" s="3" t="s">
        <v>2055</v>
      </c>
      <c r="C384" s="3" t="s">
        <v>2056</v>
      </c>
      <c r="D384" s="3" t="s">
        <v>1955</v>
      </c>
      <c r="F384" s="5" t="str">
        <f>IFERROR(__xludf.DUMMYFUNCTION("GOOGLETRANSLATE(A384, ""en"", ""hi"")"),"383")</f>
        <v>383</v>
      </c>
      <c r="G384" s="5" t="str">
        <f>IFERROR(__xludf.DUMMYFUNCTION("GOOGLETRANSLATE(B384, ""en"", ""hi"")"),"काले के पास e4 पर एक मोहरा और e8 पर एक किश्ती है। सफ़ेद के पास d4 पर एक रानी और f3 पर एक घोड़ा है। सफ़ेद को क्या करना चाहिए?")</f>
        <v>काले के पास e4 पर एक मोहरा और e8 पर एक किश्ती है। सफ़ेद के पास d4 पर एक रानी और f3 पर एक घोड़ा है। सफ़ेद को क्या करना चाहिए?</v>
      </c>
      <c r="H384" s="5" t="str">
        <f>IFERROR(__xludf.DUMMYFUNCTION("GOOGLETRANSLATE(C384, ""en"", ""hi"")"),"A) काले के मोहरे पर हमला करने के लिए रानी का उपयोग करें, B) घोड़े को e5 पर ले जाएं, C) मोहरे को e5 पर धकेलें, D) हमले के लिए रानी और घोड़े का समन्वय करें")</f>
        <v>A) काले के मोहरे पर हमला करने के लिए रानी का उपयोग करें, B) घोड़े को e5 पर ले जाएं, C) मोहरे को e5 पर धकेलें, D) हमले के लिए रानी और घोड़े का समन्वय करें</v>
      </c>
      <c r="I384" s="5" t="str">
        <f>IFERROR(__xludf.DUMMYFUNCTION("GOOGLETRANSLATE(D384, ""en"", ""hi"")"),"A) रानी का उपयोग काले के मोहरे पर हमला करने के लिए करें")</f>
        <v>A) रानी का उपयोग काले के मोहरे पर हमला करने के लिए करें</v>
      </c>
    </row>
    <row r="385" ht="22.5" customHeight="1">
      <c r="A385" s="2">
        <v>384.0</v>
      </c>
      <c r="B385" s="3" t="s">
        <v>2057</v>
      </c>
      <c r="C385" s="3" t="s">
        <v>2058</v>
      </c>
      <c r="D385" s="3" t="s">
        <v>2059</v>
      </c>
      <c r="F385" s="5" t="str">
        <f>IFERROR(__xludf.DUMMYFUNCTION("GOOGLETRANSLATE(A385, ""en"", ""hi"")"),"384")</f>
        <v>384</v>
      </c>
      <c r="G385" s="5" t="str">
        <f>IFERROR(__xludf.DUMMYFUNCTION("GOOGLETRANSLATE(B385, ""en"", ""hi"")"),"सफ़ेद के पास c6 पर एक घोड़ा और a5 पर एक मोहरा है। काले के पास a7 पर एक किश्ती और f6 पर एक बिशप है। सफ़ेद को क्या करना चाहिए?")</f>
        <v>सफ़ेद के पास c6 पर एक घोड़ा और a5 पर एक मोहरा है। काले के पास a7 पर एक किश्ती और f6 पर एक बिशप है। सफ़ेद को क्या करना चाहिए?</v>
      </c>
      <c r="H385" s="5" t="str">
        <f>IFERROR(__xludf.DUMMYFUNCTION("GOOGLETRANSLATE(C385, ""en"", ""hi"")"),"A) काले के बिशप पर हमला करने के लिए घोड़े का उपयोग करें, B) मोहरे को a6 पर धकेलें, C) घोड़े को अन्य मोहरों के साथ समन्वयित करें, D) घोड़े को b8 पर ले जाएं")</f>
        <v>A) काले के बिशप पर हमला करने के लिए घोड़े का उपयोग करें, B) मोहरे को a6 पर धकेलें, C) घोड़े को अन्य मोहरों के साथ समन्वयित करें, D) घोड़े को b8 पर ले जाएं</v>
      </c>
      <c r="I385" s="5" t="str">
        <f>IFERROR(__xludf.DUMMYFUNCTION("GOOGLETRANSLATE(D385, ""en"", ""hi"")"),"B) मोहरे को a6 पर धकेलें")</f>
        <v>B) मोहरे को a6 पर धकेलें</v>
      </c>
    </row>
    <row r="386" ht="22.5" customHeight="1">
      <c r="A386" s="2">
        <v>385.0</v>
      </c>
      <c r="B386" s="3" t="s">
        <v>2060</v>
      </c>
      <c r="C386" s="3" t="s">
        <v>2061</v>
      </c>
      <c r="D386" s="3" t="s">
        <v>2001</v>
      </c>
      <c r="F386" s="5" t="str">
        <f>IFERROR(__xludf.DUMMYFUNCTION("GOOGLETRANSLATE(A386, ""en"", ""hi"")"),"385")</f>
        <v>385</v>
      </c>
      <c r="G386" s="5" t="str">
        <f>IFERROR(__xludf.DUMMYFUNCTION("GOOGLETRANSLATE(B386, ""en"", ""hi"")"),"काले के पास g4 पर एक बिशप और h5 पर एक मोहरा है। सफेद के पास h1 पर एक किश्ती और g6 पर एक मोहरा है। सफेद को क्या करना चाहिए?")</f>
        <v>काले के पास g4 पर एक बिशप और h5 पर एक मोहरा है। सफेद के पास h1 पर एक किश्ती और g6 पर एक मोहरा है। सफेद को क्या करना चाहिए?</v>
      </c>
      <c r="H386" s="5" t="str">
        <f>IFERROR(__xludf.DUMMYFUNCTION("GOOGLETRANSLATE(C386, ""en"", ""hi"")"),"A) पदोन्नति के लिए मोहरे को g7 पर धकेलें, B) काले के बिशप पर हमला करने के लिए किश्ती का उपयोग करें, C) हमले के लिए किश्ती और मोहरे का समन्वय करें, D) किश्ती को h2 पर ले जाएं")</f>
        <v>A) पदोन्नति के लिए मोहरे को g7 पर धकेलें, B) काले के बिशप पर हमला करने के लिए किश्ती का उपयोग करें, C) हमले के लिए किश्ती और मोहरे का समन्वय करें, D) किश्ती को h2 पर ले जाएं</v>
      </c>
      <c r="I386" s="5" t="str">
        <f>IFERROR(__xludf.DUMMYFUNCTION("GOOGLETRANSLATE(D386, ""en"", ""hi"")"),"A) पदोन्नति के लिए मोहरे को g7 पर धकेलें")</f>
        <v>A) पदोन्नति के लिए मोहरे को g7 पर धकेलें</v>
      </c>
    </row>
    <row r="387" ht="22.5" customHeight="1">
      <c r="A387" s="2">
        <v>386.0</v>
      </c>
      <c r="B387" s="3" t="s">
        <v>2062</v>
      </c>
      <c r="C387" s="3" t="s">
        <v>2063</v>
      </c>
      <c r="D387" s="3" t="s">
        <v>2064</v>
      </c>
      <c r="F387" s="5" t="str">
        <f>IFERROR(__xludf.DUMMYFUNCTION("GOOGLETRANSLATE(A387, ""en"", ""hi"")"),"386")</f>
        <v>386</v>
      </c>
      <c r="G387" s="5" t="str">
        <f>IFERROR(__xludf.DUMMYFUNCTION("GOOGLETRANSLATE(B387, ""en"", ""hi"")"),"सफ़ेद के पास d5 पर एक रानी है और काले के पास e8 पर एक किश्ती और e6 पर एक मोहरा है। सफ़ेद को क्या करना चाहिए?")</f>
        <v>सफ़ेद के पास d5 पर एक रानी है और काले के पास e8 पर एक किश्ती और e6 पर एक मोहरा है। सफ़ेद को क्या करना चाहिए?</v>
      </c>
      <c r="H387" s="5" t="str">
        <f>IFERROR(__xludf.DUMMYFUNCTION("GOOGLETRANSLATE(C387, ""en"", ""hi"")"),"ए) काले के हाथी पर हमला करने के लिए रानी का उपयोग करें, बी) मोहरे को e7 पर धकेलें, सी) हमले के लिए रानी और अन्य मोहरों का समन्वय करें, डी) रानी को e4 पर ले जाएं")</f>
        <v>ए) काले के हाथी पर हमला करने के लिए रानी का उपयोग करें, बी) मोहरे को e7 पर धकेलें, सी) हमले के लिए रानी और अन्य मोहरों का समन्वय करें, डी) रानी को e4 पर ले जाएं</v>
      </c>
      <c r="I387" s="5" t="str">
        <f>IFERROR(__xludf.DUMMYFUNCTION("GOOGLETRANSLATE(D387, ""en"", ""hi"")"),"B) मोहरे को e7 पर धकेलें")</f>
        <v>B) मोहरे को e7 पर धकेलें</v>
      </c>
    </row>
    <row r="388" ht="22.5" customHeight="1">
      <c r="A388" s="2">
        <v>387.0</v>
      </c>
      <c r="B388" s="3" t="s">
        <v>2065</v>
      </c>
      <c r="C388" s="3" t="s">
        <v>2066</v>
      </c>
      <c r="D388" s="3" t="s">
        <v>1955</v>
      </c>
      <c r="F388" s="5" t="str">
        <f>IFERROR(__xludf.DUMMYFUNCTION("GOOGLETRANSLATE(A388, ""en"", ""hi"")"),"387")</f>
        <v>387</v>
      </c>
      <c r="G388" s="5" t="str">
        <f>IFERROR(__xludf.DUMMYFUNCTION("GOOGLETRANSLATE(B388, ""en"", ""hi"")"),"काले के पास a1 पर एक किश्ती और b4 पर एक मोहरा है। सफ़ेद के पास d2 पर एक रानी और f3 पर एक बिशप है। सफ़ेद को क्या करना चाहिए?")</f>
        <v>काले के पास a1 पर एक किश्ती और b4 पर एक मोहरा है। सफ़ेद के पास d2 पर एक रानी और f3 पर एक बिशप है। सफ़ेद को क्या करना चाहिए?</v>
      </c>
      <c r="H388" s="5" t="str">
        <f>IFERROR(__xludf.DUMMYFUNCTION("GOOGLETRANSLATE(C388, ""en"", ""hi"")"),"A) काले के मोहरे पर हमला करने के लिए रानी का उपयोग करें, B) बिशप को e4 पर ले जाएं, C) मोहरे को रानी की तरफ धकेलें, D) हमले के लिए रानी और बिशप का समन्वय करें")</f>
        <v>A) काले के मोहरे पर हमला करने के लिए रानी का उपयोग करें, B) बिशप को e4 पर ले जाएं, C) मोहरे को रानी की तरफ धकेलें, D) हमले के लिए रानी और बिशप का समन्वय करें</v>
      </c>
      <c r="I388" s="5" t="str">
        <f>IFERROR(__xludf.DUMMYFUNCTION("GOOGLETRANSLATE(D388, ""en"", ""hi"")"),"A) रानी का उपयोग काले के मोहरे पर हमला करने के लिए करें")</f>
        <v>A) रानी का उपयोग काले के मोहरे पर हमला करने के लिए करें</v>
      </c>
    </row>
    <row r="389" ht="22.5" customHeight="1">
      <c r="A389" s="2">
        <v>388.0</v>
      </c>
      <c r="B389" s="3" t="s">
        <v>2067</v>
      </c>
      <c r="C389" s="3" t="s">
        <v>2068</v>
      </c>
      <c r="D389" s="3" t="s">
        <v>2001</v>
      </c>
      <c r="F389" s="5" t="str">
        <f>IFERROR(__xludf.DUMMYFUNCTION("GOOGLETRANSLATE(A389, ""en"", ""hi"")"),"388")</f>
        <v>388</v>
      </c>
      <c r="G389" s="5" t="str">
        <f>IFERROR(__xludf.DUMMYFUNCTION("GOOGLETRANSLATE(B389, ""en"", ""hi"")"),"सफ़ेद के पास h7 पर एक किश्ती और g6 पर एक मोहरा है। काले के पास e8 पर एक रानी और f8 पर एक किश्ती है। सफ़ेद को क्या करना चाहिए?")</f>
        <v>सफ़ेद के पास h7 पर एक किश्ती और g6 पर एक मोहरा है। काले के पास e8 पर एक रानी और f8 पर एक किश्ती है। सफ़ेद को क्या करना चाहिए?</v>
      </c>
      <c r="H389" s="5" t="str">
        <f>IFERROR(__xludf.DUMMYFUNCTION("GOOGLETRANSLATE(C389, ""en"", ""hi"")"),"A) पदोन्नति के लिए मोहरे को g7 पर धकेलें, B) काले की रानी पर हमला करने के लिए किश्ती का उपयोग करें, C) हमले के लिए किश्ती और मोहरे का समन्वय करें, D) किश्ती को h8 पर ले जाएं")</f>
        <v>A) पदोन्नति के लिए मोहरे को g7 पर धकेलें, B) काले की रानी पर हमला करने के लिए किश्ती का उपयोग करें, C) हमले के लिए किश्ती और मोहरे का समन्वय करें, D) किश्ती को h8 पर ले जाएं</v>
      </c>
      <c r="I389" s="5" t="str">
        <f>IFERROR(__xludf.DUMMYFUNCTION("GOOGLETRANSLATE(D389, ""en"", ""hi"")"),"A) पदोन्नति के लिए मोहरे को g7 पर धकेलें")</f>
        <v>A) पदोन्नति के लिए मोहरे को g7 पर धकेलें</v>
      </c>
    </row>
    <row r="390" ht="22.5" customHeight="1">
      <c r="A390" s="2">
        <v>389.0</v>
      </c>
      <c r="B390" s="3" t="s">
        <v>2069</v>
      </c>
      <c r="C390" s="3" t="s">
        <v>2070</v>
      </c>
      <c r="D390" s="3" t="s">
        <v>1854</v>
      </c>
      <c r="F390" s="5" t="str">
        <f>IFERROR(__xludf.DUMMYFUNCTION("GOOGLETRANSLATE(A390, ""en"", ""hi"")"),"389")</f>
        <v>389</v>
      </c>
      <c r="G390" s="5" t="str">
        <f>IFERROR(__xludf.DUMMYFUNCTION("GOOGLETRANSLATE(B390, ""en"", ""hi"")"),"काले के पास c5 पर एक मोहरा और e5 पर एक घोड़ा है। सफेद के पास d1 पर एक किश्ती और f4 पर एक बिशप है। सफेद को क्या करना चाहिए?")</f>
        <v>काले के पास c5 पर एक मोहरा और e5 पर एक घोड़ा है। सफेद के पास d1 पर एक किश्ती और f4 पर एक बिशप है। सफेद को क्या करना चाहिए?</v>
      </c>
      <c r="H390" s="5" t="str">
        <f>IFERROR(__xludf.DUMMYFUNCTION("GOOGLETRANSLATE(C390, ""en"", ""hi"")"),"A) काले के मोहरे पर हमला करने के लिए हाथी का उपयोग करें, B) बिशप को e3 पर ले जाएं, C) मोहरे को रानी की ओर धकेलें, D) हमले के लिए हाथी और बिशप का समन्वय करें")</f>
        <v>A) काले के मोहरे पर हमला करने के लिए हाथी का उपयोग करें, B) बिशप को e3 पर ले जाएं, C) मोहरे को रानी की ओर धकेलें, D) हमले के लिए हाथी और बिशप का समन्वय करें</v>
      </c>
      <c r="I390" s="5" t="str">
        <f>IFERROR(__xludf.DUMMYFUNCTION("GOOGLETRANSLATE(D390, ""en"", ""hi"")"),"A) काले के मोहरे पर हमला करने के लिए हाथी का उपयोग करें")</f>
        <v>A) काले के मोहरे पर हमला करने के लिए हाथी का उपयोग करें</v>
      </c>
    </row>
    <row r="391" ht="22.5" customHeight="1">
      <c r="A391" s="2">
        <v>390.0</v>
      </c>
      <c r="B391" s="3" t="s">
        <v>2071</v>
      </c>
      <c r="C391" s="3" t="s">
        <v>2072</v>
      </c>
      <c r="D391" s="3" t="s">
        <v>1920</v>
      </c>
      <c r="F391" s="5" t="str">
        <f>IFERROR(__xludf.DUMMYFUNCTION("GOOGLETRANSLATE(A391, ""en"", ""hi"")"),"390")</f>
        <v>390</v>
      </c>
      <c r="G391" s="5" t="str">
        <f>IFERROR(__xludf.DUMMYFUNCTION("GOOGLETRANSLATE(B391, ""en"", ""hi"")"),"सफ़ेद के पास f6 पर एक घोड़ा और f4 पर एक मोहरा है। काले के पास d5 पर एक रानी और f8 पर एक किश्ती है। सफ़ेद को क्या करना चाहिए?")</f>
        <v>सफ़ेद के पास f6 पर एक घोड़ा और f4 पर एक मोहरा है। काले के पास d5 पर एक रानी और f8 पर एक किश्ती है। सफ़ेद को क्या करना चाहिए?</v>
      </c>
      <c r="H391" s="5" t="str">
        <f>IFERROR(__xludf.DUMMYFUNCTION("GOOGLETRANSLATE(C391, ""en"", ""hi"")"),"A) काले की रानी पर हमला करने के लिए घोड़े का उपयोग करें, B) घोड़े को e5 पर ले जाएं, C) मोहरे को f5 पर धकेलें, D) हमले के लिए घोड़े और मोहरे का समन्वय करें")</f>
        <v>A) काले की रानी पर हमला करने के लिए घोड़े का उपयोग करें, B) घोड़े को e5 पर ले जाएं, C) मोहरे को f5 पर धकेलें, D) हमले के लिए घोड़े और मोहरे का समन्वय करें</v>
      </c>
      <c r="I391" s="5" t="str">
        <f>IFERROR(__xludf.DUMMYFUNCTION("GOOGLETRANSLATE(D391, ""en"", ""hi"")"),"A) काले की रानी पर हमला करने के लिए घोड़े का उपयोग करें")</f>
        <v>A) काले की रानी पर हमला करने के लिए घोड़े का उपयोग करें</v>
      </c>
    </row>
    <row r="392" ht="22.5" customHeight="1">
      <c r="A392" s="2">
        <v>391.0</v>
      </c>
      <c r="B392" s="3" t="s">
        <v>2073</v>
      </c>
      <c r="C392" s="3" t="s">
        <v>2074</v>
      </c>
      <c r="D392" s="3" t="s">
        <v>1955</v>
      </c>
      <c r="F392" s="5" t="str">
        <f>IFERROR(__xludf.DUMMYFUNCTION("GOOGLETRANSLATE(A392, ""en"", ""hi"")"),"391")</f>
        <v>391</v>
      </c>
      <c r="G392" s="5" t="str">
        <f>IFERROR(__xludf.DUMMYFUNCTION("GOOGLETRANSLATE(B392, ""en"", ""hi"")"),"काले के पास a8 पर एक किश्ती और a6 पर एक मोहरा है। सफ़ेद के पास c4 पर एक रानी और e3 पर एक बिशप है। सफ़ेद को क्या करना चाहिए?")</f>
        <v>काले के पास a8 पर एक किश्ती और a6 पर एक मोहरा है। सफ़ेद के पास c4 पर एक रानी और e3 पर एक बिशप है। सफ़ेद को क्या करना चाहिए?</v>
      </c>
      <c r="H392" s="5" t="str">
        <f>IFERROR(__xludf.DUMMYFUNCTION("GOOGLETRANSLATE(C392, ""en"", ""hi"")"),"A) काले के मोहरे पर हमला करने के लिए रानी का उपयोग करें, B) बिशप को e2 पर ले जाएं, C) मोहरे को रानी की तरफ धकेलें, D) हमले के लिए रानी और बिशप का समन्वय करें")</f>
        <v>A) काले के मोहरे पर हमला करने के लिए रानी का उपयोग करें, B) बिशप को e2 पर ले जाएं, C) मोहरे को रानी की तरफ धकेलें, D) हमले के लिए रानी और बिशप का समन्वय करें</v>
      </c>
      <c r="I392" s="5" t="str">
        <f>IFERROR(__xludf.DUMMYFUNCTION("GOOGLETRANSLATE(D392, ""en"", ""hi"")"),"A) रानी का उपयोग काले के मोहरे पर हमला करने के लिए करें")</f>
        <v>A) रानी का उपयोग काले के मोहरे पर हमला करने के लिए करें</v>
      </c>
    </row>
    <row r="393" ht="22.5" customHeight="1">
      <c r="A393" s="2">
        <v>392.0</v>
      </c>
      <c r="B393" s="3" t="s">
        <v>2075</v>
      </c>
      <c r="C393" s="3" t="s">
        <v>2076</v>
      </c>
      <c r="D393" s="3" t="s">
        <v>1740</v>
      </c>
      <c r="F393" s="5" t="str">
        <f>IFERROR(__xludf.DUMMYFUNCTION("GOOGLETRANSLATE(A393, ""en"", ""hi"")"),"392")</f>
        <v>392</v>
      </c>
      <c r="G393" s="5" t="str">
        <f>IFERROR(__xludf.DUMMYFUNCTION("GOOGLETRANSLATE(B393, ""en"", ""hi"")"),"सफ़ेद के पास b6 पर एक मोहरा है, काले के पास d8 पर एक किश्ती और f6 पर एक घोड़ा है। सफ़ेद को क्या करना चाहिए?")</f>
        <v>सफ़ेद के पास b6 पर एक मोहरा है, काले के पास d8 पर एक किश्ती और f6 पर एक घोड़ा है। सफ़ेद को क्या करना चाहिए?</v>
      </c>
      <c r="H393" s="5" t="str">
        <f>IFERROR(__xludf.DUMMYFUNCTION("GOOGLETRANSLATE(C393, ""en"", ""hi"")"),"A) मोहरे को b7 पर धकेलें, B) खतरे पैदा करने के लिए मोहरे का उपयोग करें, C) मोहरे को अन्य मोहरों के साथ समन्वयित करें, D) मोहरे को b5 पर ले जाएं")</f>
        <v>A) मोहरे को b7 पर धकेलें, B) खतरे पैदा करने के लिए मोहरे का उपयोग करें, C) मोहरे को अन्य मोहरों के साथ समन्वयित करें, D) मोहरे को b5 पर ले जाएं</v>
      </c>
      <c r="I393" s="5" t="str">
        <f>IFERROR(__xludf.DUMMYFUNCTION("GOOGLETRANSLATE(D393, ""en"", ""hi"")"),"A) मोहरे को b7 पर धकेलें")</f>
        <v>A) मोहरे को b7 पर धकेलें</v>
      </c>
    </row>
    <row r="394" ht="22.5" customHeight="1">
      <c r="A394" s="2">
        <v>393.0</v>
      </c>
      <c r="B394" s="3" t="s">
        <v>2077</v>
      </c>
      <c r="C394" s="3" t="s">
        <v>2078</v>
      </c>
      <c r="D394" s="3" t="s">
        <v>2010</v>
      </c>
      <c r="F394" s="5" t="str">
        <f>IFERROR(__xludf.DUMMYFUNCTION("GOOGLETRANSLATE(A394, ""en"", ""hi"")"),"393")</f>
        <v>393</v>
      </c>
      <c r="G394" s="5" t="str">
        <f>IFERROR(__xludf.DUMMYFUNCTION("GOOGLETRANSLATE(B394, ""en"", ""hi"")"),"काले के पास c5 पर एक रानी और g6 पर एक मोहरा है। सफेद के पास f1 पर एक किश्ती और e3 पर एक बिशप है। सफेद को क्या करना चाहिए?")</f>
        <v>काले के पास c5 पर एक रानी और g6 पर एक मोहरा है। सफेद के पास f1 पर एक किश्ती और e3 पर एक बिशप है। सफेद को क्या करना चाहिए?</v>
      </c>
      <c r="H394" s="5" t="str">
        <f>IFERROR(__xludf.DUMMYFUNCTION("GOOGLETRANSLATE(C394, ""en"", ""hi"")"),"A) काले की रानी पर हमला करने के लिए हाथी का उपयोग करें, B) बिशप को d2 पर ले जाएं, C) मोहरे को g7 पर धकेलें, D) हमले के लिए हाथी और बिशप का समन्वय करें")</f>
        <v>A) काले की रानी पर हमला करने के लिए हाथी का उपयोग करें, B) बिशप को d2 पर ले जाएं, C) मोहरे को g7 पर धकेलें, D) हमले के लिए हाथी और बिशप का समन्वय करें</v>
      </c>
      <c r="I394" s="5" t="str">
        <f>IFERROR(__xludf.DUMMYFUNCTION("GOOGLETRANSLATE(D394, ""en"", ""hi"")"),"A) काले की रानी पर हमला करने के लिए हाथी का उपयोग करें")</f>
        <v>A) काले की रानी पर हमला करने के लिए हाथी का उपयोग करें</v>
      </c>
    </row>
    <row r="395" ht="22.5" customHeight="1">
      <c r="A395" s="2">
        <v>394.0</v>
      </c>
      <c r="B395" s="3" t="s">
        <v>2079</v>
      </c>
      <c r="C395" s="3" t="s">
        <v>2080</v>
      </c>
      <c r="D395" s="3" t="s">
        <v>1920</v>
      </c>
      <c r="F395" s="5" t="str">
        <f>IFERROR(__xludf.DUMMYFUNCTION("GOOGLETRANSLATE(A395, ""en"", ""hi"")"),"394")</f>
        <v>394</v>
      </c>
      <c r="G395" s="5" t="str">
        <f>IFERROR(__xludf.DUMMYFUNCTION("GOOGLETRANSLATE(B395, ""en"", ""hi"")"),"सफ़ेद के पास d4 पर घोड़ा है, काले के पास d5 पर मोहरा और c7 पर रानी है। सफ़ेद को क्या करना चाहिए?")</f>
        <v>सफ़ेद के पास d4 पर घोड़ा है, काले के पास d5 पर मोहरा और c7 पर रानी है। सफ़ेद को क्या करना चाहिए?</v>
      </c>
      <c r="H395" s="5" t="str">
        <f>IFERROR(__xludf.DUMMYFUNCTION("GOOGLETRANSLATE(C395, ""en"", ""hi"")"),"A) काले की रानी पर हमला करने के लिए घोड़े का उपयोग करें, B) घोड़े को e6 पर ले जाएं, C) रानी की तरफ मोहरे को धकेलें, D) हमले के लिए घोड़े को अन्य मोहरों के साथ समन्वयित करें")</f>
        <v>A) काले की रानी पर हमला करने के लिए घोड़े का उपयोग करें, B) घोड़े को e6 पर ले जाएं, C) रानी की तरफ मोहरे को धकेलें, D) हमले के लिए घोड़े को अन्य मोहरों के साथ समन्वयित करें</v>
      </c>
      <c r="I395" s="5" t="str">
        <f>IFERROR(__xludf.DUMMYFUNCTION("GOOGLETRANSLATE(D395, ""en"", ""hi"")"),"A) काले की रानी पर हमला करने के लिए घोड़े का उपयोग करें")</f>
        <v>A) काले की रानी पर हमला करने के लिए घोड़े का उपयोग करें</v>
      </c>
    </row>
    <row r="396" ht="22.5" customHeight="1">
      <c r="A396" s="2">
        <v>395.0</v>
      </c>
      <c r="B396" s="3" t="s">
        <v>2081</v>
      </c>
      <c r="C396" s="3" t="s">
        <v>2023</v>
      </c>
      <c r="D396" s="3" t="s">
        <v>2024</v>
      </c>
      <c r="F396" s="5" t="str">
        <f>IFERROR(__xludf.DUMMYFUNCTION("GOOGLETRANSLATE(A396, ""en"", ""hi"")"),"395")</f>
        <v>395</v>
      </c>
      <c r="G396" s="5" t="str">
        <f>IFERROR(__xludf.DUMMYFUNCTION("GOOGLETRANSLATE(B396, ""en"", ""hi"")"),"काले के पास h4 पर एक बिशप है और सफ़ेद के पास h1 पर एक किश्ती और h5 पर एक प्यादा है। सफ़ेद को क्या करना चाहिए?")</f>
        <v>काले के पास h4 पर एक बिशप है और सफ़ेद के पास h1 पर एक किश्ती और h5 पर एक प्यादा है। सफ़ेद को क्या करना चाहिए?</v>
      </c>
      <c r="H396" s="5" t="str">
        <f>IFERROR(__xludf.DUMMYFUNCTION("GOOGLETRANSLATE(C396, ""en"", ""hi"")"),"A) मोहरे को h6 पर धकेलें, B) काले के बिशप पर हमला करने के लिए किश्ती का उपयोग करें, C) हमले के लिए किश्ती और मोहरे का समन्वय करें, D) किश्ती को h2 पर ले जाएं")</f>
        <v>A) मोहरे को h6 पर धकेलें, B) काले के बिशप पर हमला करने के लिए किश्ती का उपयोग करें, C) हमले के लिए किश्ती और मोहरे का समन्वय करें, D) किश्ती को h2 पर ले जाएं</v>
      </c>
      <c r="I396" s="5" t="str">
        <f>IFERROR(__xludf.DUMMYFUNCTION("GOOGLETRANSLATE(D396, ""en"", ""hi"")"),"A) मोहरे को h6 पर धकेलें")</f>
        <v>A) मोहरे को h6 पर धकेलें</v>
      </c>
    </row>
    <row r="397" ht="22.5" customHeight="1">
      <c r="A397" s="2">
        <v>396.0</v>
      </c>
      <c r="B397" s="3" t="s">
        <v>2082</v>
      </c>
      <c r="C397" s="3" t="s">
        <v>2083</v>
      </c>
      <c r="D397" s="3" t="s">
        <v>1917</v>
      </c>
      <c r="F397" s="5" t="str">
        <f>IFERROR(__xludf.DUMMYFUNCTION("GOOGLETRANSLATE(A397, ""en"", ""hi"")"),"396")</f>
        <v>396</v>
      </c>
      <c r="G397" s="5" t="str">
        <f>IFERROR(__xludf.DUMMYFUNCTION("GOOGLETRANSLATE(B397, ""en"", ""hi"")"),"सफ़ेद के पास d1 पर एक किश्ती है और काले के पास c6 पर एक बिशप और d5 पर एक प्यादा है। सफ़ेद को क्या करना चाहिए?")</f>
        <v>सफ़ेद के पास d1 पर एक किश्ती है और काले के पास c6 पर एक बिशप और d5 पर एक प्यादा है। सफ़ेद को क्या करना चाहिए?</v>
      </c>
      <c r="H397" s="5" t="str">
        <f>IFERROR(__xludf.DUMMYFUNCTION("GOOGLETRANSLATE(C397, ""en"", ""hi"")"),"A) काले के बिशप पर हमला करने के लिए किश्ती का उपयोग करें, B) मोहरे को d6 पर धकेलें, C) किश्ती को अन्य मोहरों के साथ समन्वयित करें, D) किश्ती को d2 पर ले जाएं")</f>
        <v>A) काले के बिशप पर हमला करने के लिए किश्ती का उपयोग करें, B) मोहरे को d6 पर धकेलें, C) किश्ती को अन्य मोहरों के साथ समन्वयित करें, D) किश्ती को d2 पर ले जाएं</v>
      </c>
      <c r="I397" s="5" t="str">
        <f>IFERROR(__xludf.DUMMYFUNCTION("GOOGLETRANSLATE(D397, ""en"", ""hi"")"),"B) मोहरे को d6 पर धकेलें")</f>
        <v>B) मोहरे को d6 पर धकेलें</v>
      </c>
    </row>
    <row r="398" ht="22.5" customHeight="1">
      <c r="A398" s="2">
        <v>397.0</v>
      </c>
      <c r="B398" s="3" t="s">
        <v>2084</v>
      </c>
      <c r="C398" s="3" t="s">
        <v>2085</v>
      </c>
      <c r="D398" s="3" t="s">
        <v>2001</v>
      </c>
      <c r="F398" s="5" t="str">
        <f>IFERROR(__xludf.DUMMYFUNCTION("GOOGLETRANSLATE(A398, ""en"", ""hi"")"),"397")</f>
        <v>397</v>
      </c>
      <c r="G398" s="5" t="str">
        <f>IFERROR(__xludf.DUMMYFUNCTION("GOOGLETRANSLATE(B398, ""en"", ""hi"")"),"काले के पास e7 पर एक रानी है और सफ़ेद के पास g1 पर एक किश्ती और g6 पर एक मोहरा है। सफ़ेद को क्या करना चाहिए?")</f>
        <v>काले के पास e7 पर एक रानी है और सफ़ेद के पास g1 पर एक किश्ती और g6 पर एक मोहरा है। सफ़ेद को क्या करना चाहिए?</v>
      </c>
      <c r="H398" s="5" t="str">
        <f>IFERROR(__xludf.DUMMYFUNCTION("GOOGLETRANSLATE(C398, ""en"", ""hi"")"),"A) पदोन्नति के लिए मोहरे को g7 पर धकेलें, B) काले की रानी पर हमला करने के लिए किश्ती का उपयोग करें, C) हमले के लिए किश्ती और मोहरे का समन्वय करें, D) किश्ती को g2 पर ले जाएं")</f>
        <v>A) पदोन्नति के लिए मोहरे को g7 पर धकेलें, B) काले की रानी पर हमला करने के लिए किश्ती का उपयोग करें, C) हमले के लिए किश्ती और मोहरे का समन्वय करें, D) किश्ती को g2 पर ले जाएं</v>
      </c>
      <c r="I398" s="5" t="str">
        <f>IFERROR(__xludf.DUMMYFUNCTION("GOOGLETRANSLATE(D398, ""en"", ""hi"")"),"A) पदोन्नति के लिए मोहरे को g7 पर धकेलें")</f>
        <v>A) पदोन्नति के लिए मोहरे को g7 पर धकेलें</v>
      </c>
    </row>
    <row r="399" ht="22.5" customHeight="1">
      <c r="A399" s="2">
        <v>398.0</v>
      </c>
      <c r="B399" s="3" t="s">
        <v>2086</v>
      </c>
      <c r="C399" s="3" t="s">
        <v>2087</v>
      </c>
      <c r="D399" s="3" t="s">
        <v>2088</v>
      </c>
      <c r="F399" s="5" t="str">
        <f>IFERROR(__xludf.DUMMYFUNCTION("GOOGLETRANSLATE(A399, ""en"", ""hi"")"),"398")</f>
        <v>398</v>
      </c>
      <c r="G399" s="5" t="str">
        <f>IFERROR(__xludf.DUMMYFUNCTION("GOOGLETRANSLATE(B399, ""en"", ""hi"")"),"सफ़ेद के पास d2 पर एक रानी है और काले के पास a8 पर एक किश्ती और f6 पर एक घोड़ा है। सफ़ेद को क्या करना चाहिए?")</f>
        <v>सफ़ेद के पास d2 पर एक रानी है और काले के पास a8 पर एक किश्ती और f6 पर एक घोड़ा है। सफ़ेद को क्या करना चाहिए?</v>
      </c>
      <c r="H399" s="5" t="str">
        <f>IFERROR(__xludf.DUMMYFUNCTION("GOOGLETRANSLATE(C399, ""en"", ""hi"")"),"A) रानी का उपयोग करके काले के हाथी पर आक्रमण करें, B) रानी को d3 पर ले जाएँ, C) रानी और अन्य मोहरों का समन्वय करें, D) मोहरे को रानी की ओर धकेलें")</f>
        <v>A) रानी का उपयोग करके काले के हाथी पर आक्रमण करें, B) रानी को d3 पर ले जाएँ, C) रानी और अन्य मोहरों का समन्वय करें, D) मोहरे को रानी की ओर धकेलें</v>
      </c>
      <c r="I399" s="5" t="str">
        <f>IFERROR(__xludf.DUMMYFUNCTION("GOOGLETRANSLATE(D399, ""en"", ""hi"")"),"A) काले के हाथी पर हमला करने के लिए रानी का उपयोग करें")</f>
        <v>A) काले के हाथी पर हमला करने के लिए रानी का उपयोग करें</v>
      </c>
    </row>
    <row r="400" ht="22.5" customHeight="1">
      <c r="A400" s="2">
        <v>399.0</v>
      </c>
      <c r="B400" s="3" t="s">
        <v>2089</v>
      </c>
      <c r="C400" s="3" t="s">
        <v>2090</v>
      </c>
      <c r="D400" s="3" t="s">
        <v>1948</v>
      </c>
      <c r="F400" s="5" t="str">
        <f>IFERROR(__xludf.DUMMYFUNCTION("GOOGLETRANSLATE(A400, ""en"", ""hi"")"),"399")</f>
        <v>399</v>
      </c>
      <c r="G400" s="5" t="str">
        <f>IFERROR(__xludf.DUMMYFUNCTION("GOOGLETRANSLATE(B400, ""en"", ""hi"")"),"काले के पास f8 पर एक किश्ती है और सफेद के पास e1 पर एक रानी और f7 पर एक मोहरा है। सफेद को क्या करना चाहिए?")</f>
        <v>काले के पास f8 पर एक किश्ती है और सफेद के पास e1 पर एक रानी और f7 पर एक मोहरा है। सफेद को क्या करना चाहिए?</v>
      </c>
      <c r="H400" s="5" t="str">
        <f>IFERROR(__xludf.DUMMYFUNCTION("GOOGLETRANSLATE(C400, ""en"", ""hi"")"),"A) पदोन्नति के लिए मोहरे को f8 पर धकेलें, B) काले के हाथी पर हमला करने के लिए रानी का उपयोग करें, C) हमले के लिए रानी और मोहरे का समन्वय करें, D) रानी को e2 पर ले जाएं")</f>
        <v>A) पदोन्नति के लिए मोहरे को f8 पर धकेलें, B) काले के हाथी पर हमला करने के लिए रानी का उपयोग करें, C) हमले के लिए रानी और मोहरे का समन्वय करें, D) रानी को e2 पर ले जाएं</v>
      </c>
      <c r="I400" s="5" t="str">
        <f>IFERROR(__xludf.DUMMYFUNCTION("GOOGLETRANSLATE(D400, ""en"", ""hi"")"),"A) पदोन्नति के लिए मोहरे को f8 पर धकेलें")</f>
        <v>A) पदोन्नति के लिए मोहरे को f8 पर धकेलें</v>
      </c>
    </row>
    <row r="401" ht="22.5" customHeight="1">
      <c r="A401" s="2">
        <v>400.0</v>
      </c>
      <c r="B401" s="3" t="s">
        <v>2091</v>
      </c>
      <c r="C401" s="3" t="s">
        <v>2092</v>
      </c>
      <c r="D401" s="3" t="s">
        <v>2093</v>
      </c>
      <c r="F401" s="5" t="str">
        <f>IFERROR(__xludf.DUMMYFUNCTION("GOOGLETRANSLATE(A401, ""en"", ""hi"")"),"400")</f>
        <v>400</v>
      </c>
      <c r="G401" s="5" t="str">
        <f>IFERROR(__xludf.DUMMYFUNCTION("GOOGLETRANSLATE(B401, ""en"", ""hi"")"),"सफ़ेद के पास b3 पर एक बिशप है और काले के पास f5 पर एक रानी और g6 पर एक मोहरा है। सफ़ेद को क्या करना चाहिए?")</f>
        <v>सफ़ेद के पास b3 पर एक बिशप है और काले के पास f5 पर एक रानी और g6 पर एक मोहरा है। सफ़ेद को क्या करना चाहिए?</v>
      </c>
      <c r="H401" s="5" t="str">
        <f>IFERROR(__xludf.DUMMYFUNCTION("GOOGLETRANSLATE(C401, ""en"", ""hi"")"),"ए) काली की रानी पर हमला करने के लिए बिशप का उपयोग करें, बी) बिशप को a4 पर ले जाएं, सी) मोहरे को g7 पर धकेलें, डी) बिशप को अन्य मोहरों के साथ समन्वयित करें")</f>
        <v>ए) काली की रानी पर हमला करने के लिए बिशप का उपयोग करें, बी) बिशप को a4 पर ले जाएं, सी) मोहरे को g7 पर धकेलें, डी) बिशप को अन्य मोहरों के साथ समन्वयित करें</v>
      </c>
      <c r="I401" s="5" t="str">
        <f>IFERROR(__xludf.DUMMYFUNCTION("GOOGLETRANSLATE(D401, ""en"", ""hi"")"),"A) काले रंग की रानी पर हमला करने के लिए बिशप का उपयोग करें")</f>
        <v>A) काले रंग की रानी पर हमला करने के लिए बिशप का उपयोग करें</v>
      </c>
    </row>
    <row r="402" ht="22.5" customHeight="1">
      <c r="A402" s="2">
        <v>401.0</v>
      </c>
      <c r="B402" s="3" t="s">
        <v>2094</v>
      </c>
      <c r="C402" s="3" t="s">
        <v>2095</v>
      </c>
      <c r="D402" s="3" t="s">
        <v>2096</v>
      </c>
      <c r="F402" s="5" t="str">
        <f>IFERROR(__xludf.DUMMYFUNCTION("GOOGLETRANSLATE(A402, ""en"", ""hi"")"),"401")</f>
        <v>401</v>
      </c>
      <c r="G402" s="5" t="str">
        <f>IFERROR(__xludf.DUMMYFUNCTION("GOOGLETRANSLATE(B402, ""en"", ""hi"")"),"काले के पास g6 पर एक घोड़ा है और सफ़ेद के पास d1 पर एक किश्ती और d6 पर एक मोहरा है। सफ़ेद को क्या करना चाहिए?")</f>
        <v>काले के पास g6 पर एक घोड़ा है और सफ़ेद के पास d1 पर एक किश्ती और d6 पर एक मोहरा है। सफ़ेद को क्या करना चाहिए?</v>
      </c>
      <c r="H402" s="5" t="str">
        <f>IFERROR(__xludf.DUMMYFUNCTION("GOOGLETRANSLATE(C402, ""en"", ""hi"")"),"A) काले घोड़े पर हमला करने के लिए हाथी का उपयोग करें, B) मोहरे को d7 पर धकेलें, C) हमले के लिए हाथी को अन्य मोहरों के साथ समन्वयित करें, D) हाथी को d2 पर ले जाएं")</f>
        <v>A) काले घोड़े पर हमला करने के लिए हाथी का उपयोग करें, B) मोहरे को d7 पर धकेलें, C) हमले के लिए हाथी को अन्य मोहरों के साथ समन्वयित करें, D) हाथी को d2 पर ले जाएं</v>
      </c>
      <c r="I402" s="5" t="str">
        <f>IFERROR(__xludf.DUMMYFUNCTION("GOOGLETRANSLATE(D402, ""en"", ""hi"")"),"B) मोहरे को d7 पर धकेलें")</f>
        <v>B) मोहरे को d7 पर धकेलें</v>
      </c>
    </row>
    <row r="403" ht="22.5" customHeight="1">
      <c r="A403" s="2">
        <v>402.0</v>
      </c>
      <c r="B403" s="3" t="s">
        <v>2097</v>
      </c>
      <c r="C403" s="3" t="s">
        <v>2098</v>
      </c>
      <c r="D403" s="3" t="s">
        <v>2099</v>
      </c>
      <c r="F403" s="5" t="str">
        <f>IFERROR(__xludf.DUMMYFUNCTION("GOOGLETRANSLATE(A403, ""en"", ""hi"")"),"402")</f>
        <v>402</v>
      </c>
      <c r="G403" s="5" t="str">
        <f>IFERROR(__xludf.DUMMYFUNCTION("GOOGLETRANSLATE(B403, ""en"", ""hi"")"),"सफ़ेद के पास h4 पर एक मोहरा है, काले के पास h8 पर एक किश्ती और e5 पर एक बिशप है। सफ़ेद को क्या करना चाहिए?")</f>
        <v>सफ़ेद के पास h4 पर एक मोहरा है, काले के पास h8 पर एक किश्ती और e5 पर एक बिशप है। सफ़ेद को क्या करना चाहिए?</v>
      </c>
      <c r="H403" s="5" t="str">
        <f>IFERROR(__xludf.DUMMYFUNCTION("GOOGLETRANSLATE(C403, ""en"", ""hi"")"),"A) मोहरे को h5 पर धकेलें, B) मोहरे का उपयोग काले के बिशप पर हमला करने के लिए करें, C) मोहरे को अन्य मोहरों के साथ समन्वयित करें, D) मोहरे को h3 पर ले जाएं")</f>
        <v>A) मोहरे को h5 पर धकेलें, B) मोहरे का उपयोग काले के बिशप पर हमला करने के लिए करें, C) मोहरे को अन्य मोहरों के साथ समन्वयित करें, D) मोहरे को h3 पर ले जाएं</v>
      </c>
      <c r="I403" s="5" t="str">
        <f>IFERROR(__xludf.DUMMYFUNCTION("GOOGLETRANSLATE(D403, ""en"", ""hi"")"),"A) मोहरे को h5 पर धकेलें")</f>
        <v>A) मोहरे को h5 पर धकेलें</v>
      </c>
    </row>
    <row r="404" ht="22.5" customHeight="1">
      <c r="A404" s="2">
        <v>403.0</v>
      </c>
      <c r="B404" s="3" t="s">
        <v>2100</v>
      </c>
      <c r="C404" s="3" t="s">
        <v>2101</v>
      </c>
      <c r="D404" s="3" t="s">
        <v>1903</v>
      </c>
      <c r="F404" s="5" t="str">
        <f>IFERROR(__xludf.DUMMYFUNCTION("GOOGLETRANSLATE(A404, ""en"", ""hi"")"),"403")</f>
        <v>403</v>
      </c>
      <c r="G404" s="5" t="str">
        <f>IFERROR(__xludf.DUMMYFUNCTION("GOOGLETRANSLATE(B404, ""en"", ""hi"")"),"काले के पास c3 पर एक रानी है और सफेद के पास a8 पर एक किश्ती और b7 पर एक मोहरा है। सफेद को क्या करना चाहिए?")</f>
        <v>काले के पास c3 पर एक रानी है और सफेद के पास a8 पर एक किश्ती और b7 पर एक मोहरा है। सफेद को क्या करना चाहिए?</v>
      </c>
      <c r="H404" s="5" t="str">
        <f>IFERROR(__xludf.DUMMYFUNCTION("GOOGLETRANSLATE(C404, ""en"", ""hi"")"),"A) पदोन्नति के लिए मोहरे को b8 पर धकेलें, B) काले की रानी पर हमला करने के लिए किश्ती का उपयोग करें, C) किश्ती को अन्य मोहरों के साथ समन्वयित करें, D) किश्ती को a7 पर ले जाएं")</f>
        <v>A) पदोन्नति के लिए मोहरे को b8 पर धकेलें, B) काले की रानी पर हमला करने के लिए किश्ती का उपयोग करें, C) किश्ती को अन्य मोहरों के साथ समन्वयित करें, D) किश्ती को a7 पर ले जाएं</v>
      </c>
      <c r="I404" s="5" t="str">
        <f>IFERROR(__xludf.DUMMYFUNCTION("GOOGLETRANSLATE(D404, ""en"", ""hi"")"),"A) पदोन्नति के लिए मोहरे को b8 पर धकेलें")</f>
        <v>A) पदोन्नति के लिए मोहरे को b8 पर धकेलें</v>
      </c>
    </row>
    <row r="405" ht="22.5" customHeight="1">
      <c r="A405" s="2">
        <v>404.0</v>
      </c>
      <c r="B405" s="3" t="s">
        <v>2102</v>
      </c>
      <c r="C405" s="3" t="s">
        <v>2103</v>
      </c>
      <c r="D405" s="3" t="s">
        <v>2104</v>
      </c>
      <c r="F405" s="5" t="str">
        <f>IFERROR(__xludf.DUMMYFUNCTION("GOOGLETRANSLATE(A405, ""en"", ""hi"")"),"404")</f>
        <v>404</v>
      </c>
      <c r="G405" s="5" t="str">
        <f>IFERROR(__xludf.DUMMYFUNCTION("GOOGLETRANSLATE(B405, ""en"", ""hi"")"),"सफ़ेद के पास g4 पर एक रानी है और काले के पास f6 पर एक बिशप और h5 पर एक मोहरा है। सफ़ेद को क्या करना चाहिए?")</f>
        <v>सफ़ेद के पास g4 पर एक रानी है और काले के पास f6 पर एक बिशप और h5 पर एक मोहरा है। सफ़ेद को क्या करना चाहिए?</v>
      </c>
      <c r="H405" s="5" t="str">
        <f>IFERROR(__xludf.DUMMYFUNCTION("GOOGLETRANSLATE(C405, ""en"", ""hi"")"),"ए) रानी का उपयोग काले के बिशप पर हमला करने के लिए करें, बी) मोहरे को h6 पर धकेलें, सी) हमले के लिए रानी और अन्य मोहरों का समन्वय करें, डी) रानी को h4 पर ले जाएं")</f>
        <v>ए) रानी का उपयोग काले के बिशप पर हमला करने के लिए करें, बी) मोहरे को h6 पर धकेलें, सी) हमले के लिए रानी और अन्य मोहरों का समन्वय करें, डी) रानी को h4 पर ले जाएं</v>
      </c>
      <c r="I405" s="5" t="str">
        <f>IFERROR(__xludf.DUMMYFUNCTION("GOOGLETRANSLATE(D405, ""en"", ""hi"")"),"बी) मोहरे को h6 पर धकेलें")</f>
        <v>बी) मोहरे को h6 पर धकेलें</v>
      </c>
    </row>
    <row r="406" ht="22.5" customHeight="1">
      <c r="A406" s="2">
        <v>405.0</v>
      </c>
      <c r="B406" s="3" t="s">
        <v>2105</v>
      </c>
      <c r="C406" s="3" t="s">
        <v>2106</v>
      </c>
      <c r="D406" s="3" t="s">
        <v>1740</v>
      </c>
      <c r="F406" s="5" t="str">
        <f>IFERROR(__xludf.DUMMYFUNCTION("GOOGLETRANSLATE(A406, ""en"", ""hi"")"),"405")</f>
        <v>405</v>
      </c>
      <c r="G406" s="5" t="str">
        <f>IFERROR(__xludf.DUMMYFUNCTION("GOOGLETRANSLATE(B406, ""en"", ""hi"")"),"काले के पास b8 पर एक किश्ती है और सफ़ेद के पास b6 पर एक मोहरा और d5 पर एक घोड़ा है। सफ़ेद को क्या करना चाहिए?")</f>
        <v>काले के पास b8 पर एक किश्ती है और सफ़ेद के पास b6 पर एक मोहरा और d5 पर एक घोड़ा है। सफ़ेद को क्या करना चाहिए?</v>
      </c>
      <c r="H406" s="5" t="str">
        <f>IFERROR(__xludf.DUMMYFUNCTION("GOOGLETRANSLATE(C406, ""en"", ""hi"")"),"A) मोहरे को b7 पर धकेलें, B) घोड़े का उपयोग काले के हाथी पर हमला करने के लिए करें, C) घोड़े को अन्य मोहरों के साथ समन्वयित करें, D) घोड़े को e7 पर ले जाएं")</f>
        <v>A) मोहरे को b7 पर धकेलें, B) घोड़े का उपयोग काले के हाथी पर हमला करने के लिए करें, C) घोड़े को अन्य मोहरों के साथ समन्वयित करें, D) घोड़े को e7 पर ले जाएं</v>
      </c>
      <c r="I406" s="5" t="str">
        <f>IFERROR(__xludf.DUMMYFUNCTION("GOOGLETRANSLATE(D406, ""en"", ""hi"")"),"A) मोहरे को b7 पर धकेलें")</f>
        <v>A) मोहरे को b7 पर धकेलें</v>
      </c>
    </row>
    <row r="407" ht="22.5" customHeight="1">
      <c r="A407" s="2">
        <v>406.0</v>
      </c>
      <c r="B407" s="3" t="s">
        <v>2107</v>
      </c>
      <c r="C407" s="3" t="s">
        <v>2108</v>
      </c>
      <c r="D407" s="3" t="s">
        <v>2093</v>
      </c>
      <c r="F407" s="5" t="str">
        <f>IFERROR(__xludf.DUMMYFUNCTION("GOOGLETRANSLATE(A407, ""en"", ""hi"")"),"406")</f>
        <v>406</v>
      </c>
      <c r="G407" s="5" t="str">
        <f>IFERROR(__xludf.DUMMYFUNCTION("GOOGLETRANSLATE(B407, ""en"", ""hi"")"),"सफ़ेद के पास d4 पर एक बिशप है और काले के पास e6 पर एक रानी और d5 पर एक मोहरा है। सफ़ेद को क्या करना चाहिए?")</f>
        <v>सफ़ेद के पास d4 पर एक बिशप है और काले के पास e6 पर एक रानी और d5 पर एक मोहरा है। सफ़ेद को क्या करना चाहिए?</v>
      </c>
      <c r="H407" s="5" t="str">
        <f>IFERROR(__xludf.DUMMYFUNCTION("GOOGLETRANSLATE(C407, ""en"", ""hi"")"),"ए) काले की रानी पर हमला करने के लिए बिशप का उपयोग करें, बी) बिशप को ई3 पर ले जाएं, सी) मोहरे को डी6 पर धकेलें, डी) बिशप को अन्य मोहरों के साथ समन्वयित करें")</f>
        <v>ए) काले की रानी पर हमला करने के लिए बिशप का उपयोग करें, बी) बिशप को ई3 पर ले जाएं, सी) मोहरे को डी6 पर धकेलें, डी) बिशप को अन्य मोहरों के साथ समन्वयित करें</v>
      </c>
      <c r="I407" s="5" t="str">
        <f>IFERROR(__xludf.DUMMYFUNCTION("GOOGLETRANSLATE(D407, ""en"", ""hi"")"),"A) काले रंग की रानी पर हमला करने के लिए बिशप का उपयोग करें")</f>
        <v>A) काले रंग की रानी पर हमला करने के लिए बिशप का उपयोग करें</v>
      </c>
    </row>
    <row r="408" ht="22.5" customHeight="1">
      <c r="A408" s="2">
        <v>407.0</v>
      </c>
      <c r="B408" s="3" t="s">
        <v>2109</v>
      </c>
      <c r="C408" s="3" t="s">
        <v>2110</v>
      </c>
      <c r="D408" s="3" t="s">
        <v>2111</v>
      </c>
      <c r="F408" s="5" t="str">
        <f>IFERROR(__xludf.DUMMYFUNCTION("GOOGLETRANSLATE(A408, ""en"", ""hi"")"),"407")</f>
        <v>407</v>
      </c>
      <c r="G408" s="5" t="str">
        <f>IFERROR(__xludf.DUMMYFUNCTION("GOOGLETRANSLATE(B408, ""en"", ""hi"")"),"काले के पास d7 पर घोड़ा है और सफ़ेद के पास d4 पर रानी और d5 पर एक मोहरा है। सफ़ेद को क्या करना चाहिए?")</f>
        <v>काले के पास d7 पर घोड़ा है और सफ़ेद के पास d4 पर रानी और d5 पर एक मोहरा है। सफ़ेद को क्या करना चाहिए?</v>
      </c>
      <c r="H408" s="5" t="str">
        <f>IFERROR(__xludf.DUMMYFUNCTION("GOOGLETRANSLATE(C408, ""en"", ""hi"")"),"A) रानी का उपयोग काले घोड़े पर हमला करने के लिए करें, B) रानी को e3 पर ले जाएं, C) मोहरे को d6 पर धकेलें, D) रानी को अन्य मोहरों के साथ समन्वयित करें")</f>
        <v>A) रानी का उपयोग काले घोड़े पर हमला करने के लिए करें, B) रानी को e3 पर ले जाएं, C) मोहरे को d6 पर धकेलें, D) रानी को अन्य मोहरों के साथ समन्वयित करें</v>
      </c>
      <c r="I408" s="5" t="str">
        <f>IFERROR(__xludf.DUMMYFUNCTION("GOOGLETRANSLATE(D408, ""en"", ""hi"")"),"C) मोहरे को d6 पर धकेलें")</f>
        <v>C) मोहरे को d6 पर धकेलें</v>
      </c>
    </row>
    <row r="409" ht="22.5" customHeight="1">
      <c r="A409" s="2">
        <v>408.0</v>
      </c>
      <c r="B409" s="3" t="s">
        <v>2112</v>
      </c>
      <c r="C409" s="3" t="s">
        <v>2113</v>
      </c>
      <c r="D409" s="3" t="s">
        <v>2064</v>
      </c>
      <c r="F409" s="5" t="str">
        <f>IFERROR(__xludf.DUMMYFUNCTION("GOOGLETRANSLATE(A409, ""en"", ""hi"")"),"408")</f>
        <v>408</v>
      </c>
      <c r="G409" s="5" t="str">
        <f>IFERROR(__xludf.DUMMYFUNCTION("GOOGLETRANSLATE(B409, ""en"", ""hi"")"),"सफ़ेद के पास e1 पर एक किश्ती है और काले के पास d8 पर एक रानी और e6 पर एक मोहरा है। सफ़ेद को क्या करना चाहिए?")</f>
        <v>सफ़ेद के पास e1 पर एक किश्ती है और काले के पास d8 पर एक रानी और e6 पर एक मोहरा है। सफ़ेद को क्या करना चाहिए?</v>
      </c>
      <c r="H409" s="5" t="str">
        <f>IFERROR(__xludf.DUMMYFUNCTION("GOOGLETRANSLATE(C409, ""en"", ""hi"")"),"क) काले की रानी पर हमला करने के लिए किश्ती का उपयोग करें, ख) मोहरे को e7 पर धकेलें, ग) हमले के लिए किश्ती और मोहरे का समन्वय करें, घ) किश्ती को e2 पर ले जाएं")</f>
        <v>क) काले की रानी पर हमला करने के लिए किश्ती का उपयोग करें, ख) मोहरे को e7 पर धकेलें, ग) हमले के लिए किश्ती और मोहरे का समन्वय करें, घ) किश्ती को e2 पर ले जाएं</v>
      </c>
      <c r="I409" s="5" t="str">
        <f>IFERROR(__xludf.DUMMYFUNCTION("GOOGLETRANSLATE(D409, ""en"", ""hi"")"),"B) मोहरे को e7 पर धकेलें")</f>
        <v>B) मोहरे को e7 पर धकेलें</v>
      </c>
    </row>
    <row r="410" ht="22.5" customHeight="1">
      <c r="A410" s="2">
        <v>409.0</v>
      </c>
      <c r="B410" s="3" t="s">
        <v>2114</v>
      </c>
      <c r="C410" s="3" t="s">
        <v>2115</v>
      </c>
      <c r="D410" s="3" t="s">
        <v>1986</v>
      </c>
      <c r="F410" s="5" t="str">
        <f>IFERROR(__xludf.DUMMYFUNCTION("GOOGLETRANSLATE(A410, ""en"", ""hi"")"),"409")</f>
        <v>409</v>
      </c>
      <c r="G410" s="5" t="str">
        <f>IFERROR(__xludf.DUMMYFUNCTION("GOOGLETRANSLATE(B410, ""en"", ""hi"")"),"काले के पास c5 पर एक बिशप है और सफेद के पास d3 पर एक रानी और e1 पर एक किश्ती है। सफेद को क्या करना चाहिए?")</f>
        <v>काले के पास c5 पर एक बिशप है और सफेद के पास d3 पर एक रानी और e1 पर एक किश्ती है। सफेद को क्या करना चाहिए?</v>
      </c>
      <c r="H410" s="5" t="str">
        <f>IFERROR(__xludf.DUMMYFUNCTION("GOOGLETRANSLATE(C410, ""en"", ""hi"")"),"A) काले के बिशप पर हमला करने के लिए रानी का उपयोग करें, B) हाथी को e4 पर ले जाएं, C) हमले के लिए रानी और हाथी का समन्वय करें, D) मोहरे को रानी की तरफ धकेलें")</f>
        <v>A) काले के बिशप पर हमला करने के लिए रानी का उपयोग करें, B) हाथी को e4 पर ले जाएं, C) हमले के लिए रानी और हाथी का समन्वय करें, D) मोहरे को रानी की तरफ धकेलें</v>
      </c>
      <c r="I410" s="5" t="str">
        <f>IFERROR(__xludf.DUMMYFUNCTION("GOOGLETRANSLATE(D410, ""en"", ""hi"")"),"A) काले रंग के बिशप पर हमला करने के लिए रानी का उपयोग करें")</f>
        <v>A) काले रंग के बिशप पर हमला करने के लिए रानी का उपयोग करें</v>
      </c>
    </row>
    <row r="411" ht="22.5" customHeight="1">
      <c r="A411" s="2">
        <v>410.0</v>
      </c>
      <c r="B411" s="3" t="s">
        <v>2116</v>
      </c>
      <c r="C411" s="3" t="s">
        <v>2117</v>
      </c>
      <c r="D411" s="3" t="s">
        <v>1961</v>
      </c>
      <c r="F411" s="5" t="str">
        <f>IFERROR(__xludf.DUMMYFUNCTION("GOOGLETRANSLATE(A411, ""en"", ""hi"")"),"410")</f>
        <v>410</v>
      </c>
      <c r="G411" s="5" t="str">
        <f>IFERROR(__xludf.DUMMYFUNCTION("GOOGLETRANSLATE(B411, ""en"", ""hi"")"),"सफ़ेद के पास f5 पर एक मोहरा है, काले के पास g8 पर एक किश्ती और e4 पर एक घोड़ा है। सफ़ेद को क्या करना चाहिए?")</f>
        <v>सफ़ेद के पास f5 पर एक मोहरा है, काले के पास g8 पर एक किश्ती और e4 पर एक घोड़ा है। सफ़ेद को क्या करना चाहिए?</v>
      </c>
      <c r="H411" s="5" t="str">
        <f>IFERROR(__xludf.DUMMYFUNCTION("GOOGLETRANSLATE(C411, ""en"", ""hi"")"),"A) मोहरे को f6 पर धकेलें, B) मोहरे का उपयोग काले के हाथी पर हमला करने के लिए करें, C) मोहरे को अन्य मोहरों के साथ समन्वयित करें, D) मोहरे को f4 पर ले जाएं")</f>
        <v>A) मोहरे को f6 पर धकेलें, B) मोहरे का उपयोग काले के हाथी पर हमला करने के लिए करें, C) मोहरे को अन्य मोहरों के साथ समन्वयित करें, D) मोहरे को f4 पर ले जाएं</v>
      </c>
      <c r="I411" s="5" t="str">
        <f>IFERROR(__xludf.DUMMYFUNCTION("GOOGLETRANSLATE(D411, ""en"", ""hi"")"),"A) मोहरे को f6 पर धकेलें")</f>
        <v>A) मोहरे को f6 पर धकेलें</v>
      </c>
    </row>
    <row r="412" ht="22.5" customHeight="1">
      <c r="A412" s="2">
        <v>411.0</v>
      </c>
      <c r="B412" s="3" t="s">
        <v>2118</v>
      </c>
      <c r="C412" s="3" t="s">
        <v>2119</v>
      </c>
      <c r="D412" s="3" t="s">
        <v>1948</v>
      </c>
      <c r="F412" s="5" t="str">
        <f>IFERROR(__xludf.DUMMYFUNCTION("GOOGLETRANSLATE(A412, ""en"", ""hi"")"),"411")</f>
        <v>411</v>
      </c>
      <c r="G412" s="5" t="str">
        <f>IFERROR(__xludf.DUMMYFUNCTION("GOOGLETRANSLATE(B412, ""en"", ""hi"")"),"काले के पास h8 पर एक किश्ती है और सफ़ेद के पास f1 पर एक रानी और f7 पर एक मोहरा है। सफ़ेद को क्या करना चाहिए?")</f>
        <v>काले के पास h8 पर एक किश्ती है और सफ़ेद के पास f1 पर एक रानी और f7 पर एक मोहरा है। सफ़ेद को क्या करना चाहिए?</v>
      </c>
      <c r="H412" s="5" t="str">
        <f>IFERROR(__xludf.DUMMYFUNCTION("GOOGLETRANSLATE(C412, ""en"", ""hi"")"),"A) पदोन्नति के लिए मोहरे को f8 पर धकेलें, B) काले के हाथी पर हमला करने के लिए रानी का उपयोग करें, C) हमले के लिए रानी और मोहरे का समन्वय करें, D) रानी को f3 पर ले जाएं")</f>
        <v>A) पदोन्नति के लिए मोहरे को f8 पर धकेलें, B) काले के हाथी पर हमला करने के लिए रानी का उपयोग करें, C) हमले के लिए रानी और मोहरे का समन्वय करें, D) रानी को f3 पर ले जाएं</v>
      </c>
      <c r="I412" s="5" t="str">
        <f>IFERROR(__xludf.DUMMYFUNCTION("GOOGLETRANSLATE(D412, ""en"", ""hi"")"),"A) पदोन्नति के लिए मोहरे को f8 पर धकेलें")</f>
        <v>A) पदोन्नति के लिए मोहरे को f8 पर धकेलें</v>
      </c>
    </row>
    <row r="413" ht="22.5" customHeight="1">
      <c r="A413" s="2">
        <v>412.0</v>
      </c>
      <c r="B413" s="3" t="s">
        <v>2120</v>
      </c>
      <c r="C413" s="3" t="s">
        <v>2121</v>
      </c>
      <c r="D413" s="3" t="s">
        <v>2122</v>
      </c>
      <c r="F413" s="5" t="str">
        <f>IFERROR(__xludf.DUMMYFUNCTION("GOOGLETRANSLATE(A413, ""en"", ""hi"")"),"412")</f>
        <v>412</v>
      </c>
      <c r="G413" s="5" t="str">
        <f>IFERROR(__xludf.DUMMYFUNCTION("GOOGLETRANSLATE(B413, ""en"", ""hi"")"),"सफ़ेद के पास a6 पर एक किश्ती और b5 पर एक मोहरा है। काले के पास c8 पर एक रानी और c5 पर एक मोहरा है। सफ़ेद को क्या करना चाहिए?")</f>
        <v>सफ़ेद के पास a6 पर एक किश्ती और b5 पर एक मोहरा है। काले के पास c8 पर एक रानी और c5 पर एक मोहरा है। सफ़ेद को क्या करना चाहिए?</v>
      </c>
      <c r="H413" s="5" t="str">
        <f>IFERROR(__xludf.DUMMYFUNCTION("GOOGLETRANSLATE(C413, ""en"", ""hi"")"),"A) मोहरे को b6 पर धकेलें, B) काले की रानी पर हमला करने के लिए किश्ती का उपयोग करें, C) हमले के लिए किश्ती और मोहरे का समन्वय करें, D) किश्ती को a7 पर ले जाएं")</f>
        <v>A) मोहरे को b6 पर धकेलें, B) काले की रानी पर हमला करने के लिए किश्ती का उपयोग करें, C) हमले के लिए किश्ती और मोहरे का समन्वय करें, D) किश्ती को a7 पर ले जाएं</v>
      </c>
      <c r="I413" s="5" t="str">
        <f>IFERROR(__xludf.DUMMYFUNCTION("GOOGLETRANSLATE(D413, ""en"", ""hi"")"),"A) मोहरे को b6 पर धकेलें")</f>
        <v>A) मोहरे को b6 पर धकेलें</v>
      </c>
    </row>
    <row r="414" ht="22.5" customHeight="1">
      <c r="A414" s="2">
        <v>413.0</v>
      </c>
      <c r="B414" s="3" t="s">
        <v>2123</v>
      </c>
      <c r="C414" s="3" t="s">
        <v>2124</v>
      </c>
      <c r="D414" s="3" t="s">
        <v>1734</v>
      </c>
      <c r="F414" s="5" t="str">
        <f>IFERROR(__xludf.DUMMYFUNCTION("GOOGLETRANSLATE(A414, ""en"", ""hi"")"),"413")</f>
        <v>413</v>
      </c>
      <c r="G414" s="5" t="str">
        <f>IFERROR(__xludf.DUMMYFUNCTION("GOOGLETRANSLATE(B414, ""en"", ""hi"")"),"काले के पास b7 पर एक रानी है और सफ़ेद के पास d1 पर एक किश्ती और d6 पर एक मोहरा है। सफ़ेद को क्या करना चाहिए?")</f>
        <v>काले के पास b7 पर एक रानी है और सफ़ेद के पास d1 पर एक किश्ती और d6 पर एक मोहरा है। सफ़ेद को क्या करना चाहिए?</v>
      </c>
      <c r="H414" s="5" t="str">
        <f>IFERROR(__xludf.DUMMYFUNCTION("GOOGLETRANSLATE(C414, ""en"", ""hi"")"),"A) मोहरे को d7 पर धकेलें, B) काले की रानी पर हमला करने के लिए हाथी का उपयोग करें, C) हमले के लिए हाथी और मोहरे का समन्वय करें, D) हाथी को d2 पर ले जाएं")</f>
        <v>A) मोहरे को d7 पर धकेलें, B) काले की रानी पर हमला करने के लिए हाथी का उपयोग करें, C) हमले के लिए हाथी और मोहरे का समन्वय करें, D) हाथी को d2 पर ले जाएं</v>
      </c>
      <c r="I414" s="5" t="str">
        <f>IFERROR(__xludf.DUMMYFUNCTION("GOOGLETRANSLATE(D414, ""en"", ""hi"")"),"A) मोहरे को d7 पर धकेलें")</f>
        <v>A) मोहरे को d7 पर धकेलें</v>
      </c>
    </row>
    <row r="415" ht="22.5" customHeight="1">
      <c r="A415" s="2">
        <v>414.0</v>
      </c>
      <c r="B415" s="3" t="s">
        <v>2125</v>
      </c>
      <c r="C415" s="3" t="s">
        <v>2126</v>
      </c>
      <c r="D415" s="3" t="s">
        <v>2127</v>
      </c>
      <c r="F415" s="5" t="str">
        <f>IFERROR(__xludf.DUMMYFUNCTION("GOOGLETRANSLATE(A415, ""en"", ""hi"")"),"414")</f>
        <v>414</v>
      </c>
      <c r="G415" s="5" t="str">
        <f>IFERROR(__xludf.DUMMYFUNCTION("GOOGLETRANSLATE(B415, ""en"", ""hi"")"),"सफ़ेद के पास f3 पर एक घोड़ा और f5 पर एक मोहरा है। काले के पास f6 पर एक रानी और h8 पर एक किश्ती है। सफ़ेद को क्या करना चाहिए?")</f>
        <v>सफ़ेद के पास f3 पर एक घोड़ा और f5 पर एक मोहरा है। काले के पास f6 पर एक रानी और h8 पर एक किश्ती है। सफ़ेद को क्या करना चाहिए?</v>
      </c>
      <c r="H415" s="5" t="str">
        <f>IFERROR(__xludf.DUMMYFUNCTION("GOOGLETRANSLATE(C415, ""en"", ""hi"")"),"A) काले की रानी पर हमला करने के लिए घोड़े का उपयोग करें, B) मोहरे को f6 पर धकेलें, C) हमले के लिए घोड़े और मोहरे का समन्वय करें, D) घोड़े को e5 पर ले जाएं")</f>
        <v>A) काले की रानी पर हमला करने के लिए घोड़े का उपयोग करें, B) मोहरे को f6 पर धकेलें, C) हमले के लिए घोड़े और मोहरे का समन्वय करें, D) घोड़े को e5 पर ले जाएं</v>
      </c>
      <c r="I415" s="5" t="str">
        <f>IFERROR(__xludf.DUMMYFUNCTION("GOOGLETRANSLATE(D415, ""en"", ""hi"")"),"बी) मोहरे को f6 पर धकेलें")</f>
        <v>बी) मोहरे को f6 पर धकेलें</v>
      </c>
    </row>
    <row r="416" ht="22.5" customHeight="1">
      <c r="A416" s="2">
        <v>415.0</v>
      </c>
      <c r="B416" s="3" t="s">
        <v>2128</v>
      </c>
      <c r="C416" s="3" t="s">
        <v>2129</v>
      </c>
      <c r="D416" s="3" t="s">
        <v>1948</v>
      </c>
      <c r="F416" s="5" t="str">
        <f>IFERROR(__xludf.DUMMYFUNCTION("GOOGLETRANSLATE(A416, ""en"", ""hi"")"),"415")</f>
        <v>415</v>
      </c>
      <c r="G416" s="5" t="str">
        <f>IFERROR(__xludf.DUMMYFUNCTION("GOOGLETRANSLATE(B416, ""en"", ""hi"")"),"काले के पास d7 पर एक किश्ती है और सफेद के पास e5 पर एक रानी और f7 पर एक मोहरा है। सफेद को क्या करना चाहिए?")</f>
        <v>काले के पास d7 पर एक किश्ती है और सफेद के पास e5 पर एक रानी और f7 पर एक मोहरा है। सफेद को क्या करना चाहिए?</v>
      </c>
      <c r="H416" s="5" t="str">
        <f>IFERROR(__xludf.DUMMYFUNCTION("GOOGLETRANSLATE(C416, ""en"", ""hi"")"),"A) पदोन्नति के लिए मोहरे को f8 पर धकेलें, B) काले के हाथी पर हमला करने के लिए रानी का उपयोग करें, C) हमले के लिए रानी और मोहरे का समन्वय करें, D) रानी को e4 पर ले जाएं")</f>
        <v>A) पदोन्नति के लिए मोहरे को f8 पर धकेलें, B) काले के हाथी पर हमला करने के लिए रानी का उपयोग करें, C) हमले के लिए रानी और मोहरे का समन्वय करें, D) रानी को e4 पर ले जाएं</v>
      </c>
      <c r="I416" s="5" t="str">
        <f>IFERROR(__xludf.DUMMYFUNCTION("GOOGLETRANSLATE(D416, ""en"", ""hi"")"),"A) पदोन्नति के लिए मोहरे को f8 पर धकेलें")</f>
        <v>A) पदोन्नति के लिए मोहरे को f8 पर धकेलें</v>
      </c>
    </row>
    <row r="417" ht="22.5" customHeight="1">
      <c r="A417" s="2">
        <v>416.0</v>
      </c>
      <c r="B417" s="3" t="s">
        <v>2130</v>
      </c>
      <c r="C417" s="3" t="s">
        <v>2131</v>
      </c>
      <c r="D417" s="3" t="s">
        <v>2122</v>
      </c>
      <c r="F417" s="5" t="str">
        <f>IFERROR(__xludf.DUMMYFUNCTION("GOOGLETRANSLATE(A417, ""en"", ""hi"")"),"416")</f>
        <v>416</v>
      </c>
      <c r="G417" s="5" t="str">
        <f>IFERROR(__xludf.DUMMYFUNCTION("GOOGLETRANSLATE(B417, ""en"", ""hi"")"),"सफ़ेद के पास b6 पर एक किश्ती है और काले के पास d4 पर एक घोड़ा और b5 पर एक मोहरा है। सफ़ेद को क्या करना चाहिए?")</f>
        <v>सफ़ेद के पास b6 पर एक किश्ती है और काले के पास d4 पर एक घोड़ा और b5 पर एक मोहरा है। सफ़ेद को क्या करना चाहिए?</v>
      </c>
      <c r="H417" s="5" t="str">
        <f>IFERROR(__xludf.DUMMYFUNCTION("GOOGLETRANSLATE(C417, ""en"", ""hi"")"),"A) मोहरे को b6 पर धकेलें, B) काले घोड़े पर हमला करने के लिए किश्ती का उपयोग करें, C) किश्ती को अन्य मोहरों के साथ समन्वयित करें, D) किश्ती को b7 पर ले जाएं")</f>
        <v>A) मोहरे को b6 पर धकेलें, B) काले घोड़े पर हमला करने के लिए किश्ती का उपयोग करें, C) किश्ती को अन्य मोहरों के साथ समन्वयित करें, D) किश्ती को b7 पर ले जाएं</v>
      </c>
      <c r="I417" s="5" t="str">
        <f>IFERROR(__xludf.DUMMYFUNCTION("GOOGLETRANSLATE(D417, ""en"", ""hi"")"),"A) मोहरे को b6 पर धकेलें")</f>
        <v>A) मोहरे को b6 पर धकेलें</v>
      </c>
    </row>
    <row r="418" ht="22.5" customHeight="1">
      <c r="A418" s="2">
        <v>417.0</v>
      </c>
      <c r="B418" s="3" t="s">
        <v>2132</v>
      </c>
      <c r="C418" s="3" t="s">
        <v>2133</v>
      </c>
      <c r="D418" s="3" t="s">
        <v>2099</v>
      </c>
      <c r="F418" s="5" t="str">
        <f>IFERROR(__xludf.DUMMYFUNCTION("GOOGLETRANSLATE(A418, ""en"", ""hi"")"),"417")</f>
        <v>417</v>
      </c>
      <c r="G418" s="5" t="str">
        <f>IFERROR(__xludf.DUMMYFUNCTION("GOOGLETRANSLATE(B418, ""en"", ""hi"")"),"काले के पास f5 पर एक रानी है और सफ़ेद के पास g3 पर एक बिशप और h4 पर एक मोहरा है। सफ़ेद को क्या करना चाहिए?")</f>
        <v>काले के पास f5 पर एक रानी है और सफ़ेद के पास g3 पर एक बिशप और h4 पर एक मोहरा है। सफ़ेद को क्या करना चाहिए?</v>
      </c>
      <c r="H418" s="5" t="str">
        <f>IFERROR(__xludf.DUMMYFUNCTION("GOOGLETRANSLATE(C418, ""en"", ""hi"")"),"A) मोहरे को h5 पर धकेलें, B) काले की रानी पर हमला करने के लिए बिशप का उपयोग करें, C) बिशप को अन्य मोहरों के साथ समन्वयित करें, D) बिशप को f4 पर ले जाएं")</f>
        <v>A) मोहरे को h5 पर धकेलें, B) काले की रानी पर हमला करने के लिए बिशप का उपयोग करें, C) बिशप को अन्य मोहरों के साथ समन्वयित करें, D) बिशप को f4 पर ले जाएं</v>
      </c>
      <c r="I418" s="5" t="str">
        <f>IFERROR(__xludf.DUMMYFUNCTION("GOOGLETRANSLATE(D418, ""en"", ""hi"")"),"A) मोहरे को h5 पर धकेलें")</f>
        <v>A) मोहरे को h5 पर धकेलें</v>
      </c>
    </row>
    <row r="419" ht="22.5" customHeight="1">
      <c r="A419" s="2">
        <v>418.0</v>
      </c>
      <c r="B419" s="3" t="s">
        <v>2134</v>
      </c>
      <c r="C419" s="3" t="s">
        <v>2135</v>
      </c>
      <c r="D419" s="3" t="s">
        <v>2136</v>
      </c>
      <c r="F419" s="5" t="str">
        <f>IFERROR(__xludf.DUMMYFUNCTION("GOOGLETRANSLATE(A419, ""en"", ""hi"")"),"418")</f>
        <v>418</v>
      </c>
      <c r="G419" s="5" t="str">
        <f>IFERROR(__xludf.DUMMYFUNCTION("GOOGLETRANSLATE(B419, ""en"", ""hi"")"),"सफ़ेद के पास e5 पर एक घोड़ा है, काले के पास c8 पर एक किश्ती और d6 पर एक मोहरा है। सफ़ेद को क्या करना चाहिए?")</f>
        <v>सफ़ेद के पास e5 पर एक घोड़ा है, काले के पास c8 पर एक किश्ती और d6 पर एक मोहरा है। सफ़ेद को क्या करना चाहिए?</v>
      </c>
      <c r="H419" s="5" t="str">
        <f>IFERROR(__xludf.DUMMYFUNCTION("GOOGLETRANSLATE(C419, ""en"", ""hi"")"),"A) काले मोहरों पर आक्रमण करने के लिए घोड़े का उपयोग करें, B) घोड़े को f7 पर ले जाएं, C) मोहरे को d7 पर धकेलें, D) घोड़े को अन्य मोहरों के साथ समन्वयित करें")</f>
        <v>A) काले मोहरों पर आक्रमण करने के लिए घोड़े का उपयोग करें, B) घोड़े को f7 पर ले जाएं, C) मोहरे को d7 पर धकेलें, D) घोड़े को अन्य मोहरों के साथ समन्वयित करें</v>
      </c>
      <c r="I419" s="5" t="str">
        <f>IFERROR(__xludf.DUMMYFUNCTION("GOOGLETRANSLATE(D419, ""en"", ""hi"")"),"C) मोहरे को d7 पर धकेलें")</f>
        <v>C) मोहरे को d7 पर धकेलें</v>
      </c>
    </row>
    <row r="420" ht="22.5" customHeight="1">
      <c r="A420" s="2">
        <v>419.0</v>
      </c>
      <c r="B420" s="3" t="s">
        <v>2137</v>
      </c>
      <c r="C420" s="3" t="s">
        <v>2138</v>
      </c>
      <c r="D420" s="3" t="s">
        <v>2139</v>
      </c>
      <c r="F420" s="5" t="str">
        <f>IFERROR(__xludf.DUMMYFUNCTION("GOOGLETRANSLATE(A420, ""en"", ""hi"")"),"419")</f>
        <v>419</v>
      </c>
      <c r="G420" s="5" t="str">
        <f>IFERROR(__xludf.DUMMYFUNCTION("GOOGLETRANSLATE(B420, ""en"", ""hi"")"),"काले के पास e8 पर एक किश्ती है और सफेद के पास e7 पर एक मोहरा और f6 पर एक घोड़ा है। सफेद को क्या करना चाहिए?")</f>
        <v>काले के पास e8 पर एक किश्ती है और सफेद के पास e7 पर एक मोहरा और f6 पर एक घोड़ा है। सफेद को क्या करना चाहिए?</v>
      </c>
      <c r="H420" s="5" t="str">
        <f>IFERROR(__xludf.DUMMYFUNCTION("GOOGLETRANSLATE(C420, ""en"", ""hi"")"),"A) पदोन्नति के लिए मोहरे को e8 पर धकेलें, B) काले के हाथी पर हमला करने के लिए घोड़े का उपयोग करें, C) हमले के लिए मोहरे और घोड़े का समन्वय करें, D) घोड़े को e5 पर ले जाएं")</f>
        <v>A) पदोन्नति के लिए मोहरे को e8 पर धकेलें, B) काले के हाथी पर हमला करने के लिए घोड़े का उपयोग करें, C) हमले के लिए मोहरे और घोड़े का समन्वय करें, D) घोड़े को e5 पर ले जाएं</v>
      </c>
      <c r="I420" s="5" t="str">
        <f>IFERROR(__xludf.DUMMYFUNCTION("GOOGLETRANSLATE(D420, ""en"", ""hi"")"),"A) पदोन्नति के लिए मोहरे को e8 तक धकेलें")</f>
        <v>A) पदोन्नति के लिए मोहरे को e8 तक धकेलें</v>
      </c>
    </row>
    <row r="421" ht="22.5" customHeight="1">
      <c r="A421" s="2">
        <v>420.0</v>
      </c>
      <c r="B421" s="3" t="s">
        <v>2140</v>
      </c>
      <c r="C421" s="3" t="s">
        <v>2141</v>
      </c>
      <c r="D421" s="3" t="s">
        <v>2142</v>
      </c>
      <c r="F421" s="5" t="str">
        <f>IFERROR(__xludf.DUMMYFUNCTION("GOOGLETRANSLATE(A421, ""en"", ""hi"")"),"420")</f>
        <v>420</v>
      </c>
      <c r="G421" s="5" t="str">
        <f>IFERROR(__xludf.DUMMYFUNCTION("GOOGLETRANSLATE(B421, ""en"", ""hi"")"),"सफ़ेद के पास d5 पर एक रानी है और काले के पास d8 पर एक किश्ती और f6 पर एक मोहरा है। सफ़ेद को क्या करना चाहिए?")</f>
        <v>सफ़ेद के पास d5 पर एक रानी है और काले के पास d8 पर एक किश्ती और f6 पर एक मोहरा है। सफ़ेद को क्या करना चाहिए?</v>
      </c>
      <c r="H421" s="5" t="str">
        <f>IFERROR(__xludf.DUMMYFUNCTION("GOOGLETRANSLATE(C421, ""en"", ""hi"")"),"A) रानी का उपयोग काले के हाथी पर आक्रमण करने के लिए करें, B) मोहरे को f7 पर धकेलें, C) रानी को अन्य मोहरों के साथ समन्वयित करें, D) रानी को d4 पर ले जाएं")</f>
        <v>A) रानी का उपयोग काले के हाथी पर आक्रमण करने के लिए करें, B) मोहरे को f7 पर धकेलें, C) रानी को अन्य मोहरों के साथ समन्वयित करें, D) रानी को d4 पर ले जाएं</v>
      </c>
      <c r="I421" s="5" t="str">
        <f>IFERROR(__xludf.DUMMYFUNCTION("GOOGLETRANSLATE(D421, ""en"", ""hi"")"),"बी) मोहरे को f7 पर धकेलें")</f>
        <v>बी) मोहरे को f7 पर धकेलें</v>
      </c>
    </row>
    <row r="422" ht="22.5" customHeight="1">
      <c r="A422" s="2">
        <v>421.0</v>
      </c>
      <c r="B422" s="3" t="s">
        <v>2143</v>
      </c>
      <c r="C422" s="3" t="s">
        <v>2144</v>
      </c>
      <c r="D422" s="3" t="s">
        <v>2001</v>
      </c>
      <c r="F422" s="5" t="str">
        <f>IFERROR(__xludf.DUMMYFUNCTION("GOOGLETRANSLATE(A422, ""en"", ""hi"")"),"421")</f>
        <v>421</v>
      </c>
      <c r="G422" s="5" t="str">
        <f>IFERROR(__xludf.DUMMYFUNCTION("GOOGLETRANSLATE(B422, ""en"", ""hi"")"),"काले के पास f6 पर एक घोड़ा है और सफ़ेद के पास h7 पर एक किश्ती और g6 पर एक मोहरा है। सफ़ेद को क्या करना चाहिए?")</f>
        <v>काले के पास f6 पर एक घोड़ा है और सफ़ेद के पास h7 पर एक किश्ती और g6 पर एक मोहरा है। सफ़ेद को क्या करना चाहिए?</v>
      </c>
      <c r="H422" s="5" t="str">
        <f>IFERROR(__xludf.DUMMYFUNCTION("GOOGLETRANSLATE(C422, ""en"", ""hi"")"),"A) पदोन्नति के लिए मोहरे को g7 पर धकेलें, B) काले घोड़े पर हमला करने के लिए किश्ती का उपयोग करें, C) हमले के लिए किश्ती और मोहरे का समन्वय करें, D) किश्ती को h8 पर ले जाएं")</f>
        <v>A) पदोन्नति के लिए मोहरे को g7 पर धकेलें, B) काले घोड़े पर हमला करने के लिए किश्ती का उपयोग करें, C) हमले के लिए किश्ती और मोहरे का समन्वय करें, D) किश्ती को h8 पर ले जाएं</v>
      </c>
      <c r="I422" s="5" t="str">
        <f>IFERROR(__xludf.DUMMYFUNCTION("GOOGLETRANSLATE(D422, ""en"", ""hi"")"),"A) पदोन्नति के लिए मोहरे को g7 पर धकेलें")</f>
        <v>A) पदोन्नति के लिए मोहरे को g7 पर धकेलें</v>
      </c>
    </row>
    <row r="423" ht="22.5" customHeight="1">
      <c r="A423" s="2">
        <v>422.0</v>
      </c>
      <c r="B423" s="3" t="s">
        <v>2145</v>
      </c>
      <c r="C423" s="3" t="s">
        <v>2146</v>
      </c>
      <c r="D423" s="3" t="s">
        <v>2096</v>
      </c>
      <c r="F423" s="5" t="str">
        <f>IFERROR(__xludf.DUMMYFUNCTION("GOOGLETRANSLATE(A423, ""en"", ""hi"")"),"422")</f>
        <v>422</v>
      </c>
      <c r="G423" s="5" t="str">
        <f>IFERROR(__xludf.DUMMYFUNCTION("GOOGLETRANSLATE(B423, ""en"", ""hi"")"),"सफ़ेद के पास f3 पर एक रानी है और काले के पास e7 पर एक बिशप और d6 पर एक मोहरा है। सफ़ेद को क्या करना चाहिए?")</f>
        <v>सफ़ेद के पास f3 पर एक रानी है और काले के पास e7 पर एक बिशप और d6 पर एक मोहरा है। सफ़ेद को क्या करना चाहिए?</v>
      </c>
      <c r="H423" s="5" t="str">
        <f>IFERROR(__xludf.DUMMYFUNCTION("GOOGLETRANSLATE(C423, ""en"", ""hi"")"),"ए) रानी का उपयोग काले के बिशप पर हमला करने के लिए करें, बी) मोहरे को डी7 पर धकेलें, सी) रानी को अन्य मोहरों के साथ समन्वयित करें, डी) रानी को ई4 पर ले जाएं")</f>
        <v>ए) रानी का उपयोग काले के बिशप पर हमला करने के लिए करें, बी) मोहरे को डी7 पर धकेलें, सी) रानी को अन्य मोहरों के साथ समन्वयित करें, डी) रानी को ई4 पर ले जाएं</v>
      </c>
      <c r="I423" s="5" t="str">
        <f>IFERROR(__xludf.DUMMYFUNCTION("GOOGLETRANSLATE(D423, ""en"", ""hi"")"),"B) मोहरे को d7 पर धकेलें")</f>
        <v>B) मोहरे को d7 पर धकेलें</v>
      </c>
    </row>
    <row r="424" ht="22.5" customHeight="1">
      <c r="A424" s="2">
        <v>423.0</v>
      </c>
      <c r="B424" s="3" t="s">
        <v>2147</v>
      </c>
      <c r="C424" s="3" t="s">
        <v>2148</v>
      </c>
      <c r="D424" s="3" t="s">
        <v>1961</v>
      </c>
      <c r="F424" s="5" t="str">
        <f>IFERROR(__xludf.DUMMYFUNCTION("GOOGLETRANSLATE(A424, ""en"", ""hi"")"),"423")</f>
        <v>423</v>
      </c>
      <c r="G424" s="5" t="str">
        <f>IFERROR(__xludf.DUMMYFUNCTION("GOOGLETRANSLATE(B424, ""en"", ""hi"")"),"काले के पास h6 पर एक किश्ती है और सफ़ेद के पास d2 पर एक रानी और f5 पर एक मोहरा है। सफ़ेद को क्या करना चाहिए?")</f>
        <v>काले के पास h6 पर एक किश्ती है और सफ़ेद के पास d2 पर एक रानी और f5 पर एक मोहरा है। सफ़ेद को क्या करना चाहिए?</v>
      </c>
      <c r="H424" s="5" t="str">
        <f>IFERROR(__xludf.DUMMYFUNCTION("GOOGLETRANSLATE(C424, ""en"", ""hi"")"),"A) मोहरे को f6 पर धकेलें, B) रानी का उपयोग करके काले के हाथी पर आक्रमण करें, C) रानी को अन्य मोहरों के साथ समन्वयित करें, D) रानी को e2 पर ले जाएं")</f>
        <v>A) मोहरे को f6 पर धकेलें, B) रानी का उपयोग करके काले के हाथी पर आक्रमण करें, C) रानी को अन्य मोहरों के साथ समन्वयित करें, D) रानी को e2 पर ले जाएं</v>
      </c>
      <c r="I424" s="5" t="str">
        <f>IFERROR(__xludf.DUMMYFUNCTION("GOOGLETRANSLATE(D424, ""en"", ""hi"")"),"A) मोहरे को f6 पर धकेलें")</f>
        <v>A) मोहरे को f6 पर धकेलें</v>
      </c>
    </row>
    <row r="425" ht="22.5" customHeight="1">
      <c r="A425" s="2">
        <v>424.0</v>
      </c>
      <c r="B425" s="3" t="s">
        <v>2149</v>
      </c>
      <c r="C425" s="3" t="s">
        <v>2150</v>
      </c>
      <c r="D425" s="3" t="s">
        <v>2096</v>
      </c>
      <c r="F425" s="5" t="str">
        <f>IFERROR(__xludf.DUMMYFUNCTION("GOOGLETRANSLATE(A425, ""en"", ""hi"")"),"424")</f>
        <v>424</v>
      </c>
      <c r="G425" s="5" t="str">
        <f>IFERROR(__xludf.DUMMYFUNCTION("GOOGLETRANSLATE(B425, ""en"", ""hi"")"),"सफ़ेद के पास c5 पर एक घोड़ा है और काले के पास d8 पर एक किश्ती और d6 पर एक मोहरा है। सफ़ेद को क्या करना चाहिए?")</f>
        <v>सफ़ेद के पास c5 पर एक घोड़ा है और काले के पास d8 पर एक किश्ती और d6 पर एक मोहरा है। सफ़ेद को क्या करना चाहिए?</v>
      </c>
      <c r="H425" s="5" t="str">
        <f>IFERROR(__xludf.DUMMYFUNCTION("GOOGLETRANSLATE(C425, ""en"", ""hi"")"),"A) काले मोहरों पर हमला करने के लिए घोड़े का उपयोग करें, B) मोहरे को d7 पर धकेलें, C) घोड़े को अन्य मोहरों के साथ समन्वयित करें, D) घोड़े को b7 पर ले जाएं")</f>
        <v>A) काले मोहरों पर हमला करने के लिए घोड़े का उपयोग करें, B) मोहरे को d7 पर धकेलें, C) घोड़े को अन्य मोहरों के साथ समन्वयित करें, D) घोड़े को b7 पर ले जाएं</v>
      </c>
      <c r="I425" s="5" t="str">
        <f>IFERROR(__xludf.DUMMYFUNCTION("GOOGLETRANSLATE(D425, ""en"", ""hi"")"),"B) मोहरे को d7 पर धकेलें")</f>
        <v>B) मोहरे को d7 पर धकेलें</v>
      </c>
    </row>
    <row r="426" ht="22.5" customHeight="1">
      <c r="A426" s="2">
        <v>425.0</v>
      </c>
      <c r="B426" s="3" t="s">
        <v>2151</v>
      </c>
      <c r="C426" s="3" t="s">
        <v>2152</v>
      </c>
      <c r="D426" s="3" t="s">
        <v>1857</v>
      </c>
      <c r="F426" s="5" t="str">
        <f>IFERROR(__xludf.DUMMYFUNCTION("GOOGLETRANSLATE(A426, ""en"", ""hi"")"),"425")</f>
        <v>425</v>
      </c>
      <c r="G426" s="5" t="str">
        <f>IFERROR(__xludf.DUMMYFUNCTION("GOOGLETRANSLATE(B426, ""en"", ""hi"")"),"काले के पास d5 पर एक रानी है और सफेद के पास e1 पर एक किश्ती और e6 पर एक मोहरा है। सफेद को क्या करना चाहिए?")</f>
        <v>काले के पास d5 पर एक रानी है और सफेद के पास e1 पर एक किश्ती और e6 पर एक मोहरा है। सफेद को क्या करना चाहिए?</v>
      </c>
      <c r="H426" s="5" t="str">
        <f>IFERROR(__xludf.DUMMYFUNCTION("GOOGLETRANSLATE(C426, ""en"", ""hi"")"),"A) मोहरे को e7 पर धकेलें, B) काले की रानी पर हमला करने के लिए किश्ती का उपयोग करें, C) हमले के लिए किश्ती और मोहरे का समन्वय करें, D) किश्ती को e2 पर ले जाएं")</f>
        <v>A) मोहरे को e7 पर धकेलें, B) काले की रानी पर हमला करने के लिए किश्ती का उपयोग करें, C) हमले के लिए किश्ती और मोहरे का समन्वय करें, D) किश्ती को e2 पर ले जाएं</v>
      </c>
      <c r="I426" s="5" t="str">
        <f>IFERROR(__xludf.DUMMYFUNCTION("GOOGLETRANSLATE(D426, ""en"", ""hi"")"),"A) मोहरे को e7 पर धकेलें")</f>
        <v>A) मोहरे को e7 पर धकेलें</v>
      </c>
    </row>
    <row r="427" ht="22.5" customHeight="1">
      <c r="A427" s="2">
        <v>426.0</v>
      </c>
      <c r="B427" s="3" t="s">
        <v>2153</v>
      </c>
      <c r="C427" s="3" t="s">
        <v>2154</v>
      </c>
      <c r="D427" s="3" t="s">
        <v>2024</v>
      </c>
      <c r="F427" s="5" t="str">
        <f>IFERROR(__xludf.DUMMYFUNCTION("GOOGLETRANSLATE(A427, ""en"", ""hi"")"),"426")</f>
        <v>426</v>
      </c>
      <c r="G427" s="5" t="str">
        <f>IFERROR(__xludf.DUMMYFUNCTION("GOOGLETRANSLATE(B427, ""en"", ""hi"")"),"सफ़ेद के पास g3 पर एक बिशप है और काले के पास d6 पर एक रानी और h5 पर एक मोहरा है। सफ़ेद को क्या करना चाहिए?")</f>
        <v>सफ़ेद के पास g3 पर एक बिशप है और काले के पास d6 पर एक रानी और h5 पर एक मोहरा है। सफ़ेद को क्या करना चाहिए?</v>
      </c>
      <c r="H427" s="5" t="str">
        <f>IFERROR(__xludf.DUMMYFUNCTION("GOOGLETRANSLATE(C427, ""en"", ""hi"")"),"A) मोहरे को h6 पर धकेलें, B) काले की रानी पर हमला करने के लिए बिशप का उपयोग करें, C) बिशप को अन्य मोहरों के साथ समन्वयित करें, D) बिशप को f4 पर ले जाएं")</f>
        <v>A) मोहरे को h6 पर धकेलें, B) काले की रानी पर हमला करने के लिए बिशप का उपयोग करें, C) बिशप को अन्य मोहरों के साथ समन्वयित करें, D) बिशप को f4 पर ले जाएं</v>
      </c>
      <c r="I427" s="5" t="str">
        <f>IFERROR(__xludf.DUMMYFUNCTION("GOOGLETRANSLATE(D427, ""en"", ""hi"")"),"A) मोहरे को h6 पर धकेलें")</f>
        <v>A) मोहरे को h6 पर धकेलें</v>
      </c>
    </row>
    <row r="428" ht="22.5" customHeight="1">
      <c r="A428" s="2">
        <v>427.0</v>
      </c>
      <c r="B428" s="3" t="s">
        <v>2155</v>
      </c>
      <c r="C428" s="3" t="s">
        <v>2156</v>
      </c>
      <c r="D428" s="3" t="s">
        <v>2001</v>
      </c>
      <c r="F428" s="5" t="str">
        <f>IFERROR(__xludf.DUMMYFUNCTION("GOOGLETRANSLATE(A428, ""en"", ""hi"")"),"427")</f>
        <v>427</v>
      </c>
      <c r="G428" s="5" t="str">
        <f>IFERROR(__xludf.DUMMYFUNCTION("GOOGLETRANSLATE(B428, ""en"", ""hi"")"),"काले के पास e8 पर एक किश्ती है और सफ़ेद के पास f5 पर एक रानी और g6 पर एक मोहरा है। सफ़ेद को क्या करना चाहिए?")</f>
        <v>काले के पास e8 पर एक किश्ती है और सफ़ेद के पास f5 पर एक रानी और g6 पर एक मोहरा है। सफ़ेद को क्या करना चाहिए?</v>
      </c>
      <c r="H428" s="5" t="str">
        <f>IFERROR(__xludf.DUMMYFUNCTION("GOOGLETRANSLATE(C428, ""en"", ""hi"")"),"A) पदोन्नति के लिए मोहरे को g7 पर धकेलें, B) काले के हाथी पर हमला करने के लिए रानी का उपयोग करें, C) हमले के लिए रानी और मोहरे का समन्वय करें, D) रानी को f6 पर ले जाएं")</f>
        <v>A) पदोन्नति के लिए मोहरे को g7 पर धकेलें, B) काले के हाथी पर हमला करने के लिए रानी का उपयोग करें, C) हमले के लिए रानी और मोहरे का समन्वय करें, D) रानी को f6 पर ले जाएं</v>
      </c>
      <c r="I428" s="5" t="str">
        <f>IFERROR(__xludf.DUMMYFUNCTION("GOOGLETRANSLATE(D428, ""en"", ""hi"")"),"A) पदोन्नति के लिए मोहरे को g7 पर धकेलें")</f>
        <v>A) पदोन्नति के लिए मोहरे को g7 पर धकेलें</v>
      </c>
    </row>
    <row r="429" ht="22.5" customHeight="1">
      <c r="A429" s="2">
        <v>428.0</v>
      </c>
      <c r="B429" s="3" t="s">
        <v>2157</v>
      </c>
      <c r="C429" s="3" t="s">
        <v>2158</v>
      </c>
      <c r="D429" s="3" t="s">
        <v>2064</v>
      </c>
      <c r="F429" s="5" t="str">
        <f>IFERROR(__xludf.DUMMYFUNCTION("GOOGLETRANSLATE(A429, ""en"", ""hi"")"),"428")</f>
        <v>428</v>
      </c>
      <c r="G429" s="5" t="str">
        <f>IFERROR(__xludf.DUMMYFUNCTION("GOOGLETRANSLATE(B429, ""en"", ""hi"")"),"सफ़ेद के पास e5 पर एक रानी है और काले के पास f8 पर एक किश्ती और e6 पर एक मोहरा है। सफ़ेद को क्या करना चाहिए?")</f>
        <v>सफ़ेद के पास e5 पर एक रानी है और काले के पास f8 पर एक किश्ती और e6 पर एक मोहरा है। सफ़ेद को क्या करना चाहिए?</v>
      </c>
      <c r="H429" s="5" t="str">
        <f>IFERROR(__xludf.DUMMYFUNCTION("GOOGLETRANSLATE(C429, ""en"", ""hi"")"),"ए) काले के हाथी पर आक्रमण करने के लिए रानी का उपयोग करें, बी) मोहरे को e7 पर धकेलें, सी) रानी को अन्य मोहरों के साथ समन्वयित करें, डी) रानी को e4 पर ले जाएं")</f>
        <v>ए) काले के हाथी पर आक्रमण करने के लिए रानी का उपयोग करें, बी) मोहरे को e7 पर धकेलें, सी) रानी को अन्य मोहरों के साथ समन्वयित करें, डी) रानी को e4 पर ले जाएं</v>
      </c>
      <c r="I429" s="5" t="str">
        <f>IFERROR(__xludf.DUMMYFUNCTION("GOOGLETRANSLATE(D429, ""en"", ""hi"")"),"B) मोहरे को e7 पर धकेलें")</f>
        <v>B) मोहरे को e7 पर धकेलें</v>
      </c>
    </row>
    <row r="430" ht="22.5" customHeight="1">
      <c r="A430" s="2">
        <v>429.0</v>
      </c>
      <c r="B430" s="3" t="s">
        <v>2132</v>
      </c>
      <c r="C430" s="3" t="s">
        <v>2133</v>
      </c>
      <c r="D430" s="3" t="s">
        <v>2099</v>
      </c>
      <c r="F430" s="5" t="str">
        <f>IFERROR(__xludf.DUMMYFUNCTION("GOOGLETRANSLATE(A430, ""en"", ""hi"")"),"429")</f>
        <v>429</v>
      </c>
      <c r="G430" s="5" t="str">
        <f>IFERROR(__xludf.DUMMYFUNCTION("GOOGLETRANSLATE(B430, ""en"", ""hi"")"),"काले के पास f5 पर एक रानी है और सफ़ेद के पास g3 पर एक बिशप और h4 पर एक मोहरा है। सफ़ेद को क्या करना चाहिए?")</f>
        <v>काले के पास f5 पर एक रानी है और सफ़ेद के पास g3 पर एक बिशप और h4 पर एक मोहरा है। सफ़ेद को क्या करना चाहिए?</v>
      </c>
      <c r="H430" s="5" t="str">
        <f>IFERROR(__xludf.DUMMYFUNCTION("GOOGLETRANSLATE(C430, ""en"", ""hi"")"),"A) मोहरे को h5 पर धकेलें, B) काले की रानी पर हमला करने के लिए बिशप का उपयोग करें, C) बिशप को अन्य मोहरों के साथ समन्वयित करें, D) बिशप को f4 पर ले जाएं")</f>
        <v>A) मोहरे को h5 पर धकेलें, B) काले की रानी पर हमला करने के लिए बिशप का उपयोग करें, C) बिशप को अन्य मोहरों के साथ समन्वयित करें, D) बिशप को f4 पर ले जाएं</v>
      </c>
      <c r="I430" s="5" t="str">
        <f>IFERROR(__xludf.DUMMYFUNCTION("GOOGLETRANSLATE(D430, ""en"", ""hi"")"),"A) मोहरे को h5 पर धकेलें")</f>
        <v>A) मोहरे को h5 पर धकेलें</v>
      </c>
    </row>
    <row r="431" ht="22.5" customHeight="1">
      <c r="A431" s="2">
        <v>430.0</v>
      </c>
      <c r="B431" s="3" t="s">
        <v>2159</v>
      </c>
      <c r="C431" s="3" t="s">
        <v>2160</v>
      </c>
      <c r="D431" s="3" t="s">
        <v>2096</v>
      </c>
      <c r="F431" s="5" t="str">
        <f>IFERROR(__xludf.DUMMYFUNCTION("GOOGLETRANSLATE(A431, ""en"", ""hi"")"),"430")</f>
        <v>430</v>
      </c>
      <c r="G431" s="5" t="str">
        <f>IFERROR(__xludf.DUMMYFUNCTION("GOOGLETRANSLATE(B431, ""en"", ""hi"")"),"सफ़ेद के पास e1 पर एक किश्ती है और काले के पास d8 पर एक रानी और d6 पर एक मोहरा है। सफ़ेद को क्या करना चाहिए?")</f>
        <v>सफ़ेद के पास e1 पर एक किश्ती है और काले के पास d8 पर एक रानी और d6 पर एक मोहरा है। सफ़ेद को क्या करना चाहिए?</v>
      </c>
      <c r="H431" s="5" t="str">
        <f>IFERROR(__xludf.DUMMYFUNCTION("GOOGLETRANSLATE(C431, ""en"", ""hi"")"),"A) काले की रानी पर हमला करने के लिए किश्ती का उपयोग करें, B) मोहरे को d7 पर धकेलें, C) किश्ती को अन्य मोहरों के साथ समन्वयित करें, D) किश्ती को e2 पर ले जाएं")</f>
        <v>A) काले की रानी पर हमला करने के लिए किश्ती का उपयोग करें, B) मोहरे को d7 पर धकेलें, C) किश्ती को अन्य मोहरों के साथ समन्वयित करें, D) किश्ती को e2 पर ले जाएं</v>
      </c>
      <c r="I431" s="5" t="str">
        <f>IFERROR(__xludf.DUMMYFUNCTION("GOOGLETRANSLATE(D431, ""en"", ""hi"")"),"B) मोहरे को d7 पर धकेलें")</f>
        <v>B) मोहरे को d7 पर धकेलें</v>
      </c>
    </row>
    <row r="432" ht="22.5" customHeight="1">
      <c r="A432" s="2">
        <v>431.0</v>
      </c>
      <c r="B432" s="3" t="s">
        <v>2161</v>
      </c>
      <c r="C432" s="3" t="s">
        <v>2162</v>
      </c>
      <c r="D432" s="3" t="s">
        <v>2136</v>
      </c>
      <c r="F432" s="5" t="str">
        <f>IFERROR(__xludf.DUMMYFUNCTION("GOOGLETRANSLATE(A432, ""en"", ""hi"")"),"431")</f>
        <v>431</v>
      </c>
      <c r="G432" s="5" t="str">
        <f>IFERROR(__xludf.DUMMYFUNCTION("GOOGLETRANSLATE(B432, ""en"", ""hi"")"),"काले के पास e5 पर एक बिशप है और सफ़ेद के पास d3 पर एक रानी और d6 पर एक मोहरा है। सफ़ेद को क्या करना चाहिए?")</f>
        <v>काले के पास e5 पर एक बिशप है और सफ़ेद के पास d3 पर एक रानी और d6 पर एक मोहरा है। सफ़ेद को क्या करना चाहिए?</v>
      </c>
      <c r="H432" s="5" t="str">
        <f>IFERROR(__xludf.DUMMYFUNCTION("GOOGLETRANSLATE(C432, ""en"", ""hi"")"),"ए) रानी का उपयोग काले के बिशप पर हमला करने के लिए करें, बी) रानी को डी2 पर ले जाएं, सी) मोहरे को डी7 पर धकेलें, डी) रानी को अन्य मोहरों के साथ समन्वयित करें")</f>
        <v>ए) रानी का उपयोग काले के बिशप पर हमला करने के लिए करें, बी) रानी को डी2 पर ले जाएं, सी) मोहरे को डी7 पर धकेलें, डी) रानी को अन्य मोहरों के साथ समन्वयित करें</v>
      </c>
      <c r="I432" s="5" t="str">
        <f>IFERROR(__xludf.DUMMYFUNCTION("GOOGLETRANSLATE(D432, ""en"", ""hi"")"),"C) मोहरे को d7 पर धकेलें")</f>
        <v>C) मोहरे को d7 पर धकेलें</v>
      </c>
    </row>
    <row r="433" ht="22.5" customHeight="1">
      <c r="A433" s="2">
        <v>432.0</v>
      </c>
      <c r="B433" s="3" t="s">
        <v>2163</v>
      </c>
      <c r="C433" s="3" t="s">
        <v>2164</v>
      </c>
      <c r="D433" s="3" t="s">
        <v>2001</v>
      </c>
      <c r="F433" s="5" t="str">
        <f>IFERROR(__xludf.DUMMYFUNCTION("GOOGLETRANSLATE(A433, ""en"", ""hi"")"),"432")</f>
        <v>432</v>
      </c>
      <c r="G433" s="5" t="str">
        <f>IFERROR(__xludf.DUMMYFUNCTION("GOOGLETRANSLATE(B433, ""en"", ""hi"")"),"सफ़ेद के पास f6 पर एक घोड़ा है, काले के पास f8 पर एक किश्ती और g6 पर एक मोहरा है। सफ़ेद को क्या करना चाहिए?")</f>
        <v>सफ़ेद के पास f6 पर एक घोड़ा है, काले के पास f8 पर एक किश्ती और g6 पर एक मोहरा है। सफ़ेद को क्या करना चाहिए?</v>
      </c>
      <c r="H433" s="5" t="str">
        <f>IFERROR(__xludf.DUMMYFUNCTION("GOOGLETRANSLATE(C433, ""en"", ""hi"")"),"A) पदोन्नति के लिए मोहरे को g7 पर धकेलें, B) काले के हाथी पर हमला करने के लिए घोड़े का उपयोग करें, C) हमले के लिए घोड़े और मोहरे का समन्वय करें, D) घोड़े को e8 पर ले जाएं")</f>
        <v>A) पदोन्नति के लिए मोहरे को g7 पर धकेलें, B) काले के हाथी पर हमला करने के लिए घोड़े का उपयोग करें, C) हमले के लिए घोड़े और मोहरे का समन्वय करें, D) घोड़े को e8 पर ले जाएं</v>
      </c>
      <c r="I433" s="5" t="str">
        <f>IFERROR(__xludf.DUMMYFUNCTION("GOOGLETRANSLATE(D433, ""en"", ""hi"")"),"A) पदोन्नति के लिए मोहरे को g7 पर धकेलें")</f>
        <v>A) पदोन्नति के लिए मोहरे को g7 पर धकेलें</v>
      </c>
    </row>
    <row r="434" ht="22.5" customHeight="1">
      <c r="A434" s="2">
        <v>433.0</v>
      </c>
      <c r="B434" s="3" t="s">
        <v>2165</v>
      </c>
      <c r="C434" s="3" t="s">
        <v>2160</v>
      </c>
      <c r="D434" s="3" t="s">
        <v>2096</v>
      </c>
      <c r="F434" s="5" t="str">
        <f>IFERROR(__xludf.DUMMYFUNCTION("GOOGLETRANSLATE(A434, ""en"", ""hi"")"),"433")</f>
        <v>433</v>
      </c>
      <c r="G434" s="5" t="str">
        <f>IFERROR(__xludf.DUMMYFUNCTION("GOOGLETRANSLATE(B434, ""en"", ""hi"")"),"काले के पास d4 पर एक रानी है और सफेद के पास e1 पर एक किश्ती और d6 पर एक मोहरा है। सफेद को क्या करना चाहिए?")</f>
        <v>काले के पास d4 पर एक रानी है और सफेद के पास e1 पर एक किश्ती और d6 पर एक मोहरा है। सफेद को क्या करना चाहिए?</v>
      </c>
      <c r="H434" s="5" t="str">
        <f>IFERROR(__xludf.DUMMYFUNCTION("GOOGLETRANSLATE(C434, ""en"", ""hi"")"),"A) काले की रानी पर हमला करने के लिए किश्ती का उपयोग करें, B) मोहरे को d7 पर धकेलें, C) किश्ती को अन्य मोहरों के साथ समन्वयित करें, D) किश्ती को e2 पर ले जाएं")</f>
        <v>A) काले की रानी पर हमला करने के लिए किश्ती का उपयोग करें, B) मोहरे को d7 पर धकेलें, C) किश्ती को अन्य मोहरों के साथ समन्वयित करें, D) किश्ती को e2 पर ले जाएं</v>
      </c>
      <c r="I434" s="5" t="str">
        <f>IFERROR(__xludf.DUMMYFUNCTION("GOOGLETRANSLATE(D434, ""en"", ""hi"")"),"B) मोहरे को d7 पर धकेलें")</f>
        <v>B) मोहरे को d7 पर धकेलें</v>
      </c>
    </row>
    <row r="435" ht="22.5" customHeight="1">
      <c r="A435" s="2">
        <v>434.0</v>
      </c>
      <c r="B435" s="3" t="s">
        <v>2166</v>
      </c>
      <c r="C435" s="3" t="s">
        <v>2117</v>
      </c>
      <c r="D435" s="3" t="s">
        <v>1961</v>
      </c>
      <c r="F435" s="5" t="str">
        <f>IFERROR(__xludf.DUMMYFUNCTION("GOOGLETRANSLATE(A435, ""en"", ""hi"")"),"434")</f>
        <v>434</v>
      </c>
      <c r="G435" s="5" t="str">
        <f>IFERROR(__xludf.DUMMYFUNCTION("GOOGLETRANSLATE(B435, ""en"", ""hi"")"),"सफ़ेद के पास f5 पर एक मोहरा है और काले के पास e8 पर एक रानी और f7 पर एक किश्ती है। सफ़ेद को क्या करना चाहिए?")</f>
        <v>सफ़ेद के पास f5 पर एक मोहरा है और काले के पास e8 पर एक रानी और f7 पर एक किश्ती है। सफ़ेद को क्या करना चाहिए?</v>
      </c>
      <c r="H435" s="5" t="str">
        <f>IFERROR(__xludf.DUMMYFUNCTION("GOOGLETRANSLATE(C435, ""en"", ""hi"")"),"A) मोहरे को f6 पर धकेलें, B) मोहरे का उपयोग काले के हाथी पर हमला करने के लिए करें, C) मोहरे को अन्य मोहरों के साथ समन्वयित करें, D) मोहरे को f4 पर ले जाएं")</f>
        <v>A) मोहरे को f6 पर धकेलें, B) मोहरे का उपयोग काले के हाथी पर हमला करने के लिए करें, C) मोहरे को अन्य मोहरों के साथ समन्वयित करें, D) मोहरे को f4 पर ले जाएं</v>
      </c>
      <c r="I435" s="5" t="str">
        <f>IFERROR(__xludf.DUMMYFUNCTION("GOOGLETRANSLATE(D435, ""en"", ""hi"")"),"A) मोहरे को f6 पर धकेलें")</f>
        <v>A) मोहरे को f6 पर धकेलें</v>
      </c>
    </row>
    <row r="436" ht="22.5" customHeight="1">
      <c r="A436" s="2">
        <v>435.0</v>
      </c>
      <c r="B436" s="3" t="s">
        <v>2167</v>
      </c>
      <c r="C436" s="3" t="s">
        <v>2168</v>
      </c>
      <c r="D436" s="3" t="s">
        <v>2001</v>
      </c>
      <c r="F436" s="5" t="str">
        <f>IFERROR(__xludf.DUMMYFUNCTION("GOOGLETRANSLATE(A436, ""en"", ""hi"")"),"435")</f>
        <v>435</v>
      </c>
      <c r="G436" s="5" t="str">
        <f>IFERROR(__xludf.DUMMYFUNCTION("GOOGLETRANSLATE(B436, ""en"", ""hi"")"),"काले के पास f3 पर एक घोड़ा है और सफ़ेद के पास f1 पर एक रानी और g6 पर एक मोहरा है। सफ़ेद को क्या करना चाहिए?")</f>
        <v>काले के पास f3 पर एक घोड़ा है और सफ़ेद के पास f1 पर एक रानी और g6 पर एक मोहरा है। सफ़ेद को क्या करना चाहिए?</v>
      </c>
      <c r="H436" s="5" t="str">
        <f>IFERROR(__xludf.DUMMYFUNCTION("GOOGLETRANSLATE(C436, ""en"", ""hi"")"),"A) पदोन्नति के लिए मोहरे को g7 पर धकेलें, B) काले घोड़े पर हमला करने के लिए रानी का उपयोग करें, C) हमले के लिए रानी और मोहरे का समन्वय करें, D) रानी को g2 पर ले जाएं")</f>
        <v>A) पदोन्नति के लिए मोहरे को g7 पर धकेलें, B) काले घोड़े पर हमला करने के लिए रानी का उपयोग करें, C) हमले के लिए रानी और मोहरे का समन्वय करें, D) रानी को g2 पर ले जाएं</v>
      </c>
      <c r="I436" s="5" t="str">
        <f>IFERROR(__xludf.DUMMYFUNCTION("GOOGLETRANSLATE(D436, ""en"", ""hi"")"),"A) पदोन्नति के लिए मोहरे को g7 पर धकेलें")</f>
        <v>A) पदोन्नति के लिए मोहरे को g7 पर धकेलें</v>
      </c>
    </row>
    <row r="437" ht="22.5" customHeight="1">
      <c r="A437" s="2">
        <v>436.0</v>
      </c>
      <c r="B437" s="3" t="s">
        <v>2169</v>
      </c>
      <c r="C437" s="3" t="s">
        <v>2170</v>
      </c>
      <c r="D437" s="3" t="s">
        <v>2122</v>
      </c>
      <c r="F437" s="5" t="str">
        <f>IFERROR(__xludf.DUMMYFUNCTION("GOOGLETRANSLATE(A437, ""en"", ""hi"")"),"436")</f>
        <v>436</v>
      </c>
      <c r="G437" s="5" t="str">
        <f>IFERROR(__xludf.DUMMYFUNCTION("GOOGLETRANSLATE(B437, ""en"", ""hi"")"),"सफ़ेद के पास a6 पर एक किश्ती है और काले के पास c8 पर एक रानी और b5 पर एक मोहरा है। सफ़ेद को क्या करना चाहिए?")</f>
        <v>सफ़ेद के पास a6 पर एक किश्ती है और काले के पास c8 पर एक रानी और b5 पर एक मोहरा है। सफ़ेद को क्या करना चाहिए?</v>
      </c>
      <c r="H437" s="5" t="str">
        <f>IFERROR(__xludf.DUMMYFUNCTION("GOOGLETRANSLATE(C437, ""en"", ""hi"")"),"A) मोहरे को b6 पर धकेलें, B) काले की रानी पर हमला करने के लिए किश्ती का उपयोग करें, C) किश्ती को अन्य मोहरों के साथ समन्वयित करें, D) किश्ती को a7 पर ले जाएं")</f>
        <v>A) मोहरे को b6 पर धकेलें, B) काले की रानी पर हमला करने के लिए किश्ती का उपयोग करें, C) किश्ती को अन्य मोहरों के साथ समन्वयित करें, D) किश्ती को a7 पर ले जाएं</v>
      </c>
      <c r="I437" s="5" t="str">
        <f>IFERROR(__xludf.DUMMYFUNCTION("GOOGLETRANSLATE(D437, ""en"", ""hi"")"),"A) मोहरे को b6 पर धकेलें")</f>
        <v>A) मोहरे को b6 पर धकेलें</v>
      </c>
    </row>
    <row r="438" ht="22.5" customHeight="1">
      <c r="A438" s="2">
        <v>437.0</v>
      </c>
      <c r="B438" s="3" t="s">
        <v>2171</v>
      </c>
      <c r="C438" s="3" t="s">
        <v>2172</v>
      </c>
      <c r="D438" s="3" t="s">
        <v>1948</v>
      </c>
      <c r="F438" s="5" t="str">
        <f>IFERROR(__xludf.DUMMYFUNCTION("GOOGLETRANSLATE(A438, ""en"", ""hi"")"),"437")</f>
        <v>437</v>
      </c>
      <c r="G438" s="5" t="str">
        <f>IFERROR(__xludf.DUMMYFUNCTION("GOOGLETRANSLATE(B438, ""en"", ""hi"")"),"काले के पास d8 पर एक किश्ती है और सफेद के पास e4 पर एक बिशप और f7 पर एक प्यादा है। सफेद को क्या करना चाहिए?")</f>
        <v>काले के पास d8 पर एक किश्ती है और सफेद के पास e4 पर एक बिशप और f7 पर एक प्यादा है। सफेद को क्या करना चाहिए?</v>
      </c>
      <c r="H438" s="5" t="str">
        <f>IFERROR(__xludf.DUMMYFUNCTION("GOOGLETRANSLATE(C438, ""en"", ""hi"")"),"A) पदोन्नति के लिए मोहरे को f8 पर धकेलें, B) काले के हाथी पर हमला करने के लिए बिशप का उपयोग करें, C) हमले के लिए बिशप और मोहरे का समन्वय करें, D) बिशप को f4 पर ले जाएं")</f>
        <v>A) पदोन्नति के लिए मोहरे को f8 पर धकेलें, B) काले के हाथी पर हमला करने के लिए बिशप का उपयोग करें, C) हमले के लिए बिशप और मोहरे का समन्वय करें, D) बिशप को f4 पर ले जाएं</v>
      </c>
      <c r="I438" s="5" t="str">
        <f>IFERROR(__xludf.DUMMYFUNCTION("GOOGLETRANSLATE(D438, ""en"", ""hi"")"),"A) पदोन्नति के लिए मोहरे को f8 पर धकेलें")</f>
        <v>A) पदोन्नति के लिए मोहरे को f8 पर धकेलें</v>
      </c>
    </row>
    <row r="439" ht="22.5" customHeight="1">
      <c r="A439" s="2">
        <v>438.0</v>
      </c>
      <c r="B439" s="3" t="s">
        <v>2173</v>
      </c>
      <c r="C439" s="3" t="s">
        <v>2174</v>
      </c>
      <c r="D439" s="3" t="s">
        <v>1981</v>
      </c>
      <c r="F439" s="5" t="str">
        <f>IFERROR(__xludf.DUMMYFUNCTION("GOOGLETRANSLATE(A439, ""en"", ""hi"")"),"438")</f>
        <v>438</v>
      </c>
      <c r="G439" s="5" t="str">
        <f>IFERROR(__xludf.DUMMYFUNCTION("GOOGLETRANSLATE(B439, ""en"", ""hi"")"),"सफ़ेद के पास d5 पर एक रानी है और काले के पास e6 पर एक बिशप और f6 पर एक मोहरा है। सफ़ेद को क्या करना चाहिए?")</f>
        <v>सफ़ेद के पास d5 पर एक रानी है और काले के पास e6 पर एक बिशप और f6 पर एक मोहरा है। सफ़ेद को क्या करना चाहिए?</v>
      </c>
      <c r="H439" s="5" t="str">
        <f>IFERROR(__xludf.DUMMYFUNCTION("GOOGLETRANSLATE(C439, ""en"", ""hi"")"),"A) मोहरे को f7 पर धकेलें, B) रानी का उपयोग काले के बिशप पर हमला करने के लिए करें, C) रानी को अन्य मोहरों के साथ समन्वयित करें, D) रानी को d4 पर ले जाएं")</f>
        <v>A) मोहरे को f7 पर धकेलें, B) रानी का उपयोग काले के बिशप पर हमला करने के लिए करें, C) रानी को अन्य मोहरों के साथ समन्वयित करें, D) रानी को d4 पर ले जाएं</v>
      </c>
      <c r="I439" s="5" t="str">
        <f>IFERROR(__xludf.DUMMYFUNCTION("GOOGLETRANSLATE(D439, ""en"", ""hi"")"),"A) मोहरे को f7 पर धकेलें")</f>
        <v>A) मोहरे को f7 पर धकेलें</v>
      </c>
    </row>
    <row r="440" ht="22.5" customHeight="1">
      <c r="A440" s="2">
        <v>439.0</v>
      </c>
      <c r="B440" s="3" t="s">
        <v>2175</v>
      </c>
      <c r="C440" s="3" t="s">
        <v>2176</v>
      </c>
      <c r="D440" s="3" t="s">
        <v>2142</v>
      </c>
      <c r="F440" s="5" t="str">
        <f>IFERROR(__xludf.DUMMYFUNCTION("GOOGLETRANSLATE(A440, ""en"", ""hi"")"),"439")</f>
        <v>439</v>
      </c>
      <c r="G440" s="5" t="str">
        <f>IFERROR(__xludf.DUMMYFUNCTION("GOOGLETRANSLATE(B440, ""en"", ""hi"")"),"काले के पास f7 पर एक किश्ती है और सफेद के पास e5 पर एक घोड़ा और f6 पर एक मोहरा है। सफेद को क्या करना चाहिए?")</f>
        <v>काले के पास f7 पर एक किश्ती है और सफेद के पास e5 पर एक घोड़ा और f6 पर एक मोहरा है। सफेद को क्या करना चाहिए?</v>
      </c>
      <c r="H440" s="5" t="str">
        <f>IFERROR(__xludf.DUMMYFUNCTION("GOOGLETRANSLATE(C440, ""en"", ""hi"")"),"A) काले के हाथी पर हमला करने के लिए घोड़े का उपयोग करें, B) मोहरे को f7 पर धकेलें, C) हमले के लिए घोड़े और मोहरे का समन्वय करें, D) घोड़े को f7 पर ले जाएं")</f>
        <v>A) काले के हाथी पर हमला करने के लिए घोड़े का उपयोग करें, B) मोहरे को f7 पर धकेलें, C) हमले के लिए घोड़े और मोहरे का समन्वय करें, D) घोड़े को f7 पर ले जाएं</v>
      </c>
      <c r="I440" s="5" t="str">
        <f>IFERROR(__xludf.DUMMYFUNCTION("GOOGLETRANSLATE(D440, ""en"", ""hi"")"),"बी) मोहरे को f7 पर धकेलें")</f>
        <v>बी) मोहरे को f7 पर धकेलें</v>
      </c>
    </row>
    <row r="441" ht="22.5" customHeight="1">
      <c r="A441" s="2">
        <v>440.0</v>
      </c>
      <c r="B441" s="3" t="s">
        <v>2177</v>
      </c>
      <c r="C441" s="3" t="s">
        <v>2178</v>
      </c>
      <c r="D441" s="3" t="s">
        <v>2096</v>
      </c>
      <c r="F441" s="5" t="str">
        <f>IFERROR(__xludf.DUMMYFUNCTION("GOOGLETRANSLATE(A441, ""en"", ""hi"")"),"440")</f>
        <v>440</v>
      </c>
      <c r="G441" s="5" t="str">
        <f>IFERROR(__xludf.DUMMYFUNCTION("GOOGLETRANSLATE(B441, ""en"", ""hi"")"),"सफ़ेद के पास e5 पर एक रानी है और काले के पास e8 पर एक किश्ती और d6 पर एक मोहरा है। सफ़ेद को क्या करना चाहिए?")</f>
        <v>सफ़ेद के पास e5 पर एक रानी है और काले के पास e8 पर एक किश्ती और d6 पर एक मोहरा है। सफ़ेद को क्या करना चाहिए?</v>
      </c>
      <c r="H441" s="5" t="str">
        <f>IFERROR(__xludf.DUMMYFUNCTION("GOOGLETRANSLATE(C441, ""en"", ""hi"")"),"ए) रानी का उपयोग काले के हाथी पर आक्रमण करने के लिए करें, बी) मोहरे को d7 पर धकेलें, सी) रानी को अन्य मोहरों के साथ समन्वयित करें, डी) रानी को e4 पर ले जाएं")</f>
        <v>ए) रानी का उपयोग काले के हाथी पर आक्रमण करने के लिए करें, बी) मोहरे को d7 पर धकेलें, सी) रानी को अन्य मोहरों के साथ समन्वयित करें, डी) रानी को e4 पर ले जाएं</v>
      </c>
      <c r="I441" s="5" t="str">
        <f>IFERROR(__xludf.DUMMYFUNCTION("GOOGLETRANSLATE(D441, ""en"", ""hi"")"),"B) मोहरे को d7 पर धकेलें")</f>
        <v>B) मोहरे को d7 पर धकेलें</v>
      </c>
    </row>
    <row r="442" ht="22.5" customHeight="1">
      <c r="A442" s="2">
        <v>441.0</v>
      </c>
      <c r="B442" s="3" t="s">
        <v>2179</v>
      </c>
      <c r="C442" s="3" t="s">
        <v>2180</v>
      </c>
      <c r="D442" s="3" t="s">
        <v>2181</v>
      </c>
      <c r="F442" s="5" t="str">
        <f>IFERROR(__xludf.DUMMYFUNCTION("GOOGLETRANSLATE(A442, ""en"", ""hi"")"),"441")</f>
        <v>441</v>
      </c>
      <c r="G442" s="5" t="str">
        <f>IFERROR(__xludf.DUMMYFUNCTION("GOOGLETRANSLATE(B442, ""en"", ""hi"")"),"काले के पास h4 पर एक बिशप है और सफ़ेद के पास g6 पर एक किश्ती और g5 पर एक प्यादा है। सफ़ेद को क्या करना चाहिए?")</f>
        <v>काले के पास h4 पर एक बिशप है और सफ़ेद के पास g6 पर एक किश्ती और g5 पर एक प्यादा है। सफ़ेद को क्या करना चाहिए?</v>
      </c>
      <c r="H442" s="5" t="str">
        <f>IFERROR(__xludf.DUMMYFUNCTION("GOOGLETRANSLATE(C442, ""en"", ""hi"")"),"A) मोहरे को g6 पर धकेलें, B) काले के बिशप पर हमला करने के लिए किश्ती का उपयोग करें, C) किश्ती को अन्य मोहरों के साथ समन्वयित करें, D) किश्ती को g7 पर ले जाएं")</f>
        <v>A) मोहरे को g6 पर धकेलें, B) काले के बिशप पर हमला करने के लिए किश्ती का उपयोग करें, C) किश्ती को अन्य मोहरों के साथ समन्वयित करें, D) किश्ती को g7 पर ले जाएं</v>
      </c>
      <c r="I442" s="5" t="str">
        <f>IFERROR(__xludf.DUMMYFUNCTION("GOOGLETRANSLATE(D442, ""en"", ""hi"")"),"A) मोहरे को g6 पर धकेलें")</f>
        <v>A) मोहरे को g6 पर धकेलें</v>
      </c>
    </row>
    <row r="443" ht="22.5" customHeight="1">
      <c r="A443" s="2">
        <v>442.0</v>
      </c>
      <c r="B443" s="3" t="s">
        <v>2182</v>
      </c>
      <c r="C443" s="3" t="s">
        <v>2183</v>
      </c>
      <c r="D443" s="3" t="s">
        <v>2184</v>
      </c>
      <c r="F443" s="5" t="str">
        <f>IFERROR(__xludf.DUMMYFUNCTION("GOOGLETRANSLATE(A443, ""en"", ""hi"")"),"442")</f>
        <v>442</v>
      </c>
      <c r="G443" s="5" t="str">
        <f>IFERROR(__xludf.DUMMYFUNCTION("GOOGLETRANSLATE(B443, ""en"", ""hi"")"),"सफ़ेद के पास a7 पर एक किश्ती है और काले के पास d6 पर एक घोड़ा और d5 पर एक मोहरा है। सफ़ेद को क्या करना चाहिए?")</f>
        <v>सफ़ेद के पास a7 पर एक किश्ती है और काले के पास d6 पर एक घोड़ा और d5 पर एक मोहरा है। सफ़ेद को क्या करना चाहिए?</v>
      </c>
      <c r="H443" s="5" t="str">
        <f>IFERROR(__xludf.DUMMYFUNCTION("GOOGLETRANSLATE(C443, ""en"", ""hi"")"),"A) मोहरे को d6 पर धकेलें, B) काले घोड़े पर हमला करने के लिए किश्ती का उपयोग करें, C) किश्ती को अन्य मोहरों के साथ समन्वयित करें, D) किश्ती को a8 पर ले जाएं")</f>
        <v>A) मोहरे को d6 पर धकेलें, B) काले घोड़े पर हमला करने के लिए किश्ती का उपयोग करें, C) किश्ती को अन्य मोहरों के साथ समन्वयित करें, D) किश्ती को a8 पर ले जाएं</v>
      </c>
      <c r="I443" s="5" t="str">
        <f>IFERROR(__xludf.DUMMYFUNCTION("GOOGLETRANSLATE(D443, ""en"", ""hi"")"),"A) मोहरे को d6 पर धकेलें")</f>
        <v>A) मोहरे को d6 पर धकेलें</v>
      </c>
    </row>
    <row r="444" ht="22.5" customHeight="1">
      <c r="A444" s="2">
        <v>443.0</v>
      </c>
      <c r="B444" s="3" t="s">
        <v>2185</v>
      </c>
      <c r="C444" s="3" t="s">
        <v>2186</v>
      </c>
      <c r="D444" s="3" t="s">
        <v>1948</v>
      </c>
      <c r="F444" s="5" t="str">
        <f>IFERROR(__xludf.DUMMYFUNCTION("GOOGLETRANSLATE(A444, ""en"", ""hi"")"),"443")</f>
        <v>443</v>
      </c>
      <c r="G444" s="5" t="str">
        <f>IFERROR(__xludf.DUMMYFUNCTION("GOOGLETRANSLATE(B444, ""en"", ""hi"")"),"काले के पास f8 पर एक रानी है और सफेद के पास f1 पर एक किश्ती और f7 पर एक मोहरा है। सफेद को क्या करना चाहिए?")</f>
        <v>काले के पास f8 पर एक रानी है और सफेद के पास f1 पर एक किश्ती और f7 पर एक मोहरा है। सफेद को क्या करना चाहिए?</v>
      </c>
      <c r="H444" s="5" t="str">
        <f>IFERROR(__xludf.DUMMYFUNCTION("GOOGLETRANSLATE(C444, ""en"", ""hi"")"),"A) पदोन्नति के लिए मोहरे को f8 पर धकेलें, B) काले की रानी पर हमला करने के लिए किश्ती का उपयोग करें, C) हमले के लिए किश्ती और मोहरे का समन्वय करें, D) किश्ती को f2 पर ले जाएं")</f>
        <v>A) पदोन्नति के लिए मोहरे को f8 पर धकेलें, B) काले की रानी पर हमला करने के लिए किश्ती का उपयोग करें, C) हमले के लिए किश्ती और मोहरे का समन्वय करें, D) किश्ती को f2 पर ले जाएं</v>
      </c>
      <c r="I444" s="5" t="str">
        <f>IFERROR(__xludf.DUMMYFUNCTION("GOOGLETRANSLATE(D444, ""en"", ""hi"")"),"A) पदोन्नति के लिए मोहरे को f8 पर धकेलें")</f>
        <v>A) पदोन्नति के लिए मोहरे को f8 पर धकेलें</v>
      </c>
    </row>
    <row r="445" ht="22.5" customHeight="1">
      <c r="A445" s="2">
        <v>444.0</v>
      </c>
      <c r="B445" s="3" t="s">
        <v>2187</v>
      </c>
      <c r="C445" s="3" t="s">
        <v>2188</v>
      </c>
      <c r="D445" s="3" t="s">
        <v>2111</v>
      </c>
      <c r="F445" s="5" t="str">
        <f>IFERROR(__xludf.DUMMYFUNCTION("GOOGLETRANSLATE(A445, ""en"", ""hi"")"),"444")</f>
        <v>444</v>
      </c>
      <c r="G445" s="5" t="str">
        <f>IFERROR(__xludf.DUMMYFUNCTION("GOOGLETRANSLATE(B445, ""en"", ""hi"")"),"सफ़ेद के पास d1 पर एक किश्ती है और काले के पास e4 पर एक रानी और d5 पर एक मोहरा है। सफ़ेद को क्या करना चाहिए?")</f>
        <v>सफ़ेद के पास d1 पर एक किश्ती है और काले के पास e4 पर एक रानी और d5 पर एक मोहरा है। सफ़ेद को क्या करना चाहिए?</v>
      </c>
      <c r="H445" s="5" t="str">
        <f>IFERROR(__xludf.DUMMYFUNCTION("GOOGLETRANSLATE(C445, ""en"", ""hi"")"),"A) हाथी को d2 पर ले जाएं, B) हाथी का उपयोग करके काले की रानी पर हमला करें, C) मोहरे को d6 पर धकेलें, D) हाथी को e1 पर ले जाएं")</f>
        <v>A) हाथी को d2 पर ले जाएं, B) हाथी का उपयोग करके काले की रानी पर हमला करें, C) मोहरे को d6 पर धकेलें, D) हाथी को e1 पर ले जाएं</v>
      </c>
      <c r="I445" s="5" t="str">
        <f>IFERROR(__xludf.DUMMYFUNCTION("GOOGLETRANSLATE(D445, ""en"", ""hi"")"),"C) मोहरे को d6 पर धकेलें")</f>
        <v>C) मोहरे को d6 पर धकेलें</v>
      </c>
    </row>
    <row r="446" ht="22.5" customHeight="1">
      <c r="A446" s="2">
        <v>445.0</v>
      </c>
      <c r="B446" s="3" t="s">
        <v>2189</v>
      </c>
      <c r="C446" s="3" t="s">
        <v>2190</v>
      </c>
      <c r="D446" s="3" t="s">
        <v>2099</v>
      </c>
      <c r="F446" s="5" t="str">
        <f>IFERROR(__xludf.DUMMYFUNCTION("GOOGLETRANSLATE(A446, ""en"", ""hi"")"),"445")</f>
        <v>445</v>
      </c>
      <c r="G446" s="5" t="str">
        <f>IFERROR(__xludf.DUMMYFUNCTION("GOOGLETRANSLATE(B446, ""en"", ""hi"")"),"काले के पास c6 पर एक बिशप है और सफेद के पास h3 पर एक रानी और h4 पर एक मोहरा है। सफेद को क्या करना चाहिए?")</f>
        <v>काले के पास c6 पर एक बिशप है और सफेद के पास h3 पर एक रानी और h4 पर एक मोहरा है। सफेद को क्या करना चाहिए?</v>
      </c>
      <c r="H446" s="5" t="str">
        <f>IFERROR(__xludf.DUMMYFUNCTION("GOOGLETRANSLATE(C446, ""en"", ""hi"")"),"A) मोहरे को h5 पर धकेलें, B) रानी का उपयोग काले के बिशप पर हमला करने के लिए करें, C) रानी को g2 पर ले जाएं, D) रानी को अन्य मोहरों के साथ समन्वयित करें")</f>
        <v>A) मोहरे को h5 पर धकेलें, B) रानी का उपयोग काले के बिशप पर हमला करने के लिए करें, C) रानी को g2 पर ले जाएं, D) रानी को अन्य मोहरों के साथ समन्वयित करें</v>
      </c>
      <c r="I446" s="5" t="str">
        <f>IFERROR(__xludf.DUMMYFUNCTION("GOOGLETRANSLATE(D446, ""en"", ""hi"")"),"A) मोहरे को h5 पर धकेलें")</f>
        <v>A) मोहरे को h5 पर धकेलें</v>
      </c>
    </row>
    <row r="447" ht="22.5" customHeight="1">
      <c r="A447" s="2">
        <v>446.0</v>
      </c>
      <c r="B447" s="3" t="s">
        <v>2191</v>
      </c>
      <c r="C447" s="3" t="s">
        <v>2192</v>
      </c>
      <c r="D447" s="3" t="s">
        <v>2036</v>
      </c>
      <c r="F447" s="5" t="str">
        <f>IFERROR(__xludf.DUMMYFUNCTION("GOOGLETRANSLATE(A447, ""en"", ""hi"")"),"446")</f>
        <v>446</v>
      </c>
      <c r="G447" s="5" t="str">
        <f>IFERROR(__xludf.DUMMYFUNCTION("GOOGLETRANSLATE(B447, ""en"", ""hi"")"),"सफ़ेद के पास f4 पर एक घोड़ा है, काले के पास f8 पर एक किश्ती और g7 पर एक मोहरा है। सफ़ेद को क्या करना चाहिए?")</f>
        <v>सफ़ेद के पास f4 पर एक घोड़ा है, काले के पास f8 पर एक किश्ती और g7 पर एक मोहरा है। सफ़ेद को क्या करना चाहिए?</v>
      </c>
      <c r="H447" s="5" t="str">
        <f>IFERROR(__xludf.DUMMYFUNCTION("GOOGLETRANSLATE(C447, ""en"", ""hi"")"),"A) काले मोहरों पर आक्रमण करने के लिए घोड़े का उपयोग करें, B) पदोन्नति के लिए मोहरे को g8 पर धकेलें, C) घोड़े को e6 पर ले जाएं, D) घोड़े को अन्य मोहरों के साथ समन्वयित करें")</f>
        <v>A) काले मोहरों पर आक्रमण करने के लिए घोड़े का उपयोग करें, B) पदोन्नति के लिए मोहरे को g8 पर धकेलें, C) घोड़े को e6 पर ले जाएं, D) घोड़े को अन्य मोहरों के साथ समन्वयित करें</v>
      </c>
      <c r="I447" s="5" t="str">
        <f>IFERROR(__xludf.DUMMYFUNCTION("GOOGLETRANSLATE(D447, ""en"", ""hi"")"),"बी) पदोन्नति के लिए मोहरे को g8 पर धकेलें")</f>
        <v>बी) पदोन्नति के लिए मोहरे को g8 पर धकेलें</v>
      </c>
    </row>
    <row r="448" ht="22.5" customHeight="1">
      <c r="A448" s="2">
        <v>447.0</v>
      </c>
      <c r="B448" s="3" t="s">
        <v>2193</v>
      </c>
      <c r="C448" s="3" t="s">
        <v>2194</v>
      </c>
      <c r="D448" s="3" t="s">
        <v>1849</v>
      </c>
      <c r="F448" s="5" t="str">
        <f>IFERROR(__xludf.DUMMYFUNCTION("GOOGLETRANSLATE(A448, ""en"", ""hi"")"),"447")</f>
        <v>447</v>
      </c>
      <c r="G448" s="5" t="str">
        <f>IFERROR(__xludf.DUMMYFUNCTION("GOOGLETRANSLATE(B448, ""en"", ""hi"")"),"काले के पास c7 पर एक रानी है और सफेद के पास a7 पर एक किश्ती और a6 पर एक मोहरा है। सफेद को क्या करना चाहिए?")</f>
        <v>काले के पास c7 पर एक रानी है और सफेद के पास a7 पर एक किश्ती और a6 पर एक मोहरा है। सफेद को क्या करना चाहिए?</v>
      </c>
      <c r="H448" s="5" t="str">
        <f>IFERROR(__xludf.DUMMYFUNCTION("GOOGLETRANSLATE(C448, ""en"", ""hi"")"),"A) मोहरे को a7 पर धकेलें, B) काले की रानी पर हमला करने के लिए किश्ती का उपयोग करें, C) किश्ती को अन्य मोहरों के साथ समन्वयित करें, D) किश्ती को a8 पर ले जाएं")</f>
        <v>A) मोहरे को a7 पर धकेलें, B) काले की रानी पर हमला करने के लिए किश्ती का उपयोग करें, C) किश्ती को अन्य मोहरों के साथ समन्वयित करें, D) किश्ती को a8 पर ले जाएं</v>
      </c>
      <c r="I448" s="5" t="str">
        <f>IFERROR(__xludf.DUMMYFUNCTION("GOOGLETRANSLATE(D448, ""en"", ""hi"")"),"A) मोहरे को a7 पर धकेलें")</f>
        <v>A) मोहरे को a7 पर धकेलें</v>
      </c>
    </row>
    <row r="449" ht="22.5" customHeight="1">
      <c r="A449" s="2">
        <v>448.0</v>
      </c>
      <c r="B449" s="3" t="s">
        <v>2195</v>
      </c>
      <c r="C449" s="3" t="s">
        <v>2196</v>
      </c>
      <c r="D449" s="3" t="s">
        <v>1948</v>
      </c>
      <c r="F449" s="5" t="str">
        <f>IFERROR(__xludf.DUMMYFUNCTION("GOOGLETRANSLATE(A449, ""en"", ""hi"")"),"448")</f>
        <v>448</v>
      </c>
      <c r="G449" s="5" t="str">
        <f>IFERROR(__xludf.DUMMYFUNCTION("GOOGLETRANSLATE(B449, ""en"", ""hi"")"),"सफ़ेद के पास d6 पर एक रानी है और काले के पास g8 पर एक बिशप और f7 पर एक मोहरा है। सफ़ेद को क्या करना चाहिए?")</f>
        <v>सफ़ेद के पास d6 पर एक रानी है और काले के पास g8 पर एक बिशप और f7 पर एक मोहरा है। सफ़ेद को क्या करना चाहिए?</v>
      </c>
      <c r="H449" s="5" t="str">
        <f>IFERROR(__xludf.DUMMYFUNCTION("GOOGLETRANSLATE(C449, ""en"", ""hi"")"),"A) पदोन्नति के लिए मोहरे को f8 पर धकेलें, B) काले के बिशप पर हमला करने के लिए रानी का उपयोग करें, C) रानी को d7 पर ले जाएं, D) रानी को अन्य मोहरों के साथ समन्वयित करें")</f>
        <v>A) पदोन्नति के लिए मोहरे को f8 पर धकेलें, B) काले के बिशप पर हमला करने के लिए रानी का उपयोग करें, C) रानी को d7 पर ले जाएं, D) रानी को अन्य मोहरों के साथ समन्वयित करें</v>
      </c>
      <c r="I449" s="5" t="str">
        <f>IFERROR(__xludf.DUMMYFUNCTION("GOOGLETRANSLATE(D449, ""en"", ""hi"")"),"A) पदोन्नति के लिए मोहरे को f8 पर धकेलें")</f>
        <v>A) पदोन्नति के लिए मोहरे को f8 पर धकेलें</v>
      </c>
    </row>
    <row r="450" ht="22.5" customHeight="1">
      <c r="A450" s="2">
        <v>449.0</v>
      </c>
      <c r="B450" s="3" t="s">
        <v>2197</v>
      </c>
      <c r="C450" s="3" t="s">
        <v>2198</v>
      </c>
      <c r="D450" s="3" t="s">
        <v>1857</v>
      </c>
      <c r="F450" s="5" t="str">
        <f>IFERROR(__xludf.DUMMYFUNCTION("GOOGLETRANSLATE(A450, ""en"", ""hi"")"),"449")</f>
        <v>449</v>
      </c>
      <c r="G450" s="5" t="str">
        <f>IFERROR(__xludf.DUMMYFUNCTION("GOOGLETRANSLATE(B450, ""en"", ""hi"")"),"काले के पास d8 पर एक किश्ती है और सफेद के पास e5 पर एक रानी और e6 पर एक मोहरा है। सफेद को क्या करना चाहिए?")</f>
        <v>काले के पास d8 पर एक किश्ती है और सफेद के पास e5 पर एक रानी और e6 पर एक मोहरा है। सफेद को क्या करना चाहिए?</v>
      </c>
      <c r="H450" s="5" t="str">
        <f>IFERROR(__xludf.DUMMYFUNCTION("GOOGLETRANSLATE(C450, ""en"", ""hi"")"),"A) मोहरे को e7 पर धकेलें, B) रानी का उपयोग करके काले के हाथी पर आक्रमण करें, C) रानी को e4 पर ले जाएं, D) रानी को अन्य मोहरों के साथ समन्वयित करें")</f>
        <v>A) मोहरे को e7 पर धकेलें, B) रानी का उपयोग करके काले के हाथी पर आक्रमण करें, C) रानी को e4 पर ले जाएं, D) रानी को अन्य मोहरों के साथ समन्वयित करें</v>
      </c>
      <c r="I450" s="5" t="str">
        <f>IFERROR(__xludf.DUMMYFUNCTION("GOOGLETRANSLATE(D450, ""en"", ""hi"")"),"A) मोहरे को e7 पर धकेलें")</f>
        <v>A) मोहरे को e7 पर धकेलें</v>
      </c>
    </row>
    <row r="451" ht="22.5" customHeight="1">
      <c r="A451" s="2">
        <v>450.0</v>
      </c>
      <c r="B451" s="3" t="s">
        <v>2199</v>
      </c>
      <c r="C451" s="3" t="s">
        <v>2200</v>
      </c>
      <c r="D451" s="3" t="s">
        <v>2201</v>
      </c>
      <c r="F451" s="5" t="str">
        <f>IFERROR(__xludf.DUMMYFUNCTION("GOOGLETRANSLATE(A451, ""en"", ""hi"")"),"450")</f>
        <v>450</v>
      </c>
      <c r="G451" s="5" t="str">
        <f>IFERROR(__xludf.DUMMYFUNCTION("GOOGLETRANSLATE(B451, ""en"", ""hi"")"),"सफ़ेद के पास c4 पर एक बिशप है और काले के पास a5 पर एक रानी और b4 पर एक मोहरा है। सफ़ेद को क्या करना चाहिए?")</f>
        <v>सफ़ेद के पास c4 पर एक बिशप है और काले के पास a5 पर एक रानी और b4 पर एक मोहरा है। सफ़ेद को क्या करना चाहिए?</v>
      </c>
      <c r="H451" s="5" t="str">
        <f>IFERROR(__xludf.DUMMYFUNCTION("GOOGLETRANSLATE(C451, ""en"", ""hi"")"),"A) मोहरे को b5 पर धकेलें, B) काले की रानी पर हमला करने के लिए बिशप का उपयोग करें, C) बिशप को b3 पर ले जाएं, D) बिशप को अन्य मोहरों के साथ समन्वयित करें")</f>
        <v>A) मोहरे को b5 पर धकेलें, B) काले की रानी पर हमला करने के लिए बिशप का उपयोग करें, C) बिशप को b3 पर ले जाएं, D) बिशप को अन्य मोहरों के साथ समन्वयित करें</v>
      </c>
      <c r="I451" s="5" t="str">
        <f>IFERROR(__xludf.DUMMYFUNCTION("GOOGLETRANSLATE(D451, ""en"", ""hi"")"),"A) मोहरे को b5 पर धकेलें")</f>
        <v>A) मोहरे को b5 पर धकेलें</v>
      </c>
    </row>
    <row r="452" ht="22.5" customHeight="1">
      <c r="A452" s="2">
        <v>451.0</v>
      </c>
      <c r="B452" s="3" t="s">
        <v>2202</v>
      </c>
      <c r="C452" s="3" t="s">
        <v>2203</v>
      </c>
      <c r="D452" s="3" t="s">
        <v>2204</v>
      </c>
      <c r="F452" s="5" t="str">
        <f>IFERROR(__xludf.DUMMYFUNCTION("GOOGLETRANSLATE(A452, ""en"", ""hi"")"),"451")</f>
        <v>451</v>
      </c>
      <c r="G452" s="5" t="str">
        <f>IFERROR(__xludf.DUMMYFUNCTION("GOOGLETRANSLATE(B452, ""en"", ""hi"")"),"काले के पास f3 पर एक घोड़ा है और सफ़ेद के पास g1 पर एक किश्ती और g2 पर एक मोहरा है। सफ़ेद को क्या करना चाहिए?")</f>
        <v>काले के पास f3 पर एक घोड़ा है और सफ़ेद के पास g1 पर एक किश्ती और g2 पर एक मोहरा है। सफ़ेद को क्या करना चाहिए?</v>
      </c>
      <c r="H452" s="5" t="str">
        <f>IFERROR(__xludf.DUMMYFUNCTION("GOOGLETRANSLATE(C452, ""en"", ""hi"")"),"A) मोहरे को g3 पर धकेलें, B) काले घोड़े पर हमला करने के लिए हाथी का उपयोग करें, C) हाथी को g4 पर ले जाएं, D) हाथी को अन्य मोहरों के साथ समन्वयित करें")</f>
        <v>A) मोहरे को g3 पर धकेलें, B) काले घोड़े पर हमला करने के लिए हाथी का उपयोग करें, C) हाथी को g4 पर ले जाएं, D) हाथी को अन्य मोहरों के साथ समन्वयित करें</v>
      </c>
      <c r="I452" s="5" t="str">
        <f>IFERROR(__xludf.DUMMYFUNCTION("GOOGLETRANSLATE(D452, ""en"", ""hi"")"),"A) मोहरे को g3 पर धकेलें")</f>
        <v>A) मोहरे को g3 पर धकेलें</v>
      </c>
    </row>
    <row r="453" ht="22.5" customHeight="1">
      <c r="A453" s="2">
        <v>452.0</v>
      </c>
      <c r="B453" s="3" t="s">
        <v>2205</v>
      </c>
      <c r="C453" s="3" t="s">
        <v>2206</v>
      </c>
      <c r="D453" s="3" t="s">
        <v>2207</v>
      </c>
      <c r="F453" s="5" t="str">
        <f>IFERROR(__xludf.DUMMYFUNCTION("GOOGLETRANSLATE(A453, ""en"", ""hi"")"),"452")</f>
        <v>452</v>
      </c>
      <c r="G453" s="5" t="str">
        <f>IFERROR(__xludf.DUMMYFUNCTION("GOOGLETRANSLATE(B453, ""en"", ""hi"")"),"सफ़ेद के पास a4 पर एक रानी है और काले के पास d8 पर एक किश्ती और c6 पर एक मोहरा है। सफ़ेद को क्या करना चाहिए?")</f>
        <v>सफ़ेद के पास a4 पर एक रानी है और काले के पास d8 पर एक किश्ती और c6 पर एक मोहरा है। सफ़ेद को क्या करना चाहिए?</v>
      </c>
      <c r="H453" s="5" t="str">
        <f>IFERROR(__xludf.DUMMYFUNCTION("GOOGLETRANSLATE(C453, ""en"", ""hi"")"),"A) रानी को a5 पर ले जाएं, B) रानी का उपयोग काले के हाथी पर हमला करने के लिए करें, C) मोहरे को c7 पर धकेलें, D) रानी को अन्य मोहरों के साथ समन्वयित करें")</f>
        <v>A) रानी को a5 पर ले जाएं, B) रानी का उपयोग काले के हाथी पर हमला करने के लिए करें, C) मोहरे को c7 पर धकेलें, D) रानी को अन्य मोहरों के साथ समन्वयित करें</v>
      </c>
      <c r="I453" s="5" t="str">
        <f>IFERROR(__xludf.DUMMYFUNCTION("GOOGLETRANSLATE(D453, ""en"", ""hi"")"),"C) मोहरे को c7 पर धकेलें")</f>
        <v>C) मोहरे को c7 पर धकेलें</v>
      </c>
    </row>
    <row r="454" ht="22.5" customHeight="1">
      <c r="A454" s="2">
        <v>453.0</v>
      </c>
      <c r="B454" s="3" t="s">
        <v>2208</v>
      </c>
      <c r="C454" s="3" t="s">
        <v>2209</v>
      </c>
      <c r="D454" s="3" t="s">
        <v>1926</v>
      </c>
      <c r="F454" s="5" t="str">
        <f>IFERROR(__xludf.DUMMYFUNCTION("GOOGLETRANSLATE(A454, ""en"", ""hi"")"),"453")</f>
        <v>453</v>
      </c>
      <c r="G454" s="5" t="str">
        <f>IFERROR(__xludf.DUMMYFUNCTION("GOOGLETRANSLATE(B454, ""en"", ""hi"")"),"काले के पास d4 पर एक बिशप है और सफ़ेद के पास f6 पर एक रानी और g7 पर एक मोहरा है। सफ़ेद को क्या करना चाहिए?")</f>
        <v>काले के पास d4 पर एक बिशप है और सफ़ेद के पास f6 पर एक रानी और g7 पर एक मोहरा है। सफ़ेद को क्या करना चाहिए?</v>
      </c>
      <c r="H454" s="5" t="str">
        <f>IFERROR(__xludf.DUMMYFUNCTION("GOOGLETRANSLATE(C454, ""en"", ""hi"")"),"A) पदोन्नति के लिए मोहरे को g8 पर धकेलें, B) काले के बिशप पर हमला करने के लिए रानी का उपयोग करें, C) रानी को f7 पर ले जाएं, D) रानी को अन्य मोहरों के साथ समन्वयित करें")</f>
        <v>A) पदोन्नति के लिए मोहरे को g8 पर धकेलें, B) काले के बिशप पर हमला करने के लिए रानी का उपयोग करें, C) रानी को f7 पर ले जाएं, D) रानी को अन्य मोहरों के साथ समन्वयित करें</v>
      </c>
      <c r="I454" s="5" t="str">
        <f>IFERROR(__xludf.DUMMYFUNCTION("GOOGLETRANSLATE(D454, ""en"", ""hi"")"),"A) पदोन्नति के लिए मोहरे को g8 की ओर धकेलें")</f>
        <v>A) पदोन्नति के लिए मोहरे को g8 की ओर धकेलें</v>
      </c>
    </row>
    <row r="455" ht="22.5" customHeight="1">
      <c r="A455" s="2">
        <v>454.0</v>
      </c>
      <c r="B455" s="3" t="s">
        <v>2210</v>
      </c>
      <c r="C455" s="3" t="s">
        <v>2211</v>
      </c>
      <c r="D455" s="3" t="s">
        <v>2212</v>
      </c>
      <c r="F455" s="5" t="str">
        <f>IFERROR(__xludf.DUMMYFUNCTION("GOOGLETRANSLATE(A455, ""en"", ""hi"")"),"454")</f>
        <v>454</v>
      </c>
      <c r="G455" s="5" t="str">
        <f>IFERROR(__xludf.DUMMYFUNCTION("GOOGLETRANSLATE(B455, ""en"", ""hi"")"),"सफ़ेद के पास b7 पर एक किश्ती है और काले के पास e8 पर एक रानी और c6 पर एक मोहरा है। सफ़ेद को क्या करना चाहिए?")</f>
        <v>सफ़ेद के पास b7 पर एक किश्ती है और काले के पास e8 पर एक रानी और c6 पर एक मोहरा है। सफ़ेद को क्या करना चाहिए?</v>
      </c>
      <c r="H455" s="5" t="str">
        <f>IFERROR(__xludf.DUMMYFUNCTION("GOOGLETRANSLATE(C455, ""en"", ""hi"")"),"A) किश्ती को b8 पर ले जाएं, B) मोहरे को c7 पर धकेलें, C) किश्ती का उपयोग करके काली की रानी पर हमला करें, D) किश्ती को अन्य मोहरों के साथ समन्वयित करें")</f>
        <v>A) किश्ती को b8 पर ले जाएं, B) मोहरे को c7 पर धकेलें, C) किश्ती का उपयोग करके काली की रानी पर हमला करें, D) किश्ती को अन्य मोहरों के साथ समन्वयित करें</v>
      </c>
      <c r="I455" s="5" t="str">
        <f>IFERROR(__xludf.DUMMYFUNCTION("GOOGLETRANSLATE(D455, ""en"", ""hi"")"),"B) मोहरे को c7 पर धकेलें")</f>
        <v>B) मोहरे को c7 पर धकेलें</v>
      </c>
    </row>
    <row r="456" ht="22.5" customHeight="1">
      <c r="A456" s="2">
        <v>455.0</v>
      </c>
      <c r="B456" s="3" t="s">
        <v>2213</v>
      </c>
      <c r="C456" s="3" t="s">
        <v>2214</v>
      </c>
      <c r="D456" s="3" t="s">
        <v>2001</v>
      </c>
      <c r="F456" s="5" t="str">
        <f>IFERROR(__xludf.DUMMYFUNCTION("GOOGLETRANSLATE(A456, ""en"", ""hi"")"),"455")</f>
        <v>455</v>
      </c>
      <c r="G456" s="5" t="str">
        <f>IFERROR(__xludf.DUMMYFUNCTION("GOOGLETRANSLATE(B456, ""en"", ""hi"")"),"काले के पास e8 पर एक किश्ती है और सफ़ेद के पास f7 पर एक बिशप और g6 पर एक प्यादा है। सफ़ेद को क्या करना चाहिए?")</f>
        <v>काले के पास e8 पर एक किश्ती है और सफ़ेद के पास f7 पर एक बिशप और g6 पर एक प्यादा है। सफ़ेद को क्या करना चाहिए?</v>
      </c>
      <c r="H456" s="5" t="str">
        <f>IFERROR(__xludf.DUMMYFUNCTION("GOOGLETRANSLATE(C456, ""en"", ""hi"")"),"A) पदोन्नति के लिए मोहरे को g7 पर धकेलें, B) काले के हाथी पर हमला करने के लिए बिशप का उपयोग करें, C) बिशप को e6 पर ले जाएं, D) बिशप को अन्य मोहरों के साथ समन्वयित करें")</f>
        <v>A) पदोन्नति के लिए मोहरे को g7 पर धकेलें, B) काले के हाथी पर हमला करने के लिए बिशप का उपयोग करें, C) बिशप को e6 पर ले जाएं, D) बिशप को अन्य मोहरों के साथ समन्वयित करें</v>
      </c>
      <c r="I456" s="5" t="str">
        <f>IFERROR(__xludf.DUMMYFUNCTION("GOOGLETRANSLATE(D456, ""en"", ""hi"")"),"A) पदोन्नति के लिए मोहरे को g7 पर धकेलें")</f>
        <v>A) पदोन्नति के लिए मोहरे को g7 पर धकेलें</v>
      </c>
    </row>
    <row r="457" ht="22.5" customHeight="1">
      <c r="A457" s="2">
        <v>456.0</v>
      </c>
      <c r="B457" s="3" t="s">
        <v>2215</v>
      </c>
      <c r="C457" s="3" t="s">
        <v>2216</v>
      </c>
      <c r="D457" s="3" t="s">
        <v>2111</v>
      </c>
      <c r="F457" s="5" t="str">
        <f>IFERROR(__xludf.DUMMYFUNCTION("GOOGLETRANSLATE(A457, ""en"", ""hi"")"),"456")</f>
        <v>456</v>
      </c>
      <c r="G457" s="5" t="str">
        <f>IFERROR(__xludf.DUMMYFUNCTION("GOOGLETRANSLATE(B457, ""en"", ""hi"")"),"सफ़ेद के पास d4 पर घोड़ा है और काले के पास b6 पर रानी और d5 पर एक मोहरा है। सफ़ेद को क्या करना चाहिए?")</f>
        <v>सफ़ेद के पास d4 पर घोड़ा है और काले के पास b6 पर रानी और d5 पर एक मोहरा है। सफ़ेद को क्या करना चाहिए?</v>
      </c>
      <c r="H457" s="5" t="str">
        <f>IFERROR(__xludf.DUMMYFUNCTION("GOOGLETRANSLATE(C457, ""en"", ""hi"")"),"A) घोड़े को b3 पर ले जाएं, B) घोड़े का उपयोग काले की रानी पर हमला करने के लिए करें, C) मोहरे को d6 पर धकेलें, D) घोड़े को अन्य मोहरों के साथ समन्वयित करें")</f>
        <v>A) घोड़े को b3 पर ले जाएं, B) घोड़े का उपयोग काले की रानी पर हमला करने के लिए करें, C) मोहरे को d6 पर धकेलें, D) घोड़े को अन्य मोहरों के साथ समन्वयित करें</v>
      </c>
      <c r="I457" s="5" t="str">
        <f>IFERROR(__xludf.DUMMYFUNCTION("GOOGLETRANSLATE(D457, ""en"", ""hi"")"),"C) मोहरे को d6 पर धकेलें")</f>
        <v>C) मोहरे को d6 पर धकेलें</v>
      </c>
    </row>
    <row r="458" ht="22.5" customHeight="1">
      <c r="A458" s="2">
        <v>457.0</v>
      </c>
      <c r="B458" s="3" t="s">
        <v>2217</v>
      </c>
      <c r="C458" s="3" t="s">
        <v>2218</v>
      </c>
      <c r="D458" s="3" t="s">
        <v>2181</v>
      </c>
      <c r="F458" s="5" t="str">
        <f>IFERROR(__xludf.DUMMYFUNCTION("GOOGLETRANSLATE(A458, ""en"", ""hi"")"),"457")</f>
        <v>457</v>
      </c>
      <c r="G458" s="5" t="str">
        <f>IFERROR(__xludf.DUMMYFUNCTION("GOOGLETRANSLATE(B458, ""en"", ""hi"")"),"काले के पास h4 पर एक रानी है और सफ़ेद के पास f1 पर एक किश्ती और g5 पर एक मोहरा है। सफ़ेद को क्या करना चाहिए?")</f>
        <v>काले के पास h4 पर एक रानी है और सफ़ेद के पास f1 पर एक किश्ती और g5 पर एक मोहरा है। सफ़ेद को क्या करना चाहिए?</v>
      </c>
      <c r="H458" s="5" t="str">
        <f>IFERROR(__xludf.DUMMYFUNCTION("GOOGLETRANSLATE(C458, ""en"", ""hi"")"),"A) मोहरे को g6 पर धकेलें, B) काले की रानी पर हमला करने के लिए किश्ती का उपयोग करें, C) किश्ती को f2 पर ले जाएं, D) किश्ती को अन्य मोहरों के साथ समन्वयित करें")</f>
        <v>A) मोहरे को g6 पर धकेलें, B) काले की रानी पर हमला करने के लिए किश्ती का उपयोग करें, C) किश्ती को f2 पर ले जाएं, D) किश्ती को अन्य मोहरों के साथ समन्वयित करें</v>
      </c>
      <c r="I458" s="5" t="str">
        <f>IFERROR(__xludf.DUMMYFUNCTION("GOOGLETRANSLATE(D458, ""en"", ""hi"")"),"A) मोहरे को g6 पर धकेलें")</f>
        <v>A) मोहरे को g6 पर धकेलें</v>
      </c>
    </row>
    <row r="459" ht="22.5" customHeight="1">
      <c r="A459" s="2">
        <v>458.0</v>
      </c>
      <c r="B459" s="3" t="s">
        <v>2219</v>
      </c>
      <c r="C459" s="3" t="s">
        <v>2220</v>
      </c>
      <c r="D459" s="3" t="s">
        <v>2001</v>
      </c>
      <c r="F459" s="5" t="str">
        <f>IFERROR(__xludf.DUMMYFUNCTION("GOOGLETRANSLATE(A459, ""en"", ""hi"")"),"458")</f>
        <v>458</v>
      </c>
      <c r="G459" s="5" t="str">
        <f>IFERROR(__xludf.DUMMYFUNCTION("GOOGLETRANSLATE(B459, ""en"", ""hi"")"),"सफ़ेद के पास h7 पर एक रानी है और काले के पास e8 पर एक बिशप और g6 पर एक मोहरा है। सफ़ेद को क्या करना चाहिए?")</f>
        <v>सफ़ेद के पास h7 पर एक रानी है और काले के पास e8 पर एक बिशप और g6 पर एक मोहरा है। सफ़ेद को क्या करना चाहिए?</v>
      </c>
      <c r="H459" s="5" t="str">
        <f>IFERROR(__xludf.DUMMYFUNCTION("GOOGLETRANSLATE(C459, ""en"", ""hi"")"),"A) पदोन्नति के लिए मोहरे को g7 पर धकेलें, B) काले के बिशप पर हमला करने के लिए रानी का उपयोग करें, C) रानी को h6 पर ले जाएं, D) रानी को अन्य मोहरों के साथ समन्वयित करें")</f>
        <v>A) पदोन्नति के लिए मोहरे को g7 पर धकेलें, B) काले के बिशप पर हमला करने के लिए रानी का उपयोग करें, C) रानी को h6 पर ले जाएं, D) रानी को अन्य मोहरों के साथ समन्वयित करें</v>
      </c>
      <c r="I459" s="5" t="str">
        <f>IFERROR(__xludf.DUMMYFUNCTION("GOOGLETRANSLATE(D459, ""en"", ""hi"")"),"A) पदोन्नति के लिए मोहरे को g7 पर धकेलें")</f>
        <v>A) पदोन्नति के लिए मोहरे को g7 पर धकेलें</v>
      </c>
    </row>
    <row r="460" ht="22.5" customHeight="1">
      <c r="A460" s="2">
        <v>459.0</v>
      </c>
      <c r="B460" s="3" t="s">
        <v>2221</v>
      </c>
      <c r="C460" s="3" t="s">
        <v>2222</v>
      </c>
      <c r="D460" s="3" t="s">
        <v>1948</v>
      </c>
      <c r="F460" s="5" t="str">
        <f>IFERROR(__xludf.DUMMYFUNCTION("GOOGLETRANSLATE(A460, ""en"", ""hi"")"),"459")</f>
        <v>459</v>
      </c>
      <c r="G460" s="5" t="str">
        <f>IFERROR(__xludf.DUMMYFUNCTION("GOOGLETRANSLATE(B460, ""en"", ""hi"")"),"काले के पास f6 पर एक किश्ती है और सफ़ेद के पास g4 पर एक रानी और f7 पर एक मोहरा है। सफ़ेद को क्या करना चाहिए?")</f>
        <v>काले के पास f6 पर एक किश्ती है और सफ़ेद के पास g4 पर एक रानी और f7 पर एक मोहरा है। सफ़ेद को क्या करना चाहिए?</v>
      </c>
      <c r="H460" s="5" t="str">
        <f>IFERROR(__xludf.DUMMYFUNCTION("GOOGLETRANSLATE(C460, ""en"", ""hi"")"),"A) पदोन्नति के लिए मोहरे को f8 पर धकेलें, B) काले के हाथी पर हमला करने के लिए रानी का उपयोग करें, C) रानी को g5 पर ले जाएं, D) रानी को अन्य मोहरों के साथ समन्वयित करें")</f>
        <v>A) पदोन्नति के लिए मोहरे को f8 पर धकेलें, B) काले के हाथी पर हमला करने के लिए रानी का उपयोग करें, C) रानी को g5 पर ले जाएं, D) रानी को अन्य मोहरों के साथ समन्वयित करें</v>
      </c>
      <c r="I460" s="5" t="str">
        <f>IFERROR(__xludf.DUMMYFUNCTION("GOOGLETRANSLATE(D460, ""en"", ""hi"")"),"A) पदोन्नति के लिए मोहरे को f8 पर धकेलें")</f>
        <v>A) पदोन्नति के लिए मोहरे को f8 पर धकेलें</v>
      </c>
    </row>
    <row r="461" ht="22.5" customHeight="1">
      <c r="A461" s="2">
        <v>460.0</v>
      </c>
      <c r="B461" s="3" t="s">
        <v>2223</v>
      </c>
      <c r="C461" s="3" t="s">
        <v>2224</v>
      </c>
      <c r="D461" s="3" t="s">
        <v>2225</v>
      </c>
      <c r="F461" s="5" t="str">
        <f>IFERROR(__xludf.DUMMYFUNCTION("GOOGLETRANSLATE(A461, ""en"", ""hi"")"),"460")</f>
        <v>460</v>
      </c>
      <c r="G461" s="5" t="str">
        <f>IFERROR(__xludf.DUMMYFUNCTION("GOOGLETRANSLATE(B461, ""en"", ""hi"")"),"सफ़ेद के पास h5 पर एक किश्ती है और काले के पास e4 पर एक रानी और h6 पर एक मोहरा है। सफ़ेद को क्या करना चाहिए?")</f>
        <v>सफ़ेद के पास h5 पर एक किश्ती है और काले के पास e4 पर एक रानी और h6 पर एक मोहरा है। सफ़ेद को क्या करना चाहिए?</v>
      </c>
      <c r="H461" s="5" t="str">
        <f>IFERROR(__xludf.DUMMYFUNCTION("GOOGLETRANSLATE(C461, ""en"", ""hi"")"),"A) मोहरे को h7 पर धकेलें, B) काले की रानी पर हमला करने के लिए किश्ती का उपयोग करें, C) किश्ती को h6 पर ले जाएं, D) किश्ती को अन्य मोहरों के साथ समन्वयित करें")</f>
        <v>A) मोहरे को h7 पर धकेलें, B) काले की रानी पर हमला करने के लिए किश्ती का उपयोग करें, C) किश्ती को h6 पर ले जाएं, D) किश्ती को अन्य मोहरों के साथ समन्वयित करें</v>
      </c>
      <c r="I461" s="5" t="str">
        <f>IFERROR(__xludf.DUMMYFUNCTION("GOOGLETRANSLATE(D461, ""en"", ""hi"")"),"A) मोहरे को h7 पर धकेलें")</f>
        <v>A) मोहरे को h7 पर धकेलें</v>
      </c>
    </row>
    <row r="462" ht="22.5" customHeight="1">
      <c r="A462" s="2">
        <v>461.0</v>
      </c>
      <c r="B462" s="3" t="s">
        <v>2226</v>
      </c>
      <c r="C462" s="3" t="s">
        <v>2227</v>
      </c>
      <c r="D462" s="3" t="s">
        <v>2228</v>
      </c>
      <c r="F462" s="5" t="str">
        <f>IFERROR(__xludf.DUMMYFUNCTION("GOOGLETRANSLATE(A462, ""en"", ""hi"")"),"461")</f>
        <v>461</v>
      </c>
      <c r="G462" s="5" t="str">
        <f>IFERROR(__xludf.DUMMYFUNCTION("GOOGLETRANSLATE(B462, ""en"", ""hi"")"),"काले के पास d4 पर एक घोड़ा है और सफ़ेद के पास g2 पर एक बिशप और d3 पर एक प्यादा है। सफ़ेद को क्या करना चाहिए?")</f>
        <v>काले के पास d4 पर एक घोड़ा है और सफ़ेद के पास g2 पर एक बिशप और d3 पर एक प्यादा है। सफ़ेद को क्या करना चाहिए?</v>
      </c>
      <c r="H462" s="5" t="str">
        <f>IFERROR(__xludf.DUMMYFUNCTION("GOOGLETRANSLATE(C462, ""en"", ""hi"")"),"A) मोहरे को d4 पर धकेलें, B) काले घोड़े पर हमला करने के लिए बिशप का उपयोग करें, C) बिशप को f3 पर ले जाएं, D) बिशप को अन्य मोहरों के साथ समन्वयित करें")</f>
        <v>A) मोहरे को d4 पर धकेलें, B) काले घोड़े पर हमला करने के लिए बिशप का उपयोग करें, C) बिशप को f3 पर ले जाएं, D) बिशप को अन्य मोहरों के साथ समन्वयित करें</v>
      </c>
      <c r="I462" s="5" t="str">
        <f>IFERROR(__xludf.DUMMYFUNCTION("GOOGLETRANSLATE(D462, ""en"", ""hi"")"),"A) मोहरे को d4 पर धकेलें")</f>
        <v>A) मोहरे को d4 पर धकेलें</v>
      </c>
    </row>
    <row r="463" ht="22.5" customHeight="1">
      <c r="A463" s="2">
        <v>462.0</v>
      </c>
      <c r="B463" s="3" t="s">
        <v>2229</v>
      </c>
      <c r="C463" s="3" t="s">
        <v>2230</v>
      </c>
      <c r="D463" s="3" t="s">
        <v>2231</v>
      </c>
      <c r="F463" s="5" t="str">
        <f>IFERROR(__xludf.DUMMYFUNCTION("GOOGLETRANSLATE(A463, ""en"", ""hi"")"),"462")</f>
        <v>462</v>
      </c>
      <c r="G463" s="5" t="str">
        <f>IFERROR(__xludf.DUMMYFUNCTION("GOOGLETRANSLATE(B463, ""en"", ""hi"")"),"सफ़ेद के पास a7 पर एक रानी है और काले के पास b8 पर एक किश्ती और a6 पर एक मोहरा है। सफ़ेद को क्या करना चाहिए?")</f>
        <v>सफ़ेद के पास a7 पर एक रानी है और काले के पास b8 पर एक किश्ती और a6 पर एक मोहरा है। सफ़ेद को क्या करना चाहिए?</v>
      </c>
      <c r="H463" s="5" t="str">
        <f>IFERROR(__xludf.DUMMYFUNCTION("GOOGLETRANSLATE(C463, ""en"", ""hi"")"),"A) रानी को a8 पर ले जाएं, B) मोहरे को a7 पर धकेलें, C) रानी का उपयोग काले के हाथी पर हमला करने के लिए करें, D) रानी को अन्य मोहरों के साथ समन्वयित करें")</f>
        <v>A) रानी को a8 पर ले जाएं, B) मोहरे को a7 पर धकेलें, C) रानी का उपयोग काले के हाथी पर हमला करने के लिए करें, D) रानी को अन्य मोहरों के साथ समन्वयित करें</v>
      </c>
      <c r="I463" s="5" t="str">
        <f>IFERROR(__xludf.DUMMYFUNCTION("GOOGLETRANSLATE(D463, ""en"", ""hi"")"),"B) मोहरे को a7 पर धकेलें")</f>
        <v>B) मोहरे को a7 पर धकेलें</v>
      </c>
    </row>
    <row r="464" ht="22.5" customHeight="1">
      <c r="A464" s="2">
        <v>463.0</v>
      </c>
      <c r="B464" s="3" t="s">
        <v>2232</v>
      </c>
      <c r="C464" s="3" t="s">
        <v>2233</v>
      </c>
      <c r="D464" s="3" t="s">
        <v>1961</v>
      </c>
      <c r="F464" s="5" t="str">
        <f>IFERROR(__xludf.DUMMYFUNCTION("GOOGLETRANSLATE(A464, ""en"", ""hi"")"),"463")</f>
        <v>463</v>
      </c>
      <c r="G464" s="5" t="str">
        <f>IFERROR(__xludf.DUMMYFUNCTION("GOOGLETRANSLATE(B464, ""en"", ""hi"")"),"काले के पास f6 पर एक बिशप है और सफेद के पास e5 पर एक रानी और f5 पर एक मोहरा है। सफेद को क्या करना चाहिए?")</f>
        <v>काले के पास f6 पर एक बिशप है और सफेद के पास e5 पर एक रानी और f5 पर एक मोहरा है। सफेद को क्या करना चाहिए?</v>
      </c>
      <c r="H464" s="5" t="str">
        <f>IFERROR(__xludf.DUMMYFUNCTION("GOOGLETRANSLATE(C464, ""en"", ""hi"")"),"A) मोहरे को f6 पर धकेलें, B) रानी का उपयोग करके काले के बिशप पर हमला करें, C) रानी को e4 पर ले जाएं, D) रानी को अन्य मोहरों के साथ समन्वयित करें")</f>
        <v>A) मोहरे को f6 पर धकेलें, B) रानी का उपयोग करके काले के बिशप पर हमला करें, C) रानी को e4 पर ले जाएं, D) रानी को अन्य मोहरों के साथ समन्वयित करें</v>
      </c>
      <c r="I464" s="5" t="str">
        <f>IFERROR(__xludf.DUMMYFUNCTION("GOOGLETRANSLATE(D464, ""en"", ""hi"")"),"A) मोहरे को f6 पर धकेलें")</f>
        <v>A) मोहरे को f6 पर धकेलें</v>
      </c>
    </row>
    <row r="465" ht="22.5" customHeight="1">
      <c r="A465" s="2">
        <v>464.0</v>
      </c>
      <c r="B465" s="3" t="s">
        <v>2234</v>
      </c>
      <c r="C465" s="3" t="s">
        <v>2235</v>
      </c>
      <c r="D465" s="3" t="s">
        <v>2184</v>
      </c>
      <c r="F465" s="5" t="str">
        <f>IFERROR(__xludf.DUMMYFUNCTION("GOOGLETRANSLATE(A465, ""en"", ""hi"")"),"464")</f>
        <v>464</v>
      </c>
      <c r="G465" s="5" t="str">
        <f>IFERROR(__xludf.DUMMYFUNCTION("GOOGLETRANSLATE(B465, ""en"", ""hi"")"),"सफ़ेद के पास d1 पर एक किश्ती है और काले के पास d6 पर एक रानी और d5 पर एक मोहरा है। सफ़ेद को क्या करना चाहिए?")</f>
        <v>सफ़ेद के पास d1 पर एक किश्ती है और काले के पास d6 पर एक रानी और d5 पर एक मोहरा है। सफ़ेद को क्या करना चाहिए?</v>
      </c>
      <c r="H465" s="5" t="str">
        <f>IFERROR(__xludf.DUMMYFUNCTION("GOOGLETRANSLATE(C465, ""en"", ""hi"")"),"A) मोहरे को d6 पर धकेलें, B) काले की रानी पर हमला करने के लिए किश्ती का उपयोग करें, C) किश्ती को d2 पर ले जाएं, D) किश्ती को अन्य मोहरों के साथ समन्वयित करें")</f>
        <v>A) मोहरे को d6 पर धकेलें, B) काले की रानी पर हमला करने के लिए किश्ती का उपयोग करें, C) किश्ती को d2 पर ले जाएं, D) किश्ती को अन्य मोहरों के साथ समन्वयित करें</v>
      </c>
      <c r="I465" s="5" t="str">
        <f>IFERROR(__xludf.DUMMYFUNCTION("GOOGLETRANSLATE(D465, ""en"", ""hi"")"),"A) मोहरे को d6 पर धकेलें")</f>
        <v>A) मोहरे को d6 पर धकेलें</v>
      </c>
    </row>
    <row r="466" ht="22.5" customHeight="1">
      <c r="A466" s="2">
        <v>465.0</v>
      </c>
      <c r="B466" s="3" t="s">
        <v>2236</v>
      </c>
      <c r="C466" s="3" t="s">
        <v>2237</v>
      </c>
      <c r="D466" s="3" t="s">
        <v>2045</v>
      </c>
      <c r="F466" s="5" t="str">
        <f>IFERROR(__xludf.DUMMYFUNCTION("GOOGLETRANSLATE(A466, ""en"", ""hi"")"),"465")</f>
        <v>465</v>
      </c>
      <c r="G466" s="5" t="str">
        <f>IFERROR(__xludf.DUMMYFUNCTION("GOOGLETRANSLATE(B466, ""en"", ""hi"")"),"काले के पास b6 पर एक रानी है और सफेद के पास a7 पर एक किश्ती और a5 पर एक मोहरा है। सफेद को क्या करना चाहिए?")</f>
        <v>काले के पास b6 पर एक रानी है और सफेद के पास a7 पर एक किश्ती और a5 पर एक मोहरा है। सफेद को क्या करना चाहिए?</v>
      </c>
      <c r="H466" s="5" t="str">
        <f>IFERROR(__xludf.DUMMYFUNCTION("GOOGLETRANSLATE(C466, ""en"", ""hi"")"),"A) मोहरे को a6 पर धकेलें, B) काले की रानी पर हमला करने के लिए किश्ती का उपयोग करें, C) किश्ती को a8 पर ले जाएं, D) किश्ती को अन्य मोहरों के साथ समन्वयित करें")</f>
        <v>A) मोहरे को a6 पर धकेलें, B) काले की रानी पर हमला करने के लिए किश्ती का उपयोग करें, C) किश्ती को a8 पर ले जाएं, D) किश्ती को अन्य मोहरों के साथ समन्वयित करें</v>
      </c>
      <c r="I466" s="5" t="str">
        <f>IFERROR(__xludf.DUMMYFUNCTION("GOOGLETRANSLATE(D466, ""en"", ""hi"")"),"A) मोहरे को a6 पर धकेलें")</f>
        <v>A) मोहरे को a6 पर धकेलें</v>
      </c>
    </row>
    <row r="467" ht="22.5" customHeight="1">
      <c r="A467" s="2">
        <v>466.0</v>
      </c>
      <c r="B467" s="3" t="s">
        <v>2238</v>
      </c>
      <c r="C467" s="3" t="s">
        <v>2239</v>
      </c>
      <c r="D467" s="3" t="s">
        <v>2240</v>
      </c>
      <c r="F467" s="5" t="str">
        <f>IFERROR(__xludf.DUMMYFUNCTION("GOOGLETRANSLATE(A467, ""en"", ""hi"")"),"466")</f>
        <v>466</v>
      </c>
      <c r="G467" s="5" t="str">
        <f>IFERROR(__xludf.DUMMYFUNCTION("GOOGLETRANSLATE(B467, ""en"", ""hi"")"),"सफ़ेद के पास d2 पर एक बिशप है और काले के पास c8 पर एक किश्ती और d4 पर एक प्यादा है। सफ़ेद को क्या करना चाहिए?")</f>
        <v>सफ़ेद के पास d2 पर एक बिशप है और काले के पास c8 पर एक किश्ती और d4 पर एक प्यादा है। सफ़ेद को क्या करना चाहिए?</v>
      </c>
      <c r="H467" s="5" t="str">
        <f>IFERROR(__xludf.DUMMYFUNCTION("GOOGLETRANSLATE(C467, ""en"", ""hi"")"),"A) मोहरे को d5 पर धकेलें, B) काले के हाथी पर हमला करने के लिए बिशप का उपयोग करें, C) बिशप को e3 पर ले जाएं, D) बिशप को अन्य मोहरों के साथ समन्वयित करें")</f>
        <v>A) मोहरे को d5 पर धकेलें, B) काले के हाथी पर हमला करने के लिए बिशप का उपयोग करें, C) बिशप को e3 पर ले जाएं, D) बिशप को अन्य मोहरों के साथ समन्वयित करें</v>
      </c>
      <c r="I467" s="5" t="str">
        <f>IFERROR(__xludf.DUMMYFUNCTION("GOOGLETRANSLATE(D467, ""en"", ""hi"")"),"A) मोहरे को d5 पर धकेलें")</f>
        <v>A) मोहरे को d5 पर धकेलें</v>
      </c>
    </row>
    <row r="468" ht="22.5" customHeight="1">
      <c r="A468" s="2">
        <v>467.0</v>
      </c>
      <c r="B468" s="3" t="s">
        <v>2241</v>
      </c>
      <c r="C468" s="3" t="s">
        <v>2242</v>
      </c>
      <c r="D468" s="3" t="s">
        <v>1981</v>
      </c>
      <c r="F468" s="5" t="str">
        <f>IFERROR(__xludf.DUMMYFUNCTION("GOOGLETRANSLATE(A468, ""en"", ""hi"")"),"467")</f>
        <v>467</v>
      </c>
      <c r="G468" s="5" t="str">
        <f>IFERROR(__xludf.DUMMYFUNCTION("GOOGLETRANSLATE(B468, ""en"", ""hi"")"),"काले के पास f5 पर एक किश्ती है और सफ़ेद के पास d5 पर एक घोड़ा और f6 पर एक मोहरा है। सफ़ेद को क्या करना चाहिए?")</f>
        <v>काले के पास f5 पर एक किश्ती है और सफ़ेद के पास d5 पर एक घोड़ा और f6 पर एक मोहरा है। सफ़ेद को क्या करना चाहिए?</v>
      </c>
      <c r="H468" s="5" t="str">
        <f>IFERROR(__xludf.DUMMYFUNCTION("GOOGLETRANSLATE(C468, ""en"", ""hi"")"),"A) मोहरे को f7 पर धकेलें, B) घोड़े का उपयोग करके काले के हाथी पर हमला करें, C) घोड़े को e7 पर ले जाएं, D) घोड़े को अन्य मोहरों के साथ समन्वयित करें")</f>
        <v>A) मोहरे को f7 पर धकेलें, B) घोड़े का उपयोग करके काले के हाथी पर हमला करें, C) घोड़े को e7 पर ले जाएं, D) घोड़े को अन्य मोहरों के साथ समन्वयित करें</v>
      </c>
      <c r="I468" s="5" t="str">
        <f>IFERROR(__xludf.DUMMYFUNCTION("GOOGLETRANSLATE(D468, ""en"", ""hi"")"),"A) मोहरे को f7 पर धकेलें")</f>
        <v>A) मोहरे को f7 पर धकेलें</v>
      </c>
    </row>
    <row r="469" ht="22.5" customHeight="1">
      <c r="A469" s="2">
        <v>468.0</v>
      </c>
      <c r="B469" s="3" t="s">
        <v>2243</v>
      </c>
      <c r="C469" s="3" t="s">
        <v>2244</v>
      </c>
      <c r="D469" s="3" t="s">
        <v>1941</v>
      </c>
      <c r="F469" s="5" t="str">
        <f>IFERROR(__xludf.DUMMYFUNCTION("GOOGLETRANSLATE(A469, ""en"", ""hi"")"),"468")</f>
        <v>468</v>
      </c>
      <c r="G469" s="5" t="str">
        <f>IFERROR(__xludf.DUMMYFUNCTION("GOOGLETRANSLATE(B469, ""en"", ""hi"")"),"सफ़ेद के पास e4 पर एक रानी है और काले के पास f6 पर एक घोड़ा और e5 पर एक मोहरा है। सफ़ेद को क्या करना चाहिए?")</f>
        <v>सफ़ेद के पास e4 पर एक रानी है और काले के पास f6 पर एक घोड़ा और e5 पर एक मोहरा है। सफ़ेद को क्या करना चाहिए?</v>
      </c>
      <c r="H469" s="5" t="str">
        <f>IFERROR(__xludf.DUMMYFUNCTION("GOOGLETRANSLATE(C469, ""en"", ""hi"")"),"A) मोहरे को e6 पर धकेलें, B) रानी का उपयोग काले घोड़े पर हमला करने के लिए करें, C) रानी को e5 पर ले जाएं, D) रानी को अन्य मोहरों के साथ समन्वयित करें")</f>
        <v>A) मोहरे को e6 पर धकेलें, B) रानी का उपयोग काले घोड़े पर हमला करने के लिए करें, C) रानी को e5 पर ले जाएं, D) रानी को अन्य मोहरों के साथ समन्वयित करें</v>
      </c>
      <c r="I469" s="5" t="str">
        <f>IFERROR(__xludf.DUMMYFUNCTION("GOOGLETRANSLATE(D469, ""en"", ""hi"")"),"A) मोहरे को e6 पर धकेलें")</f>
        <v>A) मोहरे को e6 पर धकेलें</v>
      </c>
    </row>
    <row r="470" ht="22.5" customHeight="1">
      <c r="A470" s="2">
        <v>469.0</v>
      </c>
      <c r="B470" s="3" t="s">
        <v>2245</v>
      </c>
      <c r="C470" s="3" t="s">
        <v>2246</v>
      </c>
      <c r="D470" s="3" t="s">
        <v>1917</v>
      </c>
      <c r="F470" s="5" t="str">
        <f>IFERROR(__xludf.DUMMYFUNCTION("GOOGLETRANSLATE(A470, ""en"", ""hi"")"),"469")</f>
        <v>469</v>
      </c>
      <c r="G470" s="5" t="str">
        <f>IFERROR(__xludf.DUMMYFUNCTION("GOOGLETRANSLATE(B470, ""en"", ""hi"")"),"काले के पास a1 पर एक किश्ती है और सफ़ेद के पास d4 पर एक रानी और d5 पर एक मोहरा है। सफ़ेद को क्या करना चाहिए?")</f>
        <v>काले के पास a1 पर एक किश्ती है और सफ़ेद के पास d4 पर एक रानी और d5 पर एक मोहरा है। सफ़ेद को क्या करना चाहिए?</v>
      </c>
      <c r="H470" s="5" t="str">
        <f>IFERROR(__xludf.DUMMYFUNCTION("GOOGLETRANSLATE(C470, ""en"", ""hi"")"),"A) रानी को d5 पर ले जाएं, B) मोहरे को d6 पर धकेलें, C) रानी का उपयोग काले के हाथी पर हमला करने के लिए करें, D) रानी को अन्य मोहरों के साथ समन्वयित करें")</f>
        <v>A) रानी को d5 पर ले जाएं, B) मोहरे को d6 पर धकेलें, C) रानी का उपयोग काले के हाथी पर हमला करने के लिए करें, D) रानी को अन्य मोहरों के साथ समन्वयित करें</v>
      </c>
      <c r="I470" s="5" t="str">
        <f>IFERROR(__xludf.DUMMYFUNCTION("GOOGLETRANSLATE(D470, ""en"", ""hi"")"),"B) मोहरे को d6 पर धकेलें")</f>
        <v>B) मोहरे को d6 पर धकेलें</v>
      </c>
    </row>
    <row r="471" ht="22.5" customHeight="1">
      <c r="A471" s="2">
        <v>470.0</v>
      </c>
      <c r="B471" s="3" t="s">
        <v>2247</v>
      </c>
      <c r="C471" s="3" t="s">
        <v>2248</v>
      </c>
      <c r="D471" s="3" t="s">
        <v>1941</v>
      </c>
      <c r="F471" s="5" t="str">
        <f>IFERROR(__xludf.DUMMYFUNCTION("GOOGLETRANSLATE(A471, ""en"", ""hi"")"),"470")</f>
        <v>470</v>
      </c>
      <c r="G471" s="5" t="str">
        <f>IFERROR(__xludf.DUMMYFUNCTION("GOOGLETRANSLATE(B471, ""en"", ""hi"")"),"सफ़ेद के पास e1 पर एक किश्ती है और काले के पास d7 पर एक रानी और e5 पर एक मोहरा है। सफ़ेद को क्या करना चाहिए?")</f>
        <v>सफ़ेद के पास e1 पर एक किश्ती है और काले के पास d7 पर एक रानी और e5 पर एक मोहरा है। सफ़ेद को क्या करना चाहिए?</v>
      </c>
      <c r="H471" s="5" t="str">
        <f>IFERROR(__xludf.DUMMYFUNCTION("GOOGLETRANSLATE(C471, ""en"", ""hi"")"),"A) मोहरे को e6 पर धकेलें, B) काले की रानी पर हमला करने के लिए किश्ती का उपयोग करें, C) किश्ती को e2 पर ले जाएं, D) किश्ती को अन्य मोहरों के साथ समन्वयित करें")</f>
        <v>A) मोहरे को e6 पर धकेलें, B) काले की रानी पर हमला करने के लिए किश्ती का उपयोग करें, C) किश्ती को e2 पर ले जाएं, D) किश्ती को अन्य मोहरों के साथ समन्वयित करें</v>
      </c>
      <c r="I471" s="5" t="str">
        <f>IFERROR(__xludf.DUMMYFUNCTION("GOOGLETRANSLATE(D471, ""en"", ""hi"")"),"A) मोहरे को e6 पर धकेलें")</f>
        <v>A) मोहरे को e6 पर धकेलें</v>
      </c>
    </row>
    <row r="472" ht="22.5" customHeight="1">
      <c r="A472" s="2">
        <v>471.0</v>
      </c>
      <c r="B472" s="3" t="s">
        <v>2249</v>
      </c>
      <c r="C472" s="3" t="s">
        <v>2250</v>
      </c>
      <c r="D472" s="3" t="s">
        <v>2181</v>
      </c>
      <c r="F472" s="5" t="str">
        <f>IFERROR(__xludf.DUMMYFUNCTION("GOOGLETRANSLATE(A472, ""en"", ""hi"")"),"471")</f>
        <v>471</v>
      </c>
      <c r="G472" s="5" t="str">
        <f>IFERROR(__xludf.DUMMYFUNCTION("GOOGLETRANSLATE(B472, ""en"", ""hi"")"),"काले के पास g6 पर एक बिशप है और सफ़ेद के पास g1 पर एक किश्ती और g5 पर एक प्यादा है। सफ़ेद को क्या करना चाहिए?")</f>
        <v>काले के पास g6 पर एक बिशप है और सफ़ेद के पास g1 पर एक किश्ती और g5 पर एक प्यादा है। सफ़ेद को क्या करना चाहिए?</v>
      </c>
      <c r="H472" s="5" t="str">
        <f>IFERROR(__xludf.DUMMYFUNCTION("GOOGLETRANSLATE(C472, ""en"", ""hi"")"),"A) मोहरे को g6 पर धकेलें, B) काले के बिशप पर हमला करने के लिए किश्ती का उपयोग करें, C) किश्ती को g2 पर ले जाएं, D) किश्ती को अन्य मोहरों के साथ समन्वयित करें")</f>
        <v>A) मोहरे को g6 पर धकेलें, B) काले के बिशप पर हमला करने के लिए किश्ती का उपयोग करें, C) किश्ती को g2 पर ले जाएं, D) किश्ती को अन्य मोहरों के साथ समन्वयित करें</v>
      </c>
      <c r="I472" s="5" t="str">
        <f>IFERROR(__xludf.DUMMYFUNCTION("GOOGLETRANSLATE(D472, ""en"", ""hi"")"),"A) मोहरे को g6 पर धकेलें")</f>
        <v>A) मोहरे को g6 पर धकेलें</v>
      </c>
    </row>
    <row r="473" ht="22.5" customHeight="1">
      <c r="A473" s="2">
        <v>472.0</v>
      </c>
      <c r="B473" s="3" t="s">
        <v>2251</v>
      </c>
      <c r="C473" s="3" t="s">
        <v>2252</v>
      </c>
      <c r="D473" s="3" t="s">
        <v>2045</v>
      </c>
      <c r="F473" s="5" t="str">
        <f>IFERROR(__xludf.DUMMYFUNCTION("GOOGLETRANSLATE(A473, ""en"", ""hi"")"),"472")</f>
        <v>472</v>
      </c>
      <c r="G473" s="5" t="str">
        <f>IFERROR(__xludf.DUMMYFUNCTION("GOOGLETRANSLATE(B473, ""en"", ""hi"")"),"सफ़ेद के पास a6 पर एक रानी है और काले के पास b7 पर एक किश्ती और a5 पर एक मोहरा है। सफ़ेद को क्या करना चाहिए?")</f>
        <v>सफ़ेद के पास a6 पर एक रानी है और काले के पास b7 पर एक किश्ती और a5 पर एक मोहरा है। सफ़ेद को क्या करना चाहिए?</v>
      </c>
      <c r="H473" s="5" t="str">
        <f>IFERROR(__xludf.DUMMYFUNCTION("GOOGLETRANSLATE(C473, ""en"", ""hi"")"),"A) मोहरे को a6 पर धकेलें, B) रानी को a7 पर ले जाएं, C) रानी का उपयोग काले के हाथी पर हमला करने के लिए करें, D) रानी को अन्य मोहरों के साथ समन्वयित करें")</f>
        <v>A) मोहरे को a6 पर धकेलें, B) रानी को a7 पर ले जाएं, C) रानी का उपयोग काले के हाथी पर हमला करने के लिए करें, D) रानी को अन्य मोहरों के साथ समन्वयित करें</v>
      </c>
      <c r="I473" s="5" t="str">
        <f>IFERROR(__xludf.DUMMYFUNCTION("GOOGLETRANSLATE(D473, ""en"", ""hi"")"),"A) मोहरे को a6 पर धकेलें")</f>
        <v>A) मोहरे को a6 पर धकेलें</v>
      </c>
    </row>
    <row r="474" ht="22.5" customHeight="1">
      <c r="A474" s="2">
        <v>473.0</v>
      </c>
      <c r="B474" s="3" t="s">
        <v>2253</v>
      </c>
      <c r="C474" s="3" t="s">
        <v>2254</v>
      </c>
      <c r="D474" s="3" t="s">
        <v>2255</v>
      </c>
      <c r="F474" s="5" t="str">
        <f>IFERROR(__xludf.DUMMYFUNCTION("GOOGLETRANSLATE(A474, ""en"", ""hi"")"),"473")</f>
        <v>473</v>
      </c>
      <c r="G474" s="5" t="str">
        <f>IFERROR(__xludf.DUMMYFUNCTION("GOOGLETRANSLATE(B474, ""en"", ""hi"")"),"काले के पास c8 पर एक रानी है और सफेद के पास c1 पर एक किश्ती और c7 पर एक मोहरा है। सफेद को क्या करना चाहिए?")</f>
        <v>काले के पास c8 पर एक रानी है और सफेद के पास c1 पर एक किश्ती और c7 पर एक मोहरा है। सफेद को क्या करना चाहिए?</v>
      </c>
      <c r="H474" s="5" t="str">
        <f>IFERROR(__xludf.DUMMYFUNCTION("GOOGLETRANSLATE(C474, ""en"", ""hi"")"),"A) पदोन्नति के लिए मोहरे को c8 पर धकेलें, B) काले की रानी पर हमला करने के लिए किश्ती का उपयोग करें, C) किश्ती को c2 पर ले जाएं, D) किश्ती को अन्य मोहरों के साथ समन्वयित करें")</f>
        <v>A) पदोन्नति के लिए मोहरे को c8 पर धकेलें, B) काले की रानी पर हमला करने के लिए किश्ती का उपयोग करें, C) किश्ती को c2 पर ले जाएं, D) किश्ती को अन्य मोहरों के साथ समन्वयित करें</v>
      </c>
      <c r="I474" s="5" t="str">
        <f>IFERROR(__xludf.DUMMYFUNCTION("GOOGLETRANSLATE(D474, ""en"", ""hi"")"),"A) पदोन्नति के लिए मोहरे को c8 पर धकेलें")</f>
        <v>A) पदोन्नति के लिए मोहरे को c8 पर धकेलें</v>
      </c>
    </row>
    <row r="475" ht="22.5" customHeight="1">
      <c r="A475" s="2">
        <v>474.0</v>
      </c>
      <c r="B475" s="3" t="s">
        <v>2256</v>
      </c>
      <c r="C475" s="3" t="s">
        <v>2257</v>
      </c>
      <c r="D475" s="3" t="s">
        <v>1981</v>
      </c>
      <c r="F475" s="5" t="str">
        <f>IFERROR(__xludf.DUMMYFUNCTION("GOOGLETRANSLATE(A475, ""en"", ""hi"")"),"474")</f>
        <v>474</v>
      </c>
      <c r="G475" s="5" t="str">
        <f>IFERROR(__xludf.DUMMYFUNCTION("GOOGLETRANSLATE(B475, ""en"", ""hi"")"),"सफ़ेद के पास f1 पर एक किश्ती है और काले के पास g8 पर एक रानी और f6 पर एक मोहरा है। सफ़ेद को क्या करना चाहिए?")</f>
        <v>सफ़ेद के पास f1 पर एक किश्ती है और काले के पास g8 पर एक रानी और f6 पर एक मोहरा है। सफ़ेद को क्या करना चाहिए?</v>
      </c>
      <c r="H475" s="5" t="str">
        <f>IFERROR(__xludf.DUMMYFUNCTION("GOOGLETRANSLATE(C475, ""en"", ""hi"")"),"A) मोहरे को f7 पर धकेलें, B) काले की रानी पर हमला करने के लिए किश्ती का उपयोग करें, C) किश्ती को f2 पर ले जाएं, D) किश्ती को अन्य मोहरों के साथ समन्वयित करें")</f>
        <v>A) मोहरे को f7 पर धकेलें, B) काले की रानी पर हमला करने के लिए किश्ती का उपयोग करें, C) किश्ती को f2 पर ले जाएं, D) किश्ती को अन्य मोहरों के साथ समन्वयित करें</v>
      </c>
      <c r="I475" s="5" t="str">
        <f>IFERROR(__xludf.DUMMYFUNCTION("GOOGLETRANSLATE(D475, ""en"", ""hi"")"),"A) मोहरे को f7 पर धकेलें")</f>
        <v>A) मोहरे को f7 पर धकेलें</v>
      </c>
    </row>
    <row r="476" ht="22.5" customHeight="1">
      <c r="A476" s="2">
        <v>475.0</v>
      </c>
      <c r="B476" s="3" t="s">
        <v>2258</v>
      </c>
      <c r="C476" s="3" t="s">
        <v>2259</v>
      </c>
      <c r="D476" s="3" t="s">
        <v>2260</v>
      </c>
      <c r="F476" s="5" t="str">
        <f>IFERROR(__xludf.DUMMYFUNCTION("GOOGLETRANSLATE(A476, ""en"", ""hi"")"),"475")</f>
        <v>475</v>
      </c>
      <c r="G476" s="5" t="str">
        <f>IFERROR(__xludf.DUMMYFUNCTION("GOOGLETRANSLATE(B476, ""en"", ""hi"")"),"काले के पास b5 पर एक घोड़ा है और सफेद के पास a3 पर एक रानी और a4 पर एक मोहरा है। सफेद को क्या करना चाहिए?")</f>
        <v>काले के पास b5 पर एक घोड़ा है और सफेद के पास a3 पर एक रानी और a4 पर एक मोहरा है। सफेद को क्या करना चाहिए?</v>
      </c>
      <c r="H476" s="5" t="str">
        <f>IFERROR(__xludf.DUMMYFUNCTION("GOOGLETRANSLATE(C476, ""en"", ""hi"")"),"A) मोहरे को a5 पर धकेलें, B) रानी का उपयोग काले घोड़े पर हमला करने के लिए करें, C) रानी को b4 पर ले जाएं, D) रानी को अन्य मोहरों के साथ समन्वयित करें")</f>
        <v>A) मोहरे को a5 पर धकेलें, B) रानी का उपयोग काले घोड़े पर हमला करने के लिए करें, C) रानी को b4 पर ले जाएं, D) रानी को अन्य मोहरों के साथ समन्वयित करें</v>
      </c>
      <c r="I476" s="5" t="str">
        <f>IFERROR(__xludf.DUMMYFUNCTION("GOOGLETRANSLATE(D476, ""en"", ""hi"")"),"A) मोहरे को a5 पर धकेलें")</f>
        <v>A) मोहरे को a5 पर धकेलें</v>
      </c>
    </row>
    <row r="477" ht="22.5" customHeight="1">
      <c r="A477" s="2">
        <v>476.0</v>
      </c>
      <c r="B477" s="3" t="s">
        <v>2261</v>
      </c>
      <c r="C477" s="3" t="s">
        <v>2262</v>
      </c>
      <c r="D477" s="3" t="s">
        <v>1926</v>
      </c>
      <c r="F477" s="5" t="str">
        <f>IFERROR(__xludf.DUMMYFUNCTION("GOOGLETRANSLATE(A477, ""en"", ""hi"")"),"476")</f>
        <v>476</v>
      </c>
      <c r="G477" s="5" t="str">
        <f>IFERROR(__xludf.DUMMYFUNCTION("GOOGLETRANSLATE(B477, ""en"", ""hi"")"),"सफ़ेद के पास h2 पर एक बिशप है और काले के पास e8 पर एक किश्ती और g7 पर एक प्यादा है। सफ़ेद को क्या करना चाहिए?")</f>
        <v>सफ़ेद के पास h2 पर एक बिशप है और काले के पास e8 पर एक किश्ती और g7 पर एक प्यादा है। सफ़ेद को क्या करना चाहिए?</v>
      </c>
      <c r="H477" s="5" t="str">
        <f>IFERROR(__xludf.DUMMYFUNCTION("GOOGLETRANSLATE(C477, ""en"", ""hi"")"),"A) पदोन्नति के लिए मोहरे को g8 पर धकेलें, B) काले के हाथी पर हमला करने के लिए बिशप का उपयोग करें, C) बिशप को g3 पर ले जाएं, D) बिशप को अन्य मोहरों के साथ समन्वयित करें")</f>
        <v>A) पदोन्नति के लिए मोहरे को g8 पर धकेलें, B) काले के हाथी पर हमला करने के लिए बिशप का उपयोग करें, C) बिशप को g3 पर ले जाएं, D) बिशप को अन्य मोहरों के साथ समन्वयित करें</v>
      </c>
      <c r="I477" s="5" t="str">
        <f>IFERROR(__xludf.DUMMYFUNCTION("GOOGLETRANSLATE(D477, ""en"", ""hi"")"),"A) पदोन्नति के लिए मोहरे को g8 की ओर धकेलें")</f>
        <v>A) पदोन्नति के लिए मोहरे को g8 की ओर धकेलें</v>
      </c>
    </row>
    <row r="478" ht="22.5" customHeight="1">
      <c r="A478" s="2">
        <v>477.0</v>
      </c>
      <c r="B478" s="3" t="s">
        <v>2263</v>
      </c>
      <c r="C478" s="3" t="s">
        <v>2264</v>
      </c>
      <c r="D478" s="3" t="s">
        <v>1849</v>
      </c>
      <c r="F478" s="5" t="str">
        <f>IFERROR(__xludf.DUMMYFUNCTION("GOOGLETRANSLATE(A478, ""en"", ""hi"")"),"477")</f>
        <v>477</v>
      </c>
      <c r="G478" s="5" t="str">
        <f>IFERROR(__xludf.DUMMYFUNCTION("GOOGLETRANSLATE(B478, ""en"", ""hi"")"),"काले के पास b7 पर एक रानी है और सफेद के पास a8 पर एक किश्ती और a6 पर एक मोहरा है। सफेद को क्या करना चाहिए?")</f>
        <v>काले के पास b7 पर एक रानी है और सफेद के पास a8 पर एक किश्ती और a6 पर एक मोहरा है। सफेद को क्या करना चाहिए?</v>
      </c>
      <c r="H478" s="5" t="str">
        <f>IFERROR(__xludf.DUMMYFUNCTION("GOOGLETRANSLATE(C478, ""en"", ""hi"")"),"A) मोहरे को a7 पर धकेलें, B) किश्ती को a7 पर ले जाएं, C) किश्ती का उपयोग करके काली की रानी पर हमला करें, D) किश्ती को अन्य मोहरों के साथ समन्वयित करें")</f>
        <v>A) मोहरे को a7 पर धकेलें, B) किश्ती को a7 पर ले जाएं, C) किश्ती का उपयोग करके काली की रानी पर हमला करें, D) किश्ती को अन्य मोहरों के साथ समन्वयित करें</v>
      </c>
      <c r="I478" s="5" t="str">
        <f>IFERROR(__xludf.DUMMYFUNCTION("GOOGLETRANSLATE(D478, ""en"", ""hi"")"),"A) मोहरे को a7 पर धकेलें")</f>
        <v>A) मोहरे को a7 पर धकेलें</v>
      </c>
    </row>
    <row r="479" ht="22.5" customHeight="1">
      <c r="A479" s="2">
        <v>478.0</v>
      </c>
      <c r="B479" s="3" t="s">
        <v>2265</v>
      </c>
      <c r="C479" s="3" t="s">
        <v>2266</v>
      </c>
      <c r="D479" s="3" t="s">
        <v>2267</v>
      </c>
      <c r="F479" s="5" t="str">
        <f>IFERROR(__xludf.DUMMYFUNCTION("GOOGLETRANSLATE(A479, ""en"", ""hi"")"),"478")</f>
        <v>478</v>
      </c>
      <c r="G479" s="5" t="str">
        <f>IFERROR(__xludf.DUMMYFUNCTION("GOOGLETRANSLATE(B479, ""en"", ""hi"")"),"सफ़ेद के पास g4 पर एक घोड़ा है और काले के पास h5 पर एक बिशप और g6 पर एक मोहरा है। सफ़ेद को क्या करना चाहिए?")</f>
        <v>सफ़ेद के पास g4 पर एक घोड़ा है और काले के पास h5 पर एक बिशप और g6 पर एक मोहरा है। सफ़ेद को क्या करना चाहिए?</v>
      </c>
      <c r="H479" s="5" t="str">
        <f>IFERROR(__xludf.DUMMYFUNCTION("GOOGLETRANSLATE(C479, ""en"", ""hi"")"),"A) मोहरे को g7 पर धकेलें, B) घोड़े का उपयोग काले के बिशप पर हमला करने के लिए करें, C) घोड़े को e3 पर ले जाएं, D) घोड़े को अन्य मोहरों के साथ समन्वयित करें")</f>
        <v>A) मोहरे को g7 पर धकेलें, B) घोड़े का उपयोग काले के बिशप पर हमला करने के लिए करें, C) घोड़े को e3 पर ले जाएं, D) घोड़े को अन्य मोहरों के साथ समन्वयित करें</v>
      </c>
      <c r="I479" s="5" t="str">
        <f>IFERROR(__xludf.DUMMYFUNCTION("GOOGLETRANSLATE(D479, ""en"", ""hi"")"),"A) मोहरे को g7 पर धकेलें")</f>
        <v>A) मोहरे को g7 पर धकेलें</v>
      </c>
    </row>
    <row r="480" ht="22.5" customHeight="1">
      <c r="A480" s="2">
        <v>479.0</v>
      </c>
      <c r="B480" s="3" t="s">
        <v>2268</v>
      </c>
      <c r="C480" s="3" t="s">
        <v>2269</v>
      </c>
      <c r="D480" s="3" t="s">
        <v>1941</v>
      </c>
      <c r="F480" s="5" t="str">
        <f>IFERROR(__xludf.DUMMYFUNCTION("GOOGLETRANSLATE(A480, ""en"", ""hi"")"),"479")</f>
        <v>479</v>
      </c>
      <c r="G480" s="5" t="str">
        <f>IFERROR(__xludf.DUMMYFUNCTION("GOOGLETRANSLATE(B480, ""en"", ""hi"")"),"काले के पास d4 पर एक किश्ती है और सफ़ेद के पास f4 पर एक रानी और e5 पर एक मोहरा है। सफ़ेद को क्या करना चाहिए?")</f>
        <v>काले के पास d4 पर एक किश्ती है और सफ़ेद के पास f4 पर एक रानी और e5 पर एक मोहरा है। सफ़ेद को क्या करना चाहिए?</v>
      </c>
      <c r="H480" s="5" t="str">
        <f>IFERROR(__xludf.DUMMYFUNCTION("GOOGLETRANSLATE(C480, ""en"", ""hi"")"),"A) मोहरे को e6 पर धकेलें, B) रानी का उपयोग करके काले के हाथी पर आक्रमण करें, C) रानी को e3 पर ले जाएं, D) रानी को अन्य मोहरों के साथ समन्वयित करें")</f>
        <v>A) मोहरे को e6 पर धकेलें, B) रानी का उपयोग करके काले के हाथी पर आक्रमण करें, C) रानी को e3 पर ले जाएं, D) रानी को अन्य मोहरों के साथ समन्वयित करें</v>
      </c>
      <c r="I480" s="5" t="str">
        <f>IFERROR(__xludf.DUMMYFUNCTION("GOOGLETRANSLATE(D480, ""en"", ""hi"")"),"A) मोहरे को e6 पर धकेलें")</f>
        <v>A) मोहरे को e6 पर धकेलें</v>
      </c>
    </row>
    <row r="481" ht="22.5" customHeight="1">
      <c r="A481" s="2">
        <v>480.0</v>
      </c>
      <c r="B481" s="3" t="s">
        <v>2270</v>
      </c>
      <c r="C481" s="3" t="s">
        <v>2271</v>
      </c>
      <c r="D481" s="3" t="s">
        <v>2184</v>
      </c>
      <c r="F481" s="5" t="str">
        <f>IFERROR(__xludf.DUMMYFUNCTION("GOOGLETRANSLATE(A481, ""en"", ""hi"")"),"480")</f>
        <v>480</v>
      </c>
      <c r="G481" s="5" t="str">
        <f>IFERROR(__xludf.DUMMYFUNCTION("GOOGLETRANSLATE(B481, ""en"", ""hi"")"),"सफ़ेद के पास e4 पर एक बिशप है और काले के पास c6 पर एक रानी और d5 पर एक मोहरा है। सफ़ेद को क्या करना चाहिए?")</f>
        <v>सफ़ेद के पास e4 पर एक बिशप है और काले के पास c6 पर एक रानी और d5 पर एक मोहरा है। सफ़ेद को क्या करना चाहिए?</v>
      </c>
      <c r="H481" s="5" t="str">
        <f>IFERROR(__xludf.DUMMYFUNCTION("GOOGLETRANSLATE(C481, ""en"", ""hi"")"),"A) मोहरे को d6 पर धकेलें, B) काले की रानी पर हमला करने के लिए बिशप का उपयोग करें, C) बिशप को d5 पर ले जाएं, D) बिशप को अन्य मोहरों के साथ समन्वयित करें")</f>
        <v>A) मोहरे को d6 पर धकेलें, B) काले की रानी पर हमला करने के लिए बिशप का उपयोग करें, C) बिशप को d5 पर ले जाएं, D) बिशप को अन्य मोहरों के साथ समन्वयित करें</v>
      </c>
      <c r="I481" s="5" t="str">
        <f>IFERROR(__xludf.DUMMYFUNCTION("GOOGLETRANSLATE(D481, ""en"", ""hi"")"),"A) मोहरे को d6 पर धकेलें")</f>
        <v>A) मोहरे को d6 पर धकेलें</v>
      </c>
    </row>
    <row r="482" ht="22.5" customHeight="1">
      <c r="A482" s="2">
        <v>481.0</v>
      </c>
      <c r="B482" s="3" t="s">
        <v>2272</v>
      </c>
      <c r="C482" s="3" t="s">
        <v>2273</v>
      </c>
      <c r="D482" s="3" t="s">
        <v>2024</v>
      </c>
      <c r="F482" s="5" t="str">
        <f>IFERROR(__xludf.DUMMYFUNCTION("GOOGLETRANSLATE(A482, ""en"", ""hi"")"),"481")</f>
        <v>481</v>
      </c>
      <c r="G482" s="5" t="str">
        <f>IFERROR(__xludf.DUMMYFUNCTION("GOOGLETRANSLATE(B482, ""en"", ""hi"")"),"काले के पास h4 पर एक रानी है और सफेद के पास h1 पर एक किश्ती और h5 पर एक मोहरा है। सफेद को क्या करना चाहिए?")</f>
        <v>काले के पास h4 पर एक रानी है और सफेद के पास h1 पर एक किश्ती और h5 पर एक मोहरा है। सफेद को क्या करना चाहिए?</v>
      </c>
      <c r="H482" s="5" t="str">
        <f>IFERROR(__xludf.DUMMYFUNCTION("GOOGLETRANSLATE(C482, ""en"", ""hi"")"),"A) मोहरे को h6 पर धकेलें, B) काले की रानी पर हमला करने के लिए किश्ती का उपयोग करें, C) किश्ती को h2 पर ले जाएं, D) किश्ती को अन्य मोहरों के साथ समन्वयित करें")</f>
        <v>A) मोहरे को h6 पर धकेलें, B) काले की रानी पर हमला करने के लिए किश्ती का उपयोग करें, C) किश्ती को h2 पर ले जाएं, D) किश्ती को अन्य मोहरों के साथ समन्वयित करें</v>
      </c>
      <c r="I482" s="5" t="str">
        <f>IFERROR(__xludf.DUMMYFUNCTION("GOOGLETRANSLATE(D482, ""en"", ""hi"")"),"A) मोहरे को h6 पर धकेलें")</f>
        <v>A) मोहरे को h6 पर धकेलें</v>
      </c>
    </row>
    <row r="483" ht="22.5" customHeight="1">
      <c r="A483" s="2">
        <v>482.0</v>
      </c>
      <c r="B483" s="3" t="s">
        <v>2274</v>
      </c>
      <c r="C483" s="3" t="s">
        <v>2275</v>
      </c>
      <c r="D483" s="3" t="s">
        <v>1740</v>
      </c>
      <c r="F483" s="5" t="str">
        <f>IFERROR(__xludf.DUMMYFUNCTION("GOOGLETRANSLATE(A483, ""en"", ""hi"")"),"482")</f>
        <v>482</v>
      </c>
      <c r="G483" s="5" t="str">
        <f>IFERROR(__xludf.DUMMYFUNCTION("GOOGLETRANSLATE(B483, ""en"", ""hi"")"),"सफ़ेद के पास b3 पर एक रानी है और काले के पास c5 पर एक किश्ती और b6 पर एक मोहरा है। सफ़ेद को क्या करना चाहिए?")</f>
        <v>सफ़ेद के पास b3 पर एक रानी है और काले के पास c5 पर एक किश्ती और b6 पर एक मोहरा है। सफ़ेद को क्या करना चाहिए?</v>
      </c>
      <c r="H483" s="5" t="str">
        <f>IFERROR(__xludf.DUMMYFUNCTION("GOOGLETRANSLATE(C483, ""en"", ""hi"")"),"A) मोहरे को b7 पर धकेलें, B) रानी का उपयोग करके काले के हाथी पर आक्रमण करें, C) रानी को b4 पर ले जाएं, D) रानी को अन्य मोहरों के साथ समन्वयित करें")</f>
        <v>A) मोहरे को b7 पर धकेलें, B) रानी का उपयोग करके काले के हाथी पर आक्रमण करें, C) रानी को b4 पर ले जाएं, D) रानी को अन्य मोहरों के साथ समन्वयित करें</v>
      </c>
      <c r="I483" s="5" t="str">
        <f>IFERROR(__xludf.DUMMYFUNCTION("GOOGLETRANSLATE(D483, ""en"", ""hi"")"),"A) मोहरे को b7 पर धकेलें")</f>
        <v>A) मोहरे को b7 पर धकेलें</v>
      </c>
    </row>
    <row r="484" ht="22.5" customHeight="1">
      <c r="A484" s="2">
        <v>483.0</v>
      </c>
      <c r="B484" s="3" t="s">
        <v>2276</v>
      </c>
      <c r="C484" s="3" t="s">
        <v>2277</v>
      </c>
      <c r="D484" s="3" t="s">
        <v>2240</v>
      </c>
      <c r="F484" s="5" t="str">
        <f>IFERROR(__xludf.DUMMYFUNCTION("GOOGLETRANSLATE(A484, ""en"", ""hi"")"),"483")</f>
        <v>483</v>
      </c>
      <c r="G484" s="5" t="str">
        <f>IFERROR(__xludf.DUMMYFUNCTION("GOOGLETRANSLATE(B484, ""en"", ""hi"")"),"काले के पास d5 पर एक बिशप है और सफेद के पास e4 पर एक रानी और d4 पर एक मोहरा है। सफेद को क्या करना चाहिए?")</f>
        <v>काले के पास d5 पर एक बिशप है और सफेद के पास e4 पर एक रानी और d4 पर एक मोहरा है। सफेद को क्या करना चाहिए?</v>
      </c>
      <c r="H484" s="5" t="str">
        <f>IFERROR(__xludf.DUMMYFUNCTION("GOOGLETRANSLATE(C484, ""en"", ""hi"")"),"A) मोहरे को d5 पर धकेलें, B) रानी का उपयोग काले के बिशप पर हमला करने के लिए करें, C) रानी को d5 पर ले जाएं, D) रानी को अन्य मोहरों के साथ समन्वयित करें")</f>
        <v>A) मोहरे को d5 पर धकेलें, B) रानी का उपयोग काले के बिशप पर हमला करने के लिए करें, C) रानी को d5 पर ले जाएं, D) रानी को अन्य मोहरों के साथ समन्वयित करें</v>
      </c>
      <c r="I484" s="5" t="str">
        <f>IFERROR(__xludf.DUMMYFUNCTION("GOOGLETRANSLATE(D484, ""en"", ""hi"")"),"A) मोहरे को d5 पर धकेलें")</f>
        <v>A) मोहरे को d5 पर धकेलें</v>
      </c>
    </row>
    <row r="485" ht="22.5" customHeight="1">
      <c r="A485" s="2">
        <v>484.0</v>
      </c>
      <c r="B485" s="3" t="s">
        <v>2278</v>
      </c>
      <c r="C485" s="3" t="s">
        <v>2279</v>
      </c>
      <c r="D485" s="3" t="s">
        <v>1926</v>
      </c>
      <c r="F485" s="5" t="str">
        <f>IFERROR(__xludf.DUMMYFUNCTION("GOOGLETRANSLATE(A485, ""en"", ""hi"")"),"484")</f>
        <v>484</v>
      </c>
      <c r="G485" s="5" t="str">
        <f>IFERROR(__xludf.DUMMYFUNCTION("GOOGLETRANSLATE(B485, ""en"", ""hi"")"),"सफ़ेद के पास h6 पर एक घोड़ा है और काले के पास e7 पर एक रानी और g7 पर एक मोहरा है। सफ़ेद को क्या करना चाहिए?")</f>
        <v>सफ़ेद के पास h6 पर एक घोड़ा है और काले के पास e7 पर एक रानी और g7 पर एक मोहरा है। सफ़ेद को क्या करना चाहिए?</v>
      </c>
      <c r="H485" s="5" t="str">
        <f>IFERROR(__xludf.DUMMYFUNCTION("GOOGLETRANSLATE(C485, ""en"", ""hi"")"),"A) पदोन्नति के लिए मोहरे को g8 पर धकेलें, B) काले की रानी पर हमला करने के लिए घोड़े का उपयोग करें, C) घोड़े को f8 पर ले जाएं, D) घोड़े को अन्य मोहरों के साथ समन्वयित करें")</f>
        <v>A) पदोन्नति के लिए मोहरे को g8 पर धकेलें, B) काले की रानी पर हमला करने के लिए घोड़े का उपयोग करें, C) घोड़े को f8 पर ले जाएं, D) घोड़े को अन्य मोहरों के साथ समन्वयित करें</v>
      </c>
      <c r="I485" s="5" t="str">
        <f>IFERROR(__xludf.DUMMYFUNCTION("GOOGLETRANSLATE(D485, ""en"", ""hi"")"),"A) पदोन्नति के लिए मोहरे को g8 की ओर धकेलें")</f>
        <v>A) पदोन्नति के लिए मोहरे को g8 की ओर धकेलें</v>
      </c>
    </row>
    <row r="486" ht="22.5" customHeight="1">
      <c r="A486" s="2">
        <v>485.0</v>
      </c>
      <c r="B486" s="3" t="s">
        <v>2280</v>
      </c>
      <c r="C486" s="3" t="s">
        <v>2281</v>
      </c>
      <c r="D486" s="3" t="s">
        <v>1981</v>
      </c>
      <c r="F486" s="5" t="str">
        <f>IFERROR(__xludf.DUMMYFUNCTION("GOOGLETRANSLATE(A486, ""en"", ""hi"")"),"485")</f>
        <v>485</v>
      </c>
      <c r="G486" s="5" t="str">
        <f>IFERROR(__xludf.DUMMYFUNCTION("GOOGLETRANSLATE(B486, ""en"", ""hi"")"),"काले के पास f8 पर एक किश्ती है और सफ़ेद के पास f1 पर एक रानी और f6 पर एक मोहरा है। सफ़ेद को क्या करना चाहिए?")</f>
        <v>काले के पास f8 पर एक किश्ती है और सफ़ेद के पास f1 पर एक रानी और f6 पर एक मोहरा है। सफ़ेद को क्या करना चाहिए?</v>
      </c>
      <c r="H486" s="5" t="str">
        <f>IFERROR(__xludf.DUMMYFUNCTION("GOOGLETRANSLATE(C486, ""en"", ""hi"")"),"A) मोहरे को f7 पर धकेलें, B) रानी का उपयोग करके काले के हाथी पर हमला करें, C) रानी को f2 पर ले जाएं, D) रानी को अन्य मोहरों के साथ समन्वयित करें")</f>
        <v>A) मोहरे को f7 पर धकेलें, B) रानी का उपयोग करके काले के हाथी पर हमला करें, C) रानी को f2 पर ले जाएं, D) रानी को अन्य मोहरों के साथ समन्वयित करें</v>
      </c>
      <c r="I486" s="5" t="str">
        <f>IFERROR(__xludf.DUMMYFUNCTION("GOOGLETRANSLATE(D486, ""en"", ""hi"")"),"A) मोहरे को f7 पर धकेलें")</f>
        <v>A) मोहरे को f7 पर धकेलें</v>
      </c>
    </row>
    <row r="487" ht="22.5" customHeight="1">
      <c r="A487" s="2">
        <v>486.0</v>
      </c>
      <c r="B487" s="3" t="s">
        <v>2282</v>
      </c>
      <c r="C487" s="3" t="s">
        <v>2283</v>
      </c>
      <c r="D487" s="3" t="s">
        <v>2184</v>
      </c>
      <c r="F487" s="5" t="str">
        <f>IFERROR(__xludf.DUMMYFUNCTION("GOOGLETRANSLATE(A487, ""en"", ""hi"")"),"486")</f>
        <v>486</v>
      </c>
      <c r="G487" s="5" t="str">
        <f>IFERROR(__xludf.DUMMYFUNCTION("GOOGLETRANSLATE(B487, ""en"", ""hi"")"),"सफ़ेद के पास a4 पर एक किश्ती है और काले के पास e4 पर एक रानी और d5 पर एक मोहरा है। सफ़ेद को क्या करना चाहिए?")</f>
        <v>सफ़ेद के पास a4 पर एक किश्ती है और काले के पास e4 पर एक रानी और d5 पर एक मोहरा है। सफ़ेद को क्या करना चाहिए?</v>
      </c>
      <c r="H487" s="5" t="str">
        <f>IFERROR(__xludf.DUMMYFUNCTION("GOOGLETRANSLATE(C487, ""en"", ""hi"")"),"A) मोहरे को d6 पर धकेलें, B) काले की रानी पर हमला करने के लिए किश्ती का उपयोग करें, C) किश्ती को a5 पर ले जाएं, D) किश्ती को अन्य मोहरों के साथ समन्वयित करें")</f>
        <v>A) मोहरे को d6 पर धकेलें, B) काले की रानी पर हमला करने के लिए किश्ती का उपयोग करें, C) किश्ती को a5 पर ले जाएं, D) किश्ती को अन्य मोहरों के साथ समन्वयित करें</v>
      </c>
      <c r="I487" s="5" t="str">
        <f>IFERROR(__xludf.DUMMYFUNCTION("GOOGLETRANSLATE(D487, ""en"", ""hi"")"),"A) मोहरे को d6 पर धकेलें")</f>
        <v>A) मोहरे को d6 पर धकेलें</v>
      </c>
    </row>
    <row r="488" ht="22.5" customHeight="1">
      <c r="A488" s="2">
        <v>487.0</v>
      </c>
      <c r="B488" s="3" t="s">
        <v>2284</v>
      </c>
      <c r="C488" s="3" t="s">
        <v>2285</v>
      </c>
      <c r="D488" s="3" t="s">
        <v>1961</v>
      </c>
      <c r="F488" s="5" t="str">
        <f>IFERROR(__xludf.DUMMYFUNCTION("GOOGLETRANSLATE(A488, ""en"", ""hi"")"),"487")</f>
        <v>487</v>
      </c>
      <c r="G488" s="5" t="str">
        <f>IFERROR(__xludf.DUMMYFUNCTION("GOOGLETRANSLATE(B488, ""en"", ""hi"")"),"काले के पास f3 पर एक बिशप है और सफ़ेद के पास f1 पर एक किश्ती और f5 पर एक प्यादा है। सफ़ेद को क्या करना चाहिए?")</f>
        <v>काले के पास f3 पर एक बिशप है और सफ़ेद के पास f1 पर एक किश्ती और f5 पर एक प्यादा है। सफ़ेद को क्या करना चाहिए?</v>
      </c>
      <c r="H488" s="5" t="str">
        <f>IFERROR(__xludf.DUMMYFUNCTION("GOOGLETRANSLATE(C488, ""en"", ""hi"")"),"A) मोहरे को f6 पर धकेलें, B) काले के बिशप पर हमला करने के लिए किश्ती का उपयोग करें, C) किश्ती को f2 पर ले जाएं, D) किश्ती को अन्य मोहरों के साथ समन्वयित करें")</f>
        <v>A) मोहरे को f6 पर धकेलें, B) काले के बिशप पर हमला करने के लिए किश्ती का उपयोग करें, C) किश्ती को f2 पर ले जाएं, D) किश्ती को अन्य मोहरों के साथ समन्वयित करें</v>
      </c>
      <c r="I488" s="5" t="str">
        <f>IFERROR(__xludf.DUMMYFUNCTION("GOOGLETRANSLATE(D488, ""en"", ""hi"")"),"A) मोहरे को f6 पर धकेलें")</f>
        <v>A) मोहरे को f6 पर धकेलें</v>
      </c>
    </row>
    <row r="489" ht="22.5" customHeight="1">
      <c r="A489" s="2">
        <v>488.0</v>
      </c>
      <c r="B489" s="3" t="s">
        <v>2286</v>
      </c>
      <c r="C489" s="3" t="s">
        <v>2287</v>
      </c>
      <c r="D489" s="3" t="s">
        <v>1941</v>
      </c>
      <c r="F489" s="5" t="str">
        <f>IFERROR(__xludf.DUMMYFUNCTION("GOOGLETRANSLATE(A489, ""en"", ""hi"")"),"488")</f>
        <v>488</v>
      </c>
      <c r="G489" s="5" t="str">
        <f>IFERROR(__xludf.DUMMYFUNCTION("GOOGLETRANSLATE(B489, ""en"", ""hi"")"),"सफ़ेद के पास e4 पर एक किश्ती है और काले के पास d6 पर एक घोड़ा और e5 पर एक मोहरा है। सफ़ेद को क्या करना चाहिए?")</f>
        <v>सफ़ेद के पास e4 पर एक किश्ती है और काले के पास d6 पर एक घोड़ा और e5 पर एक मोहरा है। सफ़ेद को क्या करना चाहिए?</v>
      </c>
      <c r="H489" s="5" t="str">
        <f>IFERROR(__xludf.DUMMYFUNCTION("GOOGLETRANSLATE(C489, ""en"", ""hi"")"),"A) मोहरे को e6 पर धकेलें, B) काले घोड़े पर हमला करने के लिए किश्ती का उपयोग करें, C) किश्ती को e5 पर ले जाएं, D) किश्ती को अन्य मोहरों के साथ समन्वयित करें")</f>
        <v>A) मोहरे को e6 पर धकेलें, B) काले घोड़े पर हमला करने के लिए किश्ती का उपयोग करें, C) किश्ती को e5 पर ले जाएं, D) किश्ती को अन्य मोहरों के साथ समन्वयित करें</v>
      </c>
      <c r="I489" s="5" t="str">
        <f>IFERROR(__xludf.DUMMYFUNCTION("GOOGLETRANSLATE(D489, ""en"", ""hi"")"),"A) मोहरे को e6 पर धकेलें")</f>
        <v>A) मोहरे को e6 पर धकेलें</v>
      </c>
    </row>
    <row r="490" ht="22.5" customHeight="1">
      <c r="A490" s="2">
        <v>489.0</v>
      </c>
      <c r="B490" s="3" t="s">
        <v>2288</v>
      </c>
      <c r="C490" s="3" t="s">
        <v>2289</v>
      </c>
      <c r="D490" s="3" t="s">
        <v>2184</v>
      </c>
      <c r="F490" s="5" t="str">
        <f>IFERROR(__xludf.DUMMYFUNCTION("GOOGLETRANSLATE(A490, ""en"", ""hi"")"),"489")</f>
        <v>489</v>
      </c>
      <c r="G490" s="5" t="str">
        <f>IFERROR(__xludf.DUMMYFUNCTION("GOOGLETRANSLATE(B490, ""en"", ""hi"")"),"काले के पास a6 पर एक किश्ती है और सफ़ेद के पास d6 पर एक रानी और d5 पर एक मोहरा है। सफ़ेद को क्या करना चाहिए?")</f>
        <v>काले के पास a6 पर एक किश्ती है और सफ़ेद के पास d6 पर एक रानी और d5 पर एक मोहरा है। सफ़ेद को क्या करना चाहिए?</v>
      </c>
      <c r="H490" s="5" t="str">
        <f>IFERROR(__xludf.DUMMYFUNCTION("GOOGLETRANSLATE(C490, ""en"", ""hi"")"),"A) मोहरे को d6 पर धकेलें, B) रानी का उपयोग काले के हाथी पर आक्रमण करने के लिए करें, C) रानी को d5 पर ले जाएं, D) रानी को अन्य मोहरों के साथ समन्वयित करें")</f>
        <v>A) मोहरे को d6 पर धकेलें, B) रानी का उपयोग काले के हाथी पर आक्रमण करने के लिए करें, C) रानी को d5 पर ले जाएं, D) रानी को अन्य मोहरों के साथ समन्वयित करें</v>
      </c>
      <c r="I490" s="5" t="str">
        <f>IFERROR(__xludf.DUMMYFUNCTION("GOOGLETRANSLATE(D490, ""en"", ""hi"")"),"A) मोहरे को d6 पर धकेलें")</f>
        <v>A) मोहरे को d6 पर धकेलें</v>
      </c>
    </row>
    <row r="491" ht="22.5" customHeight="1">
      <c r="A491" s="2">
        <v>490.0</v>
      </c>
      <c r="B491" s="3" t="s">
        <v>2290</v>
      </c>
      <c r="C491" s="3" t="s">
        <v>2291</v>
      </c>
      <c r="D491" s="3" t="s">
        <v>2184</v>
      </c>
      <c r="F491" s="5" t="str">
        <f>IFERROR(__xludf.DUMMYFUNCTION("GOOGLETRANSLATE(A491, ""en"", ""hi"")"),"490")</f>
        <v>490</v>
      </c>
      <c r="G491" s="5" t="str">
        <f>IFERROR(__xludf.DUMMYFUNCTION("GOOGLETRANSLATE(B491, ""en"", ""hi"")"),"सफ़ेद के पास e5 पर एक घोड़ा है, काले के पास e8 पर एक किश्ती और d5 पर एक मोहरा है। सफ़ेद को क्या करना चाहिए?")</f>
        <v>सफ़ेद के पास e5 पर एक घोड़ा है, काले के पास e8 पर एक किश्ती और d5 पर एक मोहरा है। सफ़ेद को क्या करना चाहिए?</v>
      </c>
      <c r="H491" s="5" t="str">
        <f>IFERROR(__xludf.DUMMYFUNCTION("GOOGLETRANSLATE(C491, ""en"", ""hi"")"),"A) मोहरे को d6 पर धकेलें, B) घोड़े का उपयोग काले के हाथी पर हमला करने के लिए करें, C) घोड़े को f3 पर ले जाएं, D) घोड़े को अन्य मोहरों के साथ समन्वयित करें")</f>
        <v>A) मोहरे को d6 पर धकेलें, B) घोड़े का उपयोग काले के हाथी पर हमला करने के लिए करें, C) घोड़े को f3 पर ले जाएं, D) घोड़े को अन्य मोहरों के साथ समन्वयित करें</v>
      </c>
      <c r="I491" s="5" t="str">
        <f>IFERROR(__xludf.DUMMYFUNCTION("GOOGLETRANSLATE(D491, ""en"", ""hi"")"),"A) मोहरे को d6 पर धकेलें")</f>
        <v>A) मोहरे को d6 पर धकेलें</v>
      </c>
    </row>
    <row r="492" ht="22.5" customHeight="1">
      <c r="A492" s="2">
        <v>491.0</v>
      </c>
      <c r="B492" s="3" t="s">
        <v>2292</v>
      </c>
      <c r="C492" s="3" t="s">
        <v>2293</v>
      </c>
      <c r="D492" s="3" t="s">
        <v>2122</v>
      </c>
      <c r="F492" s="5" t="str">
        <f>IFERROR(__xludf.DUMMYFUNCTION("GOOGLETRANSLATE(A492, ""en"", ""hi"")"),"491")</f>
        <v>491</v>
      </c>
      <c r="G492" s="5" t="str">
        <f>IFERROR(__xludf.DUMMYFUNCTION("GOOGLETRANSLATE(B492, ""en"", ""hi"")"),"काले के पास b6 पर एक रानी है और सफ़ेद के पास c7 पर एक किश्ती और b5 पर एक मोहरा है। सफ़ेद को क्या करना चाहिए?")</f>
        <v>काले के पास b6 पर एक रानी है और सफ़ेद के पास c7 पर एक किश्ती और b5 पर एक मोहरा है। सफ़ेद को क्या करना चाहिए?</v>
      </c>
      <c r="H492" s="5" t="str">
        <f>IFERROR(__xludf.DUMMYFUNCTION("GOOGLETRANSLATE(C492, ""en"", ""hi"")"),"A) मोहरे को b6 पर धकेलें, B) किश्ती को c8 पर ले जाएं, C) किश्ती का उपयोग करके काली की रानी पर हमला करें, D) किश्ती को अन्य मोहरों के साथ समन्वयित करें")</f>
        <v>A) मोहरे को b6 पर धकेलें, B) किश्ती को c8 पर ले जाएं, C) किश्ती का उपयोग करके काली की रानी पर हमला करें, D) किश्ती को अन्य मोहरों के साथ समन्वयित करें</v>
      </c>
      <c r="I492" s="5" t="str">
        <f>IFERROR(__xludf.DUMMYFUNCTION("GOOGLETRANSLATE(D492, ""en"", ""hi"")"),"A) मोहरे को b6 पर धकेलें")</f>
        <v>A) मोहरे को b6 पर धकेलें</v>
      </c>
    </row>
    <row r="493" ht="22.5" customHeight="1">
      <c r="A493" s="2">
        <v>492.0</v>
      </c>
      <c r="B493" s="3" t="s">
        <v>2294</v>
      </c>
      <c r="C493" s="3" t="s">
        <v>2295</v>
      </c>
      <c r="D493" s="3" t="s">
        <v>2045</v>
      </c>
      <c r="F493" s="5" t="str">
        <f>IFERROR(__xludf.DUMMYFUNCTION("GOOGLETRANSLATE(A493, ""en"", ""hi"")"),"492")</f>
        <v>492</v>
      </c>
      <c r="G493" s="5" t="str">
        <f>IFERROR(__xludf.DUMMYFUNCTION("GOOGLETRANSLATE(B493, ""en"", ""hi"")"),"सफ़ेद के पास a3 पर एक रानी है और काले के पास b7 पर एक किश्ती और a5 पर एक मोहरा है। सफ़ेद को क्या करना चाहिए?")</f>
        <v>सफ़ेद के पास a3 पर एक रानी है और काले के पास b7 पर एक किश्ती और a5 पर एक मोहरा है। सफ़ेद को क्या करना चाहिए?</v>
      </c>
      <c r="H493" s="5" t="str">
        <f>IFERROR(__xludf.DUMMYFUNCTION("GOOGLETRANSLATE(C493, ""en"", ""hi"")"),"A) मोहरे को a6 पर धकेलें, B) रानी का उपयोग करके काले के हाथी पर आक्रमण करें, C) रानी को a4 पर ले जाएं, D) रानी को अन्य मोहरों के साथ समन्वयित करें")</f>
        <v>A) मोहरे को a6 पर धकेलें, B) रानी का उपयोग करके काले के हाथी पर आक्रमण करें, C) रानी को a4 पर ले जाएं, D) रानी को अन्य मोहरों के साथ समन्वयित करें</v>
      </c>
      <c r="I493" s="5" t="str">
        <f>IFERROR(__xludf.DUMMYFUNCTION("GOOGLETRANSLATE(D493, ""en"", ""hi"")"),"A) मोहरे को a6 पर धकेलें")</f>
        <v>A) मोहरे को a6 पर धकेलें</v>
      </c>
    </row>
    <row r="494" ht="22.5" customHeight="1">
      <c r="A494" s="2">
        <v>493.0</v>
      </c>
      <c r="B494" s="3" t="s">
        <v>2296</v>
      </c>
      <c r="C494" s="3" t="s">
        <v>2297</v>
      </c>
      <c r="D494" s="3" t="s">
        <v>2228</v>
      </c>
      <c r="F494" s="5" t="str">
        <f>IFERROR(__xludf.DUMMYFUNCTION("GOOGLETRANSLATE(A494, ""en"", ""hi"")"),"493")</f>
        <v>493</v>
      </c>
      <c r="G494" s="5" t="str">
        <f>IFERROR(__xludf.DUMMYFUNCTION("GOOGLETRANSLATE(B494, ""en"", ""hi"")"),"काले के पास d5 पर एक किश्ती है और सफ़ेद के पास d1 पर एक रानी और d3 पर एक मोहरा है। सफ़ेद को क्या करना चाहिए?")</f>
        <v>काले के पास d5 पर एक किश्ती है और सफ़ेद के पास d1 पर एक रानी और d3 पर एक मोहरा है। सफ़ेद को क्या करना चाहिए?</v>
      </c>
      <c r="H494" s="5" t="str">
        <f>IFERROR(__xludf.DUMMYFUNCTION("GOOGLETRANSLATE(C494, ""en"", ""hi"")"),"A) मोहरे को d4 पर धकेलें, B) रानी का उपयोग करके काले के हाथी पर हमला करें, C) रानी को d2 पर ले जाएं, D) रानी को अन्य मोहरों के साथ समन्वयित करें")</f>
        <v>A) मोहरे को d4 पर धकेलें, B) रानी का उपयोग करके काले के हाथी पर हमला करें, C) रानी को d2 पर ले जाएं, D) रानी को अन्य मोहरों के साथ समन्वयित करें</v>
      </c>
      <c r="I494" s="5" t="str">
        <f>IFERROR(__xludf.DUMMYFUNCTION("GOOGLETRANSLATE(D494, ""en"", ""hi"")"),"A) मोहरे को d4 पर धकेलें")</f>
        <v>A) मोहरे को d4 पर धकेलें</v>
      </c>
    </row>
    <row r="495" ht="22.5" customHeight="1">
      <c r="A495" s="2">
        <v>494.0</v>
      </c>
      <c r="B495" s="3" t="s">
        <v>2298</v>
      </c>
      <c r="C495" s="3" t="s">
        <v>2299</v>
      </c>
      <c r="D495" s="3" t="s">
        <v>2225</v>
      </c>
      <c r="F495" s="5" t="str">
        <f>IFERROR(__xludf.DUMMYFUNCTION("GOOGLETRANSLATE(A495, ""en"", ""hi"")"),"494")</f>
        <v>494</v>
      </c>
      <c r="G495" s="5" t="str">
        <f>IFERROR(__xludf.DUMMYFUNCTION("GOOGLETRANSLATE(B495, ""en"", ""hi"")"),"सफ़ेद के पास h5 पर एक किश्ती है और काले के पास g6 पर एक बिशप और h6 पर एक प्यादा है। सफ़ेद को क्या करना चाहिए?")</f>
        <v>सफ़ेद के पास h5 पर एक किश्ती है और काले के पास g6 पर एक बिशप और h6 पर एक प्यादा है। सफ़ेद को क्या करना चाहिए?</v>
      </c>
      <c r="H495" s="5" t="str">
        <f>IFERROR(__xludf.DUMMYFUNCTION("GOOGLETRANSLATE(C495, ""en"", ""hi"")"),"A) मोहरे को h7 पर धकेलें, B) काले के बिशप पर हमला करने के लिए किश्ती का उपयोग करें, C) किश्ती को h6 पर ले जाएं, D) किश्ती को अन्य मोहरों के साथ समन्वयित करें")</f>
        <v>A) मोहरे को h7 पर धकेलें, B) काले के बिशप पर हमला करने के लिए किश्ती का उपयोग करें, C) किश्ती को h6 पर ले जाएं, D) किश्ती को अन्य मोहरों के साथ समन्वयित करें</v>
      </c>
      <c r="I495" s="5" t="str">
        <f>IFERROR(__xludf.DUMMYFUNCTION("GOOGLETRANSLATE(D495, ""en"", ""hi"")"),"A) मोहरे को h7 पर धकेलें")</f>
        <v>A) मोहरे को h7 पर धकेलें</v>
      </c>
    </row>
    <row r="496" ht="22.5" customHeight="1">
      <c r="A496" s="2">
        <v>495.0</v>
      </c>
      <c r="B496" s="3" t="s">
        <v>2300</v>
      </c>
      <c r="C496" s="3" t="s">
        <v>2301</v>
      </c>
      <c r="D496" s="3" t="s">
        <v>1849</v>
      </c>
      <c r="F496" s="5" t="str">
        <f>IFERROR(__xludf.DUMMYFUNCTION("GOOGLETRANSLATE(A496, ""en"", ""hi"")"),"495")</f>
        <v>495</v>
      </c>
      <c r="G496" s="5" t="str">
        <f>IFERROR(__xludf.DUMMYFUNCTION("GOOGLETRANSLATE(B496, ""en"", ""hi"")"),"काले के पास c8 पर एक रानी है और सफेद के पास a7 पर एक किश्ती और a6 पर एक मोहरा है। सफेद को क्या करना चाहिए?")</f>
        <v>काले के पास c8 पर एक रानी है और सफेद के पास a7 पर एक किश्ती और a6 पर एक मोहरा है। सफेद को क्या करना चाहिए?</v>
      </c>
      <c r="H496" s="5" t="str">
        <f>IFERROR(__xludf.DUMMYFUNCTION("GOOGLETRANSLATE(C496, ""en"", ""hi"")"),"A) मोहरे को a7 पर धकेलें, B) किश्ती को a8 पर ले जाएं, C) किश्ती का उपयोग करके काली की रानी पर हमला करें, D) किश्ती को अन्य मोहरों के साथ समन्वयित करें")</f>
        <v>A) मोहरे को a7 पर धकेलें, B) किश्ती को a8 पर ले जाएं, C) किश्ती का उपयोग करके काली की रानी पर हमला करें, D) किश्ती को अन्य मोहरों के साथ समन्वयित करें</v>
      </c>
      <c r="I496" s="5" t="str">
        <f>IFERROR(__xludf.DUMMYFUNCTION("GOOGLETRANSLATE(D496, ""en"", ""hi"")"),"A) मोहरे को a7 पर धकेलें")</f>
        <v>A) मोहरे को a7 पर धकेलें</v>
      </c>
    </row>
    <row r="497" ht="22.5" customHeight="1">
      <c r="A497" s="2">
        <v>496.0</v>
      </c>
      <c r="B497" s="3" t="s">
        <v>2302</v>
      </c>
      <c r="C497" s="3" t="s">
        <v>2303</v>
      </c>
      <c r="D497" s="3" t="s">
        <v>1734</v>
      </c>
      <c r="F497" s="5" t="str">
        <f>IFERROR(__xludf.DUMMYFUNCTION("GOOGLETRANSLATE(A497, ""en"", ""hi"")"),"496")</f>
        <v>496</v>
      </c>
      <c r="G497" s="5" t="str">
        <f>IFERROR(__xludf.DUMMYFUNCTION("GOOGLETRANSLATE(B497, ""en"", ""hi"")"),"सफ़ेद के पास e5 पर एक बिशप है, काले के पास e7 पर एक रानी और d6 पर एक मोहरा है। सफ़ेद को क्या करना चाहिए?")</f>
        <v>सफ़ेद के पास e5 पर एक बिशप है, काले के पास e7 पर एक रानी और d6 पर एक मोहरा है। सफ़ेद को क्या करना चाहिए?</v>
      </c>
      <c r="H497" s="5" t="str">
        <f>IFERROR(__xludf.DUMMYFUNCTION("GOOGLETRANSLATE(C497, ""en"", ""hi"")"),"A) मोहरे को d7 पर धकेलें, B) काले की रानी पर हमला करने के लिए बिशप का उपयोग करें, C) बिशप को f6 पर ले जाएं, D) बिशप को अन्य मोहरों के साथ समन्वयित करें")</f>
        <v>A) मोहरे को d7 पर धकेलें, B) काले की रानी पर हमला करने के लिए बिशप का उपयोग करें, C) बिशप को f6 पर ले जाएं, D) बिशप को अन्य मोहरों के साथ समन्वयित करें</v>
      </c>
      <c r="I497" s="5" t="str">
        <f>IFERROR(__xludf.DUMMYFUNCTION("GOOGLETRANSLATE(D497, ""en"", ""hi"")"),"A) मोहरे को d7 पर धकेलें")</f>
        <v>A) मोहरे को d7 पर धकेलें</v>
      </c>
    </row>
    <row r="498" ht="22.5" customHeight="1">
      <c r="A498" s="2">
        <v>497.0</v>
      </c>
      <c r="B498" s="3" t="s">
        <v>2304</v>
      </c>
      <c r="C498" s="3" t="s">
        <v>2305</v>
      </c>
      <c r="D498" s="3" t="s">
        <v>1961</v>
      </c>
      <c r="F498" s="5" t="str">
        <f>IFERROR(__xludf.DUMMYFUNCTION("GOOGLETRANSLATE(A498, ""en"", ""hi"")"),"497")</f>
        <v>497</v>
      </c>
      <c r="G498" s="5" t="str">
        <f>IFERROR(__xludf.DUMMYFUNCTION("GOOGLETRANSLATE(B498, ""en"", ""hi"")"),"काले के पास f6 पर एक किश्ती है और सफ़ेद के पास g5 पर एक रानी और f5 पर एक मोहरा है। सफ़ेद को क्या करना चाहिए?")</f>
        <v>काले के पास f6 पर एक किश्ती है और सफ़ेद के पास g5 पर एक रानी और f5 पर एक मोहरा है। सफ़ेद को क्या करना चाहिए?</v>
      </c>
      <c r="H498" s="5" t="str">
        <f>IFERROR(__xludf.DUMMYFUNCTION("GOOGLETRANSLATE(C498, ""en"", ""hi"")"),"A) मोहरे को f6 पर धकेलें, B) रानी का उपयोग करके काले के हाथी पर हमला करें, C) रानी को g4 पर ले जाएं, D) रानी को अन्य मोहरों के साथ समन्वयित करें")</f>
        <v>A) मोहरे को f6 पर धकेलें, B) रानी का उपयोग करके काले के हाथी पर हमला करें, C) रानी को g4 पर ले जाएं, D) रानी को अन्य मोहरों के साथ समन्वयित करें</v>
      </c>
      <c r="I498" s="5" t="str">
        <f>IFERROR(__xludf.DUMMYFUNCTION("GOOGLETRANSLATE(D498, ""en"", ""hi"")"),"A) मोहरे को f6 पर धकेलें")</f>
        <v>A) मोहरे को f6 पर धकेलें</v>
      </c>
    </row>
    <row r="499" ht="22.5" customHeight="1">
      <c r="A499" s="2">
        <v>498.0</v>
      </c>
      <c r="B499" s="3" t="s">
        <v>2306</v>
      </c>
      <c r="C499" s="3" t="s">
        <v>2307</v>
      </c>
      <c r="D499" s="3" t="s">
        <v>1941</v>
      </c>
      <c r="F499" s="5" t="str">
        <f>IFERROR(__xludf.DUMMYFUNCTION("GOOGLETRANSLATE(A499, ""en"", ""hi"")"),"498")</f>
        <v>498</v>
      </c>
      <c r="G499" s="5" t="str">
        <f>IFERROR(__xludf.DUMMYFUNCTION("GOOGLETRANSLATE(B499, ""en"", ""hi"")"),"सफ़ेद के पास d4 पर एक रानी है और काले के पास e8 पर एक किश्ती और e5 पर एक मोहरा है। सफ़ेद को क्या करना चाहिए?")</f>
        <v>सफ़ेद के पास d4 पर एक रानी है और काले के पास e8 पर एक किश्ती और e5 पर एक मोहरा है। सफ़ेद को क्या करना चाहिए?</v>
      </c>
      <c r="H499" s="5" t="str">
        <f>IFERROR(__xludf.DUMMYFUNCTION("GOOGLETRANSLATE(C499, ""en"", ""hi"")"),"A) मोहरे को e6 पर धकेलें, B) रानी का उपयोग करके काले के हाथी पर आक्रमण करें, C) रानी को e5 पर ले जाएं, D) रानी को अन्य मोहरों के साथ समन्वयित करें")</f>
        <v>A) मोहरे को e6 पर धकेलें, B) रानी का उपयोग करके काले के हाथी पर आक्रमण करें, C) रानी को e5 पर ले जाएं, D) रानी को अन्य मोहरों के साथ समन्वयित करें</v>
      </c>
      <c r="I499" s="5" t="str">
        <f>IFERROR(__xludf.DUMMYFUNCTION("GOOGLETRANSLATE(D499, ""en"", ""hi"")"),"A) मोहरे को e6 पर धकेलें")</f>
        <v>A) मोहरे को e6 पर धकेलें</v>
      </c>
    </row>
    <row r="500" ht="22.5" customHeight="1">
      <c r="A500" s="2">
        <v>499.0</v>
      </c>
      <c r="B500" s="3" t="s">
        <v>2308</v>
      </c>
      <c r="C500" s="3" t="s">
        <v>2309</v>
      </c>
      <c r="D500" s="3" t="s">
        <v>2181</v>
      </c>
      <c r="F500" s="5" t="str">
        <f>IFERROR(__xludf.DUMMYFUNCTION("GOOGLETRANSLATE(A500, ""en"", ""hi"")"),"499")</f>
        <v>499</v>
      </c>
      <c r="G500" s="5" t="str">
        <f>IFERROR(__xludf.DUMMYFUNCTION("GOOGLETRANSLATE(B500, ""en"", ""hi"")"),"काले के पास h5 पर एक बिशप है और सफ़ेद के पास f4 पर एक रानी और g5 पर एक मोहरा है। सफ़ेद को क्या करना चाहिए?")</f>
        <v>काले के पास h5 पर एक बिशप है और सफ़ेद के पास f4 पर एक रानी और g5 पर एक मोहरा है। सफ़ेद को क्या करना चाहिए?</v>
      </c>
      <c r="H500" s="5" t="str">
        <f>IFERROR(__xludf.DUMMYFUNCTION("GOOGLETRANSLATE(C500, ""en"", ""hi"")"),"A) मोहरे को g6 पर धकेलें, B) रानी का उपयोग काले के बिशप पर हमला करने के लिए करें, C) रानी को g4 पर ले जाएं, D) रानी को अन्य मोहरों के साथ समन्वयित करें")</f>
        <v>A) मोहरे को g6 पर धकेलें, B) रानी का उपयोग काले के बिशप पर हमला करने के लिए करें, C) रानी को g4 पर ले जाएं, D) रानी को अन्य मोहरों के साथ समन्वयित करें</v>
      </c>
      <c r="I500" s="5" t="str">
        <f>IFERROR(__xludf.DUMMYFUNCTION("GOOGLETRANSLATE(D500, ""en"", ""hi"")"),"A) मोहरे को g6 पर धकेलें")</f>
        <v>A) मोहरे को g6 पर धकेलें</v>
      </c>
    </row>
    <row r="501" ht="22.5" customHeight="1">
      <c r="A501" s="2">
        <v>500.0</v>
      </c>
      <c r="B501" s="3" t="s">
        <v>2256</v>
      </c>
      <c r="C501" s="3" t="s">
        <v>2257</v>
      </c>
      <c r="D501" s="3" t="s">
        <v>1981</v>
      </c>
      <c r="F501" s="5" t="str">
        <f>IFERROR(__xludf.DUMMYFUNCTION("GOOGLETRANSLATE(A501, ""en"", ""hi"")"),"500")</f>
        <v>500</v>
      </c>
      <c r="G501" s="5" t="str">
        <f>IFERROR(__xludf.DUMMYFUNCTION("GOOGLETRANSLATE(B501, ""en"", ""hi"")"),"सफ़ेद के पास f1 पर एक किश्ती है और काले के पास g8 पर एक रानी और f6 पर एक मोहरा है। सफ़ेद को क्या करना चाहिए?")</f>
        <v>सफ़ेद के पास f1 पर एक किश्ती है और काले के पास g8 पर एक रानी और f6 पर एक मोहरा है। सफ़ेद को क्या करना चाहिए?</v>
      </c>
      <c r="H501" s="5" t="str">
        <f>IFERROR(__xludf.DUMMYFUNCTION("GOOGLETRANSLATE(C501, ""en"", ""hi"")"),"A) मोहरे को f7 पर धकेलें, B) काले की रानी पर हमला करने के लिए किश्ती का उपयोग करें, C) किश्ती को f2 पर ले जाएं, D) किश्ती को अन्य मोहरों के साथ समन्वयित करें")</f>
        <v>A) मोहरे को f7 पर धकेलें, B) काले की रानी पर हमला करने के लिए किश्ती का उपयोग करें, C) किश्ती को f2 पर ले जाएं, D) किश्ती को अन्य मोहरों के साथ समन्वयित करें</v>
      </c>
      <c r="I501" s="5" t="str">
        <f>IFERROR(__xludf.DUMMYFUNCTION("GOOGLETRANSLATE(D501, ""en"", ""hi"")"),"A) मोहरे को f7 पर धकेलें")</f>
        <v>A) मोहरे को f7 पर धकेलें</v>
      </c>
    </row>
    <row r="502" ht="22.5" customHeight="1">
      <c r="A502" s="2">
        <v>501.0</v>
      </c>
      <c r="B502" s="3" t="s">
        <v>2310</v>
      </c>
      <c r="C502" s="3" t="s">
        <v>2311</v>
      </c>
      <c r="D502" s="3" t="s">
        <v>2122</v>
      </c>
      <c r="F502" s="5" t="str">
        <f>IFERROR(__xludf.DUMMYFUNCTION("GOOGLETRANSLATE(A502, ""en"", ""hi"")"),"501")</f>
        <v>501</v>
      </c>
      <c r="G502" s="5" t="str">
        <f>IFERROR(__xludf.DUMMYFUNCTION("GOOGLETRANSLATE(B502, ""en"", ""hi"")"),"काले के पास b7 पर एक किश्ती है और सफ़ेद के पास c6 पर एक रानी और b5 पर एक मोहरा है। सफ़ेद को क्या करना चाहिए?")</f>
        <v>काले के पास b7 पर एक किश्ती है और सफ़ेद के पास c6 पर एक रानी और b5 पर एक मोहरा है। सफ़ेद को क्या करना चाहिए?</v>
      </c>
      <c r="H502" s="5" t="str">
        <f>IFERROR(__xludf.DUMMYFUNCTION("GOOGLETRANSLATE(C502, ""en"", ""hi"")"),"A) मोहरे को b6 पर धकेलें, B) रानी को c7 पर ले जाएं, C) रानी का उपयोग काले के हाथी पर आक्रमण करने के लिए करें, D) रानी को अन्य मोहरों के साथ समन्वयित करें")</f>
        <v>A) मोहरे को b6 पर धकेलें, B) रानी को c7 पर ले जाएं, C) रानी का उपयोग काले के हाथी पर आक्रमण करने के लिए करें, D) रानी को अन्य मोहरों के साथ समन्वयित करें</v>
      </c>
      <c r="I502" s="5" t="str">
        <f>IFERROR(__xludf.DUMMYFUNCTION("GOOGLETRANSLATE(D502, ""en"", ""hi"")"),"A) मोहरे को b6 पर धकेलें")</f>
        <v>A) मोहरे को b6 पर धकेलें</v>
      </c>
    </row>
    <row r="503" ht="22.5" customHeight="1">
      <c r="A503" s="2">
        <v>502.0</v>
      </c>
      <c r="B503" s="3" t="s">
        <v>2312</v>
      </c>
      <c r="C503" s="3" t="s">
        <v>2313</v>
      </c>
      <c r="D503" s="3" t="s">
        <v>1948</v>
      </c>
      <c r="F503" s="5" t="str">
        <f>IFERROR(__xludf.DUMMYFUNCTION("GOOGLETRANSLATE(A503, ""en"", ""hi"")"),"502")</f>
        <v>502</v>
      </c>
      <c r="G503" s="5" t="str">
        <f>IFERROR(__xludf.DUMMYFUNCTION("GOOGLETRANSLATE(B503, ""en"", ""hi"")"),"सफ़ेद के पास e6 पर एक घोड़ा है और काले के पास g8 पर एक रानी और f7 पर एक मोहरा है। सफ़ेद को क्या करना चाहिए?")</f>
        <v>सफ़ेद के पास e6 पर एक घोड़ा है और काले के पास g8 पर एक रानी और f7 पर एक मोहरा है। सफ़ेद को क्या करना चाहिए?</v>
      </c>
      <c r="H503" s="5" t="str">
        <f>IFERROR(__xludf.DUMMYFUNCTION("GOOGLETRANSLATE(C503, ""en"", ""hi"")"),"A) पदोन्नति के लिए मोहरे को f8 पर धकेलें, B) काले की रानी पर हमला करने के लिए घोड़े का उपयोग करें, C) घोड़े को f8 पर ले जाएं, D) घोड़े को अन्य मोहरों के साथ समन्वयित करें")</f>
        <v>A) पदोन्नति के लिए मोहरे को f8 पर धकेलें, B) काले की रानी पर हमला करने के लिए घोड़े का उपयोग करें, C) घोड़े को f8 पर ले जाएं, D) घोड़े को अन्य मोहरों के साथ समन्वयित करें</v>
      </c>
      <c r="I503" s="5" t="str">
        <f>IFERROR(__xludf.DUMMYFUNCTION("GOOGLETRANSLATE(D503, ""en"", ""hi"")"),"A) पदोन्नति के लिए मोहरे को f8 पर धकेलें")</f>
        <v>A) पदोन्नति के लिए मोहरे को f8 पर धकेलें</v>
      </c>
    </row>
    <row r="504" ht="22.5" customHeight="1">
      <c r="A504" s="2">
        <v>503.0</v>
      </c>
      <c r="B504" s="3" t="s">
        <v>2314</v>
      </c>
      <c r="C504" s="3" t="s">
        <v>2315</v>
      </c>
      <c r="D504" s="3" t="s">
        <v>2184</v>
      </c>
      <c r="F504" s="5" t="str">
        <f>IFERROR(__xludf.DUMMYFUNCTION("GOOGLETRANSLATE(A504, ""en"", ""hi"")"),"503")</f>
        <v>503</v>
      </c>
      <c r="G504" s="5" t="str">
        <f>IFERROR(__xludf.DUMMYFUNCTION("GOOGLETRANSLATE(B504, ""en"", ""hi"")"),"काले के पास c8 पर एक रानी है और सफेद के पास d7 पर एक किश्ती और d5 पर एक मोहरा है। सफेद को क्या करना चाहिए?")</f>
        <v>काले के पास c8 पर एक रानी है और सफेद के पास d7 पर एक किश्ती और d5 पर एक मोहरा है। सफेद को क्या करना चाहिए?</v>
      </c>
      <c r="H504" s="5" t="str">
        <f>IFERROR(__xludf.DUMMYFUNCTION("GOOGLETRANSLATE(C504, ""en"", ""hi"")"),"A) मोहरे को d6 पर धकेलें, B) काले की रानी पर हमला करने के लिए किश्ती का उपयोग करें, C) किश्ती को d8 पर ले जाएं, D) किश्ती को अन्य मोहरों के साथ समन्वयित करें")</f>
        <v>A) मोहरे को d6 पर धकेलें, B) काले की रानी पर हमला करने के लिए किश्ती का उपयोग करें, C) किश्ती को d8 पर ले जाएं, D) किश्ती को अन्य मोहरों के साथ समन्वयित करें</v>
      </c>
      <c r="I504" s="5" t="str">
        <f>IFERROR(__xludf.DUMMYFUNCTION("GOOGLETRANSLATE(D504, ""en"", ""hi"")"),"A) मोहरे को d6 पर धकेलें")</f>
        <v>A) मोहरे को d6 पर धकेलें</v>
      </c>
    </row>
    <row r="505" ht="22.5" customHeight="1">
      <c r="A505" s="2">
        <v>504.0</v>
      </c>
      <c r="B505" s="3" t="s">
        <v>2316</v>
      </c>
      <c r="C505" s="3" t="s">
        <v>2317</v>
      </c>
      <c r="D505" s="3" t="s">
        <v>1981</v>
      </c>
      <c r="F505" s="5" t="str">
        <f>IFERROR(__xludf.DUMMYFUNCTION("GOOGLETRANSLATE(A505, ""en"", ""hi"")"),"504")</f>
        <v>504</v>
      </c>
      <c r="G505" s="5" t="str">
        <f>IFERROR(__xludf.DUMMYFUNCTION("GOOGLETRANSLATE(B505, ""en"", ""hi"")"),"सफ़ेद के पास e3 पर एक रानी है और काले के पास e8 पर एक किश्ती और f6 पर एक मोहरा है। सफ़ेद को क्या करना चाहिए?")</f>
        <v>सफ़ेद के पास e3 पर एक रानी है और काले के पास e8 पर एक किश्ती और f6 पर एक मोहरा है। सफ़ेद को क्या करना चाहिए?</v>
      </c>
      <c r="H505" s="5" t="str">
        <f>IFERROR(__xludf.DUMMYFUNCTION("GOOGLETRANSLATE(C505, ""en"", ""hi"")"),"A) मोहरे को f7 पर धकेलें, B) रानी का उपयोग करके काले के हाथी पर हमला करें, C) रानी को e4 पर ले जाएं, D) रानी को अन्य मोहरों के साथ समन्वयित करें")</f>
        <v>A) मोहरे को f7 पर धकेलें, B) रानी का उपयोग करके काले के हाथी पर हमला करें, C) रानी को e4 पर ले जाएं, D) रानी को अन्य मोहरों के साथ समन्वयित करें</v>
      </c>
      <c r="I505" s="5" t="str">
        <f>IFERROR(__xludf.DUMMYFUNCTION("GOOGLETRANSLATE(D505, ""en"", ""hi"")"),"A) मोहरे को f7 पर धकेलें")</f>
        <v>A) मोहरे को f7 पर धकेलें</v>
      </c>
    </row>
    <row r="506" ht="22.5" customHeight="1">
      <c r="A506" s="2">
        <v>505.0</v>
      </c>
      <c r="B506" s="3" t="s">
        <v>2318</v>
      </c>
      <c r="C506" s="3" t="s">
        <v>2319</v>
      </c>
      <c r="D506" s="3" t="s">
        <v>2225</v>
      </c>
      <c r="F506" s="5" t="str">
        <f>IFERROR(__xludf.DUMMYFUNCTION("GOOGLETRANSLATE(A506, ""en"", ""hi"")"),"505")</f>
        <v>505</v>
      </c>
      <c r="G506" s="5" t="str">
        <f>IFERROR(__xludf.DUMMYFUNCTION("GOOGLETRANSLATE(B506, ""en"", ""hi"")"),"काले के पास h5 पर एक बिशप है और सफ़ेद के पास h1 पर एक किश्ती और h6 पर एक प्यादा है। सफ़ेद को क्या करना चाहिए?")</f>
        <v>काले के पास h5 पर एक बिशप है और सफ़ेद के पास h1 पर एक किश्ती और h6 पर एक प्यादा है। सफ़ेद को क्या करना चाहिए?</v>
      </c>
      <c r="H506" s="5" t="str">
        <f>IFERROR(__xludf.DUMMYFUNCTION("GOOGLETRANSLATE(C506, ""en"", ""hi"")"),"A) मोहरे को h7 पर धकेलें, B) काले के बिशप पर हमला करने के लिए किश्ती का उपयोग करें, C) किश्ती को h2 पर ले जाएं, D) किश्ती को अन्य मोहरों के साथ समन्वयित करें")</f>
        <v>A) मोहरे को h7 पर धकेलें, B) काले के बिशप पर हमला करने के लिए किश्ती का उपयोग करें, C) किश्ती को h2 पर ले जाएं, D) किश्ती को अन्य मोहरों के साथ समन्वयित करें</v>
      </c>
      <c r="I506" s="5" t="str">
        <f>IFERROR(__xludf.DUMMYFUNCTION("GOOGLETRANSLATE(D506, ""en"", ""hi"")"),"A) मोहरे को h7 पर धकेलें")</f>
        <v>A) मोहरे को h7 पर धकेलें</v>
      </c>
    </row>
    <row r="507" ht="22.5" customHeight="1">
      <c r="A507" s="2">
        <v>506.0</v>
      </c>
      <c r="B507" s="3" t="s">
        <v>2320</v>
      </c>
      <c r="C507" s="3" t="s">
        <v>2321</v>
      </c>
      <c r="D507" s="3" t="s">
        <v>2184</v>
      </c>
      <c r="F507" s="5" t="str">
        <f>IFERROR(__xludf.DUMMYFUNCTION("GOOGLETRANSLATE(A507, ""en"", ""hi"")"),"506")</f>
        <v>506</v>
      </c>
      <c r="G507" s="5" t="str">
        <f>IFERROR(__xludf.DUMMYFUNCTION("GOOGLETRANSLATE(B507, ""en"", ""hi"")"),"सफ़ेद के पास d7 पर एक किश्ती है और काले के पास d6 पर एक रानी और d5 पर एक मोहरा है। सफ़ेद को क्या करना चाहिए?")</f>
        <v>सफ़ेद के पास d7 पर एक किश्ती है और काले के पास d6 पर एक रानी और d5 पर एक मोहरा है। सफ़ेद को क्या करना चाहिए?</v>
      </c>
      <c r="H507" s="5" t="str">
        <f>IFERROR(__xludf.DUMMYFUNCTION("GOOGLETRANSLATE(C507, ""en"", ""hi"")"),"A) मोहरे को d6 पर धकेलें, B) काले की रानी पर हमला करने के लिए किश्ती का उपयोग करें, C) किश्ती को d6 पर ले जाएं, D) किश्ती को अन्य मोहरों के साथ समन्वयित करें")</f>
        <v>A) मोहरे को d6 पर धकेलें, B) काले की रानी पर हमला करने के लिए किश्ती का उपयोग करें, C) किश्ती को d6 पर ले जाएं, D) किश्ती को अन्य मोहरों के साथ समन्वयित करें</v>
      </c>
      <c r="I507" s="5" t="str">
        <f>IFERROR(__xludf.DUMMYFUNCTION("GOOGLETRANSLATE(D507, ""en"", ""hi"")"),"A) मोहरे को d6 पर धकेलें")</f>
        <v>A) मोहरे को d6 पर धकेलें</v>
      </c>
    </row>
    <row r="508" ht="22.5" customHeight="1">
      <c r="A508" s="2">
        <v>507.0</v>
      </c>
      <c r="B508" s="3" t="s">
        <v>2322</v>
      </c>
      <c r="C508" s="3" t="s">
        <v>2323</v>
      </c>
      <c r="D508" s="3" t="s">
        <v>1961</v>
      </c>
      <c r="F508" s="5" t="str">
        <f>IFERROR(__xludf.DUMMYFUNCTION("GOOGLETRANSLATE(A508, ""en"", ""hi"")"),"507")</f>
        <v>507</v>
      </c>
      <c r="G508" s="5" t="str">
        <f>IFERROR(__xludf.DUMMYFUNCTION("GOOGLETRANSLATE(B508, ""en"", ""hi"")"),"काले के पास f4 पर एक घोड़ा है और सफ़ेद के पास d1 पर एक रानी और f5 पर एक मोहरा है। सफ़ेद को क्या करना चाहिए?")</f>
        <v>काले के पास f4 पर एक घोड़ा है और सफ़ेद के पास d1 पर एक रानी और f5 पर एक मोहरा है। सफ़ेद को क्या करना चाहिए?</v>
      </c>
      <c r="H508" s="5" t="str">
        <f>IFERROR(__xludf.DUMMYFUNCTION("GOOGLETRANSLATE(C508, ""en"", ""hi"")"),"A) मोहरे को f6 पर धकेलें, B) रानी का उपयोग काले घोड़े पर हमला करने के लिए करें, C) रानी को e1 पर ले जाएं, D) रानी को अन्य मोहरों के साथ समन्वयित करें")</f>
        <v>A) मोहरे को f6 पर धकेलें, B) रानी का उपयोग काले घोड़े पर हमला करने के लिए करें, C) रानी को e1 पर ले जाएं, D) रानी को अन्य मोहरों के साथ समन्वयित करें</v>
      </c>
      <c r="I508" s="5" t="str">
        <f>IFERROR(__xludf.DUMMYFUNCTION("GOOGLETRANSLATE(D508, ""en"", ""hi"")"),"A) मोहरे को f6 पर धकेलें")</f>
        <v>A) मोहरे को f6 पर धकेलें</v>
      </c>
    </row>
    <row r="509" ht="22.5" customHeight="1">
      <c r="A509" s="2">
        <v>508.0</v>
      </c>
      <c r="B509" s="3" t="s">
        <v>2324</v>
      </c>
      <c r="C509" s="3" t="s">
        <v>2325</v>
      </c>
      <c r="D509" s="3" t="s">
        <v>1981</v>
      </c>
      <c r="F509" s="5" t="str">
        <f>IFERROR(__xludf.DUMMYFUNCTION("GOOGLETRANSLATE(A509, ""en"", ""hi"")"),"508")</f>
        <v>508</v>
      </c>
      <c r="G509" s="5" t="str">
        <f>IFERROR(__xludf.DUMMYFUNCTION("GOOGLETRANSLATE(B509, ""en"", ""hi"")"),"सफ़ेद के पास f3 पर एक बिशप है, काले के पास f8 पर एक किश्ती और f6 पर एक प्यादा है। सफ़ेद को क्या करना चाहिए?")</f>
        <v>सफ़ेद के पास f3 पर एक बिशप है, काले के पास f8 पर एक किश्ती और f6 पर एक प्यादा है। सफ़ेद को क्या करना चाहिए?</v>
      </c>
      <c r="H509" s="5" t="str">
        <f>IFERROR(__xludf.DUMMYFUNCTION("GOOGLETRANSLATE(C509, ""en"", ""hi"")"),"A) मोहरे को f7 पर धकेलें, B) काले के हाथी पर हमला करने के लिए बिशप का उपयोग करें, C) बिशप को e4 पर ले जाएं, D) बिशप को अन्य मोहरों के साथ समन्वयित करें")</f>
        <v>A) मोहरे को f7 पर धकेलें, B) काले के हाथी पर हमला करने के लिए बिशप का उपयोग करें, C) बिशप को e4 पर ले जाएं, D) बिशप को अन्य मोहरों के साथ समन्वयित करें</v>
      </c>
      <c r="I509" s="5" t="str">
        <f>IFERROR(__xludf.DUMMYFUNCTION("GOOGLETRANSLATE(D509, ""en"", ""hi"")"),"A) मोहरे को f7 पर धकेलें")</f>
        <v>A) मोहरे को f7 पर धकेलें</v>
      </c>
    </row>
    <row r="510" ht="22.5" customHeight="1">
      <c r="A510" s="2">
        <v>509.0</v>
      </c>
      <c r="B510" s="3" t="s">
        <v>2326</v>
      </c>
      <c r="C510" s="3" t="s">
        <v>2327</v>
      </c>
      <c r="D510" s="3" t="s">
        <v>1978</v>
      </c>
      <c r="F510" s="5" t="str">
        <f>IFERROR(__xludf.DUMMYFUNCTION("GOOGLETRANSLATE(A510, ""en"", ""hi"")"),"509")</f>
        <v>509</v>
      </c>
      <c r="G510" s="5" t="str">
        <f>IFERROR(__xludf.DUMMYFUNCTION("GOOGLETRANSLATE(B510, ""en"", ""hi"")"),"काले के पास d8 पर एक रानी है और सफेद के पास a8 पर एक किश्ती और a7 पर एक मोहरा है। सफेद को क्या करना चाहिए?")</f>
        <v>काले के पास d8 पर एक रानी है और सफेद के पास a8 पर एक किश्ती और a7 पर एक मोहरा है। सफेद को क्या करना चाहिए?</v>
      </c>
      <c r="H510" s="5" t="str">
        <f>IFERROR(__xludf.DUMMYFUNCTION("GOOGLETRANSLATE(C510, ""en"", ""hi"")"),"A) पदोन्नति के लिए मोहरे को a8 पर धकेलें, B) काले की रानी पर हमला करने के लिए किश्ती का उपयोग करें, C) किश्ती को a7 पर ले जाएं, D) किश्ती को अन्य मोहरों के साथ समन्वयित करें")</f>
        <v>A) पदोन्नति के लिए मोहरे को a8 पर धकेलें, B) काले की रानी पर हमला करने के लिए किश्ती का उपयोग करें, C) किश्ती को a7 पर ले जाएं, D) किश्ती को अन्य मोहरों के साथ समन्वयित करें</v>
      </c>
      <c r="I510" s="5" t="str">
        <f>IFERROR(__xludf.DUMMYFUNCTION("GOOGLETRANSLATE(D510, ""en"", ""hi"")"),"A) पदोन्नति के लिए मोहरे को a8 पर धकेलें")</f>
        <v>A) पदोन्नति के लिए मोहरे को a8 पर धकेलें</v>
      </c>
    </row>
    <row r="511" ht="22.5" customHeight="1">
      <c r="A511" s="2">
        <v>510.0</v>
      </c>
      <c r="B511" s="3" t="s">
        <v>2328</v>
      </c>
      <c r="C511" s="3" t="s">
        <v>2329</v>
      </c>
      <c r="D511" s="3" t="s">
        <v>1961</v>
      </c>
      <c r="F511" s="5" t="str">
        <f>IFERROR(__xludf.DUMMYFUNCTION("GOOGLETRANSLATE(A511, ""en"", ""hi"")"),"510")</f>
        <v>510</v>
      </c>
      <c r="G511" s="5" t="str">
        <f>IFERROR(__xludf.DUMMYFUNCTION("GOOGLETRANSLATE(B511, ""en"", ""hi"")"),"सफ़ेद के पास f4 पर एक किश्ती है और काले के पास g6 पर एक घोड़ा और f5 पर एक मोहरा है। सफ़ेद को क्या करना चाहिए?")</f>
        <v>सफ़ेद के पास f4 पर एक किश्ती है और काले के पास g6 पर एक घोड़ा और f5 पर एक मोहरा है। सफ़ेद को क्या करना चाहिए?</v>
      </c>
      <c r="H511" s="5" t="str">
        <f>IFERROR(__xludf.DUMMYFUNCTION("GOOGLETRANSLATE(C511, ""en"", ""hi"")"),"A) मोहरे को f6 पर धकेलें, B) काले घोड़े पर हमला करने के लिए किश्ती का उपयोग करें, C) किश्ती को f5 पर ले जाएं, D) किश्ती को अन्य मोहरों के साथ समन्वयित करें")</f>
        <v>A) मोहरे को f6 पर धकेलें, B) काले घोड़े पर हमला करने के लिए किश्ती का उपयोग करें, C) किश्ती को f5 पर ले जाएं, D) किश्ती को अन्य मोहरों के साथ समन्वयित करें</v>
      </c>
      <c r="I511" s="5" t="str">
        <f>IFERROR(__xludf.DUMMYFUNCTION("GOOGLETRANSLATE(D511, ""en"", ""hi"")"),"A) मोहरे को f6 पर धकेलें")</f>
        <v>A) मोहरे को f6 पर धकेलें</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37.38"/>
    <col customWidth="1" min="7" max="9" width="37.63"/>
  </cols>
  <sheetData>
    <row r="1" ht="22.5" customHeight="1">
      <c r="A1" s="6" t="s">
        <v>0</v>
      </c>
      <c r="B1" s="6" t="s">
        <v>1</v>
      </c>
      <c r="C1" s="6" t="s">
        <v>2</v>
      </c>
      <c r="D1" s="6" t="s">
        <v>3</v>
      </c>
      <c r="F1" s="4" t="s">
        <v>4</v>
      </c>
      <c r="G1" s="4" t="s">
        <v>5</v>
      </c>
      <c r="H1" s="4" t="s">
        <v>6</v>
      </c>
      <c r="I1" s="4" t="s">
        <v>7</v>
      </c>
    </row>
    <row r="2" ht="22.5" customHeight="1">
      <c r="A2" s="7">
        <v>1.0</v>
      </c>
      <c r="B2" s="7" t="s">
        <v>2330</v>
      </c>
      <c r="C2" s="7" t="s">
        <v>2331</v>
      </c>
      <c r="D2" s="7" t="s">
        <v>2332</v>
      </c>
      <c r="F2" s="5" t="str">
        <f>IFERROR(__xludf.DUMMYFUNCTION("GOOGLETRANSLATE(A2, ""en"", ""hi"")"),"1")</f>
        <v>1</v>
      </c>
      <c r="G2" s="5" t="str">
        <f>IFERROR(__xludf.DUMMYFUNCTION("GOOGLETRANSLATE(B2, ""en"", ""hi"")"),"एक पेशेवर खो-खो मैच में, टीम A और टीम B फाइनल में खेल रही हैं। टीम A ने 5 मिनट के भीतर सभी डिफेंडरों को भेदकर 9 अंक अर्जित किए हैं। यदि टीम B अपनी पीछा करने की बारी में 9 से अधिक अंक नहीं बना पाती है, तो परिणाम क्या होगा?")</f>
        <v>एक पेशेवर खो-खो मैच में, टीम A और टीम B फाइनल में खेल रही हैं। टीम A ने 5 मिनट के भीतर सभी डिफेंडरों को भेदकर 9 अंक अर्जित किए हैं। यदि टीम B अपनी पीछा करने की बारी में 9 से अधिक अंक नहीं बना पाती है, तो परिणाम क्या होगा?</v>
      </c>
      <c r="H2" s="5" t="str">
        <f>IFERROR(__xludf.DUMMYFUNCTION("GOOGLETRANSLATE(C2, ""en"", ""hi"")"),"A) टीम A मैच जीत जाती है, B) टीम B मैच जीत जाती है, C) मैच ड्रॉ पर समाप्त होता है, D) टीम B अगले राउंड में भी मैच बराबरी पर रह सकती है")</f>
        <v>A) टीम A मैच जीत जाती है, B) टीम B मैच जीत जाती है, C) मैच ड्रॉ पर समाप्त होता है, D) टीम B अगले राउंड में भी मैच बराबरी पर रह सकती है</v>
      </c>
      <c r="I2" s="5" t="str">
        <f>IFERROR(__xludf.DUMMYFUNCTION("GOOGLETRANSLATE(D2, ""en"", ""hi"")"),"A) टीम A मैच जीतती है")</f>
        <v>A) टीम A मैच जीतती है</v>
      </c>
    </row>
    <row r="3" ht="22.5" customHeight="1">
      <c r="A3" s="7">
        <v>2.0</v>
      </c>
      <c r="B3" s="7" t="s">
        <v>2333</v>
      </c>
      <c r="C3" s="7" t="s">
        <v>2334</v>
      </c>
      <c r="D3" s="7" t="s">
        <v>2335</v>
      </c>
      <c r="F3" s="5" t="str">
        <f>IFERROR(__xludf.DUMMYFUNCTION("GOOGLETRANSLATE(A3, ""en"", ""hi"")"),"2")</f>
        <v>2</v>
      </c>
      <c r="G3" s="5" t="str">
        <f>IFERROR(__xludf.DUMMYFUNCTION("GOOGLETRANSLATE(B3, ""en"", ""hi"")"),"पीछा कर रही टीम का एक खो-खो खिलाड़ी लगातार तीन डिफेंडरों को सफलतापूर्वक चकमा देता है, लेकिन चौथे डिफेंडर को टैग करने की कोशिश में आउट हो जाता है। खिलाड़ी ने कौन सी रणनीतिक गलती की होगी?")</f>
        <v>पीछा कर रही टीम का एक खो-खो खिलाड़ी लगातार तीन डिफेंडरों को सफलतापूर्वक चकमा देता है, लेकिन चौथे डिफेंडर को टैग करने की कोशिश में आउट हो जाता है। खिलाड़ी ने कौन सी रणनीतिक गलती की होगी?</v>
      </c>
      <c r="H3" s="5" t="str">
        <f>IFERROR(__xludf.DUMMYFUNCTION("GOOGLETRANSLATE(C3, ""en"", ""hi"")"),"A) सहनशक्ति की कमी, B) गलत रनिंग एंगल, C) प्रतिद्वंद्वी की गति का गलत आकलन, D) मैदान के बारे में जागरूकता की कमी")</f>
        <v>A) सहनशक्ति की कमी, B) गलत रनिंग एंगल, C) प्रतिद्वंद्वी की गति का गलत आकलन, D) मैदान के बारे में जागरूकता की कमी</v>
      </c>
      <c r="I3" s="5" t="str">
        <f>IFERROR(__xludf.DUMMYFUNCTION("GOOGLETRANSLATE(D3, ""en"", ""hi"")"),"C) प्रतिद्वंद्वी की गति का गलत आकलन")</f>
        <v>C) प्रतिद्वंद्वी की गति का गलत आकलन</v>
      </c>
    </row>
    <row r="4" ht="22.5" customHeight="1">
      <c r="A4" s="7">
        <v>3.0</v>
      </c>
      <c r="B4" s="7" t="s">
        <v>2336</v>
      </c>
      <c r="C4" s="7" t="s">
        <v>2337</v>
      </c>
      <c r="D4" s="7" t="s">
        <v>2338</v>
      </c>
      <c r="F4" s="5" t="str">
        <f>IFERROR(__xludf.DUMMYFUNCTION("GOOGLETRANSLATE(A4, ""en"", ""hi"")"),"3")</f>
        <v>3</v>
      </c>
      <c r="G4" s="5" t="str">
        <f>IFERROR(__xludf.DUMMYFUNCTION("GOOGLETRANSLATE(B4, ""en"", ""hi"")"),"खो-खो मैच के दौरान, रेफरी टीम बी के डिफेंडर के जानबूझकर सीमा से बाहर जाने पर फ़ाउल का आदेश देता है। इस फ़ाउल का टीम बी पर क्या असर होगा?")</f>
        <v>खो-खो मैच के दौरान, रेफरी टीम बी के डिफेंडर के जानबूझकर सीमा से बाहर जाने पर फ़ाउल का आदेश देता है। इस फ़ाउल का टीम बी पर क्या असर होगा?</v>
      </c>
      <c r="H4" s="5" t="str">
        <f>IFERROR(__xludf.DUMMYFUNCTION("GOOGLETRANSLATE(C4, ""en"", ""hi"")"),"A) टीम B 1 अंक खोती है, B) टीम A को एक अंक मिलता है, C) डिफेंडर को राउंड से अयोग्य घोषित कर दिया जाता है, D) टीम B को एक मुफ्त चेज़िंग टर्न मिलता है")</f>
        <v>A) टीम B 1 अंक खोती है, B) टीम A को एक अंक मिलता है, C) डिफेंडर को राउंड से अयोग्य घोषित कर दिया जाता है, D) टीम B को एक मुफ्त चेज़िंग टर्न मिलता है</v>
      </c>
      <c r="I4" s="5" t="str">
        <f>IFERROR(__xludf.DUMMYFUNCTION("GOOGLETRANSLATE(D4, ""en"", ""hi"")"),"C) डिफेंडर को राउंड से अयोग्य घोषित कर दिया जाता है")</f>
        <v>C) डिफेंडर को राउंड से अयोग्य घोषित कर दिया जाता है</v>
      </c>
    </row>
    <row r="5" ht="22.5" customHeight="1">
      <c r="A5" s="7">
        <v>4.0</v>
      </c>
      <c r="B5" s="7" t="s">
        <v>2339</v>
      </c>
      <c r="C5" s="7" t="s">
        <v>2340</v>
      </c>
      <c r="D5" s="7" t="s">
        <v>2341</v>
      </c>
      <c r="F5" s="5" t="str">
        <f>IFERROR(__xludf.DUMMYFUNCTION("GOOGLETRANSLATE(A5, ""en"", ""hi"")"),"4")</f>
        <v>4</v>
      </c>
      <c r="G5" s="5" t="str">
        <f>IFERROR(__xludf.DUMMYFUNCTION("GOOGLETRANSLATE(B5, ""en"", ""hi"")"),"यदि टीम ए का कोई खिलाड़ी केंद्रीय लेन से बाहर निकलते समय डिफेंडर को टैग कर देता है, तो रेफरी क्या निर्णय लेगा?")</f>
        <v>यदि टीम ए का कोई खिलाड़ी केंद्रीय लेन से बाहर निकलते समय डिफेंडर को टैग कर देता है, तो रेफरी क्या निर्णय लेगा?</v>
      </c>
      <c r="H5" s="5" t="str">
        <f>IFERROR(__xludf.DUMMYFUNCTION("GOOGLETRANSLATE(C5, ""en"", ""hi"")"),"A) डिफेंडर सुरक्षित रहता है, B) पीछा करने वाला खिलाड़ी एक अंक अर्जित करता है, C) डिफेंडर आउट हो जाता है, D) पीछा करने वाले खिलाड़ी को दंडित किया जाता है")</f>
        <v>A) डिफेंडर सुरक्षित रहता है, B) पीछा करने वाला खिलाड़ी एक अंक अर्जित करता है, C) डिफेंडर आउट हो जाता है, D) पीछा करने वाले खिलाड़ी को दंडित किया जाता है</v>
      </c>
      <c r="I5" s="5" t="str">
        <f>IFERROR(__xludf.DUMMYFUNCTION("GOOGLETRANSLATE(D5, ""en"", ""hi"")"),"A) रक्षक सुरक्षित रहता है")</f>
        <v>A) रक्षक सुरक्षित रहता है</v>
      </c>
    </row>
    <row r="6" ht="22.5" customHeight="1">
      <c r="A6" s="7">
        <v>5.0</v>
      </c>
      <c r="B6" s="7" t="s">
        <v>2342</v>
      </c>
      <c r="C6" s="7" t="s">
        <v>2343</v>
      </c>
      <c r="D6" s="7" t="s">
        <v>2344</v>
      </c>
      <c r="F6" s="5" t="str">
        <f>IFERROR(__xludf.DUMMYFUNCTION("GOOGLETRANSLATE(A6, ""en"", ""hi"")"),"5")</f>
        <v>5</v>
      </c>
      <c r="G6" s="5" t="str">
        <f>IFERROR(__xludf.DUMMYFUNCTION("GOOGLETRANSLATE(B6, ""en"", ""hi"")"),"खो-खो मैच में, टीम A अपने चेज़िंग टर्न में 12 अंक अर्जित करती है। यदि प्रत्येक टैग किए गए डिफेंडर को 1 अंक मिलता है, तो उन्होंने कितने खिलाड़ियों को सफलतापूर्वक टैग किया?")</f>
        <v>खो-खो मैच में, टीम A अपने चेज़िंग टर्न में 12 अंक अर्जित करती है। यदि प्रत्येक टैग किए गए डिफेंडर को 1 अंक मिलता है, तो उन्होंने कितने खिलाड़ियों को सफलतापूर्वक टैग किया?</v>
      </c>
      <c r="H6" s="5" t="str">
        <f>IFERROR(__xludf.DUMMYFUNCTION("GOOGLETRANSLATE(C6, ""en"", ""hi"")"),"A) 8 खिलाड़ी, B) 12 खिलाड़ी, C) 10 खिलाड़ी, D) 9 खिलाड़ी")</f>
        <v>A) 8 खिलाड़ी, B) 12 खिलाड़ी, C) 10 खिलाड़ी, D) 9 खिलाड़ी</v>
      </c>
      <c r="I6" s="5" t="str">
        <f>IFERROR(__xludf.DUMMYFUNCTION("GOOGLETRANSLATE(D6, ""en"", ""hi"")"),"बी) 12 खिलाड़ी")</f>
        <v>बी) 12 खिलाड़ी</v>
      </c>
    </row>
    <row r="7" ht="22.5" customHeight="1">
      <c r="A7" s="7">
        <v>6.0</v>
      </c>
      <c r="B7" s="7" t="s">
        <v>2345</v>
      </c>
      <c r="C7" s="7" t="s">
        <v>2346</v>
      </c>
      <c r="D7" s="7" t="s">
        <v>2347</v>
      </c>
      <c r="F7" s="5" t="str">
        <f>IFERROR(__xludf.DUMMYFUNCTION("GOOGLETRANSLATE(A7, ""en"", ""hi"")"),"6")</f>
        <v>6</v>
      </c>
      <c r="G7" s="5" t="str">
        <f>IFERROR(__xludf.DUMMYFUNCTION("GOOGLETRANSLATE(B7, ""en"", ""hi"")"),"खो-खो खेल के दौरान एक डिफेंडर 3 मिनट तक टैग होने के सभी प्रयासों को सफलतापूर्वक चकमा देता है। इस रणनीति को क्या कहते हैं?")</f>
        <v>खो-खो खेल के दौरान एक डिफेंडर 3 मिनट तक टैग होने के सभी प्रयासों को सफलतापूर्वक चकमा देता है। इस रणनीति को क्या कहते हैं?</v>
      </c>
      <c r="H7" s="5" t="str">
        <f>IFERROR(__xludf.DUMMYFUNCTION("GOOGLETRANSLATE(C7, ""en"", ""hi"")"),"A) आक्रामक खेल, B) रक्षात्मक खेल, C) काउंटर-डॉजिंग, D) साइड-स्टेप डॉजिंग")</f>
        <v>A) आक्रामक खेल, B) रक्षात्मक खेल, C) काउंटर-डॉजिंग, D) साइड-स्टेप डॉजिंग</v>
      </c>
      <c r="I7" s="5" t="str">
        <f>IFERROR(__xludf.DUMMYFUNCTION("GOOGLETRANSLATE(D7, ""en"", ""hi"")"),"बी) रक्षात्मक खेल")</f>
        <v>बी) रक्षात्मक खेल</v>
      </c>
    </row>
    <row r="8" ht="22.5" customHeight="1">
      <c r="A8" s="7">
        <v>7.0</v>
      </c>
      <c r="B8" s="7" t="s">
        <v>2348</v>
      </c>
      <c r="C8" s="7" t="s">
        <v>2349</v>
      </c>
      <c r="D8" s="7" t="s">
        <v>2350</v>
      </c>
      <c r="F8" s="5" t="str">
        <f>IFERROR(__xludf.DUMMYFUNCTION("GOOGLETRANSLATE(A8, ""en"", ""hi"")"),"7")</f>
        <v>7</v>
      </c>
      <c r="G8" s="5" t="str">
        <f>IFERROR(__xludf.DUMMYFUNCTION("GOOGLETRANSLATE(B8, ""en"", ""hi"")"),"यदि टीम ए का डिफेंडर बिना टैग किए 5 मिनट तक खेल क्षेत्र में रह पाता है, तो बचाव करने वाली टीम कितने अंक अर्जित करेगी?")</f>
        <v>यदि टीम ए का डिफेंडर बिना टैग किए 5 मिनट तक खेल क्षेत्र में रह पाता है, तो बचाव करने वाली टीम कितने अंक अर्जित करेगी?</v>
      </c>
      <c r="H8" s="5" t="str">
        <f>IFERROR(__xludf.DUMMYFUNCTION("GOOGLETRANSLATE(C8, ""en"", ""hi"")"),"A) 5 अंक, B) 3 अंक, C) 1 अंक, D) कोई अंक नहीं")</f>
        <v>A) 5 अंक, B) 3 अंक, C) 1 अंक, D) कोई अंक नहीं</v>
      </c>
      <c r="I8" s="5" t="str">
        <f>IFERROR(__xludf.DUMMYFUNCTION("GOOGLETRANSLATE(D8, ""en"", ""hi"")"),"D) कोई अंक नहीं")</f>
        <v>D) कोई अंक नहीं</v>
      </c>
    </row>
    <row r="9" ht="22.5" customHeight="1">
      <c r="A9" s="7">
        <v>8.0</v>
      </c>
      <c r="B9" s="7" t="s">
        <v>2351</v>
      </c>
      <c r="C9" s="7" t="s">
        <v>2352</v>
      </c>
      <c r="D9" s="7" t="s">
        <v>2353</v>
      </c>
      <c r="F9" s="5" t="str">
        <f>IFERROR(__xludf.DUMMYFUNCTION("GOOGLETRANSLATE(A9, ""en"", ""hi"")"),"8")</f>
        <v>8</v>
      </c>
      <c r="G9" s="5" t="str">
        <f>IFERROR(__xludf.DUMMYFUNCTION("GOOGLETRANSLATE(B9, ""en"", ""hi"")"),"खो-खो में प्रभावी ढंग से पीछा करते समय ऊर्जा की हानि को न्यूनतम करने के लिए एक पीछा करने वाले खिलाड़ी को किस बात पर ध्यान केंद्रित करना चाहिए?")</f>
        <v>खो-खो में प्रभावी ढंग से पीछा करते समय ऊर्जा की हानि को न्यूनतम करने के लिए एक पीछा करने वाले खिलाड़ी को किस बात पर ध्यान केंद्रित करना चाहिए?</v>
      </c>
      <c r="H9" s="5" t="str">
        <f>IFERROR(__xludf.DUMMYFUNCTION("GOOGLETRANSLATE(C9, ""en"", ""hi"")"),"A) केवल गति, B) उचित कोण और समय, C) खिलाड़ियों के ऊपर से कूदना, D) लगातार दौड़ना")</f>
        <v>A) केवल गति, B) उचित कोण और समय, C) खिलाड़ियों के ऊपर से कूदना, D) लगातार दौड़ना</v>
      </c>
      <c r="I9" s="5" t="str">
        <f>IFERROR(__xludf.DUMMYFUNCTION("GOOGLETRANSLATE(D9, ""en"", ""hi"")"),"बी) उचित कोण और समय")</f>
        <v>बी) उचित कोण और समय</v>
      </c>
    </row>
    <row r="10" ht="22.5" customHeight="1">
      <c r="A10" s="7">
        <v>9.0</v>
      </c>
      <c r="B10" s="7" t="s">
        <v>2354</v>
      </c>
      <c r="C10" s="7" t="s">
        <v>2355</v>
      </c>
      <c r="D10" s="7" t="s">
        <v>2356</v>
      </c>
      <c r="F10" s="5" t="str">
        <f>IFERROR(__xludf.DUMMYFUNCTION("GOOGLETRANSLATE(A10, ""en"", ""hi"")"),"9")</f>
        <v>9</v>
      </c>
      <c r="G10" s="5" t="str">
        <f>IFERROR(__xludf.DUMMYFUNCTION("GOOGLETRANSLATE(B10, ""en"", ""hi"")"),"टीम A का एक खो-खो खिलाड़ी समय समाप्त होने से ठीक पहले टीम B के आखिरी डिफेंडर को टैग कर देता है। स्कोर पर इसका क्या प्रभाव पड़ेगा?")</f>
        <v>टीम A का एक खो-खो खिलाड़ी समय समाप्त होने से ठीक पहले टीम B के आखिरी डिफेंडर को टैग कर देता है। स्कोर पर इसका क्या प्रभाव पड़ेगा?</v>
      </c>
      <c r="H10" s="5" t="str">
        <f>IFERROR(__xludf.DUMMYFUNCTION("GOOGLETRANSLATE(C10, ""en"", ""hi"")"),"A) टीम A को 2 अंक प्राप्त हुए, B) टीम A को 1 अंक प्राप्त हुआ, C) टीम B को दंडित किया गया, D) समय समाप्त होने के बाद से कोई प्रभाव नहीं पड़ा")</f>
        <v>A) टीम A को 2 अंक प्राप्त हुए, B) टीम A को 1 अंक प्राप्त हुआ, C) टीम B को दंडित किया गया, D) समय समाप्त होने के बाद से कोई प्रभाव नहीं पड़ा</v>
      </c>
      <c r="I10" s="5" t="str">
        <f>IFERROR(__xludf.DUMMYFUNCTION("GOOGLETRANSLATE(D10, ""en"", ""hi"")"),"B) टीम A को 1 अंक प्राप्त होता है")</f>
        <v>B) टीम A को 1 अंक प्राप्त होता है</v>
      </c>
    </row>
    <row r="11" ht="22.5" customHeight="1">
      <c r="A11" s="7">
        <v>10.0</v>
      </c>
      <c r="B11" s="7" t="s">
        <v>2357</v>
      </c>
      <c r="C11" s="7" t="s">
        <v>2358</v>
      </c>
      <c r="D11" s="7" t="s">
        <v>2359</v>
      </c>
      <c r="F11" s="5" t="str">
        <f>IFERROR(__xludf.DUMMYFUNCTION("GOOGLETRANSLATE(A11, ""en"", ""hi"")"),"10")</f>
        <v>10</v>
      </c>
      <c r="G11" s="5" t="str">
        <f>IFERROR(__xludf.DUMMYFUNCTION("GOOGLETRANSLATE(B11, ""en"", ""hi"")"),"खो-खो मैच के दौरान जब कई खिलाड़ी आस-पास हों तो कौन सी रक्षात्मक रणनीति सबसे प्रभावी होती है?")</f>
        <v>खो-खो मैच के दौरान जब कई खिलाड़ी आस-पास हों तो कौन सी रक्षात्मक रणनीति सबसे प्रभावी होती है?</v>
      </c>
      <c r="H11" s="5" t="str">
        <f>IFERROR(__xludf.DUMMYFUNCTION("GOOGLETRANSLATE(C11, ""en"", ""hi"")"),"A) सीधी रेखा में तेजी से दौड़ना, B) टेढ़े-मेढ़े रास्ते से चकमा देना, C) स्थिर खड़े रहना, D) मध्य लेन से गुजरना")</f>
        <v>A) सीधी रेखा में तेजी से दौड़ना, B) टेढ़े-मेढ़े रास्ते से चकमा देना, C) स्थिर खड़े रहना, D) मध्य लेन से गुजरना</v>
      </c>
      <c r="I11" s="5" t="str">
        <f>IFERROR(__xludf.DUMMYFUNCTION("GOOGLETRANSLATE(D11, ""en"", ""hi"")"),"बी) ज़िगज़ैग चकमा देना")</f>
        <v>बी) ज़िगज़ैग चकमा देना</v>
      </c>
    </row>
    <row r="12" ht="22.5" customHeight="1">
      <c r="A12" s="7">
        <v>11.0</v>
      </c>
      <c r="B12" s="7" t="s">
        <v>2360</v>
      </c>
      <c r="C12" s="7" t="s">
        <v>2361</v>
      </c>
      <c r="D12" s="7" t="s">
        <v>2362</v>
      </c>
      <c r="F12" s="5" t="str">
        <f>IFERROR(__xludf.DUMMYFUNCTION("GOOGLETRANSLATE(A12, ""en"", ""hi"")"),"11")</f>
        <v>11</v>
      </c>
      <c r="G12" s="5" t="str">
        <f>IFERROR(__xludf.DUMMYFUNCTION("GOOGLETRANSLATE(B12, ""en"", ""hi"")"),"एक टूर्नामेंट के फ़ाइनल में, टीम A के डिफेंडर ने लगातार 3 राउंड तक टैग होने से सफलतापूर्वक बचाव किया। खेल रणनीति के संदर्भ में टीम A के लिए संभावित परिणाम क्या है?")</f>
        <v>एक टूर्नामेंट के फ़ाइनल में, टीम A के डिफेंडर ने लगातार 3 राउंड तक टैग होने से सफलतापूर्वक बचाव किया। खेल रणनीति के संदर्भ में टीम A के लिए संभावित परिणाम क्या है?</v>
      </c>
      <c r="H12" s="5" t="str">
        <f>IFERROR(__xludf.DUMMYFUNCTION("GOOGLETRANSLATE(C12, ""en"", ""hi"")"),"ए) वे अतिरिक्त अंक अर्जित करते हैं, बी) वे डिफेंडर बदल सकते हैं, सी) वे पीछा करने वाली टीम की ऊर्जा बर्बाद करते हैं, डी) उन्हें संलग्न न होने के लिए दंडित किया जाता है")</f>
        <v>ए) वे अतिरिक्त अंक अर्जित करते हैं, बी) वे डिफेंडर बदल सकते हैं, सी) वे पीछा करने वाली टीम की ऊर्जा बर्बाद करते हैं, डी) उन्हें संलग्न न होने के लिए दंडित किया जाता है</v>
      </c>
      <c r="I12" s="5" t="str">
        <f>IFERROR(__xludf.DUMMYFUNCTION("GOOGLETRANSLATE(D12, ""en"", ""hi"")"),"C) वे पीछा करने वाली टीम की ऊर्जा बर्बाद करते हैं")</f>
        <v>C) वे पीछा करने वाली टीम की ऊर्जा बर्बाद करते हैं</v>
      </c>
    </row>
    <row r="13" ht="22.5" customHeight="1">
      <c r="A13" s="7">
        <v>12.0</v>
      </c>
      <c r="B13" s="7" t="s">
        <v>2363</v>
      </c>
      <c r="C13" s="7" t="s">
        <v>2364</v>
      </c>
      <c r="D13" s="7" t="s">
        <v>2365</v>
      </c>
      <c r="F13" s="5" t="str">
        <f>IFERROR(__xludf.DUMMYFUNCTION("GOOGLETRANSLATE(A13, ""en"", ""hi"")"),"12")</f>
        <v>12</v>
      </c>
      <c r="G13" s="5" t="str">
        <f>IFERROR(__xludf.DUMMYFUNCTION("GOOGLETRANSLATE(B13, ""en"", ""hi"")"),"खो-खो में खेल के दौरान 'खो देने' का क्या महत्व है?")</f>
        <v>खो-खो में खेल के दौरान 'खो देने' का क्या महत्व है?</v>
      </c>
      <c r="H13" s="5" t="str">
        <f>IFERROR(__xludf.DUMMYFUNCTION("GOOGLETRANSLATE(C13, ""en"", ""hi"")"),"A) यह बेहतर बचाव में मदद करता है, B) यह रक्षकों को आराम करने से रोकता है, C) यह पीछा करने की भूमिका दूसरे खिलाड़ी को सौंप देता है, D) यह विरोधियों को भ्रमित करता है")</f>
        <v>A) यह बेहतर बचाव में मदद करता है, B) यह रक्षकों को आराम करने से रोकता है, C) यह पीछा करने की भूमिका दूसरे खिलाड़ी को सौंप देता है, D) यह विरोधियों को भ्रमित करता है</v>
      </c>
      <c r="I13" s="5" t="str">
        <f>IFERROR(__xludf.DUMMYFUNCTION("GOOGLETRANSLATE(D13, ""en"", ""hi"")"),"C) यह पीछा करने की भूमिका दूसरे खिलाड़ी को स्थानांतरित कर देता है")</f>
        <v>C) यह पीछा करने की भूमिका दूसरे खिलाड़ी को स्थानांतरित कर देता है</v>
      </c>
    </row>
    <row r="14" ht="22.5" customHeight="1">
      <c r="A14" s="7">
        <v>13.0</v>
      </c>
      <c r="B14" s="7" t="s">
        <v>2366</v>
      </c>
      <c r="C14" s="7" t="s">
        <v>2367</v>
      </c>
      <c r="D14" s="7" t="s">
        <v>167</v>
      </c>
      <c r="F14" s="5" t="str">
        <f>IFERROR(__xludf.DUMMYFUNCTION("GOOGLETRANSLATE(A14, ""en"", ""hi"")"),"13")</f>
        <v>13</v>
      </c>
      <c r="G14" s="5" t="str">
        <f>IFERROR(__xludf.DUMMYFUNCTION("GOOGLETRANSLATE(B14, ""en"", ""hi"")"),"यदि मैच के दौरान टीम बी का कोई डिफेंडर खो-खो मैदान की सीमा रेखा से बाहर चला जाए तो क्या होगा?")</f>
        <v>यदि मैच के दौरान टीम बी का कोई डिफेंडर खो-खो मैदान की सीमा रेखा से बाहर चला जाए तो क्या होगा?</v>
      </c>
      <c r="H14" s="5" t="str">
        <f>IFERROR(__xludf.DUMMYFUNCTION("GOOGLETRANSLATE(C14, ""en"", ""hi"")"),"A) डिफेंडर आउट हो जाता है, B) डिफेंडर को फ्री पास मिलता है, C) डिफेंडर को मैदान में पुनः प्रवेश करना पड़ता है, D) पीछा करने वाली टीम को एक अतिरिक्त अंक मिलता है")</f>
        <v>A) डिफेंडर आउट हो जाता है, B) डिफेंडर को फ्री पास मिलता है, C) डिफेंडर को मैदान में पुनः प्रवेश करना पड़ता है, D) पीछा करने वाली टीम को एक अतिरिक्त अंक मिलता है</v>
      </c>
      <c r="I14" s="5" t="str">
        <f>IFERROR(__xludf.DUMMYFUNCTION("GOOGLETRANSLATE(D14, ""en"", ""hi"")"),"A) डिफेंडर आउट हो गया है")</f>
        <v>A) डिफेंडर आउट हो गया है</v>
      </c>
    </row>
    <row r="15" ht="22.5" customHeight="1">
      <c r="A15" s="7">
        <v>14.0</v>
      </c>
      <c r="B15" s="7" t="s">
        <v>2368</v>
      </c>
      <c r="C15" s="7" t="s">
        <v>2369</v>
      </c>
      <c r="D15" s="7" t="s">
        <v>2370</v>
      </c>
      <c r="F15" s="5" t="str">
        <f>IFERROR(__xludf.DUMMYFUNCTION("GOOGLETRANSLATE(A15, ""en"", ""hi"")"),"14")</f>
        <v>14</v>
      </c>
      <c r="G15" s="5" t="str">
        <f>IFERROR(__xludf.DUMMYFUNCTION("GOOGLETRANSLATE(B15, ""en"", ""hi"")"),"टीम B के पास 2 अंकों की बढ़त है, और टीम A को मैच जीतने के लिए अगले राउंड में कम से कम 3 अंक बनाने होंगे। टीम A को अपने चेज़िंग राउंड में क्या करना होगा?")</f>
        <v>टीम B के पास 2 अंकों की बढ़त है, और टीम A को मैच जीतने के लिए अगले राउंड में कम से कम 3 अंक बनाने होंगे। टीम A को अपने चेज़िंग राउंड में क्या करना होगा?</v>
      </c>
      <c r="H15" s="5" t="str">
        <f>IFERROR(__xludf.DUMMYFUNCTION("GOOGLETRANSLATE(C15, ""en"", ""hi"")"),"A) 1 डिफेंडर को टैग करें, B) 2 डिफेंडर को टैग करें, C) 3 डिफेंडर को टैग करें, D) 5 मिनट तक बचाव करें")</f>
        <v>A) 1 डिफेंडर को टैग करें, B) 2 डिफेंडर को टैग करें, C) 3 डिफेंडर को टैग करें, D) 5 मिनट तक बचाव करें</v>
      </c>
      <c r="I15" s="5" t="str">
        <f>IFERROR(__xludf.DUMMYFUNCTION("GOOGLETRANSLATE(D15, ""en"", ""hi"")"),"C) टैग 3 डिफेंडर")</f>
        <v>C) टैग 3 डिफेंडर</v>
      </c>
    </row>
    <row r="16" ht="22.5" customHeight="1">
      <c r="A16" s="7">
        <v>15.0</v>
      </c>
      <c r="B16" s="7" t="s">
        <v>2371</v>
      </c>
      <c r="C16" s="7" t="s">
        <v>2372</v>
      </c>
      <c r="D16" s="7" t="s">
        <v>2373</v>
      </c>
      <c r="F16" s="5" t="str">
        <f>IFERROR(__xludf.DUMMYFUNCTION("GOOGLETRANSLATE(A16, ""en"", ""hi"")"),"15")</f>
        <v>15</v>
      </c>
      <c r="G16" s="5" t="str">
        <f>IFERROR(__xludf.DUMMYFUNCTION("GOOGLETRANSLATE(B16, ""en"", ""hi"")"),"खो-खो टूर्नामेंट में, यदि किसी डिफेंडर को 'खो' प्राप्त करने के बाद चेज़र द्वारा टैग किया जाता है, लेकिन डिफेंडर पहले से ही रनिंग लेन से बाहर था, तो सही नियम क्या है?")</f>
        <v>खो-खो टूर्नामेंट में, यदि किसी डिफेंडर को 'खो' प्राप्त करने के बाद चेज़र द्वारा टैग किया जाता है, लेकिन डिफेंडर पहले से ही रनिंग लेन से बाहर था, तो सही नियम क्या है?</v>
      </c>
      <c r="H16" s="5" t="str">
        <f>IFERROR(__xludf.DUMMYFUNCTION("GOOGLETRANSLATE(C16, ""en"", ""hi"")"),"A) डिफेंडर सुरक्षित है, B) डिफेंडर बाहर है, C) चेज़र अयोग्य है, D) डिफेंडर को पेनल्टी मिलती है")</f>
        <v>A) डिफेंडर सुरक्षित है, B) डिफेंडर बाहर है, C) चेज़र अयोग्य है, D) डिफेंडर को पेनल्टी मिलती है</v>
      </c>
      <c r="I16" s="5" t="str">
        <f>IFERROR(__xludf.DUMMYFUNCTION("GOOGLETRANSLATE(D16, ""en"", ""hi"")"),"B) डिफेंडर बाहर है")</f>
        <v>B) डिफेंडर बाहर है</v>
      </c>
    </row>
    <row r="17" ht="22.5" customHeight="1">
      <c r="A17" s="7">
        <v>16.0</v>
      </c>
      <c r="B17" s="7" t="s">
        <v>2374</v>
      </c>
      <c r="C17" s="7" t="s">
        <v>2375</v>
      </c>
      <c r="D17" s="7" t="s">
        <v>2376</v>
      </c>
      <c r="F17" s="5" t="str">
        <f>IFERROR(__xludf.DUMMYFUNCTION("GOOGLETRANSLATE(A17, ""en"", ""hi"")"),"16")</f>
        <v>16</v>
      </c>
      <c r="G17" s="5" t="str">
        <f>IFERROR(__xludf.DUMMYFUNCTION("GOOGLETRANSLATE(B17, ""en"", ""hi"")"),"एक खो-खो खिलाड़ी बिना टैग किए 4 मिनट तक सफलतापूर्वक चकमा देता है। इससे उनकी टीम की रणनीति पर क्या असर पड़ता है?")</f>
        <v>एक खो-खो खिलाड़ी बिना टैग किए 4 मिनट तक सफलतापूर्वक चकमा देता है। इससे उनकी टीम की रणनीति पर क्या असर पड़ता है?</v>
      </c>
      <c r="H17" s="5" t="str">
        <f>IFERROR(__xludf.DUMMYFUNCTION("GOOGLETRANSLATE(C17, ""en"", ""hi"")"),"A) टीम के लिए अतिरिक्त अंक अर्जित करता है, B) पीछा करने वाली टीम को थका देता है, C) संलग्न न होने के कारण अंक खो देता है, D) टाइमआउट के लिए बाध्य करता है")</f>
        <v>A) टीम के लिए अतिरिक्त अंक अर्जित करता है, B) पीछा करने वाली टीम को थका देता है, C) संलग्न न होने के कारण अंक खो देता है, D) टाइमआउट के लिए बाध्य करता है</v>
      </c>
      <c r="I17" s="5" t="str">
        <f>IFERROR(__xludf.DUMMYFUNCTION("GOOGLETRANSLATE(D17, ""en"", ""hi"")"),"B) पीछा करने वाली टीम को थका देता है")</f>
        <v>B) पीछा करने वाली टीम को थका देता है</v>
      </c>
    </row>
    <row r="18" ht="22.5" customHeight="1">
      <c r="A18" s="7">
        <v>17.0</v>
      </c>
      <c r="B18" s="7" t="s">
        <v>2377</v>
      </c>
      <c r="C18" s="7" t="s">
        <v>2378</v>
      </c>
      <c r="D18" s="7" t="s">
        <v>2379</v>
      </c>
      <c r="F18" s="5" t="str">
        <f>IFERROR(__xludf.DUMMYFUNCTION("GOOGLETRANSLATE(A18, ""en"", ""hi"")"),"17")</f>
        <v>17</v>
      </c>
      <c r="G18" s="5" t="str">
        <f>IFERROR(__xludf.DUMMYFUNCTION("GOOGLETRANSLATE(B18, ""en"", ""hi"")"),"खो-खो में आसानी से टैग होने से बचने के लिए डिफेंडर को क्या नहीं करना चाहिए?")</f>
        <v>खो-खो में आसानी से टैग होने से बचने के लिए डिफेंडर को क्या नहीं करना चाहिए?</v>
      </c>
      <c r="H18" s="5" t="str">
        <f>IFERROR(__xludf.DUMMYFUNCTION("GOOGLETRANSLATE(C18, ""en"", ""hi"")"),"A) गोलाकार दौड़ना, B) तेजी से दिशा बदलना, C) बार-बार रुकना, D) सीधी रेखा में दौड़ना")</f>
        <v>A) गोलाकार दौड़ना, B) तेजी से दिशा बदलना, C) बार-बार रुकना, D) सीधी रेखा में दौड़ना</v>
      </c>
      <c r="I18" s="5" t="str">
        <f>IFERROR(__xludf.DUMMYFUNCTION("GOOGLETRANSLATE(D18, ""en"", ""hi"")"),"D) सीधी रेखा में दौड़ना")</f>
        <v>D) सीधी रेखा में दौड़ना</v>
      </c>
    </row>
    <row r="19" ht="22.5" customHeight="1">
      <c r="A19" s="7">
        <v>18.0</v>
      </c>
      <c r="B19" s="7" t="s">
        <v>2380</v>
      </c>
      <c r="C19" s="7" t="s">
        <v>2381</v>
      </c>
      <c r="D19" s="7" t="s">
        <v>148</v>
      </c>
      <c r="F19" s="5" t="str">
        <f>IFERROR(__xludf.DUMMYFUNCTION("GOOGLETRANSLATE(A19, ""en"", ""hi"")"),"18")</f>
        <v>18</v>
      </c>
      <c r="G19" s="5" t="str">
        <f>IFERROR(__xludf.DUMMYFUNCTION("GOOGLETRANSLATE(B19, ""en"", ""hi"")"),"खो-खो खेल के दौरान, पीछा कर रहा एक खिलाड़ी, डिफेंडर के सेंट्रल लेन पार करने से ठीक पहले उसे टैग कर देता है। रेफरी क्या फैसला लेगा?")</f>
        <v>खो-खो खेल के दौरान, पीछा कर रहा एक खिलाड़ी, डिफेंडर के सेंट्रल लेन पार करने से ठीक पहले उसे टैग कर देता है। रेफरी क्या फैसला लेगा?</v>
      </c>
      <c r="H19" s="5" t="str">
        <f>IFERROR(__xludf.DUMMYFUNCTION("GOOGLETRANSLATE(C19, ""en"", ""hi"")"),"A) डिफेंडर सुरक्षित रहता है, B) डिफेंडर आउट हो जाता है, C) चेज़र को एक अंक मिलता है, D) चेज़र को देर से टैग करने के लिए दंडित किया जाता है")</f>
        <v>A) डिफेंडर सुरक्षित रहता है, B) डिफेंडर आउट हो जाता है, C) चेज़र को एक अंक मिलता है, D) चेज़र को देर से टैग करने के लिए दंडित किया जाता है</v>
      </c>
      <c r="I19" s="5" t="str">
        <f>IFERROR(__xludf.DUMMYFUNCTION("GOOGLETRANSLATE(D19, ""en"", ""hi"")"),"B) डिफेंडर आउट हो गया है")</f>
        <v>B) डिफेंडर आउट हो गया है</v>
      </c>
    </row>
    <row r="20" ht="22.5" customHeight="1">
      <c r="A20" s="7">
        <v>19.0</v>
      </c>
      <c r="B20" s="7" t="s">
        <v>2382</v>
      </c>
      <c r="C20" s="7" t="s">
        <v>2383</v>
      </c>
      <c r="D20" s="7" t="s">
        <v>2384</v>
      </c>
      <c r="F20" s="5" t="str">
        <f>IFERROR(__xludf.DUMMYFUNCTION("GOOGLETRANSLATE(A20, ""en"", ""hi"")"),"19")</f>
        <v>19</v>
      </c>
      <c r="G20" s="5" t="str">
        <f>IFERROR(__xludf.DUMMYFUNCTION("GOOGLETRANSLATE(B20, ""en"", ""hi"")"),"खो-खो में निम्नलिखित में से किसे फाउल माना जाता है?")</f>
        <v>खो-खो में निम्नलिखित में से किसे फाउल माना जाता है?</v>
      </c>
      <c r="H20" s="5" t="str">
        <f>IFERROR(__xludf.DUMMYFUNCTION("GOOGLETRANSLATE(C20, ""en"", ""hi"")"),"A) बाउंड्री के बाहर किसी खिलाड़ी को टैग करना, B) निर्धारित समय के भीतर 'खो' न देना, C) सेंट्रल लेन के समानांतर दौड़ना, D) डिफेंडरों का सेंट्रल लेन से दौड़ना")</f>
        <v>A) बाउंड्री के बाहर किसी खिलाड़ी को टैग करना, B) निर्धारित समय के भीतर 'खो' न देना, C) सेंट्रल लेन के समानांतर दौड़ना, D) डिफेंडरों का सेंट्रल लेन से दौड़ना</v>
      </c>
      <c r="I20" s="5" t="str">
        <f>IFERROR(__xludf.DUMMYFUNCTION("GOOGLETRANSLATE(D20, ""en"", ""hi"")"),"B) आवश्यक समय के भीतर 'खो' न देना")</f>
        <v>B) आवश्यक समय के भीतर 'खो' न देना</v>
      </c>
    </row>
    <row r="21" ht="22.5" customHeight="1">
      <c r="A21" s="7">
        <v>20.0</v>
      </c>
      <c r="B21" s="7" t="s">
        <v>2385</v>
      </c>
      <c r="C21" s="7" t="s">
        <v>2386</v>
      </c>
      <c r="D21" s="7" t="s">
        <v>2387</v>
      </c>
      <c r="F21" s="5" t="str">
        <f>IFERROR(__xludf.DUMMYFUNCTION("GOOGLETRANSLATE(A21, ""en"", ""hi"")"),"20")</f>
        <v>20</v>
      </c>
      <c r="G21" s="5" t="str">
        <f>IFERROR(__xludf.DUMMYFUNCTION("GOOGLETRANSLATE(B21, ""en"", ""hi"")"),"यदि खो-खो में पीछा करने वाली टीम किसी राउंड में किसी भी डिफेंडर को टैग करने में विफल रहती है, तो क्या होगा?")</f>
        <v>यदि खो-खो में पीछा करने वाली टीम किसी राउंड में किसी भी डिफेंडर को टैग करने में विफल रहती है, तो क्या होगा?</v>
      </c>
      <c r="H21" s="5" t="str">
        <f>IFERROR(__xludf.DUMMYFUNCTION("GOOGLETRANSLATE(C21, ""en"", ""hi"")"),"A) वे मैच हार जाते हैं, B) उन्हें एक अंक मिलता है, C) बचाव करने वाली टीम को बढ़त मिलती है, D) पीछा करने वाली टीम को एक और राउंड मिलता है")</f>
        <v>A) वे मैच हार जाते हैं, B) उन्हें एक अंक मिलता है, C) बचाव करने वाली टीम को बढ़त मिलती है, D) पीछा करने वाली टीम को एक और राउंड मिलता है</v>
      </c>
      <c r="I21" s="5" t="str">
        <f>IFERROR(__xludf.DUMMYFUNCTION("GOOGLETRANSLATE(D21, ""en"", ""hi"")"),"C) बचाव करने वाली टीम को लाभ मिलता है")</f>
        <v>C) बचाव करने वाली टीम को लाभ मिलता है</v>
      </c>
    </row>
    <row r="22" ht="22.5" customHeight="1">
      <c r="A22" s="7">
        <v>21.0</v>
      </c>
      <c r="B22" s="7" t="s">
        <v>2388</v>
      </c>
      <c r="C22" s="7" t="s">
        <v>2389</v>
      </c>
      <c r="D22" s="7" t="s">
        <v>2390</v>
      </c>
      <c r="F22" s="5" t="str">
        <f>IFERROR(__xludf.DUMMYFUNCTION("GOOGLETRANSLATE(A22, ""en"", ""hi"")"),"21")</f>
        <v>21</v>
      </c>
      <c r="G22" s="5" t="str">
        <f>IFERROR(__xludf.DUMMYFUNCTION("GOOGLETRANSLATE(B22, ""en"", ""hi"")"),"खो-खो मैच के दौरान, टीम B का डिफेंडर बिना दिशा बदले काफी देर तक सेंट्रल लेन के समानांतर दौड़ रहा है। डिफेंडर को क्या नुकसान हो सकता है?")</f>
        <v>खो-खो मैच के दौरान, टीम B का डिफेंडर बिना दिशा बदले काफी देर तक सेंट्रल लेन के समानांतर दौड़ रहा है। डिफेंडर को क्या नुकसान हो सकता है?</v>
      </c>
      <c r="H22" s="5" t="str">
        <f>IFERROR(__xludf.DUMMYFUNCTION("GOOGLETRANSLATE(C22, ""en"", ""hi"")"),"A) पीछा करने वाली टीम की सहनशक्ति कम हो जाएगी, B) पीछा करने वाली टीम डिफेंडर की गतिविधि का आसानी से अनुमान लगा सकती है, C) डिफेंडर को एक अतिरिक्त अंक मिलता है, D) डिफेंडर ब्रेक ले सकता है")</f>
        <v>A) पीछा करने वाली टीम की सहनशक्ति कम हो जाएगी, B) पीछा करने वाली टीम डिफेंडर की गतिविधि का आसानी से अनुमान लगा सकती है, C) डिफेंडर को एक अतिरिक्त अंक मिलता है, D) डिफेंडर ब्रेक ले सकता है</v>
      </c>
      <c r="I22" s="5" t="str">
        <f>IFERROR(__xludf.DUMMYFUNCTION("GOOGLETRANSLATE(D22, ""en"", ""hi"")"),"बी) पीछा करने वाली टीम डिफेंडर की गतिविधि का आसानी से अनुमान लगा सकती है")</f>
        <v>बी) पीछा करने वाली टीम डिफेंडर की गतिविधि का आसानी से अनुमान लगा सकती है</v>
      </c>
    </row>
    <row r="23" ht="22.5" customHeight="1">
      <c r="A23" s="7">
        <v>22.0</v>
      </c>
      <c r="B23" s="7" t="s">
        <v>2391</v>
      </c>
      <c r="C23" s="7" t="s">
        <v>2392</v>
      </c>
      <c r="D23" s="7" t="s">
        <v>2393</v>
      </c>
      <c r="F23" s="5" t="str">
        <f>IFERROR(__xludf.DUMMYFUNCTION("GOOGLETRANSLATE(A23, ""en"", ""hi"")"),"22")</f>
        <v>22</v>
      </c>
      <c r="G23" s="5" t="str">
        <f>IFERROR(__xludf.DUMMYFUNCTION("GOOGLETRANSLATE(B23, ""en"", ""hi"")"),"खो-खो मैच में, टीम A अपने सबसे तेज़ धावकों में से एक को पीछा करने की भूमिका देती है। इस रणनीति से क्या लाभ होता है?")</f>
        <v>खो-खो मैच में, टीम A अपने सबसे तेज़ धावकों में से एक को पीछा करने की भूमिका देती है। इस रणनीति से क्या लाभ होता है?</v>
      </c>
      <c r="H23" s="5" t="str">
        <f>IFERROR(__xludf.DUMMYFUNCTION("GOOGLETRANSLATE(C23, ""en"", ""hi"")"),"A) कई डिफेंडरों को टैग करने की अधिक संभावना, B) विरोधियों की गति धीमी हो जाती है, C) डिफेंडरों के अंक बढ़ जाते हैं, D) यह सुनिश्चित होता है कि पीछा करने वाली टीम को टाइम-आउट मिले")</f>
        <v>A) कई डिफेंडरों को टैग करने की अधिक संभावना, B) विरोधियों की गति धीमी हो जाती है, C) डिफेंडरों के अंक बढ़ जाते हैं, D) यह सुनिश्चित होता है कि पीछा करने वाली टीम को टाइम-आउट मिले</v>
      </c>
      <c r="I23" s="5" t="str">
        <f>IFERROR(__xludf.DUMMYFUNCTION("GOOGLETRANSLATE(D23, ""en"", ""hi"")"),"A) कई डिफेंडरों को टैग करने की अधिक संभावना")</f>
        <v>A) कई डिफेंडरों को टैग करने की अधिक संभावना</v>
      </c>
    </row>
    <row r="24" ht="22.5" customHeight="1">
      <c r="A24" s="7">
        <v>23.0</v>
      </c>
      <c r="B24" s="7" t="s">
        <v>2394</v>
      </c>
      <c r="C24" s="7" t="s">
        <v>2395</v>
      </c>
      <c r="D24" s="7" t="s">
        <v>2396</v>
      </c>
      <c r="F24" s="5" t="str">
        <f>IFERROR(__xludf.DUMMYFUNCTION("GOOGLETRANSLATE(A24, ""en"", ""hi"")"),"23")</f>
        <v>23</v>
      </c>
      <c r="G24" s="5" t="str">
        <f>IFERROR(__xludf.DUMMYFUNCTION("GOOGLETRANSLATE(B24, ""en"", ""hi"")"),"एक डिफेंडर को दो पीछा करने वालों ने घेर लिया है। डिफेंडर बचने के लिए क्या रणनीति अपना सकता है?")</f>
        <v>एक डिफेंडर को दो पीछा करने वालों ने घेर लिया है। डिफेंडर बचने के लिए क्या रणनीति अपना सकता है?</v>
      </c>
      <c r="H24" s="5" t="str">
        <f>IFERROR(__xludf.DUMMYFUNCTION("GOOGLETRANSLATE(C24, ""en"", ""hi"")"),"A) एक पीछा करने वाले की ओर दौड़ना, B) दोनों पीछा करने वालों को भ्रमित करने के लिए ज़िगज़ैग करना, C) टैग होने तक स्थिर खड़े रहना, D) पीछा करने वालों के ऊपर से कूदना")</f>
        <v>A) एक पीछा करने वाले की ओर दौड़ना, B) दोनों पीछा करने वालों को भ्रमित करने के लिए ज़िगज़ैग करना, C) टैग होने तक स्थिर खड़े रहना, D) पीछा करने वालों के ऊपर से कूदना</v>
      </c>
      <c r="I24" s="5" t="str">
        <f>IFERROR(__xludf.DUMMYFUNCTION("GOOGLETRANSLATE(D24, ""en"", ""hi"")"),"बी) दोनों पीछा करने वालों को भ्रमित करने के लिए ज़िगज़ैग")</f>
        <v>बी) दोनों पीछा करने वालों को भ्रमित करने के लिए ज़िगज़ैग</v>
      </c>
    </row>
    <row r="25" ht="22.5" customHeight="1">
      <c r="A25" s="7">
        <v>24.0</v>
      </c>
      <c r="B25" s="7" t="s">
        <v>2397</v>
      </c>
      <c r="C25" s="7" t="s">
        <v>2398</v>
      </c>
      <c r="D25" s="7" t="s">
        <v>2399</v>
      </c>
      <c r="F25" s="5" t="str">
        <f>IFERROR(__xludf.DUMMYFUNCTION("GOOGLETRANSLATE(A25, ""en"", ""hi"")"),"24")</f>
        <v>24</v>
      </c>
      <c r="G25" s="5" t="str">
        <f>IFERROR(__xludf.DUMMYFUNCTION("GOOGLETRANSLATE(B25, ""en"", ""hi"")"),"यदि पीछा करने वाला खिलाड़ी 'खो' देता है, लेकिन समय पर केंद्रीय लेन से बाहर नहीं निकलता है, तो रेफरी का निर्णय क्या होगा?")</f>
        <v>यदि पीछा करने वाला खिलाड़ी 'खो' देता है, लेकिन समय पर केंद्रीय लेन से बाहर नहीं निकलता है, तो रेफरी का निर्णय क्या होगा?</v>
      </c>
      <c r="H25" s="5" t="str">
        <f>IFERROR(__xludf.DUMMYFUNCTION("GOOGLETRANSLATE(C25, ""en"", ""hi"")"),"A) 'खो' अमान्य है, B) पीछा करने वाले खिलाड़ी को दंडित किया जाता है, C) डिफेंडर आउट हो जाता है, D) अगला खिलाड़ी स्वचालित रूप से कार्यभार संभाल लेता है")</f>
        <v>A) 'खो' अमान्य है, B) पीछा करने वाले खिलाड़ी को दंडित किया जाता है, C) डिफेंडर आउट हो जाता है, D) अगला खिलाड़ी स्वचालित रूप से कार्यभार संभाल लेता है</v>
      </c>
      <c r="I25" s="5" t="str">
        <f>IFERROR(__xludf.DUMMYFUNCTION("GOOGLETRANSLATE(D25, ""en"", ""hi"")"),"A) 'खो' अमान्य है")</f>
        <v>A) 'खो' अमान्य है</v>
      </c>
    </row>
    <row r="26" ht="22.5" customHeight="1">
      <c r="A26" s="7">
        <v>25.0</v>
      </c>
      <c r="B26" s="7" t="s">
        <v>2400</v>
      </c>
      <c r="C26" s="7" t="s">
        <v>2401</v>
      </c>
      <c r="D26" s="7" t="s">
        <v>81</v>
      </c>
      <c r="F26" s="5" t="str">
        <f>IFERROR(__xludf.DUMMYFUNCTION("GOOGLETRANSLATE(A26, ""en"", ""hi"")"),"25")</f>
        <v>25</v>
      </c>
      <c r="G26" s="5" t="str">
        <f>IFERROR(__xludf.DUMMYFUNCTION("GOOGLETRANSLATE(B26, ""en"", ""hi"")"),"खो-खो मैच के दौरान, एक डिफेंडर 2 मिनट तक पीछा करने के बाद सीमा रेखा से बाहर चला जाता है। परिणाम क्या होता है?")</f>
        <v>खो-खो मैच के दौरान, एक डिफेंडर 2 मिनट तक पीछा करने के बाद सीमा रेखा से बाहर चला जाता है। परिणाम क्या होता है?</v>
      </c>
      <c r="H26" s="5" t="str">
        <f>IFERROR(__xludf.DUMMYFUNCTION("GOOGLETRANSLATE(C26, ""en"", ""hi"")"),"A) डिफेंडर को आउट घोषित किया जाता है, B) डिफेंडर को एक और मौका दिया जाता है, C) डिफेंडर को 1 अंक मिलता है, D) पीछा करने वाली टीम को 1 अंक का नुकसान होता है")</f>
        <v>A) डिफेंडर को आउट घोषित किया जाता है, B) डिफेंडर को एक और मौका दिया जाता है, C) डिफेंडर को 1 अंक मिलता है, D) पीछा करने वाली टीम को 1 अंक का नुकसान होता है</v>
      </c>
      <c r="I26" s="5" t="str">
        <f>IFERROR(__xludf.DUMMYFUNCTION("GOOGLETRANSLATE(D26, ""en"", ""hi"")"),"A) डिफेंडर को आउट घोषित किया जाता है")</f>
        <v>A) डिफेंडर को आउट घोषित किया जाता है</v>
      </c>
    </row>
    <row r="27" ht="22.5" customHeight="1">
      <c r="A27" s="7">
        <v>26.0</v>
      </c>
      <c r="B27" s="7" t="s">
        <v>2402</v>
      </c>
      <c r="C27" s="7" t="s">
        <v>2403</v>
      </c>
      <c r="D27" s="7" t="s">
        <v>2404</v>
      </c>
      <c r="F27" s="5" t="str">
        <f>IFERROR(__xludf.DUMMYFUNCTION("GOOGLETRANSLATE(A27, ""en"", ""hi"")"),"26")</f>
        <v>26</v>
      </c>
      <c r="G27" s="5" t="str">
        <f>IFERROR(__xludf.DUMMYFUNCTION("GOOGLETRANSLATE(B27, ""en"", ""hi"")"),"खो-खो खेल के अंतिम क्षणों में, टीम B का डिफेंडर एक पीछा करने वाले खिलाड़ी को चकमा देकर 30 सेकंड तक सीमा के भीतर रहता है। टीम B को क्या लाभ होता है?")</f>
        <v>खो-खो खेल के अंतिम क्षणों में, टीम B का डिफेंडर एक पीछा करने वाले खिलाड़ी को चकमा देकर 30 सेकंड तक सीमा के भीतर रहता है। टीम B को क्या लाभ होता है?</v>
      </c>
      <c r="H27" s="5" t="str">
        <f>IFERROR(__xludf.DUMMYFUNCTION("GOOGLETRANSLATE(C27, ""en"", ""hi"")"),"A) प्रत्येक सेकंड के लिए एक अंक, B) मैच जारी रहता है, C) डिफेंडर पीछा करने वाले को थका देता है, D) खेल अगले दौर के लिए रीसेट हो जाता है")</f>
        <v>A) प्रत्येक सेकंड के लिए एक अंक, B) मैच जारी रहता है, C) डिफेंडर पीछा करने वाले को थका देता है, D) खेल अगले दौर के लिए रीसेट हो जाता है</v>
      </c>
      <c r="I27" s="5" t="str">
        <f>IFERROR(__xludf.DUMMYFUNCTION("GOOGLETRANSLATE(D27, ""en"", ""hi"")"),"C) रक्षक, पीछा करने वाले को थका देता है")</f>
        <v>C) रक्षक, पीछा करने वाले को थका देता है</v>
      </c>
    </row>
    <row r="28" ht="22.5" customHeight="1">
      <c r="A28" s="7">
        <v>27.0</v>
      </c>
      <c r="B28" s="7" t="s">
        <v>2405</v>
      </c>
      <c r="C28" s="7" t="s">
        <v>2406</v>
      </c>
      <c r="D28" s="7" t="s">
        <v>2407</v>
      </c>
      <c r="F28" s="5" t="str">
        <f>IFERROR(__xludf.DUMMYFUNCTION("GOOGLETRANSLATE(A28, ""en"", ""hi"")"),"27")</f>
        <v>27</v>
      </c>
      <c r="G28" s="5" t="str">
        <f>IFERROR(__xludf.DUMMYFUNCTION("GOOGLETRANSLATE(B28, ""en"", ""hi"")"),"यदि किसी डिफेंडर को चेज़र द्वारा टैग किया जाता है, लेकिन चेज़र सीमा रेखा के बाहर है, तो क्या होगा?")</f>
        <v>यदि किसी डिफेंडर को चेज़र द्वारा टैग किया जाता है, लेकिन चेज़र सीमा रेखा के बाहर है, तो क्या होगा?</v>
      </c>
      <c r="H28" s="5" t="str">
        <f>IFERROR(__xludf.DUMMYFUNCTION("GOOGLETRANSLATE(C28, ""en"", ""hi"")"),"A) डिफेंडर सुरक्षित है, B) डिफेंडर आउट है, C) चेज़र को पेनल्टी मिलती है, D) चेज़र को 2 अंक मिलते हैं")</f>
        <v>A) डिफेंडर सुरक्षित है, B) डिफेंडर आउट है, C) चेज़र को पेनल्टी मिलती है, D) चेज़र को 2 अंक मिलते हैं</v>
      </c>
      <c r="I28" s="5" t="str">
        <f>IFERROR(__xludf.DUMMYFUNCTION("GOOGLETRANSLATE(D28, ""en"", ""hi"")"),"A) रक्षक सुरक्षित है")</f>
        <v>A) रक्षक सुरक्षित है</v>
      </c>
    </row>
    <row r="29" ht="22.5" customHeight="1">
      <c r="A29" s="7">
        <v>28.0</v>
      </c>
      <c r="B29" s="7" t="s">
        <v>2408</v>
      </c>
      <c r="C29" s="7" t="s">
        <v>2409</v>
      </c>
      <c r="D29" s="7" t="s">
        <v>2410</v>
      </c>
      <c r="F29" s="5" t="str">
        <f>IFERROR(__xludf.DUMMYFUNCTION("GOOGLETRANSLATE(A29, ""en"", ""hi"")"),"28")</f>
        <v>28</v>
      </c>
      <c r="G29" s="5" t="str">
        <f>IFERROR(__xludf.DUMMYFUNCTION("GOOGLETRANSLATE(B29, ""en"", ""hi"")"),"टीम A का चेज़र निर्धारित समय में 'खो' देने में विफल रहता है। टीम A को क्या दंड भुगतना होगा?")</f>
        <v>टीम A का चेज़र निर्धारित समय में 'खो' देने में विफल रहता है। टीम A को क्या दंड भुगतना होगा?</v>
      </c>
      <c r="H29" s="5" t="str">
        <f>IFERROR(__xludf.DUMMYFUNCTION("GOOGLETRANSLATE(C29, ""en"", ""hi"")"),"A) टीम B को 1 अंक प्राप्त होता है, B) टीम A को 1 अंक का नुकसान होता है, C) अगला चेज़र आगे निकल जाता है, D) राउंड तुरंत समाप्त हो जाता है")</f>
        <v>A) टीम B को 1 अंक प्राप्त होता है, B) टीम A को 1 अंक का नुकसान होता है, C) अगला चेज़र आगे निकल जाता है, D) राउंड तुरंत समाप्त हो जाता है</v>
      </c>
      <c r="I29" s="5" t="str">
        <f>IFERROR(__xludf.DUMMYFUNCTION("GOOGLETRANSLATE(D29, ""en"", ""hi"")"),"C) अगला पीछा करने वाला आगे बढ़ जाता है")</f>
        <v>C) अगला पीछा करने वाला आगे बढ़ जाता है</v>
      </c>
    </row>
    <row r="30" ht="22.5" customHeight="1">
      <c r="A30" s="7">
        <v>29.0</v>
      </c>
      <c r="B30" s="7" t="s">
        <v>2411</v>
      </c>
      <c r="C30" s="7" t="s">
        <v>2412</v>
      </c>
      <c r="D30" s="7" t="s">
        <v>2413</v>
      </c>
      <c r="F30" s="5" t="str">
        <f>IFERROR(__xludf.DUMMYFUNCTION("GOOGLETRANSLATE(A30, ""en"", ""hi"")"),"29")</f>
        <v>29</v>
      </c>
      <c r="G30" s="5" t="str">
        <f>IFERROR(__xludf.DUMMYFUNCTION("GOOGLETRANSLATE(B30, ""en"", ""hi"")"),"खो-खो मैच के दौरान, टीम A अपनी पूरी ऊर्जा डिफेंडरों को जल्दी से टैग करने में लगाने का फैसला करती है। इस रणनीति का संभावित जोखिम क्या हो सकता है?")</f>
        <v>खो-खो मैच के दौरान, टीम A अपनी पूरी ऊर्जा डिफेंडरों को जल्दी से टैग करने में लगाने का फैसला करती है। इस रणनीति का संभावित जोखिम क्या हो सकता है?</v>
      </c>
      <c r="H30" s="5" t="str">
        <f>IFERROR(__xludf.DUMMYFUNCTION("GOOGLETRANSLATE(C30, ""en"", ""hi"")"),"A) डिफेंडर को एक अतिरिक्त अंक मिल सकता है, B) चेज़र्स बाद के राउंड के लिए सहनशक्ति खो सकते हैं, C) टीम B स्वचालित रूप से हार जाएगी, D) चेज़र्स को प्रतिस्थापित किया जाएगा")</f>
        <v>A) डिफेंडर को एक अतिरिक्त अंक मिल सकता है, B) चेज़र्स बाद के राउंड के लिए सहनशक्ति खो सकते हैं, C) टीम B स्वचालित रूप से हार जाएगी, D) चेज़र्स को प्रतिस्थापित किया जाएगा</v>
      </c>
      <c r="I30" s="5" t="str">
        <f>IFERROR(__xludf.DUMMYFUNCTION("GOOGLETRANSLATE(D30, ""en"", ""hi"")"),"बी) चेज़र्स बाद के राउंड के लिए सहनशक्ति खो सकते हैं")</f>
        <v>बी) चेज़र्स बाद के राउंड के लिए सहनशक्ति खो सकते हैं</v>
      </c>
    </row>
    <row r="31" ht="22.5" customHeight="1">
      <c r="A31" s="7">
        <v>30.0</v>
      </c>
      <c r="B31" s="7" t="s">
        <v>2414</v>
      </c>
      <c r="C31" s="7" t="s">
        <v>2415</v>
      </c>
      <c r="D31" s="7" t="s">
        <v>2416</v>
      </c>
      <c r="F31" s="5" t="str">
        <f>IFERROR(__xludf.DUMMYFUNCTION("GOOGLETRANSLATE(A31, ""en"", ""hi"")"),"30")</f>
        <v>30</v>
      </c>
      <c r="G31" s="5" t="str">
        <f>IFERROR(__xludf.DUMMYFUNCTION("GOOGLETRANSLATE(B31, ""en"", ""hi"")"),"एक पेशेवर खो-खो मैच में, यदि एक चेज़र 'खो' देता है, लेकिन अगले चेज़र की पीठ को ठीक से छूने में विफल रहता है, तो क्या होगा?")</f>
        <v>एक पेशेवर खो-खो मैच में, यदि एक चेज़र 'खो' देता है, लेकिन अगले चेज़र की पीठ को ठीक से छूने में विफल रहता है, तो क्या होगा?</v>
      </c>
      <c r="H31" s="5" t="str">
        <f>IFERROR(__xludf.DUMMYFUNCTION("GOOGLETRANSLATE(C31, ""en"", ""hi"")"),"A) खो अमान्य है, B) खेल बिना किसी समस्या के जारी रहता है, C) डिफेंडर को फ्री पास मिलता है, D) राउंड पुनः शुरू होता है")</f>
        <v>A) खो अमान्य है, B) खेल बिना किसी समस्या के जारी रहता है, C) डिफेंडर को फ्री पास मिलता है, D) राउंड पुनः शुरू होता है</v>
      </c>
      <c r="I31" s="5" t="str">
        <f>IFERROR(__xludf.DUMMYFUNCTION("GOOGLETRANSLATE(D31, ""en"", ""hi"")"),"A) खो अमान्य है")</f>
        <v>A) खो अमान्य है</v>
      </c>
    </row>
    <row r="32" ht="22.5" customHeight="1">
      <c r="A32" s="7">
        <v>31.0</v>
      </c>
      <c r="B32" s="7" t="s">
        <v>2417</v>
      </c>
      <c r="C32" s="7" t="s">
        <v>2418</v>
      </c>
      <c r="D32" s="7" t="s">
        <v>2419</v>
      </c>
      <c r="F32" s="5" t="str">
        <f>IFERROR(__xludf.DUMMYFUNCTION("GOOGLETRANSLATE(A32, ""en"", ""hi"")"),"31")</f>
        <v>31</v>
      </c>
      <c r="G32" s="5" t="str">
        <f>IFERROR(__xludf.DUMMYFUNCTION("GOOGLETRANSLATE(B32, ""en"", ""hi"")"),"खो-खो में डिफेंडर को टैग होने से बचने के लिए निम्नलिखित में से कौन सी क्रिया करने की अनुमति है?")</f>
        <v>खो-खो में डिफेंडर को टैग होने से बचने के लिए निम्नलिखित में से कौन सी क्रिया करने की अनुमति है?</v>
      </c>
      <c r="H32" s="5" t="str">
        <f>IFERROR(__xludf.DUMMYFUNCTION("GOOGLETRANSLATE(C32, ""en"", ""hi"")"),"A) पीछा करने वाले के ऊपर से कूदना, B) सीमा से बाहर भागना, C) टेढ़े-मेढ़े पैटर्न में चकमा देना, D) पीछा करने वाले से निपटना")</f>
        <v>A) पीछा करने वाले के ऊपर से कूदना, B) सीमा से बाहर भागना, C) टेढ़े-मेढ़े पैटर्न में चकमा देना, D) पीछा करने वाले से निपटना</v>
      </c>
      <c r="I32" s="5" t="str">
        <f>IFERROR(__xludf.DUMMYFUNCTION("GOOGLETRANSLATE(D32, ""en"", ""hi"")"),"C) ज़िगज़ैग पैटर्न में चकमा देना")</f>
        <v>C) ज़िगज़ैग पैटर्न में चकमा देना</v>
      </c>
    </row>
    <row r="33" ht="22.5" customHeight="1">
      <c r="A33" s="7">
        <v>32.0</v>
      </c>
      <c r="B33" s="7" t="s">
        <v>2420</v>
      </c>
      <c r="C33" s="7" t="s">
        <v>2421</v>
      </c>
      <c r="D33" s="7" t="s">
        <v>2422</v>
      </c>
      <c r="F33" s="5" t="str">
        <f>IFERROR(__xludf.DUMMYFUNCTION("GOOGLETRANSLATE(A33, ""en"", ""hi"")"),"32")</f>
        <v>32</v>
      </c>
      <c r="G33" s="5" t="str">
        <f>IFERROR(__xludf.DUMMYFUNCTION("GOOGLETRANSLATE(B33, ""en"", ""hi"")"),"टीम बी का एक पीछा करने वाला खिलाड़ी अपनी बांह बढ़ाकर, लेकिन अपने पैर सेंट्रल लेन से बाहर न लाकर, डिफेंडर को टैग करता है। रेफरी क्या फैसला करेगा?")</f>
        <v>टीम बी का एक पीछा करने वाला खिलाड़ी अपनी बांह बढ़ाकर, लेकिन अपने पैर सेंट्रल लेन से बाहर न लाकर, डिफेंडर को टैग करता है। रेफरी क्या फैसला करेगा?</v>
      </c>
      <c r="H33" s="5" t="str">
        <f>IFERROR(__xludf.DUMMYFUNCTION("GOOGLETRANSLATE(C33, ""en"", ""hi"")"),"A) डिफेंडर बाहर है, B) डिफेंडर सुरक्षित रहता है, C) चेज़र को पेनल्टी मिलती है, D) राउंड समाप्त होता है")</f>
        <v>A) डिफेंडर बाहर है, B) डिफेंडर सुरक्षित रहता है, C) चेज़र को पेनल्टी मिलती है, D) राउंड समाप्त होता है</v>
      </c>
      <c r="I33" s="5" t="str">
        <f>IFERROR(__xludf.DUMMYFUNCTION("GOOGLETRANSLATE(D33, ""en"", ""hi"")"),"B) डिफेंडर सुरक्षित रहता है")</f>
        <v>B) डिफेंडर सुरक्षित रहता है</v>
      </c>
    </row>
    <row r="34" ht="22.5" customHeight="1">
      <c r="A34" s="7">
        <v>33.0</v>
      </c>
      <c r="B34" s="7" t="s">
        <v>2423</v>
      </c>
      <c r="C34" s="7" t="s">
        <v>2424</v>
      </c>
      <c r="D34" s="7" t="s">
        <v>2425</v>
      </c>
      <c r="F34" s="5" t="str">
        <f>IFERROR(__xludf.DUMMYFUNCTION("GOOGLETRANSLATE(A34, ""en"", ""hi"")"),"33")</f>
        <v>33</v>
      </c>
      <c r="G34" s="5" t="str">
        <f>IFERROR(__xludf.DUMMYFUNCTION("GOOGLETRANSLATE(B34, ""en"", ""hi"")"),"खो-खो प्रतियोगिता में, डिफेंडर को आसानी से बच निकलने से रोकने के लिए पीछा करने वाले खिलाड़ी को किन चीजों से बचना चाहिए?")</f>
        <v>खो-खो प्रतियोगिता में, डिफेंडर को आसानी से बच निकलने से रोकने के लिए पीछा करने वाले खिलाड़ी को किन चीजों से बचना चाहिए?</v>
      </c>
      <c r="H34" s="5" t="str">
        <f>IFERROR(__xludf.DUMMYFUNCTION("GOOGLETRANSLATE(C34, ""en"", ""hi"")"),"A) बहुत जल्दी खो देना, B) बहुत तेज दौड़ना, C) केंद्रीय लेन के करीब रहना, D) डिफेंडर का सीधी रेखा में पीछा करना")</f>
        <v>A) बहुत जल्दी खो देना, B) बहुत तेज दौड़ना, C) केंद्रीय लेन के करीब रहना, D) डिफेंडर का सीधी रेखा में पीछा करना</v>
      </c>
      <c r="I34" s="5" t="str">
        <f>IFERROR(__xludf.DUMMYFUNCTION("GOOGLETRANSLATE(D34, ""en"", ""hi"")"),"D) डिफेंडर का सीधी रेखा में पीछा करना")</f>
        <v>D) डिफेंडर का सीधी रेखा में पीछा करना</v>
      </c>
    </row>
    <row r="35" ht="22.5" customHeight="1">
      <c r="A35" s="7">
        <v>34.0</v>
      </c>
      <c r="B35" s="7" t="s">
        <v>2426</v>
      </c>
      <c r="C35" s="7" t="s">
        <v>2427</v>
      </c>
      <c r="D35" s="7" t="s">
        <v>2428</v>
      </c>
      <c r="F35" s="5" t="str">
        <f>IFERROR(__xludf.DUMMYFUNCTION("GOOGLETRANSLATE(A35, ""en"", ""hi"")"),"34")</f>
        <v>34</v>
      </c>
      <c r="G35" s="5" t="str">
        <f>IFERROR(__xludf.DUMMYFUNCTION("GOOGLETRANSLATE(B35, ""en"", ""hi"")"),"एक महत्वपूर्ण खो-खो मैच में, टीम A को जीत के लिए अंतिम मिनट में 4 डिफेंडरों को टैग करना होगा। अपनी संभावनाओं को अधिकतम करने के लिए टीम A को किस पर ध्यान केंद्रित करना चाहिए?")</f>
        <v>एक महत्वपूर्ण खो-खो मैच में, टीम A को जीत के लिए अंतिम मिनट में 4 डिफेंडरों को टैग करना होगा। अपनी संभावनाओं को अधिकतम करने के लिए टीम A को किस पर ध्यान केंद्रित करना चाहिए?</v>
      </c>
      <c r="H35" s="5" t="str">
        <f>IFERROR(__xludf.DUMMYFUNCTION("GOOGLETRANSLATE(C35, ""en"", ""hi"")"),"A) यथासंभव तेज दौड़ना, B) खो का रणनीतिक उपयोग, C) रक्षकों को थकने देना, D) रक्षकों को एक क्षेत्र में रोकने का प्रयास करना")</f>
        <v>A) यथासंभव तेज दौड़ना, B) खो का रणनीतिक उपयोग, C) रक्षकों को थकने देना, D) रक्षकों को एक क्षेत्र में रोकने का प्रयास करना</v>
      </c>
      <c r="I35" s="5" t="str">
        <f>IFERROR(__xludf.DUMMYFUNCTION("GOOGLETRANSLATE(D35, ""en"", ""hi"")"),"बी) खो का रणनीतिक उपयोग")</f>
        <v>बी) खो का रणनीतिक उपयोग</v>
      </c>
    </row>
    <row r="36" ht="22.5" customHeight="1">
      <c r="A36" s="7">
        <v>35.0</v>
      </c>
      <c r="B36" s="7" t="s">
        <v>2429</v>
      </c>
      <c r="C36" s="7" t="s">
        <v>2430</v>
      </c>
      <c r="D36" s="7" t="s">
        <v>2431</v>
      </c>
      <c r="F36" s="5" t="str">
        <f>IFERROR(__xludf.DUMMYFUNCTION("GOOGLETRANSLATE(A36, ""en"", ""hi"")"),"35")</f>
        <v>35</v>
      </c>
      <c r="G36" s="5" t="str">
        <f>IFERROR(__xludf.DUMMYFUNCTION("GOOGLETRANSLATE(B36, ""en"", ""hi"")"),"यदि खो-खो का डिफेंडर लगातार तीन खिलाड़ियों को चकमा देने में सफल हो जाता है, तो इसका खेल पर क्या प्रभाव पड़ता है?")</f>
        <v>यदि खो-खो का डिफेंडर लगातार तीन खिलाड़ियों को चकमा देने में सफल हो जाता है, तो इसका खेल पर क्या प्रभाव पड़ता है?</v>
      </c>
      <c r="H36" s="5" t="str">
        <f>IFERROR(__xludf.DUMMYFUNCTION("GOOGLETRANSLATE(C36, ""en"", ""hi"")"),"A) डिफेंडर को अतिरिक्त अंक मिलते हैं, B) चेज़र को अयोग्य घोषित कर दिया जाता है, C) चेज़र समय और ऊर्जा बर्बाद करते हैं, D) डिफेंडर को अगले राउंड से बाहर बैठना पड़ता है")</f>
        <v>A) डिफेंडर को अतिरिक्त अंक मिलते हैं, B) चेज़र को अयोग्य घोषित कर दिया जाता है, C) चेज़र समय और ऊर्जा बर्बाद करते हैं, D) डिफेंडर को अगले राउंड से बाहर बैठना पड़ता है</v>
      </c>
      <c r="I36" s="5" t="str">
        <f>IFERROR(__xludf.DUMMYFUNCTION("GOOGLETRANSLATE(D36, ""en"", ""hi"")"),"C) पीछा करने वाले समय और ऊर्जा बर्बाद करते हैं")</f>
        <v>C) पीछा करने वाले समय और ऊर्जा बर्बाद करते हैं</v>
      </c>
    </row>
    <row r="37" ht="22.5" customHeight="1">
      <c r="A37" s="7">
        <v>36.0</v>
      </c>
      <c r="B37" s="7" t="s">
        <v>2432</v>
      </c>
      <c r="C37" s="7" t="s">
        <v>2433</v>
      </c>
      <c r="D37" s="7" t="s">
        <v>2434</v>
      </c>
      <c r="F37" s="5" t="str">
        <f>IFERROR(__xludf.DUMMYFUNCTION("GOOGLETRANSLATE(A37, ""en"", ""hi"")"),"36")</f>
        <v>36</v>
      </c>
      <c r="G37" s="5" t="str">
        <f>IFERROR(__xludf.DUMMYFUNCTION("GOOGLETRANSLATE(B37, ""en"", ""hi"")"),"खो-खो मैच में, टीम A का डिफेंडर तीन चेज़रों से घिरा हुआ है, लेकिन तेज़ मोड़ों का इस्तेमाल करके दो मिनट से ज़्यादा समय तक उनसे बचने में कामयाब रहता है। टीम A के लिए सबसे ज़्यादा फ़ायदा क्या होगा?")</f>
        <v>खो-खो मैच में, टीम A का डिफेंडर तीन चेज़रों से घिरा हुआ है, लेकिन तेज़ मोड़ों का इस्तेमाल करके दो मिनट से ज़्यादा समय तक उनसे बचने में कामयाब रहता है। टीम A के लिए सबसे ज़्यादा फ़ायदा क्या होगा?</v>
      </c>
      <c r="H37" s="5" t="str">
        <f>IFERROR(__xludf.DUMMYFUNCTION("GOOGLETRANSLATE(C37, ""en"", ""hi"")"),"A) पीछा करने वालों को थका देता है, B) चकमा देने के लिए अतिरिक्त अंक प्राप्त करता है, C) संलग्न न होने के कारण समय खो देता है, D) डिफेंडर को बहुत लंबे समय तक रहने के कारण अयोग्य घोषित कर दिया जाता है")</f>
        <v>A) पीछा करने वालों को थका देता है, B) चकमा देने के लिए अतिरिक्त अंक प्राप्त करता है, C) संलग्न न होने के कारण समय खो देता है, D) डिफेंडर को बहुत लंबे समय तक रहने के कारण अयोग्य घोषित कर दिया जाता है</v>
      </c>
      <c r="I37" s="5" t="str">
        <f>IFERROR(__xludf.DUMMYFUNCTION("GOOGLETRANSLATE(D37, ""en"", ""hi"")"),"A) पीछा करने वालों को थका देता है")</f>
        <v>A) पीछा करने वालों को थका देता है</v>
      </c>
    </row>
    <row r="38" ht="22.5" customHeight="1">
      <c r="A38" s="7">
        <v>37.0</v>
      </c>
      <c r="B38" s="7" t="s">
        <v>2435</v>
      </c>
      <c r="C38" s="7" t="s">
        <v>2436</v>
      </c>
      <c r="D38" s="7" t="s">
        <v>2437</v>
      </c>
      <c r="F38" s="5" t="str">
        <f>IFERROR(__xludf.DUMMYFUNCTION("GOOGLETRANSLATE(A38, ""en"", ""hi"")"),"37")</f>
        <v>37</v>
      </c>
      <c r="G38" s="5" t="str">
        <f>IFERROR(__xludf.DUMMYFUNCTION("GOOGLETRANSLATE(B38, ""en"", ""hi"")"),"खो-खो मैच के दौरान, टीम B का एक चेज़र एक डिफेंडर को टैग करने की कोशिश करता है, लेकिन चूक जाता है। फिर डिफेंडर तुरंत सेंट्रल लेन से भाग जाता है। इस स्थिति में कौन सा नियम लागू होता है?")</f>
        <v>खो-खो मैच के दौरान, टीम B का एक चेज़र एक डिफेंडर को टैग करने की कोशिश करता है, लेकिन चूक जाता है। फिर डिफेंडर तुरंत सेंट्रल लेन से भाग जाता है। इस स्थिति में कौन सा नियम लागू होता है?</v>
      </c>
      <c r="H38" s="5" t="str">
        <f>IFERROR(__xludf.DUMMYFUNCTION("GOOGLETRANSLATE(C38, ""en"", ""hi"")"),"A) डिफेंडर सुरक्षित है और खेल जारी रखता है, B) डिफेंडर को लेन पार करने के लिए दंडित किया जाता है, C) चेज़र को एक अंक दिया जाता है, D) डिफेंडर को लेन पार करने के लिए एक अतिरिक्त अंक मिलता है")</f>
        <v>A) डिफेंडर सुरक्षित है और खेल जारी रखता है, B) डिफेंडर को लेन पार करने के लिए दंडित किया जाता है, C) चेज़र को एक अंक दिया जाता है, D) डिफेंडर को लेन पार करने के लिए एक अतिरिक्त अंक मिलता है</v>
      </c>
      <c r="I38" s="5" t="str">
        <f>IFERROR(__xludf.DUMMYFUNCTION("GOOGLETRANSLATE(D38, ""en"", ""hi"")"),"A) डिफेंडर सुरक्षित है और आगे बढ़ रहा है")</f>
        <v>A) डिफेंडर सुरक्षित है और आगे बढ़ रहा है</v>
      </c>
    </row>
    <row r="39" ht="22.5" customHeight="1">
      <c r="A39" s="7">
        <v>38.0</v>
      </c>
      <c r="B39" s="7" t="s">
        <v>2438</v>
      </c>
      <c r="C39" s="7" t="s">
        <v>2439</v>
      </c>
      <c r="D39" s="7" t="s">
        <v>2440</v>
      </c>
      <c r="F39" s="5" t="str">
        <f>IFERROR(__xludf.DUMMYFUNCTION("GOOGLETRANSLATE(A39, ""en"", ""hi"")"),"38")</f>
        <v>38</v>
      </c>
      <c r="G39" s="5" t="str">
        <f>IFERROR(__xludf.DUMMYFUNCTION("GOOGLETRANSLATE(B39, ""en"", ""hi"")"),"टीम A खो-खो टूर्नामेंट के अंतिम दौर में है। मैच बराबरी पर है और उन्हें जीतने के लिए 5 अंक चाहिए। टीम A को अपने चेज़िंग राउंड के दौरान किस पर ध्यान केंद्रित करना चाहिए?")</f>
        <v>टीम A खो-खो टूर्नामेंट के अंतिम दौर में है। मैच बराबरी पर है और उन्हें जीतने के लिए 5 अंक चाहिए। टीम A को अपने चेज़िंग राउंड के दौरान किस पर ध्यान केंद्रित करना चाहिए?</v>
      </c>
      <c r="H39" s="5" t="str">
        <f>IFERROR(__xludf.DUMMYFUNCTION("GOOGLETRANSLATE(C39, ""en"", ""hi"")"),"A) डिफेंडरों को थका देना, B) फ़ाउल से बचना, C) त्वरित 'खो' देना, D) कम से कम 5 डिफेंडरों को टैग करना")</f>
        <v>A) डिफेंडरों को थका देना, B) फ़ाउल से बचना, C) त्वरित 'खो' देना, D) कम से कम 5 डिफेंडरों को टैग करना</v>
      </c>
      <c r="I39" s="5" t="str">
        <f>IFERROR(__xludf.DUMMYFUNCTION("GOOGLETRANSLATE(D39, ""en"", ""hi"")"),"D) कम से कम 5 डिफेंडरों को टैग करना")</f>
        <v>D) कम से कम 5 डिफेंडरों को टैग करना</v>
      </c>
    </row>
    <row r="40" ht="22.5" customHeight="1">
      <c r="A40" s="7">
        <v>39.0</v>
      </c>
      <c r="B40" s="7" t="s">
        <v>2441</v>
      </c>
      <c r="C40" s="7" t="s">
        <v>2442</v>
      </c>
      <c r="D40" s="7" t="s">
        <v>2443</v>
      </c>
      <c r="F40" s="5" t="str">
        <f>IFERROR(__xludf.DUMMYFUNCTION("GOOGLETRANSLATE(A40, ""en"", ""hi"")"),"39")</f>
        <v>39</v>
      </c>
      <c r="G40" s="5" t="str">
        <f>IFERROR(__xludf.DUMMYFUNCTION("GOOGLETRANSLATE(B40, ""en"", ""hi"")"),"एक उच्च दबाव वाले खो-खो मैच में, टीम बी का डिफेंडर टैग से बचने के लिए मैदान के कोने में खड़ा रहता है। इससे क्या सामरिक नुकसान होता है?")</f>
        <v>एक उच्च दबाव वाले खो-खो मैच में, टीम बी का डिफेंडर टैग से बचने के लिए मैदान के कोने में खड़ा रहता है। इससे क्या सामरिक नुकसान होता है?</v>
      </c>
      <c r="H40" s="5" t="str">
        <f>IFERROR(__xludf.DUMMYFUNCTION("GOOGLETRANSLATE(C40, ""en"", ""hi"")"),"A) सीमित स्थान में आसानी से फँस जाते हैं, B) रक्षक निष्क्रिय खेल के कारण अंक खो देते हैं, C) पीछा करने वाले अपनी सहनशक्ति खो देते हैं, D) रक्षक जीवित रहने पर अंक प्राप्त करते हैं")</f>
        <v>A) सीमित स्थान में आसानी से फँस जाते हैं, B) रक्षक निष्क्रिय खेल के कारण अंक खो देते हैं, C) पीछा करने वाले अपनी सहनशक्ति खो देते हैं, D) रक्षक जीवित रहने पर अंक प्राप्त करते हैं</v>
      </c>
      <c r="I40" s="5" t="str">
        <f>IFERROR(__xludf.DUMMYFUNCTION("GOOGLETRANSLATE(D40, ""en"", ""hi"")"),"A) सीमित स्थान में आसानी से फँसने योग्य")</f>
        <v>A) सीमित स्थान में आसानी से फँसने योग्य</v>
      </c>
    </row>
    <row r="41" ht="22.5" customHeight="1">
      <c r="A41" s="7">
        <v>40.0</v>
      </c>
      <c r="B41" s="7" t="s">
        <v>2444</v>
      </c>
      <c r="C41" s="7" t="s">
        <v>2445</v>
      </c>
      <c r="D41" s="7" t="s">
        <v>2446</v>
      </c>
      <c r="F41" s="5" t="str">
        <f>IFERROR(__xludf.DUMMYFUNCTION("GOOGLETRANSLATE(A41, ""en"", ""hi"")"),"40")</f>
        <v>40</v>
      </c>
      <c r="G41" s="5" t="str">
        <f>IFERROR(__xludf.DUMMYFUNCTION("GOOGLETRANSLATE(B41, ""en"", ""hi"")"),"टीम A का एक खिलाड़ी जो पीछा कर रहा है, एक डिफेंडर को टैग करता है, लेकिन टैग करने से ठीक पहले सीमा रेखा के बाहर चला जाता है। रेफरी क्या फैसला करेगा?")</f>
        <v>टीम A का एक खिलाड़ी जो पीछा कर रहा है, एक डिफेंडर को टैग करता है, लेकिन टैग करने से ठीक पहले सीमा रेखा के बाहर चला जाता है। रेफरी क्या फैसला करेगा?</v>
      </c>
      <c r="H41" s="5" t="str">
        <f>IFERROR(__xludf.DUMMYFUNCTION("GOOGLETRANSLATE(C41, ""en"", ""hi"")"),"A) डिफेंडर आउट हो गया, B) चेज़र ने एक अंक अर्जित किया, C) डिफेंडर सुरक्षित रहा, D) चेज़र को अयोग्य घोषित कर दिया गया")</f>
        <v>A) डिफेंडर आउट हो गया, B) चेज़र ने एक अंक अर्जित किया, C) डिफेंडर सुरक्षित रहा, D) चेज़र को अयोग्य घोषित कर दिया गया</v>
      </c>
      <c r="I41" s="5" t="str">
        <f>IFERROR(__xludf.DUMMYFUNCTION("GOOGLETRANSLATE(D41, ""en"", ""hi"")"),"C) डिफेंडर सुरक्षित रहता है")</f>
        <v>C) डिफेंडर सुरक्षित रहता है</v>
      </c>
    </row>
    <row r="42" ht="22.5" customHeight="1">
      <c r="A42" s="7">
        <v>41.0</v>
      </c>
      <c r="B42" s="7" t="s">
        <v>2447</v>
      </c>
      <c r="C42" s="7" t="s">
        <v>2448</v>
      </c>
      <c r="D42" s="7" t="s">
        <v>2449</v>
      </c>
      <c r="F42" s="5" t="str">
        <f>IFERROR(__xludf.DUMMYFUNCTION("GOOGLETRANSLATE(A42, ""en"", ""hi"")"),"41")</f>
        <v>41</v>
      </c>
      <c r="G42" s="5" t="str">
        <f>IFERROR(__xludf.DUMMYFUNCTION("GOOGLETRANSLATE(B42, ""en"", ""hi"")"),"टीम बी के डिफेंडर को एक चेज़र से बचने के लिए पीछे मुड़ते समय गेंद छू गई। हालाँकि, चेज़र ने सेंटर लेन के बाहर दोनों पैरों से उन्हें छू लिया। रेफरी का क्या फैसला है?")</f>
        <v>टीम बी के डिफेंडर को एक चेज़र से बचने के लिए पीछे मुड़ते समय गेंद छू गई। हालाँकि, चेज़र ने सेंटर लेन के बाहर दोनों पैरों से उन्हें छू लिया। रेफरी का क्या फैसला है?</v>
      </c>
      <c r="H42" s="5" t="str">
        <f>IFERROR(__xludf.DUMMYFUNCTION("GOOGLETRANSLATE(C42, ""en"", ""hi"")"),"A) डिफेंडर आउट हो गया है, B) डिफेंडर सुरक्षित है, C) चेज़र ने एक अंक अर्जित किया है, D) चेज़र को चेतावनी दी गई है")</f>
        <v>A) डिफेंडर आउट हो गया है, B) डिफेंडर सुरक्षित है, C) चेज़र ने एक अंक अर्जित किया है, D) चेज़र को चेतावनी दी गई है</v>
      </c>
      <c r="I42" s="5" t="str">
        <f>IFERROR(__xludf.DUMMYFUNCTION("GOOGLETRANSLATE(D42, ""en"", ""hi"")"),"बी) डिफेंडर सुरक्षित है")</f>
        <v>बी) डिफेंडर सुरक्षित है</v>
      </c>
    </row>
    <row r="43" ht="22.5" customHeight="1">
      <c r="A43" s="7">
        <v>42.0</v>
      </c>
      <c r="B43" s="7" t="s">
        <v>2450</v>
      </c>
      <c r="C43" s="7" t="s">
        <v>2451</v>
      </c>
      <c r="D43" s="7" t="s">
        <v>2452</v>
      </c>
      <c r="F43" s="5" t="str">
        <f>IFERROR(__xludf.DUMMYFUNCTION("GOOGLETRANSLATE(A43, ""en"", ""hi"")"),"42")</f>
        <v>42</v>
      </c>
      <c r="G43" s="5" t="str">
        <f>IFERROR(__xludf.DUMMYFUNCTION("GOOGLETRANSLATE(B43, ""en"", ""hi"")"),"एक महत्वपूर्ण खो-खो मैच में, टीम A 2 अंकों से पीछे है, और उनके डिफेंडर को अंतिम 30 सेकंड तक टिके रहना है। डिफेंडर को क्या रणनीति अपनानी चाहिए?")</f>
        <v>एक महत्वपूर्ण खो-खो मैच में, टीम A 2 अंकों से पीछे है, और उनके डिफेंडर को अंतिम 30 सेकंड तक टिके रहना है। डिफेंडर को क्या रणनीति अपनानी चाहिए?</v>
      </c>
      <c r="H43" s="5" t="str">
        <f>IFERROR(__xludf.DUMMYFUNCTION("GOOGLETRANSLATE(C43, ""en"", ""hi"")"),"A) एक दिशा में दौड़ना, B) टेढ़ी-मेढ़ी दौड़ना, C) कोने में स्थिर खड़े रहना, D) मध्य लेन से दौड़ना")</f>
        <v>A) एक दिशा में दौड़ना, B) टेढ़ी-मेढ़ी दौड़ना, C) कोने में स्थिर खड़े रहना, D) मध्य लेन से दौड़ना</v>
      </c>
      <c r="I43" s="5" t="str">
        <f>IFERROR(__xludf.DUMMYFUNCTION("GOOGLETRANSLATE(D43, ""en"", ""hi"")"),"बी) ज़िगज़ैग दौड़")</f>
        <v>बी) ज़िगज़ैग दौड़</v>
      </c>
    </row>
    <row r="44" ht="22.5" customHeight="1">
      <c r="A44" s="7">
        <v>43.0</v>
      </c>
      <c r="B44" s="7" t="s">
        <v>2453</v>
      </c>
      <c r="C44" s="7" t="s">
        <v>2454</v>
      </c>
      <c r="D44" s="7" t="s">
        <v>2455</v>
      </c>
      <c r="F44" s="5" t="str">
        <f>IFERROR(__xludf.DUMMYFUNCTION("GOOGLETRANSLATE(A44, ""en"", ""hi"")"),"43")</f>
        <v>43</v>
      </c>
      <c r="G44" s="5" t="str">
        <f>IFERROR(__xludf.DUMMYFUNCTION("GOOGLETRANSLATE(B44, ""en"", ""hi"")"),"टीम B का एक डिफेंडर लगातार 5 मिनट तक छल-कपट और चकमा देता है, लेकिन मैदान के पार जाने की कोशिश नहीं करता। इसका खेल पर क्या असर पड़ता है?")</f>
        <v>टीम B का एक डिफेंडर लगातार 5 मिनट तक छल-कपट और चकमा देता है, लेकिन मैदान के पार जाने की कोशिश नहीं करता। इसका खेल पर क्या असर पड़ता है?</v>
      </c>
      <c r="H44" s="5" t="str">
        <f>IFERROR(__xludf.DUMMYFUNCTION("GOOGLETRANSLATE(C44, ""en"", ""hi"")"),"A) टीम B को अतिरिक्त अंक मिलते हैं, B) टीम B समय बर्बाद करती है लेकिन पीछा करने वालों को थका देती है, C) टीम B आगे न बढ़ने के कारण अंक खो देती है, D) डिफेंडर को निष्क्रिय खेल के लिए दंडित किया जाता है")</f>
        <v>A) टीम B को अतिरिक्त अंक मिलते हैं, B) टीम B समय बर्बाद करती है लेकिन पीछा करने वालों को थका देती है, C) टीम B आगे न बढ़ने के कारण अंक खो देती है, D) डिफेंडर को निष्क्रिय खेल के लिए दंडित किया जाता है</v>
      </c>
      <c r="I44" s="5" t="str">
        <f>IFERROR(__xludf.DUMMYFUNCTION("GOOGLETRANSLATE(D44, ""en"", ""hi"")"),"बी) टीम बी समय बर्बाद करती है लेकिन पीछा करने वालों को थका देती है")</f>
        <v>बी) टीम बी समय बर्बाद करती है लेकिन पीछा करने वालों को थका देती है</v>
      </c>
    </row>
    <row r="45" ht="22.5" customHeight="1">
      <c r="A45" s="7">
        <v>44.0</v>
      </c>
      <c r="B45" s="7" t="s">
        <v>2456</v>
      </c>
      <c r="C45" s="7" t="s">
        <v>2457</v>
      </c>
      <c r="D45" s="7" t="s">
        <v>2458</v>
      </c>
      <c r="F45" s="5" t="str">
        <f>IFERROR(__xludf.DUMMYFUNCTION("GOOGLETRANSLATE(A45, ""en"", ""hi"")"),"44")</f>
        <v>44</v>
      </c>
      <c r="G45" s="5" t="str">
        <f>IFERROR(__xludf.DUMMYFUNCTION("GOOGLETRANSLATE(B45, ""en"", ""hi"")"),"एक टूर्नामेंट के फ़ाइनल में, टीम A का डिफेंडर ठीक उसी समय सेंट्रल लेन पार कर जाता है जब पीछा करने वाली टीम अपने चेज़र बदलती है। सबसे संभावित परिणाम क्या होगा?")</f>
        <v>एक टूर्नामेंट के फ़ाइनल में, टीम A का डिफेंडर ठीक उसी समय सेंट्रल लेन पार कर जाता है जब पीछा करने वाली टीम अपने चेज़र बदलती है। सबसे संभावित परिणाम क्या होगा?</v>
      </c>
      <c r="H45" s="5" t="str">
        <f>IFERROR(__xludf.DUMMYFUNCTION("GOOGLETRANSLATE(C45, ""en"", ""hi"")"),"ए) डिफेंडर सुरक्षित है, बी) डिफेंडर बाहर है, सी) डिफेंडर को एक अंक मिलता है, डी) चेज़र को समय पर स्विच न करने के लिए दंडित किया जाता है")</f>
        <v>ए) डिफेंडर सुरक्षित है, बी) डिफेंडर बाहर है, सी) डिफेंडर को एक अंक मिलता है, डी) चेज़र को समय पर स्विच न करने के लिए दंडित किया जाता है</v>
      </c>
      <c r="I45" s="5" t="str">
        <f>IFERROR(__xludf.DUMMYFUNCTION("GOOGLETRANSLATE(D45, ""en"", ""hi"")"),"A) डिफेंडर सुरक्षित है")</f>
        <v>A) डिफेंडर सुरक्षित है</v>
      </c>
    </row>
    <row r="46" ht="22.5" customHeight="1">
      <c r="A46" s="7">
        <v>45.0</v>
      </c>
      <c r="B46" s="7" t="s">
        <v>2459</v>
      </c>
      <c r="C46" s="7" t="s">
        <v>2460</v>
      </c>
      <c r="D46" s="7" t="s">
        <v>2461</v>
      </c>
      <c r="F46" s="5" t="str">
        <f>IFERROR(__xludf.DUMMYFUNCTION("GOOGLETRANSLATE(A46, ""en"", ""hi"")"),"45")</f>
        <v>45</v>
      </c>
      <c r="G46" s="5" t="str">
        <f>IFERROR(__xludf.DUMMYFUNCTION("GOOGLETRANSLATE(B46, ""en"", ""hi"")"),"एक कड़े खो-खो मैच में, टीम B को जीतने के लिए एक मिनट और बचाव करना होगा। उनके डिफेंडरों के लिए सबसे प्रभावी रणनीति क्या है?")</f>
        <v>एक कड़े खो-खो मैच में, टीम B को जीतने के लिए एक मिनट और बचाव करना होगा। उनके डिफेंडरों के लिए सबसे प्रभावी रणनीति क्या है?</v>
      </c>
      <c r="H46" s="5" t="str">
        <f>IFERROR(__xludf.DUMMYFUNCTION("GOOGLETRANSLATE(C46, ""en"", ""hi"")"),"A) लगातार दौड़ना, B) लगातार लेन बदलना, C) मैदान के कोनों का उपयोग करना, D) मैदान के केंद्र के पास रहना")</f>
        <v>A) लगातार दौड़ना, B) लगातार लेन बदलना, C) मैदान के कोनों का उपयोग करना, D) मैदान के केंद्र के पास रहना</v>
      </c>
      <c r="I46" s="5" t="str">
        <f>IFERROR(__xludf.DUMMYFUNCTION("GOOGLETRANSLATE(D46, ""en"", ""hi"")"),"C) मैदान के कोनों का उपयोग करना")</f>
        <v>C) मैदान के कोनों का उपयोग करना</v>
      </c>
    </row>
    <row r="47" ht="22.5" customHeight="1">
      <c r="A47" s="7">
        <v>46.0</v>
      </c>
      <c r="B47" s="7" t="s">
        <v>2462</v>
      </c>
      <c r="C47" s="7" t="s">
        <v>2463</v>
      </c>
      <c r="D47" s="7" t="s">
        <v>2373</v>
      </c>
      <c r="F47" s="5" t="str">
        <f>IFERROR(__xludf.DUMMYFUNCTION("GOOGLETRANSLATE(A47, ""en"", ""hi"")"),"46")</f>
        <v>46</v>
      </c>
      <c r="G47" s="5" t="str">
        <f>IFERROR(__xludf.DUMMYFUNCTION("GOOGLETRANSLATE(B47, ""en"", ""hi"")"),"टीम A का एक डिफेंडर एक चेज़र को चकमा देने की कोशिश में बाउंड्री से बाहर चला जाता है। इसका क्या नतीजा होगा?")</f>
        <v>टीम A का एक डिफेंडर एक चेज़र को चकमा देने की कोशिश में बाउंड्री से बाहर चला जाता है। इसका क्या नतीजा होगा?</v>
      </c>
      <c r="H47" s="5" t="str">
        <f>IFERROR(__xludf.DUMMYFUNCTION("GOOGLETRANSLATE(C47, ""en"", ""hi"")"),"A) डिफेंडर को दंडित किया जाता है, B) डिफेंडर को आउट कर दिया जाता है, C) चेज़र को एक अंक मिलता है, D) डिफेंडर को मैदान में पुनः प्रवेश करना पड़ता है")</f>
        <v>A) डिफेंडर को दंडित किया जाता है, B) डिफेंडर को आउट कर दिया जाता है, C) चेज़र को एक अंक मिलता है, D) डिफेंडर को मैदान में पुनः प्रवेश करना पड़ता है</v>
      </c>
      <c r="I47" s="5" t="str">
        <f>IFERROR(__xludf.DUMMYFUNCTION("GOOGLETRANSLATE(D47, ""en"", ""hi"")"),"B) डिफेंडर बाहर है")</f>
        <v>B) डिफेंडर बाहर है</v>
      </c>
    </row>
    <row r="48" ht="22.5" customHeight="1">
      <c r="A48" s="7">
        <v>47.0</v>
      </c>
      <c r="B48" s="7" t="s">
        <v>2464</v>
      </c>
      <c r="C48" s="7" t="s">
        <v>2465</v>
      </c>
      <c r="D48" s="7" t="s">
        <v>2422</v>
      </c>
      <c r="F48" s="5" t="str">
        <f>IFERROR(__xludf.DUMMYFUNCTION("GOOGLETRANSLATE(A48, ""en"", ""hi"")"),"47")</f>
        <v>47</v>
      </c>
      <c r="G48" s="5" t="str">
        <f>IFERROR(__xludf.DUMMYFUNCTION("GOOGLETRANSLATE(B48, ""en"", ""hi"")"),"एक करीबी मुकाबले में, टीम B के डिफेंडर को लेन बदलने की कोशिश करते समय टैग कर दिया गया। हालाँकि, टैग करने से पहले चेज़र ने ज़मीन को छुआ तक नहीं था। फ़ैसला क्या है?")</f>
        <v>एक करीबी मुकाबले में, टीम B के डिफेंडर को लेन बदलने की कोशिश करते समय टैग कर दिया गया। हालाँकि, टैग करने से पहले चेज़र ने ज़मीन को छुआ तक नहीं था। फ़ैसला क्या है?</v>
      </c>
      <c r="H48" s="5" t="str">
        <f>IFERROR(__xludf.DUMMYFUNCTION("GOOGLETRANSLATE(C48, ""en"", ""hi"")"),"A) डिफेंडर बाहर हो जाता है, B) डिफेंडर सुरक्षित रहता है, C) चेज़र एक अंक अर्जित करता है, D) राउंड रीसेट हो जाता है")</f>
        <v>A) डिफेंडर बाहर हो जाता है, B) डिफेंडर सुरक्षित रहता है, C) चेज़र एक अंक अर्जित करता है, D) राउंड रीसेट हो जाता है</v>
      </c>
      <c r="I48" s="5" t="str">
        <f>IFERROR(__xludf.DUMMYFUNCTION("GOOGLETRANSLATE(D48, ""en"", ""hi"")"),"B) डिफेंडर सुरक्षित रहता है")</f>
        <v>B) डिफेंडर सुरक्षित रहता है</v>
      </c>
    </row>
    <row r="49" ht="22.5" customHeight="1">
      <c r="A49" s="7">
        <v>48.0</v>
      </c>
      <c r="B49" s="7" t="s">
        <v>2466</v>
      </c>
      <c r="C49" s="7" t="s">
        <v>2467</v>
      </c>
      <c r="D49" s="7" t="s">
        <v>2468</v>
      </c>
      <c r="F49" s="5" t="str">
        <f>IFERROR(__xludf.DUMMYFUNCTION("GOOGLETRANSLATE(A49, ""en"", ""hi"")"),"48")</f>
        <v>48</v>
      </c>
      <c r="G49" s="5" t="str">
        <f>IFERROR(__xludf.DUMMYFUNCTION("GOOGLETRANSLATE(B49, ""en"", ""hi"")"),"खो-खो मैच के दौरान, टीम A का एक चेज़र एक डिफेंडर को सफलतापूर्वक टैग करता है, लेकिन गलती से दूसरे डिफेंडर से टकरा जाता है। रेफरी क्या फैसला लेगा?")</f>
        <v>खो-खो मैच के दौरान, टीम A का एक चेज़र एक डिफेंडर को सफलतापूर्वक टैग करता है, लेकिन गलती से दूसरे डिफेंडर से टकरा जाता है। रेफरी क्या फैसला लेगा?</v>
      </c>
      <c r="H49" s="5" t="str">
        <f>IFERROR(__xludf.DUMMYFUNCTION("GOOGLETRANSLATE(C49, ""en"", ""hi"")"),"A) चेज़र को एक अंक मिलता है, B) टक्कर पर जुर्माना लगता है, C) डिफेंडर को अयोग्य घोषित कर दिया जाता है, D) राउंड बिना जुर्माने के जारी रहता है")</f>
        <v>A) चेज़र को एक अंक मिलता है, B) टक्कर पर जुर्माना लगता है, C) डिफेंडर को अयोग्य घोषित कर दिया जाता है, D) राउंड बिना जुर्माने के जारी रहता है</v>
      </c>
      <c r="I49" s="5" t="str">
        <f>IFERROR(__xludf.DUMMYFUNCTION("GOOGLETRANSLATE(D49, ""en"", ""hi"")"),"B) टक्कर पर दंड दिया जाता है")</f>
        <v>B) टक्कर पर दंड दिया जाता है</v>
      </c>
    </row>
    <row r="50" ht="22.5" customHeight="1">
      <c r="A50" s="7">
        <v>49.0</v>
      </c>
      <c r="B50" s="7" t="s">
        <v>2469</v>
      </c>
      <c r="C50" s="7" t="s">
        <v>2470</v>
      </c>
      <c r="D50" s="7" t="s">
        <v>2471</v>
      </c>
      <c r="F50" s="5" t="str">
        <f>IFERROR(__xludf.DUMMYFUNCTION("GOOGLETRANSLATE(A50, ""en"", ""hi"")"),"49")</f>
        <v>49</v>
      </c>
      <c r="G50" s="5" t="str">
        <f>IFERROR(__xludf.DUMMYFUNCTION("GOOGLETRANSLATE(B50, ""en"", ""hi"")"),"टीम बी का एक डिफेंडर तीन मिनट तक सफलतापूर्वक चकमा देता है और दो चेज़रों को थका देता है। इस रक्षात्मक खेल का टीम बी पर सबसे ज़्यादा क्या असर होगा?")</f>
        <v>टीम बी का एक डिफेंडर तीन मिनट तक सफलतापूर्वक चकमा देता है और दो चेज़रों को थका देता है। इस रक्षात्मक खेल का टीम बी पर सबसे ज़्यादा क्या असर होगा?</v>
      </c>
      <c r="H50" s="5" t="str">
        <f>IFERROR(__xludf.DUMMYFUNCTION("GOOGLETRANSLATE(C50, ""en"", ""hi"")"),"ए) टीम बी को अतिरिक्त अंक मिलते हैं, बी) टीम बी पीछा करने वाली टीम की ऊर्जा को कम कर देती है, सी) टीम बी प्रतिस्थापन का अनुरोध कर सकती है, डी) डिफेंडर को संलग्न न होने के लिए दंडित किया जाता है")</f>
        <v>ए) टीम बी को अतिरिक्त अंक मिलते हैं, बी) टीम बी पीछा करने वाली टीम की ऊर्जा को कम कर देती है, सी) टीम बी प्रतिस्थापन का अनुरोध कर सकती है, डी) डिफेंडर को संलग्न न होने के लिए दंडित किया जाता है</v>
      </c>
      <c r="I50" s="5" t="str">
        <f>IFERROR(__xludf.DUMMYFUNCTION("GOOGLETRANSLATE(D50, ""en"", ""hi"")"),"B) टीम B पीछा करने वाली टीम की ऊर्जा को कम कर देती है")</f>
        <v>B) टीम B पीछा करने वाली टीम की ऊर्जा को कम कर देती है</v>
      </c>
    </row>
    <row r="51" ht="22.5" customHeight="1">
      <c r="A51" s="7">
        <v>50.0</v>
      </c>
      <c r="B51" s="7" t="s">
        <v>2472</v>
      </c>
      <c r="C51" s="7" t="s">
        <v>2473</v>
      </c>
      <c r="D51" s="7" t="s">
        <v>2474</v>
      </c>
      <c r="F51" s="5" t="str">
        <f>IFERROR(__xludf.DUMMYFUNCTION("GOOGLETRANSLATE(A51, ""en"", ""hi"")"),"50")</f>
        <v>50</v>
      </c>
      <c r="G51" s="5" t="str">
        <f>IFERROR(__xludf.DUMMYFUNCTION("GOOGLETRANSLATE(B51, ""en"", ""hi"")"),"टीम A का डिफेंडर बचने की कोशिश करता है, लेकिन दो चेज़र्स के बीच फँस जाता है। डिफेंडर के लिए इस स्थिति से बचने का सबसे अच्छा तरीका क्या है?")</f>
        <v>टीम A का डिफेंडर बचने की कोशिश करता है, लेकिन दो चेज़र्स के बीच फँस जाता है। डिफेंडर के लिए इस स्थिति से बचने का सबसे अच्छा तरीका क्या है?</v>
      </c>
      <c r="H51" s="5" t="str">
        <f>IFERROR(__xludf.DUMMYFUNCTION("GOOGLETRANSLATE(C51, ""en"", ""hi"")"),"A) केंद्रीय लेन की ओर दौड़ें, B) तेजी से किनारे की ओर बढ़ें, C) खुलने का इंतजार करें, D) विपरीत कोने पर जाएं")</f>
        <v>A) केंद्रीय लेन की ओर दौड़ें, B) तेजी से किनारे की ओर बढ़ें, C) खुलने का इंतजार करें, D) विपरीत कोने पर जाएं</v>
      </c>
      <c r="I51" s="5" t="str">
        <f>IFERROR(__xludf.DUMMYFUNCTION("GOOGLETRANSLATE(D51, ""en"", ""hi"")"),"A) केंद्रीय लेन की ओर दौड़ें")</f>
        <v>A) केंद्रीय लेन की ओर दौड़ें</v>
      </c>
    </row>
    <row r="52" ht="22.5" customHeight="1">
      <c r="A52" s="7">
        <v>51.0</v>
      </c>
      <c r="B52" s="7" t="s">
        <v>2475</v>
      </c>
      <c r="C52" s="7" t="s">
        <v>2476</v>
      </c>
      <c r="D52" s="7" t="s">
        <v>2477</v>
      </c>
      <c r="F52" s="5" t="str">
        <f>IFERROR(__xludf.DUMMYFUNCTION("GOOGLETRANSLATE(A52, ""en"", ""hi"")"),"51")</f>
        <v>51</v>
      </c>
      <c r="G52" s="5" t="str">
        <f>IFERROR(__xludf.DUMMYFUNCTION("GOOGLETRANSLATE(B52, ""en"", ""hi"")"),"टीम B का एक चेज़र अपने साथी को देर से 'खो' देता है, जिसके परिणामस्वरूप डिफेंडर को टैग करने में देरी होती है। इस देरी का क्या परिणाम हो सकता है?")</f>
        <v>टीम B का एक चेज़र अपने साथी को देर से 'खो' देता है, जिसके परिणामस्वरूप डिफेंडर को टैग करने में देरी होती है। इस देरी का क्या परिणाम हो सकता है?</v>
      </c>
      <c r="H52" s="5" t="str">
        <f>IFERROR(__xludf.DUMMYFUNCTION("GOOGLETRANSLATE(C52, ""en"", ""hi"")"),"A) डिफेंडर को लाभ मिलता है, B) पीछा करने वाली टीम को एक अंक मिलता है, C) डिफेंडर को दंडित किया जाता है, D) खेल रोक दिया जाता है")</f>
        <v>A) डिफेंडर को लाभ मिलता है, B) पीछा करने वाली टीम को एक अंक मिलता है, C) डिफेंडर को दंडित किया जाता है, D) खेल रोक दिया जाता है</v>
      </c>
      <c r="I52" s="5" t="str">
        <f>IFERROR(__xludf.DUMMYFUNCTION("GOOGLETRANSLATE(D52, ""en"", ""hi"")"),"A) डिफेंडर को लाभ मिलता है")</f>
        <v>A) डिफेंडर को लाभ मिलता है</v>
      </c>
    </row>
    <row r="53" ht="22.5" customHeight="1">
      <c r="A53" s="7">
        <v>52.0</v>
      </c>
      <c r="B53" s="7" t="s">
        <v>2478</v>
      </c>
      <c r="C53" s="7" t="s">
        <v>2479</v>
      </c>
      <c r="D53" s="7" t="s">
        <v>2480</v>
      </c>
      <c r="F53" s="5" t="str">
        <f>IFERROR(__xludf.DUMMYFUNCTION("GOOGLETRANSLATE(A53, ""en"", ""hi"")"),"52")</f>
        <v>52</v>
      </c>
      <c r="G53" s="5" t="str">
        <f>IFERROR(__xludf.DUMMYFUNCTION("GOOGLETRANSLATE(B53, ""en"", ""hi"")"),"खो-खो मैच के अंतिम क्षणों में, टीम A को जीतने के लिए 10 सेकंड और बचाव करना होता है। टीम A के डिफेंडर के लिए सबसे अच्छी रणनीति क्या है?")</f>
        <v>खो-खो मैच के अंतिम क्षणों में, टीम A को जीतने के लिए 10 सेकंड और बचाव करना होता है। टीम A के डिफेंडर के लिए सबसे अच्छी रणनीति क्या है?</v>
      </c>
      <c r="H53" s="5" t="str">
        <f>IFERROR(__xludf.DUMMYFUNCTION("GOOGLETRANSLATE(C53, ""en"", ""hi"")"),"A) सीधी रेखा में दौड़ना, B) तेजी से चकमा देना और छल करना, C) स्थिर खड़े रहना और प्रतीक्षा करना, D) मध्य लेन से भागना")</f>
        <v>A) सीधी रेखा में दौड़ना, B) तेजी से चकमा देना और छल करना, C) स्थिर खड़े रहना और प्रतीक्षा करना, D) मध्य लेन से भागना</v>
      </c>
      <c r="I53" s="5" t="str">
        <f>IFERROR(__xludf.DUMMYFUNCTION("GOOGLETRANSLATE(D53, ""en"", ""hi"")"),"बी) त्वरित चकमा और छल का प्रयोग करें")</f>
        <v>बी) त्वरित चकमा और छल का प्रयोग करें</v>
      </c>
    </row>
    <row r="54" ht="22.5" customHeight="1">
      <c r="A54" s="7">
        <v>53.0</v>
      </c>
      <c r="B54" s="7" t="s">
        <v>2481</v>
      </c>
      <c r="C54" s="7" t="s">
        <v>2482</v>
      </c>
      <c r="D54" s="7" t="s">
        <v>2373</v>
      </c>
      <c r="F54" s="5" t="str">
        <f>IFERROR(__xludf.DUMMYFUNCTION("GOOGLETRANSLATE(A54, ""en"", ""hi"")"),"53")</f>
        <v>53</v>
      </c>
      <c r="G54" s="5" t="str">
        <f>IFERROR(__xludf.DUMMYFUNCTION("GOOGLETRANSLATE(B54, ""en"", ""hi"")"),"एक महत्वपूर्ण राउंड के दौरान, टीम A का एक चेज़र, एक डिफेंडर को सेंट्रल लेन पार करने से ठीक पहले सफलतापूर्वक टैग कर देता है। रेफरी क्या फैसला लेगा?")</f>
        <v>एक महत्वपूर्ण राउंड के दौरान, टीम A का एक चेज़र, एक डिफेंडर को सेंट्रल लेन पार करने से ठीक पहले सफलतापूर्वक टैग कर देता है। रेफरी क्या फैसला लेगा?</v>
      </c>
      <c r="H54" s="5" t="str">
        <f>IFERROR(__xludf.DUMMYFUNCTION("GOOGLETRANSLATE(C54, ""en"", ""hi"")"),"A) डिफेंडर सुरक्षित है, B) डिफेंडर बाहर है, C) चेज़र एक अंक अर्जित करता है, D) चेज़र को देर से टैग करने के लिए अयोग्य घोषित किया जाता है")</f>
        <v>A) डिफेंडर सुरक्षित है, B) डिफेंडर बाहर है, C) चेज़र एक अंक अर्जित करता है, D) चेज़र को देर से टैग करने के लिए अयोग्य घोषित किया जाता है</v>
      </c>
      <c r="I54" s="5" t="str">
        <f>IFERROR(__xludf.DUMMYFUNCTION("GOOGLETRANSLATE(D54, ""en"", ""hi"")"),"B) डिफेंडर बाहर है")</f>
        <v>B) डिफेंडर बाहर है</v>
      </c>
    </row>
    <row r="55" ht="22.5" customHeight="1">
      <c r="A55" s="7">
        <v>54.0</v>
      </c>
      <c r="B55" s="7" t="s">
        <v>2483</v>
      </c>
      <c r="C55" s="7" t="s">
        <v>2484</v>
      </c>
      <c r="D55" s="7" t="s">
        <v>2485</v>
      </c>
      <c r="F55" s="5" t="str">
        <f>IFERROR(__xludf.DUMMYFUNCTION("GOOGLETRANSLATE(A55, ""en"", ""hi"")"),"54")</f>
        <v>54</v>
      </c>
      <c r="G55" s="5" t="str">
        <f>IFERROR(__xludf.DUMMYFUNCTION("GOOGLETRANSLATE(B55, ""en"", ""hi"")"),"टीम बी का डिफेंडर टैग से बचने के लिए एक चेज़र के ऊपर से कूदने की कोशिश करता है। लेकिन डिफेंडर खेल क्षेत्र के बाहर गिर जाता है। रेफरी क्या फैसला सुनाएगा?")</f>
        <v>टीम बी का डिफेंडर टैग से बचने के लिए एक चेज़र के ऊपर से कूदने की कोशिश करता है। लेकिन डिफेंडर खेल क्षेत्र के बाहर गिर जाता है। रेफरी क्या फैसला सुनाएगा?</v>
      </c>
      <c r="H55" s="5" t="str">
        <f>IFERROR(__xludf.DUMMYFUNCTION("GOOGLETRANSLATE(C55, ""en"", ""hi"")"),"A) डिफेंडर आउट हो गया, B) डिफेंडर ने रचनात्मक चकमा देने के लिए एक अंक अर्जित किया, C) चेज़र ने एक अंक अर्जित किया, D) डिफेंडर को मैदान में पुनः प्रवेश करना होगा")</f>
        <v>A) डिफेंडर आउट हो गया, B) डिफेंडर ने रचनात्मक चकमा देने के लिए एक अंक अर्जित किया, C) चेज़र ने एक अंक अर्जित किया, D) डिफेंडर को मैदान में पुनः प्रवेश करना होगा</v>
      </c>
      <c r="I55" s="5" t="str">
        <f>IFERROR(__xludf.DUMMYFUNCTION("GOOGLETRANSLATE(D55, ""en"", ""hi"")"),"A) डिफेंडर बाहर है")</f>
        <v>A) डिफेंडर बाहर है</v>
      </c>
    </row>
    <row r="56" ht="22.5" customHeight="1">
      <c r="A56" s="7">
        <v>55.0</v>
      </c>
      <c r="B56" s="7" t="s">
        <v>2486</v>
      </c>
      <c r="C56" s="7" t="s">
        <v>2487</v>
      </c>
      <c r="D56" s="7" t="s">
        <v>2488</v>
      </c>
      <c r="F56" s="5" t="str">
        <f>IFERROR(__xludf.DUMMYFUNCTION("GOOGLETRANSLATE(A56, ""en"", ""hi"")"),"55")</f>
        <v>55</v>
      </c>
      <c r="G56" s="5" t="str">
        <f>IFERROR(__xludf.DUMMYFUNCTION("GOOGLETRANSLATE(B56, ""en"", ""hi"")"),"टीम A का एक चेज़र थक रहा है और डिफेंडर के साथ कदमताल नहीं कर पा रहा है। चेज़र के लिए सबसे प्रभावी उपाय क्या है?")</f>
        <v>टीम A का एक चेज़र थक रहा है और डिफेंडर के साथ कदमताल नहीं कर पा रहा है। चेज़र के लिए सबसे प्रभावी उपाय क्या है?</v>
      </c>
      <c r="H56" s="5" t="str">
        <f>IFERROR(__xludf.DUMMYFUNCTION("GOOGLETRANSLATE(C56, ""en"", ""hi"")"),"A) तेज़ दौड़ना, B) 'खो' के लिए पुकारना, C) रुकना और आराम करना, D) डिफेंडर के समानांतर दौड़ना")</f>
        <v>A) तेज़ दौड़ना, B) 'खो' के लिए पुकारना, C) रुकना और आराम करना, D) डिफेंडर के समानांतर दौड़ना</v>
      </c>
      <c r="I56" s="5" t="str">
        <f>IFERROR(__xludf.DUMMYFUNCTION("GOOGLETRANSLATE(D56, ""en"", ""hi"")"),"बी) 'खो' के लिए आह्वान")</f>
        <v>बी) 'खो' के लिए आह्वान</v>
      </c>
    </row>
    <row r="57" ht="22.5" customHeight="1">
      <c r="A57" s="7">
        <v>56.0</v>
      </c>
      <c r="B57" s="7" t="s">
        <v>2489</v>
      </c>
      <c r="C57" s="7" t="s">
        <v>2490</v>
      </c>
      <c r="D57" s="7" t="s">
        <v>2491</v>
      </c>
      <c r="F57" s="5" t="str">
        <f>IFERROR(__xludf.DUMMYFUNCTION("GOOGLETRANSLATE(A57, ""en"", ""hi"")"),"56")</f>
        <v>56</v>
      </c>
      <c r="G57" s="5" t="str">
        <f>IFERROR(__xludf.DUMMYFUNCTION("GOOGLETRANSLATE(B57, ""en"", ""hi"")"),"खो-खो खेल के दौरान, टीम A के डिफेंडर टैग से बचने के लिए ज़िगज़ैग पैटर्न का इस्तेमाल कर रहे हैं। इस रणनीति से क्या फ़ायदा होता है?")</f>
        <v>खो-खो खेल के दौरान, टीम A के डिफेंडर टैग से बचने के लिए ज़िगज़ैग पैटर्न का इस्तेमाल कर रहे हैं। इस रणनीति से क्या फ़ायदा होता है?</v>
      </c>
      <c r="H57" s="5" t="str">
        <f>IFERROR(__xludf.DUMMYFUNCTION("GOOGLETRANSLATE(C57, ""en"", ""hi"")"),"A) पीछा करने वालों को भ्रमित करता है, B) रचनात्मकता के लिए अंक अर्जित करता है, C) रक्षकों की गति बढ़ाता है, D) आराम करने के लिए अधिक समय देता है")</f>
        <v>A) पीछा करने वालों को भ्रमित करता है, B) रचनात्मकता के लिए अंक अर्जित करता है, C) रक्षकों की गति बढ़ाता है, D) आराम करने के लिए अधिक समय देता है</v>
      </c>
      <c r="I57" s="5" t="str">
        <f>IFERROR(__xludf.DUMMYFUNCTION("GOOGLETRANSLATE(D57, ""en"", ""hi"")"),"A) पीछा करने वालों को भ्रमित करता है")</f>
        <v>A) पीछा करने वालों को भ्रमित करता है</v>
      </c>
    </row>
    <row r="58" ht="22.5" customHeight="1">
      <c r="A58" s="7">
        <v>57.0</v>
      </c>
      <c r="B58" s="7" t="s">
        <v>2492</v>
      </c>
      <c r="C58" s="7" t="s">
        <v>2493</v>
      </c>
      <c r="D58" s="7" t="s">
        <v>2494</v>
      </c>
      <c r="F58" s="5" t="str">
        <f>IFERROR(__xludf.DUMMYFUNCTION("GOOGLETRANSLATE(A58, ""en"", ""hi"")"),"57")</f>
        <v>57</v>
      </c>
      <c r="G58" s="5" t="str">
        <f>IFERROR(__xludf.DUMMYFUNCTION("GOOGLETRANSLATE(B58, ""en"", ""hi"")"),"टीम A का डिफेंडर टैग होने ही वाला है, लेकिन उसे समय रहते एक साथी खिलाड़ी से चेतावनी मिल जाती है ताकि वह बच सके। इस स्थिति में संचार की क्या भूमिका है?")</f>
        <v>टीम A का डिफेंडर टैग होने ही वाला है, लेकिन उसे समय रहते एक साथी खिलाड़ी से चेतावनी मिल जाती है ताकि वह बच सके। इस स्थिति में संचार की क्या भूमिका है?</v>
      </c>
      <c r="H58" s="5" t="str">
        <f>IFERROR(__xludf.DUMMYFUNCTION("GOOGLETRANSLATE(C58, ""en"", ""hi"")"),"A) तीव्र गति को प्रोत्साहित करता है, B) अनावश्यक फ़ाउल को रोकता है, C) रक्षकों को सतर्क रहने में मदद करता है, D) पीछा करने वालों को भ्रमित करता है")</f>
        <v>A) तीव्र गति को प्रोत्साहित करता है, B) अनावश्यक फ़ाउल को रोकता है, C) रक्षकों को सतर्क रहने में मदद करता है, D) पीछा करने वालों को भ्रमित करता है</v>
      </c>
      <c r="I58" s="5" t="str">
        <f>IFERROR(__xludf.DUMMYFUNCTION("GOOGLETRANSLATE(D58, ""en"", ""hi"")"),"C) रक्षकों को सतर्क रहने में मदद करता है")</f>
        <v>C) रक्षकों को सतर्क रहने में मदद करता है</v>
      </c>
    </row>
    <row r="59" ht="22.5" customHeight="1">
      <c r="A59" s="7">
        <v>58.0</v>
      </c>
      <c r="B59" s="7" t="s">
        <v>2495</v>
      </c>
      <c r="C59" s="7" t="s">
        <v>2496</v>
      </c>
      <c r="D59" s="7" t="s">
        <v>2497</v>
      </c>
      <c r="F59" s="5" t="str">
        <f>IFERROR(__xludf.DUMMYFUNCTION("GOOGLETRANSLATE(A59, ""en"", ""hi"")"),"58")</f>
        <v>58</v>
      </c>
      <c r="G59" s="5" t="str">
        <f>IFERROR(__xludf.DUMMYFUNCTION("GOOGLETRANSLATE(B59, ""en"", ""hi"")"),"एक टूर्नामेंट में, टीम B के पास मैच जीतने के लिए पर्याप्त अंक हासिल करने के लिए केवल 30 सेकंड बचे हैं। लक्ष्य का पीछा करने वाली टीमों के लिए अपनी संभावनाओं को अधिकतम करने की सर्वोत्तम रणनीति क्या है?")</f>
        <v>एक टूर्नामेंट में, टीम B के पास मैच जीतने के लिए पर्याप्त अंक हासिल करने के लिए केवल 30 सेकंड बचे हैं। लक्ष्य का पीछा करने वाली टीमों के लिए अपनी संभावनाओं को अधिकतम करने की सर्वोत्तम रणनीति क्या है?</v>
      </c>
      <c r="H59" s="5" t="str">
        <f>IFERROR(__xludf.DUMMYFUNCTION("GOOGLETRANSLATE(C59, ""en"", ""hi"")"),"A) एक डिफेंडर पर ध्यान केंद्रित करें, B) लगातार 'खो' दें, C) गति धीमी करें, D) डिफेंडरों के थकने का इंतजार करें")</f>
        <v>A) एक डिफेंडर पर ध्यान केंद्रित करें, B) लगातार 'खो' दें, C) गति धीमी करें, D) डिफेंडरों के थकने का इंतजार करें</v>
      </c>
      <c r="I59" s="5" t="str">
        <f>IFERROR(__xludf.DUMMYFUNCTION("GOOGLETRANSLATE(D59, ""en"", ""hi"")"),"B) बार-बार 'खो' दें")</f>
        <v>B) बार-बार 'खो' दें</v>
      </c>
    </row>
    <row r="60" ht="22.5" customHeight="1">
      <c r="A60" s="7">
        <v>59.0</v>
      </c>
      <c r="B60" s="7" t="s">
        <v>2498</v>
      </c>
      <c r="C60" s="7" t="s">
        <v>2499</v>
      </c>
      <c r="D60" s="7" t="s">
        <v>2500</v>
      </c>
      <c r="F60" s="5" t="str">
        <f>IFERROR(__xludf.DUMMYFUNCTION("GOOGLETRANSLATE(A60, ""en"", ""hi"")"),"59")</f>
        <v>59</v>
      </c>
      <c r="G60" s="5" t="str">
        <f>IFERROR(__xludf.DUMMYFUNCTION("GOOGLETRANSLATE(B60, ""en"", ""hi"")"),"टीम B का एक चेज़र बार-बार एक ही डिफेंडर को टैग करता है। इस स्थिति में किस नियम का उल्लंघन होता है?")</f>
        <v>टीम B का एक चेज़र बार-बार एक ही डिफेंडर को टैग करता है। इस स्थिति में किस नियम का उल्लंघन होता है?</v>
      </c>
      <c r="H60" s="5" t="str">
        <f>IFERROR(__xludf.DUMMYFUNCTION("GOOGLETRANSLATE(C60, ""en"", ""hi"")"),"A) डिफेंडर को अयोग्य घोषित कर दिया जाता है, B) चेज़र को दंडित किया जाता है, C) एकाधिक टैग की अनुमति दी जाती है, D) चेज़र को प्रतिस्थापित किया जाता है")</f>
        <v>A) डिफेंडर को अयोग्य घोषित कर दिया जाता है, B) चेज़र को दंडित किया जाता है, C) एकाधिक टैग की अनुमति दी जाती है, D) चेज़र को प्रतिस्थापित किया जाता है</v>
      </c>
      <c r="I60" s="5" t="str">
        <f>IFERROR(__xludf.DUMMYFUNCTION("GOOGLETRANSLATE(D60, ""en"", ""hi"")"),"B) चेज़र को दंडित किया जाता है")</f>
        <v>B) चेज़र को दंडित किया जाता है</v>
      </c>
    </row>
    <row r="61" ht="22.5" customHeight="1">
      <c r="A61" s="7">
        <v>60.0</v>
      </c>
      <c r="B61" s="7" t="s">
        <v>2501</v>
      </c>
      <c r="C61" s="7" t="s">
        <v>2502</v>
      </c>
      <c r="D61" s="7" t="s">
        <v>2503</v>
      </c>
      <c r="F61" s="5" t="str">
        <f>IFERROR(__xludf.DUMMYFUNCTION("GOOGLETRANSLATE(A61, ""en"", ""hi"")"),"60")</f>
        <v>60</v>
      </c>
      <c r="G61" s="5" t="str">
        <f>IFERROR(__xludf.DUMMYFUNCTION("GOOGLETRANSLATE(B61, ""en"", ""hi"")"),"एक मैच के दौरान, टीम A का चेज़र शुरुआत में ही 'खो' कर देता है, जिससे टीम के खिलाड़ियों में भ्रम की स्थिति पैदा हो जाती है। इसका टीम A की संभावनाओं पर क्या असर पड़ सकता है?")</f>
        <v>एक मैच के दौरान, टीम A का चेज़र शुरुआत में ही 'खो' कर देता है, जिससे टीम के खिलाड़ियों में भ्रम की स्थिति पैदा हो जाती है। इसका टीम A की संभावनाओं पर क्या असर पड़ सकता है?</v>
      </c>
      <c r="H61" s="5" t="str">
        <f>IFERROR(__xludf.DUMMYFUNCTION("GOOGLETRANSLATE(C61, ""en"", ""hi"")"),"A) गति बढ़ाता है, B) समन्वय में गड़बड़ी पैदा करता है, C) रक्षकों को सतर्क रहने में मदद करता है, D) अयोग्यता की ओर ले जाता है")</f>
        <v>A) गति बढ़ाता है, B) समन्वय में गड़बड़ी पैदा करता है, C) रक्षकों को सतर्क रहने में मदद करता है, D) अयोग्यता की ओर ले जाता है</v>
      </c>
      <c r="I61" s="5" t="str">
        <f>IFERROR(__xludf.DUMMYFUNCTION("GOOGLETRANSLATE(D61, ""en"", ""hi"")"),"B) गलत समन्वय का कारण बनता है")</f>
        <v>B) गलत समन्वय का कारण बनता है</v>
      </c>
    </row>
    <row r="62" ht="22.5" customHeight="1">
      <c r="A62" s="7">
        <v>61.0</v>
      </c>
      <c r="B62" s="7" t="s">
        <v>2504</v>
      </c>
      <c r="C62" s="7" t="s">
        <v>2505</v>
      </c>
      <c r="D62" s="7" t="s">
        <v>2485</v>
      </c>
      <c r="F62" s="5" t="str">
        <f>IFERROR(__xludf.DUMMYFUNCTION("GOOGLETRANSLATE(A62, ""en"", ""hi"")"),"61")</f>
        <v>61</v>
      </c>
      <c r="G62" s="5" t="str">
        <f>IFERROR(__xludf.DUMMYFUNCTION("GOOGLETRANSLATE(B62, ""en"", ""hi"")"),"एक बेहद रोमांचक फ़ाइनल में, टीम B का डिफेंडर तीन चेज़र्स को सफलतापूर्वक चकमा देता है, लेकिन बाद में सीमा से बाहर चला जाता है। फ़ैसला क्या है?")</f>
        <v>एक बेहद रोमांचक फ़ाइनल में, टीम B का डिफेंडर तीन चेज़र्स को सफलतापूर्वक चकमा देता है, लेकिन बाद में सीमा से बाहर चला जाता है। फ़ैसला क्या है?</v>
      </c>
      <c r="H62" s="5" t="str">
        <f>IFERROR(__xludf.DUMMYFUNCTION("GOOGLETRANSLATE(C62, ""en"", ""hi"")"),"ए) डिफेंडर आउट हो गया, बी) डिफेंडर ने एक अंक हासिल किया, सी) चेज़र ने एक अंक अर्जित किया, डी) डिफेंडर को चेतावनी दी गई लेकिन वह खेलना जारी रखता है")</f>
        <v>ए) डिफेंडर आउट हो गया, बी) डिफेंडर ने एक अंक हासिल किया, सी) चेज़र ने एक अंक अर्जित किया, डी) डिफेंडर को चेतावनी दी गई लेकिन वह खेलना जारी रखता है</v>
      </c>
      <c r="I62" s="5" t="str">
        <f>IFERROR(__xludf.DUMMYFUNCTION("GOOGLETRANSLATE(D62, ""en"", ""hi"")"),"A) डिफेंडर बाहर है")</f>
        <v>A) डिफेंडर बाहर है</v>
      </c>
    </row>
    <row r="63" ht="22.5" customHeight="1">
      <c r="A63" s="7">
        <v>62.0</v>
      </c>
      <c r="B63" s="7" t="s">
        <v>2506</v>
      </c>
      <c r="C63" s="7" t="s">
        <v>2507</v>
      </c>
      <c r="D63" s="7" t="s">
        <v>2508</v>
      </c>
      <c r="F63" s="5" t="str">
        <f>IFERROR(__xludf.DUMMYFUNCTION("GOOGLETRANSLATE(A63, ""en"", ""hi"")"),"62")</f>
        <v>62</v>
      </c>
      <c r="G63" s="5" t="str">
        <f>IFERROR(__xludf.DUMMYFUNCTION("GOOGLETRANSLATE(B63, ""en"", ""hi"")"),"एक करीबी मुकाबले के दौरान, टीम A का डिफेंडर, पीछा करने वाले खिलाड़ी से बचने के लिए अचानक पीछे मुड़ जाता है। इससे क्या सामरिक लाभ मिलता है?")</f>
        <v>एक करीबी मुकाबले के दौरान, टीम A का डिफेंडर, पीछा करने वाले खिलाड़ी से बचने के लिए अचानक पीछे मुड़ जाता है। इससे क्या सामरिक लाभ मिलता है?</v>
      </c>
      <c r="H63" s="5" t="str">
        <f>IFERROR(__xludf.DUMMYFUNCTION("GOOGLETRANSLATE(C63, ""en"", ""hi"")"),"A) पीछा करने वाले को भ्रमित करता है, B) गति बढ़ाता है, C) अतिरिक्त अंक प्राप्त करता है, D) फ़ाउल से बचाता है")</f>
        <v>A) पीछा करने वाले को भ्रमित करता है, B) गति बढ़ाता है, C) अतिरिक्त अंक प्राप्त करता है, D) फ़ाउल से बचाता है</v>
      </c>
      <c r="I63" s="5" t="str">
        <f>IFERROR(__xludf.DUMMYFUNCTION("GOOGLETRANSLATE(D63, ""en"", ""hi"")"),"A) पीछा करने वाले को भ्रमित करता है")</f>
        <v>A) पीछा करने वाले को भ्रमित करता है</v>
      </c>
    </row>
    <row r="64" ht="22.5" customHeight="1">
      <c r="A64" s="7">
        <v>63.0</v>
      </c>
      <c r="B64" s="7" t="s">
        <v>2509</v>
      </c>
      <c r="C64" s="7" t="s">
        <v>2510</v>
      </c>
      <c r="D64" s="7" t="s">
        <v>2373</v>
      </c>
      <c r="F64" s="5" t="str">
        <f>IFERROR(__xludf.DUMMYFUNCTION("GOOGLETRANSLATE(A64, ""en"", ""hi"")"),"63")</f>
        <v>63</v>
      </c>
      <c r="G64" s="5" t="str">
        <f>IFERROR(__xludf.DUMMYFUNCTION("GOOGLETRANSLATE(B64, ""en"", ""hi"")"),"टीम बी का एक डिफेंडर सेंट्रल लेन पार करने की कोशिश करता है, लेकिन आगे बढ़ने से ठीक पहले उसे टैग कर दिया जाता है। रेफरी क्या फैसला करेगा?")</f>
        <v>टीम बी का एक डिफेंडर सेंट्रल लेन पार करने की कोशिश करता है, लेकिन आगे बढ़ने से ठीक पहले उसे टैग कर दिया जाता है। रेफरी क्या फैसला करेगा?</v>
      </c>
      <c r="H64" s="5" t="str">
        <f>IFERROR(__xludf.DUMMYFUNCTION("GOOGLETRANSLATE(C64, ""en"", ""hi"")"),"A) डिफेंडर सुरक्षित है, B) डिफेंडर बाहर है, C) चेज़र एक अंक अर्जित करता है, D) राउंड रीसेट हो जाता है")</f>
        <v>A) डिफेंडर सुरक्षित है, B) डिफेंडर बाहर है, C) चेज़र एक अंक अर्जित करता है, D) राउंड रीसेट हो जाता है</v>
      </c>
      <c r="I64" s="5" t="str">
        <f>IFERROR(__xludf.DUMMYFUNCTION("GOOGLETRANSLATE(D64, ""en"", ""hi"")"),"B) डिफेंडर बाहर है")</f>
        <v>B) डिफेंडर बाहर है</v>
      </c>
    </row>
    <row r="65" ht="22.5" customHeight="1">
      <c r="A65" s="7">
        <v>64.0</v>
      </c>
      <c r="B65" s="7" t="s">
        <v>2511</v>
      </c>
      <c r="C65" s="7" t="s">
        <v>2512</v>
      </c>
      <c r="D65" s="7" t="s">
        <v>2513</v>
      </c>
      <c r="F65" s="5" t="str">
        <f>IFERROR(__xludf.DUMMYFUNCTION("GOOGLETRANSLATE(A65, ""en"", ""hi"")"),"64")</f>
        <v>64</v>
      </c>
      <c r="G65" s="5" t="str">
        <f>IFERROR(__xludf.DUMMYFUNCTION("GOOGLETRANSLATE(B65, ""en"", ""hi"")"),"एक तनावपूर्ण फ़ाइनल में, टीम A का चेज़र देर से 'खो' देता है, जिससे अगला चेज़र टैगिंग का मौका गँवा देता है। टीम A को अपनी रणनीति में कैसे बदलाव करना चाहिए?")</f>
        <v>एक तनावपूर्ण फ़ाइनल में, टीम A का चेज़र देर से 'खो' देता है, जिससे अगला चेज़र टैगिंग का मौका गँवा देता है। टीम A को अपनी रणनीति में कैसे बदलाव करना चाहिए?</v>
      </c>
      <c r="H65" s="5" t="str">
        <f>IFERROR(__xludf.DUMMYFUNCTION("GOOGLETRANSLATE(C65, ""en"", ""hi"")"),"A) 'खो' पहले दें, B) गति धीमी करें, C) 'खो' का उपयोग करने से बचें, D) व्यक्तिगत पीछा करने वालों पर ध्यान केंद्रित करें")</f>
        <v>A) 'खो' पहले दें, B) गति धीमी करें, C) 'खो' का उपयोग करने से बचें, D) व्यक्तिगत पीछा करने वालों पर ध्यान केंद्रित करें</v>
      </c>
      <c r="I65" s="5" t="str">
        <f>IFERROR(__xludf.DUMMYFUNCTION("GOOGLETRANSLATE(D65, ""en"", ""hi"")"),"A) पहले 'खो' दें")</f>
        <v>A) पहले 'खो' दें</v>
      </c>
    </row>
    <row r="66" ht="22.5" customHeight="1">
      <c r="A66" s="7">
        <v>65.0</v>
      </c>
      <c r="B66" s="7" t="s">
        <v>2514</v>
      </c>
      <c r="C66" s="7" t="s">
        <v>2515</v>
      </c>
      <c r="D66" s="7" t="s">
        <v>2516</v>
      </c>
      <c r="F66" s="5" t="str">
        <f>IFERROR(__xludf.DUMMYFUNCTION("GOOGLETRANSLATE(A66, ""en"", ""hi"")"),"65")</f>
        <v>65</v>
      </c>
      <c r="G66" s="5" t="str">
        <f>IFERROR(__xludf.DUMMYFUNCTION("GOOGLETRANSLATE(B66, ""en"", ""hi"")"),"टीम बी का डिफेंडर टैग से बचने के लिए लगातार लेन बदल रहा है। इसका पीछा करने वाली टीम पर क्या असर पड़ता है?")</f>
        <v>टीम बी का डिफेंडर टैग से बचने के लिए लगातार लेन बदल रहा है। इसका पीछा करने वाली टीम पर क्या असर पड़ता है?</v>
      </c>
      <c r="H66" s="5" t="str">
        <f>IFERROR(__xludf.DUMMYFUNCTION("GOOGLETRANSLATE(C66, ""en"", ""hi"")"),"A) चेज़र्स को थका देता है, B) स्विच करने पर अतिरिक्त अंक प्राप्त करता है, C) चेज़र्स को आराम करने देता है, D) चेज़र्स को अतिरिक्त गति प्राप्त होती है")</f>
        <v>A) चेज़र्स को थका देता है, B) स्विच करने पर अतिरिक्त अंक प्राप्त करता है, C) चेज़र्स को आराम करने देता है, D) चेज़र्स को अतिरिक्त गति प्राप्त होती है</v>
      </c>
      <c r="I66" s="5" t="str">
        <f>IFERROR(__xludf.DUMMYFUNCTION("GOOGLETRANSLATE(D66, ""en"", ""hi"")"),"A) पीछा करने वालों को थका देता है")</f>
        <v>A) पीछा करने वालों को थका देता है</v>
      </c>
    </row>
    <row r="67" ht="22.5" customHeight="1">
      <c r="A67" s="7">
        <v>66.0</v>
      </c>
      <c r="B67" s="7" t="s">
        <v>2517</v>
      </c>
      <c r="C67" s="7" t="s">
        <v>2518</v>
      </c>
      <c r="D67" s="7" t="s">
        <v>2449</v>
      </c>
      <c r="F67" s="5" t="str">
        <f>IFERROR(__xludf.DUMMYFUNCTION("GOOGLETRANSLATE(A67, ""en"", ""hi"")"),"66")</f>
        <v>66</v>
      </c>
      <c r="G67" s="5" t="str">
        <f>IFERROR(__xludf.DUMMYFUNCTION("GOOGLETRANSLATE(B67, ""en"", ""hi"")"),"एक मैच के दौरान, टीम A का एक चेज़र एक डिफेंडर को सफलतापूर्वक टैग करता है, लेकिन उसका हाथ लेन के बाहर लग जाता है। रेफरी क्या फैसला सुनाएगा?")</f>
        <v>एक मैच के दौरान, टीम A का एक चेज़र एक डिफेंडर को सफलतापूर्वक टैग करता है, लेकिन उसका हाथ लेन के बाहर लग जाता है। रेफरी क्या फैसला सुनाएगा?</v>
      </c>
      <c r="H67" s="5" t="str">
        <f>IFERROR(__xludf.DUMMYFUNCTION("GOOGLETRANSLATE(C67, ""en"", ""hi"")"),"A) डिफेंडर आउट हो गया, B) डिफेंडर सुरक्षित है, C) चेज़र ने एक अंक अर्जित किया, D) डिफेंडर ने एक अंक प्राप्त किया")</f>
        <v>A) डिफेंडर आउट हो गया, B) डिफेंडर सुरक्षित है, C) चेज़र ने एक अंक अर्जित किया, D) डिफेंडर ने एक अंक प्राप्त किया</v>
      </c>
      <c r="I67" s="5" t="str">
        <f>IFERROR(__xludf.DUMMYFUNCTION("GOOGLETRANSLATE(D67, ""en"", ""hi"")"),"बी) डिफेंडर सुरक्षित है")</f>
        <v>बी) डिफेंडर सुरक्षित है</v>
      </c>
    </row>
    <row r="68" ht="22.5" customHeight="1">
      <c r="A68" s="7">
        <v>67.0</v>
      </c>
      <c r="B68" s="7" t="s">
        <v>2519</v>
      </c>
      <c r="C68" s="7" t="s">
        <v>2520</v>
      </c>
      <c r="D68" s="7" t="s">
        <v>2521</v>
      </c>
      <c r="F68" s="5" t="str">
        <f>IFERROR(__xludf.DUMMYFUNCTION("GOOGLETRANSLATE(A68, ""en"", ""hi"")"),"67")</f>
        <v>67</v>
      </c>
      <c r="G68" s="5" t="str">
        <f>IFERROR(__xludf.DUMMYFUNCTION("GOOGLETRANSLATE(B68, ""en"", ""hi"")"),"मैच के आखिरी क्षणों में, टीम बी का डिफेंडर साइडलाइन के पास रहकर समय खत्म करने की कोशिश कर रहा है। इस रणनीति का जोखिम क्या है?")</f>
        <v>मैच के आखिरी क्षणों में, टीम बी का डिफेंडर साइडलाइन के पास रहकर समय खत्म करने की कोशिश कर रहा है। इस रणनीति का जोखिम क्या है?</v>
      </c>
      <c r="H68" s="5" t="str">
        <f>IFERROR(__xludf.DUMMYFUNCTION("GOOGLETRANSLATE(C68, ""en"", ""hi"")"),"A) डिफेंडर को आसानी से फंसाया जा सकता है, B) डिफेंडर को अतिरिक्त अंक मिलते हैं, C) चेज़र थक जाएंगे, D) डिफेंडर आराम कर सकता है और ठीक हो सकता है")</f>
        <v>A) डिफेंडर को आसानी से फंसाया जा सकता है, B) डिफेंडर को अतिरिक्त अंक मिलते हैं, C) चेज़र थक जाएंगे, D) डिफेंडर आराम कर सकता है और ठीक हो सकता है</v>
      </c>
      <c r="I68" s="5" t="str">
        <f>IFERROR(__xludf.DUMMYFUNCTION("GOOGLETRANSLATE(D68, ""en"", ""hi"")"),"A) डिफेंडर को आसानी से फँसाया जा सकता है")</f>
        <v>A) डिफेंडर को आसानी से फँसाया जा सकता है</v>
      </c>
    </row>
    <row r="69" ht="22.5" customHeight="1">
      <c r="A69" s="7">
        <v>68.0</v>
      </c>
      <c r="B69" s="7" t="s">
        <v>2522</v>
      </c>
      <c r="C69" s="7" t="s">
        <v>2523</v>
      </c>
      <c r="D69" s="7" t="s">
        <v>2485</v>
      </c>
      <c r="F69" s="5" t="str">
        <f>IFERROR(__xludf.DUMMYFUNCTION("GOOGLETRANSLATE(A69, ""en"", ""hi"")"),"68")</f>
        <v>68</v>
      </c>
      <c r="G69" s="5" t="str">
        <f>IFERROR(__xludf.DUMMYFUNCTION("GOOGLETRANSLATE(B69, ""en"", ""hi"")"),"टीम A का एक चेज़र एक डिफेंडर को टैग करता है जैसे ही डिफेंडर सेंट्रल लेन पार करता है। हालाँकि, चेज़र का पैर अभी भी लेन में ही है। नतीजा क्या होता है?")</f>
        <v>टीम A का एक चेज़र एक डिफेंडर को टैग करता है जैसे ही डिफेंडर सेंट्रल लेन पार करता है। हालाँकि, चेज़र का पैर अभी भी लेन में ही है। नतीजा क्या होता है?</v>
      </c>
      <c r="H69" s="5" t="str">
        <f>IFERROR(__xludf.DUMMYFUNCTION("GOOGLETRANSLATE(C69, ""en"", ""hi"")"),"A) डिफेंडर आउट हो गया, B) डिफेंडर सुरक्षित है, C) चेज़र को एक अंक मिला, D) चेज़र को दंडित किया गया")</f>
        <v>A) डिफेंडर आउट हो गया, B) डिफेंडर सुरक्षित है, C) चेज़र को एक अंक मिला, D) चेज़र को दंडित किया गया</v>
      </c>
      <c r="I69" s="5" t="str">
        <f>IFERROR(__xludf.DUMMYFUNCTION("GOOGLETRANSLATE(D69, ""en"", ""hi"")"),"A) डिफेंडर बाहर है")</f>
        <v>A) डिफेंडर बाहर है</v>
      </c>
    </row>
    <row r="70" ht="22.5" customHeight="1">
      <c r="A70" s="7">
        <v>69.0</v>
      </c>
      <c r="B70" s="7" t="s">
        <v>2524</v>
      </c>
      <c r="C70" s="7" t="s">
        <v>2525</v>
      </c>
      <c r="D70" s="7" t="s">
        <v>2526</v>
      </c>
      <c r="F70" s="5" t="str">
        <f>IFERROR(__xludf.DUMMYFUNCTION("GOOGLETRANSLATE(A70, ""en"", ""hi"")"),"69")</f>
        <v>69</v>
      </c>
      <c r="G70" s="5" t="str">
        <f>IFERROR(__xludf.DUMMYFUNCTION("GOOGLETRANSLATE(B70, ""en"", ""hi"")"),"एक महत्वपूर्ण मैच में, टीम A का डिफेंडर सेंट्रल लेन के पास रहकर कई चेज़र्स को चकमा दे रहा है। इस रणनीति का सबसे संभावित लाभ क्या है?")</f>
        <v>एक महत्वपूर्ण मैच में, टीम A का डिफेंडर सेंट्रल लेन के पास रहकर कई चेज़र्स को चकमा दे रहा है। इस रणनीति का सबसे संभावित लाभ क्या है?</v>
      </c>
      <c r="H70" s="5" t="str">
        <f>IFERROR(__xludf.DUMMYFUNCTION("GOOGLETRANSLATE(C70, ""en"", ""hi"")"),"A) दिशा बदलना आसान होता है, B) अतिरिक्त अंक मिलते हैं, C) आराम का समय मिलता है, D) पीछा करने वालों को भ्रमित करता है")</f>
        <v>A) दिशा बदलना आसान होता है, B) अतिरिक्त अंक मिलते हैं, C) आराम का समय मिलता है, D) पीछा करने वालों को भ्रमित करता है</v>
      </c>
      <c r="I70" s="5" t="str">
        <f>IFERROR(__xludf.DUMMYFUNCTION("GOOGLETRANSLATE(D70, ""en"", ""hi"")"),"A) दिशाएँ शीघ्रता से बदलना आसान")</f>
        <v>A) दिशाएँ शीघ्रता से बदलना आसान</v>
      </c>
    </row>
    <row r="71" ht="22.5" customHeight="1">
      <c r="A71" s="7">
        <v>70.0</v>
      </c>
      <c r="B71" s="7" t="s">
        <v>2527</v>
      </c>
      <c r="C71" s="7" t="s">
        <v>2528</v>
      </c>
      <c r="D71" s="7" t="s">
        <v>2529</v>
      </c>
      <c r="F71" s="5" t="str">
        <f>IFERROR(__xludf.DUMMYFUNCTION("GOOGLETRANSLATE(A71, ""en"", ""hi"")"),"70")</f>
        <v>70</v>
      </c>
      <c r="G71" s="5" t="str">
        <f>IFERROR(__xludf.DUMMYFUNCTION("GOOGLETRANSLATE(B71, ""en"", ""hi"")"),"एक गरमागरम खो-खो मैच के दौरान, टीम बी का चेज़र गलती से एक साथ दो डिफेंडरों को टैग कर देता है। रेफरी क्या फैसला लेगा?")</f>
        <v>एक गरमागरम खो-खो मैच के दौरान, टीम बी का चेज़र गलती से एक साथ दो डिफेंडरों को टैग कर देता है। रेफरी क्या फैसला लेगा?</v>
      </c>
      <c r="H71" s="5" t="str">
        <f>IFERROR(__xludf.DUMMYFUNCTION("GOOGLETRANSLATE(C71, ""en"", ""hi"")"),"A) दोनों डिफेंडर आउट हैं, B) दोनों डिफेंडर सुरक्षित हैं, C) केवल एक डिफेंडर आउट है, D) चेज़र को दंडित किया गया है")</f>
        <v>A) दोनों डिफेंडर आउट हैं, B) दोनों डिफेंडर सुरक्षित हैं, C) केवल एक डिफेंडर आउट है, D) चेज़र को दंडित किया गया है</v>
      </c>
      <c r="I71" s="5" t="str">
        <f>IFERROR(__xludf.DUMMYFUNCTION("GOOGLETRANSLATE(D71, ""en"", ""hi"")"),"C) केवल एक डिफेंडर आउट है")</f>
        <v>C) केवल एक डिफेंडर आउट है</v>
      </c>
    </row>
    <row r="72" ht="22.5" customHeight="1">
      <c r="A72" s="7">
        <v>71.0</v>
      </c>
      <c r="B72" s="7" t="s">
        <v>2530</v>
      </c>
      <c r="C72" s="7" t="s">
        <v>2531</v>
      </c>
      <c r="D72" s="7" t="s">
        <v>2485</v>
      </c>
      <c r="F72" s="5" t="str">
        <f>IFERROR(__xludf.DUMMYFUNCTION("GOOGLETRANSLATE(A72, ""en"", ""hi"")"),"71")</f>
        <v>71</v>
      </c>
      <c r="G72" s="5" t="str">
        <f>IFERROR(__xludf.DUMMYFUNCTION("GOOGLETRANSLATE(B72, ""en"", ""hi"")"),"टीम A का एक डिफेंडर एक चेज़र को चकमा देने की कोशिश करता है, लेकिन खेल के मैदान से बाहर चला जाता है। इस हरकत का क्या नतीजा होता है?")</f>
        <v>टीम A का एक डिफेंडर एक चेज़र को चकमा देने की कोशिश करता है, लेकिन खेल के मैदान से बाहर चला जाता है। इस हरकत का क्या नतीजा होता है?</v>
      </c>
      <c r="H72" s="5" t="str">
        <f>IFERROR(__xludf.DUMMYFUNCTION("GOOGLETRANSLATE(C72, ""en"", ""hi"")"),"A) डिफेंडर बाहर है, B) डिफेंडर सुरक्षित है, C) चेज़र को एक अंक दिया जाता है, D) राउंड रीसेट किया जाता है")</f>
        <v>A) डिफेंडर बाहर है, B) डिफेंडर सुरक्षित है, C) चेज़र को एक अंक दिया जाता है, D) राउंड रीसेट किया जाता है</v>
      </c>
      <c r="I72" s="5" t="str">
        <f>IFERROR(__xludf.DUMMYFUNCTION("GOOGLETRANSLATE(D72, ""en"", ""hi"")"),"A) डिफेंडर बाहर है")</f>
        <v>A) डिफेंडर बाहर है</v>
      </c>
    </row>
    <row r="73" ht="22.5" customHeight="1">
      <c r="A73" s="7">
        <v>72.0</v>
      </c>
      <c r="B73" s="7" t="s">
        <v>2532</v>
      </c>
      <c r="C73" s="7" t="s">
        <v>2533</v>
      </c>
      <c r="D73" s="7" t="s">
        <v>2534</v>
      </c>
      <c r="F73" s="5" t="str">
        <f>IFERROR(__xludf.DUMMYFUNCTION("GOOGLETRANSLATE(A73, ""en"", ""hi"")"),"72")</f>
        <v>72</v>
      </c>
      <c r="G73" s="5" t="str">
        <f>IFERROR(__xludf.DUMMYFUNCTION("GOOGLETRANSLATE(B73, ""en"", ""hi"")"),"एक फ़ाइनल मैच में, टीम B को जीतने के लिए एक डिफेंडर को जल्दी से टैग करना होता है। चेज़र 'खो' देने से पहले हिचकिचाता है। इस हिचकिचाहट का क्या असर होता है?")</f>
        <v>एक फ़ाइनल मैच में, टीम B को जीतने के लिए एक डिफेंडर को जल्दी से टैग करना होता है। चेज़र 'खो' देने से पहले हिचकिचाता है। इस हिचकिचाहट का क्या असर होता है?</v>
      </c>
      <c r="H73" s="5" t="str">
        <f>IFERROR(__xludf.DUMMYFUNCTION("GOOGLETRANSLATE(C73, ""en"", ""hi"")"),"A) डिफेंडर को अतिरिक्त समय मिलता है, B) चेज़र को लाभ मिलता है, C) डिफेंडर को दंडित किया जाता है, D) चेज़र को एक अंक मिलता है")</f>
        <v>A) डिफेंडर को अतिरिक्त समय मिलता है, B) चेज़र को लाभ मिलता है, C) डिफेंडर को दंडित किया जाता है, D) चेज़र को एक अंक मिलता है</v>
      </c>
      <c r="I73" s="5" t="str">
        <f>IFERROR(__xludf.DUMMYFUNCTION("GOOGLETRANSLATE(D73, ""en"", ""hi"")"),"A) डिफेंडर को अतिरिक्त समय मिलता है")</f>
        <v>A) डिफेंडर को अतिरिक्त समय मिलता है</v>
      </c>
    </row>
    <row r="74" ht="22.5" customHeight="1">
      <c r="A74" s="7">
        <v>73.0</v>
      </c>
      <c r="B74" s="7" t="s">
        <v>2535</v>
      </c>
      <c r="C74" s="7" t="s">
        <v>2536</v>
      </c>
      <c r="D74" s="7" t="s">
        <v>2537</v>
      </c>
      <c r="F74" s="5" t="str">
        <f>IFERROR(__xludf.DUMMYFUNCTION("GOOGLETRANSLATE(A74, ""en"", ""hi"")"),"73")</f>
        <v>73</v>
      </c>
      <c r="G74" s="5" t="str">
        <f>IFERROR(__xludf.DUMMYFUNCTION("GOOGLETRANSLATE(B74, ""en"", ""hi"")"),"एक सेमीफ़ाइनल मैच के दौरान, टीम A का एक डिफेंडर दो चेज़र्स से घिरा हुआ है, लेकिन एक तेज़ मोड़ से बच निकलने में कामयाब हो जाता है। इस बच निकलने का सबसे संभावित प्रभाव क्या होगा?")</f>
        <v>एक सेमीफ़ाइनल मैच के दौरान, टीम A का एक डिफेंडर दो चेज़र्स से घिरा हुआ है, लेकिन एक तेज़ मोड़ से बच निकलने में कामयाब हो जाता है। इस बच निकलने का सबसे संभावित प्रभाव क्या होगा?</v>
      </c>
      <c r="H74" s="5" t="str">
        <f>IFERROR(__xludf.DUMMYFUNCTION("GOOGLETRANSLATE(C74, ""en"", ""hi"")"),"A) डिफेंडर को अतिरिक्त समय मिलता है, B) चेज़र्स समन्वय खो देते हैं, C) डिफेंडर एक अंक अर्जित करता है, D) चेज़र्स को दंडित किया जाता है")</f>
        <v>A) डिफेंडर को अतिरिक्त समय मिलता है, B) चेज़र्स समन्वय खो देते हैं, C) डिफेंडर एक अंक अर्जित करता है, D) चेज़र्स को दंडित किया जाता है</v>
      </c>
      <c r="I74" s="5" t="str">
        <f>IFERROR(__xludf.DUMMYFUNCTION("GOOGLETRANSLATE(D74, ""en"", ""hi"")"),"B) पीछा करने वाले समन्वय खो देते हैं")</f>
        <v>B) पीछा करने वाले समन्वय खो देते हैं</v>
      </c>
    </row>
    <row r="75" ht="22.5" customHeight="1">
      <c r="A75" s="7">
        <v>74.0</v>
      </c>
      <c r="B75" s="7" t="s">
        <v>2538</v>
      </c>
      <c r="C75" s="7" t="s">
        <v>2539</v>
      </c>
      <c r="D75" s="7" t="s">
        <v>2540</v>
      </c>
      <c r="F75" s="5" t="str">
        <f>IFERROR(__xludf.DUMMYFUNCTION("GOOGLETRANSLATE(A75, ""en"", ""hi"")"),"74")</f>
        <v>74</v>
      </c>
      <c r="G75" s="5" t="str">
        <f>IFERROR(__xludf.DUMMYFUNCTION("GOOGLETRANSLATE(B75, ""en"", ""hi"")"),"एक नाज़ुक मौके पर, टीम A का डिफेंडर छल से चेज़र्स को चकमा देकर सेंट्रल लेन पार कर जाता है। इससे क्या फ़ायदा होता है?")</f>
        <v>एक नाज़ुक मौके पर, टीम A का डिफेंडर छल से चेज़र्स को चकमा देकर सेंट्रल लेन पार कर जाता है। इससे क्या फ़ायदा होता है?</v>
      </c>
      <c r="H75" s="5" t="str">
        <f>IFERROR(__xludf.DUMMYFUNCTION("GOOGLETRANSLATE(C75, ""en"", ""hi"")"),"A) अतिरिक्त समय मिलता है, B) डिफेंडर एक अंक अर्जित करता है, C) चेज़र्स को अयोग्य घोषित कर दिया जाता है, D) डिफेंडर टैगिंग से सुरक्षित रहता है")</f>
        <v>A) अतिरिक्त समय मिलता है, B) डिफेंडर एक अंक अर्जित करता है, C) चेज़र्स को अयोग्य घोषित कर दिया जाता है, D) डिफेंडर टैगिंग से सुरक्षित रहता है</v>
      </c>
      <c r="I75" s="5" t="str">
        <f>IFERROR(__xludf.DUMMYFUNCTION("GOOGLETRANSLATE(D75, ""en"", ""hi"")"),"D) डिफेंडर टैगिंग से सुरक्षित है")</f>
        <v>D) डिफेंडर टैगिंग से सुरक्षित है</v>
      </c>
    </row>
    <row r="76" ht="22.5" customHeight="1">
      <c r="A76" s="7">
        <v>75.0</v>
      </c>
      <c r="B76" s="7" t="s">
        <v>2541</v>
      </c>
      <c r="C76" s="7" t="s">
        <v>2542</v>
      </c>
      <c r="D76" s="7" t="s">
        <v>2513</v>
      </c>
      <c r="F76" s="5" t="str">
        <f>IFERROR(__xludf.DUMMYFUNCTION("GOOGLETRANSLATE(A76, ""en"", ""hi"")"),"75")</f>
        <v>75</v>
      </c>
      <c r="G76" s="5" t="str">
        <f>IFERROR(__xludf.DUMMYFUNCTION("GOOGLETRANSLATE(B76, ""en"", ""hi"")"),"टीम बी का एक चेज़र एक डिफेंडर को टैग करने ही वाला है, लेकिन एक साथी खिलाड़ी द्वारा देर से 'खो' देने के कारण उसे रोक दिया जाता है। भविष्य में ऐसी स्थिति से बचने का सबसे अच्छा तरीका क्या है?")</f>
        <v>टीम बी का एक चेज़र एक डिफेंडर को टैग करने ही वाला है, लेकिन एक साथी खिलाड़ी द्वारा देर से 'खो' देने के कारण उसे रोक दिया जाता है। भविष्य में ऐसी स्थिति से बचने का सबसे अच्छा तरीका क्या है?</v>
      </c>
      <c r="H76" s="5" t="str">
        <f>IFERROR(__xludf.DUMMYFUNCTION("GOOGLETRANSLATE(C76, ""en"", ""hi"")"),"A) 'खो' पहले दें, B) व्यक्तिगत पीछा करने वालों पर ध्यान केंद्रित करें, C) 'खो' का उपयोग करने से बचें, D) कम 'खो' निर्देश दें")</f>
        <v>A) 'खो' पहले दें, B) व्यक्तिगत पीछा करने वालों पर ध्यान केंद्रित करें, C) 'खो' का उपयोग करने से बचें, D) कम 'खो' निर्देश दें</v>
      </c>
      <c r="I76" s="5" t="str">
        <f>IFERROR(__xludf.DUMMYFUNCTION("GOOGLETRANSLATE(D76, ""en"", ""hi"")"),"A) पहले 'खो' दें")</f>
        <v>A) पहले 'खो' दें</v>
      </c>
    </row>
    <row r="77" ht="22.5" customHeight="1">
      <c r="A77" s="7">
        <v>76.0</v>
      </c>
      <c r="B77" s="7" t="s">
        <v>2543</v>
      </c>
      <c r="C77" s="7" t="s">
        <v>2544</v>
      </c>
      <c r="D77" s="7" t="s">
        <v>2545</v>
      </c>
      <c r="F77" s="5" t="str">
        <f>IFERROR(__xludf.DUMMYFUNCTION("GOOGLETRANSLATE(A77, ""en"", ""hi"")"),"76")</f>
        <v>76</v>
      </c>
      <c r="G77" s="5" t="str">
        <f>IFERROR(__xludf.DUMMYFUNCTION("GOOGLETRANSLATE(B77, ""en"", ""hi"")"),"टीम बी का डिफेंडर गोलाकार पैटर्न में घूमकर दो चेज़र्स को चकमा देने की कोशिश कर रहा है। इस रणनीति का जोखिम क्या है?")</f>
        <v>टीम बी का डिफेंडर गोलाकार पैटर्न में घूमकर दो चेज़र्स को चकमा देने की कोशिश कर रहा है। इस रणनीति का जोखिम क्या है?</v>
      </c>
      <c r="H77" s="5" t="str">
        <f>IFERROR(__xludf.DUMMYFUNCTION("GOOGLETRANSLATE(C77, ""en"", ""hi"")"),"A) सीमित स्थान में फँसाना आसान हो जाता है, B) डिफेंडर को अतिरिक्त समय मिल जाता है, C) चेज़र्स की सहनशक्ति कम हो जाती है, D) चेज़र्स भ्रमित हो जाते हैं")</f>
        <v>A) सीमित स्थान में फँसाना आसान हो जाता है, B) डिफेंडर को अतिरिक्त समय मिल जाता है, C) चेज़र्स की सहनशक्ति कम हो जाती है, D) चेज़र्स भ्रमित हो जाते हैं</v>
      </c>
      <c r="I77" s="5" t="str">
        <f>IFERROR(__xludf.DUMMYFUNCTION("GOOGLETRANSLATE(D77, ""en"", ""hi"")"),"A) सीमित स्थान में फँसाना आसान")</f>
        <v>A) सीमित स्थान में फँसाना आसान</v>
      </c>
    </row>
    <row r="78" ht="22.5" customHeight="1">
      <c r="A78" s="7">
        <v>77.0</v>
      </c>
      <c r="B78" s="7" t="s">
        <v>2546</v>
      </c>
      <c r="C78" s="7" t="s">
        <v>2547</v>
      </c>
      <c r="D78" s="7" t="s">
        <v>2485</v>
      </c>
      <c r="F78" s="5" t="str">
        <f>IFERROR(__xludf.DUMMYFUNCTION("GOOGLETRANSLATE(A78, ""en"", ""hi"")"),"77")</f>
        <v>77</v>
      </c>
      <c r="G78" s="5" t="str">
        <f>IFERROR(__xludf.DUMMYFUNCTION("GOOGLETRANSLATE(B78, ""en"", ""hi"")"),"मैच के आखिरी सेकंड में, टीम A का चेज़र सीटी बजने से ठीक पहले एक डिफेंडर को टैग कर देता है। रेफरी का फ़ैसला क्या होगा?")</f>
        <v>मैच के आखिरी सेकंड में, टीम A का चेज़र सीटी बजने से ठीक पहले एक डिफेंडर को टैग कर देता है। रेफरी का फ़ैसला क्या होगा?</v>
      </c>
      <c r="H78" s="5" t="str">
        <f>IFERROR(__xludf.DUMMYFUNCTION("GOOGLETRANSLATE(C78, ""en"", ""hi"")"),"A) डिफेंडर बाहर है, B) डिफेंडर सुरक्षित है, C) चेज़र एक अंक अर्जित करता है, D) राउंड रीसेट हो जाता है")</f>
        <v>A) डिफेंडर बाहर है, B) डिफेंडर सुरक्षित है, C) चेज़र एक अंक अर्जित करता है, D) राउंड रीसेट हो जाता है</v>
      </c>
      <c r="I78" s="5" t="str">
        <f>IFERROR(__xludf.DUMMYFUNCTION("GOOGLETRANSLATE(D78, ""en"", ""hi"")"),"A) डिफेंडर बाहर है")</f>
        <v>A) डिफेंडर बाहर है</v>
      </c>
    </row>
    <row r="79" ht="22.5" customHeight="1">
      <c r="A79" s="7">
        <v>78.0</v>
      </c>
      <c r="B79" s="7" t="s">
        <v>2548</v>
      </c>
      <c r="C79" s="7" t="s">
        <v>2549</v>
      </c>
      <c r="D79" s="7" t="s">
        <v>2550</v>
      </c>
      <c r="F79" s="5" t="str">
        <f>IFERROR(__xludf.DUMMYFUNCTION("GOOGLETRANSLATE(A79, ""en"", ""hi"")"),"78")</f>
        <v>78</v>
      </c>
      <c r="G79" s="5" t="str">
        <f>IFERROR(__xludf.DUMMYFUNCTION("GOOGLETRANSLATE(B79, ""en"", ""hi"")"),"एक बेहद दबाव वाले मैच में, टीम A का चेज़र एक डिफेंडर को टैग करता है, लेकिन डिफेंडर दावा करता है कि टैग वैध नहीं था। रेफरी क्या करेगा?")</f>
        <v>एक बेहद दबाव वाले मैच में, टीम A का चेज़र एक डिफेंडर को टैग करता है, लेकिन डिफेंडर दावा करता है कि टैग वैध नहीं था। रेफरी क्या करेगा?</v>
      </c>
      <c r="H79" s="5" t="str">
        <f>IFERROR(__xludf.DUMMYFUNCTION("GOOGLETRANSLATE(C79, ""en"", ""hi"")"),"A) टीम A को अंक प्रदान करें, B) खेल की समीक्षा करें, C) दावे को अनदेखा करें, D) डिफेंडर को दंडित करें")</f>
        <v>A) टीम A को अंक प्रदान करें, B) खेल की समीक्षा करें, C) दावे को अनदेखा करें, D) डिफेंडर को दंडित करें</v>
      </c>
      <c r="I79" s="5" t="str">
        <f>IFERROR(__xludf.DUMMYFUNCTION("GOOGLETRANSLATE(D79, ""en"", ""hi"")"),"बी) नाटक की समीक्षा करें")</f>
        <v>बी) नाटक की समीक्षा करें</v>
      </c>
    </row>
    <row r="80" ht="22.5" customHeight="1">
      <c r="A80" s="7">
        <v>79.0</v>
      </c>
      <c r="B80" s="7" t="s">
        <v>2551</v>
      </c>
      <c r="C80" s="7" t="s">
        <v>2552</v>
      </c>
      <c r="D80" s="7" t="s">
        <v>2485</v>
      </c>
      <c r="F80" s="5" t="str">
        <f>IFERROR(__xludf.DUMMYFUNCTION("GOOGLETRANSLATE(A80, ""en"", ""hi"")"),"79")</f>
        <v>79</v>
      </c>
      <c r="G80" s="5" t="str">
        <f>IFERROR(__xludf.DUMMYFUNCTION("GOOGLETRANSLATE(B80, ""en"", ""hi"")"),"एक महत्वपूर्ण क्षण में, टीम B का डिफेंडर लेन में तेज़ी से दौड़ रहा है, लेकिन एक चेज़र द्वारा टैग किए जाने से ठीक पहले लड़खड़ा जाता है। नतीजा क्या होता है?")</f>
        <v>एक महत्वपूर्ण क्षण में, टीम B का डिफेंडर लेन में तेज़ी से दौड़ रहा है, लेकिन एक चेज़र द्वारा टैग किए जाने से ठीक पहले लड़खड़ा जाता है। नतीजा क्या होता है?</v>
      </c>
      <c r="H80" s="5" t="str">
        <f>IFERROR(__xludf.DUMMYFUNCTION("GOOGLETRANSLATE(C80, ""en"", ""hi"")"),"A) डिफेंडर बाहर है, B) डिफेंडर सुरक्षित है, C) चेज़र को दंडित किया गया है, D) राउंड पुनः शुरू किया गया है")</f>
        <v>A) डिफेंडर बाहर है, B) डिफेंडर सुरक्षित है, C) चेज़र को दंडित किया गया है, D) राउंड पुनः शुरू किया गया है</v>
      </c>
      <c r="I80" s="5" t="str">
        <f>IFERROR(__xludf.DUMMYFUNCTION("GOOGLETRANSLATE(D80, ""en"", ""hi"")"),"A) डिफेंडर बाहर है")</f>
        <v>A) डिफेंडर बाहर है</v>
      </c>
    </row>
    <row r="81" ht="22.5" customHeight="1">
      <c r="A81" s="7">
        <v>80.0</v>
      </c>
      <c r="B81" s="7" t="s">
        <v>2553</v>
      </c>
      <c r="C81" s="7" t="s">
        <v>2554</v>
      </c>
      <c r="D81" s="7" t="s">
        <v>2555</v>
      </c>
      <c r="F81" s="5" t="str">
        <f>IFERROR(__xludf.DUMMYFUNCTION("GOOGLETRANSLATE(A81, ""en"", ""hi"")"),"80")</f>
        <v>80</v>
      </c>
      <c r="G81" s="5" t="str">
        <f>IFERROR(__xludf.DUMMYFUNCTION("GOOGLETRANSLATE(B81, ""en"", ""hi"")"),"टीम A का चेज़र तेज़ी से 'खो' देता है, लेकिन नया चेज़र दौड़ते हुए लड़खड़ा जाता है। टीम A इस गलती से बचने के लिए अपनी रणनीति में कैसे बदलाव कर सकती है?")</f>
        <v>टीम A का चेज़र तेज़ी से 'खो' देता है, लेकिन नया चेज़र दौड़ते हुए लड़खड़ा जाता है। टीम A इस गलती से बचने के लिए अपनी रणनीति में कैसे बदलाव कर सकती है?</v>
      </c>
      <c r="H81" s="5" t="str">
        <f>IFERROR(__xludf.DUMMYFUNCTION("GOOGLETRANSLATE(C81, ""en"", ""hi"")"),"A) 'खो' को धीमा करें, B) खिलाड़ियों के बीच अधिक जगह दें, C) 'खो' देने से बचें, D) बेहतर समन्वय का अभ्यास करें")</f>
        <v>A) 'खो' को धीमा करें, B) खिलाड़ियों के बीच अधिक जगह दें, C) 'खो' देने से बचें, D) बेहतर समन्वय का अभ्यास करें</v>
      </c>
      <c r="I81" s="5" t="str">
        <f>IFERROR(__xludf.DUMMYFUNCTION("GOOGLETRANSLATE(D81, ""en"", ""hi"")"),"D) बेहतर समन्वय का अभ्यास करें")</f>
        <v>D) बेहतर समन्वय का अभ्यास करें</v>
      </c>
    </row>
    <row r="82" ht="22.5" customHeight="1">
      <c r="A82" s="7">
        <v>81.0</v>
      </c>
      <c r="B82" s="7" t="s">
        <v>2556</v>
      </c>
      <c r="C82" s="7" t="s">
        <v>2557</v>
      </c>
      <c r="D82" s="7" t="s">
        <v>2558</v>
      </c>
      <c r="F82" s="5" t="str">
        <f>IFERROR(__xludf.DUMMYFUNCTION("GOOGLETRANSLATE(A82, ""en"", ""hi"")"),"81")</f>
        <v>81</v>
      </c>
      <c r="G82" s="5" t="str">
        <f>IFERROR(__xludf.DUMMYFUNCTION("GOOGLETRANSLATE(B82, ""en"", ""hi"")"),"एक फ़ाइनल मैच में, टीम B का डिफेंडर लगातार सेंट्रल लेन के पास आ रहा है, उसे पार नहीं कर रहा। इस रणनीति का क्या फ़ायदा है?")</f>
        <v>एक फ़ाइनल मैच में, टीम B का डिफेंडर लगातार सेंट्रल लेन के पास आ रहा है, उसे पार नहीं कर रहा। इस रणनीति का क्या फ़ायदा है?</v>
      </c>
      <c r="H82" s="5" t="str">
        <f>IFERROR(__xludf.DUMMYFUNCTION("GOOGLETRANSLATE(C82, ""en"", ""hi"")"),"A) पीछा करने वालों को भ्रमित करता है, B) अतिरिक्त अंक प्राप्त करता है, C) टैग होने से बचता है, D) पीछा करने वालों को फँसाता है")</f>
        <v>A) पीछा करने वालों को भ्रमित करता है, B) अतिरिक्त अंक प्राप्त करता है, C) टैग होने से बचता है, D) पीछा करने वालों को फँसाता है</v>
      </c>
      <c r="I82" s="5" t="str">
        <f>IFERROR(__xludf.DUMMYFUNCTION("GOOGLETRANSLATE(D82, ""en"", ""hi"")"),"C) टैग होने से बचें")</f>
        <v>C) टैग होने से बचें</v>
      </c>
    </row>
    <row r="83" ht="22.5" customHeight="1">
      <c r="A83" s="7">
        <v>82.0</v>
      </c>
      <c r="B83" s="7" t="s">
        <v>2559</v>
      </c>
      <c r="C83" s="7" t="s">
        <v>2560</v>
      </c>
      <c r="D83" s="7" t="s">
        <v>2561</v>
      </c>
      <c r="F83" s="5" t="str">
        <f>IFERROR(__xludf.DUMMYFUNCTION("GOOGLETRANSLATE(A83, ""en"", ""hi"")"),"82")</f>
        <v>82</v>
      </c>
      <c r="G83" s="5" t="str">
        <f>IFERROR(__xludf.DUMMYFUNCTION("GOOGLETRANSLATE(B83, ""en"", ""hi"")"),"टीम A का एक डिफेंडर मैदान के किनारे दौड़ रहा है और एक चेज़र उसे टैग करने वाला है। टैग से बचने के लिए डिफेंडर क्या कर सकता है?")</f>
        <v>टीम A का एक डिफेंडर मैदान के किनारे दौड़ रहा है और एक चेज़र उसे टैग करने वाला है। टैग से बचने के लिए डिफेंडर क्या कर सकता है?</v>
      </c>
      <c r="H83" s="5" t="str">
        <f>IFERROR(__xludf.DUMMYFUNCTION("GOOGLETRANSLATE(C83, ""en"", ""hi"")"),"A) गति बढ़ाना, B) तेजी से दिशा बदलना, C) सीमा से बाहर कदम रखना, D) धीमा करना")</f>
        <v>A) गति बढ़ाना, B) तेजी से दिशा बदलना, C) सीमा से बाहर कदम रखना, D) धीमा करना</v>
      </c>
      <c r="I83" s="5" t="str">
        <f>IFERROR(__xludf.DUMMYFUNCTION("GOOGLETRANSLATE(D83, ""en"", ""hi"")"),"बी) जल्दी से दिशा बदलें")</f>
        <v>बी) जल्दी से दिशा बदलें</v>
      </c>
    </row>
    <row r="84" ht="22.5" customHeight="1">
      <c r="A84" s="7">
        <v>83.0</v>
      </c>
      <c r="B84" s="7" t="s">
        <v>2562</v>
      </c>
      <c r="C84" s="7" t="s">
        <v>2563</v>
      </c>
      <c r="D84" s="7" t="s">
        <v>2564</v>
      </c>
      <c r="F84" s="5" t="str">
        <f>IFERROR(__xludf.DUMMYFUNCTION("GOOGLETRANSLATE(A84, ""en"", ""hi"")"),"83")</f>
        <v>83</v>
      </c>
      <c r="G84" s="5" t="str">
        <f>IFERROR(__xludf.DUMMYFUNCTION("GOOGLETRANSLATE(B84, ""en"", ""hi"")"),"मैच के आखिरी सेकंड में, टीम बी का चेज़र 'खो' देने में हिचकिचाता है। इस हिचकिचाहट का टीम की संभावनाओं पर क्या असर पड़ता है?")</f>
        <v>मैच के आखिरी सेकंड में, टीम बी का चेज़र 'खो' देने में हिचकिचाता है। इस हिचकिचाहट का टीम की संभावनाओं पर क्या असर पड़ता है?</v>
      </c>
      <c r="H84" s="5" t="str">
        <f>IFERROR(__xludf.DUMMYFUNCTION("GOOGLETRANSLATE(C84, ""en"", ""hi"")"),"A) डिफेंडर को समय मिलता है, B) चेज़र को ऊर्जा मिलती है, C) डिफेंडर को अयोग्य घोषित कर दिया जाता है, D) चेज़र को एक अंक मिलता है")</f>
        <v>A) डिफेंडर को समय मिलता है, B) चेज़र को ऊर्जा मिलती है, C) डिफेंडर को अयोग्य घोषित कर दिया जाता है, D) चेज़र को एक अंक मिलता है</v>
      </c>
      <c r="I84" s="5" t="str">
        <f>IFERROR(__xludf.DUMMYFUNCTION("GOOGLETRANSLATE(D84, ""en"", ""hi"")"),"A) डिफेंडर को समय मिलता है")</f>
        <v>A) डिफेंडर को समय मिलता है</v>
      </c>
    </row>
    <row r="85" ht="22.5" customHeight="1">
      <c r="A85" s="7">
        <v>84.0</v>
      </c>
      <c r="B85" s="7" t="s">
        <v>2565</v>
      </c>
      <c r="C85" s="7" t="s">
        <v>2566</v>
      </c>
      <c r="D85" s="7" t="s">
        <v>2567</v>
      </c>
      <c r="F85" s="5" t="str">
        <f>IFERROR(__xludf.DUMMYFUNCTION("GOOGLETRANSLATE(A85, ""en"", ""hi"")"),"84")</f>
        <v>84</v>
      </c>
      <c r="G85" s="5" t="str">
        <f>IFERROR(__xludf.DUMMYFUNCTION("GOOGLETRANSLATE(B85, ""en"", ""hi"")"),"एक टूर्नामेंट के दौरान, टीम A का चेज़र लेन में दौड़ रहा है, लेकिन 'खो' देने के बाद अगले चेज़र से टकरा जाता है। इसका संभावित परिणाम क्या होगा?")</f>
        <v>एक टूर्नामेंट के दौरान, टीम A का चेज़र लेन में दौड़ रहा है, लेकिन 'खो' देने के बाद अगले चेज़र से टकरा जाता है। इसका संभावित परिणाम क्या होगा?</v>
      </c>
      <c r="H85" s="5" t="str">
        <f>IFERROR(__xludf.DUMMYFUNCTION("GOOGLETRANSLATE(C85, ""en"", ""hi"")"),"A) डिफेंडर सुरक्षित है, B) चेज़र को दंडित किया जाता है, C) चेज़र को एक अंक मिलता है, D) टीम A समन्वय खो देती है")</f>
        <v>A) डिफेंडर सुरक्षित है, B) चेज़र को दंडित किया जाता है, C) चेज़र को एक अंक मिलता है, D) टीम A समन्वय खो देती है</v>
      </c>
      <c r="I85" s="5" t="str">
        <f>IFERROR(__xludf.DUMMYFUNCTION("GOOGLETRANSLATE(D85, ""en"", ""hi"")"),"D) टीम A समन्वय खो देती है")</f>
        <v>D) टीम A समन्वय खो देती है</v>
      </c>
    </row>
    <row r="86" ht="22.5" customHeight="1">
      <c r="A86" s="7">
        <v>85.0</v>
      </c>
      <c r="B86" s="7" t="s">
        <v>2568</v>
      </c>
      <c r="C86" s="7" t="s">
        <v>2569</v>
      </c>
      <c r="D86" s="7" t="s">
        <v>2570</v>
      </c>
      <c r="F86" s="5" t="str">
        <f>IFERROR(__xludf.DUMMYFUNCTION("GOOGLETRANSLATE(A86, ""en"", ""hi"")"),"85")</f>
        <v>85</v>
      </c>
      <c r="G86" s="5" t="str">
        <f>IFERROR(__xludf.DUMMYFUNCTION("GOOGLETRANSLATE(B86, ""en"", ""hi"")"),"टीम बी का डिफेंडर सेंट्रल लेन पार करने की कोशिश करता है, लेकिन दो चेज़र्स उसे रोक लेते हैं। डिफेंडर की सबसे अच्छी रणनीति क्या हो सकती है?")</f>
        <v>टीम बी का डिफेंडर सेंट्रल लेन पार करने की कोशिश करता है, लेकिन दो चेज़र्स उसे रोक लेते हैं। डिफेंडर की सबसे अच्छी रणनीति क्या हो सकती है?</v>
      </c>
      <c r="H86" s="5" t="str">
        <f>IFERROR(__xludf.DUMMYFUNCTION("GOOGLETRANSLATE(C86, ""en"", ""hi"")"),"A) रिवर्स टर्न का प्रयास करें, B) आगे की ओर दौड़ें, C) गति धीमी करें, D) टाइम-आउट के लिए कॉल करें")</f>
        <v>A) रिवर्स टर्न का प्रयास करें, B) आगे की ओर दौड़ें, C) गति धीमी करें, D) टाइम-आउट के लिए कॉल करें</v>
      </c>
      <c r="I86" s="5" t="str">
        <f>IFERROR(__xludf.DUMMYFUNCTION("GOOGLETRANSLATE(D86, ""en"", ""hi"")"),"A) विपरीत दिशा में मुड़ने का प्रयास करें")</f>
        <v>A) विपरीत दिशा में मुड़ने का प्रयास करें</v>
      </c>
    </row>
    <row r="87" ht="22.5" customHeight="1">
      <c r="A87" s="7">
        <v>86.0</v>
      </c>
      <c r="B87" s="7" t="s">
        <v>2571</v>
      </c>
      <c r="C87" s="7" t="s">
        <v>2572</v>
      </c>
      <c r="D87" s="7" t="s">
        <v>2573</v>
      </c>
      <c r="F87" s="5" t="str">
        <f>IFERROR(__xludf.DUMMYFUNCTION("GOOGLETRANSLATE(A87, ""en"", ""hi"")"),"86")</f>
        <v>86</v>
      </c>
      <c r="G87" s="5" t="str">
        <f>IFERROR(__xludf.DUMMYFUNCTION("GOOGLETRANSLATE(B87, ""en"", ""hi"")"),"टीम A का एक चेज़र एक डिफेंडर को टैग करता है, लेकिन डिफेंडर इस बात पर विरोध करता है कि टैग के दौरान चेज़र ने सेंट्रल लेन पार कर ली थी। रेफरी क्या फैसला लेगा?")</f>
        <v>टीम A का एक चेज़र एक डिफेंडर को टैग करता है, लेकिन डिफेंडर इस बात पर विरोध करता है कि टैग के दौरान चेज़र ने सेंट्रल लेन पार कर ली थी। रेफरी क्या फैसला लेगा?</v>
      </c>
      <c r="H87" s="5" t="str">
        <f>IFERROR(__xludf.DUMMYFUNCTION("GOOGLETRANSLATE(C87, ""en"", ""hi"")"),"A) टैग अमान्य है, B) डिफेंडर आउट है, C) चेज़र अयोग्य है, D) डिफेंडर को एक अंक मिलता है")</f>
        <v>A) टैग अमान्य है, B) डिफेंडर आउट है, C) चेज़र अयोग्य है, D) डिफेंडर को एक अंक मिलता है</v>
      </c>
      <c r="I87" s="5" t="str">
        <f>IFERROR(__xludf.DUMMYFUNCTION("GOOGLETRANSLATE(D87, ""en"", ""hi"")"),"A) टैग अमान्य है")</f>
        <v>A) टैग अमान्य है</v>
      </c>
    </row>
    <row r="88" ht="22.5" customHeight="1">
      <c r="A88" s="7">
        <v>87.0</v>
      </c>
      <c r="B88" s="7" t="s">
        <v>2574</v>
      </c>
      <c r="C88" s="7" t="s">
        <v>2575</v>
      </c>
      <c r="D88" s="7" t="s">
        <v>2576</v>
      </c>
      <c r="F88" s="5" t="str">
        <f>IFERROR(__xludf.DUMMYFUNCTION("GOOGLETRANSLATE(A88, ""en"", ""hi"")"),"87")</f>
        <v>87</v>
      </c>
      <c r="G88" s="5" t="str">
        <f>IFERROR(__xludf.DUMMYFUNCTION("GOOGLETRANSLATE(B88, ""en"", ""hi"")"),"एक मैच के दौरान, टीम A का चेज़र 'खो' देता है, लेकिन ग़लतफ़हमी के कारण डिफेंडर को टैग करने का मौका चूक जाता है। टीम A को क्या बदलाव करना चाहिए?")</f>
        <v>एक मैच के दौरान, टीम A का चेज़र 'खो' देता है, लेकिन ग़लतफ़हमी के कारण डिफेंडर को टैग करने का मौका चूक जाता है। टीम A को क्या बदलाव करना चाहिए?</v>
      </c>
      <c r="H88" s="5" t="str">
        <f>IFERROR(__xludf.DUMMYFUNCTION("GOOGLETRANSLATE(C88, ""en"", ""hi"")"),"A) स्पष्ट निर्देश दें, B) गति धीमी करें, C) 'खो' देने से बचें, D) स्थिति बदलें")</f>
        <v>A) स्पष्ट निर्देश दें, B) गति धीमी करें, C) 'खो' देने से बचें, D) स्थिति बदलें</v>
      </c>
      <c r="I88" s="5" t="str">
        <f>IFERROR(__xludf.DUMMYFUNCTION("GOOGLETRANSLATE(D88, ""en"", ""hi"")"),"A) स्पष्ट निर्देश दें")</f>
        <v>A) स्पष्ट निर्देश दें</v>
      </c>
    </row>
    <row r="89" ht="22.5" customHeight="1">
      <c r="A89" s="7">
        <v>88.0</v>
      </c>
      <c r="B89" s="7" t="s">
        <v>2577</v>
      </c>
      <c r="C89" s="7" t="s">
        <v>2578</v>
      </c>
      <c r="D89" s="7" t="s">
        <v>2579</v>
      </c>
      <c r="F89" s="5" t="str">
        <f>IFERROR(__xludf.DUMMYFUNCTION("GOOGLETRANSLATE(A89, ""en"", ""hi"")"),"88")</f>
        <v>88</v>
      </c>
      <c r="G89" s="5" t="str">
        <f>IFERROR(__xludf.DUMMYFUNCTION("GOOGLETRANSLATE(B89, ""en"", ""hi"")"),"सेमीफ़ाइनल में, टीम B का डिफेंडर तेज़ी से लेन बदलकर लगातार टैग से बच रहा है। इसका चेज़र्स पर क्या असर पड़ सकता है?")</f>
        <v>सेमीफ़ाइनल में, टीम B का डिफेंडर तेज़ी से लेन बदलकर लगातार टैग से बच रहा है। इसका चेज़र्स पर क्या असर पड़ सकता है?</v>
      </c>
      <c r="H89" s="5" t="str">
        <f>IFERROR(__xludf.DUMMYFUNCTION("GOOGLETRANSLATE(C89, ""en"", ""hi"")"),"A) पीछा करने वालों को भ्रमित करता है, B) खेल को धीमा करता है, C) पीछा करने वालों की सहनशक्ति कम हो जाती है, D) अतिरिक्त अंक अर्जित करता है")</f>
        <v>A) पीछा करने वालों को भ्रमित करता है, B) खेल को धीमा करता है, C) पीछा करने वालों की सहनशक्ति कम हो जाती है, D) अतिरिक्त अंक अर्जित करता है</v>
      </c>
      <c r="I89" s="5" t="str">
        <f>IFERROR(__xludf.DUMMYFUNCTION("GOOGLETRANSLATE(D89, ""en"", ""hi"")"),"C) चेज़र्स की सहनशक्ति कम हो जाती है")</f>
        <v>C) चेज़र्स की सहनशक्ति कम हो जाती है</v>
      </c>
    </row>
    <row r="90" ht="22.5" customHeight="1">
      <c r="A90" s="7">
        <v>89.0</v>
      </c>
      <c r="B90" s="7" t="s">
        <v>2580</v>
      </c>
      <c r="C90" s="7" t="s">
        <v>2581</v>
      </c>
      <c r="D90" s="7" t="s">
        <v>2573</v>
      </c>
      <c r="F90" s="5" t="str">
        <f>IFERROR(__xludf.DUMMYFUNCTION("GOOGLETRANSLATE(A90, ""en"", ""hi"")"),"89")</f>
        <v>89</v>
      </c>
      <c r="G90" s="5" t="str">
        <f>IFERROR(__xludf.DUMMYFUNCTION("GOOGLETRANSLATE(B90, ""en"", ""hi"")"),"एक मैच के दौरान, टीम A का चेज़र एक डिफेंडर को टैग करता है, लेकिन टैग से ठीक पहले बाउंड्स से बाहर चला जाता है। इसका नियम क्या है?")</f>
        <v>एक मैच के दौरान, टीम A का चेज़र एक डिफेंडर को टैग करता है, लेकिन टैग से ठीक पहले बाउंड्स से बाहर चला जाता है। इसका नियम क्या है?</v>
      </c>
      <c r="H90" s="5" t="str">
        <f>IFERROR(__xludf.DUMMYFUNCTION("GOOGLETRANSLATE(C90, ""en"", ""hi"")"),"A) टैग अमान्य है, B) डिफेंडर आउट है, C) चेज़र एक अंक अर्जित करता है, D) डिफेंडर एक अंक प्राप्त करता है")</f>
        <v>A) टैग अमान्य है, B) डिफेंडर आउट है, C) चेज़र एक अंक अर्जित करता है, D) डिफेंडर एक अंक प्राप्त करता है</v>
      </c>
      <c r="I90" s="5" t="str">
        <f>IFERROR(__xludf.DUMMYFUNCTION("GOOGLETRANSLATE(D90, ""en"", ""hi"")"),"A) टैग अमान्य है")</f>
        <v>A) टैग अमान्य है</v>
      </c>
    </row>
    <row r="91" ht="22.5" customHeight="1">
      <c r="A91" s="7">
        <v>90.0</v>
      </c>
      <c r="B91" s="7" t="s">
        <v>2582</v>
      </c>
      <c r="C91" s="7" t="s">
        <v>2583</v>
      </c>
      <c r="D91" s="7" t="s">
        <v>2458</v>
      </c>
      <c r="F91" s="5" t="str">
        <f>IFERROR(__xludf.DUMMYFUNCTION("GOOGLETRANSLATE(A91, ""en"", ""hi"")"),"90")</f>
        <v>90</v>
      </c>
      <c r="G91" s="5" t="str">
        <f>IFERROR(__xludf.DUMMYFUNCTION("GOOGLETRANSLATE(B91, ""en"", ""hi"")"),"टीम B का डिफेंडर टैग होने ही वाला है, लेकिन पीछा करने वाले से बचने के लिए अचानक छलांग लगा देता है। सबसे संभावित परिणाम क्या है?")</f>
        <v>टीम B का डिफेंडर टैग होने ही वाला है, लेकिन पीछा करने वाले से बचने के लिए अचानक छलांग लगा देता है। सबसे संभावित परिणाम क्या है?</v>
      </c>
      <c r="H91" s="5" t="str">
        <f>IFERROR(__xludf.DUMMYFUNCTION("GOOGLETRANSLATE(C91, ""en"", ""hi"")"),"A) डिफेंडर सुरक्षित है, B) डिफेंडर को एक अंक मिलता है, C) चेज़र को एक अंक मिलता है, D) डिफेंडर को अयोग्य घोषित कर दिया जाता है")</f>
        <v>A) डिफेंडर सुरक्षित है, B) डिफेंडर को एक अंक मिलता है, C) चेज़र को एक अंक मिलता है, D) डिफेंडर को अयोग्य घोषित कर दिया जाता है</v>
      </c>
      <c r="I91" s="5" t="str">
        <f>IFERROR(__xludf.DUMMYFUNCTION("GOOGLETRANSLATE(D91, ""en"", ""hi"")"),"A) डिफेंडर सुरक्षित है")</f>
        <v>A) डिफेंडर सुरक्षित है</v>
      </c>
    </row>
    <row r="92" ht="22.5" customHeight="1">
      <c r="A92" s="7">
        <v>91.0</v>
      </c>
      <c r="B92" s="7" t="s">
        <v>2584</v>
      </c>
      <c r="C92" s="7" t="s">
        <v>2585</v>
      </c>
      <c r="D92" s="7" t="s">
        <v>2564</v>
      </c>
      <c r="F92" s="5" t="str">
        <f>IFERROR(__xludf.DUMMYFUNCTION("GOOGLETRANSLATE(A92, ""en"", ""hi"")"),"91")</f>
        <v>91</v>
      </c>
      <c r="G92" s="5" t="str">
        <f>IFERROR(__xludf.DUMMYFUNCTION("GOOGLETRANSLATE(B92, ""en"", ""hi"")"),"एक अहम मुकाबले में, टीम A का चेज़र तेज़ी से 'खो' देता है, लेकिन अगला चेज़र डिफेंडर का पीछा करने से हिचकिचाता है। क्या होगा?")</f>
        <v>एक अहम मुकाबले में, टीम A का चेज़र तेज़ी से 'खो' देता है, लेकिन अगला चेज़र डिफेंडर का पीछा करने से हिचकिचाता है। क्या होगा?</v>
      </c>
      <c r="H92" s="5" t="str">
        <f>IFERROR(__xludf.DUMMYFUNCTION("GOOGLETRANSLATE(C92, ""en"", ""hi"")"),"A) डिफेंडर को समय मिलता है, B) चेज़र को सहनशक्ति मिलती है, C) डिफेंडर को दंडित किया जाता है, D) चेज़र को एक अंक मिलता है")</f>
        <v>A) डिफेंडर को समय मिलता है, B) चेज़र को सहनशक्ति मिलती है, C) डिफेंडर को दंडित किया जाता है, D) चेज़र को एक अंक मिलता है</v>
      </c>
      <c r="I92" s="5" t="str">
        <f>IFERROR(__xludf.DUMMYFUNCTION("GOOGLETRANSLATE(D92, ""en"", ""hi"")"),"A) डिफेंडर को समय मिलता है")</f>
        <v>A) डिफेंडर को समय मिलता है</v>
      </c>
    </row>
    <row r="93" ht="22.5" customHeight="1">
      <c r="A93" s="7">
        <v>92.0</v>
      </c>
      <c r="B93" s="7" t="s">
        <v>2586</v>
      </c>
      <c r="C93" s="7" t="s">
        <v>2587</v>
      </c>
      <c r="D93" s="7" t="s">
        <v>2588</v>
      </c>
      <c r="F93" s="5" t="str">
        <f>IFERROR(__xludf.DUMMYFUNCTION("GOOGLETRANSLATE(A93, ""en"", ""hi"")"),"92")</f>
        <v>92</v>
      </c>
      <c r="G93" s="5" t="str">
        <f>IFERROR(__xludf.DUMMYFUNCTION("GOOGLETRANSLATE(B93, ""en"", ""hi"")"),"एक तनावपूर्ण मैच में, टीम B का डिफेंडर सीमा रेखा के पास रहकर कई चेज़र्स से बचता है। इससे क्या ख़तरा पैदा होता है?")</f>
        <v>एक तनावपूर्ण मैच में, टीम B का डिफेंडर सीमा रेखा के पास रहकर कई चेज़र्स से बचता है। इससे क्या ख़तरा पैदा होता है?</v>
      </c>
      <c r="H93" s="5" t="str">
        <f>IFERROR(__xludf.DUMMYFUNCTION("GOOGLETRANSLATE(C93, ""en"", ""hi"")"),"A) डिफेंडर सीमा से बाहर जा सकता है, B) डिफेंडर को अतिरिक्त अंक मिलते हैं, C) चेज़र्स की सहनशक्ति कम हो जाती है, D) डिफेंडर को अयोग्य घोषित कर दिया जाता है")</f>
        <v>A) डिफेंडर सीमा से बाहर जा सकता है, B) डिफेंडर को अतिरिक्त अंक मिलते हैं, C) चेज़र्स की सहनशक्ति कम हो जाती है, D) डिफेंडर को अयोग्य घोषित कर दिया जाता है</v>
      </c>
      <c r="I93" s="5" t="str">
        <f>IFERROR(__xludf.DUMMYFUNCTION("GOOGLETRANSLATE(D93, ""en"", ""hi"")"),"A) डिफेंडर सीमा से बाहर जा सकता है")</f>
        <v>A) डिफेंडर सीमा से बाहर जा सकता है</v>
      </c>
    </row>
    <row r="94" ht="22.5" customHeight="1">
      <c r="A94" s="7">
        <v>93.0</v>
      </c>
      <c r="B94" s="7" t="s">
        <v>2589</v>
      </c>
      <c r="C94" s="7" t="s">
        <v>2590</v>
      </c>
      <c r="D94" s="7" t="s">
        <v>2550</v>
      </c>
      <c r="F94" s="5" t="str">
        <f>IFERROR(__xludf.DUMMYFUNCTION("GOOGLETRANSLATE(A94, ""en"", ""hi"")"),"93")</f>
        <v>93</v>
      </c>
      <c r="G94" s="5" t="str">
        <f>IFERROR(__xludf.DUMMYFUNCTION("GOOGLETRANSLATE(B94, ""en"", ""hi"")"),"टीम A का एक चेज़र सीटी बजने से ठीक पहले एक डिफेंडर को टैग करता है, लेकिन टैग विवादित हो जाता है। रेफरी क्या करेगा?")</f>
        <v>टीम A का एक चेज़र सीटी बजने से ठीक पहले एक डिफेंडर को टैग करता है, लेकिन टैग विवादित हो जाता है। रेफरी क्या करेगा?</v>
      </c>
      <c r="H94" s="5" t="str">
        <f>IFERROR(__xludf.DUMMYFUNCTION("GOOGLETRANSLATE(C94, ""en"", ""hi"")"),"ए) टीम ए को अंक प्रदान करें, बी) खेल की समीक्षा करें, सी) राउंड को पुनः आरंभ करें, डी) टीम ए को दंडित करें")</f>
        <v>ए) टीम ए को अंक प्रदान करें, बी) खेल की समीक्षा करें, सी) राउंड को पुनः आरंभ करें, डी) टीम ए को दंडित करें</v>
      </c>
      <c r="I94" s="5" t="str">
        <f>IFERROR(__xludf.DUMMYFUNCTION("GOOGLETRANSLATE(D94, ""en"", ""hi"")"),"बी) नाटक की समीक्षा करें")</f>
        <v>बी) नाटक की समीक्षा करें</v>
      </c>
    </row>
    <row r="95" ht="22.5" customHeight="1">
      <c r="A95" s="7">
        <v>94.0</v>
      </c>
      <c r="B95" s="7" t="s">
        <v>2591</v>
      </c>
      <c r="C95" s="7" t="s">
        <v>2592</v>
      </c>
      <c r="D95" s="7" t="s">
        <v>2593</v>
      </c>
      <c r="F95" s="5" t="str">
        <f>IFERROR(__xludf.DUMMYFUNCTION("GOOGLETRANSLATE(A95, ""en"", ""hi"")"),"94")</f>
        <v>94</v>
      </c>
      <c r="G95" s="5" t="str">
        <f>IFERROR(__xludf.DUMMYFUNCTION("GOOGLETRANSLATE(B95, ""en"", ""hi"")"),"मैच के आखिरी मिनटों में, टीम A का चेज़र धीमी 'खो' देता है जिससे अगले चेज़र की प्रतिक्रिया में देरी होती है। टीम A इसमें कैसे सुधार कर सकती है?")</f>
        <v>मैच के आखिरी मिनटों में, टीम A का चेज़र धीमी 'खो' देता है जिससे अगले चेज़र की प्रतिक्रिया में देरी होती है। टीम A इसमें कैसे सुधार कर सकती है?</v>
      </c>
      <c r="H95" s="5" t="str">
        <f>IFERROR(__xludf.DUMMYFUNCTION("GOOGLETRANSLATE(C95, ""en"", ""hi"")"),"ए) 'खो' की गति बढ़ाएं, बी) 'खो' देने से बचें, सी) व्यक्तिगत रक्षकों पर ध्यान केंद्रित करें, डी) समन्वय बढ़ाएं")</f>
        <v>ए) 'खो' की गति बढ़ाएं, बी) 'खो' देने से बचें, सी) व्यक्तिगत रक्षकों पर ध्यान केंद्रित करें, डी) समन्वय बढ़ाएं</v>
      </c>
      <c r="I95" s="5" t="str">
        <f>IFERROR(__xludf.DUMMYFUNCTION("GOOGLETRANSLATE(D95, ""en"", ""hi"")"),"A) 'खो' की गति बढ़ाएँ")</f>
        <v>A) 'खो' की गति बढ़ाएँ</v>
      </c>
    </row>
    <row r="96" ht="22.5" customHeight="1">
      <c r="A96" s="7">
        <v>95.0</v>
      </c>
      <c r="B96" s="7" t="s">
        <v>2594</v>
      </c>
      <c r="C96" s="7" t="s">
        <v>2552</v>
      </c>
      <c r="D96" s="7" t="s">
        <v>2485</v>
      </c>
      <c r="F96" s="5" t="str">
        <f>IFERROR(__xludf.DUMMYFUNCTION("GOOGLETRANSLATE(A96, ""en"", ""hi"")"),"95")</f>
        <v>95</v>
      </c>
      <c r="G96" s="5" t="str">
        <f>IFERROR(__xludf.DUMMYFUNCTION("GOOGLETRANSLATE(B96, ""en"", ""hi"")"),"एक मैच के दौरान, टीम B का डिफेंडर सेंट्रल लेन पार करता है, लेकिन तुरंत ही एक चेज़र उसे टैग कर देता है। इसका नियम क्या है?")</f>
        <v>एक मैच के दौरान, टीम B का डिफेंडर सेंट्रल लेन पार करता है, लेकिन तुरंत ही एक चेज़र उसे टैग कर देता है। इसका नियम क्या है?</v>
      </c>
      <c r="H96" s="5" t="str">
        <f>IFERROR(__xludf.DUMMYFUNCTION("GOOGLETRANSLATE(C96, ""en"", ""hi"")"),"A) डिफेंडर बाहर है, B) डिफेंडर सुरक्षित है, C) चेज़र को दंडित किया गया है, D) राउंड पुनः शुरू किया गया है")</f>
        <v>A) डिफेंडर बाहर है, B) डिफेंडर सुरक्षित है, C) चेज़र को दंडित किया गया है, D) राउंड पुनः शुरू किया गया है</v>
      </c>
      <c r="I96" s="5" t="str">
        <f>IFERROR(__xludf.DUMMYFUNCTION("GOOGLETRANSLATE(D96, ""en"", ""hi"")"),"A) डिफेंडर बाहर है")</f>
        <v>A) डिफेंडर बाहर है</v>
      </c>
    </row>
    <row r="97" ht="22.5" customHeight="1">
      <c r="A97" s="7">
        <v>96.0</v>
      </c>
      <c r="B97" s="7" t="s">
        <v>2595</v>
      </c>
      <c r="C97" s="7" t="s">
        <v>2596</v>
      </c>
      <c r="D97" s="7" t="s">
        <v>2458</v>
      </c>
      <c r="F97" s="5" t="str">
        <f>IFERROR(__xludf.DUMMYFUNCTION("GOOGLETRANSLATE(A97, ""en"", ""hi"")"),"96")</f>
        <v>96</v>
      </c>
      <c r="G97" s="5" t="str">
        <f>IFERROR(__xludf.DUMMYFUNCTION("GOOGLETRANSLATE(B97, ""en"", ""hi"")"),"एक फ़ाइनल मैच में, टीम A का डिफेंडर लेन बदलकर एक चेज़र को चकमा देता है, लेकिन चेज़र का दावा है कि डिफेंडर ने अवैध रूप से लाइन पार की थी। रेफ़री क्या फ़ैसला करेगा?")</f>
        <v>एक फ़ाइनल मैच में, टीम A का डिफेंडर लेन बदलकर एक चेज़र को चकमा देता है, लेकिन चेज़र का दावा है कि डिफेंडर ने अवैध रूप से लाइन पार की थी। रेफ़री क्या फ़ैसला करेगा?</v>
      </c>
      <c r="H97" s="5" t="str">
        <f>IFERROR(__xludf.DUMMYFUNCTION("GOOGLETRANSLATE(C97, ""en"", ""hi"")"),"ए) डिफेंडर सुरक्षित है, बी) डिफेंडर बाहर है, सी) चेज़र को दंडित किया गया है, डी) राउंड रीसेट किया गया है")</f>
        <v>ए) डिफेंडर सुरक्षित है, बी) डिफेंडर बाहर है, सी) चेज़र को दंडित किया गया है, डी) राउंड रीसेट किया गया है</v>
      </c>
      <c r="I97" s="5" t="str">
        <f>IFERROR(__xludf.DUMMYFUNCTION("GOOGLETRANSLATE(D97, ""en"", ""hi"")"),"A) डिफेंडर सुरक्षित है")</f>
        <v>A) डिफेंडर सुरक्षित है</v>
      </c>
    </row>
    <row r="98" ht="22.5" customHeight="1">
      <c r="A98" s="7">
        <v>97.0</v>
      </c>
      <c r="B98" s="7" t="s">
        <v>2597</v>
      </c>
      <c r="C98" s="7" t="s">
        <v>2598</v>
      </c>
      <c r="D98" s="7" t="s">
        <v>2513</v>
      </c>
      <c r="F98" s="5" t="str">
        <f>IFERROR(__xludf.DUMMYFUNCTION("GOOGLETRANSLATE(A98, ""en"", ""hi"")"),"97")</f>
        <v>97</v>
      </c>
      <c r="G98" s="5" t="str">
        <f>IFERROR(__xludf.DUMMYFUNCTION("GOOGLETRANSLATE(B98, ""en"", ""hi"")"),"टीम बी का चेज़र देर से 'खो' देता है, लेकिन डिफेंडर को सही समय पर टैग करने में कामयाब हो जाता है। भविष्य में ऐसी नज़दीकी मुक़ाबले से बचने के लिए टीम बी को किन बातों पर ध्यान देना चाहिए?")</f>
        <v>टीम बी का चेज़र देर से 'खो' देता है, लेकिन डिफेंडर को सही समय पर टैग करने में कामयाब हो जाता है। भविष्य में ऐसी नज़दीकी मुक़ाबले से बचने के लिए टीम बी को किन बातों पर ध्यान देना चाहिए?</v>
      </c>
      <c r="H98" s="5" t="str">
        <f>IFERROR(__xludf.DUMMYFUNCTION("GOOGLETRANSLATE(C98, ""en"", ""hi"")"),"A) 'खो' पहले दें, B) 'खो' का प्रयोग न करें, C) गति बढ़ाएँ, D) गति धीमी करें")</f>
        <v>A) 'खो' पहले दें, B) 'खो' का प्रयोग न करें, C) गति बढ़ाएँ, D) गति धीमी करें</v>
      </c>
      <c r="I98" s="5" t="str">
        <f>IFERROR(__xludf.DUMMYFUNCTION("GOOGLETRANSLATE(D98, ""en"", ""hi"")"),"A) पहले 'खो' दें")</f>
        <v>A) पहले 'खो' दें</v>
      </c>
    </row>
    <row r="99" ht="22.5" customHeight="1">
      <c r="A99" s="7">
        <v>98.0</v>
      </c>
      <c r="B99" s="7" t="s">
        <v>2599</v>
      </c>
      <c r="C99" s="7" t="s">
        <v>2600</v>
      </c>
      <c r="D99" s="7" t="s">
        <v>2491</v>
      </c>
      <c r="F99" s="5" t="str">
        <f>IFERROR(__xludf.DUMMYFUNCTION("GOOGLETRANSLATE(A99, ""en"", ""hi"")"),"98")</f>
        <v>98</v>
      </c>
      <c r="G99" s="5" t="str">
        <f>IFERROR(__xludf.DUMMYFUNCTION("GOOGLETRANSLATE(B99, ""en"", ""hi"")"),"टीम A का एक डिफेंडर पीछा करने वालों से बचने के लिए ज़िग-ज़ैग पैटर्न का इस्तेमाल कर रहा है। इस रणनीति का क्या फ़ायदा है?")</f>
        <v>टीम A का एक डिफेंडर पीछा करने वालों से बचने के लिए ज़िग-ज़ैग पैटर्न का इस्तेमाल कर रहा है। इस रणनीति का क्या फ़ायदा है?</v>
      </c>
      <c r="H99" s="5" t="str">
        <f>IFERROR(__xludf.DUMMYFUNCTION("GOOGLETRANSLATE(C99, ""en"", ""hi"")"),"A) पीछा करने वालों को भ्रमित करता है, B) डिफेंडर की सहनशक्ति बढ़ाता है, C) खेल को धीमा करता है, D) डिफेंडर को अतिरिक्त अंक मिलते हैं")</f>
        <v>A) पीछा करने वालों को भ्रमित करता है, B) डिफेंडर की सहनशक्ति बढ़ाता है, C) खेल को धीमा करता है, D) डिफेंडर को अतिरिक्त अंक मिलते हैं</v>
      </c>
      <c r="I99" s="5" t="str">
        <f>IFERROR(__xludf.DUMMYFUNCTION("GOOGLETRANSLATE(D99, ""en"", ""hi"")"),"A) पीछा करने वालों को भ्रमित करता है")</f>
        <v>A) पीछा करने वालों को भ्रमित करता है</v>
      </c>
    </row>
    <row r="100" ht="22.5" customHeight="1">
      <c r="A100" s="7">
        <v>99.0</v>
      </c>
      <c r="B100" s="7" t="s">
        <v>2601</v>
      </c>
      <c r="C100" s="7" t="s">
        <v>2602</v>
      </c>
      <c r="D100" s="7" t="s">
        <v>2603</v>
      </c>
      <c r="F100" s="5" t="str">
        <f>IFERROR(__xludf.DUMMYFUNCTION("GOOGLETRANSLATE(A100, ""en"", ""hi"")"),"99")</f>
        <v>99</v>
      </c>
      <c r="G100" s="5" t="str">
        <f>IFERROR(__xludf.DUMMYFUNCTION("GOOGLETRANSLATE(B100, ""en"", ""hi"")"),"एक करीबी मुकाबले में, टीम A का चेज़र 'खो' देने से हिचकिचाता है, जिससे अगला चेज़र मौका गँवा देता है। टीम A को क्या बदलाव करना चाहिए?")</f>
        <v>एक करीबी मुकाबले में, टीम A का चेज़र 'खो' देने से हिचकिचाता है, जिससे अगला चेज़र मौका गँवा देता है। टीम A को क्या बदलाव करना चाहिए?</v>
      </c>
      <c r="H100" s="5" t="str">
        <f>IFERROR(__xludf.DUMMYFUNCTION("GOOGLETRANSLATE(C100, ""en"", ""hi"")"),"A) 'खो' जल्दी दें, B) 'खो' देने से बचें, C) एकल पीछा करने वालों पर ध्यान केंद्रित करें, D) खेल को धीमा करें")</f>
        <v>A) 'खो' जल्दी दें, B) 'खो' देने से बचें, C) एकल पीछा करने वालों पर ध्यान केंद्रित करें, D) खेल को धीमा करें</v>
      </c>
      <c r="I100" s="5" t="str">
        <f>IFERROR(__xludf.DUMMYFUNCTION("GOOGLETRANSLATE(D100, ""en"", ""hi"")"),"A) 'खो' को अधिक तेजी से दें")</f>
        <v>A) 'खो' को अधिक तेजी से दें</v>
      </c>
    </row>
    <row r="101" ht="22.5" customHeight="1">
      <c r="A101" s="7">
        <v>100.0</v>
      </c>
      <c r="B101" s="7" t="s">
        <v>2604</v>
      </c>
      <c r="C101" s="7" t="s">
        <v>2552</v>
      </c>
      <c r="D101" s="7" t="s">
        <v>2485</v>
      </c>
      <c r="F101" s="5" t="str">
        <f>IFERROR(__xludf.DUMMYFUNCTION("GOOGLETRANSLATE(A101, ""en"", ""hi"")"),"100")</f>
        <v>100</v>
      </c>
      <c r="G101" s="5" t="str">
        <f>IFERROR(__xludf.DUMMYFUNCTION("GOOGLETRANSLATE(B101, ""en"", ""hi"")"),"एक गरमागरम मुकाबले के दौरान, टीम बी का डिफेंडर सेंट्रल लेन पार करने की कोशिश करते हुए पकड़ा जाता है। नतीजा क्या होता है?")</f>
        <v>एक गरमागरम मुकाबले के दौरान, टीम बी का डिफेंडर सेंट्रल लेन पार करने की कोशिश करते हुए पकड़ा जाता है। नतीजा क्या होता है?</v>
      </c>
      <c r="H101" s="5" t="str">
        <f>IFERROR(__xludf.DUMMYFUNCTION("GOOGLETRANSLATE(C101, ""en"", ""hi"")"),"A) डिफेंडर बाहर है, B) डिफेंडर सुरक्षित है, C) चेज़र को दंडित किया गया है, D) राउंड पुनः शुरू किया गया है")</f>
        <v>A) डिफेंडर बाहर है, B) डिफेंडर सुरक्षित है, C) चेज़र को दंडित किया गया है, D) राउंड पुनः शुरू किया गया है</v>
      </c>
      <c r="I101" s="5" t="str">
        <f>IFERROR(__xludf.DUMMYFUNCTION("GOOGLETRANSLATE(D101, ""en"", ""hi"")"),"A) डिफेंडर बाहर है")</f>
        <v>A) डिफेंडर बाहर है</v>
      </c>
    </row>
    <row r="102" ht="22.5" customHeight="1">
      <c r="A102" s="7">
        <v>101.0</v>
      </c>
      <c r="B102" s="7" t="s">
        <v>2605</v>
      </c>
      <c r="C102" s="7" t="s">
        <v>2606</v>
      </c>
      <c r="D102" s="7" t="s">
        <v>2607</v>
      </c>
      <c r="F102" s="5" t="str">
        <f>IFERROR(__xludf.DUMMYFUNCTION("GOOGLETRANSLATE(A102, ""en"", ""hi"")"),"101")</f>
        <v>101</v>
      </c>
      <c r="G102" s="5" t="str">
        <f>IFERROR(__xludf.DUMMYFUNCTION("GOOGLETRANSLATE(B102, ""en"", ""hi"")"),"टीम A का चेज़र तेज़ी से 'खो' देता है, लेकिन अगला चेज़र डिफेंडर से थोड़े से अंतर से चूक जाता है। टीम को सुधार के लिए किस पर ध्यान केंद्रित करना चाहिए?")</f>
        <v>टीम A का चेज़र तेज़ी से 'खो' देता है, लेकिन अगला चेज़र डिफेंडर से थोड़े से अंतर से चूक जाता है। टीम को सुधार के लिए किस पर ध्यान केंद्रित करना चाहिए?</v>
      </c>
      <c r="H102" s="5" t="str">
        <f>IFERROR(__xludf.DUMMYFUNCTION("GOOGLETRANSLATE(C102, ""en"", ""hi"")"),"A) 'खो' का समय बेहतर रखना, B) गति धीमी करना, C) पीछा करने वालों के बीच दूरी बढ़ाना, D) 'खो' देने से बचना")</f>
        <v>A) 'खो' का समय बेहतर रखना, B) गति धीमी करना, C) पीछा करने वालों के बीच दूरी बढ़ाना, D) 'खो' देने से बचना</v>
      </c>
      <c r="I102" s="5" t="str">
        <f>IFERROR(__xludf.DUMMYFUNCTION("GOOGLETRANSLATE(D102, ""en"", ""hi"")"),"A) 'खो' का बेहतर समय")</f>
        <v>A) 'खो' का बेहतर समय</v>
      </c>
    </row>
    <row r="103" ht="22.5" customHeight="1">
      <c r="A103" s="7">
        <v>102.0</v>
      </c>
      <c r="B103" s="7" t="s">
        <v>2608</v>
      </c>
      <c r="C103" s="7" t="s">
        <v>2609</v>
      </c>
      <c r="D103" s="7" t="s">
        <v>2491</v>
      </c>
      <c r="F103" s="5" t="str">
        <f>IFERROR(__xludf.DUMMYFUNCTION("GOOGLETRANSLATE(A103, ""en"", ""hi"")"),"102")</f>
        <v>102</v>
      </c>
      <c r="G103" s="5" t="str">
        <f>IFERROR(__xludf.DUMMYFUNCTION("GOOGLETRANSLATE(B103, ""en"", ""hi"")"),"टीम B का एक डिफेंडर टैग से बचने के लिए लगातार लेन बदल रहा है। इस रणनीति का मुख्य लाभ क्या है?")</f>
        <v>टीम B का एक डिफेंडर टैग से बचने के लिए लगातार लेन बदल रहा है। इस रणनीति का मुख्य लाभ क्या है?</v>
      </c>
      <c r="H103" s="5" t="str">
        <f>IFERROR(__xludf.DUMMYFUNCTION("GOOGLETRANSLATE(C103, ""en"", ""hi"")"),"A) पीछा करने वालों को भ्रमित करता है, B) खेल को धीमा करता है, C) डिफेंडर के अंक बढ़ाता है, D) डिफेंडर को थका देता है")</f>
        <v>A) पीछा करने वालों को भ्रमित करता है, B) खेल को धीमा करता है, C) डिफेंडर के अंक बढ़ाता है, D) डिफेंडर को थका देता है</v>
      </c>
      <c r="I103" s="5" t="str">
        <f>IFERROR(__xludf.DUMMYFUNCTION("GOOGLETRANSLATE(D103, ""en"", ""hi"")"),"A) पीछा करने वालों को भ्रमित करता है")</f>
        <v>A) पीछा करने वालों को भ्रमित करता है</v>
      </c>
    </row>
    <row r="104" ht="22.5" customHeight="1">
      <c r="A104" s="7">
        <v>103.0</v>
      </c>
      <c r="B104" s="7" t="s">
        <v>2610</v>
      </c>
      <c r="C104" s="7" t="s">
        <v>2581</v>
      </c>
      <c r="D104" s="7" t="s">
        <v>2573</v>
      </c>
      <c r="F104" s="5" t="str">
        <f>IFERROR(__xludf.DUMMYFUNCTION("GOOGLETRANSLATE(A104, ""en"", ""hi"")"),"103")</f>
        <v>103</v>
      </c>
      <c r="G104" s="5" t="str">
        <f>IFERROR(__xludf.DUMMYFUNCTION("GOOGLETRANSLATE(B104, ""en"", ""hi"")"),"टीम A का चेज़र एक डिफेंडर को टैग करता है, लेकिन उसके तुरंत बाद बाउंड्स से बाहर चला जाता है। नियम क्या है?")</f>
        <v>टीम A का चेज़र एक डिफेंडर को टैग करता है, लेकिन उसके तुरंत बाद बाउंड्स से बाहर चला जाता है। नियम क्या है?</v>
      </c>
      <c r="H104" s="5" t="str">
        <f>IFERROR(__xludf.DUMMYFUNCTION("GOOGLETRANSLATE(C104, ""en"", ""hi"")"),"A) टैग अमान्य है, B) डिफेंडर आउट है, C) चेज़र एक अंक अर्जित करता है, D) डिफेंडर एक अंक प्राप्त करता है")</f>
        <v>A) टैग अमान्य है, B) डिफेंडर आउट है, C) चेज़र एक अंक अर्जित करता है, D) डिफेंडर एक अंक प्राप्त करता है</v>
      </c>
      <c r="I104" s="5" t="str">
        <f>IFERROR(__xludf.DUMMYFUNCTION("GOOGLETRANSLATE(D104, ""en"", ""hi"")"),"A) टैग अमान्य है")</f>
        <v>A) टैग अमान्य है</v>
      </c>
    </row>
    <row r="105" ht="22.5" customHeight="1">
      <c r="A105" s="7">
        <v>104.0</v>
      </c>
      <c r="B105" s="7" t="s">
        <v>2611</v>
      </c>
      <c r="C105" s="7" t="s">
        <v>2583</v>
      </c>
      <c r="D105" s="7" t="s">
        <v>2458</v>
      </c>
      <c r="F105" s="5" t="str">
        <f>IFERROR(__xludf.DUMMYFUNCTION("GOOGLETRANSLATE(A105, ""en"", ""hi"")"),"104")</f>
        <v>104</v>
      </c>
      <c r="G105" s="5" t="str">
        <f>IFERROR(__xludf.DUMMYFUNCTION("GOOGLETRANSLATE(B105, ""en"", ""hi"")"),"सेमीफाइनल में, टीम B का डिफेंडर टैग होने ही वाला था, लेकिन पीछा करने वाले से बचने के लिए कूद गया। नतीजा क्या हुआ?")</f>
        <v>सेमीफाइनल में, टीम B का डिफेंडर टैग होने ही वाला था, लेकिन पीछा करने वाले से बचने के लिए कूद गया। नतीजा क्या हुआ?</v>
      </c>
      <c r="H105" s="5" t="str">
        <f>IFERROR(__xludf.DUMMYFUNCTION("GOOGLETRANSLATE(C105, ""en"", ""hi"")"),"A) डिफेंडर सुरक्षित है, B) डिफेंडर को एक अंक मिलता है, C) चेज़र को एक अंक मिलता है, D) डिफेंडर को अयोग्य घोषित कर दिया जाता है")</f>
        <v>A) डिफेंडर सुरक्षित है, B) डिफेंडर को एक अंक मिलता है, C) चेज़र को एक अंक मिलता है, D) डिफेंडर को अयोग्य घोषित कर दिया जाता है</v>
      </c>
      <c r="I105" s="5" t="str">
        <f>IFERROR(__xludf.DUMMYFUNCTION("GOOGLETRANSLATE(D105, ""en"", ""hi"")"),"A) डिफेंडर सुरक्षित है")</f>
        <v>A) डिफेंडर सुरक्षित है</v>
      </c>
    </row>
    <row r="106" ht="22.5" customHeight="1">
      <c r="A106" s="7">
        <v>105.0</v>
      </c>
      <c r="B106" s="7" t="s">
        <v>2612</v>
      </c>
      <c r="C106" s="7" t="s">
        <v>2585</v>
      </c>
      <c r="D106" s="7" t="s">
        <v>2564</v>
      </c>
      <c r="F106" s="5" t="str">
        <f>IFERROR(__xludf.DUMMYFUNCTION("GOOGLETRANSLATE(A106, ""en"", ""hi"")"),"105")</f>
        <v>105</v>
      </c>
      <c r="G106" s="5" t="str">
        <f>IFERROR(__xludf.DUMMYFUNCTION("GOOGLETRANSLATE(B106, ""en"", ""hi"")"),"एक महत्वपूर्ण क्षण में, टीम A का चेज़र 'खो' देने में हिचकिचाता है। इससे टीम की रणनीति पर क्या असर पड़ सकता है?")</f>
        <v>एक महत्वपूर्ण क्षण में, टीम A का चेज़र 'खो' देने में हिचकिचाता है। इससे टीम की रणनीति पर क्या असर पड़ सकता है?</v>
      </c>
      <c r="H106" s="5" t="str">
        <f>IFERROR(__xludf.DUMMYFUNCTION("GOOGLETRANSLATE(C106, ""en"", ""hi"")"),"A) डिफेंडर को समय मिलता है, B) चेज़र को सहनशक्ति मिलती है, C) डिफेंडर को दंडित किया जाता है, D) चेज़र को एक अंक मिलता है")</f>
        <v>A) डिफेंडर को समय मिलता है, B) चेज़र को सहनशक्ति मिलती है, C) डिफेंडर को दंडित किया जाता है, D) चेज़र को एक अंक मिलता है</v>
      </c>
      <c r="I106" s="5" t="str">
        <f>IFERROR(__xludf.DUMMYFUNCTION("GOOGLETRANSLATE(D106, ""en"", ""hi"")"),"A) डिफेंडर को समय मिलता है")</f>
        <v>A) डिफेंडर को समय मिलता है</v>
      </c>
    </row>
    <row r="107" ht="22.5" customHeight="1">
      <c r="A107" s="7">
        <v>106.0</v>
      </c>
      <c r="B107" s="7" t="s">
        <v>2613</v>
      </c>
      <c r="C107" s="7" t="s">
        <v>2614</v>
      </c>
      <c r="D107" s="7" t="s">
        <v>2615</v>
      </c>
      <c r="F107" s="5" t="str">
        <f>IFERROR(__xludf.DUMMYFUNCTION("GOOGLETRANSLATE(A107, ""en"", ""hi"")"),"106")</f>
        <v>106</v>
      </c>
      <c r="G107" s="5" t="str">
        <f>IFERROR(__xludf.DUMMYFUNCTION("GOOGLETRANSLATE(B107, ""en"", ""hi"")"),"मैच के आखिरी क्षणों में, टीम A का डिफेंडर दो चेज़र्स द्वारा पोल के पास फँस जाता है। डिफेंडर को बचने के लिए क्या करना चाहिए?")</f>
        <v>मैच के आखिरी क्षणों में, टीम A का डिफेंडर दो चेज़र्स द्वारा पोल के पास फँस जाता है। डिफेंडर को बचने के लिए क्या करना चाहिए?</v>
      </c>
      <c r="H107" s="5" t="str">
        <f>IFERROR(__xludf.DUMMYFUNCTION("GOOGLETRANSLATE(C107, ""en"", ""hi"")"),"A) तेजी से लेन बदलना, B) पोल की ओर दौड़ना, C) टाइम-आउट के लिए कॉल करना, D) एक साथ दोनों पीछा करने वालों को चकमा देने का प्रयास करना")</f>
        <v>A) तेजी से लेन बदलना, B) पोल की ओर दौड़ना, C) टाइम-आउट के लिए कॉल करना, D) एक साथ दोनों पीछा करने वालों को चकमा देने का प्रयास करना</v>
      </c>
      <c r="I107" s="5" t="str">
        <f>IFERROR(__xludf.DUMMYFUNCTION("GOOGLETRANSLATE(D107, ""en"", ""hi"")"),"A) जल्दी से लेन बदलें")</f>
        <v>A) जल्दी से लेन बदलें</v>
      </c>
    </row>
    <row r="108" ht="22.5" customHeight="1">
      <c r="A108" s="7">
        <v>107.0</v>
      </c>
      <c r="B108" s="7" t="s">
        <v>2616</v>
      </c>
      <c r="C108" s="7" t="s">
        <v>2617</v>
      </c>
      <c r="D108" s="7" t="s">
        <v>2618</v>
      </c>
      <c r="F108" s="5" t="str">
        <f>IFERROR(__xludf.DUMMYFUNCTION("GOOGLETRANSLATE(A108, ""en"", ""hi"")"),"107")</f>
        <v>107</v>
      </c>
      <c r="G108" s="5" t="str">
        <f>IFERROR(__xludf.DUMMYFUNCTION("GOOGLETRANSLATE(B108, ""en"", ""hi"")"),"टीम बी का एक डिफेंडर लगातार सीमा रेखा के पास दौड़ रहा है। इस रणनीति का सबसे बड़ा जोखिम क्या है?")</f>
        <v>टीम बी का एक डिफेंडर लगातार सीमा रेखा के पास दौड़ रहा है। इस रणनीति का सबसे बड़ा जोखिम क्या है?</v>
      </c>
      <c r="H108" s="5" t="str">
        <f>IFERROR(__xludf.DUMMYFUNCTION("GOOGLETRANSLATE(C108, ""en"", ""hi"")"),"A) अंक प्राप्त करना, B) पीछा करने वालों को भ्रमित करना, C) गलती से सीमा से बाहर निकल जाना, D) दंडित होना")</f>
        <v>A) अंक प्राप्त करना, B) पीछा करने वालों को भ्रमित करना, C) गलती से सीमा से बाहर निकल जाना, D) दंडित होना</v>
      </c>
      <c r="I108" s="5" t="str">
        <f>IFERROR(__xludf.DUMMYFUNCTION("GOOGLETRANSLATE(D108, ""en"", ""hi"")"),"C) गलती से सीमा से बाहर कदम रखना")</f>
        <v>C) गलती से सीमा से बाहर कदम रखना</v>
      </c>
    </row>
    <row r="109" ht="22.5" customHeight="1">
      <c r="A109" s="7">
        <v>108.0</v>
      </c>
      <c r="B109" s="7" t="s">
        <v>2619</v>
      </c>
      <c r="C109" s="7" t="s">
        <v>2620</v>
      </c>
      <c r="D109" s="7" t="s">
        <v>2513</v>
      </c>
      <c r="F109" s="5" t="str">
        <f>IFERROR(__xludf.DUMMYFUNCTION("GOOGLETRANSLATE(A109, ""en"", ""hi"")"),"108")</f>
        <v>108</v>
      </c>
      <c r="G109" s="5" t="str">
        <f>IFERROR(__xludf.DUMMYFUNCTION("GOOGLETRANSLATE(B109, ""en"", ""hi"")"),"टीम A का चेज़र देर से 'खो' देता है, और अगला चेज़र हिचकिचाता है, जिससे डिफेंडर को टैग करने का मौका चूक जाता है। क्या बदलाव किया जाना चाहिए?")</f>
        <v>टीम A का चेज़र देर से 'खो' देता है, और अगला चेज़र हिचकिचाता है, जिससे डिफेंडर को टैग करने का मौका चूक जाता है। क्या बदलाव किया जाना चाहिए?</v>
      </c>
      <c r="H109" s="5" t="str">
        <f>IFERROR(__xludf.DUMMYFUNCTION("GOOGLETRANSLATE(C109, ""en"", ""hi"")"),"A) 'खो' पहले दें, B) 'खो' देना छोड़ दें, C) गति धीमी कर दें, D) समय पर ध्यान दें")</f>
        <v>A) 'खो' पहले दें, B) 'खो' देना छोड़ दें, C) गति धीमी कर दें, D) समय पर ध्यान दें</v>
      </c>
      <c r="I109" s="5" t="str">
        <f>IFERROR(__xludf.DUMMYFUNCTION("GOOGLETRANSLATE(D109, ""en"", ""hi"")"),"A) पहले 'खो' दें")</f>
        <v>A) पहले 'खो' दें</v>
      </c>
    </row>
    <row r="110" ht="22.5" customHeight="1">
      <c r="A110" s="7">
        <v>109.0</v>
      </c>
      <c r="B110" s="7" t="s">
        <v>2621</v>
      </c>
      <c r="C110" s="7" t="s">
        <v>2622</v>
      </c>
      <c r="D110" s="7" t="s">
        <v>2623</v>
      </c>
      <c r="F110" s="5" t="str">
        <f>IFERROR(__xludf.DUMMYFUNCTION("GOOGLETRANSLATE(A110, ""en"", ""hi"")"),"109")</f>
        <v>109</v>
      </c>
      <c r="G110" s="5" t="str">
        <f>IFERROR(__xludf.DUMMYFUNCTION("GOOGLETRANSLATE(B110, ""en"", ""hi"")"),"टीम बी का चेज़र 'खो' देने ही वाला है, लेकिन उसे पता चलता है कि डिफेंडर बहुत दूर है। चेज़र के लिए सबसे अच्छा कदम क्या हो सकता है?")</f>
        <v>टीम बी का चेज़र 'खो' देने ही वाला है, लेकिन उसे पता चलता है कि डिफेंडर बहुत दूर है। चेज़र के लिए सबसे अच्छा कदम क्या हो सकता है?</v>
      </c>
      <c r="H110" s="5" t="str">
        <f>IFERROR(__xludf.DUMMYFUNCTION("GOOGLETRANSLATE(C110, ""en"", ""hi"")"),"A) फिर भी 'खो' दे देना, B) डिफेंडर की ओर दौड़ना, C) डिफेंडर के करीब आने का इंतजार करना, D) बेहतर 'खो' की योजना बनाना")</f>
        <v>A) फिर भी 'खो' दे देना, B) डिफेंडर की ओर दौड़ना, C) डिफेंडर के करीब आने का इंतजार करना, D) बेहतर 'खो' की योजना बनाना</v>
      </c>
      <c r="I110" s="5" t="str">
        <f>IFERROR(__xludf.DUMMYFUNCTION("GOOGLETRANSLATE(D110, ""en"", ""hi"")"),"D) बेहतर 'खो' की योजना बनाएं")</f>
        <v>D) बेहतर 'खो' की योजना बनाएं</v>
      </c>
    </row>
    <row r="111" ht="22.5" customHeight="1">
      <c r="A111" s="7">
        <v>110.0</v>
      </c>
      <c r="B111" s="7" t="s">
        <v>2624</v>
      </c>
      <c r="C111" s="7" t="s">
        <v>2625</v>
      </c>
      <c r="D111" s="7" t="s">
        <v>2626</v>
      </c>
      <c r="F111" s="5" t="str">
        <f>IFERROR(__xludf.DUMMYFUNCTION("GOOGLETRANSLATE(A111, ""en"", ""hi"")"),"110")</f>
        <v>110</v>
      </c>
      <c r="G111" s="5" t="str">
        <f>IFERROR(__xludf.DUMMYFUNCTION("GOOGLETRANSLATE(B111, ""en"", ""hi"")"),"एक तनावपूर्ण मैच के आखिरी मिनट में, टीम A का चेज़र एक डिफेंडर को टैग करने ही वाला था कि फिसल गया। अगले चेज़र को क्या करना चाहिए?")</f>
        <v>एक तनावपूर्ण मैच के आखिरी मिनट में, टीम A का चेज़र एक डिफेंडर को टैग करने ही वाला था कि फिसल गया। अगले चेज़र को क्या करना चाहिए?</v>
      </c>
      <c r="H111" s="5" t="str">
        <f>IFERROR(__xludf.DUMMYFUNCTION("GOOGLETRANSLATE(C111, ""en"", ""hi"")"),"A) तुरंत डिफेंडर का पीछा करना शुरू कर दें, B) डिफेंडर को अनदेखा कर दें, C) डिफेंडर के करीब आने का इंतजार करें, D) मोड़ छोड़ दें")</f>
        <v>A) तुरंत डिफेंडर का पीछा करना शुरू कर दें, B) डिफेंडर को अनदेखा कर दें, C) डिफेंडर के करीब आने का इंतजार करें, D) मोड़ छोड़ दें</v>
      </c>
      <c r="I111" s="5" t="str">
        <f>IFERROR(__xludf.DUMMYFUNCTION("GOOGLETRANSLATE(D111, ""en"", ""hi"")"),"A) तुरंत डिफेंडर का पीछा करना शुरू करें")</f>
        <v>A) तुरंत डिफेंडर का पीछा करना शुरू करें</v>
      </c>
    </row>
    <row r="112" ht="22.5" customHeight="1">
      <c r="A112" s="7">
        <v>111.0</v>
      </c>
      <c r="B112" s="7" t="s">
        <v>2627</v>
      </c>
      <c r="C112" s="7" t="s">
        <v>2628</v>
      </c>
      <c r="D112" s="7" t="s">
        <v>2629</v>
      </c>
      <c r="F112" s="5" t="str">
        <f>IFERROR(__xludf.DUMMYFUNCTION("GOOGLETRANSLATE(A112, ""en"", ""hi"")"),"111")</f>
        <v>111</v>
      </c>
      <c r="G112" s="5" t="str">
        <f>IFERROR(__xludf.DUMMYFUNCTION("GOOGLETRANSLATE(B112, ""en"", ""hi"")"),"टीम बी का एक डिफेंडर कई चेज़र्स को चकमा दे रहा है, लेकिन टीम अपने 'खो' का समन्वय नहीं बना पा रही है। उन्हें बेहतर बनाने में क्या मदद कर सकता है?")</f>
        <v>टीम बी का एक डिफेंडर कई चेज़र्स को चकमा दे रहा है, लेकिन टीम अपने 'खो' का समन्वय नहीं बना पा रही है। उन्हें बेहतर बनाने में क्या मदद कर सकता है?</v>
      </c>
      <c r="H112" s="5" t="str">
        <f>IFERROR(__xludf.DUMMYFUNCTION("GOOGLETRANSLATE(C112, ""en"", ""hi"")"),"A) तेजी से खो-बदल, B) खो-छोड़ना, C) खेल को धीमा करना, D) अपना ध्यान बँटाना")</f>
        <v>A) तेजी से खो-बदल, B) खो-छोड़ना, C) खेल को धीमा करना, D) अपना ध्यान बँटाना</v>
      </c>
      <c r="I112" s="5" t="str">
        <f>IFERROR(__xludf.DUMMYFUNCTION("GOOGLETRANSLATE(D112, ""en"", ""hi"")"),"A) तेज़ खो एक्सचेंज")</f>
        <v>A) तेज़ खो एक्सचेंज</v>
      </c>
    </row>
    <row r="113" ht="22.5" customHeight="1">
      <c r="A113" s="7">
        <v>112.0</v>
      </c>
      <c r="B113" s="7" t="s">
        <v>2630</v>
      </c>
      <c r="C113" s="7" t="s">
        <v>2631</v>
      </c>
      <c r="D113" s="7" t="s">
        <v>2373</v>
      </c>
      <c r="F113" s="5" t="str">
        <f>IFERROR(__xludf.DUMMYFUNCTION("GOOGLETRANSLATE(A113, ""en"", ""hi"")"),"112")</f>
        <v>112</v>
      </c>
      <c r="G113" s="5" t="str">
        <f>IFERROR(__xludf.DUMMYFUNCTION("GOOGLETRANSLATE(B113, ""en"", ""hi"")"),"टीम A का डिफेंडर टैग से बचते हुए बाउंड्री से बाहर चला जाता है। इस क्रिया का परिणाम क्या होता है?")</f>
        <v>टीम A का डिफेंडर टैग से बचते हुए बाउंड्री से बाहर चला जाता है। इस क्रिया का परिणाम क्या होता है?</v>
      </c>
      <c r="H113" s="5" t="str">
        <f>IFERROR(__xludf.DUMMYFUNCTION("GOOGLETRANSLATE(C113, ""en"", ""hi"")"),"A) डिफेंडर सुरक्षित है, B) डिफेंडर बाहर है, C) चेज़र एक अंक अर्जित करता है, D) राउंड पुनः शुरू होता है")</f>
        <v>A) डिफेंडर सुरक्षित है, B) डिफेंडर बाहर है, C) चेज़र एक अंक अर्जित करता है, D) राउंड पुनः शुरू होता है</v>
      </c>
      <c r="I113" s="5" t="str">
        <f>IFERROR(__xludf.DUMMYFUNCTION("GOOGLETRANSLATE(D113, ""en"", ""hi"")"),"B) डिफेंडर बाहर है")</f>
        <v>B) डिफेंडर बाहर है</v>
      </c>
    </row>
    <row r="114" ht="22.5" customHeight="1">
      <c r="A114" s="7">
        <v>113.0</v>
      </c>
      <c r="B114" s="7" t="s">
        <v>2632</v>
      </c>
      <c r="C114" s="7" t="s">
        <v>2633</v>
      </c>
      <c r="D114" s="7" t="s">
        <v>2634</v>
      </c>
      <c r="F114" s="5" t="str">
        <f>IFERROR(__xludf.DUMMYFUNCTION("GOOGLETRANSLATE(A114, ""en"", ""hi"")"),"113")</f>
        <v>113</v>
      </c>
      <c r="G114" s="5" t="str">
        <f>IFERROR(__xludf.DUMMYFUNCTION("GOOGLETRANSLATE(B114, ""en"", ""hi"")"),"एक मैच के दौरान, टीम बी के डिफेंडर को एक तेज़ 'खो' के बाद टैग कर दिया जाता है। डिफेंडर को सुरक्षित रहने में किस चीज़ से मदद मिल सकती थी?")</f>
        <v>एक मैच के दौरान, टीम बी के डिफेंडर को एक तेज़ 'खो' के बाद टैग कर दिया जाता है। डिफेंडर को सुरक्षित रहने में किस चीज़ से मदद मिल सकती थी?</v>
      </c>
      <c r="H114" s="5" t="str">
        <f>IFERROR(__xludf.DUMMYFUNCTION("GOOGLETRANSLATE(C114, ""en"", ""hi"")"),"A) तेज़ दौड़ना, B) बेहतर बच निकलने का रास्ता चुनना, C) गति धीमी करना, D) टाइम-आउट मांगना")</f>
        <v>A) तेज़ दौड़ना, B) बेहतर बच निकलने का रास्ता चुनना, C) गति धीमी करना, D) टाइम-आउट मांगना</v>
      </c>
      <c r="I114" s="5" t="str">
        <f>IFERROR(__xludf.DUMMYFUNCTION("GOOGLETRANSLATE(D114, ""en"", ""hi"")"),"बी) बेहतर पलायन मार्ग चुनना")</f>
        <v>बी) बेहतर पलायन मार्ग चुनना</v>
      </c>
    </row>
    <row r="115" ht="22.5" customHeight="1">
      <c r="A115" s="7">
        <v>114.0</v>
      </c>
      <c r="B115" s="7" t="s">
        <v>2635</v>
      </c>
      <c r="C115" s="7" t="s">
        <v>2636</v>
      </c>
      <c r="D115" s="7" t="s">
        <v>2637</v>
      </c>
      <c r="F115" s="5" t="str">
        <f>IFERROR(__xludf.DUMMYFUNCTION("GOOGLETRANSLATE(A115, ""en"", ""hi"")"),"114")</f>
        <v>114</v>
      </c>
      <c r="G115" s="5" t="str">
        <f>IFERROR(__xludf.DUMMYFUNCTION("GOOGLETRANSLATE(B115, ""en"", ""hi"")"),"सेमीफाइनल में, टीम A के डिफेंडर की सहनशक्ति खत्म हो रही है, लेकिन चेज़र भी धीमे पड़ रहे हैं। डिफेंडर को क्या करना चाहिए?")</f>
        <v>सेमीफाइनल में, टीम A के डिफेंडर की सहनशक्ति खत्म हो रही है, लेकिन चेज़र भी धीमे पड़ रहे हैं। डिफेंडर को क्या करना चाहिए?</v>
      </c>
      <c r="H115" s="5" t="str">
        <f>IFERROR(__xludf.DUMMYFUNCTION("GOOGLETRANSLATE(C115, ""en"", ""hi"")"),"A) तेजी से चकमा देने का प्रयास करें, B) सीमा के करीब रहें, C) पीछा करने वालों की गलती का इंतजार करें, D) पोल की ओर दौड़ें")</f>
        <v>A) तेजी से चकमा देने का प्रयास करें, B) सीमा के करीब रहें, C) पीछा करने वालों की गलती का इंतजार करें, D) पोल की ओर दौड़ें</v>
      </c>
      <c r="I115" s="5" t="str">
        <f>IFERROR(__xludf.DUMMYFUNCTION("GOOGLETRANSLATE(D115, ""en"", ""hi"")"),"A) त्वरित चकमा देने का प्रयास करें")</f>
        <v>A) त्वरित चकमा देने का प्रयास करें</v>
      </c>
    </row>
    <row r="116" ht="22.5" customHeight="1">
      <c r="A116" s="7">
        <v>115.0</v>
      </c>
      <c r="B116" s="7" t="s">
        <v>2638</v>
      </c>
      <c r="C116" s="7" t="s">
        <v>2639</v>
      </c>
      <c r="D116" s="7" t="s">
        <v>2640</v>
      </c>
      <c r="F116" s="5" t="str">
        <f>IFERROR(__xludf.DUMMYFUNCTION("GOOGLETRANSLATE(A116, ""en"", ""hi"")"),"115")</f>
        <v>115</v>
      </c>
      <c r="G116" s="5" t="str">
        <f>IFERROR(__xludf.DUMMYFUNCTION("GOOGLETRANSLATE(B116, ""en"", ""hi"")"),"टीम बी का डिफेंडर लेन बदलने की कोशिश करता है, लेकिन दो चेज़र्स के बीच फँस जाता है। बचने का सबसे कारगर रास्ता क्या है?")</f>
        <v>टीम बी का डिफेंडर लेन बदलने की कोशिश करता है, लेकिन दो चेज़र्स के बीच फँस जाता है। बचने का सबसे कारगर रास्ता क्या है?</v>
      </c>
      <c r="H116" s="5" t="str">
        <f>IFERROR(__xludf.DUMMYFUNCTION("GOOGLETRANSLATE(C116, ""en"", ""hi"")"),"A) मध्य लेन पार करें, B) उसी लेन में चकमा दें, C) दिशा बदलें, D) गलती का इंतजार करें")</f>
        <v>A) मध्य लेन पार करें, B) उसी लेन में चकमा दें, C) दिशा बदलें, D) गलती का इंतजार करें</v>
      </c>
      <c r="I116" s="5" t="str">
        <f>IFERROR(__xludf.DUMMYFUNCTION("GOOGLETRANSLATE(D116, ""en"", ""hi"")"),"C) विपरीत दिशा")</f>
        <v>C) विपरीत दिशा</v>
      </c>
    </row>
    <row r="117" ht="22.5" customHeight="1">
      <c r="A117" s="7">
        <v>116.0</v>
      </c>
      <c r="B117" s="7" t="s">
        <v>2641</v>
      </c>
      <c r="C117" s="7" t="s">
        <v>2585</v>
      </c>
      <c r="D117" s="7" t="s">
        <v>2564</v>
      </c>
      <c r="F117" s="5" t="str">
        <f>IFERROR(__xludf.DUMMYFUNCTION("GOOGLETRANSLATE(A117, ""en"", ""hi"")"),"116")</f>
        <v>116</v>
      </c>
      <c r="G117" s="5" t="str">
        <f>IFERROR(__xludf.DUMMYFUNCTION("GOOGLETRANSLATE(B117, ""en"", ""hi"")"),"फ़ाइनल के दौरान, टीम A का चेज़र सही समय पर 'खो' देता है, लेकिन अगला चेज़र हिचकिचाता है। इसका टीम पर क्या असर पड़ता है?")</f>
        <v>फ़ाइनल के दौरान, टीम A का चेज़र सही समय पर 'खो' देता है, लेकिन अगला चेज़र हिचकिचाता है। इसका टीम पर क्या असर पड़ता है?</v>
      </c>
      <c r="H117" s="5" t="str">
        <f>IFERROR(__xludf.DUMMYFUNCTION("GOOGLETRANSLATE(C117, ""en"", ""hi"")"),"A) डिफेंडर को समय मिलता है, B) चेज़र को सहनशक्ति मिलती है, C) डिफेंडर को दंडित किया जाता है, D) चेज़र को एक अंक मिलता है")</f>
        <v>A) डिफेंडर को समय मिलता है, B) चेज़र को सहनशक्ति मिलती है, C) डिफेंडर को दंडित किया जाता है, D) चेज़र को एक अंक मिलता है</v>
      </c>
      <c r="I117" s="5" t="str">
        <f>IFERROR(__xludf.DUMMYFUNCTION("GOOGLETRANSLATE(D117, ""en"", ""hi"")"),"A) डिफेंडर को समय मिलता है")</f>
        <v>A) डिफेंडर को समय मिलता है</v>
      </c>
    </row>
    <row r="118" ht="22.5" customHeight="1">
      <c r="A118" s="7">
        <v>117.0</v>
      </c>
      <c r="B118" s="7" t="s">
        <v>2642</v>
      </c>
      <c r="C118" s="7" t="s">
        <v>2643</v>
      </c>
      <c r="D118" s="7" t="s">
        <v>2644</v>
      </c>
      <c r="F118" s="5" t="str">
        <f>IFERROR(__xludf.DUMMYFUNCTION("GOOGLETRANSLATE(A118, ""en"", ""hi"")"),"117")</f>
        <v>117</v>
      </c>
      <c r="G118" s="5" t="str">
        <f>IFERROR(__xludf.DUMMYFUNCTION("GOOGLETRANSLATE(B118, ""en"", ""hi"")"),"टीम B के डिफेंडर को पोल के पास दो चेज़र्स ने घेर लिया है। डिफेंडर को क्या करना चाहिए?")</f>
        <v>टीम B के डिफेंडर को पोल के पास दो चेज़र्स ने घेर लिया है। डिफेंडर को क्या करना चाहिए?</v>
      </c>
      <c r="H118" s="5" t="str">
        <f>IFERROR(__xludf.DUMMYFUNCTION("GOOGLETRANSLATE(C118, ""en"", ""hi"")"),"A) धीमी गति करके पीछा करने वालों को भ्रमित करने का प्रयास करें, B) निकटतम निकास लेन की ओर तेजी से दौड़ें, C) सीमा से बाहर कदम रखें, D) तेजी से लेन बदलें")</f>
        <v>A) धीमी गति करके पीछा करने वालों को भ्रमित करने का प्रयास करें, B) निकटतम निकास लेन की ओर तेजी से दौड़ें, C) सीमा से बाहर कदम रखें, D) तेजी से लेन बदलें</v>
      </c>
      <c r="I118" s="5" t="str">
        <f>IFERROR(__xludf.DUMMYFUNCTION("GOOGLETRANSLATE(D118, ""en"", ""hi"")"),"B) निकटतम निकास लेन की ओर दौड़ें")</f>
        <v>B) निकटतम निकास लेन की ओर दौड़ें</v>
      </c>
    </row>
    <row r="119" ht="22.5" customHeight="1">
      <c r="A119" s="7">
        <v>118.0</v>
      </c>
      <c r="B119" s="7" t="s">
        <v>2645</v>
      </c>
      <c r="C119" s="7" t="s">
        <v>2646</v>
      </c>
      <c r="D119" s="7" t="s">
        <v>2647</v>
      </c>
      <c r="F119" s="5" t="str">
        <f>IFERROR(__xludf.DUMMYFUNCTION("GOOGLETRANSLATE(A119, ""en"", ""hi"")"),"118")</f>
        <v>118</v>
      </c>
      <c r="G119" s="5" t="str">
        <f>IFERROR(__xludf.DUMMYFUNCTION("GOOGLETRANSLATE(B119, ""en"", ""hi"")"),"एक बेहद अहम मैच के दौरान, टीम A का चेज़र धीमी 'खो' की वजह से डिफेंडर को टैग नहीं कर पाता। इसे कैसे सुधारा जा सकता है?")</f>
        <v>एक बेहद अहम मैच के दौरान, टीम A का चेज़र धीमी 'खो' की वजह से डिफेंडर को टैग नहीं कर पाता। इसे कैसे सुधारा जा सकता है?</v>
      </c>
      <c r="H119" s="5" t="str">
        <f>IFERROR(__xludf.DUMMYFUNCTION("GOOGLETRANSLATE(C119, ""en"", ""hi"")"),"A) 'खो' की गति बढ़ाएं, B) 'खो' देने से बचें, C) बेहतर स्थिति की प्रतीक्षा करें, D) रक्षात्मक रणनीति की योजना बनाएं")</f>
        <v>A) 'खो' की गति बढ़ाएं, B) 'खो' देने से बचें, C) बेहतर स्थिति की प्रतीक्षा करें, D) रक्षात्मक रणनीति की योजना बनाएं</v>
      </c>
      <c r="I119" s="5" t="str">
        <f>IFERROR(__xludf.DUMMYFUNCTION("GOOGLETRANSLATE(D119, ""en"", ""hi"")"),"A) 'खो' की गति बढ़ाएँ")</f>
        <v>A) 'खो' की गति बढ़ाएँ</v>
      </c>
    </row>
    <row r="120" ht="22.5" customHeight="1">
      <c r="A120" s="7">
        <v>119.0</v>
      </c>
      <c r="B120" s="7" t="s">
        <v>2648</v>
      </c>
      <c r="C120" s="7" t="s">
        <v>2649</v>
      </c>
      <c r="D120" s="7" t="s">
        <v>2650</v>
      </c>
      <c r="F120" s="5" t="str">
        <f>IFERROR(__xludf.DUMMYFUNCTION("GOOGLETRANSLATE(A120, ""en"", ""hi"")"),"119")</f>
        <v>119</v>
      </c>
      <c r="G120" s="5" t="str">
        <f>IFERROR(__xludf.DUMMYFUNCTION("GOOGLETRANSLATE(B120, ""en"", ""hi"")"),"एक उच्च दबाव वाले मैच में, टीम बी का डिफेंडर टेढ़े-मेढ़े तरीके से चकमा दे रहा है। टीम ए के चेज़र इसका सबसे अच्छा मुकाबला कैसे कर सकते हैं?")</f>
        <v>एक उच्च दबाव वाले मैच में, टीम बी का डिफेंडर टेढ़े-मेढ़े तरीके से चकमा दे रहा है। टीम ए के चेज़र इसका सबसे अच्छा मुकाबला कैसे कर सकते हैं?</v>
      </c>
      <c r="H120" s="5" t="str">
        <f>IFERROR(__xludf.DUMMYFUNCTION("GOOGLETRANSLATE(C120, ""en"", ""hi"")"),"A) त्वरित 'खो' दें, B) लेन के दोनों ओर अवरोध उत्पन्न करें, C) डिफेंडर के धीमे होने की प्रतीक्षा करें, D) लगातार दिशा बदलें")</f>
        <v>A) त्वरित 'खो' दें, B) लेन के दोनों ओर अवरोध उत्पन्न करें, C) डिफेंडर के धीमे होने की प्रतीक्षा करें, D) लगातार दिशा बदलें</v>
      </c>
      <c r="I120" s="5" t="str">
        <f>IFERROR(__xludf.DUMMYFUNCTION("GOOGLETRANSLATE(D120, ""en"", ""hi"")"),"बी) लेन के दोनों ओर अवरोध उत्पन्न करें")</f>
        <v>बी) लेन के दोनों ओर अवरोध उत्पन्न करें</v>
      </c>
    </row>
    <row r="121" ht="22.5" customHeight="1">
      <c r="A121" s="7">
        <v>120.0</v>
      </c>
      <c r="B121" s="7" t="s">
        <v>2651</v>
      </c>
      <c r="C121" s="7" t="s">
        <v>2652</v>
      </c>
      <c r="D121" s="7" t="s">
        <v>2653</v>
      </c>
      <c r="F121" s="5" t="str">
        <f>IFERROR(__xludf.DUMMYFUNCTION("GOOGLETRANSLATE(A121, ""en"", ""hi"")"),"120")</f>
        <v>120</v>
      </c>
      <c r="G121" s="5" t="str">
        <f>IFERROR(__xludf.DUMMYFUNCTION("GOOGLETRANSLATE(B121, ""en"", ""hi"")"),"टीम A का डिफेंडर सेंट्रल लेन के पास दौड़ रहा है, लेकिन उसे पार नहीं कर रहा है। इससे क्या फ़ायदा होगा?")</f>
        <v>टीम A का डिफेंडर सेंट्रल लेन के पास दौड़ रहा है, लेकिन उसे पार नहीं कर रहा है। इससे क्या फ़ायदा होगा?</v>
      </c>
      <c r="H121" s="5" t="str">
        <f>IFERROR(__xludf.DUMMYFUNCTION("GOOGLETRANSLATE(C121, ""en"", ""hi"")"),"A) चेज़र्स के विकल्प कम कर देता है, B) अतिरिक्त अंक अर्जित करता है, C) रेफरी को भ्रमित करता है, D) खेल को धीमा कर देता है")</f>
        <v>A) चेज़र्स के विकल्प कम कर देता है, B) अतिरिक्त अंक अर्जित करता है, C) रेफरी को भ्रमित करता है, D) खेल को धीमा कर देता है</v>
      </c>
      <c r="I121" s="5" t="str">
        <f>IFERROR(__xludf.DUMMYFUNCTION("GOOGLETRANSLATE(D121, ""en"", ""hi"")"),"A) चेज़र्स के विकल्पों को कम करता है")</f>
        <v>A) चेज़र्स के विकल्पों को कम करता है</v>
      </c>
    </row>
    <row r="122" ht="22.5" customHeight="1">
      <c r="A122" s="7">
        <v>121.0</v>
      </c>
      <c r="B122" s="7" t="s">
        <v>2654</v>
      </c>
      <c r="C122" s="7" t="s">
        <v>2655</v>
      </c>
      <c r="D122" s="7" t="s">
        <v>2564</v>
      </c>
      <c r="F122" s="5" t="str">
        <f>IFERROR(__xludf.DUMMYFUNCTION("GOOGLETRANSLATE(A122, ""en"", ""hi"")"),"121")</f>
        <v>121</v>
      </c>
      <c r="G122" s="5" t="str">
        <f>IFERROR(__xludf.DUMMYFUNCTION("GOOGLETRANSLATE(B122, ""en"", ""hi"")"),"खेल के एक अहम मोड़ पर, टीम A का चेज़र 'खो' देने में हिचकिचाता है। इसका खेल पर क्या असर होगा?")</f>
        <v>खेल के एक अहम मोड़ पर, टीम A का चेज़र 'खो' देने में हिचकिचाता है। इसका खेल पर क्या असर होगा?</v>
      </c>
      <c r="H122" s="5" t="str">
        <f>IFERROR(__xludf.DUMMYFUNCTION("GOOGLETRANSLATE(C122, ""en"", ""hi"")"),"A) डिफेंडर को समय मिलता है, B) चेज़र को सहनशक्ति मिलती है, C) डिफेंडर को दंडित किया जाता है, D) चेज़र को अंक मिलते हैं")</f>
        <v>A) डिफेंडर को समय मिलता है, B) चेज़र को सहनशक्ति मिलती है, C) डिफेंडर को दंडित किया जाता है, D) चेज़र को अंक मिलते हैं</v>
      </c>
      <c r="I122" s="5" t="str">
        <f>IFERROR(__xludf.DUMMYFUNCTION("GOOGLETRANSLATE(D122, ""en"", ""hi"")"),"A) डिफेंडर को समय मिलता है")</f>
        <v>A) डिफेंडर को समय मिलता है</v>
      </c>
    </row>
    <row r="123" ht="22.5" customHeight="1">
      <c r="A123" s="7">
        <v>122.0</v>
      </c>
      <c r="B123" s="7" t="s">
        <v>2656</v>
      </c>
      <c r="C123" s="7" t="s">
        <v>2657</v>
      </c>
      <c r="D123" s="7" t="s">
        <v>2373</v>
      </c>
      <c r="F123" s="5" t="str">
        <f>IFERROR(__xludf.DUMMYFUNCTION("GOOGLETRANSLATE(A123, ""en"", ""hi"")"),"122")</f>
        <v>122</v>
      </c>
      <c r="G123" s="5" t="str">
        <f>IFERROR(__xludf.DUMMYFUNCTION("GOOGLETRANSLATE(B123, ""en"", ""hi"")"),"टीम बी का एक डिफेंडर चकमा देने की कोशिश में सीमा से बाहर चला जाता है। नतीजा क्या होता है?")</f>
        <v>टीम बी का एक डिफेंडर चकमा देने की कोशिश में सीमा से बाहर चला जाता है। नतीजा क्या होता है?</v>
      </c>
      <c r="H123" s="5" t="str">
        <f>IFERROR(__xludf.DUMMYFUNCTION("GOOGLETRANSLATE(C123, ""en"", ""hi"")"),"A) डिफेंडर सुरक्षित है, B) डिफेंडर बाहर है, C) चेज़र एक अंक अर्जित करता है, D) राउंड पुनः शुरू होता है")</f>
        <v>A) डिफेंडर सुरक्षित है, B) डिफेंडर बाहर है, C) चेज़र एक अंक अर्जित करता है, D) राउंड पुनः शुरू होता है</v>
      </c>
      <c r="I123" s="5" t="str">
        <f>IFERROR(__xludf.DUMMYFUNCTION("GOOGLETRANSLATE(D123, ""en"", ""hi"")"),"B) डिफेंडर बाहर है")</f>
        <v>B) डिफेंडर बाहर है</v>
      </c>
    </row>
    <row r="124" ht="22.5" customHeight="1">
      <c r="A124" s="7">
        <v>123.0</v>
      </c>
      <c r="B124" s="7" t="s">
        <v>2658</v>
      </c>
      <c r="C124" s="7" t="s">
        <v>2659</v>
      </c>
      <c r="D124" s="7" t="s">
        <v>2660</v>
      </c>
      <c r="F124" s="5" t="str">
        <f>IFERROR(__xludf.DUMMYFUNCTION("GOOGLETRANSLATE(A124, ""en"", ""hi"")"),"123")</f>
        <v>123</v>
      </c>
      <c r="G124" s="5" t="str">
        <f>IFERROR(__xludf.DUMMYFUNCTION("GOOGLETRANSLATE(B124, ""en"", ""hi"")"),"टीम A का डिफेंडर लंबे समय से बाउंड्री लाइन के पास रहकर चेज़र्स से बच रहा है। डिफेंडर को टैग करने के लिए चेज़र्स की क्या रणनीति हो सकती है?")</f>
        <v>टीम A का डिफेंडर लंबे समय से बाउंड्री लाइन के पास रहकर चेज़र्स से बच रहा है। डिफेंडर को टैग करने के लिए चेज़र्स की क्या रणनीति हो सकती है?</v>
      </c>
      <c r="H124" s="5" t="str">
        <f>IFERROR(__xludf.DUMMYFUNCTION("GOOGLETRANSLATE(C124, ""en"", ""hi"")"),"A) डिफेंडर को केंद्र की ओर धकेलें, B) डिफेंडर को थकने दें, C) डिफेंडर की ओर दौड़ें, D) भागने के रास्ते बंद करें")</f>
        <v>A) डिफेंडर को केंद्र की ओर धकेलें, B) डिफेंडर को थकने दें, C) डिफेंडर की ओर दौड़ें, D) भागने के रास्ते बंद करें</v>
      </c>
      <c r="I124" s="5" t="str">
        <f>IFERROR(__xludf.DUMMYFUNCTION("GOOGLETRANSLATE(D124, ""en"", ""hi"")"),"D) भागने के रास्ते बंद करें")</f>
        <v>D) भागने के रास्ते बंद करें</v>
      </c>
    </row>
    <row r="125" ht="22.5" customHeight="1">
      <c r="A125" s="7">
        <v>124.0</v>
      </c>
      <c r="B125" s="7" t="s">
        <v>2661</v>
      </c>
      <c r="C125" s="7" t="s">
        <v>2662</v>
      </c>
      <c r="D125" s="7" t="s">
        <v>2663</v>
      </c>
      <c r="F125" s="5" t="str">
        <f>IFERROR(__xludf.DUMMYFUNCTION("GOOGLETRANSLATE(A125, ""en"", ""hi"")"),"124")</f>
        <v>124</v>
      </c>
      <c r="G125" s="5" t="str">
        <f>IFERROR(__xludf.DUMMYFUNCTION("GOOGLETRANSLATE(B125, ""en"", ""hi"")"),"टीम B का डिफेंडर सेंट्रल लेन पार करने की कोशिश कर रहा है, लेकिन दो चेज़र्स ने उसे फँसा लिया है। डिफेंडर को क्या करना चाहिए?")</f>
        <v>टीम B का डिफेंडर सेंट्रल लेन पार करने की कोशिश कर रहा है, लेकिन दो चेज़र्स ने उसे फँसा लिया है। डिफेंडर को क्या करना चाहिए?</v>
      </c>
      <c r="H125" s="5" t="str">
        <f>IFERROR(__xludf.DUMMYFUNCTION("GOOGLETRANSLATE(C125, ""en"", ""hi"")"),"A) तेजी से दिशा बदलें, B) सीमा से बाहर कदम रखें, C) पीछा करने वालों की गलती का इंतजार करें, D) आगे की ओर दौड़ें")</f>
        <v>A) तेजी से दिशा बदलें, B) सीमा से बाहर कदम रखें, C) पीछा करने वालों की गलती का इंतजार करें, D) आगे की ओर दौड़ें</v>
      </c>
      <c r="I125" s="5" t="str">
        <f>IFERROR(__xludf.DUMMYFUNCTION("GOOGLETRANSLATE(D125, ""en"", ""hi"")"),"A) दिशा को शीघ्रता से उलट दें")</f>
        <v>A) दिशा को शीघ्रता से उलट दें</v>
      </c>
    </row>
    <row r="126" ht="22.5" customHeight="1">
      <c r="A126" s="7">
        <v>125.0</v>
      </c>
      <c r="B126" s="7" t="s">
        <v>2664</v>
      </c>
      <c r="C126" s="7" t="s">
        <v>2665</v>
      </c>
      <c r="D126" s="7" t="s">
        <v>2666</v>
      </c>
      <c r="F126" s="5" t="str">
        <f>IFERROR(__xludf.DUMMYFUNCTION("GOOGLETRANSLATE(A126, ""en"", ""hi"")"),"125")</f>
        <v>125</v>
      </c>
      <c r="G126" s="5" t="str">
        <f>IFERROR(__xludf.DUMMYFUNCTION("GOOGLETRANSLATE(B126, ""en"", ""hi"")"),"एक तनावपूर्ण क्षण में, टीम A का चेज़र 'खो' देने के बाद डिफेंडर से चूक जाता है। टीम भविष्य में इस गलती को कैसे रोक सकती है?")</f>
        <v>एक तनावपूर्ण क्षण में, टीम A का चेज़र 'खो' देने के बाद डिफेंडर से चूक जाता है। टीम भविष्य में इस गलती को कैसे रोक सकती है?</v>
      </c>
      <c r="H126" s="5" t="str">
        <f>IFERROR(__xludf.DUMMYFUNCTION("GOOGLETRANSLATE(C126, ""en"", ""hi"")"),"A) समन्वय में सुधार करें, B) तेजी से 'खो' दें, C) 'खो' देने से बचें, D) गति धीमी करें")</f>
        <v>A) समन्वय में सुधार करें, B) तेजी से 'खो' दें, C) 'खो' देने से बचें, D) गति धीमी करें</v>
      </c>
      <c r="I126" s="5" t="str">
        <f>IFERROR(__xludf.DUMMYFUNCTION("GOOGLETRANSLATE(D126, ""en"", ""hi"")"),"A) समन्वय में सुधार")</f>
        <v>A) समन्वय में सुधार</v>
      </c>
    </row>
    <row r="127" ht="22.5" customHeight="1">
      <c r="A127" s="7">
        <v>126.0</v>
      </c>
      <c r="B127" s="7" t="s">
        <v>2667</v>
      </c>
      <c r="C127" s="7" t="s">
        <v>2668</v>
      </c>
      <c r="D127" s="7" t="s">
        <v>2669</v>
      </c>
      <c r="F127" s="5" t="str">
        <f>IFERROR(__xludf.DUMMYFUNCTION("GOOGLETRANSLATE(A127, ""en"", ""hi"")"),"126")</f>
        <v>126</v>
      </c>
      <c r="G127" s="5" t="str">
        <f>IFERROR(__xludf.DUMMYFUNCTION("GOOGLETRANSLATE(B127, ""en"", ""hi"")"),"राउंड खत्म होते ही टीम बी के डिफेंडर को टैग कर दिया गया। रेफरी का फैसला क्या है?")</f>
        <v>राउंड खत्म होते ही टीम बी के डिफेंडर को टैग कर दिया गया। रेफरी का फैसला क्या है?</v>
      </c>
      <c r="H127" s="5" t="str">
        <f>IFERROR(__xludf.DUMMYFUNCTION("GOOGLETRANSLATE(C127, ""en"", ""hi"")"),"A) टैग वैध है, B) टैग अवैध है, C) डिफेंडर को एक अंक मिलता है, D) राउंड पुनः शुरू होता है")</f>
        <v>A) टैग वैध है, B) टैग अवैध है, C) डिफेंडर को एक अंक मिलता है, D) राउंड पुनः शुरू होता है</v>
      </c>
      <c r="I127" s="5" t="str">
        <f>IFERROR(__xludf.DUMMYFUNCTION("GOOGLETRANSLATE(D127, ""en"", ""hi"")"),"A) टैग मान्य है")</f>
        <v>A) टैग मान्य है</v>
      </c>
    </row>
    <row r="128" ht="22.5" customHeight="1">
      <c r="A128" s="7">
        <v>127.0</v>
      </c>
      <c r="B128" s="7" t="s">
        <v>2670</v>
      </c>
      <c r="C128" s="7" t="s">
        <v>2671</v>
      </c>
      <c r="D128" s="7" t="s">
        <v>2672</v>
      </c>
      <c r="F128" s="5" t="str">
        <f>IFERROR(__xludf.DUMMYFUNCTION("GOOGLETRANSLATE(A128, ""en"", ""hi"")"),"127")</f>
        <v>127</v>
      </c>
      <c r="G128" s="5" t="str">
        <f>IFERROR(__xludf.DUMMYFUNCTION("GOOGLETRANSLATE(B128, ""en"", ""hi"")"),"एक मैच में, टीम A का डिफेंडर तेज़ी से लेन बदलकर टैग से बच रहा है। इस रणनीति का मुकाबला करने के लिए चेज़र क्या कर सकते हैं?")</f>
        <v>एक मैच में, टीम A का डिफेंडर तेज़ी से लेन बदलकर टैग से बच रहा है। इस रणनीति का मुकाबला करने के लिए चेज़र क्या कर सकते हैं?</v>
      </c>
      <c r="H128" s="5" t="str">
        <f>IFERROR(__xludf.DUMMYFUNCTION("GOOGLETRANSLATE(C128, ""en"", ""hi"")"),"ए) तेजी से खो ट्रांजिशन का उपयोग करें, बी) एक ही लेन पर ध्यान केंद्रित करें, सी) डिफेंडर के धीमा होने की प्रतीक्षा करें, डी) लेन के दोनों छोर को ब्लॉक करें")</f>
        <v>ए) तेजी से खो ट्रांजिशन का उपयोग करें, बी) एक ही लेन पर ध्यान केंद्रित करें, सी) डिफेंडर के धीमा होने की प्रतीक्षा करें, डी) लेन के दोनों छोर को ब्लॉक करें</v>
      </c>
      <c r="I128" s="5" t="str">
        <f>IFERROR(__xludf.DUMMYFUNCTION("GOOGLETRANSLATE(D128, ""en"", ""hi"")"),"D) लेन के दोनों छोर को अवरुद्ध करें")</f>
        <v>D) लेन के दोनों छोर को अवरुद्ध करें</v>
      </c>
    </row>
    <row r="129" ht="22.5" customHeight="1">
      <c r="A129" s="7">
        <v>128.0</v>
      </c>
      <c r="B129" s="7" t="s">
        <v>2673</v>
      </c>
      <c r="C129" s="7" t="s">
        <v>2674</v>
      </c>
      <c r="D129" s="7" t="s">
        <v>2675</v>
      </c>
      <c r="F129" s="5" t="str">
        <f>IFERROR(__xludf.DUMMYFUNCTION("GOOGLETRANSLATE(A129, ""en"", ""hi"")"),"128")</f>
        <v>128</v>
      </c>
      <c r="G129" s="5" t="str">
        <f>IFERROR(__xludf.DUMMYFUNCTION("GOOGLETRANSLATE(B129, ""en"", ""hi"")"),"आखिरी मिनट में, टीम B का चेज़र 'खो' देता है, लेकिन अगला चेज़र डिफेंडर को टैग करने के लिए बहुत पीछे रह जाता है। अगली बार टीम को क्या करना चाहिए?")</f>
        <v>आखिरी मिनट में, टीम B का चेज़र 'खो' देता है, लेकिन अगला चेज़र डिफेंडर को टैग करने के लिए बहुत पीछे रह जाता है। अगली बार टीम को क्या करना चाहिए?</v>
      </c>
      <c r="H129" s="5" t="str">
        <f>IFERROR(__xludf.DUMMYFUNCTION("GOOGLETRANSLATE(C129, ""en"", ""hi"")"),"A) पीछा करने वालों के बीच करीब रहें, B) खेल को धीमा करें, C) 'खो' देने से बचें, D) तेज दौड़ें")</f>
        <v>A) पीछा करने वालों के बीच करीब रहें, B) खेल को धीमा करें, C) 'खो' देने से बचें, D) तेज दौड़ें</v>
      </c>
      <c r="I129" s="5" t="str">
        <f>IFERROR(__xludf.DUMMYFUNCTION("GOOGLETRANSLATE(D129, ""en"", ""hi"")"),"A) पीछा करने वालों के बीच करीब रहें")</f>
        <v>A) पीछा करने वालों के बीच करीब रहें</v>
      </c>
    </row>
    <row r="130" ht="22.5" customHeight="1">
      <c r="A130" s="7">
        <v>129.0</v>
      </c>
      <c r="B130" s="7" t="s">
        <v>2676</v>
      </c>
      <c r="C130" s="7" t="s">
        <v>2677</v>
      </c>
      <c r="D130" s="7" t="s">
        <v>2678</v>
      </c>
      <c r="F130" s="5" t="str">
        <f>IFERROR(__xludf.DUMMYFUNCTION("GOOGLETRANSLATE(A130, ""en"", ""hi"")"),"129")</f>
        <v>129</v>
      </c>
      <c r="G130" s="5" t="str">
        <f>IFERROR(__xludf.DUMMYFUNCTION("GOOGLETRANSLATE(B130, ""en"", ""hi"")"),"टीम A का डिफेंडर सीमा रेखा के पास दौड़ रहा है। उसे टैग करने के लिए चेज़र्स को किस पर ध्यान केंद्रित करना चाहिए?")</f>
        <v>टीम A का डिफेंडर सीमा रेखा के पास दौड़ रहा है। उसे टैग करने के लिए चेज़र्स को किस पर ध्यान केंद्रित करना चाहिए?</v>
      </c>
      <c r="H130" s="5" t="str">
        <f>IFERROR(__xludf.DUMMYFUNCTION("GOOGLETRANSLATE(C130, ""en"", ""hi"")"),"A) डिफेंडर को केंद्र की ओर धकेलें, B) तेजी से दौड़ें, C) डिफेंडर का रास्ता रोकें, D) गलती का इंतजार करें")</f>
        <v>A) डिफेंडर को केंद्र की ओर धकेलें, B) तेजी से दौड़ें, C) डिफेंडर का रास्ता रोकें, D) गलती का इंतजार करें</v>
      </c>
      <c r="I130" s="5" t="str">
        <f>IFERROR(__xludf.DUMMYFUNCTION("GOOGLETRANSLATE(D130, ""en"", ""hi"")"),"A) रक्षक को केंद्र की ओर धकेलें")</f>
        <v>A) रक्षक को केंद्र की ओर धकेलें</v>
      </c>
    </row>
    <row r="131" ht="22.5" customHeight="1">
      <c r="A131" s="7">
        <v>130.0</v>
      </c>
      <c r="B131" s="7" t="s">
        <v>2679</v>
      </c>
      <c r="C131" s="7" t="s">
        <v>2680</v>
      </c>
      <c r="D131" s="7" t="s">
        <v>2681</v>
      </c>
      <c r="F131" s="5" t="str">
        <f>IFERROR(__xludf.DUMMYFUNCTION("GOOGLETRANSLATE(A131, ""en"", ""hi"")"),"130")</f>
        <v>130</v>
      </c>
      <c r="G131" s="5" t="str">
        <f>IFERROR(__xludf.DUMMYFUNCTION("GOOGLETRANSLATE(B131, ""en"", ""hi"")"),"एक मैच के दौरान, टीम A का चेज़र एक डिफेंडर को टैग करने में विफल रहता है जो अचानक तेज़ मोड़ लेता है। चेज़र के सुधार पर किस बात पर ध्यान केंद्रित किया जाना चाहिए?")</f>
        <v>एक मैच के दौरान, टीम A का चेज़र एक डिफेंडर को टैग करने में विफल रहता है जो अचानक तेज़ मोड़ लेता है। चेज़र के सुधार पर किस बात पर ध्यान केंद्रित किया जाना चाहिए?</v>
      </c>
      <c r="H131" s="5" t="str">
        <f>IFERROR(__xludf.DUMMYFUNCTION("GOOGLETRANSLATE(C131, ""en"", ""hi"")"),"A) तीखे मोड़ों का पूर्वानुमान लगाना, B) गति बढ़ाना, C) समन्वय में सुधार करना, D) 'खो' का समय")</f>
        <v>A) तीखे मोड़ों का पूर्वानुमान लगाना, B) गति बढ़ाना, C) समन्वय में सुधार करना, D) 'खो' का समय</v>
      </c>
      <c r="I131" s="5" t="str">
        <f>IFERROR(__xludf.DUMMYFUNCTION("GOOGLETRANSLATE(D131, ""en"", ""hi"")"),"A) तीखे मोड़ों की आशंका")</f>
        <v>A) तीखे मोड़ों की आशंका</v>
      </c>
    </row>
    <row r="132" ht="22.5" customHeight="1">
      <c r="A132" s="7">
        <v>131.0</v>
      </c>
      <c r="B132" s="7" t="s">
        <v>2682</v>
      </c>
      <c r="C132" s="7" t="s">
        <v>2683</v>
      </c>
      <c r="D132" s="7" t="s">
        <v>2684</v>
      </c>
      <c r="F132" s="5" t="str">
        <f>IFERROR(__xludf.DUMMYFUNCTION("GOOGLETRANSLATE(A132, ""en"", ""hi"")"),"131")</f>
        <v>131</v>
      </c>
      <c r="G132" s="5" t="str">
        <f>IFERROR(__xludf.DUMMYFUNCTION("GOOGLETRANSLATE(B132, ""en"", ""hi"")"),"खेल के एक अहम मोड़ पर, टीम B का चेज़र दूरी का गलत अनुमान लगाने के कारण डिफेंडर को टैग नहीं कर पाता। इसमें क्या सुधार होना चाहिए?")</f>
        <v>खेल के एक अहम मोड़ पर, टीम B का चेज़र दूरी का गलत अनुमान लगाने के कारण डिफेंडर को टैग नहीं कर पाता। इसमें क्या सुधार होना चाहिए?</v>
      </c>
      <c r="H132" s="5" t="str">
        <f>IFERROR(__xludf.DUMMYFUNCTION("GOOGLETRANSLATE(C132, ""en"", ""hi"")"),"A) दूरी का आकलन, B) गति, C) समन्वय, D) समय निर्धारण")</f>
        <v>A) दूरी का आकलन, B) गति, C) समन्वय, D) समय निर्धारण</v>
      </c>
      <c r="I132" s="5" t="str">
        <f>IFERROR(__xludf.DUMMYFUNCTION("GOOGLETRANSLATE(D132, ""en"", ""hi"")"),"ए) दूरी मूल्यांकन")</f>
        <v>ए) दूरी मूल्यांकन</v>
      </c>
    </row>
    <row r="133" ht="22.5" customHeight="1">
      <c r="A133" s="7">
        <v>132.0</v>
      </c>
      <c r="B133" s="7" t="s">
        <v>2685</v>
      </c>
      <c r="C133" s="7" t="s">
        <v>2686</v>
      </c>
      <c r="D133" s="7" t="s">
        <v>2687</v>
      </c>
      <c r="F133" s="5" t="str">
        <f>IFERROR(__xludf.DUMMYFUNCTION("GOOGLETRANSLATE(A133, ""en"", ""hi"")"),"132")</f>
        <v>132</v>
      </c>
      <c r="G133" s="5" t="str">
        <f>IFERROR(__xludf.DUMMYFUNCTION("GOOGLETRANSLATE(B133, ""en"", ""hi"")"),"टीम A का डिफेंडर टैग से बचने के लिए तेज़ी से साइडवेज़ मूवमेंट कर रहा है। चेज़र्स के लिए इसका मुकाबला करने की सबसे कारगर रणनीति क्या है?")</f>
        <v>टीम A का डिफेंडर टैग से बचने के लिए तेज़ी से साइडवेज़ मूवमेंट कर रहा है। चेज़र्स के लिए इसका मुकाबला करने की सबसे कारगर रणनीति क्या है?</v>
      </c>
      <c r="H133" s="5" t="str">
        <f>IFERROR(__xludf.DUMMYFUNCTION("GOOGLETRANSLATE(C133, ""en"", ""hi"")"),"A) संभावित भागने के रास्तों को ब्लॉक करें, B) गति बढ़ाएँ, C) बेहतर समय का उपयोग करें, D) रक्षक के थकने का इंतज़ार करें")</f>
        <v>A) संभावित भागने के रास्तों को ब्लॉक करें, B) गति बढ़ाएँ, C) बेहतर समय का उपयोग करें, D) रक्षक के थकने का इंतज़ार करें</v>
      </c>
      <c r="I133" s="5" t="str">
        <f>IFERROR(__xludf.DUMMYFUNCTION("GOOGLETRANSLATE(D133, ""en"", ""hi"")"),"A) संभावित भागने के रास्तों को अवरुद्ध करें")</f>
        <v>A) संभावित भागने के रास्तों को अवरुद्ध करें</v>
      </c>
    </row>
    <row r="134" ht="22.5" customHeight="1">
      <c r="A134" s="7">
        <v>133.0</v>
      </c>
      <c r="B134" s="7" t="s">
        <v>2688</v>
      </c>
      <c r="C134" s="7" t="s">
        <v>2689</v>
      </c>
      <c r="D134" s="7" t="s">
        <v>2690</v>
      </c>
      <c r="F134" s="5" t="str">
        <f>IFERROR(__xludf.DUMMYFUNCTION("GOOGLETRANSLATE(A134, ""en"", ""hi"")"),"133")</f>
        <v>133</v>
      </c>
      <c r="G134" s="5" t="str">
        <f>IFERROR(__xludf.DUMMYFUNCTION("GOOGLETRANSLATE(B134, ""en"", ""hi"")"),"मैच के दौरान, टीम बी का चेज़र खराब टाइमिंग के कारण डिफेंडर को टैग नहीं कर पा रहा है। सुधार के लिए प्राथमिक ध्यान किस पर होना चाहिए?")</f>
        <v>मैच के दौरान, टीम बी का चेज़र खराब टाइमिंग के कारण डिफेंडर को टैग नहीं कर पा रहा है। सुधार के लिए प्राथमिक ध्यान किस पर होना चाहिए?</v>
      </c>
      <c r="H134" s="5" t="str">
        <f>IFERROR(__xludf.DUMMYFUNCTION("GOOGLETRANSLATE(C134, ""en"", ""hi"")"),"A) टैग का समय, B) गति, C) समन्वय, D) रणनीति")</f>
        <v>A) टैग का समय, B) गति, C) समन्वय, D) रणनीति</v>
      </c>
      <c r="I134" s="5" t="str">
        <f>IFERROR(__xludf.DUMMYFUNCTION("GOOGLETRANSLATE(D134, ""en"", ""hi"")"),"A) टैग का समय")</f>
        <v>A) टैग का समय</v>
      </c>
    </row>
    <row r="135" ht="22.5" customHeight="1">
      <c r="A135" s="7">
        <v>134.0</v>
      </c>
      <c r="B135" s="7" t="s">
        <v>2691</v>
      </c>
      <c r="C135" s="7" t="s">
        <v>2692</v>
      </c>
      <c r="D135" s="7" t="s">
        <v>2693</v>
      </c>
      <c r="F135" s="5" t="str">
        <f>IFERROR(__xludf.DUMMYFUNCTION("GOOGLETRANSLATE(A135, ""en"", ""hi"")"),"134")</f>
        <v>134</v>
      </c>
      <c r="G135" s="5" t="str">
        <f>IFERROR(__xludf.DUMMYFUNCTION("GOOGLETRANSLATE(B135, ""en"", ""hi"")"),"टीम A के एक डिफेंडर को चेज़र्स ने घेर लिया है और वह गोल-गोल दौड़कर बचने की कोशिश करता है। चेज़र्स के लिए डिफेंडर को टैग करने की सबसे अच्छी रणनीति क्या है?")</f>
        <v>टीम A के एक डिफेंडर को चेज़र्स ने घेर लिया है और वह गोल-गोल दौड़कर बचने की कोशिश करता है। चेज़र्स के लिए डिफेंडर को टैग करने की सबसे अच्छी रणनीति क्या है?</v>
      </c>
      <c r="H135" s="5" t="str">
        <f>IFERROR(__xludf.DUMMYFUNCTION("GOOGLETRANSLATE(C135, ""en"", ""hi"")"),"A) कई दिशाओं से करीब आना, B) गति बढ़ाना, C) बेहतर समय का उपयोग करना, D) रक्षक के थकने का इंतजार करना")</f>
        <v>A) कई दिशाओं से करीब आना, B) गति बढ़ाना, C) बेहतर समय का उपयोग करना, D) रक्षक के थकने का इंतजार करना</v>
      </c>
      <c r="I135" s="5" t="str">
        <f>IFERROR(__xludf.DUMMYFUNCTION("GOOGLETRANSLATE(D135, ""en"", ""hi"")"),"A) कई दिशाओं से करीब आना")</f>
        <v>A) कई दिशाओं से करीब आना</v>
      </c>
    </row>
    <row r="136" ht="22.5" customHeight="1">
      <c r="A136" s="7">
        <v>135.0</v>
      </c>
      <c r="B136" s="7" t="s">
        <v>2694</v>
      </c>
      <c r="C136" s="7" t="s">
        <v>2695</v>
      </c>
      <c r="D136" s="7" t="s">
        <v>2696</v>
      </c>
      <c r="F136" s="5" t="str">
        <f>IFERROR(__xludf.DUMMYFUNCTION("GOOGLETRANSLATE(A136, ""en"", ""hi"")"),"135")</f>
        <v>135</v>
      </c>
      <c r="G136" s="5" t="str">
        <f>IFERROR(__xludf.DUMMYFUNCTION("GOOGLETRANSLATE(B136, ""en"", ""hi"")"),"एक उच्च दबाव वाले खेल में, टीम B का चेज़र एक डिफेंडर को टैग करता है, लेकिन तुरंत ही दूसरा चेज़र उसे टैग कर देता है। नियम क्या है?")</f>
        <v>एक उच्च दबाव वाले खेल में, टीम B का चेज़र एक डिफेंडर को टैग करता है, लेकिन तुरंत ही दूसरा चेज़र उसे टैग कर देता है। नियम क्या है?</v>
      </c>
      <c r="H136" s="5" t="str">
        <f>IFERROR(__xludf.DUMMYFUNCTION("GOOGLETRANSLATE(C136, ""en"", ""hi"")"),"A) डिफेंडर बाहर है, B) दोनों चेज़र बाहर हैं, C) डिफेंडर सुरक्षित है, D) राउंड पुनः शुरू होता है")</f>
        <v>A) डिफेंडर बाहर है, B) दोनों चेज़र बाहर हैं, C) डिफेंडर सुरक्षित है, D) राउंड पुनः शुरू होता है</v>
      </c>
      <c r="I136" s="5" t="str">
        <f>IFERROR(__xludf.DUMMYFUNCTION("GOOGLETRANSLATE(D136, ""en"", ""hi"")"),"C) डिफेंडर सुरक्षित है")</f>
        <v>C) डिफेंडर सुरक्षित है</v>
      </c>
    </row>
    <row r="137" ht="22.5" customHeight="1">
      <c r="A137" s="7">
        <v>136.0</v>
      </c>
      <c r="B137" s="7" t="s">
        <v>2697</v>
      </c>
      <c r="C137" s="7" t="s">
        <v>2698</v>
      </c>
      <c r="D137" s="7" t="s">
        <v>2699</v>
      </c>
      <c r="F137" s="5" t="str">
        <f>IFERROR(__xludf.DUMMYFUNCTION("GOOGLETRANSLATE(A137, ""en"", ""hi"")"),"136")</f>
        <v>136</v>
      </c>
      <c r="G137" s="5" t="str">
        <f>IFERROR(__xludf.DUMMYFUNCTION("GOOGLETRANSLATE(B137, ""en"", ""hi"")"),"टीम A का चेज़र 'खो' देता है, लेकिन अगला चेज़र कन्फ़्यूज़न के कारण डिफेंडर को टैग नहीं कर पाता। इस समस्या से बचने के लिए क्या किया जाना चाहिए?")</f>
        <v>टीम A का चेज़र 'खो' देता है, लेकिन अगला चेज़र कन्फ़्यूज़न के कारण डिफेंडर को टैग नहीं कर पाता। इस समस्या से बचने के लिए क्या किया जाना चाहिए?</v>
      </c>
      <c r="H137" s="5" t="str">
        <f>IFERROR(__xludf.DUMMYFUNCTION("GOOGLETRANSLATE(C137, ""en"", ""hi"")"),"A) संचार में सुधार, B) गति में वृद्धि, C) व्यक्तिगत कौशल का अभ्यास, D) रणनीति में परिवर्तन")</f>
        <v>A) संचार में सुधार, B) गति में वृद्धि, C) व्यक्तिगत कौशल का अभ्यास, D) रणनीति में परिवर्तन</v>
      </c>
      <c r="I137" s="5" t="str">
        <f>IFERROR(__xludf.DUMMYFUNCTION("GOOGLETRANSLATE(D137, ""en"", ""hi"")"),"A) संचार में सुधार")</f>
        <v>A) संचार में सुधार</v>
      </c>
    </row>
    <row r="138" ht="22.5" customHeight="1">
      <c r="A138" s="7">
        <v>137.0</v>
      </c>
      <c r="B138" s="7" t="s">
        <v>2700</v>
      </c>
      <c r="C138" s="7" t="s">
        <v>2701</v>
      </c>
      <c r="D138" s="7" t="s">
        <v>2702</v>
      </c>
      <c r="F138" s="5" t="str">
        <f>IFERROR(__xludf.DUMMYFUNCTION("GOOGLETRANSLATE(A138, ""en"", ""hi"")"),"137")</f>
        <v>137</v>
      </c>
      <c r="G138" s="5" t="str">
        <f>IFERROR(__xludf.DUMMYFUNCTION("GOOGLETRANSLATE(B138, ""en"", ""hi"")"),"टीम B का डिफेंडर टैग से बचने के लिए तेज़ी से दिशा बदल रहा है। इस डिफेंडर को प्रभावी ढंग से टैग करने के लिए टीम A को किस पर ध्यान केंद्रित करना चाहिए?")</f>
        <v>टीम B का डिफेंडर टैग से बचने के लिए तेज़ी से दिशा बदल रहा है। इस डिफेंडर को प्रभावी ढंग से टैग करने के लिए टीम A को किस पर ध्यान केंद्रित करना चाहिए?</v>
      </c>
      <c r="H138" s="5" t="str">
        <f>IFERROR(__xludf.DUMMYFUNCTION("GOOGLETRANSLATE(C138, ""en"", ""hi"")"),"ए) बचने के रास्तों का पूर्वानुमान लगाना और उन्हें रोकना, बी) गति बढ़ाना, सी) बेहतर समय का उपयोग करना, डी) रक्षक के थकने का इंतजार करना")</f>
        <v>ए) बचने के रास्तों का पूर्वानुमान लगाना और उन्हें रोकना, बी) गति बढ़ाना, सी) बेहतर समय का उपयोग करना, डी) रक्षक के थकने का इंतजार करना</v>
      </c>
      <c r="I138" s="5" t="str">
        <f>IFERROR(__xludf.DUMMYFUNCTION("GOOGLETRANSLATE(D138, ""en"", ""hi"")"),"A) भागने के रास्तों का पूर्वानुमान लगाना और उन्हें अवरुद्ध करना")</f>
        <v>A) भागने के रास्तों का पूर्वानुमान लगाना और उन्हें अवरुद्ध करना</v>
      </c>
    </row>
    <row r="139" ht="22.5" customHeight="1">
      <c r="A139" s="7">
        <v>138.0</v>
      </c>
      <c r="B139" s="7" t="s">
        <v>2703</v>
      </c>
      <c r="C139" s="7" t="s">
        <v>2704</v>
      </c>
      <c r="D139" s="7" t="s">
        <v>2705</v>
      </c>
      <c r="F139" s="5" t="str">
        <f>IFERROR(__xludf.DUMMYFUNCTION("GOOGLETRANSLATE(A139, ""en"", ""hi"")"),"138")</f>
        <v>138</v>
      </c>
      <c r="G139" s="5" t="str">
        <f>IFERROR(__xludf.DUMMYFUNCTION("GOOGLETRANSLATE(B139, ""en"", ""hi"")"),"एक महत्वपूर्ण क्षण में, टीम A का चेज़र भ्रम के कारण 'खो' देने में बहुत देर कर देता है। सुधार के लिए टीम का ध्यान किस पर होना चाहिए?")</f>
        <v>एक महत्वपूर्ण क्षण में, टीम A का चेज़र भ्रम के कारण 'खो' देने में बहुत देर कर देता है। सुधार के लिए टीम का ध्यान किस पर होना चाहिए?</v>
      </c>
      <c r="H139" s="5" t="str">
        <f>IFERROR(__xludf.DUMMYFUNCTION("GOOGLETRANSLATE(C139, ""en"", ""hi"")"),"A) संचार, B) गति, C) समन्वय, D) समय निर्धारण")</f>
        <v>A) संचार, B) गति, C) समन्वय, D) समय निर्धारण</v>
      </c>
      <c r="I139" s="5" t="str">
        <f>IFERROR(__xludf.DUMMYFUNCTION("GOOGLETRANSLATE(D139, ""en"", ""hi"")"),"ए) संचार")</f>
        <v>ए) संचार</v>
      </c>
    </row>
    <row r="140" ht="22.5" customHeight="1">
      <c r="A140" s="7">
        <v>139.0</v>
      </c>
      <c r="B140" s="7" t="s">
        <v>2706</v>
      </c>
      <c r="C140" s="7" t="s">
        <v>2707</v>
      </c>
      <c r="D140" s="7" t="s">
        <v>2708</v>
      </c>
      <c r="F140" s="5" t="str">
        <f>IFERROR(__xludf.DUMMYFUNCTION("GOOGLETRANSLATE(A140, ""en"", ""hi"")"),"139")</f>
        <v>139</v>
      </c>
      <c r="G140" s="5" t="str">
        <f>IFERROR(__xludf.DUMMYFUNCTION("GOOGLETRANSLATE(B140, ""en"", ""hi"")"),"टीम बी का चेज़र दूसरे चेज़रों के साथ खराब समन्वय के कारण एक डिफेंडर को टैग करने से चूक जाता है। अगले प्रयास में किस पर ध्यान केंद्रित किया जाना चाहिए?")</f>
        <v>टीम बी का चेज़र दूसरे चेज़रों के साथ खराब समन्वय के कारण एक डिफेंडर को टैग करने से चूक जाता है। अगले प्रयास में किस पर ध्यान केंद्रित किया जाना चाहिए?</v>
      </c>
      <c r="H140" s="5" t="str">
        <f>IFERROR(__xludf.DUMMYFUNCTION("GOOGLETRANSLATE(C140, ""en"", ""hi"")"),"A) समन्वय, B) गति, C) व्यक्तिगत कौशल, D) रणनीति")</f>
        <v>A) समन्वय, B) गति, C) व्यक्तिगत कौशल, D) रणनीति</v>
      </c>
      <c r="I140" s="5" t="str">
        <f>IFERROR(__xludf.DUMMYFUNCTION("GOOGLETRANSLATE(D140, ""en"", ""hi"")"),"ए) समन्वय")</f>
        <v>ए) समन्वय</v>
      </c>
    </row>
    <row r="141" ht="22.5" customHeight="1">
      <c r="A141" s="7">
        <v>140.0</v>
      </c>
      <c r="B141" s="7" t="s">
        <v>2709</v>
      </c>
      <c r="C141" s="7" t="s">
        <v>2710</v>
      </c>
      <c r="D141" s="7" t="s">
        <v>2711</v>
      </c>
      <c r="F141" s="5" t="str">
        <f>IFERROR(__xludf.DUMMYFUNCTION("GOOGLETRANSLATE(A141, ""en"", ""hi"")"),"140")</f>
        <v>140</v>
      </c>
      <c r="G141" s="5" t="str">
        <f>IFERROR(__xludf.DUMMYFUNCTION("GOOGLETRANSLATE(B141, ""en"", ""hi"")"),"टीम A का एक डिफेंडर बाउंड्री पर दौड़कर टैग होने से बचने की कोशिश करता है। टीम B के चेज़र्स के लिए सबसे अच्छी रणनीति क्या है?")</f>
        <v>टीम A का एक डिफेंडर बाउंड्री पर दौड़कर टैग होने से बचने की कोशिश करता है। टीम B के चेज़र्स के लिए सबसे अच्छी रणनीति क्या है?</v>
      </c>
      <c r="H141" s="5" t="str">
        <f>IFERROR(__xludf.DUMMYFUNCTION("GOOGLETRANSLATE(C141, ""en"", ""hi"")"),"A) सीमा पर भागने के रास्ते बंद करें, B) गति बढ़ाएँ, C) बेहतर समय का उपयोग करें, D) लेन बदलें")</f>
        <v>A) सीमा पर भागने के रास्ते बंद करें, B) गति बढ़ाएँ, C) बेहतर समय का उपयोग करें, D) लेन बदलें</v>
      </c>
      <c r="I141" s="5" t="str">
        <f>IFERROR(__xludf.DUMMYFUNCTION("GOOGLETRANSLATE(D141, ""en"", ""hi"")"),"A) सीमा के साथ भागने के रास्तों को अवरुद्ध करें")</f>
        <v>A) सीमा के साथ भागने के रास्तों को अवरुद्ध करें</v>
      </c>
    </row>
    <row r="142" ht="22.5" customHeight="1">
      <c r="A142" s="7">
        <v>141.0</v>
      </c>
      <c r="B142" s="7" t="s">
        <v>2712</v>
      </c>
      <c r="C142" s="7" t="s">
        <v>2713</v>
      </c>
      <c r="D142" s="7" t="s">
        <v>2714</v>
      </c>
      <c r="F142" s="5" t="str">
        <f>IFERROR(__xludf.DUMMYFUNCTION("GOOGLETRANSLATE(A142, ""en"", ""hi"")"),"141")</f>
        <v>141</v>
      </c>
      <c r="G142" s="5" t="str">
        <f>IFERROR(__xludf.DUMMYFUNCTION("GOOGLETRANSLATE(B142, ""en"", ""hi"")"),"खेल के आखिरी क्षणों में, टीम A का चेज़र सेंटर की ओर दौड़ रहे एक डिफेंडर को टैग कर देता है। सुधार के लिए किस पर ध्यान केंद्रित किया जाना चाहिए?")</f>
        <v>खेल के आखिरी क्षणों में, टीम A का चेज़र सेंटर की ओर दौड़ रहे एक डिफेंडर को टैग कर देता है। सुधार के लिए किस पर ध्यान केंद्रित किया जाना चाहिए?</v>
      </c>
      <c r="H142" s="5" t="str">
        <f>IFERROR(__xludf.DUMMYFUNCTION("GOOGLETRANSLATE(C142, ""en"", ""hi"")"),"A) गतिविधियों की प्रत्याशा, B) गति, C) समन्वय, D) समय")</f>
        <v>A) गतिविधियों की प्रत्याशा, B) गति, C) समन्वय, D) समय</v>
      </c>
      <c r="I142" s="5" t="str">
        <f>IFERROR(__xludf.DUMMYFUNCTION("GOOGLETRANSLATE(D142, ""en"", ""hi"")"),"A) आंदोलनों की प्रत्याशा")</f>
        <v>A) आंदोलनों की प्रत्याशा</v>
      </c>
    </row>
    <row r="143" ht="22.5" customHeight="1">
      <c r="A143" s="7">
        <v>142.0</v>
      </c>
      <c r="B143" s="7" t="s">
        <v>2715</v>
      </c>
      <c r="C143" s="7" t="s">
        <v>2716</v>
      </c>
      <c r="D143" s="7" t="s">
        <v>2717</v>
      </c>
      <c r="F143" s="5" t="str">
        <f>IFERROR(__xludf.DUMMYFUNCTION("GOOGLETRANSLATE(A143, ""en"", ""hi"")"),"142")</f>
        <v>142</v>
      </c>
      <c r="G143" s="5" t="str">
        <f>IFERROR(__xludf.DUMMYFUNCTION("GOOGLETRANSLATE(B143, ""en"", ""hi"")"),"टीम B का डिफेंडर टैग से बचने के लिए ज़िगज़ैग पैटर्न अपना रहा है। टीम A के चेज़र्स को किस पर ध्यान देना चाहिए?")</f>
        <v>टीम B का डिफेंडर टैग से बचने के लिए ज़िगज़ैग पैटर्न अपना रहा है। टीम A के चेज़र्स को किस पर ध्यान देना चाहिए?</v>
      </c>
      <c r="H143" s="5" t="str">
        <f>IFERROR(__xludf.DUMMYFUNCTION("GOOGLETRANSLATE(C143, ""en"", ""hi"")"),"A) संभावित भागने के रास्तों को अवरुद्ध करें, B) गति बढ़ाएँ, C) व्यक्तिगत कौशल में सुधार करें, D) रणनीति बदलें")</f>
        <v>A) संभावित भागने के रास्तों को अवरुद्ध करें, B) गति बढ़ाएँ, C) व्यक्तिगत कौशल में सुधार करें, D) रणनीति बदलें</v>
      </c>
      <c r="I143" s="5" t="str">
        <f>IFERROR(__xludf.DUMMYFUNCTION("GOOGLETRANSLATE(D143, ""en"", ""hi"")"),"A) संभावित पलायन मार्गों को अवरुद्ध करें")</f>
        <v>A) संभावित पलायन मार्गों को अवरुद्ध करें</v>
      </c>
    </row>
    <row r="144" ht="22.5" customHeight="1">
      <c r="A144" s="7">
        <v>143.0</v>
      </c>
      <c r="B144" s="7" t="s">
        <v>2718</v>
      </c>
      <c r="C144" s="7" t="s">
        <v>2719</v>
      </c>
      <c r="D144" s="7" t="s">
        <v>2720</v>
      </c>
      <c r="F144" s="5" t="str">
        <f>IFERROR(__xludf.DUMMYFUNCTION("GOOGLETRANSLATE(A144, ""en"", ""hi"")"),"143")</f>
        <v>143</v>
      </c>
      <c r="G144" s="5" t="str">
        <f>IFERROR(__xludf.DUMMYFUNCTION("GOOGLETRANSLATE(B144, ""en"", ""hi"")"),"टीम A का चेज़र डिफेंडर को टैग नहीं कर पा रहा है क्योंकि वे बहुत दूर हैं। चेज़र के सुधार पर किस पर ध्यान केंद्रित किया जाना चाहिए?")</f>
        <v>टीम A का चेज़र डिफेंडर को टैग नहीं कर पा रहा है क्योंकि वे बहुत दूर हैं। चेज़र के सुधार पर किस पर ध्यान केंद्रित किया जाना चाहिए?</v>
      </c>
      <c r="H144" s="5" t="str">
        <f>IFERROR(__xludf.DUMMYFUNCTION("GOOGLETRANSLATE(C144, ""en"", ""hi"")"),"A) दूरी का निर्णय बेहतर करें, B) गति बढ़ाएँ, C) समन्वय बढ़ाएँ, D) बेहतर समय निर्धारण")</f>
        <v>A) दूरी का निर्णय बेहतर करें, B) गति बढ़ाएँ, C) समन्वय बढ़ाएँ, D) बेहतर समय निर्धारण</v>
      </c>
      <c r="I144" s="5" t="str">
        <f>IFERROR(__xludf.DUMMYFUNCTION("GOOGLETRANSLATE(D144, ""en"", ""hi"")"),"A) दूरी का निर्णय बेहतर करें")</f>
        <v>A) दूरी का निर्णय बेहतर करें</v>
      </c>
    </row>
    <row r="145" ht="22.5" customHeight="1">
      <c r="A145" s="7">
        <v>144.0</v>
      </c>
      <c r="B145" s="7" t="s">
        <v>2721</v>
      </c>
      <c r="C145" s="7" t="s">
        <v>2722</v>
      </c>
      <c r="D145" s="7" t="s">
        <v>2485</v>
      </c>
      <c r="F145" s="5" t="str">
        <f>IFERROR(__xludf.DUMMYFUNCTION("GOOGLETRANSLATE(A145, ""en"", ""hi"")"),"144")</f>
        <v>144</v>
      </c>
      <c r="G145" s="5" t="str">
        <f>IFERROR(__xludf.DUMMYFUNCTION("GOOGLETRANSLATE(B145, ""en"", ""hi"")"),"एक नाज़ुक मौके पर, टीम B का चेज़र एक डिफेंडर को टैग करता है जो बाउंड्री लाइन पर दौड़ रहा था। सही नियम क्या है?")</f>
        <v>एक नाज़ुक मौके पर, टीम B का चेज़र एक डिफेंडर को टैग करता है जो बाउंड्री लाइन पर दौड़ रहा था। सही नियम क्या है?</v>
      </c>
      <c r="H145" s="5" t="str">
        <f>IFERROR(__xludf.DUMMYFUNCTION("GOOGLETRANSLATE(C145,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45" s="5" t="str">
        <f>IFERROR(__xludf.DUMMYFUNCTION("GOOGLETRANSLATE(D145, ""en"", ""hi"")"),"A) डिफेंडर बाहर है")</f>
        <v>A) डिफेंडर बाहर है</v>
      </c>
    </row>
    <row r="146" ht="22.5" customHeight="1">
      <c r="A146" s="7">
        <v>145.0</v>
      </c>
      <c r="B146" s="7" t="s">
        <v>2723</v>
      </c>
      <c r="C146" s="7" t="s">
        <v>2724</v>
      </c>
      <c r="D146" s="7" t="s">
        <v>2725</v>
      </c>
      <c r="F146" s="5" t="str">
        <f>IFERROR(__xludf.DUMMYFUNCTION("GOOGLETRANSLATE(A146, ""en"", ""hi"")"),"145")</f>
        <v>145</v>
      </c>
      <c r="G146" s="5" t="str">
        <f>IFERROR(__xludf.DUMMYFUNCTION("GOOGLETRANSLATE(B146, ""en"", ""hi"")"),"टीम A का चेज़र 'खो' देता है, लेकिन अगला चेज़र तैयार नहीं होता। टीम A को सुधार के लिए किस पर ध्यान देना चाहिए?")</f>
        <v>टीम A का चेज़र 'खो' देता है, लेकिन अगला चेज़र तैयार नहीं होता। टीम A को सुधार के लिए किस पर ध्यान देना चाहिए?</v>
      </c>
      <c r="H146" s="5" t="str">
        <f>IFERROR(__xludf.DUMMYFUNCTION("GOOGLETRANSLATE(C146, ""en"", ""hi"")"),"A) बेहतर तत्परता और समन्वय, B) गति में वृद्धि, C) व्यक्तिगत कौशल में सुधार, D) रणनीति में बदलाव")</f>
        <v>A) बेहतर तत्परता और समन्वय, B) गति में वृद्धि, C) व्यक्तिगत कौशल में सुधार, D) रणनीति में बदलाव</v>
      </c>
      <c r="I146" s="5" t="str">
        <f>IFERROR(__xludf.DUMMYFUNCTION("GOOGLETRANSLATE(D146, ""en"", ""hi"")"),"A) बेहतर तत्परता और समन्वय")</f>
        <v>A) बेहतर तत्परता और समन्वय</v>
      </c>
    </row>
    <row r="147" ht="22.5" customHeight="1">
      <c r="A147" s="7">
        <v>146.0</v>
      </c>
      <c r="B147" s="7" t="s">
        <v>2726</v>
      </c>
      <c r="C147" s="7" t="s">
        <v>2727</v>
      </c>
      <c r="D147" s="7" t="s">
        <v>2728</v>
      </c>
      <c r="F147" s="5" t="str">
        <f>IFERROR(__xludf.DUMMYFUNCTION("GOOGLETRANSLATE(A147, ""en"", ""hi"")"),"146")</f>
        <v>146</v>
      </c>
      <c r="G147" s="5" t="str">
        <f>IFERROR(__xludf.DUMMYFUNCTION("GOOGLETRANSLATE(B147, ""en"", ""hi"")"),"मैच के दौरान, टीम B का डिफेंडर टैग से बचने के लिए तेज़ पार्श्व गति का उपयोग करता है। टीम A के चेज़र्स के लिए एक अच्छी जवाबी रणनीति क्या है?")</f>
        <v>मैच के दौरान, टीम B का डिफेंडर टैग से बचने के लिए तेज़ पार्श्व गति का उपयोग करता है। टीम A के चेज़र्स के लिए एक अच्छी जवाबी रणनीति क्या है?</v>
      </c>
      <c r="H147" s="5" t="str">
        <f>IFERROR(__xludf.DUMMYFUNCTION("GOOGLETRANSLATE(C147, ""en"", ""hi"")"),"A) पार्श्व गतिविधियों का पूर्वानुमान लगाना और उन्हें रोकना, B) गति बढ़ाना, C) बेहतर समय का उपयोग करना, D) रक्षक के थकने की प्रतीक्षा करना")</f>
        <v>A) पार्श्व गतिविधियों का पूर्वानुमान लगाना और उन्हें रोकना, B) गति बढ़ाना, C) बेहतर समय का उपयोग करना, D) रक्षक के थकने की प्रतीक्षा करना</v>
      </c>
      <c r="I147" s="5" t="str">
        <f>IFERROR(__xludf.DUMMYFUNCTION("GOOGLETRANSLATE(D147, ""en"", ""hi"")"),"A) पार्श्व गतिविधियों का पूर्वानुमान लगाना और उन्हें रोकना")</f>
        <v>A) पार्श्व गतिविधियों का पूर्वानुमान लगाना और उन्हें रोकना</v>
      </c>
    </row>
    <row r="148" ht="22.5" customHeight="1">
      <c r="A148" s="7">
        <v>147.0</v>
      </c>
      <c r="B148" s="7" t="s">
        <v>2729</v>
      </c>
      <c r="C148" s="7" t="s">
        <v>2730</v>
      </c>
      <c r="D148" s="7" t="s">
        <v>2731</v>
      </c>
      <c r="F148" s="5" t="str">
        <f>IFERROR(__xludf.DUMMYFUNCTION("GOOGLETRANSLATE(A148, ""en"", ""hi"")"),"147")</f>
        <v>147</v>
      </c>
      <c r="G148" s="5" t="str">
        <f>IFERROR(__xludf.DUMMYFUNCTION("GOOGLETRANSLATE(B148, ""en"", ""hi"")"),"टीम ए का चेज़र एक डिफेंडर को टैग करता है, लेकिन टीम बी द्वारा टैग पर विवाद किया जाता है। अगला कदम क्या होना चाहिए?")</f>
        <v>टीम ए का चेज़र एक डिफेंडर को टैग करता है, लेकिन टीम बी द्वारा टैग पर विवाद किया जाता है। अगला कदम क्या होना चाहिए?</v>
      </c>
      <c r="H148" s="5" t="str">
        <f>IFERROR(__xludf.DUMMYFUNCTION("GOOGLETRANSLATE(C148, ""en"", ""hi"")"),"A) रेफरी के निर्णय को स्वीकार करें, B) राउंड को पुनः खेलें, C) रेफरी से चर्चा करें, D) रणनीति बदलें")</f>
        <v>A) रेफरी के निर्णय को स्वीकार करें, B) राउंड को पुनः खेलें, C) रेफरी से चर्चा करें, D) रणनीति बदलें</v>
      </c>
      <c r="I148" s="5" t="str">
        <f>IFERROR(__xludf.DUMMYFUNCTION("GOOGLETRANSLATE(D148, ""en"", ""hi"")"),"A) रेफरी के निर्णय को स्वीकार करें")</f>
        <v>A) रेफरी के निर्णय को स्वीकार करें</v>
      </c>
    </row>
    <row r="149" ht="22.5" customHeight="1">
      <c r="A149" s="7">
        <v>148.0</v>
      </c>
      <c r="B149" s="7" t="s">
        <v>2732</v>
      </c>
      <c r="C149" s="7" t="s">
        <v>2733</v>
      </c>
      <c r="D149" s="7" t="s">
        <v>2734</v>
      </c>
      <c r="F149" s="5" t="str">
        <f>IFERROR(__xludf.DUMMYFUNCTION("GOOGLETRANSLATE(A149, ""en"", ""hi"")"),"148")</f>
        <v>148</v>
      </c>
      <c r="G149" s="5" t="str">
        <f>IFERROR(__xludf.DUMMYFUNCTION("GOOGLETRANSLATE(B149, ""en"", ""hi"")"),"टीम बी का चेज़र सीधे सेंटर की ओर दौड़ रहे डिफेंडर को टैग नहीं कर पा रहा है। इसमें क्या सुधार होना चाहिए?")</f>
        <v>टीम बी का चेज़र सीधे सेंटर की ओर दौड़ रहे डिफेंडर को टैग नहीं कर पा रहा है। इसमें क्या सुधार होना चाहिए?</v>
      </c>
      <c r="H149" s="5" t="str">
        <f>IFERROR(__xludf.DUMMYFUNCTION("GOOGLETRANSLATE(C149, ""en"", ""hi"")"),"A) बेहतर स्थिति, B) गति में वृद्धि, C) व्यक्तिगत कौशल में सुधार, D) बेहतर समय")</f>
        <v>A) बेहतर स्थिति, B) गति में वृद्धि, C) व्यक्तिगत कौशल में सुधार, D) बेहतर समय</v>
      </c>
      <c r="I149" s="5" t="str">
        <f>IFERROR(__xludf.DUMMYFUNCTION("GOOGLETRANSLATE(D149, ""en"", ""hi"")"),"A) बेहतर स्थिति")</f>
        <v>A) बेहतर स्थिति</v>
      </c>
    </row>
    <row r="150" ht="22.5" customHeight="1">
      <c r="A150" s="7">
        <v>149.0</v>
      </c>
      <c r="B150" s="7" t="s">
        <v>2735</v>
      </c>
      <c r="C150" s="7" t="s">
        <v>2736</v>
      </c>
      <c r="D150" s="7" t="s">
        <v>2737</v>
      </c>
      <c r="F150" s="5" t="str">
        <f>IFERROR(__xludf.DUMMYFUNCTION("GOOGLETRANSLATE(A150, ""en"", ""hi"")"),"149")</f>
        <v>149</v>
      </c>
      <c r="G150" s="5" t="str">
        <f>IFERROR(__xludf.DUMMYFUNCTION("GOOGLETRANSLATE(B150, ""en"", ""hi"")"),"टीम A का एक डिफेंडर टैग से बचने के लिए गोलाकार दौड़ने का तरीका अपना रहा है। टीम B के चेज़र्स के लिए एक प्रभावी रणनीति क्या है?")</f>
        <v>टीम A का एक डिफेंडर टैग से बचने के लिए गोलाकार दौड़ने का तरीका अपना रहा है। टीम B के चेज़र्स के लिए एक प्रभावी रणनीति क्या है?</v>
      </c>
      <c r="H150" s="5" t="str">
        <f>IFERROR(__xludf.DUMMYFUNCTION("GOOGLETRANSLATE(C150, ""en"", ""hi"")"),"A) गोल घेरे में बच निकलने के रास्ते रोकें, B) गति बढ़ाएँ, C) बेहतर समय का उपयोग करें, D) रक्षक के थकने का इंतज़ार करें")</f>
        <v>A) गोल घेरे में बच निकलने के रास्ते रोकें, B) गति बढ़ाएँ, C) बेहतर समय का उपयोग करें, D) रक्षक के थकने का इंतज़ार करें</v>
      </c>
      <c r="I150" s="5" t="str">
        <f>IFERROR(__xludf.DUMMYFUNCTION("GOOGLETRANSLATE(D150, ""en"", ""hi"")"),"A) भागने के रास्तों को गोलाकार में अवरुद्ध करें")</f>
        <v>A) भागने के रास्तों को गोलाकार में अवरुद्ध करें</v>
      </c>
    </row>
    <row r="151" ht="22.5" customHeight="1">
      <c r="A151" s="7">
        <v>150.0</v>
      </c>
      <c r="B151" s="7" t="s">
        <v>2738</v>
      </c>
      <c r="C151" s="7" t="s">
        <v>2739</v>
      </c>
      <c r="D151" s="7" t="s">
        <v>2740</v>
      </c>
      <c r="F151" s="5" t="str">
        <f>IFERROR(__xludf.DUMMYFUNCTION("GOOGLETRANSLATE(A151, ""en"", ""hi"")"),"150")</f>
        <v>150</v>
      </c>
      <c r="G151" s="5" t="str">
        <f>IFERROR(__xludf.DUMMYFUNCTION("GOOGLETRANSLATE(B151, ""en"", ""hi"")"),"खेल के दौरान, टीम A का चेज़र 'खो' देता है, लेकिन अगला चेज़र धीमी प्रतिक्रिया देता है। सुधार का मुख्य क्षेत्र क्या है?")</f>
        <v>खेल के दौरान, टीम A का चेज़र 'खो' देता है, लेकिन अगला चेज़र धीमी प्रतिक्रिया देता है। सुधार का मुख्य क्षेत्र क्या है?</v>
      </c>
      <c r="H151" s="5" t="str">
        <f>IFERROR(__xludf.DUMMYFUNCTION("GOOGLETRANSLATE(C151, ""en"", ""hi"")"),"A) प्रतिक्रिया समय, B) गति, C) समन्वय, D) समय निर्धारण")</f>
        <v>A) प्रतिक्रिया समय, B) गति, C) समन्वय, D) समय निर्धारण</v>
      </c>
      <c r="I151" s="5" t="str">
        <f>IFERROR(__xludf.DUMMYFUNCTION("GOOGLETRANSLATE(D151, ""en"", ""hi"")"),"A) प्रतिक्रिया समय")</f>
        <v>A) प्रतिक्रिया समय</v>
      </c>
    </row>
    <row r="152" ht="22.5" customHeight="1">
      <c r="A152" s="7">
        <v>151.0</v>
      </c>
      <c r="B152" s="7" t="s">
        <v>2741</v>
      </c>
      <c r="C152" s="7" t="s">
        <v>2742</v>
      </c>
      <c r="D152" s="7" t="s">
        <v>2743</v>
      </c>
      <c r="F152" s="5" t="str">
        <f>IFERROR(__xludf.DUMMYFUNCTION("GOOGLETRANSLATE(A152, ""en"", ""hi"")"),"151")</f>
        <v>151</v>
      </c>
      <c r="G152" s="5" t="str">
        <f>IFERROR(__xludf.DUMMYFUNCTION("GOOGLETRANSLATE(B152, ""en"", ""hi"")"),"टीम बी का डिफेंडर टैग से बचने के लिए तीखे मोड़ का इस्तेमाल कर रहा है। टीम ए के चेज़र्स के लिए इसका मुकाबला करने के लिए कौन सा कौशल ज़रूरी है?")</f>
        <v>टीम बी का डिफेंडर टैग से बचने के लिए तीखे मोड़ का इस्तेमाल कर रहा है। टीम ए के चेज़र्स के लिए इसका मुकाबला करने के लिए कौन सा कौशल ज़रूरी है?</v>
      </c>
      <c r="H152" s="5" t="str">
        <f>IFERROR(__xludf.DUMMYFUNCTION("GOOGLETRANSLATE(C152, ""en"", ""hi"")"),"A) तीखे मोड़ों का पूर्वानुमान करें, B) गति बढ़ाएँ, C) व्यक्तिगत कौशल में सुधार करें, D) बेहतर समय का उपयोग करें")</f>
        <v>A) तीखे मोड़ों का पूर्वानुमान करें, B) गति बढ़ाएँ, C) व्यक्तिगत कौशल में सुधार करें, D) बेहतर समय का उपयोग करें</v>
      </c>
      <c r="I152" s="5" t="str">
        <f>IFERROR(__xludf.DUMMYFUNCTION("GOOGLETRANSLATE(D152, ""en"", ""hi"")"),"A) तीखे मोड़ों का पूर्वानुमान करें")</f>
        <v>A) तीखे मोड़ों का पूर्वानुमान करें</v>
      </c>
    </row>
    <row r="153" ht="22.5" customHeight="1">
      <c r="A153" s="7">
        <v>152.0</v>
      </c>
      <c r="B153" s="7" t="s">
        <v>2744</v>
      </c>
      <c r="C153" s="7" t="s">
        <v>2722</v>
      </c>
      <c r="D153" s="7" t="s">
        <v>2485</v>
      </c>
      <c r="F153" s="5" t="str">
        <f>IFERROR(__xludf.DUMMYFUNCTION("GOOGLETRANSLATE(A153, ""en"", ""hi"")"),"152")</f>
        <v>152</v>
      </c>
      <c r="G153" s="5" t="str">
        <f>IFERROR(__xludf.DUMMYFUNCTION("GOOGLETRANSLATE(B153, ""en"", ""hi"")"),"खेल के आखिरी सेकंड में, टीम B का चेज़र बाउंड्री के पास खड़े डिफेंडर को टैग करता है। नियम क्या है?")</f>
        <v>खेल के आखिरी सेकंड में, टीम B का चेज़र बाउंड्री के पास खड़े डिफेंडर को टैग करता है। नियम क्या है?</v>
      </c>
      <c r="H153" s="5" t="str">
        <f>IFERROR(__xludf.DUMMYFUNCTION("GOOGLETRANSLATE(C153,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53" s="5" t="str">
        <f>IFERROR(__xludf.DUMMYFUNCTION("GOOGLETRANSLATE(D153, ""en"", ""hi"")"),"A) डिफेंडर बाहर है")</f>
        <v>A) डिफेंडर बाहर है</v>
      </c>
    </row>
    <row r="154" ht="22.5" customHeight="1">
      <c r="A154" s="7">
        <v>153.0</v>
      </c>
      <c r="B154" s="7" t="s">
        <v>2745</v>
      </c>
      <c r="C154" s="7" t="s">
        <v>2746</v>
      </c>
      <c r="D154" s="7" t="s">
        <v>2705</v>
      </c>
      <c r="F154" s="5" t="str">
        <f>IFERROR(__xludf.DUMMYFUNCTION("GOOGLETRANSLATE(A154, ""en"", ""hi"")"),"153")</f>
        <v>153</v>
      </c>
      <c r="G154" s="5" t="str">
        <f>IFERROR(__xludf.DUMMYFUNCTION("GOOGLETRANSLATE(B154, ""en"", ""hi"")"),"टीम A का चेज़र 'खो' की दिशा को लेकर उलझन में है और डिफेंडर को टैग करने से चूक जाता है। क्या सुधार किया जाना चाहिए?")</f>
        <v>टीम A का चेज़र 'खो' की दिशा को लेकर उलझन में है और डिफेंडर को टैग करने से चूक जाता है। क्या सुधार किया जाना चाहिए?</v>
      </c>
      <c r="H154" s="5" t="str">
        <f>IFERROR(__xludf.DUMMYFUNCTION("GOOGLETRANSLATE(C154, ""en"", ""hi"")"),"A) संचार, B) गति, C) समय, D) समन्वय")</f>
        <v>A) संचार, B) गति, C) समय, D) समन्वय</v>
      </c>
      <c r="I154" s="5" t="str">
        <f>IFERROR(__xludf.DUMMYFUNCTION("GOOGLETRANSLATE(D154, ""en"", ""hi"")"),"ए) संचार")</f>
        <v>ए) संचार</v>
      </c>
    </row>
    <row r="155" ht="22.5" customHeight="1">
      <c r="A155" s="7">
        <v>154.0</v>
      </c>
      <c r="B155" s="7" t="s">
        <v>2747</v>
      </c>
      <c r="C155" s="7" t="s">
        <v>2748</v>
      </c>
      <c r="D155" s="7" t="s">
        <v>2749</v>
      </c>
      <c r="F155" s="5" t="str">
        <f>IFERROR(__xludf.DUMMYFUNCTION("GOOGLETRANSLATE(A155, ""en"", ""hi"")"),"154")</f>
        <v>154</v>
      </c>
      <c r="G155" s="5" t="str">
        <f>IFERROR(__xludf.DUMMYFUNCTION("GOOGLETRANSLATE(B155, ""en"", ""hi"")"),"टीम बी का डिफेंडर कोने में फँस गया है, लेकिन तेज़ी से मूव लगाकर टैग से बच जाता है। टीम ए के चेज़र्स के लिए सबसे अच्छी रणनीति क्या है?")</f>
        <v>टीम बी का डिफेंडर कोने में फँस गया है, लेकिन तेज़ी से मूव लगाकर टैग से बच जाता है। टीम ए के चेज़र्स के लिए सबसे अच्छी रणनीति क्या है?</v>
      </c>
      <c r="H155" s="5" t="str">
        <f>IFERROR(__xludf.DUMMYFUNCTION("GOOGLETRANSLATE(C155, ""en"", ""hi"")"),"A) कोने से भागने के रास्ते रोकें, B) गति बढ़ाएँ, C) समय सुधारें, D) रक्षक के थकने का इंतज़ार करें")</f>
        <v>A) कोने से भागने के रास्ते रोकें, B) गति बढ़ाएँ, C) समय सुधारें, D) रक्षक के थकने का इंतज़ार करें</v>
      </c>
      <c r="I155" s="5" t="str">
        <f>IFERROR(__xludf.DUMMYFUNCTION("GOOGLETRANSLATE(D155, ""en"", ""hi"")"),"A) कोने से भागने के रास्ते बंद करें")</f>
        <v>A) कोने से भागने के रास्ते बंद करें</v>
      </c>
    </row>
    <row r="156" ht="22.5" customHeight="1">
      <c r="A156" s="7">
        <v>155.0</v>
      </c>
      <c r="B156" s="7" t="s">
        <v>2750</v>
      </c>
      <c r="C156" s="7" t="s">
        <v>2751</v>
      </c>
      <c r="D156" s="7" t="s">
        <v>2752</v>
      </c>
      <c r="F156" s="5" t="str">
        <f>IFERROR(__xludf.DUMMYFUNCTION("GOOGLETRANSLATE(A156, ""en"", ""hi"")"),"155")</f>
        <v>155</v>
      </c>
      <c r="G156" s="5" t="str">
        <f>IFERROR(__xludf.DUMMYFUNCTION("GOOGLETRANSLATE(B156, ""en"", ""hi"")"),"मैच के दौरान, टीम A के चेज़र को खराब पोज़िशनिंग के कारण एक डिफेंडर द्वारा टैग कर दिया जाता है। सुधार के लिए किस पर ध्यान केंद्रित किया जाना चाहिए?")</f>
        <v>मैच के दौरान, टीम A के चेज़र को खराब पोज़िशनिंग के कारण एक डिफेंडर द्वारा टैग कर दिया जाता है। सुधार के लिए किस पर ध्यान केंद्रित किया जाना चाहिए?</v>
      </c>
      <c r="H156" s="5" t="str">
        <f>IFERROR(__xludf.DUMMYFUNCTION("GOOGLETRANSLATE(C156, ""en"", ""hi"")"),"A) स्थिति निर्धारण, B) गति, C) समय निर्धारण, D) रणनीति")</f>
        <v>A) स्थिति निर्धारण, B) गति, C) समय निर्धारण, D) रणनीति</v>
      </c>
      <c r="I156" s="5" t="str">
        <f>IFERROR(__xludf.DUMMYFUNCTION("GOOGLETRANSLATE(D156, ""en"", ""hi"")"),"ए) स्थिति निर्धारण")</f>
        <v>ए) स्थिति निर्धारण</v>
      </c>
    </row>
    <row r="157" ht="22.5" customHeight="1">
      <c r="A157" s="7">
        <v>156.0</v>
      </c>
      <c r="B157" s="7" t="s">
        <v>2753</v>
      </c>
      <c r="C157" s="7" t="s">
        <v>2754</v>
      </c>
      <c r="D157" s="7" t="s">
        <v>2708</v>
      </c>
      <c r="F157" s="5" t="str">
        <f>IFERROR(__xludf.DUMMYFUNCTION("GOOGLETRANSLATE(A157, ""en"", ""hi"")"),"156")</f>
        <v>156</v>
      </c>
      <c r="G157" s="5" t="str">
        <f>IFERROR(__xludf.DUMMYFUNCTION("GOOGLETRANSLATE(B157, ""en"", ""hi"")"),"टीम बी का चेज़र दूसरे चेज़रों के साथ खराब समन्वय के कारण डिफेंडर को टैग नहीं कर पा रहा है। इसमें क्या सुधार किया जाना चाहिए?")</f>
        <v>टीम बी का चेज़र दूसरे चेज़रों के साथ खराब समन्वय के कारण डिफेंडर को टैग नहीं कर पा रहा है। इसमें क्या सुधार किया जाना चाहिए?</v>
      </c>
      <c r="H157" s="5" t="str">
        <f>IFERROR(__xludf.DUMMYFUNCTION("GOOGLETRANSLATE(C157, ""en"", ""hi"")"),"A) समन्वय, B) गति, C) समय, D) व्यक्तिगत कौशल")</f>
        <v>A) समन्वय, B) गति, C) समय, D) व्यक्तिगत कौशल</v>
      </c>
      <c r="I157" s="5" t="str">
        <f>IFERROR(__xludf.DUMMYFUNCTION("GOOGLETRANSLATE(D157, ""en"", ""hi"")"),"ए) समन्वय")</f>
        <v>ए) समन्वय</v>
      </c>
    </row>
    <row r="158" ht="22.5" customHeight="1">
      <c r="A158" s="7">
        <v>157.0</v>
      </c>
      <c r="B158" s="7" t="s">
        <v>2755</v>
      </c>
      <c r="C158" s="7" t="s">
        <v>2756</v>
      </c>
      <c r="D158" s="7" t="s">
        <v>2717</v>
      </c>
      <c r="F158" s="5" t="str">
        <f>IFERROR(__xludf.DUMMYFUNCTION("GOOGLETRANSLATE(A158, ""en"", ""hi"")"),"157")</f>
        <v>157</v>
      </c>
      <c r="G158" s="5" t="str">
        <f>IFERROR(__xludf.DUMMYFUNCTION("GOOGLETRANSLATE(B158, ""en"", ""hi"")"),"टीम A का एक डिफेंडर टैग से बचने के लिए तेज़ी से दिशा बदल रहा है। टीम B के चेज़र्स के लिए एक अच्छी जवाबी रणनीति क्या है?")</f>
        <v>टीम A का एक डिफेंडर टैग से बचने के लिए तेज़ी से दिशा बदल रहा है। टीम B के चेज़र्स के लिए एक अच्छी जवाबी रणनीति क्या है?</v>
      </c>
      <c r="H158" s="5" t="str">
        <f>IFERROR(__xludf.DUMMYFUNCTION("GOOGLETRANSLATE(C158, ""en"", ""hi"")"),"A) संभावित बच निकलने के रास्ते बंद करें, B) गति बढ़ाएँ, C) बेहतर समय का उपयोग करें, D) रक्षक के थकने का इंतज़ार करें")</f>
        <v>A) संभावित बच निकलने के रास्ते बंद करें, B) गति बढ़ाएँ, C) बेहतर समय का उपयोग करें, D) रक्षक के थकने का इंतज़ार करें</v>
      </c>
      <c r="I158" s="5" t="str">
        <f>IFERROR(__xludf.DUMMYFUNCTION("GOOGLETRANSLATE(D158, ""en"", ""hi"")"),"A) संभावित पलायन मार्गों को अवरुद्ध करें")</f>
        <v>A) संभावित पलायन मार्गों को अवरुद्ध करें</v>
      </c>
    </row>
    <row r="159" ht="22.5" customHeight="1">
      <c r="A159" s="7">
        <v>158.0</v>
      </c>
      <c r="B159" s="7" t="s">
        <v>2757</v>
      </c>
      <c r="C159" s="7" t="s">
        <v>2758</v>
      </c>
      <c r="D159" s="7" t="s">
        <v>2759</v>
      </c>
      <c r="F159" s="5" t="str">
        <f>IFERROR(__xludf.DUMMYFUNCTION("GOOGLETRANSLATE(A159, ""en"", ""hi"")"),"158")</f>
        <v>158</v>
      </c>
      <c r="G159" s="5" t="str">
        <f>IFERROR(__xludf.DUMMYFUNCTION("GOOGLETRANSLATE(B159, ""en"", ""hi"")"),"एक बेहद दबाव भरे खेल में, टीम B का चेज़र एक डिफेंडर को टैग करता है, लेकिन टैग विवादित हो जाता है। अगला कदम क्या होना चाहिए?")</f>
        <v>एक बेहद दबाव भरे खेल में, टीम B का चेज़र एक डिफेंडर को टैग करता है, लेकिन टैग विवादित हो जाता है। अगला कदम क्या होना चाहिए?</v>
      </c>
      <c r="H159" s="5" t="str">
        <f>IFERROR(__xludf.DUMMYFUNCTION("GOOGLETRANSLATE(C159, ""en"", ""hi"")"),"A) निर्णय स्वीकार करें, B) राउंड पुनः खेलें, C) रेफरी से चर्चा करें, D) रणनीति बदलें")</f>
        <v>A) निर्णय स्वीकार करें, B) राउंड पुनः खेलें, C) रेफरी से चर्चा करें, D) रणनीति बदलें</v>
      </c>
      <c r="I159" s="5" t="str">
        <f>IFERROR(__xludf.DUMMYFUNCTION("GOOGLETRANSLATE(D159, ""en"", ""hi"")"),"A) निर्णय स्वीकार करें")</f>
        <v>A) निर्णय स्वीकार करें</v>
      </c>
    </row>
    <row r="160" ht="22.5" customHeight="1">
      <c r="A160" s="7">
        <v>159.0</v>
      </c>
      <c r="B160" s="7" t="s">
        <v>2760</v>
      </c>
      <c r="C160" s="7" t="s">
        <v>2746</v>
      </c>
      <c r="D160" s="7" t="s">
        <v>2705</v>
      </c>
      <c r="F160" s="5" t="str">
        <f>IFERROR(__xludf.DUMMYFUNCTION("GOOGLETRANSLATE(A160, ""en"", ""hi"")"),"159")</f>
        <v>159</v>
      </c>
      <c r="G160" s="5" t="str">
        <f>IFERROR(__xludf.DUMMYFUNCTION("GOOGLETRANSLATE(B160, ""en"", ""hi"")"),"टीम A का चेज़र कन्फ़्यूज़न के कारण डिफेंडर को टैग करने से चूक गया। टीम में क्या सुधार होना चाहिए?")</f>
        <v>टीम A का चेज़र कन्फ़्यूज़न के कारण डिफेंडर को टैग करने से चूक गया। टीम में क्या सुधार होना चाहिए?</v>
      </c>
      <c r="H160" s="5" t="str">
        <f>IFERROR(__xludf.DUMMYFUNCTION("GOOGLETRANSLATE(C160, ""en"", ""hi"")"),"A) संचार, B) गति, C) समय, D) समन्वय")</f>
        <v>A) संचार, B) गति, C) समय, D) समन्वय</v>
      </c>
      <c r="I160" s="5" t="str">
        <f>IFERROR(__xludf.DUMMYFUNCTION("GOOGLETRANSLATE(D160, ""en"", ""hi"")"),"ए) संचार")</f>
        <v>ए) संचार</v>
      </c>
    </row>
    <row r="161" ht="22.5" customHeight="1">
      <c r="A161" s="7">
        <v>160.0</v>
      </c>
      <c r="B161" s="7" t="s">
        <v>2761</v>
      </c>
      <c r="C161" s="7" t="s">
        <v>2762</v>
      </c>
      <c r="D161" s="7" t="s">
        <v>2763</v>
      </c>
      <c r="F161" s="5" t="str">
        <f>IFERROR(__xludf.DUMMYFUNCTION("GOOGLETRANSLATE(A161, ""en"", ""hi"")"),"160")</f>
        <v>160</v>
      </c>
      <c r="G161" s="5" t="str">
        <f>IFERROR(__xludf.DUMMYFUNCTION("GOOGLETRANSLATE(B161, ""en"", ""hi"")"),"एक मैच के दौरान, टीम B का डिफेंडर टैग से बचने के लिए बाउंड्री की ओर दौड़ रहा है। टीम A के चेज़र्स के लिए एक अच्छी रणनीति क्या है?")</f>
        <v>एक मैच के दौरान, टीम B का डिफेंडर टैग से बचने के लिए बाउंड्री की ओर दौड़ रहा है। टीम A के चेज़र्स के लिए एक अच्छी रणनीति क्या है?</v>
      </c>
      <c r="H161" s="5" t="str">
        <f>IFERROR(__xludf.DUMMYFUNCTION("GOOGLETRANSLATE(C161, ""en"", ""hi"")"),"A) सीमा के पास भागने के रास्ते बंद करें, B) गति बढ़ाएँ, C) बेहतर समय का उपयोग करें, D) लेन बदलें")</f>
        <v>A) सीमा के पास भागने के रास्ते बंद करें, B) गति बढ़ाएँ, C) बेहतर समय का उपयोग करें, D) लेन बदलें</v>
      </c>
      <c r="I161" s="5" t="str">
        <f>IFERROR(__xludf.DUMMYFUNCTION("GOOGLETRANSLATE(D161, ""en"", ""hi"")"),"A) सीमा के पास भागने के रास्ते बंद करें")</f>
        <v>A) सीमा के पास भागने के रास्ते बंद करें</v>
      </c>
    </row>
    <row r="162" ht="22.5" customHeight="1">
      <c r="A162" s="7">
        <v>161.0</v>
      </c>
      <c r="B162" s="7" t="s">
        <v>2764</v>
      </c>
      <c r="C162" s="7" t="s">
        <v>2765</v>
      </c>
      <c r="D162" s="7" t="s">
        <v>2766</v>
      </c>
      <c r="F162" s="5" t="str">
        <f>IFERROR(__xludf.DUMMYFUNCTION("GOOGLETRANSLATE(A162, ""en"", ""hi"")"),"161")</f>
        <v>161</v>
      </c>
      <c r="G162" s="5" t="str">
        <f>IFERROR(__xludf.DUMMYFUNCTION("GOOGLETRANSLATE(B162, ""en"", ""hi"")"),"टीम A का चेज़र तेज़ी से चक्कर लगा रहे डिफेंडर को टैग नहीं कर पा रहा है। सुधार के लिए किस पर ध्यान केंद्रित किया जाना चाहिए?")</f>
        <v>टीम A का चेज़र तेज़ी से चक्कर लगा रहे डिफेंडर को टैग नहीं कर पा रहा है। सुधार के लिए किस पर ध्यान केंद्रित किया जाना चाहिए?</v>
      </c>
      <c r="H162" s="5" t="str">
        <f>IFERROR(__xludf.DUMMYFUNCTION("GOOGLETRANSLATE(C162, ""en"", ""hi"")"),"A) भागने के रास्ते रोकना, B) गति बढ़ाना, C) समय में सुधार करना, D) बेहतर व्यक्तिगत कौशल")</f>
        <v>A) भागने के रास्ते रोकना, B) गति बढ़ाना, C) समय में सुधार करना, D) बेहतर व्यक्तिगत कौशल</v>
      </c>
      <c r="I162" s="5" t="str">
        <f>IFERROR(__xludf.DUMMYFUNCTION("GOOGLETRANSLATE(D162, ""en"", ""hi"")"),"A) भागने के रास्ते अवरुद्ध करना")</f>
        <v>A) भागने के रास्ते अवरुद्ध करना</v>
      </c>
    </row>
    <row r="163" ht="22.5" customHeight="1">
      <c r="A163" s="7">
        <v>162.0</v>
      </c>
      <c r="B163" s="7" t="s">
        <v>2767</v>
      </c>
      <c r="C163" s="7" t="s">
        <v>2746</v>
      </c>
      <c r="D163" s="7" t="s">
        <v>2705</v>
      </c>
      <c r="F163" s="5" t="str">
        <f>IFERROR(__xludf.DUMMYFUNCTION("GOOGLETRANSLATE(A163, ""en"", ""hi"")"),"162")</f>
        <v>162</v>
      </c>
      <c r="G163" s="5" t="str">
        <f>IFERROR(__xludf.DUMMYFUNCTION("GOOGLETRANSLATE(B163, ""en"", ""hi"")"),"खेल के आखिरी सेकंड में, टीम बी का चेज़र 'खो' की दिशा को लेकर उलझन में पड़ जाता है और टैग चूक जाता है। सुधार की मुख्य गुंजाइश क्या है?")</f>
        <v>खेल के आखिरी सेकंड में, टीम बी का चेज़र 'खो' की दिशा को लेकर उलझन में पड़ जाता है और टैग चूक जाता है। सुधार की मुख्य गुंजाइश क्या है?</v>
      </c>
      <c r="H163" s="5" t="str">
        <f>IFERROR(__xludf.DUMMYFUNCTION("GOOGLETRANSLATE(C163, ""en"", ""hi"")"),"A) संचार, B) गति, C) समय, D) समन्वय")</f>
        <v>A) संचार, B) गति, C) समय, D) समन्वय</v>
      </c>
      <c r="I163" s="5" t="str">
        <f>IFERROR(__xludf.DUMMYFUNCTION("GOOGLETRANSLATE(D163, ""en"", ""hi"")"),"ए) संचार")</f>
        <v>ए) संचार</v>
      </c>
    </row>
    <row r="164" ht="22.5" customHeight="1">
      <c r="A164" s="7">
        <v>163.0</v>
      </c>
      <c r="B164" s="7" t="s">
        <v>2768</v>
      </c>
      <c r="C164" s="7" t="s">
        <v>2769</v>
      </c>
      <c r="D164" s="7" t="s">
        <v>2770</v>
      </c>
      <c r="F164" s="5" t="str">
        <f>IFERROR(__xludf.DUMMYFUNCTION("GOOGLETRANSLATE(A164, ""en"", ""hi"")"),"163")</f>
        <v>163</v>
      </c>
      <c r="G164" s="5" t="str">
        <f>IFERROR(__xludf.DUMMYFUNCTION("GOOGLETRANSLATE(B164, ""en"", ""hi"")"),"टीम A का चेज़र 'खो' देता है, लेकिन अगला चेज़र गलत गणना के कारण टैग नहीं कर पाता। क्या सुधार किया जाना चाहिए?")</f>
        <v>टीम A का चेज़र 'खो' देता है, लेकिन अगला चेज़र गलत गणना के कारण टैग नहीं कर पाता। क्या सुधार किया जाना चाहिए?</v>
      </c>
      <c r="H164" s="5" t="str">
        <f>IFERROR(__xludf.DUMMYFUNCTION("GOOGLETRANSLATE(C164, ""en"", ""hi"")"),"A) दूरी का निर्णय, B) गति, C) समन्वय, D) समय निर्धारण")</f>
        <v>A) दूरी का निर्णय, B) गति, C) समन्वय, D) समय निर्धारण</v>
      </c>
      <c r="I164" s="5" t="str">
        <f>IFERROR(__xludf.DUMMYFUNCTION("GOOGLETRANSLATE(D164, ""en"", ""hi"")"),"A) दूरी निर्णय")</f>
        <v>A) दूरी निर्णय</v>
      </c>
    </row>
    <row r="165" ht="22.5" customHeight="1">
      <c r="A165" s="7">
        <v>164.0</v>
      </c>
      <c r="B165" s="7" t="s">
        <v>2771</v>
      </c>
      <c r="C165" s="7" t="s">
        <v>2772</v>
      </c>
      <c r="D165" s="7" t="s">
        <v>2773</v>
      </c>
      <c r="F165" s="5" t="str">
        <f>IFERROR(__xludf.DUMMYFUNCTION("GOOGLETRANSLATE(A165, ""en"", ""hi"")"),"164")</f>
        <v>164</v>
      </c>
      <c r="G165" s="5" t="str">
        <f>IFERROR(__xludf.DUMMYFUNCTION("GOOGLETRANSLATE(B165, ""en"", ""hi"")"),"मैच के दौरान, टीम B का डिफेंडर ज़िगज़ैग पैटर्न में दौड़कर टैग होने से बचता है। टीम A के चेज़र्स के लिए एक अच्छी जवाबी रणनीति क्या है?")</f>
        <v>मैच के दौरान, टीम B का डिफेंडर ज़िगज़ैग पैटर्न में दौड़कर टैग होने से बचता है। टीम A के चेज़र्स के लिए एक अच्छी जवाबी रणनीति क्या है?</v>
      </c>
      <c r="H165" s="5" t="str">
        <f>IFERROR(__xludf.DUMMYFUNCTION("GOOGLETRANSLATE(C165, ""en"", ""hi"")"),"ए) टेढ़ी-मेढ़ी गतिविधियों का पूर्वानुमान लगाना और उन्हें रोकना, बी) गति बढ़ाना, सी) बेहतर समय का उपयोग करना, डी) रक्षक के थकने का इंतजार करना")</f>
        <v>ए) टेढ़ी-मेढ़ी गतिविधियों का पूर्वानुमान लगाना और उन्हें रोकना, बी) गति बढ़ाना, सी) बेहतर समय का उपयोग करना, डी) रक्षक के थकने का इंतजार करना</v>
      </c>
      <c r="I165" s="5" t="str">
        <f>IFERROR(__xludf.DUMMYFUNCTION("GOOGLETRANSLATE(D165, ""en"", ""hi"")"),"A) ज़िगज़ैग गतिविधियों का पूर्वानुमान लगाना और उन्हें रोकना")</f>
        <v>A) ज़िगज़ैग गतिविधियों का पूर्वानुमान लगाना और उन्हें रोकना</v>
      </c>
    </row>
    <row r="166" ht="22.5" customHeight="1">
      <c r="A166" s="7">
        <v>165.0</v>
      </c>
      <c r="B166" s="7" t="s">
        <v>2774</v>
      </c>
      <c r="C166" s="7" t="s">
        <v>2775</v>
      </c>
      <c r="D166" s="7" t="s">
        <v>2458</v>
      </c>
      <c r="F166" s="5" t="str">
        <f>IFERROR(__xludf.DUMMYFUNCTION("GOOGLETRANSLATE(A166, ""en"", ""hi"")"),"165")</f>
        <v>165</v>
      </c>
      <c r="G166" s="5" t="str">
        <f>IFERROR(__xludf.DUMMYFUNCTION("GOOGLETRANSLATE(B166, ""en"", ""hi"")"),"टीम A का चेज़र एक डिफेंडर को टैग करता है, लेकिन तुरंत ही दूसरा डिफेंडर उसे टैग कर देता है। नियम क्या है?")</f>
        <v>टीम A का चेज़र एक डिफेंडर को टैग करता है, लेकिन तुरंत ही दूसरा डिफेंडर उसे टैग कर देता है। नियम क्या है?</v>
      </c>
      <c r="H166" s="5" t="str">
        <f>IFERROR(__xludf.DUMMYFUNCTION("GOOGLETRANSLATE(C166, ""en"", ""hi"")"),"A) डिफेंडर सुरक्षित है, B) दोनों चेज़र बाहर हैं, C) डिफेंडर बाहर है, D) राउंड पुनः शुरू होता है")</f>
        <v>A) डिफेंडर सुरक्षित है, B) दोनों चेज़र बाहर हैं, C) डिफेंडर बाहर है, D) राउंड पुनः शुरू होता है</v>
      </c>
      <c r="I166" s="5" t="str">
        <f>IFERROR(__xludf.DUMMYFUNCTION("GOOGLETRANSLATE(D166, ""en"", ""hi"")"),"A) डिफेंडर सुरक्षित है")</f>
        <v>A) डिफेंडर सुरक्षित है</v>
      </c>
    </row>
    <row r="167" ht="22.5" customHeight="1">
      <c r="A167" s="7">
        <v>166.0</v>
      </c>
      <c r="B167" s="7" t="s">
        <v>2776</v>
      </c>
      <c r="C167" s="7" t="s">
        <v>2777</v>
      </c>
      <c r="D167" s="7" t="s">
        <v>2752</v>
      </c>
      <c r="F167" s="5" t="str">
        <f>IFERROR(__xludf.DUMMYFUNCTION("GOOGLETRANSLATE(A167, ""en"", ""hi"")"),"166")</f>
        <v>166</v>
      </c>
      <c r="G167" s="5" t="str">
        <f>IFERROR(__xludf.DUMMYFUNCTION("GOOGLETRANSLATE(B167, ""en"", ""hi"")"),"टीम बी का चेज़र खराब पोज़िशनिंग के कारण टैग चूक जाता है। सुधार के लिए किस पर ध्यान केंद्रित किया जाना चाहिए?")</f>
        <v>टीम बी का चेज़र खराब पोज़िशनिंग के कारण टैग चूक जाता है। सुधार के लिए किस पर ध्यान केंद्रित किया जाना चाहिए?</v>
      </c>
      <c r="H167" s="5" t="str">
        <f>IFERROR(__xludf.DUMMYFUNCTION("GOOGLETRANSLATE(C167, ""en"", ""hi"")"),"A) स्थिति निर्धारण, B) गति, C) समय निर्धारण, D) समन्वय")</f>
        <v>A) स्थिति निर्धारण, B) गति, C) समय निर्धारण, D) समन्वय</v>
      </c>
      <c r="I167" s="5" t="str">
        <f>IFERROR(__xludf.DUMMYFUNCTION("GOOGLETRANSLATE(D167, ""en"", ""hi"")"),"ए) स्थिति निर्धारण")</f>
        <v>ए) स्थिति निर्धारण</v>
      </c>
    </row>
    <row r="168" ht="22.5" customHeight="1">
      <c r="A168" s="7">
        <v>167.0</v>
      </c>
      <c r="B168" s="7" t="s">
        <v>2778</v>
      </c>
      <c r="C168" s="7" t="s">
        <v>2779</v>
      </c>
      <c r="D168" s="7" t="s">
        <v>2780</v>
      </c>
      <c r="F168" s="5" t="str">
        <f>IFERROR(__xludf.DUMMYFUNCTION("GOOGLETRANSLATE(A168, ""en"", ""hi"")"),"167")</f>
        <v>167</v>
      </c>
      <c r="G168" s="5" t="str">
        <f>IFERROR(__xludf.DUMMYFUNCTION("GOOGLETRANSLATE(B168, ""en"", ""hi"")"),"टीम A का एक डिफेंडर टैग से बचने के लिए तेज़ पार्श्व गति का उपयोग कर रहा है। टीम B के चेज़र्स के लिए एक अच्छी रणनीति क्या है?")</f>
        <v>टीम A का एक डिफेंडर टैग से बचने के लिए तेज़ पार्श्व गति का उपयोग कर रहा है। टीम B के चेज़र्स के लिए एक अच्छी रणनीति क्या है?</v>
      </c>
      <c r="H168" s="5" t="str">
        <f>IFERROR(__xludf.DUMMYFUNCTION("GOOGLETRANSLATE(C168, ""en"", ""hi"")"),"A) पार्श्व गतिविधियों को रोकें, B) गति बढ़ाएँ, C) बेहतर समय का उपयोग करें, D) रक्षक के थकने की प्रतीक्षा करें")</f>
        <v>A) पार्श्व गतिविधियों को रोकें, B) गति बढ़ाएँ, C) बेहतर समय का उपयोग करें, D) रक्षक के थकने की प्रतीक्षा करें</v>
      </c>
      <c r="I168" s="5" t="str">
        <f>IFERROR(__xludf.DUMMYFUNCTION("GOOGLETRANSLATE(D168, ""en"", ""hi"")"),"A) पार्श्व गतिविधियों को अवरुद्ध करें")</f>
        <v>A) पार्श्व गतिविधियों को अवरुद्ध करें</v>
      </c>
    </row>
    <row r="169" ht="22.5" customHeight="1">
      <c r="A169" s="7">
        <v>168.0</v>
      </c>
      <c r="B169" s="7" t="s">
        <v>2781</v>
      </c>
      <c r="C169" s="7" t="s">
        <v>2722</v>
      </c>
      <c r="D169" s="7" t="s">
        <v>2485</v>
      </c>
      <c r="F169" s="5" t="str">
        <f>IFERROR(__xludf.DUMMYFUNCTION("GOOGLETRANSLATE(A169, ""en"", ""hi"")"),"168")</f>
        <v>168</v>
      </c>
      <c r="G169" s="5" t="str">
        <f>IFERROR(__xludf.DUMMYFUNCTION("GOOGLETRANSLATE(B169, ""en"", ""hi"")"),"एक महत्वपूर्ण क्षण में, टीम B का चेज़र सीधे दौड़ रहे एक डिफेंडर को टैग करता है। सही नियम क्या है?")</f>
        <v>एक महत्वपूर्ण क्षण में, टीम B का चेज़र सीधे दौड़ रहे एक डिफेंडर को टैग करता है। सही नियम क्या है?</v>
      </c>
      <c r="H169" s="5" t="str">
        <f>IFERROR(__xludf.DUMMYFUNCTION("GOOGLETRANSLATE(C169,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69" s="5" t="str">
        <f>IFERROR(__xludf.DUMMYFUNCTION("GOOGLETRANSLATE(D169, ""en"", ""hi"")"),"A) डिफेंडर बाहर है")</f>
        <v>A) डिफेंडर बाहर है</v>
      </c>
    </row>
    <row r="170" ht="22.5" customHeight="1">
      <c r="A170" s="7">
        <v>169.0</v>
      </c>
      <c r="B170" s="7" t="s">
        <v>2782</v>
      </c>
      <c r="C170" s="7" t="s">
        <v>2746</v>
      </c>
      <c r="D170" s="7" t="s">
        <v>2705</v>
      </c>
      <c r="F170" s="5" t="str">
        <f>IFERROR(__xludf.DUMMYFUNCTION("GOOGLETRANSLATE(A170, ""en"", ""hi"")"),"169")</f>
        <v>169</v>
      </c>
      <c r="G170" s="5" t="str">
        <f>IFERROR(__xludf.DUMMYFUNCTION("GOOGLETRANSLATE(B170, ""en"", ""hi"")"),"टीम A का चेज़र 'खो' की दिशा को लेकर असमंजस के कारण डिफेंडर को टैग नहीं कर पा रहा है। इसमें क्या सुधार किया जाना चाहिए?")</f>
        <v>टीम A का चेज़र 'खो' की दिशा को लेकर असमंजस के कारण डिफेंडर को टैग नहीं कर पा रहा है। इसमें क्या सुधार किया जाना चाहिए?</v>
      </c>
      <c r="H170" s="5" t="str">
        <f>IFERROR(__xludf.DUMMYFUNCTION("GOOGLETRANSLATE(C170, ""en"", ""hi"")"),"A) संचार, B) गति, C) समय, D) समन्वय")</f>
        <v>A) संचार, B) गति, C) समय, D) समन्वय</v>
      </c>
      <c r="I170" s="5" t="str">
        <f>IFERROR(__xludf.DUMMYFUNCTION("GOOGLETRANSLATE(D170, ""en"", ""hi"")"),"ए) संचार")</f>
        <v>ए) संचार</v>
      </c>
    </row>
    <row r="171" ht="22.5" customHeight="1">
      <c r="A171" s="7">
        <v>170.0</v>
      </c>
      <c r="B171" s="7" t="s">
        <v>2783</v>
      </c>
      <c r="C171" s="7" t="s">
        <v>2784</v>
      </c>
      <c r="D171" s="7" t="s">
        <v>2785</v>
      </c>
      <c r="F171" s="5" t="str">
        <f>IFERROR(__xludf.DUMMYFUNCTION("GOOGLETRANSLATE(A171, ""en"", ""hi"")"),"170")</f>
        <v>170</v>
      </c>
      <c r="G171" s="5" t="str">
        <f>IFERROR(__xludf.DUMMYFUNCTION("GOOGLETRANSLATE(B171, ""en"", ""hi"")"),"टीम बी का चेज़र 'खो' देता है, लेकिन अगला चेज़र टैग करने के लिए तैयार नहीं होता। टीम बी के सुधार पर किस पर ध्यान केंद्रित किया जाना चाहिए?")</f>
        <v>टीम बी का चेज़र 'खो' देता है, लेकिन अगला चेज़र टैग करने के लिए तैयार नहीं होता। टीम बी के सुधार पर किस पर ध्यान केंद्रित किया जाना चाहिए?</v>
      </c>
      <c r="H171" s="5" t="str">
        <f>IFERROR(__xludf.DUMMYFUNCTION("GOOGLETRANSLATE(C171, ""en"", ""hi"")"),"A) तत्परता और समन्वय, B) गति, C) व्यक्तिगत कौशल, D) रणनीति")</f>
        <v>A) तत्परता और समन्वय, B) गति, C) व्यक्तिगत कौशल, D) रणनीति</v>
      </c>
      <c r="I171" s="5" t="str">
        <f>IFERROR(__xludf.DUMMYFUNCTION("GOOGLETRANSLATE(D171, ""en"", ""hi"")"),"ए) तत्परता और समन्वय")</f>
        <v>ए) तत्परता और समन्वय</v>
      </c>
    </row>
    <row r="172" ht="22.5" customHeight="1">
      <c r="A172" s="7">
        <v>171.0</v>
      </c>
      <c r="B172" s="7" t="s">
        <v>2786</v>
      </c>
      <c r="C172" s="7" t="s">
        <v>2787</v>
      </c>
      <c r="D172" s="7" t="s">
        <v>2788</v>
      </c>
      <c r="F172" s="5" t="str">
        <f>IFERROR(__xludf.DUMMYFUNCTION("GOOGLETRANSLATE(A172, ""en"", ""hi"")"),"171")</f>
        <v>171</v>
      </c>
      <c r="G172" s="5" t="str">
        <f>IFERROR(__xludf.DUMMYFUNCTION("GOOGLETRANSLATE(B172, ""en"", ""hi"")"),"टीम A के डिफेंडर को चेज़र्स ने घेर लिया है और वह तेज़ी से बच निकलने की कोशिश करता है। टीम B के चेज़र्स को क्या करना चाहिए?")</f>
        <v>टीम A के डिफेंडर को चेज़र्स ने घेर लिया है और वह तेज़ी से बच निकलने की कोशिश करता है। टीम B के चेज़र्स को क्या करना चाहिए?</v>
      </c>
      <c r="H172" s="5" t="str">
        <f>IFERROR(__xludf.DUMMYFUNCTION("GOOGLETRANSLATE(C172, ""en"", ""hi"")"),"A) सभी संभावित भागने के रास्ते बंद करें, B) गति बढ़ाएँ, C) व्यक्तिगत कौशल में सुधार करें, D) रक्षक के थकने का इंतज़ार करें")</f>
        <v>A) सभी संभावित भागने के रास्ते बंद करें, B) गति बढ़ाएँ, C) व्यक्तिगत कौशल में सुधार करें, D) रक्षक के थकने का इंतज़ार करें</v>
      </c>
      <c r="I172" s="5" t="str">
        <f>IFERROR(__xludf.DUMMYFUNCTION("GOOGLETRANSLATE(D172, ""en"", ""hi"")"),"A) सभी संभावित भागने के रास्तों को अवरुद्ध करें")</f>
        <v>A) सभी संभावित भागने के रास्तों को अवरुद्ध करें</v>
      </c>
    </row>
    <row r="173" ht="22.5" customHeight="1">
      <c r="A173" s="7">
        <v>172.0</v>
      </c>
      <c r="B173" s="7" t="s">
        <v>2789</v>
      </c>
      <c r="C173" s="7" t="s">
        <v>2790</v>
      </c>
      <c r="D173" s="7" t="s">
        <v>2791</v>
      </c>
      <c r="F173" s="5" t="str">
        <f>IFERROR(__xludf.DUMMYFUNCTION("GOOGLETRANSLATE(A173, ""en"", ""hi"")"),"172")</f>
        <v>172</v>
      </c>
      <c r="G173" s="5" t="str">
        <f>IFERROR(__xludf.DUMMYFUNCTION("GOOGLETRANSLATE(B173, ""en"", ""hi"")"),"अंतिम क्षणों में, टीम बी का चेज़र खराब टाइमिंग के कारण डिफेंडर को टैग करने से चूक जाता है। इसमें क्या सुधार होना चाहिए?")</f>
        <v>अंतिम क्षणों में, टीम बी का चेज़र खराब टाइमिंग के कारण डिफेंडर को टैग करने से चूक जाता है। इसमें क्या सुधार होना चाहिए?</v>
      </c>
      <c r="H173" s="5" t="str">
        <f>IFERROR(__xludf.DUMMYFUNCTION("GOOGLETRANSLATE(C173, ""en"", ""hi"")"),"A) समय, B) गति, C) समन्वय, D) व्यक्तिगत कौशल")</f>
        <v>A) समय, B) गति, C) समन्वय, D) व्यक्तिगत कौशल</v>
      </c>
      <c r="I173" s="5" t="str">
        <f>IFERROR(__xludf.DUMMYFUNCTION("GOOGLETRANSLATE(D173, ""en"", ""hi"")"),"ए) समय")</f>
        <v>ए) समय</v>
      </c>
    </row>
    <row r="174" ht="22.5" customHeight="1">
      <c r="A174" s="7">
        <v>173.0</v>
      </c>
      <c r="B174" s="7" t="s">
        <v>2792</v>
      </c>
      <c r="C174" s="7" t="s">
        <v>2722</v>
      </c>
      <c r="D174" s="7" t="s">
        <v>2485</v>
      </c>
      <c r="F174" s="5" t="str">
        <f>IFERROR(__xludf.DUMMYFUNCTION("GOOGLETRANSLATE(A174, ""en"", ""hi"")"),"173")</f>
        <v>173</v>
      </c>
      <c r="G174" s="5" t="str">
        <f>IFERROR(__xludf.DUMMYFUNCTION("GOOGLETRANSLATE(B174, ""en"", ""hi"")"),"टीम A का चेज़र एक डिफेंडर को टैग करता है जो बाउंड्री पर दौड़ रहा था। इस टैग का नियम क्या है?")</f>
        <v>टीम A का चेज़र एक डिफेंडर को टैग करता है जो बाउंड्री पर दौड़ रहा था। इस टैग का नियम क्या है?</v>
      </c>
      <c r="H174" s="5" t="str">
        <f>IFERROR(__xludf.DUMMYFUNCTION("GOOGLETRANSLATE(C174,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74" s="5" t="str">
        <f>IFERROR(__xludf.DUMMYFUNCTION("GOOGLETRANSLATE(D174, ""en"", ""hi"")"),"A) डिफेंडर बाहर है")</f>
        <v>A) डिफेंडर बाहर है</v>
      </c>
    </row>
    <row r="175" ht="22.5" customHeight="1">
      <c r="A175" s="7">
        <v>174.0</v>
      </c>
      <c r="B175" s="7" t="s">
        <v>2793</v>
      </c>
      <c r="C175" s="7" t="s">
        <v>2794</v>
      </c>
      <c r="D175" s="7" t="s">
        <v>2770</v>
      </c>
      <c r="F175" s="5" t="str">
        <f>IFERROR(__xludf.DUMMYFUNCTION("GOOGLETRANSLATE(A175, ""en"", ""hi"")"),"174")</f>
        <v>174</v>
      </c>
      <c r="G175" s="5" t="str">
        <f>IFERROR(__xludf.DUMMYFUNCTION("GOOGLETRANSLATE(B175, ""en"", ""hi"")"),"एक खेल के दौरान, टीम B का चेज़र गलत दूरी के कारण डिफेंडर को टैग नहीं कर पाता है। इसमें क्या सुधार किया जाना चाहिए?")</f>
        <v>एक खेल के दौरान, टीम B का चेज़र गलत दूरी के कारण डिफेंडर को टैग नहीं कर पाता है। इसमें क्या सुधार किया जाना चाहिए?</v>
      </c>
      <c r="H175" s="5" t="str">
        <f>IFERROR(__xludf.DUMMYFUNCTION("GOOGLETRANSLATE(C175, ""en"", ""hi"")"),"A) दूरी का निर्णय, B) गति, C) समय निर्धारण, D) समन्वय")</f>
        <v>A) दूरी का निर्णय, B) गति, C) समय निर्धारण, D) समन्वय</v>
      </c>
      <c r="I175" s="5" t="str">
        <f>IFERROR(__xludf.DUMMYFUNCTION("GOOGLETRANSLATE(D175, ""en"", ""hi"")"),"A) दूरी निर्णय")</f>
        <v>A) दूरी निर्णय</v>
      </c>
    </row>
    <row r="176" ht="22.5" customHeight="1">
      <c r="A176" s="7">
        <v>175.0</v>
      </c>
      <c r="B176" s="7" t="s">
        <v>2795</v>
      </c>
      <c r="C176" s="7" t="s">
        <v>2796</v>
      </c>
      <c r="D176" s="7" t="s">
        <v>2797</v>
      </c>
      <c r="F176" s="5" t="str">
        <f>IFERROR(__xludf.DUMMYFUNCTION("GOOGLETRANSLATE(A176, ""en"", ""hi"")"),"175")</f>
        <v>175</v>
      </c>
      <c r="G176" s="5" t="str">
        <f>IFERROR(__xludf.DUMMYFUNCTION("GOOGLETRANSLATE(B176, ""en"", ""hi"")"),"टीम A का एक डिफेंडर ज़िगज़ैग रनिंग पैटर्न में टैग होने से बच रहा है। टीम B के चेज़र्स को किस पर ध्यान केंद्रित करना चाहिए?")</f>
        <v>टीम A का एक डिफेंडर ज़िगज़ैग रनिंग पैटर्न में टैग होने से बच रहा है। टीम B के चेज़र्स को किस पर ध्यान केंद्रित करना चाहिए?</v>
      </c>
      <c r="H176" s="5" t="str">
        <f>IFERROR(__xludf.DUMMYFUNCTION("GOOGLETRANSLATE(C176, ""en"", ""hi"")"),"A) ज़िगज़ैग पैटर्न का पूर्वानुमान करें और उसे रोकें, B) गति बढ़ाएँ, C) बेहतर समय का उपयोग करें, D) रणनीति बदलें")</f>
        <v>A) ज़िगज़ैग पैटर्न का पूर्वानुमान करें और उसे रोकें, B) गति बढ़ाएँ, C) बेहतर समय का उपयोग करें, D) रणनीति बदलें</v>
      </c>
      <c r="I176" s="5" t="str">
        <f>IFERROR(__xludf.DUMMYFUNCTION("GOOGLETRANSLATE(D176, ""en"", ""hi"")"),"A) ज़िगज़ैग पैटर्न का पूर्वानुमान लगाना और उसे रोकना")</f>
        <v>A) ज़िगज़ैग पैटर्न का पूर्वानुमान लगाना और उसे रोकना</v>
      </c>
    </row>
    <row r="177" ht="22.5" customHeight="1">
      <c r="A177" s="7">
        <v>176.0</v>
      </c>
      <c r="B177" s="7" t="s">
        <v>2798</v>
      </c>
      <c r="C177" s="7" t="s">
        <v>2695</v>
      </c>
      <c r="D177" s="7" t="s">
        <v>2696</v>
      </c>
      <c r="F177" s="5" t="str">
        <f>IFERROR(__xludf.DUMMYFUNCTION("GOOGLETRANSLATE(A177, ""en"", ""hi"")"),"176")</f>
        <v>176</v>
      </c>
      <c r="G177" s="5" t="str">
        <f>IFERROR(__xludf.DUMMYFUNCTION("GOOGLETRANSLATE(B177, ""en"", ""hi"")"),"एक अहम मौके पर, टीम B का चेज़र एक डिफेंडर को टैग करता है, लेकिन तुरंत ही दूसरा चेज़र उसे टैग कर देता है। नतीजा क्या होता है?")</f>
        <v>एक अहम मौके पर, टीम B का चेज़र एक डिफेंडर को टैग करता है, लेकिन तुरंत ही दूसरा चेज़र उसे टैग कर देता है। नतीजा क्या होता है?</v>
      </c>
      <c r="H177" s="5" t="str">
        <f>IFERROR(__xludf.DUMMYFUNCTION("GOOGLETRANSLATE(C177, ""en"", ""hi"")"),"A) डिफेंडर बाहर है, B) दोनों चेज़र बाहर हैं, C) डिफेंडर सुरक्षित है, D) राउंड पुनः शुरू होता है")</f>
        <v>A) डिफेंडर बाहर है, B) दोनों चेज़र बाहर हैं, C) डिफेंडर सुरक्षित है, D) राउंड पुनः शुरू होता है</v>
      </c>
      <c r="I177" s="5" t="str">
        <f>IFERROR(__xludf.DUMMYFUNCTION("GOOGLETRANSLATE(D177, ""en"", ""hi"")"),"C) डिफेंडर सुरक्षित है")</f>
        <v>C) डिफेंडर सुरक्षित है</v>
      </c>
    </row>
    <row r="178" ht="22.5" customHeight="1">
      <c r="A178" s="7">
        <v>177.0</v>
      </c>
      <c r="B178" s="7" t="s">
        <v>2799</v>
      </c>
      <c r="C178" s="7" t="s">
        <v>2746</v>
      </c>
      <c r="D178" s="7" t="s">
        <v>2705</v>
      </c>
      <c r="F178" s="5" t="str">
        <f>IFERROR(__xludf.DUMMYFUNCTION("GOOGLETRANSLATE(A178, ""en"", ""hi"")"),"177")</f>
        <v>177</v>
      </c>
      <c r="G178" s="5" t="str">
        <f>IFERROR(__xludf.DUMMYFUNCTION("GOOGLETRANSLATE(B178, ""en"", ""hi"")"),"टीम A का चेज़र 'खो' की दिशा को लेकर असमंजस के कारण टैग चूक गया। सुधार के लिए किस पर ध्यान केंद्रित किया जाना चाहिए?")</f>
        <v>टीम A का चेज़र 'खो' की दिशा को लेकर असमंजस के कारण टैग चूक गया। सुधार के लिए किस पर ध्यान केंद्रित किया जाना चाहिए?</v>
      </c>
      <c r="H178" s="5" t="str">
        <f>IFERROR(__xludf.DUMMYFUNCTION("GOOGLETRANSLATE(C178, ""en"", ""hi"")"),"A) संचार, B) गति, C) समय, D) समन्वय")</f>
        <v>A) संचार, B) गति, C) समय, D) समन्वय</v>
      </c>
      <c r="I178" s="5" t="str">
        <f>IFERROR(__xludf.DUMMYFUNCTION("GOOGLETRANSLATE(D178, ""en"", ""hi"")"),"ए) संचार")</f>
        <v>ए) संचार</v>
      </c>
    </row>
    <row r="179" ht="22.5" customHeight="1">
      <c r="A179" s="7">
        <v>178.0</v>
      </c>
      <c r="B179" s="7" t="s">
        <v>2800</v>
      </c>
      <c r="C179" s="7" t="s">
        <v>2801</v>
      </c>
      <c r="D179" s="7" t="s">
        <v>2737</v>
      </c>
      <c r="F179" s="5" t="str">
        <f>IFERROR(__xludf.DUMMYFUNCTION("GOOGLETRANSLATE(A179, ""en"", ""hi"")"),"178")</f>
        <v>178</v>
      </c>
      <c r="G179" s="5" t="str">
        <f>IFERROR(__xludf.DUMMYFUNCTION("GOOGLETRANSLATE(B179, ""en"", ""hi"")"),"टीम बी का डिफेंडर गोल घेरे में दौड़कर टैग होने से बच रहा है। टीम ए के चेज़र्स के लिए प्रभावी रणनीति क्या है?")</f>
        <v>टीम बी का डिफेंडर गोल घेरे में दौड़कर टैग होने से बच रहा है। टीम ए के चेज़र्स के लिए प्रभावी रणनीति क्या है?</v>
      </c>
      <c r="H179" s="5" t="str">
        <f>IFERROR(__xludf.DUMMYFUNCTION("GOOGLETRANSLATE(C179, ""en"", ""hi"")"),"A) गोल घेरे में बच निकलने के रास्ते रोकें, B) गति बढ़ाएँ, C) समय सुधारें, D) रक्षक के थकने का इंतज़ार करें")</f>
        <v>A) गोल घेरे में बच निकलने के रास्ते रोकें, B) गति बढ़ाएँ, C) समय सुधारें, D) रक्षक के थकने का इंतज़ार करें</v>
      </c>
      <c r="I179" s="5" t="str">
        <f>IFERROR(__xludf.DUMMYFUNCTION("GOOGLETRANSLATE(D179, ""en"", ""hi"")"),"A) भागने के रास्तों को गोलाकार में अवरुद्ध करें")</f>
        <v>A) भागने के रास्तों को गोलाकार में अवरुद्ध करें</v>
      </c>
    </row>
    <row r="180" ht="22.5" customHeight="1">
      <c r="A180" s="7">
        <v>179.0</v>
      </c>
      <c r="B180" s="7" t="s">
        <v>2802</v>
      </c>
      <c r="C180" s="7" t="s">
        <v>2722</v>
      </c>
      <c r="D180" s="7" t="s">
        <v>2485</v>
      </c>
      <c r="F180" s="5" t="str">
        <f>IFERROR(__xludf.DUMMYFUNCTION("GOOGLETRANSLATE(A180, ""en"", ""hi"")"),"179")</f>
        <v>179</v>
      </c>
      <c r="G180" s="5" t="str">
        <f>IFERROR(__xludf.DUMMYFUNCTION("GOOGLETRANSLATE(B180, ""en"", ""hi"")"),"एक मैच के दौरान, टीम A का चेज़र एक डिफेंडर को टैग करता है जो बाउंड्री के पास दौड़ रहा था। इसका नियम क्या है?")</f>
        <v>एक मैच के दौरान, टीम A का चेज़र एक डिफेंडर को टैग करता है जो बाउंड्री के पास दौड़ रहा था। इसका नियम क्या है?</v>
      </c>
      <c r="H180" s="5" t="str">
        <f>IFERROR(__xludf.DUMMYFUNCTION("GOOGLETRANSLATE(C180,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80" s="5" t="str">
        <f>IFERROR(__xludf.DUMMYFUNCTION("GOOGLETRANSLATE(D180, ""en"", ""hi"")"),"A) डिफेंडर बाहर है")</f>
        <v>A) डिफेंडर बाहर है</v>
      </c>
    </row>
    <row r="181" ht="22.5" customHeight="1">
      <c r="A181" s="7">
        <v>180.0</v>
      </c>
      <c r="B181" s="7" t="s">
        <v>2803</v>
      </c>
      <c r="C181" s="7" t="s">
        <v>2777</v>
      </c>
      <c r="D181" s="7" t="s">
        <v>2752</v>
      </c>
      <c r="F181" s="5" t="str">
        <f>IFERROR(__xludf.DUMMYFUNCTION("GOOGLETRANSLATE(A181, ""en"", ""hi"")"),"180")</f>
        <v>180</v>
      </c>
      <c r="G181" s="5" t="str">
        <f>IFERROR(__xludf.DUMMYFUNCTION("GOOGLETRANSLATE(B181, ""en"", ""hi"")"),"टीम बी का चेज़र खराब पोज़िशनिंग के कारण डिफेंडर को टैग नहीं कर पा रहा है। सुधार के लिए किस पर ध्यान केंद्रित किया जाना चाहिए?")</f>
        <v>टीम बी का चेज़र खराब पोज़िशनिंग के कारण डिफेंडर को टैग नहीं कर पा रहा है। सुधार के लिए किस पर ध्यान केंद्रित किया जाना चाहिए?</v>
      </c>
      <c r="H181" s="5" t="str">
        <f>IFERROR(__xludf.DUMMYFUNCTION("GOOGLETRANSLATE(C181, ""en"", ""hi"")"),"A) स्थिति निर्धारण, B) गति, C) समय निर्धारण, D) समन्वय")</f>
        <v>A) स्थिति निर्धारण, B) गति, C) समय निर्धारण, D) समन्वय</v>
      </c>
      <c r="I181" s="5" t="str">
        <f>IFERROR(__xludf.DUMMYFUNCTION("GOOGLETRANSLATE(D181, ""en"", ""hi"")"),"ए) स्थिति निर्धारण")</f>
        <v>ए) स्थिति निर्धारण</v>
      </c>
    </row>
    <row r="182" ht="22.5" customHeight="1">
      <c r="A182" s="7">
        <v>181.0</v>
      </c>
      <c r="B182" s="7" t="s">
        <v>2804</v>
      </c>
      <c r="C182" s="7" t="s">
        <v>2805</v>
      </c>
      <c r="D182" s="7" t="s">
        <v>2743</v>
      </c>
      <c r="F182" s="5" t="str">
        <f>IFERROR(__xludf.DUMMYFUNCTION("GOOGLETRANSLATE(A182, ""en"", ""hi"")"),"181")</f>
        <v>181</v>
      </c>
      <c r="G182" s="5" t="str">
        <f>IFERROR(__xludf.DUMMYFUNCTION("GOOGLETRANSLATE(B182, ""en"", ""hi"")"),"टीम A का एक डिफेंडर टैग से बचने के लिए तेज़ मोड़ ले रहा है। टीम B के चेज़र्स को किस पर ध्यान केंद्रित करना चाहिए?")</f>
        <v>टीम A का एक डिफेंडर टैग से बचने के लिए तेज़ मोड़ ले रहा है। टीम B के चेज़र्स को किस पर ध्यान केंद्रित करना चाहिए?</v>
      </c>
      <c r="H182" s="5" t="str">
        <f>IFERROR(__xludf.DUMMYFUNCTION("GOOGLETRANSLATE(C182, ""en"", ""hi"")"),"A) तीखे मोड़ों का पूर्वानुमान करें, B) गति बढ़ाएँ, C) समय में सुधार करें, D) बेहतर रणनीति का उपयोग करें")</f>
        <v>A) तीखे मोड़ों का पूर्वानुमान करें, B) गति बढ़ाएँ, C) समय में सुधार करें, D) बेहतर रणनीति का उपयोग करें</v>
      </c>
      <c r="I182" s="5" t="str">
        <f>IFERROR(__xludf.DUMMYFUNCTION("GOOGLETRANSLATE(D182, ""en"", ""hi"")"),"A) तीखे मोड़ों का पूर्वानुमान करें")</f>
        <v>A) तीखे मोड़ों का पूर्वानुमान करें</v>
      </c>
    </row>
    <row r="183" ht="22.5" customHeight="1">
      <c r="A183" s="7">
        <v>182.0</v>
      </c>
      <c r="B183" s="7" t="s">
        <v>2806</v>
      </c>
      <c r="C183" s="7" t="s">
        <v>2746</v>
      </c>
      <c r="D183" s="7" t="s">
        <v>2705</v>
      </c>
      <c r="F183" s="5" t="str">
        <f>IFERROR(__xludf.DUMMYFUNCTION("GOOGLETRANSLATE(A183, ""en"", ""hi"")"),"182")</f>
        <v>182</v>
      </c>
      <c r="G183" s="5" t="str">
        <f>IFERROR(__xludf.DUMMYFUNCTION("GOOGLETRANSLATE(B183, ""en"", ""hi"")"),"खेल के आखिरी क्षणों में, टीम बी का चेज़र 'खो' की दिशा को लेकर उलझन में पड़ जाता है और टैग चूक जाता है। क्या सुधार किया जाना चाहिए?")</f>
        <v>खेल के आखिरी क्षणों में, टीम बी का चेज़र 'खो' की दिशा को लेकर उलझन में पड़ जाता है और टैग चूक जाता है। क्या सुधार किया जाना चाहिए?</v>
      </c>
      <c r="H183" s="5" t="str">
        <f>IFERROR(__xludf.DUMMYFUNCTION("GOOGLETRANSLATE(C183, ""en"", ""hi"")"),"A) संचार, B) गति, C) समय, D) समन्वय")</f>
        <v>A) संचार, B) गति, C) समय, D) समन्वय</v>
      </c>
      <c r="I183" s="5" t="str">
        <f>IFERROR(__xludf.DUMMYFUNCTION("GOOGLETRANSLATE(D183, ""en"", ""hi"")"),"ए) संचार")</f>
        <v>ए) संचार</v>
      </c>
    </row>
    <row r="184" ht="22.5" customHeight="1">
      <c r="A184" s="7">
        <v>183.0</v>
      </c>
      <c r="B184" s="7" t="s">
        <v>2807</v>
      </c>
      <c r="C184" s="7" t="s">
        <v>2794</v>
      </c>
      <c r="D184" s="7" t="s">
        <v>2770</v>
      </c>
      <c r="F184" s="5" t="str">
        <f>IFERROR(__xludf.DUMMYFUNCTION("GOOGLETRANSLATE(A184, ""en"", ""hi"")"),"183")</f>
        <v>183</v>
      </c>
      <c r="G184" s="5" t="str">
        <f>IFERROR(__xludf.DUMMYFUNCTION("GOOGLETRANSLATE(B184, ""en"", ""hi"")"),"टीम A का चेज़र दूरी का सही अंदाज़ा न लगा पाने के कारण डिफेंडर को टैग नहीं कर पा रहा है। सुधार के लिए मुख्य ध्यान किस पर होना चाहिए?")</f>
        <v>टीम A का चेज़र दूरी का सही अंदाज़ा न लगा पाने के कारण डिफेंडर को टैग नहीं कर पा रहा है। सुधार के लिए मुख्य ध्यान किस पर होना चाहिए?</v>
      </c>
      <c r="H184" s="5" t="str">
        <f>IFERROR(__xludf.DUMMYFUNCTION("GOOGLETRANSLATE(C184, ""en"", ""hi"")"),"A) दूरी का निर्णय, B) गति, C) समय निर्धारण, D) समन्वय")</f>
        <v>A) दूरी का निर्णय, B) गति, C) समय निर्धारण, D) समन्वय</v>
      </c>
      <c r="I184" s="5" t="str">
        <f>IFERROR(__xludf.DUMMYFUNCTION("GOOGLETRANSLATE(D184, ""en"", ""hi"")"),"A) दूरी निर्णय")</f>
        <v>A) दूरी निर्णय</v>
      </c>
    </row>
    <row r="185" ht="22.5" customHeight="1">
      <c r="A185" s="7">
        <v>184.0</v>
      </c>
      <c r="B185" s="7" t="s">
        <v>2808</v>
      </c>
      <c r="C185" s="7" t="s">
        <v>2779</v>
      </c>
      <c r="D185" s="7" t="s">
        <v>2780</v>
      </c>
      <c r="F185" s="5" t="str">
        <f>IFERROR(__xludf.DUMMYFUNCTION("GOOGLETRANSLATE(A185, ""en"", ""hi"")"),"184")</f>
        <v>184</v>
      </c>
      <c r="G185" s="5" t="str">
        <f>IFERROR(__xludf.DUMMYFUNCTION("GOOGLETRANSLATE(B185, ""en"", ""hi"")"),"खेल के एक महत्वपूर्ण क्षण में, टीम B का डिफेंडर तेज़ी से पार्श्व गति से टैग से बच रहा है। टीम A के चेज़र्स को किस पर ध्यान केंद्रित करना चाहिए?")</f>
        <v>खेल के एक महत्वपूर्ण क्षण में, टीम B का डिफेंडर तेज़ी से पार्श्व गति से टैग से बच रहा है। टीम A के चेज़र्स को किस पर ध्यान केंद्रित करना चाहिए?</v>
      </c>
      <c r="H185" s="5" t="str">
        <f>IFERROR(__xludf.DUMMYFUNCTION("GOOGLETRANSLATE(C185, ""en"", ""hi"")"),"A) पार्श्व गतिविधियों को रोकें, B) गति बढ़ाएँ, C) बेहतर समय का उपयोग करें, D) रक्षक के थकने की प्रतीक्षा करें")</f>
        <v>A) पार्श्व गतिविधियों को रोकें, B) गति बढ़ाएँ, C) बेहतर समय का उपयोग करें, D) रक्षक के थकने की प्रतीक्षा करें</v>
      </c>
      <c r="I185" s="5" t="str">
        <f>IFERROR(__xludf.DUMMYFUNCTION("GOOGLETRANSLATE(D185, ""en"", ""hi"")"),"A) पार्श्व गतिविधियों को अवरुद्ध करें")</f>
        <v>A) पार्श्व गतिविधियों को अवरुद्ध करें</v>
      </c>
    </row>
    <row r="186" ht="22.5" customHeight="1">
      <c r="A186" s="7">
        <v>185.0</v>
      </c>
      <c r="B186" s="7" t="s">
        <v>2809</v>
      </c>
      <c r="C186" s="7" t="s">
        <v>2722</v>
      </c>
      <c r="D186" s="7" t="s">
        <v>2485</v>
      </c>
      <c r="F186" s="5" t="str">
        <f>IFERROR(__xludf.DUMMYFUNCTION("GOOGLETRANSLATE(A186, ""en"", ""hi"")"),"185")</f>
        <v>185</v>
      </c>
      <c r="G186" s="5" t="str">
        <f>IFERROR(__xludf.DUMMYFUNCTION("GOOGLETRANSLATE(B186, ""en"", ""hi"")"),"टीम A के चेज़र ने एक डिफेंडर को टैग किया जो सीधे सेंटर की ओर दौड़ रहा था। क्या है नियम?")</f>
        <v>टीम A के चेज़र ने एक डिफेंडर को टैग किया जो सीधे सेंटर की ओर दौड़ रहा था। क्या है नियम?</v>
      </c>
      <c r="H186" s="5" t="str">
        <f>IFERROR(__xludf.DUMMYFUNCTION("GOOGLETRANSLATE(C186,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86" s="5" t="str">
        <f>IFERROR(__xludf.DUMMYFUNCTION("GOOGLETRANSLATE(D186, ""en"", ""hi"")"),"A) डिफेंडर बाहर है")</f>
        <v>A) डिफेंडर बाहर है</v>
      </c>
    </row>
    <row r="187" ht="22.5" customHeight="1">
      <c r="A187" s="7">
        <v>186.0</v>
      </c>
      <c r="B187" s="7" t="s">
        <v>2810</v>
      </c>
      <c r="C187" s="7" t="s">
        <v>2811</v>
      </c>
      <c r="D187" s="7" t="s">
        <v>2708</v>
      </c>
      <c r="F187" s="5" t="str">
        <f>IFERROR(__xludf.DUMMYFUNCTION("GOOGLETRANSLATE(A187, ""en"", ""hi"")"),"186")</f>
        <v>186</v>
      </c>
      <c r="G187" s="5" t="str">
        <f>IFERROR(__xludf.DUMMYFUNCTION("GOOGLETRANSLATE(B187, ""en"", ""hi"")"),"मैच के आखिरी सेकंड में, टीम बी का चेज़र खराब समन्वय के कारण डिफेंडर को टैग नहीं कर पा रहा है। सुधार के लिए किस पर ध्यान केंद्रित किया जाना चाहिए?")</f>
        <v>मैच के आखिरी सेकंड में, टीम बी का चेज़र खराब समन्वय के कारण डिफेंडर को टैग नहीं कर पा रहा है। सुधार के लिए किस पर ध्यान केंद्रित किया जाना चाहिए?</v>
      </c>
      <c r="H187" s="5" t="str">
        <f>IFERROR(__xludf.DUMMYFUNCTION("GOOGLETRANSLATE(C187, ""en"", ""hi"")"),"A) समन्वय, B) गति, C) समय, D) रणनीति")</f>
        <v>A) समन्वय, B) गति, C) समय, D) रणनीति</v>
      </c>
      <c r="I187" s="5" t="str">
        <f>IFERROR(__xludf.DUMMYFUNCTION("GOOGLETRANSLATE(D187, ""en"", ""hi"")"),"ए) समन्वय")</f>
        <v>ए) समन्वय</v>
      </c>
    </row>
    <row r="188" ht="22.5" customHeight="1">
      <c r="A188" s="7">
        <v>187.0</v>
      </c>
      <c r="B188" s="7" t="s">
        <v>2812</v>
      </c>
      <c r="C188" s="7" t="s">
        <v>2746</v>
      </c>
      <c r="D188" s="7" t="s">
        <v>2705</v>
      </c>
      <c r="F188" s="5" t="str">
        <f>IFERROR(__xludf.DUMMYFUNCTION("GOOGLETRANSLATE(A188, ""en"", ""hi"")"),"187")</f>
        <v>187</v>
      </c>
      <c r="G188" s="5" t="str">
        <f>IFERROR(__xludf.DUMMYFUNCTION("GOOGLETRANSLATE(B188, ""en"", ""hi"")"),"टीम A का चेज़र 'खो' की दिशा को लेकर असमंजस के कारण टैग चूक जाता है। इसमें क्या सुधार होना चाहिए?")</f>
        <v>टीम A का चेज़र 'खो' की दिशा को लेकर असमंजस के कारण टैग चूक जाता है। इसमें क्या सुधार होना चाहिए?</v>
      </c>
      <c r="H188" s="5" t="str">
        <f>IFERROR(__xludf.DUMMYFUNCTION("GOOGLETRANSLATE(C188, ""en"", ""hi"")"),"A) संचार, B) गति, C) समय, D) समन्वय")</f>
        <v>A) संचार, B) गति, C) समय, D) समन्वय</v>
      </c>
      <c r="I188" s="5" t="str">
        <f>IFERROR(__xludf.DUMMYFUNCTION("GOOGLETRANSLATE(D188, ""en"", ""hi"")"),"ए) संचार")</f>
        <v>ए) संचार</v>
      </c>
    </row>
    <row r="189" ht="22.5" customHeight="1">
      <c r="A189" s="7">
        <v>188.0</v>
      </c>
      <c r="B189" s="7" t="s">
        <v>2813</v>
      </c>
      <c r="C189" s="7" t="s">
        <v>2814</v>
      </c>
      <c r="D189" s="7" t="s">
        <v>2788</v>
      </c>
      <c r="F189" s="5" t="str">
        <f>IFERROR(__xludf.DUMMYFUNCTION("GOOGLETRANSLATE(A189, ""en"", ""hi"")"),"188")</f>
        <v>188</v>
      </c>
      <c r="G189" s="5" t="str">
        <f>IFERROR(__xludf.DUMMYFUNCTION("GOOGLETRANSLATE(B189, ""en"", ""hi"")"),"खेल के दौरान, टीम B का डिफेंडर टैग से बचने के लिए तेज़ चालें चल रहा है। टीम A के चेज़र्स के लिए अच्छी रणनीति क्या है?")</f>
        <v>खेल के दौरान, टीम B का डिफेंडर टैग से बचने के लिए तेज़ चालें चल रहा है। टीम A के चेज़र्स के लिए अच्छी रणनीति क्या है?</v>
      </c>
      <c r="H189" s="5" t="str">
        <f>IFERROR(__xludf.DUMMYFUNCTION("GOOGLETRANSLATE(C189, ""en"", ""hi"")"),"A) सभी संभावित भागने के रास्ते बंद कर दें, B) गति बढ़ा दें, C) समय सुधार लें, D) रक्षक के थक जाने का इंतजार करें")</f>
        <v>A) सभी संभावित भागने के रास्ते बंद कर दें, B) गति बढ़ा दें, C) समय सुधार लें, D) रक्षक के थक जाने का इंतजार करें</v>
      </c>
      <c r="I189" s="5" t="str">
        <f>IFERROR(__xludf.DUMMYFUNCTION("GOOGLETRANSLATE(D189, ""en"", ""hi"")"),"A) सभी संभावित भागने के रास्तों को अवरुद्ध करें")</f>
        <v>A) सभी संभावित भागने के रास्तों को अवरुद्ध करें</v>
      </c>
    </row>
    <row r="190" ht="22.5" customHeight="1">
      <c r="A190" s="7">
        <v>189.0</v>
      </c>
      <c r="B190" s="7" t="s">
        <v>2815</v>
      </c>
      <c r="C190" s="7" t="s">
        <v>2816</v>
      </c>
      <c r="D190" s="7" t="s">
        <v>2740</v>
      </c>
      <c r="F190" s="5" t="str">
        <f>IFERROR(__xludf.DUMMYFUNCTION("GOOGLETRANSLATE(A190, ""en"", ""hi"")"),"189")</f>
        <v>189</v>
      </c>
      <c r="G190" s="5" t="str">
        <f>IFERROR(__xludf.DUMMYFUNCTION("GOOGLETRANSLATE(B190, ""en"", ""hi"")"),"टीम बी का चेज़र 'खो' देता है, लेकिन अगला चेज़र प्रतिक्रिया देने में बहुत धीमा होता है। टीम बी के सुधार पर किस पर ध्यान केंद्रित किया जाना चाहिए?")</f>
        <v>टीम बी का चेज़र 'खो' देता है, लेकिन अगला चेज़र प्रतिक्रिया देने में बहुत धीमा होता है। टीम बी के सुधार पर किस पर ध्यान केंद्रित किया जाना चाहिए?</v>
      </c>
      <c r="H190" s="5" t="str">
        <f>IFERROR(__xludf.DUMMYFUNCTION("GOOGLETRANSLATE(C190, ""en"", ""hi"")"),"A) प्रतिक्रिया समय, B) गति, C) समन्वय, D) व्यक्तिगत कौशल")</f>
        <v>A) प्रतिक्रिया समय, B) गति, C) समन्वय, D) व्यक्तिगत कौशल</v>
      </c>
      <c r="I190" s="5" t="str">
        <f>IFERROR(__xludf.DUMMYFUNCTION("GOOGLETRANSLATE(D190, ""en"", ""hi"")"),"A) प्रतिक्रिया समय")</f>
        <v>A) प्रतिक्रिया समय</v>
      </c>
    </row>
    <row r="191" ht="22.5" customHeight="1">
      <c r="A191" s="7">
        <v>190.0</v>
      </c>
      <c r="B191" s="7" t="s">
        <v>2817</v>
      </c>
      <c r="C191" s="7" t="s">
        <v>2818</v>
      </c>
      <c r="D191" s="7" t="s">
        <v>2737</v>
      </c>
      <c r="F191" s="5" t="str">
        <f>IFERROR(__xludf.DUMMYFUNCTION("GOOGLETRANSLATE(A191, ""en"", ""hi"")"),"190")</f>
        <v>190</v>
      </c>
      <c r="G191" s="5" t="str">
        <f>IFERROR(__xludf.DUMMYFUNCTION("GOOGLETRANSLATE(B191, ""en"", ""hi"")"),"टीम A का एक डिफेंडर टैग से बचने के लिए गोल घेरे में दौड़ रहा है। टीम B के चेज़र्स के लिए प्रभावी रणनीति क्या है?")</f>
        <v>टीम A का एक डिफेंडर टैग से बचने के लिए गोल घेरे में दौड़ रहा है। टीम B के चेज़र्स के लिए प्रभावी रणनीति क्या है?</v>
      </c>
      <c r="H191" s="5" t="str">
        <f>IFERROR(__xludf.DUMMYFUNCTION("GOOGLETRANSLATE(C191, ""en"", ""hi"")"),"A) गोल घेरे में बच निकलने के रास्ते बंद करें, B) गति बढ़ाएँ, C) बेहतर समय का उपयोग करें, D) रणनीति बदलें")</f>
        <v>A) गोल घेरे में बच निकलने के रास्ते बंद करें, B) गति बढ़ाएँ, C) बेहतर समय का उपयोग करें, D) रणनीति बदलें</v>
      </c>
      <c r="I191" s="5" t="str">
        <f>IFERROR(__xludf.DUMMYFUNCTION("GOOGLETRANSLATE(D191, ""en"", ""hi"")"),"A) भागने के रास्तों को गोलाकार में अवरुद्ध करें")</f>
        <v>A) भागने के रास्तों को गोलाकार में अवरुद्ध करें</v>
      </c>
    </row>
    <row r="192" ht="22.5" customHeight="1">
      <c r="A192" s="7">
        <v>191.0</v>
      </c>
      <c r="B192" s="7" t="s">
        <v>2819</v>
      </c>
      <c r="C192" s="7" t="s">
        <v>2722</v>
      </c>
      <c r="D192" s="7" t="s">
        <v>2485</v>
      </c>
      <c r="F192" s="5" t="str">
        <f>IFERROR(__xludf.DUMMYFUNCTION("GOOGLETRANSLATE(A192, ""en"", ""hi"")"),"191")</f>
        <v>191</v>
      </c>
      <c r="G192" s="5" t="str">
        <f>IFERROR(__xludf.DUMMYFUNCTION("GOOGLETRANSLATE(B192, ""en"", ""hi"")"),"आखिरी क्षणों में, टीम A का चेज़र एक डिफेंडर को टैग करता है जो बाउंड्री के पास दौड़ रहा था। क्या है नियम?")</f>
        <v>आखिरी क्षणों में, टीम A का चेज़र एक डिफेंडर को टैग करता है जो बाउंड्री के पास दौड़ रहा था। क्या है नियम?</v>
      </c>
      <c r="H192" s="5" t="str">
        <f>IFERROR(__xludf.DUMMYFUNCTION("GOOGLETRANSLATE(C192,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92" s="5" t="str">
        <f>IFERROR(__xludf.DUMMYFUNCTION("GOOGLETRANSLATE(D192, ""en"", ""hi"")"),"A) डिफेंडर बाहर है")</f>
        <v>A) डिफेंडर बाहर है</v>
      </c>
    </row>
    <row r="193" ht="22.5" customHeight="1">
      <c r="A193" s="7">
        <v>192.0</v>
      </c>
      <c r="B193" s="7" t="s">
        <v>2820</v>
      </c>
      <c r="C193" s="7" t="s">
        <v>2794</v>
      </c>
      <c r="D193" s="7" t="s">
        <v>2770</v>
      </c>
      <c r="F193" s="5" t="str">
        <f>IFERROR(__xludf.DUMMYFUNCTION("GOOGLETRANSLATE(A193, ""en"", ""hi"")"),"192")</f>
        <v>192</v>
      </c>
      <c r="G193" s="5" t="str">
        <f>IFERROR(__xludf.DUMMYFUNCTION("GOOGLETRANSLATE(B193, ""en"", ""hi"")"),"टीम बी का चेज़र दूरी का सही अंदाज़ा न लगा पाने के कारण डिफेंडर को टैग करने से चूक जाता है। इसमें क्या सुधार होना चाहिए?")</f>
        <v>टीम बी का चेज़र दूरी का सही अंदाज़ा न लगा पाने के कारण डिफेंडर को टैग करने से चूक जाता है। इसमें क्या सुधार होना चाहिए?</v>
      </c>
      <c r="H193" s="5" t="str">
        <f>IFERROR(__xludf.DUMMYFUNCTION("GOOGLETRANSLATE(C193, ""en"", ""hi"")"),"A) दूरी का निर्णय, B) गति, C) समय निर्धारण, D) समन्वय")</f>
        <v>A) दूरी का निर्णय, B) गति, C) समय निर्धारण, D) समन्वय</v>
      </c>
      <c r="I193" s="5" t="str">
        <f>IFERROR(__xludf.DUMMYFUNCTION("GOOGLETRANSLATE(D193, ""en"", ""hi"")"),"A) दूरी निर्णय")</f>
        <v>A) दूरी निर्णय</v>
      </c>
    </row>
    <row r="194" ht="22.5" customHeight="1">
      <c r="A194" s="7">
        <v>193.0</v>
      </c>
      <c r="B194" s="7" t="s">
        <v>2821</v>
      </c>
      <c r="C194" s="7" t="s">
        <v>2822</v>
      </c>
      <c r="D194" s="7" t="s">
        <v>2823</v>
      </c>
      <c r="F194" s="5" t="str">
        <f>IFERROR(__xludf.DUMMYFUNCTION("GOOGLETRANSLATE(A194, ""en"", ""hi"")"),"193")</f>
        <v>193</v>
      </c>
      <c r="G194" s="5" t="str">
        <f>IFERROR(__xludf.DUMMYFUNCTION("GOOGLETRANSLATE(B194, ""en"", ""hi"")"),"टीम ए का एक डिफेंडर तेज़ ज़िगज़ैग पैटर्न में दौड़कर टैग से बच रहा है। टीम बी के चेज़र्स को किस पर ध्यान केंद्रित करना चाहिए?")</f>
        <v>टीम ए का एक डिफेंडर तेज़ ज़िगज़ैग पैटर्न में दौड़कर टैग से बच रहा है। टीम बी के चेज़र्स को किस पर ध्यान केंद्रित करना चाहिए?</v>
      </c>
      <c r="H194" s="5" t="str">
        <f>IFERROR(__xludf.DUMMYFUNCTION("GOOGLETRANSLATE(C194, ""en"", ""hi"")"),"A) ज़िगज़ैग पैटर्न को रोकें, B) गति बढ़ाएँ, C) बेहतर टाइमिंग का उपयोग करें, D) डिफेंडर के थकने का इंतज़ार करें")</f>
        <v>A) ज़िगज़ैग पैटर्न को रोकें, B) गति बढ़ाएँ, C) बेहतर टाइमिंग का उपयोग करें, D) डिफेंडर के थकने का इंतज़ार करें</v>
      </c>
      <c r="I194" s="5" t="str">
        <f>IFERROR(__xludf.DUMMYFUNCTION("GOOGLETRANSLATE(D194, ""en"", ""hi"")"),"A) ब्लॉक ज़िगज़ैग पैटर्न")</f>
        <v>A) ब्लॉक ज़िगज़ैग पैटर्न</v>
      </c>
    </row>
    <row r="195" ht="22.5" customHeight="1">
      <c r="A195" s="7">
        <v>194.0</v>
      </c>
      <c r="B195" s="7" t="s">
        <v>2824</v>
      </c>
      <c r="C195" s="7" t="s">
        <v>2775</v>
      </c>
      <c r="D195" s="7" t="s">
        <v>2458</v>
      </c>
      <c r="F195" s="5" t="str">
        <f>IFERROR(__xludf.DUMMYFUNCTION("GOOGLETRANSLATE(A195, ""en"", ""hi"")"),"194")</f>
        <v>194</v>
      </c>
      <c r="G195" s="5" t="str">
        <f>IFERROR(__xludf.DUMMYFUNCTION("GOOGLETRANSLATE(B195, ""en"", ""hi"")"),"एक महत्वपूर्ण क्षण में, टीम B का चेज़र एक डिफेंडर को टैग करता है, लेकिन तुरंत ही दूसरा चेज़र उसे टैग कर देता है। नतीजा क्या होता है?")</f>
        <v>एक महत्वपूर्ण क्षण में, टीम B का चेज़र एक डिफेंडर को टैग करता है, लेकिन तुरंत ही दूसरा चेज़र उसे टैग कर देता है। नतीजा क्या होता है?</v>
      </c>
      <c r="H195" s="5" t="str">
        <f>IFERROR(__xludf.DUMMYFUNCTION("GOOGLETRANSLATE(C195, ""en"", ""hi"")"),"A) डिफेंडर सुरक्षित है, B) दोनों चेज़र बाहर हैं, C) डिफेंडर बाहर है, D) राउंड पुनः शुरू होता है")</f>
        <v>A) डिफेंडर सुरक्षित है, B) दोनों चेज़र बाहर हैं, C) डिफेंडर बाहर है, D) राउंड पुनः शुरू होता है</v>
      </c>
      <c r="I195" s="5" t="str">
        <f>IFERROR(__xludf.DUMMYFUNCTION("GOOGLETRANSLATE(D195, ""en"", ""hi"")"),"A) डिफेंडर सुरक्षित है")</f>
        <v>A) डिफेंडर सुरक्षित है</v>
      </c>
    </row>
    <row r="196" ht="22.5" customHeight="1">
      <c r="A196" s="7">
        <v>195.0</v>
      </c>
      <c r="B196" s="7" t="s">
        <v>2825</v>
      </c>
      <c r="C196" s="7" t="s">
        <v>2811</v>
      </c>
      <c r="D196" s="7" t="s">
        <v>2708</v>
      </c>
      <c r="F196" s="5" t="str">
        <f>IFERROR(__xludf.DUMMYFUNCTION("GOOGLETRANSLATE(A196, ""en"", ""hi"")"),"195")</f>
        <v>195</v>
      </c>
      <c r="G196" s="5" t="str">
        <f>IFERROR(__xludf.DUMMYFUNCTION("GOOGLETRANSLATE(B196, ""en"", ""hi"")"),"टीम A का चेज़र दूसरे चेज़रों के साथ खराब समन्वय के कारण डिफेंडर को टैग नहीं कर पा रहा है। इसमें क्या सुधार किया जाना चाहिए?")</f>
        <v>टीम A का चेज़र दूसरे चेज़रों के साथ खराब समन्वय के कारण डिफेंडर को टैग नहीं कर पा रहा है। इसमें क्या सुधार किया जाना चाहिए?</v>
      </c>
      <c r="H196" s="5" t="str">
        <f>IFERROR(__xludf.DUMMYFUNCTION("GOOGLETRANSLATE(C196, ""en"", ""hi"")"),"A) समन्वय, B) गति, C) समय, D) रणनीति")</f>
        <v>A) समन्वय, B) गति, C) समय, D) रणनीति</v>
      </c>
      <c r="I196" s="5" t="str">
        <f>IFERROR(__xludf.DUMMYFUNCTION("GOOGLETRANSLATE(D196, ""en"", ""hi"")"),"ए) समन्वय")</f>
        <v>ए) समन्वय</v>
      </c>
    </row>
    <row r="197" ht="22.5" customHeight="1">
      <c r="A197" s="7">
        <v>196.0</v>
      </c>
      <c r="B197" s="7" t="s">
        <v>2826</v>
      </c>
      <c r="C197" s="7" t="s">
        <v>2710</v>
      </c>
      <c r="D197" s="7" t="s">
        <v>2711</v>
      </c>
      <c r="F197" s="5" t="str">
        <f>IFERROR(__xludf.DUMMYFUNCTION("GOOGLETRANSLATE(A197, ""en"", ""hi"")"),"196")</f>
        <v>196</v>
      </c>
      <c r="G197" s="5" t="str">
        <f>IFERROR(__xludf.DUMMYFUNCTION("GOOGLETRANSLATE(B197, ""en"", ""hi"")"),"टीम बी का एक डिफेंडर बाउंड्री पर दौड़कर टैग होने से बच रहा है। टीम ए के चेज़र्स के लिए अच्छी रणनीति क्या है?")</f>
        <v>टीम बी का एक डिफेंडर बाउंड्री पर दौड़कर टैग होने से बच रहा है। टीम ए के चेज़र्स के लिए अच्छी रणनीति क्या है?</v>
      </c>
      <c r="H197" s="5" t="str">
        <f>IFERROR(__xludf.DUMMYFUNCTION("GOOGLETRANSLATE(C197, ""en"", ""hi"")"),"A) सीमा पर भागने के रास्ते बंद करें, B) गति बढ़ाएँ, C) बेहतर समय का उपयोग करें, D) लेन बदलें")</f>
        <v>A) सीमा पर भागने के रास्ते बंद करें, B) गति बढ़ाएँ, C) बेहतर समय का उपयोग करें, D) लेन बदलें</v>
      </c>
      <c r="I197" s="5" t="str">
        <f>IFERROR(__xludf.DUMMYFUNCTION("GOOGLETRANSLATE(D197, ""en"", ""hi"")"),"A) सीमा के साथ भागने के रास्तों को अवरुद्ध करें")</f>
        <v>A) सीमा के साथ भागने के रास्तों को अवरुद्ध करें</v>
      </c>
    </row>
    <row r="198" ht="22.5" customHeight="1">
      <c r="A198" s="7">
        <v>197.0</v>
      </c>
      <c r="B198" s="7" t="s">
        <v>2827</v>
      </c>
      <c r="C198" s="7" t="s">
        <v>2722</v>
      </c>
      <c r="D198" s="7" t="s">
        <v>2485</v>
      </c>
      <c r="F198" s="5" t="str">
        <f>IFERROR(__xludf.DUMMYFUNCTION("GOOGLETRANSLATE(A198, ""en"", ""hi"")"),"197")</f>
        <v>197</v>
      </c>
      <c r="G198" s="5" t="str">
        <f>IFERROR(__xludf.DUMMYFUNCTION("GOOGLETRANSLATE(B198, ""en"", ""hi"")"),"खेल के दौरान, टीम A का चेज़र एक डिफेंडर को टैग करता है जो गोल-गोल दौड़ रहा है। नियम क्या है?")</f>
        <v>खेल के दौरान, टीम A का चेज़र एक डिफेंडर को टैग करता है जो गोल-गोल दौड़ रहा है। नियम क्या है?</v>
      </c>
      <c r="H198" s="5" t="str">
        <f>IFERROR(__xludf.DUMMYFUNCTION("GOOGLETRANSLATE(C198,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198" s="5" t="str">
        <f>IFERROR(__xludf.DUMMYFUNCTION("GOOGLETRANSLATE(D198, ""en"", ""hi"")"),"A) डिफेंडर बाहर है")</f>
        <v>A) डिफेंडर बाहर है</v>
      </c>
    </row>
    <row r="199" ht="22.5" customHeight="1">
      <c r="A199" s="7">
        <v>198.0</v>
      </c>
      <c r="B199" s="7" t="s">
        <v>2828</v>
      </c>
      <c r="C199" s="7" t="s">
        <v>2794</v>
      </c>
      <c r="D199" s="7" t="s">
        <v>2770</v>
      </c>
      <c r="F199" s="5" t="str">
        <f>IFERROR(__xludf.DUMMYFUNCTION("GOOGLETRANSLATE(A199, ""en"", ""hi"")"),"198")</f>
        <v>198</v>
      </c>
      <c r="G199" s="5" t="str">
        <f>IFERROR(__xludf.DUMMYFUNCTION("GOOGLETRANSLATE(B199, ""en"", ""hi"")"),"टीम बी का चेज़र गलत दूरी के कारण डिफेंडर को टैग नहीं कर पा रहा है। सुधार के लिए किस पर ध्यान केंद्रित किया जाना चाहिए?")</f>
        <v>टीम बी का चेज़र गलत दूरी के कारण डिफेंडर को टैग नहीं कर पा रहा है। सुधार के लिए किस पर ध्यान केंद्रित किया जाना चाहिए?</v>
      </c>
      <c r="H199" s="5" t="str">
        <f>IFERROR(__xludf.DUMMYFUNCTION("GOOGLETRANSLATE(C199, ""en"", ""hi"")"),"A) दूरी का निर्णय, B) गति, C) समय निर्धारण, D) समन्वय")</f>
        <v>A) दूरी का निर्णय, B) गति, C) समय निर्धारण, D) समन्वय</v>
      </c>
      <c r="I199" s="5" t="str">
        <f>IFERROR(__xludf.DUMMYFUNCTION("GOOGLETRANSLATE(D199, ""en"", ""hi"")"),"A) दूरी निर्णय")</f>
        <v>A) दूरी निर्णय</v>
      </c>
    </row>
    <row r="200" ht="22.5" customHeight="1">
      <c r="A200" s="7">
        <v>199.0</v>
      </c>
      <c r="B200" s="7" t="s">
        <v>2778</v>
      </c>
      <c r="C200" s="7" t="s">
        <v>2779</v>
      </c>
      <c r="D200" s="7" t="s">
        <v>2780</v>
      </c>
      <c r="F200" s="5" t="str">
        <f>IFERROR(__xludf.DUMMYFUNCTION("GOOGLETRANSLATE(A200, ""en"", ""hi"")"),"199")</f>
        <v>199</v>
      </c>
      <c r="G200" s="5" t="str">
        <f>IFERROR(__xludf.DUMMYFUNCTION("GOOGLETRANSLATE(B200, ""en"", ""hi"")"),"टीम A का एक डिफेंडर टैग से बचने के लिए तेज़ पार्श्व गति का उपयोग कर रहा है। टीम B के चेज़र्स के लिए एक अच्छी रणनीति क्या है?")</f>
        <v>टीम A का एक डिफेंडर टैग से बचने के लिए तेज़ पार्श्व गति का उपयोग कर रहा है। टीम B के चेज़र्स के लिए एक अच्छी रणनीति क्या है?</v>
      </c>
      <c r="H200" s="5" t="str">
        <f>IFERROR(__xludf.DUMMYFUNCTION("GOOGLETRANSLATE(C200, ""en"", ""hi"")"),"A) पार्श्व गतिविधियों को रोकें, B) गति बढ़ाएँ, C) बेहतर समय का उपयोग करें, D) रक्षक के थकने की प्रतीक्षा करें")</f>
        <v>A) पार्श्व गतिविधियों को रोकें, B) गति बढ़ाएँ, C) बेहतर समय का उपयोग करें, D) रक्षक के थकने की प्रतीक्षा करें</v>
      </c>
      <c r="I200" s="5" t="str">
        <f>IFERROR(__xludf.DUMMYFUNCTION("GOOGLETRANSLATE(D200, ""en"", ""hi"")"),"A) पार्श्व गतिविधियों को अवरुद्ध करें")</f>
        <v>A) पार्श्व गतिविधियों को अवरुद्ध करें</v>
      </c>
    </row>
    <row r="201" ht="22.5" customHeight="1">
      <c r="A201" s="7">
        <v>200.0</v>
      </c>
      <c r="B201" s="7" t="s">
        <v>2829</v>
      </c>
      <c r="C201" s="7" t="s">
        <v>2790</v>
      </c>
      <c r="D201" s="7" t="s">
        <v>2791</v>
      </c>
      <c r="F201" s="5" t="str">
        <f>IFERROR(__xludf.DUMMYFUNCTION("GOOGLETRANSLATE(A201, ""en"", ""hi"")"),"200")</f>
        <v>200</v>
      </c>
      <c r="G201" s="5" t="str">
        <f>IFERROR(__xludf.DUMMYFUNCTION("GOOGLETRANSLATE(B201, ""en"", ""hi"")"),"खेल के आखिरी सेकंड में, टीम B का चेज़र खराब टाइमिंग के कारण डिफेंडर को टैग करने से चूक जाता है। इसमें क्या सुधार होना चाहिए?")</f>
        <v>खेल के आखिरी सेकंड में, टीम B का चेज़र खराब टाइमिंग के कारण डिफेंडर को टैग करने से चूक जाता है। इसमें क्या सुधार होना चाहिए?</v>
      </c>
      <c r="H201" s="5" t="str">
        <f>IFERROR(__xludf.DUMMYFUNCTION("GOOGLETRANSLATE(C201, ""en"", ""hi"")"),"A) समय, B) गति, C) समन्वय, D) व्यक्तिगत कौशल")</f>
        <v>A) समय, B) गति, C) समन्वय, D) व्यक्तिगत कौशल</v>
      </c>
      <c r="I201" s="5" t="str">
        <f>IFERROR(__xludf.DUMMYFUNCTION("GOOGLETRANSLATE(D201, ""en"", ""hi"")"),"ए) समय")</f>
        <v>ए) समय</v>
      </c>
    </row>
    <row r="202" ht="22.5" customHeight="1">
      <c r="A202" s="7">
        <v>201.0</v>
      </c>
      <c r="B202" s="7" t="s">
        <v>2830</v>
      </c>
      <c r="C202" s="7" t="s">
        <v>2746</v>
      </c>
      <c r="D202" s="7" t="s">
        <v>2705</v>
      </c>
      <c r="F202" s="5" t="str">
        <f>IFERROR(__xludf.DUMMYFUNCTION("GOOGLETRANSLATE(A202, ""en"", ""hi"")"),"201")</f>
        <v>201</v>
      </c>
      <c r="G202" s="5" t="str">
        <f>IFERROR(__xludf.DUMMYFUNCTION("GOOGLETRANSLATE(B202, ""en"", ""hi"")"),"टीम ए का चेज़र 'खो' की दिशा को लेकर उलझन में है और एक डिफेंडर को टैग करने से चूक जाता है। सुधार के लिए मुख्य ध्यान किस पर होना चाहिए?")</f>
        <v>टीम ए का चेज़र 'खो' की दिशा को लेकर उलझन में है और एक डिफेंडर को टैग करने से चूक जाता है। सुधार के लिए मुख्य ध्यान किस पर होना चाहिए?</v>
      </c>
      <c r="H202" s="5" t="str">
        <f>IFERROR(__xludf.DUMMYFUNCTION("GOOGLETRANSLATE(C202, ""en"", ""hi"")"),"A) संचार, B) गति, C) समय, D) समन्वय")</f>
        <v>A) संचार, B) गति, C) समय, D) समन्वय</v>
      </c>
      <c r="I202" s="5" t="str">
        <f>IFERROR(__xludf.DUMMYFUNCTION("GOOGLETRANSLATE(D202, ""en"", ""hi"")"),"ए) संचार")</f>
        <v>ए) संचार</v>
      </c>
    </row>
    <row r="203" ht="22.5" customHeight="1">
      <c r="A203" s="7">
        <v>202.0</v>
      </c>
      <c r="B203" s="7" t="s">
        <v>2831</v>
      </c>
      <c r="C203" s="7" t="s">
        <v>2832</v>
      </c>
      <c r="D203" s="7" t="s">
        <v>2743</v>
      </c>
      <c r="F203" s="5" t="str">
        <f>IFERROR(__xludf.DUMMYFUNCTION("GOOGLETRANSLATE(A203, ""en"", ""hi"")"),"202")</f>
        <v>202</v>
      </c>
      <c r="G203" s="5" t="str">
        <f>IFERROR(__xludf.DUMMYFUNCTION("GOOGLETRANSLATE(B203, ""en"", ""hi"")"),"टीम बी का चेज़र एक डिफेंडर को टैग नहीं कर पा रहा है जो तेज़ी से टर्न ले रहा है। सुधार के लिए किस पर ध्यान केंद्रित किया जाना चाहिए?")</f>
        <v>टीम बी का चेज़र एक डिफेंडर को टैग नहीं कर पा रहा है जो तेज़ी से टर्न ले रहा है। सुधार के लिए किस पर ध्यान केंद्रित किया जाना चाहिए?</v>
      </c>
      <c r="H203" s="5" t="str">
        <f>IFERROR(__xludf.DUMMYFUNCTION("GOOGLETRANSLATE(C203, ""en"", ""hi"")"),"A) तीखे मोड़ों की आशंका करें, B) गति बढ़ाएँ, C) बेहतर समय का उपयोग करें, D) रणनीति बदलें")</f>
        <v>A) तीखे मोड़ों की आशंका करें, B) गति बढ़ाएँ, C) बेहतर समय का उपयोग करें, D) रणनीति बदलें</v>
      </c>
      <c r="I203" s="5" t="str">
        <f>IFERROR(__xludf.DUMMYFUNCTION("GOOGLETRANSLATE(D203, ""en"", ""hi"")"),"A) तीखे मोड़ों का पूर्वानुमान करें")</f>
        <v>A) तीखे मोड़ों का पूर्वानुमान करें</v>
      </c>
    </row>
    <row r="204" ht="22.5" customHeight="1">
      <c r="A204" s="7">
        <v>203.0</v>
      </c>
      <c r="B204" s="7" t="s">
        <v>2833</v>
      </c>
      <c r="C204" s="7" t="s">
        <v>2722</v>
      </c>
      <c r="D204" s="7" t="s">
        <v>2485</v>
      </c>
      <c r="F204" s="5" t="str">
        <f>IFERROR(__xludf.DUMMYFUNCTION("GOOGLETRANSLATE(A204, ""en"", ""hi"")"),"203")</f>
        <v>203</v>
      </c>
      <c r="G204" s="5" t="str">
        <f>IFERROR(__xludf.DUMMYFUNCTION("GOOGLETRANSLATE(B204, ""en"", ""hi"")"),"खेल के एक अहम मोड़ पर, टीम A का चेज़र बाउंड्री पर दौड़ रहे एक डिफेंडर को टैग करता है। सही नियम क्या है?")</f>
        <v>खेल के एक अहम मोड़ पर, टीम A का चेज़र बाउंड्री पर दौड़ रहे एक डिफेंडर को टैग करता है। सही नियम क्या है?</v>
      </c>
      <c r="H204" s="5" t="str">
        <f>IFERROR(__xludf.DUMMYFUNCTION("GOOGLETRANSLATE(C204,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04" s="5" t="str">
        <f>IFERROR(__xludf.DUMMYFUNCTION("GOOGLETRANSLATE(D204, ""en"", ""hi"")"),"A) डिफेंडर बाहर है")</f>
        <v>A) डिफेंडर बाहर है</v>
      </c>
    </row>
    <row r="205" ht="22.5" customHeight="1">
      <c r="A205" s="7">
        <v>204.0</v>
      </c>
      <c r="B205" s="7" t="s">
        <v>2834</v>
      </c>
      <c r="C205" s="7" t="s">
        <v>2746</v>
      </c>
      <c r="D205" s="7" t="s">
        <v>2705</v>
      </c>
      <c r="F205" s="5" t="str">
        <f>IFERROR(__xludf.DUMMYFUNCTION("GOOGLETRANSLATE(A205, ""en"", ""hi"")"),"204")</f>
        <v>204</v>
      </c>
      <c r="G205" s="5" t="str">
        <f>IFERROR(__xludf.DUMMYFUNCTION("GOOGLETRANSLATE(B205, ""en"", ""hi"")"),"टीम बी का चेज़र 'खो' की दिशा को लेकर असमंजस के कारण टैग चूक जाता है। इसमें क्या सुधार होना चाहिए?")</f>
        <v>टीम बी का चेज़र 'खो' की दिशा को लेकर असमंजस के कारण टैग चूक जाता है। इसमें क्या सुधार होना चाहिए?</v>
      </c>
      <c r="H205" s="5" t="str">
        <f>IFERROR(__xludf.DUMMYFUNCTION("GOOGLETRANSLATE(C205, ""en"", ""hi"")"),"A) संचार, B) गति, C) समय, D) समन्वय")</f>
        <v>A) संचार, B) गति, C) समय, D) समन्वय</v>
      </c>
      <c r="I205" s="5" t="str">
        <f>IFERROR(__xludf.DUMMYFUNCTION("GOOGLETRANSLATE(D205, ""en"", ""hi"")"),"ए) संचार")</f>
        <v>ए) संचार</v>
      </c>
    </row>
    <row r="206" ht="22.5" customHeight="1">
      <c r="A206" s="7">
        <v>205.0</v>
      </c>
      <c r="B206" s="7" t="s">
        <v>2835</v>
      </c>
      <c r="C206" s="7" t="s">
        <v>2801</v>
      </c>
      <c r="D206" s="7" t="s">
        <v>2737</v>
      </c>
      <c r="F206" s="5" t="str">
        <f>IFERROR(__xludf.DUMMYFUNCTION("GOOGLETRANSLATE(A206, ""en"", ""hi"")"),"205")</f>
        <v>205</v>
      </c>
      <c r="G206" s="5" t="str">
        <f>IFERROR(__xludf.DUMMYFUNCTION("GOOGLETRANSLATE(B206, ""en"", ""hi"")"),"टीम A का एक डिफेंडर गोल-गोल दौड़कर टैग होने से बच रहा है। टीम B के चेज़र्स के लिए अच्छी रणनीति क्या है?")</f>
        <v>टीम A का एक डिफेंडर गोल-गोल दौड़कर टैग होने से बच रहा है। टीम B के चेज़र्स के लिए अच्छी रणनीति क्या है?</v>
      </c>
      <c r="H206" s="5" t="str">
        <f>IFERROR(__xludf.DUMMYFUNCTION("GOOGLETRANSLATE(C206, ""en"", ""hi"")"),"A) गोल घेरे में बच निकलने के रास्ते रोकें, B) गति बढ़ाएँ, C) समय सुधारें, D) रक्षक के थकने का इंतज़ार करें")</f>
        <v>A) गोल घेरे में बच निकलने के रास्ते रोकें, B) गति बढ़ाएँ, C) समय सुधारें, D) रक्षक के थकने का इंतज़ार करें</v>
      </c>
      <c r="I206" s="5" t="str">
        <f>IFERROR(__xludf.DUMMYFUNCTION("GOOGLETRANSLATE(D206, ""en"", ""hi"")"),"A) भागने के रास्तों को गोलाकार में अवरुद्ध करें")</f>
        <v>A) भागने के रास्तों को गोलाकार में अवरुद्ध करें</v>
      </c>
    </row>
    <row r="207" ht="22.5" customHeight="1">
      <c r="A207" s="7">
        <v>206.0</v>
      </c>
      <c r="B207" s="7" t="s">
        <v>2836</v>
      </c>
      <c r="C207" s="7" t="s">
        <v>2722</v>
      </c>
      <c r="D207" s="7" t="s">
        <v>2485</v>
      </c>
      <c r="F207" s="5" t="str">
        <f>IFERROR(__xludf.DUMMYFUNCTION("GOOGLETRANSLATE(A207, ""en"", ""hi"")"),"206")</f>
        <v>206</v>
      </c>
      <c r="G207" s="5" t="str">
        <f>IFERROR(__xludf.DUMMYFUNCTION("GOOGLETRANSLATE(B207, ""en"", ""hi"")"),"एक मैच के दौरान, टीम A का चेज़र एक डिफेंडर को टैग करता है जो तेज़ी से ज़िगज़ैग पैटर्न में दौड़ रहा था। इसका नियम क्या है?")</f>
        <v>एक मैच के दौरान, टीम A का चेज़र एक डिफेंडर को टैग करता है जो तेज़ी से ज़िगज़ैग पैटर्न में दौड़ रहा था। इसका नियम क्या है?</v>
      </c>
      <c r="H207" s="5" t="str">
        <f>IFERROR(__xludf.DUMMYFUNCTION("GOOGLETRANSLATE(C207,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07" s="5" t="str">
        <f>IFERROR(__xludf.DUMMYFUNCTION("GOOGLETRANSLATE(D207, ""en"", ""hi"")"),"A) डिफेंडर बाहर है")</f>
        <v>A) डिफेंडर बाहर है</v>
      </c>
    </row>
    <row r="208" ht="22.5" customHeight="1">
      <c r="A208" s="7">
        <v>207.0</v>
      </c>
      <c r="B208" s="7" t="s">
        <v>2837</v>
      </c>
      <c r="C208" s="7" t="s">
        <v>2794</v>
      </c>
      <c r="D208" s="7" t="s">
        <v>2770</v>
      </c>
      <c r="F208" s="5" t="str">
        <f>IFERROR(__xludf.DUMMYFUNCTION("GOOGLETRANSLATE(A208, ""en"", ""hi"")"),"207")</f>
        <v>207</v>
      </c>
      <c r="G208" s="5" t="str">
        <f>IFERROR(__xludf.DUMMYFUNCTION("GOOGLETRANSLATE(B208, ""en"", ""hi"")"),"टीम बी का चेज़र दूरी का सही अंदाज़ा न लगा पाने के कारण डिफेंडर को टैग नहीं कर पा रहा है। सुधार के लिए मुख्य क्षेत्र क्या होना चाहिए?")</f>
        <v>टीम बी का चेज़र दूरी का सही अंदाज़ा न लगा पाने के कारण डिफेंडर को टैग नहीं कर पा रहा है। सुधार के लिए मुख्य क्षेत्र क्या होना चाहिए?</v>
      </c>
      <c r="H208" s="5" t="str">
        <f>IFERROR(__xludf.DUMMYFUNCTION("GOOGLETRANSLATE(C208, ""en"", ""hi"")"),"A) दूरी का निर्णय, B) गति, C) समय निर्धारण, D) समन्वय")</f>
        <v>A) दूरी का निर्णय, B) गति, C) समय निर्धारण, D) समन्वय</v>
      </c>
      <c r="I208" s="5" t="str">
        <f>IFERROR(__xludf.DUMMYFUNCTION("GOOGLETRANSLATE(D208, ""en"", ""hi"")"),"A) दूरी निर्णय")</f>
        <v>A) दूरी निर्णय</v>
      </c>
    </row>
    <row r="209" ht="22.5" customHeight="1">
      <c r="A209" s="7">
        <v>208.0</v>
      </c>
      <c r="B209" s="7" t="s">
        <v>2679</v>
      </c>
      <c r="C209" s="7" t="s">
        <v>2680</v>
      </c>
      <c r="D209" s="7" t="s">
        <v>2681</v>
      </c>
      <c r="F209" s="5" t="str">
        <f>IFERROR(__xludf.DUMMYFUNCTION("GOOGLETRANSLATE(A209, ""en"", ""hi"")"),"208")</f>
        <v>208</v>
      </c>
      <c r="G209" s="5" t="str">
        <f>IFERROR(__xludf.DUMMYFUNCTION("GOOGLETRANSLATE(B209, ""en"", ""hi"")"),"एक मैच के दौरान, टीम A का चेज़र एक डिफेंडर को टैग करने में विफल रहता है जो अचानक तेज़ मोड़ लेता है। चेज़र के सुधार पर किस बात पर ध्यान केंद्रित किया जाना चाहिए?")</f>
        <v>एक मैच के दौरान, टीम A का चेज़र एक डिफेंडर को टैग करने में विफल रहता है जो अचानक तेज़ मोड़ लेता है। चेज़र के सुधार पर किस बात पर ध्यान केंद्रित किया जाना चाहिए?</v>
      </c>
      <c r="H209" s="5" t="str">
        <f>IFERROR(__xludf.DUMMYFUNCTION("GOOGLETRANSLATE(C209, ""en"", ""hi"")"),"A) तीखे मोड़ों का पूर्वानुमान लगाना, B) गति बढ़ाना, C) समन्वय में सुधार करना, D) 'खो' का समय")</f>
        <v>A) तीखे मोड़ों का पूर्वानुमान लगाना, B) गति बढ़ाना, C) समन्वय में सुधार करना, D) 'खो' का समय</v>
      </c>
      <c r="I209" s="5" t="str">
        <f>IFERROR(__xludf.DUMMYFUNCTION("GOOGLETRANSLATE(D209, ""en"", ""hi"")"),"A) तीखे मोड़ों की आशंका")</f>
        <v>A) तीखे मोड़ों की आशंका</v>
      </c>
    </row>
    <row r="210" ht="22.5" customHeight="1">
      <c r="A210" s="7">
        <v>209.0</v>
      </c>
      <c r="B210" s="7" t="s">
        <v>2682</v>
      </c>
      <c r="C210" s="7" t="s">
        <v>2683</v>
      </c>
      <c r="D210" s="7" t="s">
        <v>2684</v>
      </c>
      <c r="F210" s="5" t="str">
        <f>IFERROR(__xludf.DUMMYFUNCTION("GOOGLETRANSLATE(A210, ""en"", ""hi"")"),"209")</f>
        <v>209</v>
      </c>
      <c r="G210" s="5" t="str">
        <f>IFERROR(__xludf.DUMMYFUNCTION("GOOGLETRANSLATE(B210, ""en"", ""hi"")"),"खेल के एक अहम मोड़ पर, टीम B का चेज़र दूरी का गलत अनुमान लगाने के कारण डिफेंडर को टैग नहीं कर पाता। इसमें क्या सुधार होना चाहिए?")</f>
        <v>खेल के एक अहम मोड़ पर, टीम B का चेज़र दूरी का गलत अनुमान लगाने के कारण डिफेंडर को टैग नहीं कर पाता। इसमें क्या सुधार होना चाहिए?</v>
      </c>
      <c r="H210" s="5" t="str">
        <f>IFERROR(__xludf.DUMMYFUNCTION("GOOGLETRANSLATE(C210, ""en"", ""hi"")"),"A) दूरी का आकलन, B) गति, C) समन्वय, D) समय निर्धारण")</f>
        <v>A) दूरी का आकलन, B) गति, C) समन्वय, D) समय निर्धारण</v>
      </c>
      <c r="I210" s="5" t="str">
        <f>IFERROR(__xludf.DUMMYFUNCTION("GOOGLETRANSLATE(D210, ""en"", ""hi"")"),"ए) दूरी मूल्यांकन")</f>
        <v>ए) दूरी मूल्यांकन</v>
      </c>
    </row>
    <row r="211" ht="22.5" customHeight="1">
      <c r="A211" s="7">
        <v>210.0</v>
      </c>
      <c r="B211" s="7" t="s">
        <v>2685</v>
      </c>
      <c r="C211" s="7" t="s">
        <v>2686</v>
      </c>
      <c r="D211" s="7" t="s">
        <v>2687</v>
      </c>
      <c r="F211" s="5" t="str">
        <f>IFERROR(__xludf.DUMMYFUNCTION("GOOGLETRANSLATE(A211, ""en"", ""hi"")"),"210")</f>
        <v>210</v>
      </c>
      <c r="G211" s="5" t="str">
        <f>IFERROR(__xludf.DUMMYFUNCTION("GOOGLETRANSLATE(B211, ""en"", ""hi"")"),"टीम A का डिफेंडर टैग से बचने के लिए तेज़ी से साइडवेज़ मूवमेंट कर रहा है। चेज़र्स के लिए इसका मुकाबला करने की सबसे कारगर रणनीति क्या है?")</f>
        <v>टीम A का डिफेंडर टैग से बचने के लिए तेज़ी से साइडवेज़ मूवमेंट कर रहा है। चेज़र्स के लिए इसका मुकाबला करने की सबसे कारगर रणनीति क्या है?</v>
      </c>
      <c r="H211" s="5" t="str">
        <f>IFERROR(__xludf.DUMMYFUNCTION("GOOGLETRANSLATE(C211, ""en"", ""hi"")"),"A) संभावित भागने के रास्तों को ब्लॉक करें, B) गति बढ़ाएँ, C) बेहतर समय का उपयोग करें, D) रक्षक के थकने का इंतज़ार करें")</f>
        <v>A) संभावित भागने के रास्तों को ब्लॉक करें, B) गति बढ़ाएँ, C) बेहतर समय का उपयोग करें, D) रक्षक के थकने का इंतज़ार करें</v>
      </c>
      <c r="I211" s="5" t="str">
        <f>IFERROR(__xludf.DUMMYFUNCTION("GOOGLETRANSLATE(D211, ""en"", ""hi"")"),"A) संभावित भागने के रास्तों को अवरुद्ध करें")</f>
        <v>A) संभावित भागने के रास्तों को अवरुद्ध करें</v>
      </c>
    </row>
    <row r="212" ht="22.5" customHeight="1">
      <c r="A212" s="7">
        <v>211.0</v>
      </c>
      <c r="B212" s="7" t="s">
        <v>2688</v>
      </c>
      <c r="C212" s="7" t="s">
        <v>2689</v>
      </c>
      <c r="D212" s="7" t="s">
        <v>2690</v>
      </c>
      <c r="F212" s="5" t="str">
        <f>IFERROR(__xludf.DUMMYFUNCTION("GOOGLETRANSLATE(A212, ""en"", ""hi"")"),"211")</f>
        <v>211</v>
      </c>
      <c r="G212" s="5" t="str">
        <f>IFERROR(__xludf.DUMMYFUNCTION("GOOGLETRANSLATE(B212, ""en"", ""hi"")"),"मैच के दौरान, टीम बी का चेज़र खराब टाइमिंग के कारण डिफेंडर को टैग नहीं कर पा रहा है। सुधार के लिए प्राथमिक ध्यान किस पर होना चाहिए?")</f>
        <v>मैच के दौरान, टीम बी का चेज़र खराब टाइमिंग के कारण डिफेंडर को टैग नहीं कर पा रहा है। सुधार के लिए प्राथमिक ध्यान किस पर होना चाहिए?</v>
      </c>
      <c r="H212" s="5" t="str">
        <f>IFERROR(__xludf.DUMMYFUNCTION("GOOGLETRANSLATE(C212, ""en"", ""hi"")"),"A) टैग का समय, B) गति, C) समन्वय, D) रणनीति")</f>
        <v>A) टैग का समय, B) गति, C) समन्वय, D) रणनीति</v>
      </c>
      <c r="I212" s="5" t="str">
        <f>IFERROR(__xludf.DUMMYFUNCTION("GOOGLETRANSLATE(D212, ""en"", ""hi"")"),"A) टैग का समय")</f>
        <v>A) टैग का समय</v>
      </c>
    </row>
    <row r="213" ht="22.5" customHeight="1">
      <c r="A213" s="7">
        <v>212.0</v>
      </c>
      <c r="B213" s="7" t="s">
        <v>2691</v>
      </c>
      <c r="C213" s="7" t="s">
        <v>2692</v>
      </c>
      <c r="D213" s="7" t="s">
        <v>2693</v>
      </c>
      <c r="F213" s="5" t="str">
        <f>IFERROR(__xludf.DUMMYFUNCTION("GOOGLETRANSLATE(A213, ""en"", ""hi"")"),"212")</f>
        <v>212</v>
      </c>
      <c r="G213" s="5" t="str">
        <f>IFERROR(__xludf.DUMMYFUNCTION("GOOGLETRANSLATE(B213, ""en"", ""hi"")"),"टीम A के एक डिफेंडर को चेज़र्स ने घेर लिया है और वह गोल-गोल दौड़कर बचने की कोशिश करता है। चेज़र्स के लिए डिफेंडर को टैग करने की सबसे अच्छी रणनीति क्या है?")</f>
        <v>टीम A के एक डिफेंडर को चेज़र्स ने घेर लिया है और वह गोल-गोल दौड़कर बचने की कोशिश करता है। चेज़र्स के लिए डिफेंडर को टैग करने की सबसे अच्छी रणनीति क्या है?</v>
      </c>
      <c r="H213" s="5" t="str">
        <f>IFERROR(__xludf.DUMMYFUNCTION("GOOGLETRANSLATE(C213, ""en"", ""hi"")"),"A) कई दिशाओं से करीब आना, B) गति बढ़ाना, C) बेहतर समय का उपयोग करना, D) रक्षक के थकने का इंतजार करना")</f>
        <v>A) कई दिशाओं से करीब आना, B) गति बढ़ाना, C) बेहतर समय का उपयोग करना, D) रक्षक के थकने का इंतजार करना</v>
      </c>
      <c r="I213" s="5" t="str">
        <f>IFERROR(__xludf.DUMMYFUNCTION("GOOGLETRANSLATE(D213, ""en"", ""hi"")"),"A) कई दिशाओं से करीब आना")</f>
        <v>A) कई दिशाओं से करीब आना</v>
      </c>
    </row>
    <row r="214" ht="22.5" customHeight="1">
      <c r="A214" s="7">
        <v>213.0</v>
      </c>
      <c r="B214" s="7" t="s">
        <v>2694</v>
      </c>
      <c r="C214" s="7" t="s">
        <v>2695</v>
      </c>
      <c r="D214" s="7" t="s">
        <v>2696</v>
      </c>
      <c r="F214" s="5" t="str">
        <f>IFERROR(__xludf.DUMMYFUNCTION("GOOGLETRANSLATE(A214, ""en"", ""hi"")"),"213")</f>
        <v>213</v>
      </c>
      <c r="G214" s="5" t="str">
        <f>IFERROR(__xludf.DUMMYFUNCTION("GOOGLETRANSLATE(B214, ""en"", ""hi"")"),"एक उच्च दबाव वाले खेल में, टीम B का चेज़र एक डिफेंडर को टैग करता है, लेकिन तुरंत ही दूसरा चेज़र उसे टैग कर देता है। नियम क्या है?")</f>
        <v>एक उच्च दबाव वाले खेल में, टीम B का चेज़र एक डिफेंडर को टैग करता है, लेकिन तुरंत ही दूसरा चेज़र उसे टैग कर देता है। नियम क्या है?</v>
      </c>
      <c r="H214" s="5" t="str">
        <f>IFERROR(__xludf.DUMMYFUNCTION("GOOGLETRANSLATE(C214, ""en"", ""hi"")"),"A) डिफेंडर बाहर है, B) दोनों चेज़र बाहर हैं, C) डिफेंडर सुरक्षित है, D) राउंड पुनः शुरू होता है")</f>
        <v>A) डिफेंडर बाहर है, B) दोनों चेज़र बाहर हैं, C) डिफेंडर सुरक्षित है, D) राउंड पुनः शुरू होता है</v>
      </c>
      <c r="I214" s="5" t="str">
        <f>IFERROR(__xludf.DUMMYFUNCTION("GOOGLETRANSLATE(D214, ""en"", ""hi"")"),"C) डिफेंडर सुरक्षित है")</f>
        <v>C) डिफेंडर सुरक्षित है</v>
      </c>
    </row>
    <row r="215" ht="22.5" customHeight="1">
      <c r="A215" s="7">
        <v>214.0</v>
      </c>
      <c r="B215" s="7" t="s">
        <v>2697</v>
      </c>
      <c r="C215" s="7" t="s">
        <v>2698</v>
      </c>
      <c r="D215" s="7" t="s">
        <v>2699</v>
      </c>
      <c r="F215" s="5" t="str">
        <f>IFERROR(__xludf.DUMMYFUNCTION("GOOGLETRANSLATE(A215, ""en"", ""hi"")"),"214")</f>
        <v>214</v>
      </c>
      <c r="G215" s="5" t="str">
        <f>IFERROR(__xludf.DUMMYFUNCTION("GOOGLETRANSLATE(B215, ""en"", ""hi"")"),"टीम A का चेज़र 'खो' देता है, लेकिन अगला चेज़र कन्फ़्यूज़न के कारण डिफेंडर को टैग नहीं कर पाता। इस समस्या से बचने के लिए क्या किया जाना चाहिए?")</f>
        <v>टीम A का चेज़र 'खो' देता है, लेकिन अगला चेज़र कन्फ़्यूज़न के कारण डिफेंडर को टैग नहीं कर पाता। इस समस्या से बचने के लिए क्या किया जाना चाहिए?</v>
      </c>
      <c r="H215" s="5" t="str">
        <f>IFERROR(__xludf.DUMMYFUNCTION("GOOGLETRANSLATE(C215, ""en"", ""hi"")"),"A) संचार में सुधार, B) गति में वृद्धि, C) व्यक्तिगत कौशल का अभ्यास, D) रणनीति में परिवर्तन")</f>
        <v>A) संचार में सुधार, B) गति में वृद्धि, C) व्यक्तिगत कौशल का अभ्यास, D) रणनीति में परिवर्तन</v>
      </c>
      <c r="I215" s="5" t="str">
        <f>IFERROR(__xludf.DUMMYFUNCTION("GOOGLETRANSLATE(D215, ""en"", ""hi"")"),"A) संचार में सुधार")</f>
        <v>A) संचार में सुधार</v>
      </c>
    </row>
    <row r="216" ht="22.5" customHeight="1">
      <c r="A216" s="7">
        <v>215.0</v>
      </c>
      <c r="B216" s="7" t="s">
        <v>2700</v>
      </c>
      <c r="C216" s="7" t="s">
        <v>2701</v>
      </c>
      <c r="D216" s="7" t="s">
        <v>2702</v>
      </c>
      <c r="F216" s="5" t="str">
        <f>IFERROR(__xludf.DUMMYFUNCTION("GOOGLETRANSLATE(A216, ""en"", ""hi"")"),"215")</f>
        <v>215</v>
      </c>
      <c r="G216" s="5" t="str">
        <f>IFERROR(__xludf.DUMMYFUNCTION("GOOGLETRANSLATE(B216, ""en"", ""hi"")"),"टीम B का डिफेंडर टैग से बचने के लिए तेज़ी से दिशा बदल रहा है। इस डिफेंडर को प्रभावी ढंग से टैग करने के लिए टीम A को किस पर ध्यान केंद्रित करना चाहिए?")</f>
        <v>टीम B का डिफेंडर टैग से बचने के लिए तेज़ी से दिशा बदल रहा है। इस डिफेंडर को प्रभावी ढंग से टैग करने के लिए टीम A को किस पर ध्यान केंद्रित करना चाहिए?</v>
      </c>
      <c r="H216" s="5" t="str">
        <f>IFERROR(__xludf.DUMMYFUNCTION("GOOGLETRANSLATE(C216, ""en"", ""hi"")"),"ए) बचने के रास्तों का पूर्वानुमान लगाना और उन्हें रोकना, बी) गति बढ़ाना, सी) बेहतर समय का उपयोग करना, डी) रक्षक के थकने का इंतजार करना")</f>
        <v>ए) बचने के रास्तों का पूर्वानुमान लगाना और उन्हें रोकना, बी) गति बढ़ाना, सी) बेहतर समय का उपयोग करना, डी) रक्षक के थकने का इंतजार करना</v>
      </c>
      <c r="I216" s="5" t="str">
        <f>IFERROR(__xludf.DUMMYFUNCTION("GOOGLETRANSLATE(D216, ""en"", ""hi"")"),"A) भागने के रास्तों का पूर्वानुमान लगाना और उन्हें अवरुद्ध करना")</f>
        <v>A) भागने के रास्तों का पूर्वानुमान लगाना और उन्हें अवरुद्ध करना</v>
      </c>
    </row>
    <row r="217" ht="22.5" customHeight="1">
      <c r="A217" s="7">
        <v>216.0</v>
      </c>
      <c r="B217" s="7" t="s">
        <v>2703</v>
      </c>
      <c r="C217" s="7" t="s">
        <v>2704</v>
      </c>
      <c r="D217" s="7" t="s">
        <v>2705</v>
      </c>
      <c r="F217" s="5" t="str">
        <f>IFERROR(__xludf.DUMMYFUNCTION("GOOGLETRANSLATE(A217, ""en"", ""hi"")"),"216")</f>
        <v>216</v>
      </c>
      <c r="G217" s="5" t="str">
        <f>IFERROR(__xludf.DUMMYFUNCTION("GOOGLETRANSLATE(B217, ""en"", ""hi"")"),"एक महत्वपूर्ण क्षण में, टीम A का चेज़र भ्रम के कारण 'खो' देने में बहुत देर कर देता है। सुधार के लिए टीम का ध्यान किस पर होना चाहिए?")</f>
        <v>एक महत्वपूर्ण क्षण में, टीम A का चेज़र भ्रम के कारण 'खो' देने में बहुत देर कर देता है। सुधार के लिए टीम का ध्यान किस पर होना चाहिए?</v>
      </c>
      <c r="H217" s="5" t="str">
        <f>IFERROR(__xludf.DUMMYFUNCTION("GOOGLETRANSLATE(C217, ""en"", ""hi"")"),"A) संचार, B) गति, C) समन्वय, D) समय निर्धारण")</f>
        <v>A) संचार, B) गति, C) समन्वय, D) समय निर्धारण</v>
      </c>
      <c r="I217" s="5" t="str">
        <f>IFERROR(__xludf.DUMMYFUNCTION("GOOGLETRANSLATE(D217, ""en"", ""hi"")"),"ए) संचार")</f>
        <v>ए) संचार</v>
      </c>
    </row>
    <row r="218" ht="22.5" customHeight="1">
      <c r="A218" s="7">
        <v>217.0</v>
      </c>
      <c r="B218" s="7" t="s">
        <v>2706</v>
      </c>
      <c r="C218" s="7" t="s">
        <v>2707</v>
      </c>
      <c r="D218" s="7" t="s">
        <v>2708</v>
      </c>
      <c r="F218" s="5" t="str">
        <f>IFERROR(__xludf.DUMMYFUNCTION("GOOGLETRANSLATE(A218, ""en"", ""hi"")"),"217")</f>
        <v>217</v>
      </c>
      <c r="G218" s="5" t="str">
        <f>IFERROR(__xludf.DUMMYFUNCTION("GOOGLETRANSLATE(B218, ""en"", ""hi"")"),"टीम बी का चेज़र दूसरे चेज़रों के साथ खराब समन्वय के कारण एक डिफेंडर को टैग करने से चूक जाता है। अगले प्रयास में किस पर ध्यान केंद्रित किया जाना चाहिए?")</f>
        <v>टीम बी का चेज़र दूसरे चेज़रों के साथ खराब समन्वय के कारण एक डिफेंडर को टैग करने से चूक जाता है। अगले प्रयास में किस पर ध्यान केंद्रित किया जाना चाहिए?</v>
      </c>
      <c r="H218" s="5" t="str">
        <f>IFERROR(__xludf.DUMMYFUNCTION("GOOGLETRANSLATE(C218, ""en"", ""hi"")"),"A) समन्वय, B) गति, C) व्यक्तिगत कौशल, D) रणनीति")</f>
        <v>A) समन्वय, B) गति, C) व्यक्तिगत कौशल, D) रणनीति</v>
      </c>
      <c r="I218" s="5" t="str">
        <f>IFERROR(__xludf.DUMMYFUNCTION("GOOGLETRANSLATE(D218, ""en"", ""hi"")"),"ए) समन्वय")</f>
        <v>ए) समन्वय</v>
      </c>
    </row>
    <row r="219" ht="22.5" customHeight="1">
      <c r="A219" s="7">
        <v>218.0</v>
      </c>
      <c r="B219" s="7" t="s">
        <v>2709</v>
      </c>
      <c r="C219" s="7" t="s">
        <v>2710</v>
      </c>
      <c r="D219" s="7" t="s">
        <v>2711</v>
      </c>
      <c r="F219" s="5" t="str">
        <f>IFERROR(__xludf.DUMMYFUNCTION("GOOGLETRANSLATE(A219, ""en"", ""hi"")"),"218")</f>
        <v>218</v>
      </c>
      <c r="G219" s="5" t="str">
        <f>IFERROR(__xludf.DUMMYFUNCTION("GOOGLETRANSLATE(B219, ""en"", ""hi"")"),"टीम A का एक डिफेंडर बाउंड्री पर दौड़कर टैग होने से बचने की कोशिश करता है। टीम B के चेज़र्स के लिए सबसे अच्छी रणनीति क्या है?")</f>
        <v>टीम A का एक डिफेंडर बाउंड्री पर दौड़कर टैग होने से बचने की कोशिश करता है। टीम B के चेज़र्स के लिए सबसे अच्छी रणनीति क्या है?</v>
      </c>
      <c r="H219" s="5" t="str">
        <f>IFERROR(__xludf.DUMMYFUNCTION("GOOGLETRANSLATE(C219, ""en"", ""hi"")"),"A) सीमा पर भागने के रास्ते बंद करें, B) गति बढ़ाएँ, C) बेहतर समय का उपयोग करें, D) लेन बदलें")</f>
        <v>A) सीमा पर भागने के रास्ते बंद करें, B) गति बढ़ाएँ, C) बेहतर समय का उपयोग करें, D) लेन बदलें</v>
      </c>
      <c r="I219" s="5" t="str">
        <f>IFERROR(__xludf.DUMMYFUNCTION("GOOGLETRANSLATE(D219, ""en"", ""hi"")"),"A) सीमा के साथ भागने के रास्तों को अवरुद्ध करें")</f>
        <v>A) सीमा के साथ भागने के रास्तों को अवरुद्ध करें</v>
      </c>
    </row>
    <row r="220" ht="22.5" customHeight="1">
      <c r="A220" s="7">
        <v>219.0</v>
      </c>
      <c r="B220" s="7" t="s">
        <v>2712</v>
      </c>
      <c r="C220" s="7" t="s">
        <v>2713</v>
      </c>
      <c r="D220" s="7" t="s">
        <v>2714</v>
      </c>
      <c r="F220" s="5" t="str">
        <f>IFERROR(__xludf.DUMMYFUNCTION("GOOGLETRANSLATE(A220, ""en"", ""hi"")"),"219")</f>
        <v>219</v>
      </c>
      <c r="G220" s="5" t="str">
        <f>IFERROR(__xludf.DUMMYFUNCTION("GOOGLETRANSLATE(B220, ""en"", ""hi"")"),"खेल के आखिरी क्षणों में, टीम A का चेज़र सेंटर की ओर दौड़ रहे एक डिफेंडर को टैग कर देता है। सुधार के लिए किस पर ध्यान केंद्रित किया जाना चाहिए?")</f>
        <v>खेल के आखिरी क्षणों में, टीम A का चेज़र सेंटर की ओर दौड़ रहे एक डिफेंडर को टैग कर देता है। सुधार के लिए किस पर ध्यान केंद्रित किया जाना चाहिए?</v>
      </c>
      <c r="H220" s="5" t="str">
        <f>IFERROR(__xludf.DUMMYFUNCTION("GOOGLETRANSLATE(C220, ""en"", ""hi"")"),"A) गतिविधियों की प्रत्याशा, B) गति, C) समन्वय, D) समय")</f>
        <v>A) गतिविधियों की प्रत्याशा, B) गति, C) समन्वय, D) समय</v>
      </c>
      <c r="I220" s="5" t="str">
        <f>IFERROR(__xludf.DUMMYFUNCTION("GOOGLETRANSLATE(D220, ""en"", ""hi"")"),"A) आंदोलनों की प्रत्याशा")</f>
        <v>A) आंदोलनों की प्रत्याशा</v>
      </c>
    </row>
    <row r="221" ht="22.5" customHeight="1">
      <c r="A221" s="7">
        <v>220.0</v>
      </c>
      <c r="B221" s="7" t="s">
        <v>2715</v>
      </c>
      <c r="C221" s="7" t="s">
        <v>2716</v>
      </c>
      <c r="D221" s="7" t="s">
        <v>2717</v>
      </c>
      <c r="F221" s="5" t="str">
        <f>IFERROR(__xludf.DUMMYFUNCTION("GOOGLETRANSLATE(A221, ""en"", ""hi"")"),"220")</f>
        <v>220</v>
      </c>
      <c r="G221" s="5" t="str">
        <f>IFERROR(__xludf.DUMMYFUNCTION("GOOGLETRANSLATE(B221, ""en"", ""hi"")"),"टीम B का डिफेंडर टैग से बचने के लिए ज़िगज़ैग पैटर्न अपना रहा है। टीम A के चेज़र्स को किस पर ध्यान देना चाहिए?")</f>
        <v>टीम B का डिफेंडर टैग से बचने के लिए ज़िगज़ैग पैटर्न अपना रहा है। टीम A के चेज़र्स को किस पर ध्यान देना चाहिए?</v>
      </c>
      <c r="H221" s="5" t="str">
        <f>IFERROR(__xludf.DUMMYFUNCTION("GOOGLETRANSLATE(C221, ""en"", ""hi"")"),"A) संभावित भागने के रास्तों को अवरुद्ध करें, B) गति बढ़ाएँ, C) व्यक्तिगत कौशल में सुधार करें, D) रणनीति बदलें")</f>
        <v>A) संभावित भागने के रास्तों को अवरुद्ध करें, B) गति बढ़ाएँ, C) व्यक्तिगत कौशल में सुधार करें, D) रणनीति बदलें</v>
      </c>
      <c r="I221" s="5" t="str">
        <f>IFERROR(__xludf.DUMMYFUNCTION("GOOGLETRANSLATE(D221, ""en"", ""hi"")"),"A) संभावित पलायन मार्गों को अवरुद्ध करें")</f>
        <v>A) संभावित पलायन मार्गों को अवरुद्ध करें</v>
      </c>
    </row>
    <row r="222" ht="22.5" customHeight="1">
      <c r="A222" s="7">
        <v>221.0</v>
      </c>
      <c r="B222" s="7" t="s">
        <v>2679</v>
      </c>
      <c r="C222" s="7" t="s">
        <v>2680</v>
      </c>
      <c r="D222" s="7" t="s">
        <v>2681</v>
      </c>
      <c r="F222" s="5" t="str">
        <f>IFERROR(__xludf.DUMMYFUNCTION("GOOGLETRANSLATE(A222, ""en"", ""hi"")"),"221")</f>
        <v>221</v>
      </c>
      <c r="G222" s="5" t="str">
        <f>IFERROR(__xludf.DUMMYFUNCTION("GOOGLETRANSLATE(B222, ""en"", ""hi"")"),"एक मैच के दौरान, टीम A का चेज़र एक डिफेंडर को टैग करने में विफल रहता है जो अचानक तेज़ मोड़ लेता है। चेज़र के सुधार पर किस बात पर ध्यान केंद्रित किया जाना चाहिए?")</f>
        <v>एक मैच के दौरान, टीम A का चेज़र एक डिफेंडर को टैग करने में विफल रहता है जो अचानक तेज़ मोड़ लेता है। चेज़र के सुधार पर किस बात पर ध्यान केंद्रित किया जाना चाहिए?</v>
      </c>
      <c r="H222" s="5" t="str">
        <f>IFERROR(__xludf.DUMMYFUNCTION("GOOGLETRANSLATE(C222, ""en"", ""hi"")"),"A) तीखे मोड़ों का पूर्वानुमान लगाना, B) गति बढ़ाना, C) समन्वय में सुधार करना, D) 'खो' का समय")</f>
        <v>A) तीखे मोड़ों का पूर्वानुमान लगाना, B) गति बढ़ाना, C) समन्वय में सुधार करना, D) 'खो' का समय</v>
      </c>
      <c r="I222" s="5" t="str">
        <f>IFERROR(__xludf.DUMMYFUNCTION("GOOGLETRANSLATE(D222, ""en"", ""hi"")"),"A) तीखे मोड़ों की आशंका")</f>
        <v>A) तीखे मोड़ों की आशंका</v>
      </c>
    </row>
    <row r="223" ht="22.5" customHeight="1">
      <c r="A223" s="7">
        <v>222.0</v>
      </c>
      <c r="B223" s="7" t="s">
        <v>2682</v>
      </c>
      <c r="C223" s="7" t="s">
        <v>2683</v>
      </c>
      <c r="D223" s="7" t="s">
        <v>2684</v>
      </c>
      <c r="F223" s="5" t="str">
        <f>IFERROR(__xludf.DUMMYFUNCTION("GOOGLETRANSLATE(A223, ""en"", ""hi"")"),"222")</f>
        <v>222</v>
      </c>
      <c r="G223" s="5" t="str">
        <f>IFERROR(__xludf.DUMMYFUNCTION("GOOGLETRANSLATE(B223, ""en"", ""hi"")"),"खेल के एक अहम मोड़ पर, टीम B का चेज़र दूरी का गलत अनुमान लगाने के कारण डिफेंडर को टैग नहीं कर पाता। इसमें क्या सुधार होना चाहिए?")</f>
        <v>खेल के एक अहम मोड़ पर, टीम B का चेज़र दूरी का गलत अनुमान लगाने के कारण डिफेंडर को टैग नहीं कर पाता। इसमें क्या सुधार होना चाहिए?</v>
      </c>
      <c r="H223" s="5" t="str">
        <f>IFERROR(__xludf.DUMMYFUNCTION("GOOGLETRANSLATE(C223, ""en"", ""hi"")"),"A) दूरी का आकलन, B) गति, C) समन्वय, D) समय निर्धारण")</f>
        <v>A) दूरी का आकलन, B) गति, C) समन्वय, D) समय निर्धारण</v>
      </c>
      <c r="I223" s="5" t="str">
        <f>IFERROR(__xludf.DUMMYFUNCTION("GOOGLETRANSLATE(D223, ""en"", ""hi"")"),"ए) दूरी मूल्यांकन")</f>
        <v>ए) दूरी मूल्यांकन</v>
      </c>
    </row>
    <row r="224" ht="22.5" customHeight="1">
      <c r="A224" s="7">
        <v>223.0</v>
      </c>
      <c r="B224" s="7" t="s">
        <v>2685</v>
      </c>
      <c r="C224" s="7" t="s">
        <v>2686</v>
      </c>
      <c r="D224" s="7" t="s">
        <v>2687</v>
      </c>
      <c r="F224" s="5" t="str">
        <f>IFERROR(__xludf.DUMMYFUNCTION("GOOGLETRANSLATE(A224, ""en"", ""hi"")"),"223")</f>
        <v>223</v>
      </c>
      <c r="G224" s="5" t="str">
        <f>IFERROR(__xludf.DUMMYFUNCTION("GOOGLETRANSLATE(B224, ""en"", ""hi"")"),"टीम A का डिफेंडर टैग से बचने के लिए तेज़ी से साइडवेज़ मूवमेंट कर रहा है। चेज़र्स के लिए इसका मुकाबला करने की सबसे कारगर रणनीति क्या है?")</f>
        <v>टीम A का डिफेंडर टैग से बचने के लिए तेज़ी से साइडवेज़ मूवमेंट कर रहा है। चेज़र्स के लिए इसका मुकाबला करने की सबसे कारगर रणनीति क्या है?</v>
      </c>
      <c r="H224" s="5" t="str">
        <f>IFERROR(__xludf.DUMMYFUNCTION("GOOGLETRANSLATE(C224, ""en"", ""hi"")"),"A) संभावित भागने के रास्तों को ब्लॉक करें, B) गति बढ़ाएँ, C) बेहतर समय का उपयोग करें, D) रक्षक के थकने का इंतज़ार करें")</f>
        <v>A) संभावित भागने के रास्तों को ब्लॉक करें, B) गति बढ़ाएँ, C) बेहतर समय का उपयोग करें, D) रक्षक के थकने का इंतज़ार करें</v>
      </c>
      <c r="I224" s="5" t="str">
        <f>IFERROR(__xludf.DUMMYFUNCTION("GOOGLETRANSLATE(D224, ""en"", ""hi"")"),"A) संभावित भागने के रास्तों को अवरुद्ध करें")</f>
        <v>A) संभावित भागने के रास्तों को अवरुद्ध करें</v>
      </c>
    </row>
    <row r="225" ht="22.5" customHeight="1">
      <c r="A225" s="7">
        <v>224.0</v>
      </c>
      <c r="B225" s="7" t="s">
        <v>2688</v>
      </c>
      <c r="C225" s="7" t="s">
        <v>2689</v>
      </c>
      <c r="D225" s="7" t="s">
        <v>2690</v>
      </c>
      <c r="F225" s="5" t="str">
        <f>IFERROR(__xludf.DUMMYFUNCTION("GOOGLETRANSLATE(A225, ""en"", ""hi"")"),"224")</f>
        <v>224</v>
      </c>
      <c r="G225" s="5" t="str">
        <f>IFERROR(__xludf.DUMMYFUNCTION("GOOGLETRANSLATE(B225, ""en"", ""hi"")"),"मैच के दौरान, टीम बी का चेज़र खराब टाइमिंग के कारण डिफेंडर को टैग नहीं कर पा रहा है। सुधार के लिए प्राथमिक ध्यान किस पर होना चाहिए?")</f>
        <v>मैच के दौरान, टीम बी का चेज़र खराब टाइमिंग के कारण डिफेंडर को टैग नहीं कर पा रहा है। सुधार के लिए प्राथमिक ध्यान किस पर होना चाहिए?</v>
      </c>
      <c r="H225" s="5" t="str">
        <f>IFERROR(__xludf.DUMMYFUNCTION("GOOGLETRANSLATE(C225, ""en"", ""hi"")"),"A) टैग का समय, B) गति, C) समन्वय, D) रणनीति")</f>
        <v>A) टैग का समय, B) गति, C) समन्वय, D) रणनीति</v>
      </c>
      <c r="I225" s="5" t="str">
        <f>IFERROR(__xludf.DUMMYFUNCTION("GOOGLETRANSLATE(D225, ""en"", ""hi"")"),"A) टैग का समय")</f>
        <v>A) टैग का समय</v>
      </c>
    </row>
    <row r="226" ht="22.5" customHeight="1">
      <c r="A226" s="7">
        <v>225.0</v>
      </c>
      <c r="B226" s="7" t="s">
        <v>2691</v>
      </c>
      <c r="C226" s="7" t="s">
        <v>2692</v>
      </c>
      <c r="D226" s="7" t="s">
        <v>2693</v>
      </c>
      <c r="F226" s="5" t="str">
        <f>IFERROR(__xludf.DUMMYFUNCTION("GOOGLETRANSLATE(A226, ""en"", ""hi"")"),"225")</f>
        <v>225</v>
      </c>
      <c r="G226" s="5" t="str">
        <f>IFERROR(__xludf.DUMMYFUNCTION("GOOGLETRANSLATE(B226, ""en"", ""hi"")"),"टीम A के एक डिफेंडर को चेज़र्स ने घेर लिया है और वह गोल-गोल दौड़कर बचने की कोशिश करता है। चेज़र्स के लिए डिफेंडर को टैग करने की सबसे अच्छी रणनीति क्या है?")</f>
        <v>टीम A के एक डिफेंडर को चेज़र्स ने घेर लिया है और वह गोल-गोल दौड़कर बचने की कोशिश करता है। चेज़र्स के लिए डिफेंडर को टैग करने की सबसे अच्छी रणनीति क्या है?</v>
      </c>
      <c r="H226" s="5" t="str">
        <f>IFERROR(__xludf.DUMMYFUNCTION("GOOGLETRANSLATE(C226, ""en"", ""hi"")"),"A) कई दिशाओं से करीब आना, B) गति बढ़ाना, C) बेहतर समय का उपयोग करना, D) रक्षक के थकने का इंतजार करना")</f>
        <v>A) कई दिशाओं से करीब आना, B) गति बढ़ाना, C) बेहतर समय का उपयोग करना, D) रक्षक के थकने का इंतजार करना</v>
      </c>
      <c r="I226" s="5" t="str">
        <f>IFERROR(__xludf.DUMMYFUNCTION("GOOGLETRANSLATE(D226, ""en"", ""hi"")"),"A) कई दिशाओं से करीब आना")</f>
        <v>A) कई दिशाओं से करीब आना</v>
      </c>
    </row>
    <row r="227" ht="22.5" customHeight="1">
      <c r="A227" s="7">
        <v>226.0</v>
      </c>
      <c r="B227" s="7" t="s">
        <v>2694</v>
      </c>
      <c r="C227" s="7" t="s">
        <v>2695</v>
      </c>
      <c r="D227" s="7" t="s">
        <v>2696</v>
      </c>
      <c r="F227" s="5" t="str">
        <f>IFERROR(__xludf.DUMMYFUNCTION("GOOGLETRANSLATE(A227, ""en"", ""hi"")"),"226")</f>
        <v>226</v>
      </c>
      <c r="G227" s="5" t="str">
        <f>IFERROR(__xludf.DUMMYFUNCTION("GOOGLETRANSLATE(B227, ""en"", ""hi"")"),"एक उच्च दबाव वाले खेल में, टीम B का चेज़र एक डिफेंडर को टैग करता है, लेकिन तुरंत ही दूसरा चेज़र उसे टैग कर देता है। नियम क्या है?")</f>
        <v>एक उच्च दबाव वाले खेल में, टीम B का चेज़र एक डिफेंडर को टैग करता है, लेकिन तुरंत ही दूसरा चेज़र उसे टैग कर देता है। नियम क्या है?</v>
      </c>
      <c r="H227" s="5" t="str">
        <f>IFERROR(__xludf.DUMMYFUNCTION("GOOGLETRANSLATE(C227, ""en"", ""hi"")"),"A) डिफेंडर बाहर है, B) दोनों चेज़र बाहर हैं, C) डिफेंडर सुरक्षित है, D) राउंड पुनः शुरू होता है")</f>
        <v>A) डिफेंडर बाहर है, B) दोनों चेज़र बाहर हैं, C) डिफेंडर सुरक्षित है, D) राउंड पुनः शुरू होता है</v>
      </c>
      <c r="I227" s="5" t="str">
        <f>IFERROR(__xludf.DUMMYFUNCTION("GOOGLETRANSLATE(D227, ""en"", ""hi"")"),"C) डिफेंडर सुरक्षित है")</f>
        <v>C) डिफेंडर सुरक्षित है</v>
      </c>
    </row>
    <row r="228" ht="22.5" customHeight="1">
      <c r="A228" s="7">
        <v>227.0</v>
      </c>
      <c r="B228" s="7" t="s">
        <v>2697</v>
      </c>
      <c r="C228" s="7" t="s">
        <v>2698</v>
      </c>
      <c r="D228" s="7" t="s">
        <v>2699</v>
      </c>
      <c r="F228" s="5" t="str">
        <f>IFERROR(__xludf.DUMMYFUNCTION("GOOGLETRANSLATE(A228, ""en"", ""hi"")"),"227")</f>
        <v>227</v>
      </c>
      <c r="G228" s="5" t="str">
        <f>IFERROR(__xludf.DUMMYFUNCTION("GOOGLETRANSLATE(B228, ""en"", ""hi"")"),"टीम A का चेज़र 'खो' देता है, लेकिन अगला चेज़र कन्फ़्यूज़न के कारण डिफेंडर को टैग नहीं कर पाता। इस समस्या से बचने के लिए क्या किया जाना चाहिए?")</f>
        <v>टीम A का चेज़र 'खो' देता है, लेकिन अगला चेज़र कन्फ़्यूज़न के कारण डिफेंडर को टैग नहीं कर पाता। इस समस्या से बचने के लिए क्या किया जाना चाहिए?</v>
      </c>
      <c r="H228" s="5" t="str">
        <f>IFERROR(__xludf.DUMMYFUNCTION("GOOGLETRANSLATE(C228, ""en"", ""hi"")"),"A) संचार में सुधार, B) गति में वृद्धि, C) व्यक्तिगत कौशल का अभ्यास, D) रणनीति में परिवर्तन")</f>
        <v>A) संचार में सुधार, B) गति में वृद्धि, C) व्यक्तिगत कौशल का अभ्यास, D) रणनीति में परिवर्तन</v>
      </c>
      <c r="I228" s="5" t="str">
        <f>IFERROR(__xludf.DUMMYFUNCTION("GOOGLETRANSLATE(D228, ""en"", ""hi"")"),"A) संचार में सुधार")</f>
        <v>A) संचार में सुधार</v>
      </c>
    </row>
    <row r="229" ht="22.5" customHeight="1">
      <c r="A229" s="7">
        <v>228.0</v>
      </c>
      <c r="B229" s="7" t="s">
        <v>2700</v>
      </c>
      <c r="C229" s="7" t="s">
        <v>2701</v>
      </c>
      <c r="D229" s="7" t="s">
        <v>2702</v>
      </c>
      <c r="F229" s="5" t="str">
        <f>IFERROR(__xludf.DUMMYFUNCTION("GOOGLETRANSLATE(A229, ""en"", ""hi"")"),"228")</f>
        <v>228</v>
      </c>
      <c r="G229" s="5" t="str">
        <f>IFERROR(__xludf.DUMMYFUNCTION("GOOGLETRANSLATE(B229, ""en"", ""hi"")"),"टीम B का डिफेंडर टैग से बचने के लिए तेज़ी से दिशा बदल रहा है। इस डिफेंडर को प्रभावी ढंग से टैग करने के लिए टीम A को किस पर ध्यान केंद्रित करना चाहिए?")</f>
        <v>टीम B का डिफेंडर टैग से बचने के लिए तेज़ी से दिशा बदल रहा है। इस डिफेंडर को प्रभावी ढंग से टैग करने के लिए टीम A को किस पर ध्यान केंद्रित करना चाहिए?</v>
      </c>
      <c r="H229" s="5" t="str">
        <f>IFERROR(__xludf.DUMMYFUNCTION("GOOGLETRANSLATE(C229, ""en"", ""hi"")"),"ए) बचने के रास्तों का पूर्वानुमान लगाना और उन्हें रोकना, बी) गति बढ़ाना, सी) बेहतर समय का उपयोग करना, डी) रक्षक के थकने का इंतजार करना")</f>
        <v>ए) बचने के रास्तों का पूर्वानुमान लगाना और उन्हें रोकना, बी) गति बढ़ाना, सी) बेहतर समय का उपयोग करना, डी) रक्षक के थकने का इंतजार करना</v>
      </c>
      <c r="I229" s="5" t="str">
        <f>IFERROR(__xludf.DUMMYFUNCTION("GOOGLETRANSLATE(D229, ""en"", ""hi"")"),"A) भागने के रास्तों का पूर्वानुमान लगाना और उन्हें अवरुद्ध करना")</f>
        <v>A) भागने के रास्तों का पूर्वानुमान लगाना और उन्हें अवरुद्ध करना</v>
      </c>
    </row>
    <row r="230" ht="22.5" customHeight="1">
      <c r="A230" s="7">
        <v>229.0</v>
      </c>
      <c r="B230" s="7" t="s">
        <v>2703</v>
      </c>
      <c r="C230" s="7" t="s">
        <v>2704</v>
      </c>
      <c r="D230" s="7" t="s">
        <v>2705</v>
      </c>
      <c r="F230" s="5" t="str">
        <f>IFERROR(__xludf.DUMMYFUNCTION("GOOGLETRANSLATE(A230, ""en"", ""hi"")"),"229")</f>
        <v>229</v>
      </c>
      <c r="G230" s="5" t="str">
        <f>IFERROR(__xludf.DUMMYFUNCTION("GOOGLETRANSLATE(B230, ""en"", ""hi"")"),"एक महत्वपूर्ण क्षण में, टीम A का चेज़र भ्रम के कारण 'खो' देने में बहुत देर कर देता है। सुधार के लिए टीम का ध्यान किस पर होना चाहिए?")</f>
        <v>एक महत्वपूर्ण क्षण में, टीम A का चेज़र भ्रम के कारण 'खो' देने में बहुत देर कर देता है। सुधार के लिए टीम का ध्यान किस पर होना चाहिए?</v>
      </c>
      <c r="H230" s="5" t="str">
        <f>IFERROR(__xludf.DUMMYFUNCTION("GOOGLETRANSLATE(C230, ""en"", ""hi"")"),"A) संचार, B) गति, C) समन्वय, D) समय निर्धारण")</f>
        <v>A) संचार, B) गति, C) समन्वय, D) समय निर्धारण</v>
      </c>
      <c r="I230" s="5" t="str">
        <f>IFERROR(__xludf.DUMMYFUNCTION("GOOGLETRANSLATE(D230, ""en"", ""hi"")"),"ए) संचार")</f>
        <v>ए) संचार</v>
      </c>
    </row>
    <row r="231" ht="22.5" customHeight="1">
      <c r="A231" s="7">
        <v>230.0</v>
      </c>
      <c r="B231" s="7" t="s">
        <v>2706</v>
      </c>
      <c r="C231" s="7" t="s">
        <v>2707</v>
      </c>
      <c r="D231" s="7" t="s">
        <v>2708</v>
      </c>
      <c r="F231" s="5" t="str">
        <f>IFERROR(__xludf.DUMMYFUNCTION("GOOGLETRANSLATE(A231, ""en"", ""hi"")"),"230")</f>
        <v>230</v>
      </c>
      <c r="G231" s="5" t="str">
        <f>IFERROR(__xludf.DUMMYFUNCTION("GOOGLETRANSLATE(B231, ""en"", ""hi"")"),"टीम बी का चेज़र दूसरे चेज़रों के साथ खराब समन्वय के कारण एक डिफेंडर को टैग करने से चूक जाता है। अगले प्रयास में किस पर ध्यान केंद्रित किया जाना चाहिए?")</f>
        <v>टीम बी का चेज़र दूसरे चेज़रों के साथ खराब समन्वय के कारण एक डिफेंडर को टैग करने से चूक जाता है। अगले प्रयास में किस पर ध्यान केंद्रित किया जाना चाहिए?</v>
      </c>
      <c r="H231" s="5" t="str">
        <f>IFERROR(__xludf.DUMMYFUNCTION("GOOGLETRANSLATE(C231, ""en"", ""hi"")"),"A) समन्वय, B) गति, C) व्यक्तिगत कौशल, D) रणनीति")</f>
        <v>A) समन्वय, B) गति, C) व्यक्तिगत कौशल, D) रणनीति</v>
      </c>
      <c r="I231" s="5" t="str">
        <f>IFERROR(__xludf.DUMMYFUNCTION("GOOGLETRANSLATE(D231, ""en"", ""hi"")"),"ए) समन्वय")</f>
        <v>ए) समन्वय</v>
      </c>
    </row>
    <row r="232" ht="22.5" customHeight="1">
      <c r="A232" s="7">
        <v>231.0</v>
      </c>
      <c r="B232" s="7" t="s">
        <v>2709</v>
      </c>
      <c r="C232" s="7" t="s">
        <v>2710</v>
      </c>
      <c r="D232" s="7" t="s">
        <v>2711</v>
      </c>
      <c r="F232" s="5" t="str">
        <f>IFERROR(__xludf.DUMMYFUNCTION("GOOGLETRANSLATE(A232, ""en"", ""hi"")"),"231")</f>
        <v>231</v>
      </c>
      <c r="G232" s="5" t="str">
        <f>IFERROR(__xludf.DUMMYFUNCTION("GOOGLETRANSLATE(B232, ""en"", ""hi"")"),"टीम A का एक डिफेंडर बाउंड्री पर दौड़कर टैग होने से बचने की कोशिश करता है। टीम B के चेज़र्स के लिए सबसे अच्छी रणनीति क्या है?")</f>
        <v>टीम A का एक डिफेंडर बाउंड्री पर दौड़कर टैग होने से बचने की कोशिश करता है। टीम B के चेज़र्स के लिए सबसे अच्छी रणनीति क्या है?</v>
      </c>
      <c r="H232" s="5" t="str">
        <f>IFERROR(__xludf.DUMMYFUNCTION("GOOGLETRANSLATE(C232, ""en"", ""hi"")"),"A) सीमा पर भागने के रास्ते बंद करें, B) गति बढ़ाएँ, C) बेहतर समय का उपयोग करें, D) लेन बदलें")</f>
        <v>A) सीमा पर भागने के रास्ते बंद करें, B) गति बढ़ाएँ, C) बेहतर समय का उपयोग करें, D) लेन बदलें</v>
      </c>
      <c r="I232" s="5" t="str">
        <f>IFERROR(__xludf.DUMMYFUNCTION("GOOGLETRANSLATE(D232, ""en"", ""hi"")"),"A) सीमा के साथ भागने के रास्तों को अवरुद्ध करें")</f>
        <v>A) सीमा के साथ भागने के रास्तों को अवरुद्ध करें</v>
      </c>
    </row>
    <row r="233" ht="22.5" customHeight="1">
      <c r="A233" s="7">
        <v>232.0</v>
      </c>
      <c r="B233" s="7" t="s">
        <v>2712</v>
      </c>
      <c r="C233" s="7" t="s">
        <v>2713</v>
      </c>
      <c r="D233" s="7" t="s">
        <v>2714</v>
      </c>
      <c r="F233" s="5" t="str">
        <f>IFERROR(__xludf.DUMMYFUNCTION("GOOGLETRANSLATE(A233, ""en"", ""hi"")"),"232")</f>
        <v>232</v>
      </c>
      <c r="G233" s="5" t="str">
        <f>IFERROR(__xludf.DUMMYFUNCTION("GOOGLETRANSLATE(B233, ""en"", ""hi"")"),"खेल के आखिरी क्षणों में, टीम A का चेज़र सेंटर की ओर दौड़ रहे एक डिफेंडर को टैग कर देता है। सुधार के लिए किस पर ध्यान केंद्रित किया जाना चाहिए?")</f>
        <v>खेल के आखिरी क्षणों में, टीम A का चेज़र सेंटर की ओर दौड़ रहे एक डिफेंडर को टैग कर देता है। सुधार के लिए किस पर ध्यान केंद्रित किया जाना चाहिए?</v>
      </c>
      <c r="H233" s="5" t="str">
        <f>IFERROR(__xludf.DUMMYFUNCTION("GOOGLETRANSLATE(C233, ""en"", ""hi"")"),"A) गतिविधियों की प्रत्याशा, B) गति, C) समन्वय, D) समय")</f>
        <v>A) गतिविधियों की प्रत्याशा, B) गति, C) समन्वय, D) समय</v>
      </c>
      <c r="I233" s="5" t="str">
        <f>IFERROR(__xludf.DUMMYFUNCTION("GOOGLETRANSLATE(D233, ""en"", ""hi"")"),"A) आंदोलनों की प्रत्याशा")</f>
        <v>A) आंदोलनों की प्रत्याशा</v>
      </c>
    </row>
    <row r="234" ht="22.5" customHeight="1">
      <c r="A234" s="7">
        <v>233.0</v>
      </c>
      <c r="B234" s="7" t="s">
        <v>2715</v>
      </c>
      <c r="C234" s="7" t="s">
        <v>2716</v>
      </c>
      <c r="D234" s="7" t="s">
        <v>2717</v>
      </c>
      <c r="F234" s="5" t="str">
        <f>IFERROR(__xludf.DUMMYFUNCTION("GOOGLETRANSLATE(A234, ""en"", ""hi"")"),"233")</f>
        <v>233</v>
      </c>
      <c r="G234" s="5" t="str">
        <f>IFERROR(__xludf.DUMMYFUNCTION("GOOGLETRANSLATE(B234, ""en"", ""hi"")"),"टीम B का डिफेंडर टैग से बचने के लिए ज़िगज़ैग पैटर्न अपना रहा है। टीम A के चेज़र्स को किस पर ध्यान देना चाहिए?")</f>
        <v>टीम B का डिफेंडर टैग से बचने के लिए ज़िगज़ैग पैटर्न अपना रहा है। टीम A के चेज़र्स को किस पर ध्यान देना चाहिए?</v>
      </c>
      <c r="H234" s="5" t="str">
        <f>IFERROR(__xludf.DUMMYFUNCTION("GOOGLETRANSLATE(C234, ""en"", ""hi"")"),"A) संभावित भागने के रास्तों को अवरुद्ध करें, B) गति बढ़ाएँ, C) व्यक्तिगत कौशल में सुधार करें, D) रणनीति बदलें")</f>
        <v>A) संभावित भागने के रास्तों को अवरुद्ध करें, B) गति बढ़ाएँ, C) व्यक्तिगत कौशल में सुधार करें, D) रणनीति बदलें</v>
      </c>
      <c r="I234" s="5" t="str">
        <f>IFERROR(__xludf.DUMMYFUNCTION("GOOGLETRANSLATE(D234, ""en"", ""hi"")"),"A) संभावित पलायन मार्गों को अवरुद्ध करें")</f>
        <v>A) संभावित पलायन मार्गों को अवरुद्ध करें</v>
      </c>
    </row>
    <row r="235" ht="22.5" customHeight="1">
      <c r="A235" s="7">
        <v>234.0</v>
      </c>
      <c r="B235" s="7" t="s">
        <v>2718</v>
      </c>
      <c r="C235" s="7" t="s">
        <v>2719</v>
      </c>
      <c r="D235" s="7" t="s">
        <v>2720</v>
      </c>
      <c r="F235" s="5" t="str">
        <f>IFERROR(__xludf.DUMMYFUNCTION("GOOGLETRANSLATE(A235, ""en"", ""hi"")"),"234")</f>
        <v>234</v>
      </c>
      <c r="G235" s="5" t="str">
        <f>IFERROR(__xludf.DUMMYFUNCTION("GOOGLETRANSLATE(B235, ""en"", ""hi"")"),"टीम A का चेज़र डिफेंडर को टैग नहीं कर पा रहा है क्योंकि वे बहुत दूर हैं। चेज़र के सुधार पर किस पर ध्यान केंद्रित किया जाना चाहिए?")</f>
        <v>टीम A का चेज़र डिफेंडर को टैग नहीं कर पा रहा है क्योंकि वे बहुत दूर हैं। चेज़र के सुधार पर किस पर ध्यान केंद्रित किया जाना चाहिए?</v>
      </c>
      <c r="H235" s="5" t="str">
        <f>IFERROR(__xludf.DUMMYFUNCTION("GOOGLETRANSLATE(C235, ""en"", ""hi"")"),"A) दूरी का निर्णय बेहतर करें, B) गति बढ़ाएँ, C) समन्वय बढ़ाएँ, D) बेहतर समय निर्धारण")</f>
        <v>A) दूरी का निर्णय बेहतर करें, B) गति बढ़ाएँ, C) समन्वय बढ़ाएँ, D) बेहतर समय निर्धारण</v>
      </c>
      <c r="I235" s="5" t="str">
        <f>IFERROR(__xludf.DUMMYFUNCTION("GOOGLETRANSLATE(D235, ""en"", ""hi"")"),"A) दूरी का निर्णय बेहतर करें")</f>
        <v>A) दूरी का निर्णय बेहतर करें</v>
      </c>
    </row>
    <row r="236" ht="22.5" customHeight="1">
      <c r="A236" s="7">
        <v>235.0</v>
      </c>
      <c r="B236" s="7" t="s">
        <v>2721</v>
      </c>
      <c r="C236" s="7" t="s">
        <v>2722</v>
      </c>
      <c r="D236" s="7" t="s">
        <v>2485</v>
      </c>
      <c r="F236" s="5" t="str">
        <f>IFERROR(__xludf.DUMMYFUNCTION("GOOGLETRANSLATE(A236, ""en"", ""hi"")"),"235")</f>
        <v>235</v>
      </c>
      <c r="G236" s="5" t="str">
        <f>IFERROR(__xludf.DUMMYFUNCTION("GOOGLETRANSLATE(B236, ""en"", ""hi"")"),"एक नाज़ुक मौके पर, टीम B का चेज़र एक डिफेंडर को टैग करता है जो बाउंड्री लाइन पर दौड़ रहा था। सही नियम क्या है?")</f>
        <v>एक नाज़ुक मौके पर, टीम B का चेज़र एक डिफेंडर को टैग करता है जो बाउंड्री लाइन पर दौड़ रहा था। सही नियम क्या है?</v>
      </c>
      <c r="H236" s="5" t="str">
        <f>IFERROR(__xludf.DUMMYFUNCTION("GOOGLETRANSLATE(C236,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36" s="5" t="str">
        <f>IFERROR(__xludf.DUMMYFUNCTION("GOOGLETRANSLATE(D236, ""en"", ""hi"")"),"A) डिफेंडर बाहर है")</f>
        <v>A) डिफेंडर बाहर है</v>
      </c>
    </row>
    <row r="237" ht="22.5" customHeight="1">
      <c r="A237" s="7">
        <v>236.0</v>
      </c>
      <c r="B237" s="7" t="s">
        <v>2723</v>
      </c>
      <c r="C237" s="7" t="s">
        <v>2724</v>
      </c>
      <c r="D237" s="7" t="s">
        <v>2725</v>
      </c>
      <c r="F237" s="5" t="str">
        <f>IFERROR(__xludf.DUMMYFUNCTION("GOOGLETRANSLATE(A237, ""en"", ""hi"")"),"236")</f>
        <v>236</v>
      </c>
      <c r="G237" s="5" t="str">
        <f>IFERROR(__xludf.DUMMYFUNCTION("GOOGLETRANSLATE(B237, ""en"", ""hi"")"),"टीम A का चेज़र 'खो' देता है, लेकिन अगला चेज़र तैयार नहीं होता। टीम A को सुधार के लिए किस पर ध्यान देना चाहिए?")</f>
        <v>टीम A का चेज़र 'खो' देता है, लेकिन अगला चेज़र तैयार नहीं होता। टीम A को सुधार के लिए किस पर ध्यान देना चाहिए?</v>
      </c>
      <c r="H237" s="5" t="str">
        <f>IFERROR(__xludf.DUMMYFUNCTION("GOOGLETRANSLATE(C237, ""en"", ""hi"")"),"A) बेहतर तत्परता और समन्वय, B) गति में वृद्धि, C) व्यक्तिगत कौशल में सुधार, D) रणनीति में बदलाव")</f>
        <v>A) बेहतर तत्परता और समन्वय, B) गति में वृद्धि, C) व्यक्तिगत कौशल में सुधार, D) रणनीति में बदलाव</v>
      </c>
      <c r="I237" s="5" t="str">
        <f>IFERROR(__xludf.DUMMYFUNCTION("GOOGLETRANSLATE(D237, ""en"", ""hi"")"),"A) बेहतर तत्परता और समन्वय")</f>
        <v>A) बेहतर तत्परता और समन्वय</v>
      </c>
    </row>
    <row r="238" ht="22.5" customHeight="1">
      <c r="A238" s="7">
        <v>237.0</v>
      </c>
      <c r="B238" s="7" t="s">
        <v>2726</v>
      </c>
      <c r="C238" s="7" t="s">
        <v>2727</v>
      </c>
      <c r="D238" s="7" t="s">
        <v>2728</v>
      </c>
      <c r="F238" s="5" t="str">
        <f>IFERROR(__xludf.DUMMYFUNCTION("GOOGLETRANSLATE(A238, ""en"", ""hi"")"),"237")</f>
        <v>237</v>
      </c>
      <c r="G238" s="5" t="str">
        <f>IFERROR(__xludf.DUMMYFUNCTION("GOOGLETRANSLATE(B238, ""en"", ""hi"")"),"मैच के दौरान, टीम B का डिफेंडर टैग से बचने के लिए तेज़ पार्श्व गति का उपयोग करता है। टीम A के चेज़र्स के लिए एक अच्छी जवाबी रणनीति क्या है?")</f>
        <v>मैच के दौरान, टीम B का डिफेंडर टैग से बचने के लिए तेज़ पार्श्व गति का उपयोग करता है। टीम A के चेज़र्स के लिए एक अच्छी जवाबी रणनीति क्या है?</v>
      </c>
      <c r="H238" s="5" t="str">
        <f>IFERROR(__xludf.DUMMYFUNCTION("GOOGLETRANSLATE(C238, ""en"", ""hi"")"),"A) पार्श्व गतिविधियों का पूर्वानुमान लगाना और उन्हें रोकना, B) गति बढ़ाना, C) बेहतर समय का उपयोग करना, D) रक्षक के थकने की प्रतीक्षा करना")</f>
        <v>A) पार्श्व गतिविधियों का पूर्वानुमान लगाना और उन्हें रोकना, B) गति बढ़ाना, C) बेहतर समय का उपयोग करना, D) रक्षक के थकने की प्रतीक्षा करना</v>
      </c>
      <c r="I238" s="5" t="str">
        <f>IFERROR(__xludf.DUMMYFUNCTION("GOOGLETRANSLATE(D238, ""en"", ""hi"")"),"A) पार्श्व गतिविधियों का पूर्वानुमान लगाना और उन्हें रोकना")</f>
        <v>A) पार्श्व गतिविधियों का पूर्वानुमान लगाना और उन्हें रोकना</v>
      </c>
    </row>
    <row r="239" ht="22.5" customHeight="1">
      <c r="A239" s="7">
        <v>238.0</v>
      </c>
      <c r="B239" s="7" t="s">
        <v>2729</v>
      </c>
      <c r="C239" s="7" t="s">
        <v>2730</v>
      </c>
      <c r="D239" s="7" t="s">
        <v>2731</v>
      </c>
      <c r="F239" s="5" t="str">
        <f>IFERROR(__xludf.DUMMYFUNCTION("GOOGLETRANSLATE(A239, ""en"", ""hi"")"),"238")</f>
        <v>238</v>
      </c>
      <c r="G239" s="5" t="str">
        <f>IFERROR(__xludf.DUMMYFUNCTION("GOOGLETRANSLATE(B239, ""en"", ""hi"")"),"टीम ए का चेज़र एक डिफेंडर को टैग करता है, लेकिन टीम बी द्वारा टैग पर विवाद किया जाता है। अगला कदम क्या होना चाहिए?")</f>
        <v>टीम ए का चेज़र एक डिफेंडर को टैग करता है, लेकिन टीम बी द्वारा टैग पर विवाद किया जाता है। अगला कदम क्या होना चाहिए?</v>
      </c>
      <c r="H239" s="5" t="str">
        <f>IFERROR(__xludf.DUMMYFUNCTION("GOOGLETRANSLATE(C239, ""en"", ""hi"")"),"A) रेफरी के निर्णय को स्वीकार करें, B) राउंड को पुनः खेलें, C) रेफरी से चर्चा करें, D) रणनीति बदलें")</f>
        <v>A) रेफरी के निर्णय को स्वीकार करें, B) राउंड को पुनः खेलें, C) रेफरी से चर्चा करें, D) रणनीति बदलें</v>
      </c>
      <c r="I239" s="5" t="str">
        <f>IFERROR(__xludf.DUMMYFUNCTION("GOOGLETRANSLATE(D239, ""en"", ""hi"")"),"A) रेफरी के निर्णय को स्वीकार करें")</f>
        <v>A) रेफरी के निर्णय को स्वीकार करें</v>
      </c>
    </row>
    <row r="240" ht="22.5" customHeight="1">
      <c r="A240" s="7">
        <v>239.0</v>
      </c>
      <c r="B240" s="7" t="s">
        <v>2732</v>
      </c>
      <c r="C240" s="7" t="s">
        <v>2733</v>
      </c>
      <c r="D240" s="7" t="s">
        <v>2734</v>
      </c>
      <c r="F240" s="5" t="str">
        <f>IFERROR(__xludf.DUMMYFUNCTION("GOOGLETRANSLATE(A240, ""en"", ""hi"")"),"239")</f>
        <v>239</v>
      </c>
      <c r="G240" s="5" t="str">
        <f>IFERROR(__xludf.DUMMYFUNCTION("GOOGLETRANSLATE(B240, ""en"", ""hi"")"),"टीम बी का चेज़र सीधे सेंटर की ओर दौड़ रहे डिफेंडर को टैग नहीं कर पा रहा है। इसमें क्या सुधार होना चाहिए?")</f>
        <v>टीम बी का चेज़र सीधे सेंटर की ओर दौड़ रहे डिफेंडर को टैग नहीं कर पा रहा है। इसमें क्या सुधार होना चाहिए?</v>
      </c>
      <c r="H240" s="5" t="str">
        <f>IFERROR(__xludf.DUMMYFUNCTION("GOOGLETRANSLATE(C240, ""en"", ""hi"")"),"A) बेहतर स्थिति, B) गति में वृद्धि, C) व्यक्तिगत कौशल में सुधार, D) बेहतर समय")</f>
        <v>A) बेहतर स्थिति, B) गति में वृद्धि, C) व्यक्तिगत कौशल में सुधार, D) बेहतर समय</v>
      </c>
      <c r="I240" s="5" t="str">
        <f>IFERROR(__xludf.DUMMYFUNCTION("GOOGLETRANSLATE(D240, ""en"", ""hi"")"),"A) बेहतर स्थिति")</f>
        <v>A) बेहतर स्थिति</v>
      </c>
    </row>
    <row r="241" ht="22.5" customHeight="1">
      <c r="A241" s="7">
        <v>240.0</v>
      </c>
      <c r="B241" s="7" t="s">
        <v>2735</v>
      </c>
      <c r="C241" s="7" t="s">
        <v>2736</v>
      </c>
      <c r="D241" s="7" t="s">
        <v>2737</v>
      </c>
      <c r="F241" s="5" t="str">
        <f>IFERROR(__xludf.DUMMYFUNCTION("GOOGLETRANSLATE(A241, ""en"", ""hi"")"),"240")</f>
        <v>240</v>
      </c>
      <c r="G241" s="5" t="str">
        <f>IFERROR(__xludf.DUMMYFUNCTION("GOOGLETRANSLATE(B241, ""en"", ""hi"")"),"टीम A का एक डिफेंडर टैग से बचने के लिए गोलाकार दौड़ने का तरीका अपना रहा है। टीम B के चेज़र्स के लिए एक प्रभावी रणनीति क्या है?")</f>
        <v>टीम A का एक डिफेंडर टैग से बचने के लिए गोलाकार दौड़ने का तरीका अपना रहा है। टीम B के चेज़र्स के लिए एक प्रभावी रणनीति क्या है?</v>
      </c>
      <c r="H241" s="5" t="str">
        <f>IFERROR(__xludf.DUMMYFUNCTION("GOOGLETRANSLATE(C241, ""en"", ""hi"")"),"A) गोल घेरे में बच निकलने के रास्ते रोकें, B) गति बढ़ाएँ, C) बेहतर समय का उपयोग करें, D) रक्षक के थकने का इंतज़ार करें")</f>
        <v>A) गोल घेरे में बच निकलने के रास्ते रोकें, B) गति बढ़ाएँ, C) बेहतर समय का उपयोग करें, D) रक्षक के थकने का इंतज़ार करें</v>
      </c>
      <c r="I241" s="5" t="str">
        <f>IFERROR(__xludf.DUMMYFUNCTION("GOOGLETRANSLATE(D241, ""en"", ""hi"")"),"A) भागने के रास्तों को गोलाकार में अवरुद्ध करें")</f>
        <v>A) भागने के रास्तों को गोलाकार में अवरुद्ध करें</v>
      </c>
    </row>
    <row r="242" ht="22.5" customHeight="1">
      <c r="A242" s="7">
        <v>241.0</v>
      </c>
      <c r="B242" s="7" t="s">
        <v>2738</v>
      </c>
      <c r="C242" s="7" t="s">
        <v>2739</v>
      </c>
      <c r="D242" s="7" t="s">
        <v>2740</v>
      </c>
      <c r="F242" s="5" t="str">
        <f>IFERROR(__xludf.DUMMYFUNCTION("GOOGLETRANSLATE(A242, ""en"", ""hi"")"),"241")</f>
        <v>241</v>
      </c>
      <c r="G242" s="5" t="str">
        <f>IFERROR(__xludf.DUMMYFUNCTION("GOOGLETRANSLATE(B242, ""en"", ""hi"")"),"खेल के दौरान, टीम A का चेज़र 'खो' देता है, लेकिन अगला चेज़र धीमी प्रतिक्रिया देता है। सुधार का मुख्य क्षेत्र क्या है?")</f>
        <v>खेल के दौरान, टीम A का चेज़र 'खो' देता है, लेकिन अगला चेज़र धीमी प्रतिक्रिया देता है। सुधार का मुख्य क्षेत्र क्या है?</v>
      </c>
      <c r="H242" s="5" t="str">
        <f>IFERROR(__xludf.DUMMYFUNCTION("GOOGLETRANSLATE(C242, ""en"", ""hi"")"),"A) प्रतिक्रिया समय, B) गति, C) समन्वय, D) समय निर्धारण")</f>
        <v>A) प्रतिक्रिया समय, B) गति, C) समन्वय, D) समय निर्धारण</v>
      </c>
      <c r="I242" s="5" t="str">
        <f>IFERROR(__xludf.DUMMYFUNCTION("GOOGLETRANSLATE(D242, ""en"", ""hi"")"),"A) प्रतिक्रिया समय")</f>
        <v>A) प्रतिक्रिया समय</v>
      </c>
    </row>
    <row r="243" ht="22.5" customHeight="1">
      <c r="A243" s="7">
        <v>242.0</v>
      </c>
      <c r="B243" s="7" t="s">
        <v>2741</v>
      </c>
      <c r="C243" s="7" t="s">
        <v>2742</v>
      </c>
      <c r="D243" s="7" t="s">
        <v>2743</v>
      </c>
      <c r="F243" s="5" t="str">
        <f>IFERROR(__xludf.DUMMYFUNCTION("GOOGLETRANSLATE(A243, ""en"", ""hi"")"),"242")</f>
        <v>242</v>
      </c>
      <c r="G243" s="5" t="str">
        <f>IFERROR(__xludf.DUMMYFUNCTION("GOOGLETRANSLATE(B243, ""en"", ""hi"")"),"टीम बी का डिफेंडर टैग से बचने के लिए तीखे मोड़ का इस्तेमाल कर रहा है। टीम ए के चेज़र्स के लिए इसका मुकाबला करने के लिए कौन सा कौशल ज़रूरी है?")</f>
        <v>टीम बी का डिफेंडर टैग से बचने के लिए तीखे मोड़ का इस्तेमाल कर रहा है। टीम ए के चेज़र्स के लिए इसका मुकाबला करने के लिए कौन सा कौशल ज़रूरी है?</v>
      </c>
      <c r="H243" s="5" t="str">
        <f>IFERROR(__xludf.DUMMYFUNCTION("GOOGLETRANSLATE(C243, ""en"", ""hi"")"),"A) तीखे मोड़ों का पूर्वानुमान करें, B) गति बढ़ाएँ, C) व्यक्तिगत कौशल में सुधार करें, D) बेहतर समय का उपयोग करें")</f>
        <v>A) तीखे मोड़ों का पूर्वानुमान करें, B) गति बढ़ाएँ, C) व्यक्तिगत कौशल में सुधार करें, D) बेहतर समय का उपयोग करें</v>
      </c>
      <c r="I243" s="5" t="str">
        <f>IFERROR(__xludf.DUMMYFUNCTION("GOOGLETRANSLATE(D243, ""en"", ""hi"")"),"A) तीखे मोड़ों का पूर्वानुमान करें")</f>
        <v>A) तीखे मोड़ों का पूर्वानुमान करें</v>
      </c>
    </row>
    <row r="244" ht="22.5" customHeight="1">
      <c r="A244" s="7">
        <v>243.0</v>
      </c>
      <c r="B244" s="7" t="s">
        <v>2744</v>
      </c>
      <c r="C244" s="7" t="s">
        <v>2722</v>
      </c>
      <c r="D244" s="7" t="s">
        <v>2485</v>
      </c>
      <c r="F244" s="5" t="str">
        <f>IFERROR(__xludf.DUMMYFUNCTION("GOOGLETRANSLATE(A244, ""en"", ""hi"")"),"243")</f>
        <v>243</v>
      </c>
      <c r="G244" s="5" t="str">
        <f>IFERROR(__xludf.DUMMYFUNCTION("GOOGLETRANSLATE(B244, ""en"", ""hi"")"),"खेल के आखिरी सेकंड में, टीम B का चेज़र बाउंड्री के पास खड़े डिफेंडर को टैग करता है। नियम क्या है?")</f>
        <v>खेल के आखिरी सेकंड में, टीम B का चेज़र बाउंड्री के पास खड़े डिफेंडर को टैग करता है। नियम क्या है?</v>
      </c>
      <c r="H244" s="5" t="str">
        <f>IFERROR(__xludf.DUMMYFUNCTION("GOOGLETRANSLATE(C244,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44" s="5" t="str">
        <f>IFERROR(__xludf.DUMMYFUNCTION("GOOGLETRANSLATE(D244, ""en"", ""hi"")"),"A) डिफेंडर बाहर है")</f>
        <v>A) डिफेंडर बाहर है</v>
      </c>
    </row>
    <row r="245" ht="22.5" customHeight="1">
      <c r="A245" s="7">
        <v>244.0</v>
      </c>
      <c r="B245" s="7" t="s">
        <v>2745</v>
      </c>
      <c r="C245" s="7" t="s">
        <v>2746</v>
      </c>
      <c r="D245" s="7" t="s">
        <v>2705</v>
      </c>
      <c r="F245" s="5" t="str">
        <f>IFERROR(__xludf.DUMMYFUNCTION("GOOGLETRANSLATE(A245, ""en"", ""hi"")"),"244")</f>
        <v>244</v>
      </c>
      <c r="G245" s="5" t="str">
        <f>IFERROR(__xludf.DUMMYFUNCTION("GOOGLETRANSLATE(B245, ""en"", ""hi"")"),"टीम A का चेज़र 'खो' की दिशा को लेकर उलझन में है और डिफेंडर को टैग करने से चूक जाता है। क्या सुधार किया जाना चाहिए?")</f>
        <v>टीम A का चेज़र 'खो' की दिशा को लेकर उलझन में है और डिफेंडर को टैग करने से चूक जाता है। क्या सुधार किया जाना चाहिए?</v>
      </c>
      <c r="H245" s="5" t="str">
        <f>IFERROR(__xludf.DUMMYFUNCTION("GOOGLETRANSLATE(C245, ""en"", ""hi"")"),"A) संचार, B) गति, C) समय, D) समन्वय")</f>
        <v>A) संचार, B) गति, C) समय, D) समन्वय</v>
      </c>
      <c r="I245" s="5" t="str">
        <f>IFERROR(__xludf.DUMMYFUNCTION("GOOGLETRANSLATE(D245, ""en"", ""hi"")"),"ए) संचार")</f>
        <v>ए) संचार</v>
      </c>
    </row>
    <row r="246" ht="22.5" customHeight="1">
      <c r="A246" s="7">
        <v>245.0</v>
      </c>
      <c r="B246" s="7" t="s">
        <v>2747</v>
      </c>
      <c r="C246" s="7" t="s">
        <v>2748</v>
      </c>
      <c r="D246" s="7" t="s">
        <v>2749</v>
      </c>
      <c r="F246" s="5" t="str">
        <f>IFERROR(__xludf.DUMMYFUNCTION("GOOGLETRANSLATE(A246, ""en"", ""hi"")"),"245")</f>
        <v>245</v>
      </c>
      <c r="G246" s="5" t="str">
        <f>IFERROR(__xludf.DUMMYFUNCTION("GOOGLETRANSLATE(B246, ""en"", ""hi"")"),"टीम बी का डिफेंडर कोने में फँस गया है, लेकिन तेज़ी से मूव लगाकर टैग से बच जाता है। टीम ए के चेज़र्स के लिए सबसे अच्छी रणनीति क्या है?")</f>
        <v>टीम बी का डिफेंडर कोने में फँस गया है, लेकिन तेज़ी से मूव लगाकर टैग से बच जाता है। टीम ए के चेज़र्स के लिए सबसे अच्छी रणनीति क्या है?</v>
      </c>
      <c r="H246" s="5" t="str">
        <f>IFERROR(__xludf.DUMMYFUNCTION("GOOGLETRANSLATE(C246, ""en"", ""hi"")"),"A) कोने से भागने के रास्ते रोकें, B) गति बढ़ाएँ, C) समय सुधारें, D) रक्षक के थकने का इंतज़ार करें")</f>
        <v>A) कोने से भागने के रास्ते रोकें, B) गति बढ़ाएँ, C) समय सुधारें, D) रक्षक के थकने का इंतज़ार करें</v>
      </c>
      <c r="I246" s="5" t="str">
        <f>IFERROR(__xludf.DUMMYFUNCTION("GOOGLETRANSLATE(D246, ""en"", ""hi"")"),"A) कोने से भागने के रास्ते बंद करें")</f>
        <v>A) कोने से भागने के रास्ते बंद करें</v>
      </c>
    </row>
    <row r="247" ht="22.5" customHeight="1">
      <c r="A247" s="7">
        <v>246.0</v>
      </c>
      <c r="B247" s="7" t="s">
        <v>2750</v>
      </c>
      <c r="C247" s="7" t="s">
        <v>2751</v>
      </c>
      <c r="D247" s="7" t="s">
        <v>2752</v>
      </c>
      <c r="F247" s="5" t="str">
        <f>IFERROR(__xludf.DUMMYFUNCTION("GOOGLETRANSLATE(A247, ""en"", ""hi"")"),"246")</f>
        <v>246</v>
      </c>
      <c r="G247" s="5" t="str">
        <f>IFERROR(__xludf.DUMMYFUNCTION("GOOGLETRANSLATE(B247, ""en"", ""hi"")"),"मैच के दौरान, टीम A के चेज़र को खराब पोज़िशनिंग के कारण एक डिफेंडर द्वारा टैग कर दिया जाता है। सुधार के लिए किस पर ध्यान केंद्रित किया जाना चाहिए?")</f>
        <v>मैच के दौरान, टीम A के चेज़र को खराब पोज़िशनिंग के कारण एक डिफेंडर द्वारा टैग कर दिया जाता है। सुधार के लिए किस पर ध्यान केंद्रित किया जाना चाहिए?</v>
      </c>
      <c r="H247" s="5" t="str">
        <f>IFERROR(__xludf.DUMMYFUNCTION("GOOGLETRANSLATE(C247, ""en"", ""hi"")"),"A) स्थिति निर्धारण, B) गति, C) समय निर्धारण, D) रणनीति")</f>
        <v>A) स्थिति निर्धारण, B) गति, C) समय निर्धारण, D) रणनीति</v>
      </c>
      <c r="I247" s="5" t="str">
        <f>IFERROR(__xludf.DUMMYFUNCTION("GOOGLETRANSLATE(D247, ""en"", ""hi"")"),"ए) स्थिति निर्धारण")</f>
        <v>ए) स्थिति निर्धारण</v>
      </c>
    </row>
    <row r="248" ht="22.5" customHeight="1">
      <c r="A248" s="7">
        <v>247.0</v>
      </c>
      <c r="B248" s="7" t="s">
        <v>2753</v>
      </c>
      <c r="C248" s="7" t="s">
        <v>2754</v>
      </c>
      <c r="D248" s="7" t="s">
        <v>2708</v>
      </c>
      <c r="F248" s="5" t="str">
        <f>IFERROR(__xludf.DUMMYFUNCTION("GOOGLETRANSLATE(A248, ""en"", ""hi"")"),"247")</f>
        <v>247</v>
      </c>
      <c r="G248" s="5" t="str">
        <f>IFERROR(__xludf.DUMMYFUNCTION("GOOGLETRANSLATE(B248, ""en"", ""hi"")"),"टीम बी का चेज़र दूसरे चेज़रों के साथ खराब समन्वय के कारण डिफेंडर को टैग नहीं कर पा रहा है। इसमें क्या सुधार किया जाना चाहिए?")</f>
        <v>टीम बी का चेज़र दूसरे चेज़रों के साथ खराब समन्वय के कारण डिफेंडर को टैग नहीं कर पा रहा है। इसमें क्या सुधार किया जाना चाहिए?</v>
      </c>
      <c r="H248" s="5" t="str">
        <f>IFERROR(__xludf.DUMMYFUNCTION("GOOGLETRANSLATE(C248, ""en"", ""hi"")"),"A) समन्वय, B) गति, C) समय, D) व्यक्तिगत कौशल")</f>
        <v>A) समन्वय, B) गति, C) समय, D) व्यक्तिगत कौशल</v>
      </c>
      <c r="I248" s="5" t="str">
        <f>IFERROR(__xludf.DUMMYFUNCTION("GOOGLETRANSLATE(D248, ""en"", ""hi"")"),"ए) समन्वय")</f>
        <v>ए) समन्वय</v>
      </c>
    </row>
    <row r="249" ht="22.5" customHeight="1">
      <c r="A249" s="7">
        <v>248.0</v>
      </c>
      <c r="B249" s="7" t="s">
        <v>2755</v>
      </c>
      <c r="C249" s="7" t="s">
        <v>2756</v>
      </c>
      <c r="D249" s="7" t="s">
        <v>2717</v>
      </c>
      <c r="F249" s="5" t="str">
        <f>IFERROR(__xludf.DUMMYFUNCTION("GOOGLETRANSLATE(A249, ""en"", ""hi"")"),"248")</f>
        <v>248</v>
      </c>
      <c r="G249" s="5" t="str">
        <f>IFERROR(__xludf.DUMMYFUNCTION("GOOGLETRANSLATE(B249, ""en"", ""hi"")"),"टीम A का एक डिफेंडर टैग से बचने के लिए तेज़ी से दिशा बदल रहा है। टीम B के चेज़र्स के लिए एक अच्छी जवाबी रणनीति क्या है?")</f>
        <v>टीम A का एक डिफेंडर टैग से बचने के लिए तेज़ी से दिशा बदल रहा है। टीम B के चेज़र्स के लिए एक अच्छी जवाबी रणनीति क्या है?</v>
      </c>
      <c r="H249" s="5" t="str">
        <f>IFERROR(__xludf.DUMMYFUNCTION("GOOGLETRANSLATE(C249, ""en"", ""hi"")"),"A) संभावित बच निकलने के रास्ते बंद करें, B) गति बढ़ाएँ, C) बेहतर समय का उपयोग करें, D) रक्षक के थकने का इंतज़ार करें")</f>
        <v>A) संभावित बच निकलने के रास्ते बंद करें, B) गति बढ़ाएँ, C) बेहतर समय का उपयोग करें, D) रक्षक के थकने का इंतज़ार करें</v>
      </c>
      <c r="I249" s="5" t="str">
        <f>IFERROR(__xludf.DUMMYFUNCTION("GOOGLETRANSLATE(D249, ""en"", ""hi"")"),"A) संभावित पलायन मार्गों को अवरुद्ध करें")</f>
        <v>A) संभावित पलायन मार्गों को अवरुद्ध करें</v>
      </c>
    </row>
    <row r="250" ht="22.5" customHeight="1">
      <c r="A250" s="7">
        <v>249.0</v>
      </c>
      <c r="B250" s="7" t="s">
        <v>2757</v>
      </c>
      <c r="C250" s="7" t="s">
        <v>2758</v>
      </c>
      <c r="D250" s="7" t="s">
        <v>2759</v>
      </c>
      <c r="F250" s="5" t="str">
        <f>IFERROR(__xludf.DUMMYFUNCTION("GOOGLETRANSLATE(A250, ""en"", ""hi"")"),"249")</f>
        <v>249</v>
      </c>
      <c r="G250" s="5" t="str">
        <f>IFERROR(__xludf.DUMMYFUNCTION("GOOGLETRANSLATE(B250, ""en"", ""hi"")"),"एक बेहद दबाव भरे खेल में, टीम B का चेज़र एक डिफेंडर को टैग करता है, लेकिन टैग विवादित हो जाता है। अगला कदम क्या होना चाहिए?")</f>
        <v>एक बेहद दबाव भरे खेल में, टीम B का चेज़र एक डिफेंडर को टैग करता है, लेकिन टैग विवादित हो जाता है। अगला कदम क्या होना चाहिए?</v>
      </c>
      <c r="H250" s="5" t="str">
        <f>IFERROR(__xludf.DUMMYFUNCTION("GOOGLETRANSLATE(C250, ""en"", ""hi"")"),"A) निर्णय स्वीकार करें, B) राउंड पुनः खेलें, C) रेफरी से चर्चा करें, D) रणनीति बदलें")</f>
        <v>A) निर्णय स्वीकार करें, B) राउंड पुनः खेलें, C) रेफरी से चर्चा करें, D) रणनीति बदलें</v>
      </c>
      <c r="I250" s="5" t="str">
        <f>IFERROR(__xludf.DUMMYFUNCTION("GOOGLETRANSLATE(D250, ""en"", ""hi"")"),"A) निर्णय स्वीकार करें")</f>
        <v>A) निर्णय स्वीकार करें</v>
      </c>
    </row>
    <row r="251" ht="22.5" customHeight="1">
      <c r="A251" s="7">
        <v>250.0</v>
      </c>
      <c r="B251" s="7" t="s">
        <v>2760</v>
      </c>
      <c r="C251" s="7" t="s">
        <v>2746</v>
      </c>
      <c r="D251" s="7" t="s">
        <v>2705</v>
      </c>
      <c r="F251" s="5" t="str">
        <f>IFERROR(__xludf.DUMMYFUNCTION("GOOGLETRANSLATE(A251, ""en"", ""hi"")"),"250")</f>
        <v>250</v>
      </c>
      <c r="G251" s="5" t="str">
        <f>IFERROR(__xludf.DUMMYFUNCTION("GOOGLETRANSLATE(B251, ""en"", ""hi"")"),"टीम A का चेज़र कन्फ़्यूज़न के कारण डिफेंडर को टैग करने से चूक गया। टीम में क्या सुधार होना चाहिए?")</f>
        <v>टीम A का चेज़र कन्फ़्यूज़न के कारण डिफेंडर को टैग करने से चूक गया। टीम में क्या सुधार होना चाहिए?</v>
      </c>
      <c r="H251" s="5" t="str">
        <f>IFERROR(__xludf.DUMMYFUNCTION("GOOGLETRANSLATE(C251, ""en"", ""hi"")"),"A) संचार, B) गति, C) समय, D) समन्वय")</f>
        <v>A) संचार, B) गति, C) समय, D) समन्वय</v>
      </c>
      <c r="I251" s="5" t="str">
        <f>IFERROR(__xludf.DUMMYFUNCTION("GOOGLETRANSLATE(D251, ""en"", ""hi"")"),"ए) संचार")</f>
        <v>ए) संचार</v>
      </c>
    </row>
    <row r="252" ht="22.5" customHeight="1">
      <c r="A252" s="7">
        <v>251.0</v>
      </c>
      <c r="B252" s="7" t="s">
        <v>2761</v>
      </c>
      <c r="C252" s="7" t="s">
        <v>2762</v>
      </c>
      <c r="D252" s="7" t="s">
        <v>2763</v>
      </c>
      <c r="F252" s="5" t="str">
        <f>IFERROR(__xludf.DUMMYFUNCTION("GOOGLETRANSLATE(A252, ""en"", ""hi"")"),"251")</f>
        <v>251</v>
      </c>
      <c r="G252" s="5" t="str">
        <f>IFERROR(__xludf.DUMMYFUNCTION("GOOGLETRANSLATE(B252, ""en"", ""hi"")"),"एक मैच के दौरान, टीम B का डिफेंडर टैग से बचने के लिए बाउंड्री की ओर दौड़ रहा है। टीम A के चेज़र्स के लिए एक अच्छी रणनीति क्या है?")</f>
        <v>एक मैच के दौरान, टीम B का डिफेंडर टैग से बचने के लिए बाउंड्री की ओर दौड़ रहा है। टीम A के चेज़र्स के लिए एक अच्छी रणनीति क्या है?</v>
      </c>
      <c r="H252" s="5" t="str">
        <f>IFERROR(__xludf.DUMMYFUNCTION("GOOGLETRANSLATE(C252, ""en"", ""hi"")"),"A) सीमा के पास भागने के रास्ते बंद करें, B) गति बढ़ाएँ, C) बेहतर समय का उपयोग करें, D) लेन बदलें")</f>
        <v>A) सीमा के पास भागने के रास्ते बंद करें, B) गति बढ़ाएँ, C) बेहतर समय का उपयोग करें, D) लेन बदलें</v>
      </c>
      <c r="I252" s="5" t="str">
        <f>IFERROR(__xludf.DUMMYFUNCTION("GOOGLETRANSLATE(D252, ""en"", ""hi"")"),"A) सीमा के पास भागने के रास्ते बंद करें")</f>
        <v>A) सीमा के पास भागने के रास्ते बंद करें</v>
      </c>
    </row>
    <row r="253" ht="22.5" customHeight="1">
      <c r="A253" s="7">
        <v>252.0</v>
      </c>
      <c r="B253" s="7" t="s">
        <v>2764</v>
      </c>
      <c r="C253" s="7" t="s">
        <v>2765</v>
      </c>
      <c r="D253" s="7" t="s">
        <v>2766</v>
      </c>
      <c r="F253" s="5" t="str">
        <f>IFERROR(__xludf.DUMMYFUNCTION("GOOGLETRANSLATE(A253, ""en"", ""hi"")"),"252")</f>
        <v>252</v>
      </c>
      <c r="G253" s="5" t="str">
        <f>IFERROR(__xludf.DUMMYFUNCTION("GOOGLETRANSLATE(B253, ""en"", ""hi"")"),"टीम A का चेज़र तेज़ी से चक्कर लगा रहे डिफेंडर को टैग नहीं कर पा रहा है। सुधार के लिए किस पर ध्यान केंद्रित किया जाना चाहिए?")</f>
        <v>टीम A का चेज़र तेज़ी से चक्कर लगा रहे डिफेंडर को टैग नहीं कर पा रहा है। सुधार के लिए किस पर ध्यान केंद्रित किया जाना चाहिए?</v>
      </c>
      <c r="H253" s="5" t="str">
        <f>IFERROR(__xludf.DUMMYFUNCTION("GOOGLETRANSLATE(C253, ""en"", ""hi"")"),"A) भागने के रास्ते रोकना, B) गति बढ़ाना, C) समय में सुधार करना, D) बेहतर व्यक्तिगत कौशल")</f>
        <v>A) भागने के रास्ते रोकना, B) गति बढ़ाना, C) समय में सुधार करना, D) बेहतर व्यक्तिगत कौशल</v>
      </c>
      <c r="I253" s="5" t="str">
        <f>IFERROR(__xludf.DUMMYFUNCTION("GOOGLETRANSLATE(D253, ""en"", ""hi"")"),"A) भागने के रास्ते अवरुद्ध करना")</f>
        <v>A) भागने के रास्ते अवरुद्ध करना</v>
      </c>
    </row>
    <row r="254" ht="22.5" customHeight="1">
      <c r="A254" s="7">
        <v>253.0</v>
      </c>
      <c r="B254" s="7" t="s">
        <v>2767</v>
      </c>
      <c r="C254" s="7" t="s">
        <v>2746</v>
      </c>
      <c r="D254" s="7" t="s">
        <v>2705</v>
      </c>
      <c r="F254" s="5" t="str">
        <f>IFERROR(__xludf.DUMMYFUNCTION("GOOGLETRANSLATE(A254, ""en"", ""hi"")"),"253")</f>
        <v>253</v>
      </c>
      <c r="G254" s="5" t="str">
        <f>IFERROR(__xludf.DUMMYFUNCTION("GOOGLETRANSLATE(B254, ""en"", ""hi"")"),"खेल के आखिरी सेकंड में, टीम बी का चेज़र 'खो' की दिशा को लेकर उलझन में पड़ जाता है और टैग चूक जाता है। सुधार की मुख्य गुंजाइश क्या है?")</f>
        <v>खेल के आखिरी सेकंड में, टीम बी का चेज़र 'खो' की दिशा को लेकर उलझन में पड़ जाता है और टैग चूक जाता है। सुधार की मुख्य गुंजाइश क्या है?</v>
      </c>
      <c r="H254" s="5" t="str">
        <f>IFERROR(__xludf.DUMMYFUNCTION("GOOGLETRANSLATE(C254, ""en"", ""hi"")"),"A) संचार, B) गति, C) समय, D) समन्वय")</f>
        <v>A) संचार, B) गति, C) समय, D) समन्वय</v>
      </c>
      <c r="I254" s="5" t="str">
        <f>IFERROR(__xludf.DUMMYFUNCTION("GOOGLETRANSLATE(D254, ""en"", ""hi"")"),"ए) संचार")</f>
        <v>ए) संचार</v>
      </c>
    </row>
    <row r="255" ht="22.5" customHeight="1">
      <c r="A255" s="7">
        <v>254.0</v>
      </c>
      <c r="B255" s="7" t="s">
        <v>2768</v>
      </c>
      <c r="C255" s="7" t="s">
        <v>2769</v>
      </c>
      <c r="D255" s="7" t="s">
        <v>2770</v>
      </c>
      <c r="F255" s="5" t="str">
        <f>IFERROR(__xludf.DUMMYFUNCTION("GOOGLETRANSLATE(A255, ""en"", ""hi"")"),"254")</f>
        <v>254</v>
      </c>
      <c r="G255" s="5" t="str">
        <f>IFERROR(__xludf.DUMMYFUNCTION("GOOGLETRANSLATE(B255, ""en"", ""hi"")"),"टीम A का चेज़र 'खो' देता है, लेकिन अगला चेज़र गलत गणना के कारण टैग नहीं कर पाता। क्या सुधार किया जाना चाहिए?")</f>
        <v>टीम A का चेज़र 'खो' देता है, लेकिन अगला चेज़र गलत गणना के कारण टैग नहीं कर पाता। क्या सुधार किया जाना चाहिए?</v>
      </c>
      <c r="H255" s="5" t="str">
        <f>IFERROR(__xludf.DUMMYFUNCTION("GOOGLETRANSLATE(C255, ""en"", ""hi"")"),"A) दूरी का निर्णय, B) गति, C) समन्वय, D) समय निर्धारण")</f>
        <v>A) दूरी का निर्णय, B) गति, C) समन्वय, D) समय निर्धारण</v>
      </c>
      <c r="I255" s="5" t="str">
        <f>IFERROR(__xludf.DUMMYFUNCTION("GOOGLETRANSLATE(D255, ""en"", ""hi"")"),"A) दूरी निर्णय")</f>
        <v>A) दूरी निर्णय</v>
      </c>
    </row>
    <row r="256" ht="22.5" customHeight="1">
      <c r="A256" s="7">
        <v>255.0</v>
      </c>
      <c r="B256" s="7" t="s">
        <v>2771</v>
      </c>
      <c r="C256" s="7" t="s">
        <v>2772</v>
      </c>
      <c r="D256" s="7" t="s">
        <v>2773</v>
      </c>
      <c r="F256" s="5" t="str">
        <f>IFERROR(__xludf.DUMMYFUNCTION("GOOGLETRANSLATE(A256, ""en"", ""hi"")"),"255")</f>
        <v>255</v>
      </c>
      <c r="G256" s="5" t="str">
        <f>IFERROR(__xludf.DUMMYFUNCTION("GOOGLETRANSLATE(B256, ""en"", ""hi"")"),"मैच के दौरान, टीम B का डिफेंडर ज़िगज़ैग पैटर्न में दौड़कर टैग होने से बचता है। टीम A के चेज़र्स के लिए एक अच्छी जवाबी रणनीति क्या है?")</f>
        <v>मैच के दौरान, टीम B का डिफेंडर ज़िगज़ैग पैटर्न में दौड़कर टैग होने से बचता है। टीम A के चेज़र्स के लिए एक अच्छी जवाबी रणनीति क्या है?</v>
      </c>
      <c r="H256" s="5" t="str">
        <f>IFERROR(__xludf.DUMMYFUNCTION("GOOGLETRANSLATE(C256, ""en"", ""hi"")"),"ए) टेढ़ी-मेढ़ी गतिविधियों का पूर्वानुमान लगाना और उन्हें रोकना, बी) गति बढ़ाना, सी) बेहतर समय का उपयोग करना, डी) रक्षक के थकने का इंतजार करना")</f>
        <v>ए) टेढ़ी-मेढ़ी गतिविधियों का पूर्वानुमान लगाना और उन्हें रोकना, बी) गति बढ़ाना, सी) बेहतर समय का उपयोग करना, डी) रक्षक के थकने का इंतजार करना</v>
      </c>
      <c r="I256" s="5" t="str">
        <f>IFERROR(__xludf.DUMMYFUNCTION("GOOGLETRANSLATE(D256, ""en"", ""hi"")"),"A) ज़िगज़ैग गतिविधियों का पूर्वानुमान लगाना और उन्हें रोकना")</f>
        <v>A) ज़िगज़ैग गतिविधियों का पूर्वानुमान लगाना और उन्हें रोकना</v>
      </c>
    </row>
    <row r="257" ht="22.5" customHeight="1">
      <c r="A257" s="7">
        <v>256.0</v>
      </c>
      <c r="B257" s="7" t="s">
        <v>2774</v>
      </c>
      <c r="C257" s="7" t="s">
        <v>2775</v>
      </c>
      <c r="D257" s="7" t="s">
        <v>2458</v>
      </c>
      <c r="F257" s="5" t="str">
        <f>IFERROR(__xludf.DUMMYFUNCTION("GOOGLETRANSLATE(A257, ""en"", ""hi"")"),"256")</f>
        <v>256</v>
      </c>
      <c r="G257" s="5" t="str">
        <f>IFERROR(__xludf.DUMMYFUNCTION("GOOGLETRANSLATE(B257, ""en"", ""hi"")"),"टीम A का चेज़र एक डिफेंडर को टैग करता है, लेकिन तुरंत ही दूसरा डिफेंडर उसे टैग कर देता है। नियम क्या है?")</f>
        <v>टीम A का चेज़र एक डिफेंडर को टैग करता है, लेकिन तुरंत ही दूसरा डिफेंडर उसे टैग कर देता है। नियम क्या है?</v>
      </c>
      <c r="H257" s="5" t="str">
        <f>IFERROR(__xludf.DUMMYFUNCTION("GOOGLETRANSLATE(C257, ""en"", ""hi"")"),"A) डिफेंडर सुरक्षित है, B) दोनों चेज़र बाहर हैं, C) डिफेंडर बाहर है, D) राउंड पुनः शुरू होता है")</f>
        <v>A) डिफेंडर सुरक्षित है, B) दोनों चेज़र बाहर हैं, C) डिफेंडर बाहर है, D) राउंड पुनः शुरू होता है</v>
      </c>
      <c r="I257" s="5" t="str">
        <f>IFERROR(__xludf.DUMMYFUNCTION("GOOGLETRANSLATE(D257, ""en"", ""hi"")"),"A) डिफेंडर सुरक्षित है")</f>
        <v>A) डिफेंडर सुरक्षित है</v>
      </c>
    </row>
    <row r="258" ht="22.5" customHeight="1">
      <c r="A258" s="7">
        <v>257.0</v>
      </c>
      <c r="B258" s="7" t="s">
        <v>2776</v>
      </c>
      <c r="C258" s="7" t="s">
        <v>2777</v>
      </c>
      <c r="D258" s="7" t="s">
        <v>2752</v>
      </c>
      <c r="F258" s="5" t="str">
        <f>IFERROR(__xludf.DUMMYFUNCTION("GOOGLETRANSLATE(A258, ""en"", ""hi"")"),"257")</f>
        <v>257</v>
      </c>
      <c r="G258" s="5" t="str">
        <f>IFERROR(__xludf.DUMMYFUNCTION("GOOGLETRANSLATE(B258, ""en"", ""hi"")"),"टीम बी का चेज़र खराब पोज़िशनिंग के कारण टैग चूक जाता है। सुधार के लिए किस पर ध्यान केंद्रित किया जाना चाहिए?")</f>
        <v>टीम बी का चेज़र खराब पोज़िशनिंग के कारण टैग चूक जाता है। सुधार के लिए किस पर ध्यान केंद्रित किया जाना चाहिए?</v>
      </c>
      <c r="H258" s="5" t="str">
        <f>IFERROR(__xludf.DUMMYFUNCTION("GOOGLETRANSLATE(C258, ""en"", ""hi"")"),"A) स्थिति निर्धारण, B) गति, C) समय निर्धारण, D) समन्वय")</f>
        <v>A) स्थिति निर्धारण, B) गति, C) समय निर्धारण, D) समन्वय</v>
      </c>
      <c r="I258" s="5" t="str">
        <f>IFERROR(__xludf.DUMMYFUNCTION("GOOGLETRANSLATE(D258, ""en"", ""hi"")"),"ए) स्थिति निर्धारण")</f>
        <v>ए) स्थिति निर्धारण</v>
      </c>
    </row>
    <row r="259" ht="22.5" customHeight="1">
      <c r="A259" s="7">
        <v>258.0</v>
      </c>
      <c r="B259" s="7" t="s">
        <v>2778</v>
      </c>
      <c r="C259" s="7" t="s">
        <v>2779</v>
      </c>
      <c r="D259" s="7" t="s">
        <v>2780</v>
      </c>
      <c r="F259" s="5" t="str">
        <f>IFERROR(__xludf.DUMMYFUNCTION("GOOGLETRANSLATE(A259, ""en"", ""hi"")"),"258")</f>
        <v>258</v>
      </c>
      <c r="G259" s="5" t="str">
        <f>IFERROR(__xludf.DUMMYFUNCTION("GOOGLETRANSLATE(B259, ""en"", ""hi"")"),"टीम A का एक डिफेंडर टैग से बचने के लिए तेज़ पार्श्व गति का उपयोग कर रहा है। टीम B के चेज़र्स के लिए एक अच्छी रणनीति क्या है?")</f>
        <v>टीम A का एक डिफेंडर टैग से बचने के लिए तेज़ पार्श्व गति का उपयोग कर रहा है। टीम B के चेज़र्स के लिए एक अच्छी रणनीति क्या है?</v>
      </c>
      <c r="H259" s="5" t="str">
        <f>IFERROR(__xludf.DUMMYFUNCTION("GOOGLETRANSLATE(C259, ""en"", ""hi"")"),"A) पार्श्व गतिविधियों को रोकें, B) गति बढ़ाएँ, C) बेहतर समय का उपयोग करें, D) रक्षक के थकने की प्रतीक्षा करें")</f>
        <v>A) पार्श्व गतिविधियों को रोकें, B) गति बढ़ाएँ, C) बेहतर समय का उपयोग करें, D) रक्षक के थकने की प्रतीक्षा करें</v>
      </c>
      <c r="I259" s="5" t="str">
        <f>IFERROR(__xludf.DUMMYFUNCTION("GOOGLETRANSLATE(D259, ""en"", ""hi"")"),"A) पार्श्व गतिविधियों को अवरुद्ध करें")</f>
        <v>A) पार्श्व गतिविधियों को अवरुद्ध करें</v>
      </c>
    </row>
    <row r="260" ht="22.5" customHeight="1">
      <c r="A260" s="7">
        <v>259.0</v>
      </c>
      <c r="B260" s="7" t="s">
        <v>2781</v>
      </c>
      <c r="C260" s="7" t="s">
        <v>2722</v>
      </c>
      <c r="D260" s="7" t="s">
        <v>2485</v>
      </c>
      <c r="F260" s="5" t="str">
        <f>IFERROR(__xludf.DUMMYFUNCTION("GOOGLETRANSLATE(A260, ""en"", ""hi"")"),"259")</f>
        <v>259</v>
      </c>
      <c r="G260" s="5" t="str">
        <f>IFERROR(__xludf.DUMMYFUNCTION("GOOGLETRANSLATE(B260, ""en"", ""hi"")"),"एक महत्वपूर्ण क्षण में, टीम B का चेज़र सीधे दौड़ रहे एक डिफेंडर को टैग करता है। सही नियम क्या है?")</f>
        <v>एक महत्वपूर्ण क्षण में, टीम B का चेज़र सीधे दौड़ रहे एक डिफेंडर को टैग करता है। सही नियम क्या है?</v>
      </c>
      <c r="H260" s="5" t="str">
        <f>IFERROR(__xludf.DUMMYFUNCTION("GOOGLETRANSLATE(C260,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60" s="5" t="str">
        <f>IFERROR(__xludf.DUMMYFUNCTION("GOOGLETRANSLATE(D260, ""en"", ""hi"")"),"A) डिफेंडर बाहर है")</f>
        <v>A) डिफेंडर बाहर है</v>
      </c>
    </row>
    <row r="261" ht="22.5" customHeight="1">
      <c r="A261" s="7">
        <v>260.0</v>
      </c>
      <c r="B261" s="7" t="s">
        <v>2782</v>
      </c>
      <c r="C261" s="7" t="s">
        <v>2746</v>
      </c>
      <c r="D261" s="7" t="s">
        <v>2705</v>
      </c>
      <c r="F261" s="5" t="str">
        <f>IFERROR(__xludf.DUMMYFUNCTION("GOOGLETRANSLATE(A261, ""en"", ""hi"")"),"260")</f>
        <v>260</v>
      </c>
      <c r="G261" s="5" t="str">
        <f>IFERROR(__xludf.DUMMYFUNCTION("GOOGLETRANSLATE(B261, ""en"", ""hi"")"),"टीम A का चेज़र 'खो' की दिशा को लेकर असमंजस के कारण डिफेंडर को टैग नहीं कर पा रहा है। इसमें क्या सुधार किया जाना चाहिए?")</f>
        <v>टीम A का चेज़र 'खो' की दिशा को लेकर असमंजस के कारण डिफेंडर को टैग नहीं कर पा रहा है। इसमें क्या सुधार किया जाना चाहिए?</v>
      </c>
      <c r="H261" s="5" t="str">
        <f>IFERROR(__xludf.DUMMYFUNCTION("GOOGLETRANSLATE(C261, ""en"", ""hi"")"),"A) संचार, B) गति, C) समय, D) समन्वय")</f>
        <v>A) संचार, B) गति, C) समय, D) समन्वय</v>
      </c>
      <c r="I261" s="5" t="str">
        <f>IFERROR(__xludf.DUMMYFUNCTION("GOOGLETRANSLATE(D261, ""en"", ""hi"")"),"ए) संचार")</f>
        <v>ए) संचार</v>
      </c>
    </row>
    <row r="262" ht="22.5" customHeight="1">
      <c r="A262" s="7">
        <v>261.0</v>
      </c>
      <c r="B262" s="7" t="s">
        <v>2783</v>
      </c>
      <c r="C262" s="7" t="s">
        <v>2784</v>
      </c>
      <c r="D262" s="7" t="s">
        <v>2785</v>
      </c>
      <c r="F262" s="5" t="str">
        <f>IFERROR(__xludf.DUMMYFUNCTION("GOOGLETRANSLATE(A262, ""en"", ""hi"")"),"261")</f>
        <v>261</v>
      </c>
      <c r="G262" s="5" t="str">
        <f>IFERROR(__xludf.DUMMYFUNCTION("GOOGLETRANSLATE(B262, ""en"", ""hi"")"),"टीम बी का चेज़र 'खो' देता है, लेकिन अगला चेज़र टैग करने के लिए तैयार नहीं होता। टीम बी के सुधार पर किस पर ध्यान केंद्रित किया जाना चाहिए?")</f>
        <v>टीम बी का चेज़र 'खो' देता है, लेकिन अगला चेज़र टैग करने के लिए तैयार नहीं होता। टीम बी के सुधार पर किस पर ध्यान केंद्रित किया जाना चाहिए?</v>
      </c>
      <c r="H262" s="5" t="str">
        <f>IFERROR(__xludf.DUMMYFUNCTION("GOOGLETRANSLATE(C262, ""en"", ""hi"")"),"A) तत्परता और समन्वय, B) गति, C) व्यक्तिगत कौशल, D) रणनीति")</f>
        <v>A) तत्परता और समन्वय, B) गति, C) व्यक्तिगत कौशल, D) रणनीति</v>
      </c>
      <c r="I262" s="5" t="str">
        <f>IFERROR(__xludf.DUMMYFUNCTION("GOOGLETRANSLATE(D262, ""en"", ""hi"")"),"ए) तत्परता और समन्वय")</f>
        <v>ए) तत्परता और समन्वय</v>
      </c>
    </row>
    <row r="263" ht="22.5" customHeight="1">
      <c r="A263" s="7">
        <v>262.0</v>
      </c>
      <c r="B263" s="7" t="s">
        <v>2786</v>
      </c>
      <c r="C263" s="7" t="s">
        <v>2787</v>
      </c>
      <c r="D263" s="7" t="s">
        <v>2788</v>
      </c>
      <c r="F263" s="5" t="str">
        <f>IFERROR(__xludf.DUMMYFUNCTION("GOOGLETRANSLATE(A263, ""en"", ""hi"")"),"262")</f>
        <v>262</v>
      </c>
      <c r="G263" s="5" t="str">
        <f>IFERROR(__xludf.DUMMYFUNCTION("GOOGLETRANSLATE(B263, ""en"", ""hi"")"),"टीम A के डिफेंडर को चेज़र्स ने घेर लिया है और वह तेज़ी से बच निकलने की कोशिश करता है। टीम B के चेज़र्स को क्या करना चाहिए?")</f>
        <v>टीम A के डिफेंडर को चेज़र्स ने घेर लिया है और वह तेज़ी से बच निकलने की कोशिश करता है। टीम B के चेज़र्स को क्या करना चाहिए?</v>
      </c>
      <c r="H263" s="5" t="str">
        <f>IFERROR(__xludf.DUMMYFUNCTION("GOOGLETRANSLATE(C263, ""en"", ""hi"")"),"A) सभी संभावित भागने के रास्ते बंद करें, B) गति बढ़ाएँ, C) व्यक्तिगत कौशल में सुधार करें, D) रक्षक के थकने का इंतज़ार करें")</f>
        <v>A) सभी संभावित भागने के रास्ते बंद करें, B) गति बढ़ाएँ, C) व्यक्तिगत कौशल में सुधार करें, D) रक्षक के थकने का इंतज़ार करें</v>
      </c>
      <c r="I263" s="5" t="str">
        <f>IFERROR(__xludf.DUMMYFUNCTION("GOOGLETRANSLATE(D263, ""en"", ""hi"")"),"A) सभी संभावित भागने के रास्तों को अवरुद्ध करें")</f>
        <v>A) सभी संभावित भागने के रास्तों को अवरुद्ध करें</v>
      </c>
    </row>
    <row r="264" ht="22.5" customHeight="1">
      <c r="A264" s="7">
        <v>263.0</v>
      </c>
      <c r="B264" s="7" t="s">
        <v>2789</v>
      </c>
      <c r="C264" s="7" t="s">
        <v>2790</v>
      </c>
      <c r="D264" s="7" t="s">
        <v>2791</v>
      </c>
      <c r="F264" s="5" t="str">
        <f>IFERROR(__xludf.DUMMYFUNCTION("GOOGLETRANSLATE(A264, ""en"", ""hi"")"),"263")</f>
        <v>263</v>
      </c>
      <c r="G264" s="5" t="str">
        <f>IFERROR(__xludf.DUMMYFUNCTION("GOOGLETRANSLATE(B264, ""en"", ""hi"")"),"अंतिम क्षणों में, टीम बी का चेज़र खराब टाइमिंग के कारण डिफेंडर को टैग करने से चूक जाता है। इसमें क्या सुधार होना चाहिए?")</f>
        <v>अंतिम क्षणों में, टीम बी का चेज़र खराब टाइमिंग के कारण डिफेंडर को टैग करने से चूक जाता है। इसमें क्या सुधार होना चाहिए?</v>
      </c>
      <c r="H264" s="5" t="str">
        <f>IFERROR(__xludf.DUMMYFUNCTION("GOOGLETRANSLATE(C264, ""en"", ""hi"")"),"A) समय, B) गति, C) समन्वय, D) व्यक्तिगत कौशल")</f>
        <v>A) समय, B) गति, C) समन्वय, D) व्यक्तिगत कौशल</v>
      </c>
      <c r="I264" s="5" t="str">
        <f>IFERROR(__xludf.DUMMYFUNCTION("GOOGLETRANSLATE(D264, ""en"", ""hi"")"),"ए) समय")</f>
        <v>ए) समय</v>
      </c>
    </row>
    <row r="265" ht="22.5" customHeight="1">
      <c r="A265" s="7">
        <v>264.0</v>
      </c>
      <c r="B265" s="7" t="s">
        <v>2792</v>
      </c>
      <c r="C265" s="7" t="s">
        <v>2722</v>
      </c>
      <c r="D265" s="7" t="s">
        <v>2485</v>
      </c>
      <c r="F265" s="5" t="str">
        <f>IFERROR(__xludf.DUMMYFUNCTION("GOOGLETRANSLATE(A265, ""en"", ""hi"")"),"264")</f>
        <v>264</v>
      </c>
      <c r="G265" s="5" t="str">
        <f>IFERROR(__xludf.DUMMYFUNCTION("GOOGLETRANSLATE(B265, ""en"", ""hi"")"),"टीम A का चेज़र एक डिफेंडर को टैग करता है जो बाउंड्री पर दौड़ रहा था। इस टैग का नियम क्या है?")</f>
        <v>टीम A का चेज़र एक डिफेंडर को टैग करता है जो बाउंड्री पर दौड़ रहा था। इस टैग का नियम क्या है?</v>
      </c>
      <c r="H265" s="5" t="str">
        <f>IFERROR(__xludf.DUMMYFUNCTION("GOOGLETRANSLATE(C265,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65" s="5" t="str">
        <f>IFERROR(__xludf.DUMMYFUNCTION("GOOGLETRANSLATE(D265, ""en"", ""hi"")"),"A) डिफेंडर बाहर है")</f>
        <v>A) डिफेंडर बाहर है</v>
      </c>
    </row>
    <row r="266" ht="22.5" customHeight="1">
      <c r="A266" s="7">
        <v>265.0</v>
      </c>
      <c r="B266" s="7" t="s">
        <v>2793</v>
      </c>
      <c r="C266" s="7" t="s">
        <v>2794</v>
      </c>
      <c r="D266" s="7" t="s">
        <v>2770</v>
      </c>
      <c r="F266" s="5" t="str">
        <f>IFERROR(__xludf.DUMMYFUNCTION("GOOGLETRANSLATE(A266, ""en"", ""hi"")"),"265")</f>
        <v>265</v>
      </c>
      <c r="G266" s="5" t="str">
        <f>IFERROR(__xludf.DUMMYFUNCTION("GOOGLETRANSLATE(B266, ""en"", ""hi"")"),"एक खेल के दौरान, टीम B का चेज़र गलत दूरी के कारण डिफेंडर को टैग नहीं कर पाता है। इसमें क्या सुधार किया जाना चाहिए?")</f>
        <v>एक खेल के दौरान, टीम B का चेज़र गलत दूरी के कारण डिफेंडर को टैग नहीं कर पाता है। इसमें क्या सुधार किया जाना चाहिए?</v>
      </c>
      <c r="H266" s="5" t="str">
        <f>IFERROR(__xludf.DUMMYFUNCTION("GOOGLETRANSLATE(C266, ""en"", ""hi"")"),"A) दूरी का निर्णय, B) गति, C) समय निर्धारण, D) समन्वय")</f>
        <v>A) दूरी का निर्णय, B) गति, C) समय निर्धारण, D) समन्वय</v>
      </c>
      <c r="I266" s="5" t="str">
        <f>IFERROR(__xludf.DUMMYFUNCTION("GOOGLETRANSLATE(D266, ""en"", ""hi"")"),"A) दूरी निर्णय")</f>
        <v>A) दूरी निर्णय</v>
      </c>
    </row>
    <row r="267" ht="22.5" customHeight="1">
      <c r="A267" s="7">
        <v>266.0</v>
      </c>
      <c r="B267" s="7" t="s">
        <v>2795</v>
      </c>
      <c r="C267" s="7" t="s">
        <v>2796</v>
      </c>
      <c r="D267" s="7" t="s">
        <v>2797</v>
      </c>
      <c r="F267" s="5" t="str">
        <f>IFERROR(__xludf.DUMMYFUNCTION("GOOGLETRANSLATE(A267, ""en"", ""hi"")"),"266")</f>
        <v>266</v>
      </c>
      <c r="G267" s="5" t="str">
        <f>IFERROR(__xludf.DUMMYFUNCTION("GOOGLETRANSLATE(B267, ""en"", ""hi"")"),"टीम A का एक डिफेंडर ज़िगज़ैग रनिंग पैटर्न में टैग होने से बच रहा है। टीम B के चेज़र्स को किस पर ध्यान केंद्रित करना चाहिए?")</f>
        <v>टीम A का एक डिफेंडर ज़िगज़ैग रनिंग पैटर्न में टैग होने से बच रहा है। टीम B के चेज़र्स को किस पर ध्यान केंद्रित करना चाहिए?</v>
      </c>
      <c r="H267" s="5" t="str">
        <f>IFERROR(__xludf.DUMMYFUNCTION("GOOGLETRANSLATE(C267, ""en"", ""hi"")"),"A) ज़िगज़ैग पैटर्न का पूर्वानुमान करें और उसे रोकें, B) गति बढ़ाएँ, C) बेहतर समय का उपयोग करें, D) रणनीति बदलें")</f>
        <v>A) ज़िगज़ैग पैटर्न का पूर्वानुमान करें और उसे रोकें, B) गति बढ़ाएँ, C) बेहतर समय का उपयोग करें, D) रणनीति बदलें</v>
      </c>
      <c r="I267" s="5" t="str">
        <f>IFERROR(__xludf.DUMMYFUNCTION("GOOGLETRANSLATE(D267, ""en"", ""hi"")"),"A) ज़िगज़ैग पैटर्न का पूर्वानुमान लगाना और उसे रोकना")</f>
        <v>A) ज़िगज़ैग पैटर्न का पूर्वानुमान लगाना और उसे रोकना</v>
      </c>
    </row>
    <row r="268" ht="22.5" customHeight="1">
      <c r="A268" s="7">
        <v>267.0</v>
      </c>
      <c r="B268" s="7" t="s">
        <v>2798</v>
      </c>
      <c r="C268" s="7" t="s">
        <v>2695</v>
      </c>
      <c r="D268" s="7" t="s">
        <v>2696</v>
      </c>
      <c r="F268" s="5" t="str">
        <f>IFERROR(__xludf.DUMMYFUNCTION("GOOGLETRANSLATE(A268, ""en"", ""hi"")"),"267")</f>
        <v>267</v>
      </c>
      <c r="G268" s="5" t="str">
        <f>IFERROR(__xludf.DUMMYFUNCTION("GOOGLETRANSLATE(B268, ""en"", ""hi"")"),"एक अहम मौके पर, टीम B का चेज़र एक डिफेंडर को टैग करता है, लेकिन तुरंत ही दूसरा चेज़र उसे टैग कर देता है। नतीजा क्या होता है?")</f>
        <v>एक अहम मौके पर, टीम B का चेज़र एक डिफेंडर को टैग करता है, लेकिन तुरंत ही दूसरा चेज़र उसे टैग कर देता है। नतीजा क्या होता है?</v>
      </c>
      <c r="H268" s="5" t="str">
        <f>IFERROR(__xludf.DUMMYFUNCTION("GOOGLETRANSLATE(C268, ""en"", ""hi"")"),"A) डिफेंडर बाहर है, B) दोनों चेज़र बाहर हैं, C) डिफेंडर सुरक्षित है, D) राउंड पुनः शुरू होता है")</f>
        <v>A) डिफेंडर बाहर है, B) दोनों चेज़र बाहर हैं, C) डिफेंडर सुरक्षित है, D) राउंड पुनः शुरू होता है</v>
      </c>
      <c r="I268" s="5" t="str">
        <f>IFERROR(__xludf.DUMMYFUNCTION("GOOGLETRANSLATE(D268, ""en"", ""hi"")"),"C) डिफेंडर सुरक्षित है")</f>
        <v>C) डिफेंडर सुरक्षित है</v>
      </c>
    </row>
    <row r="269" ht="22.5" customHeight="1">
      <c r="A269" s="7">
        <v>268.0</v>
      </c>
      <c r="B269" s="7" t="s">
        <v>2799</v>
      </c>
      <c r="C269" s="7" t="s">
        <v>2746</v>
      </c>
      <c r="D269" s="7" t="s">
        <v>2705</v>
      </c>
      <c r="F269" s="5" t="str">
        <f>IFERROR(__xludf.DUMMYFUNCTION("GOOGLETRANSLATE(A269, ""en"", ""hi"")"),"268")</f>
        <v>268</v>
      </c>
      <c r="G269" s="5" t="str">
        <f>IFERROR(__xludf.DUMMYFUNCTION("GOOGLETRANSLATE(B269, ""en"", ""hi"")"),"टीम A का चेज़र 'खो' की दिशा को लेकर असमंजस के कारण टैग चूक गया। सुधार के लिए किस पर ध्यान केंद्रित किया जाना चाहिए?")</f>
        <v>टीम A का चेज़र 'खो' की दिशा को लेकर असमंजस के कारण टैग चूक गया। सुधार के लिए किस पर ध्यान केंद्रित किया जाना चाहिए?</v>
      </c>
      <c r="H269" s="5" t="str">
        <f>IFERROR(__xludf.DUMMYFUNCTION("GOOGLETRANSLATE(C269, ""en"", ""hi"")"),"A) संचार, B) गति, C) समय, D) समन्वय")</f>
        <v>A) संचार, B) गति, C) समय, D) समन्वय</v>
      </c>
      <c r="I269" s="5" t="str">
        <f>IFERROR(__xludf.DUMMYFUNCTION("GOOGLETRANSLATE(D269, ""en"", ""hi"")"),"ए) संचार")</f>
        <v>ए) संचार</v>
      </c>
    </row>
    <row r="270" ht="22.5" customHeight="1">
      <c r="A270" s="7">
        <v>269.0</v>
      </c>
      <c r="B270" s="7" t="s">
        <v>2800</v>
      </c>
      <c r="C270" s="7" t="s">
        <v>2801</v>
      </c>
      <c r="D270" s="7" t="s">
        <v>2737</v>
      </c>
      <c r="F270" s="5" t="str">
        <f>IFERROR(__xludf.DUMMYFUNCTION("GOOGLETRANSLATE(A270, ""en"", ""hi"")"),"269")</f>
        <v>269</v>
      </c>
      <c r="G270" s="5" t="str">
        <f>IFERROR(__xludf.DUMMYFUNCTION("GOOGLETRANSLATE(B270, ""en"", ""hi"")"),"टीम बी का डिफेंडर गोल घेरे में दौड़कर टैग होने से बच रहा है। टीम ए के चेज़र्स के लिए प्रभावी रणनीति क्या है?")</f>
        <v>टीम बी का डिफेंडर गोल घेरे में दौड़कर टैग होने से बच रहा है। टीम ए के चेज़र्स के लिए प्रभावी रणनीति क्या है?</v>
      </c>
      <c r="H270" s="5" t="str">
        <f>IFERROR(__xludf.DUMMYFUNCTION("GOOGLETRANSLATE(C270, ""en"", ""hi"")"),"A) गोल घेरे में बच निकलने के रास्ते रोकें, B) गति बढ़ाएँ, C) समय सुधारें, D) रक्षक के थकने का इंतज़ार करें")</f>
        <v>A) गोल घेरे में बच निकलने के रास्ते रोकें, B) गति बढ़ाएँ, C) समय सुधारें, D) रक्षक के थकने का इंतज़ार करें</v>
      </c>
      <c r="I270" s="5" t="str">
        <f>IFERROR(__xludf.DUMMYFUNCTION("GOOGLETRANSLATE(D270, ""en"", ""hi"")"),"A) भागने के रास्तों को गोलाकार में अवरुद्ध करें")</f>
        <v>A) भागने के रास्तों को गोलाकार में अवरुद्ध करें</v>
      </c>
    </row>
    <row r="271" ht="22.5" customHeight="1">
      <c r="A271" s="7">
        <v>270.0</v>
      </c>
      <c r="B271" s="7" t="s">
        <v>2802</v>
      </c>
      <c r="C271" s="7" t="s">
        <v>2722</v>
      </c>
      <c r="D271" s="7" t="s">
        <v>2485</v>
      </c>
      <c r="F271" s="5" t="str">
        <f>IFERROR(__xludf.DUMMYFUNCTION("GOOGLETRANSLATE(A271, ""en"", ""hi"")"),"270")</f>
        <v>270</v>
      </c>
      <c r="G271" s="5" t="str">
        <f>IFERROR(__xludf.DUMMYFUNCTION("GOOGLETRANSLATE(B271, ""en"", ""hi"")"),"एक मैच के दौरान, टीम A का चेज़र एक डिफेंडर को टैग करता है जो बाउंड्री के पास दौड़ रहा था। इसका नियम क्या है?")</f>
        <v>एक मैच के दौरान, टीम A का चेज़र एक डिफेंडर को टैग करता है जो बाउंड्री के पास दौड़ रहा था। इसका नियम क्या है?</v>
      </c>
      <c r="H271" s="5" t="str">
        <f>IFERROR(__xludf.DUMMYFUNCTION("GOOGLETRANSLATE(C271,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71" s="5" t="str">
        <f>IFERROR(__xludf.DUMMYFUNCTION("GOOGLETRANSLATE(D271, ""en"", ""hi"")"),"A) डिफेंडर बाहर है")</f>
        <v>A) डिफेंडर बाहर है</v>
      </c>
    </row>
    <row r="272" ht="22.5" customHeight="1">
      <c r="A272" s="7">
        <v>271.0</v>
      </c>
      <c r="B272" s="7" t="s">
        <v>2803</v>
      </c>
      <c r="C272" s="7" t="s">
        <v>2777</v>
      </c>
      <c r="D272" s="7" t="s">
        <v>2752</v>
      </c>
      <c r="F272" s="5" t="str">
        <f>IFERROR(__xludf.DUMMYFUNCTION("GOOGLETRANSLATE(A272, ""en"", ""hi"")"),"271")</f>
        <v>271</v>
      </c>
      <c r="G272" s="5" t="str">
        <f>IFERROR(__xludf.DUMMYFUNCTION("GOOGLETRANSLATE(B272, ""en"", ""hi"")"),"टीम बी का चेज़र खराब पोज़िशनिंग के कारण डिफेंडर को टैग नहीं कर पा रहा है। सुधार के लिए किस पर ध्यान केंद्रित किया जाना चाहिए?")</f>
        <v>टीम बी का चेज़र खराब पोज़िशनिंग के कारण डिफेंडर को टैग नहीं कर पा रहा है। सुधार के लिए किस पर ध्यान केंद्रित किया जाना चाहिए?</v>
      </c>
      <c r="H272" s="5" t="str">
        <f>IFERROR(__xludf.DUMMYFUNCTION("GOOGLETRANSLATE(C272, ""en"", ""hi"")"),"A) स्थिति निर्धारण, B) गति, C) समय निर्धारण, D) समन्वय")</f>
        <v>A) स्थिति निर्धारण, B) गति, C) समय निर्धारण, D) समन्वय</v>
      </c>
      <c r="I272" s="5" t="str">
        <f>IFERROR(__xludf.DUMMYFUNCTION("GOOGLETRANSLATE(D272, ""en"", ""hi"")"),"ए) स्थिति निर्धारण")</f>
        <v>ए) स्थिति निर्धारण</v>
      </c>
    </row>
    <row r="273" ht="22.5" customHeight="1">
      <c r="A273" s="7">
        <v>272.0</v>
      </c>
      <c r="B273" s="7" t="s">
        <v>2804</v>
      </c>
      <c r="C273" s="7" t="s">
        <v>2805</v>
      </c>
      <c r="D273" s="7" t="s">
        <v>2743</v>
      </c>
      <c r="F273" s="5" t="str">
        <f>IFERROR(__xludf.DUMMYFUNCTION("GOOGLETRANSLATE(A273, ""en"", ""hi"")"),"272")</f>
        <v>272</v>
      </c>
      <c r="G273" s="5" t="str">
        <f>IFERROR(__xludf.DUMMYFUNCTION("GOOGLETRANSLATE(B273, ""en"", ""hi"")"),"टीम A का एक डिफेंडर टैग से बचने के लिए तेज़ मोड़ ले रहा है। टीम B के चेज़र्स को किस पर ध्यान केंद्रित करना चाहिए?")</f>
        <v>टीम A का एक डिफेंडर टैग से बचने के लिए तेज़ मोड़ ले रहा है। टीम B के चेज़र्स को किस पर ध्यान केंद्रित करना चाहिए?</v>
      </c>
      <c r="H273" s="5" t="str">
        <f>IFERROR(__xludf.DUMMYFUNCTION("GOOGLETRANSLATE(C273, ""en"", ""hi"")"),"A) तीखे मोड़ों का पूर्वानुमान करें, B) गति बढ़ाएँ, C) समय में सुधार करें, D) बेहतर रणनीति का उपयोग करें")</f>
        <v>A) तीखे मोड़ों का पूर्वानुमान करें, B) गति बढ़ाएँ, C) समय में सुधार करें, D) बेहतर रणनीति का उपयोग करें</v>
      </c>
      <c r="I273" s="5" t="str">
        <f>IFERROR(__xludf.DUMMYFUNCTION("GOOGLETRANSLATE(D273, ""en"", ""hi"")"),"A) तीखे मोड़ों का पूर्वानुमान करें")</f>
        <v>A) तीखे मोड़ों का पूर्वानुमान करें</v>
      </c>
    </row>
    <row r="274" ht="22.5" customHeight="1">
      <c r="A274" s="7">
        <v>273.0</v>
      </c>
      <c r="B274" s="7" t="s">
        <v>2806</v>
      </c>
      <c r="C274" s="7" t="s">
        <v>2746</v>
      </c>
      <c r="D274" s="7" t="s">
        <v>2705</v>
      </c>
      <c r="F274" s="5" t="str">
        <f>IFERROR(__xludf.DUMMYFUNCTION("GOOGLETRANSLATE(A274, ""en"", ""hi"")"),"273")</f>
        <v>273</v>
      </c>
      <c r="G274" s="5" t="str">
        <f>IFERROR(__xludf.DUMMYFUNCTION("GOOGLETRANSLATE(B274, ""en"", ""hi"")"),"खेल के आखिरी क्षणों में, टीम बी का चेज़र 'खो' की दिशा को लेकर उलझन में पड़ जाता है और टैग चूक जाता है। क्या सुधार किया जाना चाहिए?")</f>
        <v>खेल के आखिरी क्षणों में, टीम बी का चेज़र 'खो' की दिशा को लेकर उलझन में पड़ जाता है और टैग चूक जाता है। क्या सुधार किया जाना चाहिए?</v>
      </c>
      <c r="H274" s="5" t="str">
        <f>IFERROR(__xludf.DUMMYFUNCTION("GOOGLETRANSLATE(C274, ""en"", ""hi"")"),"A) संचार, B) गति, C) समय, D) समन्वय")</f>
        <v>A) संचार, B) गति, C) समय, D) समन्वय</v>
      </c>
      <c r="I274" s="5" t="str">
        <f>IFERROR(__xludf.DUMMYFUNCTION("GOOGLETRANSLATE(D274, ""en"", ""hi"")"),"ए) संचार")</f>
        <v>ए) संचार</v>
      </c>
    </row>
    <row r="275" ht="22.5" customHeight="1">
      <c r="A275" s="7">
        <v>274.0</v>
      </c>
      <c r="B275" s="7" t="s">
        <v>2807</v>
      </c>
      <c r="C275" s="7" t="s">
        <v>2794</v>
      </c>
      <c r="D275" s="7" t="s">
        <v>2770</v>
      </c>
      <c r="F275" s="5" t="str">
        <f>IFERROR(__xludf.DUMMYFUNCTION("GOOGLETRANSLATE(A275, ""en"", ""hi"")"),"274")</f>
        <v>274</v>
      </c>
      <c r="G275" s="5" t="str">
        <f>IFERROR(__xludf.DUMMYFUNCTION("GOOGLETRANSLATE(B275, ""en"", ""hi"")"),"टीम A का चेज़र दूरी का सही अंदाज़ा न लगा पाने के कारण डिफेंडर को टैग नहीं कर पा रहा है। सुधार के लिए मुख्य ध्यान किस पर होना चाहिए?")</f>
        <v>टीम A का चेज़र दूरी का सही अंदाज़ा न लगा पाने के कारण डिफेंडर को टैग नहीं कर पा रहा है। सुधार के लिए मुख्य ध्यान किस पर होना चाहिए?</v>
      </c>
      <c r="H275" s="5" t="str">
        <f>IFERROR(__xludf.DUMMYFUNCTION("GOOGLETRANSLATE(C275, ""en"", ""hi"")"),"A) दूरी का निर्णय, B) गति, C) समय निर्धारण, D) समन्वय")</f>
        <v>A) दूरी का निर्णय, B) गति, C) समय निर्धारण, D) समन्वय</v>
      </c>
      <c r="I275" s="5" t="str">
        <f>IFERROR(__xludf.DUMMYFUNCTION("GOOGLETRANSLATE(D275, ""en"", ""hi"")"),"A) दूरी निर्णय")</f>
        <v>A) दूरी निर्णय</v>
      </c>
    </row>
    <row r="276" ht="22.5" customHeight="1">
      <c r="A276" s="7">
        <v>275.0</v>
      </c>
      <c r="B276" s="7" t="s">
        <v>2808</v>
      </c>
      <c r="C276" s="7" t="s">
        <v>2779</v>
      </c>
      <c r="D276" s="7" t="s">
        <v>2780</v>
      </c>
      <c r="F276" s="5" t="str">
        <f>IFERROR(__xludf.DUMMYFUNCTION("GOOGLETRANSLATE(A276, ""en"", ""hi"")"),"275")</f>
        <v>275</v>
      </c>
      <c r="G276" s="5" t="str">
        <f>IFERROR(__xludf.DUMMYFUNCTION("GOOGLETRANSLATE(B276, ""en"", ""hi"")"),"खेल के एक महत्वपूर्ण क्षण में, टीम B का डिफेंडर तेज़ी से पार्श्व गति से टैग से बच रहा है। टीम A के चेज़र्स को किस पर ध्यान केंद्रित करना चाहिए?")</f>
        <v>खेल के एक महत्वपूर्ण क्षण में, टीम B का डिफेंडर तेज़ी से पार्श्व गति से टैग से बच रहा है। टीम A के चेज़र्स को किस पर ध्यान केंद्रित करना चाहिए?</v>
      </c>
      <c r="H276" s="5" t="str">
        <f>IFERROR(__xludf.DUMMYFUNCTION("GOOGLETRANSLATE(C276, ""en"", ""hi"")"),"A) पार्श्व गतिविधियों को रोकें, B) गति बढ़ाएँ, C) बेहतर समय का उपयोग करें, D) रक्षक के थकने की प्रतीक्षा करें")</f>
        <v>A) पार्श्व गतिविधियों को रोकें, B) गति बढ़ाएँ, C) बेहतर समय का उपयोग करें, D) रक्षक के थकने की प्रतीक्षा करें</v>
      </c>
      <c r="I276" s="5" t="str">
        <f>IFERROR(__xludf.DUMMYFUNCTION("GOOGLETRANSLATE(D276, ""en"", ""hi"")"),"A) पार्श्व गतिविधियों को अवरुद्ध करें")</f>
        <v>A) पार्श्व गतिविधियों को अवरुद्ध करें</v>
      </c>
    </row>
    <row r="277" ht="22.5" customHeight="1">
      <c r="A277" s="7">
        <v>276.0</v>
      </c>
      <c r="B277" s="7" t="s">
        <v>2809</v>
      </c>
      <c r="C277" s="7" t="s">
        <v>2722</v>
      </c>
      <c r="D277" s="7" t="s">
        <v>2485</v>
      </c>
      <c r="F277" s="5" t="str">
        <f>IFERROR(__xludf.DUMMYFUNCTION("GOOGLETRANSLATE(A277, ""en"", ""hi"")"),"276")</f>
        <v>276</v>
      </c>
      <c r="G277" s="5" t="str">
        <f>IFERROR(__xludf.DUMMYFUNCTION("GOOGLETRANSLATE(B277, ""en"", ""hi"")"),"टीम A के चेज़र ने एक डिफेंडर को टैग किया जो सीधे सेंटर की ओर दौड़ रहा था। क्या है नियम?")</f>
        <v>टीम A के चेज़र ने एक डिफेंडर को टैग किया जो सीधे सेंटर की ओर दौड़ रहा था। क्या है नियम?</v>
      </c>
      <c r="H277" s="5" t="str">
        <f>IFERROR(__xludf.DUMMYFUNCTION("GOOGLETRANSLATE(C277,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77" s="5" t="str">
        <f>IFERROR(__xludf.DUMMYFUNCTION("GOOGLETRANSLATE(D277, ""en"", ""hi"")"),"A) डिफेंडर बाहर है")</f>
        <v>A) डिफेंडर बाहर है</v>
      </c>
    </row>
    <row r="278" ht="22.5" customHeight="1">
      <c r="A278" s="7">
        <v>277.0</v>
      </c>
      <c r="B278" s="7" t="s">
        <v>2810</v>
      </c>
      <c r="C278" s="7" t="s">
        <v>2811</v>
      </c>
      <c r="D278" s="7" t="s">
        <v>2708</v>
      </c>
      <c r="F278" s="5" t="str">
        <f>IFERROR(__xludf.DUMMYFUNCTION("GOOGLETRANSLATE(A278, ""en"", ""hi"")"),"277")</f>
        <v>277</v>
      </c>
      <c r="G278" s="5" t="str">
        <f>IFERROR(__xludf.DUMMYFUNCTION("GOOGLETRANSLATE(B278, ""en"", ""hi"")"),"मैच के आखिरी सेकंड में, टीम बी का चेज़र खराब समन्वय के कारण डिफेंडर को टैग नहीं कर पा रहा है। सुधार के लिए किस पर ध्यान केंद्रित किया जाना चाहिए?")</f>
        <v>मैच के आखिरी सेकंड में, टीम बी का चेज़र खराब समन्वय के कारण डिफेंडर को टैग नहीं कर पा रहा है। सुधार के लिए किस पर ध्यान केंद्रित किया जाना चाहिए?</v>
      </c>
      <c r="H278" s="5" t="str">
        <f>IFERROR(__xludf.DUMMYFUNCTION("GOOGLETRANSLATE(C278, ""en"", ""hi"")"),"A) समन्वय, B) गति, C) समय, D) रणनीति")</f>
        <v>A) समन्वय, B) गति, C) समय, D) रणनीति</v>
      </c>
      <c r="I278" s="5" t="str">
        <f>IFERROR(__xludf.DUMMYFUNCTION("GOOGLETRANSLATE(D278, ""en"", ""hi"")"),"ए) समन्वय")</f>
        <v>ए) समन्वय</v>
      </c>
    </row>
    <row r="279" ht="22.5" customHeight="1">
      <c r="A279" s="7">
        <v>278.0</v>
      </c>
      <c r="B279" s="7" t="s">
        <v>2812</v>
      </c>
      <c r="C279" s="7" t="s">
        <v>2746</v>
      </c>
      <c r="D279" s="7" t="s">
        <v>2705</v>
      </c>
      <c r="F279" s="5" t="str">
        <f>IFERROR(__xludf.DUMMYFUNCTION("GOOGLETRANSLATE(A279, ""en"", ""hi"")"),"278")</f>
        <v>278</v>
      </c>
      <c r="G279" s="5" t="str">
        <f>IFERROR(__xludf.DUMMYFUNCTION("GOOGLETRANSLATE(B279, ""en"", ""hi"")"),"टीम A का चेज़र 'खो' की दिशा को लेकर असमंजस के कारण टैग चूक जाता है। इसमें क्या सुधार होना चाहिए?")</f>
        <v>टीम A का चेज़र 'खो' की दिशा को लेकर असमंजस के कारण टैग चूक जाता है। इसमें क्या सुधार होना चाहिए?</v>
      </c>
      <c r="H279" s="5" t="str">
        <f>IFERROR(__xludf.DUMMYFUNCTION("GOOGLETRANSLATE(C279, ""en"", ""hi"")"),"A) संचार, B) गति, C) समय, D) समन्वय")</f>
        <v>A) संचार, B) गति, C) समय, D) समन्वय</v>
      </c>
      <c r="I279" s="5" t="str">
        <f>IFERROR(__xludf.DUMMYFUNCTION("GOOGLETRANSLATE(D279, ""en"", ""hi"")"),"ए) संचार")</f>
        <v>ए) संचार</v>
      </c>
    </row>
    <row r="280" ht="22.5" customHeight="1">
      <c r="A280" s="7">
        <v>279.0</v>
      </c>
      <c r="B280" s="7" t="s">
        <v>2813</v>
      </c>
      <c r="C280" s="7" t="s">
        <v>2814</v>
      </c>
      <c r="D280" s="7" t="s">
        <v>2788</v>
      </c>
      <c r="F280" s="5" t="str">
        <f>IFERROR(__xludf.DUMMYFUNCTION("GOOGLETRANSLATE(A280, ""en"", ""hi"")"),"279")</f>
        <v>279</v>
      </c>
      <c r="G280" s="5" t="str">
        <f>IFERROR(__xludf.DUMMYFUNCTION("GOOGLETRANSLATE(B280, ""en"", ""hi"")"),"खेल के दौरान, टीम B का डिफेंडर टैग से बचने के लिए तेज़ चालें चल रहा है। टीम A के चेज़र्स के लिए अच्छी रणनीति क्या है?")</f>
        <v>खेल के दौरान, टीम B का डिफेंडर टैग से बचने के लिए तेज़ चालें चल रहा है। टीम A के चेज़र्स के लिए अच्छी रणनीति क्या है?</v>
      </c>
      <c r="H280" s="5" t="str">
        <f>IFERROR(__xludf.DUMMYFUNCTION("GOOGLETRANSLATE(C280, ""en"", ""hi"")"),"A) सभी संभावित भागने के रास्ते बंद कर दें, B) गति बढ़ा दें, C) समय सुधार लें, D) रक्षक के थक जाने का इंतजार करें")</f>
        <v>A) सभी संभावित भागने के रास्ते बंद कर दें, B) गति बढ़ा दें, C) समय सुधार लें, D) रक्षक के थक जाने का इंतजार करें</v>
      </c>
      <c r="I280" s="5" t="str">
        <f>IFERROR(__xludf.DUMMYFUNCTION("GOOGLETRANSLATE(D280, ""en"", ""hi"")"),"A) सभी संभावित भागने के रास्तों को अवरुद्ध करें")</f>
        <v>A) सभी संभावित भागने के रास्तों को अवरुद्ध करें</v>
      </c>
    </row>
    <row r="281" ht="22.5" customHeight="1">
      <c r="A281" s="7">
        <v>280.0</v>
      </c>
      <c r="B281" s="7" t="s">
        <v>2815</v>
      </c>
      <c r="C281" s="7" t="s">
        <v>2816</v>
      </c>
      <c r="D281" s="7" t="s">
        <v>2740</v>
      </c>
      <c r="F281" s="5" t="str">
        <f>IFERROR(__xludf.DUMMYFUNCTION("GOOGLETRANSLATE(A281, ""en"", ""hi"")"),"280")</f>
        <v>280</v>
      </c>
      <c r="G281" s="5" t="str">
        <f>IFERROR(__xludf.DUMMYFUNCTION("GOOGLETRANSLATE(B281, ""en"", ""hi"")"),"टीम बी का चेज़र 'खो' देता है, लेकिन अगला चेज़र प्रतिक्रिया देने में बहुत धीमा होता है। टीम बी के सुधार पर किस पर ध्यान केंद्रित किया जाना चाहिए?")</f>
        <v>टीम बी का चेज़र 'खो' देता है, लेकिन अगला चेज़र प्रतिक्रिया देने में बहुत धीमा होता है। टीम बी के सुधार पर किस पर ध्यान केंद्रित किया जाना चाहिए?</v>
      </c>
      <c r="H281" s="5" t="str">
        <f>IFERROR(__xludf.DUMMYFUNCTION("GOOGLETRANSLATE(C281, ""en"", ""hi"")"),"A) प्रतिक्रिया समय, B) गति, C) समन्वय, D) व्यक्तिगत कौशल")</f>
        <v>A) प्रतिक्रिया समय, B) गति, C) समन्वय, D) व्यक्तिगत कौशल</v>
      </c>
      <c r="I281" s="5" t="str">
        <f>IFERROR(__xludf.DUMMYFUNCTION("GOOGLETRANSLATE(D281, ""en"", ""hi"")"),"A) प्रतिक्रिया समय")</f>
        <v>A) प्रतिक्रिया समय</v>
      </c>
    </row>
    <row r="282" ht="22.5" customHeight="1">
      <c r="A282" s="7">
        <v>281.0</v>
      </c>
      <c r="B282" s="7" t="s">
        <v>2817</v>
      </c>
      <c r="C282" s="7" t="s">
        <v>2818</v>
      </c>
      <c r="D282" s="7" t="s">
        <v>2737</v>
      </c>
      <c r="F282" s="5" t="str">
        <f>IFERROR(__xludf.DUMMYFUNCTION("GOOGLETRANSLATE(A282, ""en"", ""hi"")"),"281")</f>
        <v>281</v>
      </c>
      <c r="G282" s="5" t="str">
        <f>IFERROR(__xludf.DUMMYFUNCTION("GOOGLETRANSLATE(B282, ""en"", ""hi"")"),"टीम A का एक डिफेंडर टैग से बचने के लिए गोल घेरे में दौड़ रहा है। टीम B के चेज़र्स के लिए प्रभावी रणनीति क्या है?")</f>
        <v>टीम A का एक डिफेंडर टैग से बचने के लिए गोल घेरे में दौड़ रहा है। टीम B के चेज़र्स के लिए प्रभावी रणनीति क्या है?</v>
      </c>
      <c r="H282" s="5" t="str">
        <f>IFERROR(__xludf.DUMMYFUNCTION("GOOGLETRANSLATE(C282, ""en"", ""hi"")"),"A) गोल घेरे में बच निकलने के रास्ते बंद करें, B) गति बढ़ाएँ, C) बेहतर समय का उपयोग करें, D) रणनीति बदलें")</f>
        <v>A) गोल घेरे में बच निकलने के रास्ते बंद करें, B) गति बढ़ाएँ, C) बेहतर समय का उपयोग करें, D) रणनीति बदलें</v>
      </c>
      <c r="I282" s="5" t="str">
        <f>IFERROR(__xludf.DUMMYFUNCTION("GOOGLETRANSLATE(D282, ""en"", ""hi"")"),"A) भागने के रास्तों को गोलाकार में अवरुद्ध करें")</f>
        <v>A) भागने के रास्तों को गोलाकार में अवरुद्ध करें</v>
      </c>
    </row>
    <row r="283" ht="22.5" customHeight="1">
      <c r="A283" s="7">
        <v>282.0</v>
      </c>
      <c r="B283" s="7" t="s">
        <v>2819</v>
      </c>
      <c r="C283" s="7" t="s">
        <v>2722</v>
      </c>
      <c r="D283" s="7" t="s">
        <v>2485</v>
      </c>
      <c r="F283" s="5" t="str">
        <f>IFERROR(__xludf.DUMMYFUNCTION("GOOGLETRANSLATE(A283, ""en"", ""hi"")"),"282")</f>
        <v>282</v>
      </c>
      <c r="G283" s="5" t="str">
        <f>IFERROR(__xludf.DUMMYFUNCTION("GOOGLETRANSLATE(B283, ""en"", ""hi"")"),"आखिरी क्षणों में, टीम A का चेज़र एक डिफेंडर को टैग करता है जो बाउंड्री के पास दौड़ रहा था। क्या है नियम?")</f>
        <v>आखिरी क्षणों में, टीम A का चेज़र एक डिफेंडर को टैग करता है जो बाउंड्री के पास दौड़ रहा था। क्या है नियम?</v>
      </c>
      <c r="H283" s="5" t="str">
        <f>IFERROR(__xludf.DUMMYFUNCTION("GOOGLETRANSLATE(C283,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83" s="5" t="str">
        <f>IFERROR(__xludf.DUMMYFUNCTION("GOOGLETRANSLATE(D283, ""en"", ""hi"")"),"A) डिफेंडर बाहर है")</f>
        <v>A) डिफेंडर बाहर है</v>
      </c>
    </row>
    <row r="284" ht="22.5" customHeight="1">
      <c r="A284" s="7">
        <v>283.0</v>
      </c>
      <c r="B284" s="7" t="s">
        <v>2820</v>
      </c>
      <c r="C284" s="7" t="s">
        <v>2794</v>
      </c>
      <c r="D284" s="7" t="s">
        <v>2770</v>
      </c>
      <c r="F284" s="5" t="str">
        <f>IFERROR(__xludf.DUMMYFUNCTION("GOOGLETRANSLATE(A284, ""en"", ""hi"")"),"283")</f>
        <v>283</v>
      </c>
      <c r="G284" s="5" t="str">
        <f>IFERROR(__xludf.DUMMYFUNCTION("GOOGLETRANSLATE(B284, ""en"", ""hi"")"),"टीम बी का चेज़र दूरी का सही अंदाज़ा न लगा पाने के कारण डिफेंडर को टैग करने से चूक जाता है। इसमें क्या सुधार होना चाहिए?")</f>
        <v>टीम बी का चेज़र दूरी का सही अंदाज़ा न लगा पाने के कारण डिफेंडर को टैग करने से चूक जाता है। इसमें क्या सुधार होना चाहिए?</v>
      </c>
      <c r="H284" s="5" t="str">
        <f>IFERROR(__xludf.DUMMYFUNCTION("GOOGLETRANSLATE(C284, ""en"", ""hi"")"),"A) दूरी का निर्णय, B) गति, C) समय निर्धारण, D) समन्वय")</f>
        <v>A) दूरी का निर्णय, B) गति, C) समय निर्धारण, D) समन्वय</v>
      </c>
      <c r="I284" s="5" t="str">
        <f>IFERROR(__xludf.DUMMYFUNCTION("GOOGLETRANSLATE(D284, ""en"", ""hi"")"),"A) दूरी निर्णय")</f>
        <v>A) दूरी निर्णय</v>
      </c>
    </row>
    <row r="285" ht="22.5" customHeight="1">
      <c r="A285" s="7">
        <v>284.0</v>
      </c>
      <c r="B285" s="7" t="s">
        <v>2821</v>
      </c>
      <c r="C285" s="7" t="s">
        <v>2822</v>
      </c>
      <c r="D285" s="7" t="s">
        <v>2823</v>
      </c>
      <c r="F285" s="5" t="str">
        <f>IFERROR(__xludf.DUMMYFUNCTION("GOOGLETRANSLATE(A285, ""en"", ""hi"")"),"284")</f>
        <v>284</v>
      </c>
      <c r="G285" s="5" t="str">
        <f>IFERROR(__xludf.DUMMYFUNCTION("GOOGLETRANSLATE(B285, ""en"", ""hi"")"),"टीम ए का एक डिफेंडर तेज़ ज़िगज़ैग पैटर्न में दौड़कर टैग से बच रहा है। टीम बी के चेज़र्स को किस पर ध्यान केंद्रित करना चाहिए?")</f>
        <v>टीम ए का एक डिफेंडर तेज़ ज़िगज़ैग पैटर्न में दौड़कर टैग से बच रहा है। टीम बी के चेज़र्स को किस पर ध्यान केंद्रित करना चाहिए?</v>
      </c>
      <c r="H285" s="5" t="str">
        <f>IFERROR(__xludf.DUMMYFUNCTION("GOOGLETRANSLATE(C285, ""en"", ""hi"")"),"A) ज़िगज़ैग पैटर्न को रोकें, B) गति बढ़ाएँ, C) बेहतर टाइमिंग का उपयोग करें, D) डिफेंडर के थकने का इंतज़ार करें")</f>
        <v>A) ज़िगज़ैग पैटर्न को रोकें, B) गति बढ़ाएँ, C) बेहतर टाइमिंग का उपयोग करें, D) डिफेंडर के थकने का इंतज़ार करें</v>
      </c>
      <c r="I285" s="5" t="str">
        <f>IFERROR(__xludf.DUMMYFUNCTION("GOOGLETRANSLATE(D285, ""en"", ""hi"")"),"A) ब्लॉक ज़िगज़ैग पैटर्न")</f>
        <v>A) ब्लॉक ज़िगज़ैग पैटर्न</v>
      </c>
    </row>
    <row r="286" ht="22.5" customHeight="1">
      <c r="A286" s="7">
        <v>285.0</v>
      </c>
      <c r="B286" s="7" t="s">
        <v>2824</v>
      </c>
      <c r="C286" s="7" t="s">
        <v>2775</v>
      </c>
      <c r="D286" s="7" t="s">
        <v>2458</v>
      </c>
      <c r="F286" s="5" t="str">
        <f>IFERROR(__xludf.DUMMYFUNCTION("GOOGLETRANSLATE(A286, ""en"", ""hi"")"),"285")</f>
        <v>285</v>
      </c>
      <c r="G286" s="5" t="str">
        <f>IFERROR(__xludf.DUMMYFUNCTION("GOOGLETRANSLATE(B286, ""en"", ""hi"")"),"एक महत्वपूर्ण क्षण में, टीम B का चेज़र एक डिफेंडर को टैग करता है, लेकिन तुरंत ही दूसरा चेज़र उसे टैग कर देता है। नतीजा क्या होता है?")</f>
        <v>एक महत्वपूर्ण क्षण में, टीम B का चेज़र एक डिफेंडर को टैग करता है, लेकिन तुरंत ही दूसरा चेज़र उसे टैग कर देता है। नतीजा क्या होता है?</v>
      </c>
      <c r="H286" s="5" t="str">
        <f>IFERROR(__xludf.DUMMYFUNCTION("GOOGLETRANSLATE(C286, ""en"", ""hi"")"),"A) डिफेंडर सुरक्षित है, B) दोनों चेज़र बाहर हैं, C) डिफेंडर बाहर है, D) राउंड पुनः शुरू होता है")</f>
        <v>A) डिफेंडर सुरक्षित है, B) दोनों चेज़र बाहर हैं, C) डिफेंडर बाहर है, D) राउंड पुनः शुरू होता है</v>
      </c>
      <c r="I286" s="5" t="str">
        <f>IFERROR(__xludf.DUMMYFUNCTION("GOOGLETRANSLATE(D286, ""en"", ""hi"")"),"A) डिफेंडर सुरक्षित है")</f>
        <v>A) डिफेंडर सुरक्षित है</v>
      </c>
    </row>
    <row r="287" ht="22.5" customHeight="1">
      <c r="A287" s="7">
        <v>286.0</v>
      </c>
      <c r="B287" s="7" t="s">
        <v>2825</v>
      </c>
      <c r="C287" s="7" t="s">
        <v>2811</v>
      </c>
      <c r="D287" s="7" t="s">
        <v>2708</v>
      </c>
      <c r="F287" s="5" t="str">
        <f>IFERROR(__xludf.DUMMYFUNCTION("GOOGLETRANSLATE(A287, ""en"", ""hi"")"),"286")</f>
        <v>286</v>
      </c>
      <c r="G287" s="5" t="str">
        <f>IFERROR(__xludf.DUMMYFUNCTION("GOOGLETRANSLATE(B287, ""en"", ""hi"")"),"टीम A का चेज़र दूसरे चेज़रों के साथ खराब समन्वय के कारण डिफेंडर को टैग नहीं कर पा रहा है। इसमें क्या सुधार किया जाना चाहिए?")</f>
        <v>टीम A का चेज़र दूसरे चेज़रों के साथ खराब समन्वय के कारण डिफेंडर को टैग नहीं कर पा रहा है। इसमें क्या सुधार किया जाना चाहिए?</v>
      </c>
      <c r="H287" s="5" t="str">
        <f>IFERROR(__xludf.DUMMYFUNCTION("GOOGLETRANSLATE(C287, ""en"", ""hi"")"),"A) समन्वय, B) गति, C) समय, D) रणनीति")</f>
        <v>A) समन्वय, B) गति, C) समय, D) रणनीति</v>
      </c>
      <c r="I287" s="5" t="str">
        <f>IFERROR(__xludf.DUMMYFUNCTION("GOOGLETRANSLATE(D287, ""en"", ""hi"")"),"ए) समन्वय")</f>
        <v>ए) समन्वय</v>
      </c>
    </row>
    <row r="288" ht="22.5" customHeight="1">
      <c r="A288" s="7">
        <v>287.0</v>
      </c>
      <c r="B288" s="7" t="s">
        <v>2826</v>
      </c>
      <c r="C288" s="7" t="s">
        <v>2710</v>
      </c>
      <c r="D288" s="7" t="s">
        <v>2711</v>
      </c>
      <c r="F288" s="5" t="str">
        <f>IFERROR(__xludf.DUMMYFUNCTION("GOOGLETRANSLATE(A288, ""en"", ""hi"")"),"287")</f>
        <v>287</v>
      </c>
      <c r="G288" s="5" t="str">
        <f>IFERROR(__xludf.DUMMYFUNCTION("GOOGLETRANSLATE(B288, ""en"", ""hi"")"),"टीम बी का एक डिफेंडर बाउंड्री पर दौड़कर टैग होने से बच रहा है। टीम ए के चेज़र्स के लिए अच्छी रणनीति क्या है?")</f>
        <v>टीम बी का एक डिफेंडर बाउंड्री पर दौड़कर टैग होने से बच रहा है। टीम ए के चेज़र्स के लिए अच्छी रणनीति क्या है?</v>
      </c>
      <c r="H288" s="5" t="str">
        <f>IFERROR(__xludf.DUMMYFUNCTION("GOOGLETRANSLATE(C288, ""en"", ""hi"")"),"A) सीमा पर भागने के रास्ते बंद करें, B) गति बढ़ाएँ, C) बेहतर समय का उपयोग करें, D) लेन बदलें")</f>
        <v>A) सीमा पर भागने के रास्ते बंद करें, B) गति बढ़ाएँ, C) बेहतर समय का उपयोग करें, D) लेन बदलें</v>
      </c>
      <c r="I288" s="5" t="str">
        <f>IFERROR(__xludf.DUMMYFUNCTION("GOOGLETRANSLATE(D288, ""en"", ""hi"")"),"A) सीमा के साथ भागने के रास्तों को अवरुद्ध करें")</f>
        <v>A) सीमा के साथ भागने के रास्तों को अवरुद्ध करें</v>
      </c>
    </row>
    <row r="289" ht="22.5" customHeight="1">
      <c r="A289" s="7">
        <v>288.0</v>
      </c>
      <c r="B289" s="7" t="s">
        <v>2827</v>
      </c>
      <c r="C289" s="7" t="s">
        <v>2722</v>
      </c>
      <c r="D289" s="7" t="s">
        <v>2485</v>
      </c>
      <c r="F289" s="5" t="str">
        <f>IFERROR(__xludf.DUMMYFUNCTION("GOOGLETRANSLATE(A289, ""en"", ""hi"")"),"288")</f>
        <v>288</v>
      </c>
      <c r="G289" s="5" t="str">
        <f>IFERROR(__xludf.DUMMYFUNCTION("GOOGLETRANSLATE(B289, ""en"", ""hi"")"),"खेल के दौरान, टीम A का चेज़र एक डिफेंडर को टैग करता है जो गोल-गोल दौड़ रहा है। नियम क्या है?")</f>
        <v>खेल के दौरान, टीम A का चेज़र एक डिफेंडर को टैग करता है जो गोल-गोल दौड़ रहा है। नियम क्या है?</v>
      </c>
      <c r="H289" s="5" t="str">
        <f>IFERROR(__xludf.DUMMYFUNCTION("GOOGLETRANSLATE(C289,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89" s="5" t="str">
        <f>IFERROR(__xludf.DUMMYFUNCTION("GOOGLETRANSLATE(D289, ""en"", ""hi"")"),"A) डिफेंडर बाहर है")</f>
        <v>A) डिफेंडर बाहर है</v>
      </c>
    </row>
    <row r="290" ht="22.5" customHeight="1">
      <c r="A290" s="7">
        <v>289.0</v>
      </c>
      <c r="B290" s="7" t="s">
        <v>2828</v>
      </c>
      <c r="C290" s="7" t="s">
        <v>2794</v>
      </c>
      <c r="D290" s="7" t="s">
        <v>2770</v>
      </c>
      <c r="F290" s="5" t="str">
        <f>IFERROR(__xludf.DUMMYFUNCTION("GOOGLETRANSLATE(A290, ""en"", ""hi"")"),"289")</f>
        <v>289</v>
      </c>
      <c r="G290" s="5" t="str">
        <f>IFERROR(__xludf.DUMMYFUNCTION("GOOGLETRANSLATE(B290, ""en"", ""hi"")"),"टीम बी का चेज़र गलत दूरी के कारण डिफेंडर को टैग नहीं कर पा रहा है। सुधार के लिए किस पर ध्यान केंद्रित किया जाना चाहिए?")</f>
        <v>टीम बी का चेज़र गलत दूरी के कारण डिफेंडर को टैग नहीं कर पा रहा है। सुधार के लिए किस पर ध्यान केंद्रित किया जाना चाहिए?</v>
      </c>
      <c r="H290" s="5" t="str">
        <f>IFERROR(__xludf.DUMMYFUNCTION("GOOGLETRANSLATE(C290, ""en"", ""hi"")"),"A) दूरी का निर्णय, B) गति, C) समय निर्धारण, D) समन्वय")</f>
        <v>A) दूरी का निर्णय, B) गति, C) समय निर्धारण, D) समन्वय</v>
      </c>
      <c r="I290" s="5" t="str">
        <f>IFERROR(__xludf.DUMMYFUNCTION("GOOGLETRANSLATE(D290, ""en"", ""hi"")"),"A) दूरी निर्णय")</f>
        <v>A) दूरी निर्णय</v>
      </c>
    </row>
    <row r="291" ht="22.5" customHeight="1">
      <c r="A291" s="7">
        <v>290.0</v>
      </c>
      <c r="B291" s="7" t="s">
        <v>2778</v>
      </c>
      <c r="C291" s="7" t="s">
        <v>2779</v>
      </c>
      <c r="D291" s="7" t="s">
        <v>2780</v>
      </c>
      <c r="F291" s="5" t="str">
        <f>IFERROR(__xludf.DUMMYFUNCTION("GOOGLETRANSLATE(A291, ""en"", ""hi"")"),"290")</f>
        <v>290</v>
      </c>
      <c r="G291" s="5" t="str">
        <f>IFERROR(__xludf.DUMMYFUNCTION("GOOGLETRANSLATE(B291, ""en"", ""hi"")"),"टीम A का एक डिफेंडर टैग से बचने के लिए तेज़ पार्श्व गति का उपयोग कर रहा है। टीम B के चेज़र्स के लिए एक अच्छी रणनीति क्या है?")</f>
        <v>टीम A का एक डिफेंडर टैग से बचने के लिए तेज़ पार्श्व गति का उपयोग कर रहा है। टीम B के चेज़र्स के लिए एक अच्छी रणनीति क्या है?</v>
      </c>
      <c r="H291" s="5" t="str">
        <f>IFERROR(__xludf.DUMMYFUNCTION("GOOGLETRANSLATE(C291, ""en"", ""hi"")"),"A) पार्श्व गतिविधियों को रोकें, B) गति बढ़ाएँ, C) बेहतर समय का उपयोग करें, D) रक्षक के थकने की प्रतीक्षा करें")</f>
        <v>A) पार्श्व गतिविधियों को रोकें, B) गति बढ़ाएँ, C) बेहतर समय का उपयोग करें, D) रक्षक के थकने की प्रतीक्षा करें</v>
      </c>
      <c r="I291" s="5" t="str">
        <f>IFERROR(__xludf.DUMMYFUNCTION("GOOGLETRANSLATE(D291, ""en"", ""hi"")"),"A) पार्श्व गतिविधियों को अवरुद्ध करें")</f>
        <v>A) पार्श्व गतिविधियों को अवरुद्ध करें</v>
      </c>
    </row>
    <row r="292" ht="22.5" customHeight="1">
      <c r="A292" s="7">
        <v>291.0</v>
      </c>
      <c r="B292" s="7" t="s">
        <v>2829</v>
      </c>
      <c r="C292" s="7" t="s">
        <v>2790</v>
      </c>
      <c r="D292" s="7" t="s">
        <v>2791</v>
      </c>
      <c r="F292" s="5" t="str">
        <f>IFERROR(__xludf.DUMMYFUNCTION("GOOGLETRANSLATE(A292, ""en"", ""hi"")"),"291")</f>
        <v>291</v>
      </c>
      <c r="G292" s="5" t="str">
        <f>IFERROR(__xludf.DUMMYFUNCTION("GOOGLETRANSLATE(B292, ""en"", ""hi"")"),"खेल के आखिरी सेकंड में, टीम B का चेज़र खराब टाइमिंग के कारण डिफेंडर को टैग करने से चूक जाता है। इसमें क्या सुधार होना चाहिए?")</f>
        <v>खेल के आखिरी सेकंड में, टीम B का चेज़र खराब टाइमिंग के कारण डिफेंडर को टैग करने से चूक जाता है। इसमें क्या सुधार होना चाहिए?</v>
      </c>
      <c r="H292" s="5" t="str">
        <f>IFERROR(__xludf.DUMMYFUNCTION("GOOGLETRANSLATE(C292, ""en"", ""hi"")"),"A) समय, B) गति, C) समन्वय, D) व्यक्तिगत कौशल")</f>
        <v>A) समय, B) गति, C) समन्वय, D) व्यक्तिगत कौशल</v>
      </c>
      <c r="I292" s="5" t="str">
        <f>IFERROR(__xludf.DUMMYFUNCTION("GOOGLETRANSLATE(D292, ""en"", ""hi"")"),"ए) समय")</f>
        <v>ए) समय</v>
      </c>
    </row>
    <row r="293" ht="22.5" customHeight="1">
      <c r="A293" s="7">
        <v>292.0</v>
      </c>
      <c r="B293" s="7" t="s">
        <v>2830</v>
      </c>
      <c r="C293" s="7" t="s">
        <v>2746</v>
      </c>
      <c r="D293" s="7" t="s">
        <v>2705</v>
      </c>
      <c r="F293" s="5" t="str">
        <f>IFERROR(__xludf.DUMMYFUNCTION("GOOGLETRANSLATE(A293, ""en"", ""hi"")"),"292")</f>
        <v>292</v>
      </c>
      <c r="G293" s="5" t="str">
        <f>IFERROR(__xludf.DUMMYFUNCTION("GOOGLETRANSLATE(B293, ""en"", ""hi"")"),"टीम ए का चेज़र 'खो' की दिशा को लेकर उलझन में है और एक डिफेंडर को टैग करने से चूक जाता है। सुधार के लिए मुख्य ध्यान किस पर होना चाहिए?")</f>
        <v>टीम ए का चेज़र 'खो' की दिशा को लेकर उलझन में है और एक डिफेंडर को टैग करने से चूक जाता है। सुधार के लिए मुख्य ध्यान किस पर होना चाहिए?</v>
      </c>
      <c r="H293" s="5" t="str">
        <f>IFERROR(__xludf.DUMMYFUNCTION("GOOGLETRANSLATE(C293, ""en"", ""hi"")"),"A) संचार, B) गति, C) समय, D) समन्वय")</f>
        <v>A) संचार, B) गति, C) समय, D) समन्वय</v>
      </c>
      <c r="I293" s="5" t="str">
        <f>IFERROR(__xludf.DUMMYFUNCTION("GOOGLETRANSLATE(D293, ""en"", ""hi"")"),"ए) संचार")</f>
        <v>ए) संचार</v>
      </c>
    </row>
    <row r="294" ht="22.5" customHeight="1">
      <c r="A294" s="7">
        <v>293.0</v>
      </c>
      <c r="B294" s="7" t="s">
        <v>2831</v>
      </c>
      <c r="C294" s="7" t="s">
        <v>2832</v>
      </c>
      <c r="D294" s="7" t="s">
        <v>2743</v>
      </c>
      <c r="F294" s="5" t="str">
        <f>IFERROR(__xludf.DUMMYFUNCTION("GOOGLETRANSLATE(A294, ""en"", ""hi"")"),"293")</f>
        <v>293</v>
      </c>
      <c r="G294" s="5" t="str">
        <f>IFERROR(__xludf.DUMMYFUNCTION("GOOGLETRANSLATE(B294, ""en"", ""hi"")"),"टीम बी का चेज़र एक डिफेंडर को टैग नहीं कर पा रहा है जो तेज़ी से टर्न ले रहा है। सुधार के लिए किस पर ध्यान केंद्रित किया जाना चाहिए?")</f>
        <v>टीम बी का चेज़र एक डिफेंडर को टैग नहीं कर पा रहा है जो तेज़ी से टर्न ले रहा है। सुधार के लिए किस पर ध्यान केंद्रित किया जाना चाहिए?</v>
      </c>
      <c r="H294" s="5" t="str">
        <f>IFERROR(__xludf.DUMMYFUNCTION("GOOGLETRANSLATE(C294, ""en"", ""hi"")"),"A) तीखे मोड़ों की आशंका करें, B) गति बढ़ाएँ, C) बेहतर समय का उपयोग करें, D) रणनीति बदलें")</f>
        <v>A) तीखे मोड़ों की आशंका करें, B) गति बढ़ाएँ, C) बेहतर समय का उपयोग करें, D) रणनीति बदलें</v>
      </c>
      <c r="I294" s="5" t="str">
        <f>IFERROR(__xludf.DUMMYFUNCTION("GOOGLETRANSLATE(D294, ""en"", ""hi"")"),"A) तीखे मोड़ों का पूर्वानुमान करें")</f>
        <v>A) तीखे मोड़ों का पूर्वानुमान करें</v>
      </c>
    </row>
    <row r="295" ht="22.5" customHeight="1">
      <c r="A295" s="7">
        <v>294.0</v>
      </c>
      <c r="B295" s="7" t="s">
        <v>2833</v>
      </c>
      <c r="C295" s="7" t="s">
        <v>2722</v>
      </c>
      <c r="D295" s="7" t="s">
        <v>2485</v>
      </c>
      <c r="F295" s="5" t="str">
        <f>IFERROR(__xludf.DUMMYFUNCTION("GOOGLETRANSLATE(A295, ""en"", ""hi"")"),"294")</f>
        <v>294</v>
      </c>
      <c r="G295" s="5" t="str">
        <f>IFERROR(__xludf.DUMMYFUNCTION("GOOGLETRANSLATE(B295, ""en"", ""hi"")"),"खेल के एक अहम मोड़ पर, टीम A का चेज़र बाउंड्री पर दौड़ रहे एक डिफेंडर को टैग करता है। सही नियम क्या है?")</f>
        <v>खेल के एक अहम मोड़ पर, टीम A का चेज़र बाउंड्री पर दौड़ रहे एक डिफेंडर को टैग करता है। सही नियम क्या है?</v>
      </c>
      <c r="H295" s="5" t="str">
        <f>IFERROR(__xludf.DUMMYFUNCTION("GOOGLETRANSLATE(C295,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95" s="5" t="str">
        <f>IFERROR(__xludf.DUMMYFUNCTION("GOOGLETRANSLATE(D295, ""en"", ""hi"")"),"A) डिफेंडर बाहर है")</f>
        <v>A) डिफेंडर बाहर है</v>
      </c>
    </row>
    <row r="296" ht="22.5" customHeight="1">
      <c r="A296" s="7">
        <v>295.0</v>
      </c>
      <c r="B296" s="7" t="s">
        <v>2834</v>
      </c>
      <c r="C296" s="7" t="s">
        <v>2746</v>
      </c>
      <c r="D296" s="7" t="s">
        <v>2705</v>
      </c>
      <c r="F296" s="5" t="str">
        <f>IFERROR(__xludf.DUMMYFUNCTION("GOOGLETRANSLATE(A296, ""en"", ""hi"")"),"295")</f>
        <v>295</v>
      </c>
      <c r="G296" s="5" t="str">
        <f>IFERROR(__xludf.DUMMYFUNCTION("GOOGLETRANSLATE(B296, ""en"", ""hi"")"),"टीम बी का चेज़र 'खो' की दिशा को लेकर असमंजस के कारण टैग चूक जाता है। इसमें क्या सुधार होना चाहिए?")</f>
        <v>टीम बी का चेज़र 'खो' की दिशा को लेकर असमंजस के कारण टैग चूक जाता है। इसमें क्या सुधार होना चाहिए?</v>
      </c>
      <c r="H296" s="5" t="str">
        <f>IFERROR(__xludf.DUMMYFUNCTION("GOOGLETRANSLATE(C296, ""en"", ""hi"")"),"A) संचार, B) गति, C) समय, D) समन्वय")</f>
        <v>A) संचार, B) गति, C) समय, D) समन्वय</v>
      </c>
      <c r="I296" s="5" t="str">
        <f>IFERROR(__xludf.DUMMYFUNCTION("GOOGLETRANSLATE(D296, ""en"", ""hi"")"),"ए) संचार")</f>
        <v>ए) संचार</v>
      </c>
    </row>
    <row r="297" ht="22.5" customHeight="1">
      <c r="A297" s="7">
        <v>296.0</v>
      </c>
      <c r="B297" s="7" t="s">
        <v>2835</v>
      </c>
      <c r="C297" s="7" t="s">
        <v>2801</v>
      </c>
      <c r="D297" s="7" t="s">
        <v>2737</v>
      </c>
      <c r="F297" s="5" t="str">
        <f>IFERROR(__xludf.DUMMYFUNCTION("GOOGLETRANSLATE(A297, ""en"", ""hi"")"),"296")</f>
        <v>296</v>
      </c>
      <c r="G297" s="5" t="str">
        <f>IFERROR(__xludf.DUMMYFUNCTION("GOOGLETRANSLATE(B297, ""en"", ""hi"")"),"टीम A का एक डिफेंडर गोल-गोल दौड़कर टैग होने से बच रहा है। टीम B के चेज़र्स के लिए अच्छी रणनीति क्या है?")</f>
        <v>टीम A का एक डिफेंडर गोल-गोल दौड़कर टैग होने से बच रहा है। टीम B के चेज़र्स के लिए अच्छी रणनीति क्या है?</v>
      </c>
      <c r="H297" s="5" t="str">
        <f>IFERROR(__xludf.DUMMYFUNCTION("GOOGLETRANSLATE(C297, ""en"", ""hi"")"),"A) गोल घेरे में बच निकलने के रास्ते रोकें, B) गति बढ़ाएँ, C) समय सुधारें, D) रक्षक के थकने का इंतज़ार करें")</f>
        <v>A) गोल घेरे में बच निकलने के रास्ते रोकें, B) गति बढ़ाएँ, C) समय सुधारें, D) रक्षक के थकने का इंतज़ार करें</v>
      </c>
      <c r="I297" s="5" t="str">
        <f>IFERROR(__xludf.DUMMYFUNCTION("GOOGLETRANSLATE(D297, ""en"", ""hi"")"),"A) भागने के रास्तों को गोलाकार में अवरुद्ध करें")</f>
        <v>A) भागने के रास्तों को गोलाकार में अवरुद्ध करें</v>
      </c>
    </row>
    <row r="298" ht="22.5" customHeight="1">
      <c r="A298" s="7">
        <v>297.0</v>
      </c>
      <c r="B298" s="7" t="s">
        <v>2836</v>
      </c>
      <c r="C298" s="7" t="s">
        <v>2722</v>
      </c>
      <c r="D298" s="7" t="s">
        <v>2485</v>
      </c>
      <c r="F298" s="5" t="str">
        <f>IFERROR(__xludf.DUMMYFUNCTION("GOOGLETRANSLATE(A298, ""en"", ""hi"")"),"297")</f>
        <v>297</v>
      </c>
      <c r="G298" s="5" t="str">
        <f>IFERROR(__xludf.DUMMYFUNCTION("GOOGLETRANSLATE(B298, ""en"", ""hi"")"),"एक मैच के दौरान, टीम A का चेज़र एक डिफेंडर को टैग करता है जो तेज़ी से ज़िगज़ैग पैटर्न में दौड़ रहा था। इसका नियम क्या है?")</f>
        <v>एक मैच के दौरान, टीम A का चेज़र एक डिफेंडर को टैग करता है जो तेज़ी से ज़िगज़ैग पैटर्न में दौड़ रहा था। इसका नियम क्या है?</v>
      </c>
      <c r="H298" s="5" t="str">
        <f>IFERROR(__xludf.DUMMYFUNCTION("GOOGLETRANSLATE(C298,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298" s="5" t="str">
        <f>IFERROR(__xludf.DUMMYFUNCTION("GOOGLETRANSLATE(D298, ""en"", ""hi"")"),"A) डिफेंडर बाहर है")</f>
        <v>A) डिफेंडर बाहर है</v>
      </c>
    </row>
    <row r="299" ht="22.5" customHeight="1">
      <c r="A299" s="7">
        <v>298.0</v>
      </c>
      <c r="B299" s="7" t="s">
        <v>2837</v>
      </c>
      <c r="C299" s="7" t="s">
        <v>2794</v>
      </c>
      <c r="D299" s="7" t="s">
        <v>2770</v>
      </c>
      <c r="F299" s="5" t="str">
        <f>IFERROR(__xludf.DUMMYFUNCTION("GOOGLETRANSLATE(A299, ""en"", ""hi"")"),"298")</f>
        <v>298</v>
      </c>
      <c r="G299" s="5" t="str">
        <f>IFERROR(__xludf.DUMMYFUNCTION("GOOGLETRANSLATE(B299, ""en"", ""hi"")"),"टीम बी का चेज़र दूरी का सही अंदाज़ा न लगा पाने के कारण डिफेंडर को टैग नहीं कर पा रहा है। सुधार के लिए मुख्य क्षेत्र क्या होना चाहिए?")</f>
        <v>टीम बी का चेज़र दूरी का सही अंदाज़ा न लगा पाने के कारण डिफेंडर को टैग नहीं कर पा रहा है। सुधार के लिए मुख्य क्षेत्र क्या होना चाहिए?</v>
      </c>
      <c r="H299" s="5" t="str">
        <f>IFERROR(__xludf.DUMMYFUNCTION("GOOGLETRANSLATE(C299, ""en"", ""hi"")"),"A) दूरी का निर्णय, B) गति, C) समय निर्धारण, D) समन्वय")</f>
        <v>A) दूरी का निर्णय, B) गति, C) समय निर्धारण, D) समन्वय</v>
      </c>
      <c r="I299" s="5" t="str">
        <f>IFERROR(__xludf.DUMMYFUNCTION("GOOGLETRANSLATE(D299, ""en"", ""hi"")"),"A) दूरी निर्णय")</f>
        <v>A) दूरी निर्णय</v>
      </c>
    </row>
    <row r="300" ht="22.5" customHeight="1">
      <c r="A300" s="7">
        <v>299.0</v>
      </c>
      <c r="B300" s="7" t="s">
        <v>2838</v>
      </c>
      <c r="C300" s="7" t="s">
        <v>2722</v>
      </c>
      <c r="D300" s="7" t="s">
        <v>2485</v>
      </c>
      <c r="F300" s="5" t="str">
        <f>IFERROR(__xludf.DUMMYFUNCTION("GOOGLETRANSLATE(A300, ""en"", ""hi"")"),"299")</f>
        <v>299</v>
      </c>
      <c r="G300" s="5" t="str">
        <f>IFERROR(__xludf.DUMMYFUNCTION("GOOGLETRANSLATE(B300, ""en"", ""hi"")"),"टीम A का चेज़र सेंटर लाइन के पास एक डिफेंडर को टैग करता है। नियम क्या है?")</f>
        <v>टीम A का चेज़र सेंटर लाइन के पास एक डिफेंडर को टैग करता है। नियम क्या है?</v>
      </c>
      <c r="H300" s="5" t="str">
        <f>IFERROR(__xludf.DUMMYFUNCTION("GOOGLETRANSLATE(C300,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00" s="5" t="str">
        <f>IFERROR(__xludf.DUMMYFUNCTION("GOOGLETRANSLATE(D300, ""en"", ""hi"")"),"A) डिफेंडर बाहर है")</f>
        <v>A) डिफेंडर बाहर है</v>
      </c>
    </row>
    <row r="301" ht="22.5" customHeight="1">
      <c r="A301" s="7">
        <v>300.0</v>
      </c>
      <c r="B301" s="7" t="s">
        <v>2839</v>
      </c>
      <c r="C301" s="7" t="s">
        <v>2739</v>
      </c>
      <c r="D301" s="7" t="s">
        <v>2740</v>
      </c>
      <c r="F301" s="5" t="str">
        <f>IFERROR(__xludf.DUMMYFUNCTION("GOOGLETRANSLATE(A301, ""en"", ""hi"")"),"300")</f>
        <v>300</v>
      </c>
      <c r="G301" s="5" t="str">
        <f>IFERROR(__xludf.DUMMYFUNCTION("GOOGLETRANSLATE(B301, ""en"", ""hi"")"),"एक मैच के दौरान, टीम B का चेज़र 'खो' के बाद प्रतिक्रिया देने में बहुत धीमा है। इसमें क्या सुधार किया जाना चाहिए?")</f>
        <v>एक मैच के दौरान, टीम B का चेज़र 'खो' के बाद प्रतिक्रिया देने में बहुत धीमा है। इसमें क्या सुधार किया जाना चाहिए?</v>
      </c>
      <c r="H301" s="5" t="str">
        <f>IFERROR(__xludf.DUMMYFUNCTION("GOOGLETRANSLATE(C301, ""en"", ""hi"")"),"A) प्रतिक्रिया समय, B) गति, C) समन्वय, D) समय निर्धारण")</f>
        <v>A) प्रतिक्रिया समय, B) गति, C) समन्वय, D) समय निर्धारण</v>
      </c>
      <c r="I301" s="5" t="str">
        <f>IFERROR(__xludf.DUMMYFUNCTION("GOOGLETRANSLATE(D301, ""en"", ""hi"")"),"A) प्रतिक्रिया समय")</f>
        <v>A) प्रतिक्रिया समय</v>
      </c>
    </row>
    <row r="302" ht="22.5" customHeight="1">
      <c r="A302" s="7">
        <v>301.0</v>
      </c>
      <c r="B302" s="7" t="s">
        <v>2840</v>
      </c>
      <c r="C302" s="7" t="s">
        <v>2841</v>
      </c>
      <c r="D302" s="7" t="s">
        <v>2842</v>
      </c>
      <c r="F302" s="5" t="str">
        <f>IFERROR(__xludf.DUMMYFUNCTION("GOOGLETRANSLATE(A302, ""en"", ""hi"")"),"301")</f>
        <v>301</v>
      </c>
      <c r="G302" s="5" t="str">
        <f>IFERROR(__xludf.DUMMYFUNCTION("GOOGLETRANSLATE(B302, ""en"", ""hi"")"),"टीम A का एक डिफेंडर टैग से बचने के लिए बाउंड्री की ओर दौड़ रहा है। टीम B के चेज़र्स के लिए प्रभावी रणनीति क्या है?")</f>
        <v>टीम A का एक डिफेंडर टैग से बचने के लिए बाउंड्री की ओर दौड़ रहा है। टीम B के चेज़र्स के लिए प्रभावी रणनीति क्या है?</v>
      </c>
      <c r="H302" s="5" t="str">
        <f>IFERROR(__xludf.DUMMYFUNCTION("GOOGLETRANSLATE(C302, ""en"", ""hi"")"),"A) सीमा मार्गों को अवरुद्ध करें, B) गति बढ़ाएँ, C) समय में सुधार करें, D) बेहतर रणनीति का उपयोग करें")</f>
        <v>A) सीमा मार्गों को अवरुद्ध करें, B) गति बढ़ाएँ, C) समय में सुधार करें, D) बेहतर रणनीति का उपयोग करें</v>
      </c>
      <c r="I302" s="5" t="str">
        <f>IFERROR(__xludf.DUMMYFUNCTION("GOOGLETRANSLATE(D302, ""en"", ""hi"")"),"A) सीमा मार्गों को अवरुद्ध करें")</f>
        <v>A) सीमा मार्गों को अवरुद्ध करें</v>
      </c>
    </row>
    <row r="303" ht="22.5" customHeight="1">
      <c r="A303" s="7">
        <v>302.0</v>
      </c>
      <c r="B303" s="7" t="s">
        <v>2843</v>
      </c>
      <c r="C303" s="7" t="s">
        <v>2844</v>
      </c>
      <c r="D303" s="7" t="s">
        <v>2791</v>
      </c>
      <c r="F303" s="5" t="str">
        <f>IFERROR(__xludf.DUMMYFUNCTION("GOOGLETRANSLATE(A303, ""en"", ""hi"")"),"302")</f>
        <v>302</v>
      </c>
      <c r="G303" s="5" t="str">
        <f>IFERROR(__xludf.DUMMYFUNCTION("GOOGLETRANSLATE(B303, ""en"", ""hi"")"),"अंतिम क्षणों में, टीम बी का चेज़र खराब टाइमिंग के कारण डिफेंडर को टैग नहीं कर पाता। सुधार के लिए किस पर ध्यान केंद्रित किया जाना चाहिए?")</f>
        <v>अंतिम क्षणों में, टीम बी का चेज़र खराब टाइमिंग के कारण डिफेंडर को टैग नहीं कर पाता। सुधार के लिए किस पर ध्यान केंद्रित किया जाना चाहिए?</v>
      </c>
      <c r="H303" s="5" t="str">
        <f>IFERROR(__xludf.DUMMYFUNCTION("GOOGLETRANSLATE(C303, ""en"", ""hi"")"),"A) समय, B) गति, C) समन्वय, D) संचार")</f>
        <v>A) समय, B) गति, C) समन्वय, D) संचार</v>
      </c>
      <c r="I303" s="5" t="str">
        <f>IFERROR(__xludf.DUMMYFUNCTION("GOOGLETRANSLATE(D303, ""en"", ""hi"")"),"ए) समय")</f>
        <v>ए) समय</v>
      </c>
    </row>
    <row r="304" ht="22.5" customHeight="1">
      <c r="A304" s="7">
        <v>303.0</v>
      </c>
      <c r="B304" s="7" t="s">
        <v>2845</v>
      </c>
      <c r="C304" s="7" t="s">
        <v>2784</v>
      </c>
      <c r="D304" s="7" t="s">
        <v>2785</v>
      </c>
      <c r="F304" s="5" t="str">
        <f>IFERROR(__xludf.DUMMYFUNCTION("GOOGLETRANSLATE(A304, ""en"", ""hi"")"),"303")</f>
        <v>303</v>
      </c>
      <c r="G304" s="5" t="str">
        <f>IFERROR(__xludf.DUMMYFUNCTION("GOOGLETRANSLATE(B304, ""en"", ""hi"")"),"टीम A का चेज़र 'खो' देता है, लेकिन अगला चेज़र तैयार नहीं होता। टीम A को किस सुधार पर ध्यान देना चाहिए?")</f>
        <v>टीम A का चेज़र 'खो' देता है, लेकिन अगला चेज़र तैयार नहीं होता। टीम A को किस सुधार पर ध्यान देना चाहिए?</v>
      </c>
      <c r="H304" s="5" t="str">
        <f>IFERROR(__xludf.DUMMYFUNCTION("GOOGLETRANSLATE(C304, ""en"", ""hi"")"),"A) तत्परता और समन्वय, B) गति, C) व्यक्तिगत कौशल, D) रणनीति")</f>
        <v>A) तत्परता और समन्वय, B) गति, C) व्यक्तिगत कौशल, D) रणनीति</v>
      </c>
      <c r="I304" s="5" t="str">
        <f>IFERROR(__xludf.DUMMYFUNCTION("GOOGLETRANSLATE(D304, ""en"", ""hi"")"),"ए) तत्परता और समन्वय")</f>
        <v>ए) तत्परता और समन्वय</v>
      </c>
    </row>
    <row r="305" ht="22.5" customHeight="1">
      <c r="A305" s="7">
        <v>304.0</v>
      </c>
      <c r="B305" s="7" t="s">
        <v>2846</v>
      </c>
      <c r="C305" s="7" t="s">
        <v>2722</v>
      </c>
      <c r="D305" s="7" t="s">
        <v>2485</v>
      </c>
      <c r="F305" s="5" t="str">
        <f>IFERROR(__xludf.DUMMYFUNCTION("GOOGLETRANSLATE(A305, ""en"", ""hi"")"),"304")</f>
        <v>304</v>
      </c>
      <c r="G305" s="5" t="str">
        <f>IFERROR(__xludf.DUMMYFUNCTION("GOOGLETRANSLATE(B305, ""en"", ""hi"")"),"टीम बी के चेज़र ने एक डिफेंडर को टैग किया जो ज़िगज़ैग पैटर्न में दौड़ रहा था। क्या फ़ैसला है?")</f>
        <v>टीम बी के चेज़र ने एक डिफेंडर को टैग किया जो ज़िगज़ैग पैटर्न में दौड़ रहा था। क्या फ़ैसला है?</v>
      </c>
      <c r="H305" s="5" t="str">
        <f>IFERROR(__xludf.DUMMYFUNCTION("GOOGLETRANSLATE(C305,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05" s="5" t="str">
        <f>IFERROR(__xludf.DUMMYFUNCTION("GOOGLETRANSLATE(D305, ""en"", ""hi"")"),"A) डिफेंडर बाहर है")</f>
        <v>A) डिफेंडर बाहर है</v>
      </c>
    </row>
    <row r="306" ht="22.5" customHeight="1">
      <c r="A306" s="7">
        <v>305.0</v>
      </c>
      <c r="B306" s="7" t="s">
        <v>2847</v>
      </c>
      <c r="C306" s="7" t="s">
        <v>2779</v>
      </c>
      <c r="D306" s="7" t="s">
        <v>2780</v>
      </c>
      <c r="F306" s="5" t="str">
        <f>IFERROR(__xludf.DUMMYFUNCTION("GOOGLETRANSLATE(A306, ""en"", ""hi"")"),"305")</f>
        <v>305</v>
      </c>
      <c r="G306" s="5" t="str">
        <f>IFERROR(__xludf.DUMMYFUNCTION("GOOGLETRANSLATE(B306, ""en"", ""hi"")"),"टीम ए का एक डिफेंडर तेज़ी से पार्श्व गति से टैग से बच रहा है। टीम बी के चेज़र्स को किस पर ध्यान केंद्रित करना चाहिए?")</f>
        <v>टीम ए का एक डिफेंडर तेज़ी से पार्श्व गति से टैग से बच रहा है। टीम बी के चेज़र्स को किस पर ध्यान केंद्रित करना चाहिए?</v>
      </c>
      <c r="H306" s="5" t="str">
        <f>IFERROR(__xludf.DUMMYFUNCTION("GOOGLETRANSLATE(C306, ""en"", ""hi"")"),"A) पार्श्व गतिविधियों को रोकें, B) गति बढ़ाएँ, C) बेहतर समय का उपयोग करें, D) रक्षक के थकने की प्रतीक्षा करें")</f>
        <v>A) पार्श्व गतिविधियों को रोकें, B) गति बढ़ाएँ, C) बेहतर समय का उपयोग करें, D) रक्षक के थकने की प्रतीक्षा करें</v>
      </c>
      <c r="I306" s="5" t="str">
        <f>IFERROR(__xludf.DUMMYFUNCTION("GOOGLETRANSLATE(D306, ""en"", ""hi"")"),"A) पार्श्व गतिविधियों को अवरुद्ध करें")</f>
        <v>A) पार्श्व गतिविधियों को अवरुद्ध करें</v>
      </c>
    </row>
    <row r="307" ht="22.5" customHeight="1">
      <c r="A307" s="7">
        <v>306.0</v>
      </c>
      <c r="B307" s="7" t="s">
        <v>2848</v>
      </c>
      <c r="C307" s="7" t="s">
        <v>2794</v>
      </c>
      <c r="D307" s="7" t="s">
        <v>2770</v>
      </c>
      <c r="F307" s="5" t="str">
        <f>IFERROR(__xludf.DUMMYFUNCTION("GOOGLETRANSLATE(A307, ""en"", ""hi"")"),"306")</f>
        <v>306</v>
      </c>
      <c r="G307" s="5" t="str">
        <f>IFERROR(__xludf.DUMMYFUNCTION("GOOGLETRANSLATE(B307, ""en"", ""hi"")"),"टीम A का चेज़र दूरी का सही अंदाज़ा न लगा पाने के कारण डिफेंडर को टैग करने से चूक जाता है। सुधार के लिए किस पर ध्यान केंद्रित किया जाना चाहिए?")</f>
        <v>टीम A का चेज़र दूरी का सही अंदाज़ा न लगा पाने के कारण डिफेंडर को टैग करने से चूक जाता है। सुधार के लिए किस पर ध्यान केंद्रित किया जाना चाहिए?</v>
      </c>
      <c r="H307" s="5" t="str">
        <f>IFERROR(__xludf.DUMMYFUNCTION("GOOGLETRANSLATE(C307, ""en"", ""hi"")"),"A) दूरी का निर्णय, B) गति, C) समय निर्धारण, D) समन्वय")</f>
        <v>A) दूरी का निर्णय, B) गति, C) समय निर्धारण, D) समन्वय</v>
      </c>
      <c r="I307" s="5" t="str">
        <f>IFERROR(__xludf.DUMMYFUNCTION("GOOGLETRANSLATE(D307, ""en"", ""hi"")"),"A) दूरी निर्णय")</f>
        <v>A) दूरी निर्णय</v>
      </c>
    </row>
    <row r="308" ht="22.5" customHeight="1">
      <c r="A308" s="7">
        <v>307.0</v>
      </c>
      <c r="B308" s="7" t="s">
        <v>2849</v>
      </c>
      <c r="C308" s="7" t="s">
        <v>2775</v>
      </c>
      <c r="D308" s="7" t="s">
        <v>2458</v>
      </c>
      <c r="F308" s="5" t="str">
        <f>IFERROR(__xludf.DUMMYFUNCTION("GOOGLETRANSLATE(A308, ""en"", ""hi"")"),"307")</f>
        <v>307</v>
      </c>
      <c r="G308" s="5" t="str">
        <f>IFERROR(__xludf.DUMMYFUNCTION("GOOGLETRANSLATE(B308, ""en"", ""hi"")"),"खेल के एक अहम मोड़ पर, टीम B का चेज़र एक डिफेंडर को टैग करता है, लेकिन तुरंत ही दूसरा चेज़र उसे टैग कर देता है। नतीजा क्या होता है?")</f>
        <v>खेल के एक अहम मोड़ पर, टीम B का चेज़र एक डिफेंडर को टैग करता है, लेकिन तुरंत ही दूसरा चेज़र उसे टैग कर देता है। नतीजा क्या होता है?</v>
      </c>
      <c r="H308" s="5" t="str">
        <f>IFERROR(__xludf.DUMMYFUNCTION("GOOGLETRANSLATE(C308, ""en"", ""hi"")"),"A) डिफेंडर सुरक्षित है, B) दोनों चेज़र बाहर हैं, C) डिफेंडर बाहर है, D) राउंड पुनः शुरू होता है")</f>
        <v>A) डिफेंडर सुरक्षित है, B) दोनों चेज़र बाहर हैं, C) डिफेंडर बाहर है, D) राउंड पुनः शुरू होता है</v>
      </c>
      <c r="I308" s="5" t="str">
        <f>IFERROR(__xludf.DUMMYFUNCTION("GOOGLETRANSLATE(D308, ""en"", ""hi"")"),"A) डिफेंडर सुरक्षित है")</f>
        <v>A) डिफेंडर सुरक्षित है</v>
      </c>
    </row>
    <row r="309" ht="22.5" customHeight="1">
      <c r="A309" s="7">
        <v>308.0</v>
      </c>
      <c r="B309" s="7" t="s">
        <v>2850</v>
      </c>
      <c r="C309" s="7" t="s">
        <v>2801</v>
      </c>
      <c r="D309" s="7" t="s">
        <v>2737</v>
      </c>
      <c r="F309" s="5" t="str">
        <f>IFERROR(__xludf.DUMMYFUNCTION("GOOGLETRANSLATE(A309, ""en"", ""hi"")"),"308")</f>
        <v>308</v>
      </c>
      <c r="G309" s="5" t="str">
        <f>IFERROR(__xludf.DUMMYFUNCTION("GOOGLETRANSLATE(B309, ""en"", ""hi"")"),"टीम बी का डिफेंडर गोल-गोल दौड़कर टैग से बच रहा है। टीम ए के चेज़र्स के लिए प्रभावी रणनीति क्या है?")</f>
        <v>टीम बी का डिफेंडर गोल-गोल दौड़कर टैग से बच रहा है। टीम ए के चेज़र्स के लिए प्रभावी रणनीति क्या है?</v>
      </c>
      <c r="H309" s="5" t="str">
        <f>IFERROR(__xludf.DUMMYFUNCTION("GOOGLETRANSLATE(C309, ""en"", ""hi"")"),"A) गोल घेरे में बच निकलने के रास्ते रोकें, B) गति बढ़ाएँ, C) समय सुधारें, D) रक्षक के थकने का इंतज़ार करें")</f>
        <v>A) गोल घेरे में बच निकलने के रास्ते रोकें, B) गति बढ़ाएँ, C) समय सुधारें, D) रक्षक के थकने का इंतज़ार करें</v>
      </c>
      <c r="I309" s="5" t="str">
        <f>IFERROR(__xludf.DUMMYFUNCTION("GOOGLETRANSLATE(D309, ""en"", ""hi"")"),"A) भागने के रास्तों को गोलाकार में अवरुद्ध करें")</f>
        <v>A) भागने के रास्तों को गोलाकार में अवरुद्ध करें</v>
      </c>
    </row>
    <row r="310" ht="22.5" customHeight="1">
      <c r="A310" s="7">
        <v>309.0</v>
      </c>
      <c r="B310" s="7" t="s">
        <v>2851</v>
      </c>
      <c r="C310" s="7" t="s">
        <v>2722</v>
      </c>
      <c r="D310" s="7" t="s">
        <v>2485</v>
      </c>
      <c r="F310" s="5" t="str">
        <f>IFERROR(__xludf.DUMMYFUNCTION("GOOGLETRANSLATE(A310, ""en"", ""hi"")"),"309")</f>
        <v>309</v>
      </c>
      <c r="G310" s="5" t="str">
        <f>IFERROR(__xludf.DUMMYFUNCTION("GOOGLETRANSLATE(B310, ""en"", ""hi"")"),"टीम A के डिफेंडर को बाउंड्री पर दौड़ते समय टैग किया गया। इसका नियम क्या है?")</f>
        <v>टीम A के डिफेंडर को बाउंड्री पर दौड़ते समय टैग किया गया। इसका नियम क्या है?</v>
      </c>
      <c r="H310" s="5" t="str">
        <f>IFERROR(__xludf.DUMMYFUNCTION("GOOGLETRANSLATE(C310,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10" s="5" t="str">
        <f>IFERROR(__xludf.DUMMYFUNCTION("GOOGLETRANSLATE(D310, ""en"", ""hi"")"),"A) डिफेंडर बाहर है")</f>
        <v>A) डिफेंडर बाहर है</v>
      </c>
    </row>
    <row r="311" ht="22.5" customHeight="1">
      <c r="A311" s="7">
        <v>310.0</v>
      </c>
      <c r="B311" s="7" t="s">
        <v>2852</v>
      </c>
      <c r="C311" s="7" t="s">
        <v>2811</v>
      </c>
      <c r="D311" s="7" t="s">
        <v>2708</v>
      </c>
      <c r="F311" s="5" t="str">
        <f>IFERROR(__xludf.DUMMYFUNCTION("GOOGLETRANSLATE(A311, ""en"", ""hi"")"),"310")</f>
        <v>310</v>
      </c>
      <c r="G311" s="5" t="str">
        <f>IFERROR(__xludf.DUMMYFUNCTION("GOOGLETRANSLATE(B311, ""en"", ""hi"")"),"टीम बी का चेज़र खराब समन्वय के कारण डिफेंडर को टैग नहीं कर पा रहा है। इसमें क्या सुधार होना चाहिए?")</f>
        <v>टीम बी का चेज़र खराब समन्वय के कारण डिफेंडर को टैग नहीं कर पा रहा है। इसमें क्या सुधार होना चाहिए?</v>
      </c>
      <c r="H311" s="5" t="str">
        <f>IFERROR(__xludf.DUMMYFUNCTION("GOOGLETRANSLATE(C311, ""en"", ""hi"")"),"A) समन्वय, B) गति, C) समय, D) रणनीति")</f>
        <v>A) समन्वय, B) गति, C) समय, D) रणनीति</v>
      </c>
      <c r="I311" s="5" t="str">
        <f>IFERROR(__xludf.DUMMYFUNCTION("GOOGLETRANSLATE(D311, ""en"", ""hi"")"),"ए) समन्वय")</f>
        <v>ए) समन्वय</v>
      </c>
    </row>
    <row r="312" ht="22.5" customHeight="1">
      <c r="A312" s="7">
        <v>311.0</v>
      </c>
      <c r="B312" s="7" t="s">
        <v>2853</v>
      </c>
      <c r="C312" s="7" t="s">
        <v>2722</v>
      </c>
      <c r="D312" s="7" t="s">
        <v>2485</v>
      </c>
      <c r="F312" s="5" t="str">
        <f>IFERROR(__xludf.DUMMYFUNCTION("GOOGLETRANSLATE(A312, ""en"", ""hi"")"),"311")</f>
        <v>311</v>
      </c>
      <c r="G312" s="5" t="str">
        <f>IFERROR(__xludf.DUMMYFUNCTION("GOOGLETRANSLATE(B312, ""en"", ""hi"")"),"खेल के दौरान, टीम A का चेज़र सेंटर लाइन के पास दौड़ रहे एक डिफेंडर को टैग करता है। इसका नियम क्या है?")</f>
        <v>खेल के दौरान, टीम A का चेज़र सेंटर लाइन के पास दौड़ रहे एक डिफेंडर को टैग करता है। इसका नियम क्या है?</v>
      </c>
      <c r="H312" s="5" t="str">
        <f>IFERROR(__xludf.DUMMYFUNCTION("GOOGLETRANSLATE(C312,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12" s="5" t="str">
        <f>IFERROR(__xludf.DUMMYFUNCTION("GOOGLETRANSLATE(D312, ""en"", ""hi"")"),"A) डिफेंडर बाहर है")</f>
        <v>A) डिफेंडर बाहर है</v>
      </c>
    </row>
    <row r="313" ht="22.5" customHeight="1">
      <c r="A313" s="7">
        <v>312.0</v>
      </c>
      <c r="B313" s="7" t="s">
        <v>2854</v>
      </c>
      <c r="C313" s="7" t="s">
        <v>2822</v>
      </c>
      <c r="D313" s="7" t="s">
        <v>2823</v>
      </c>
      <c r="F313" s="5" t="str">
        <f>IFERROR(__xludf.DUMMYFUNCTION("GOOGLETRANSLATE(A313, ""en"", ""hi"")"),"312")</f>
        <v>312</v>
      </c>
      <c r="G313" s="5" t="str">
        <f>IFERROR(__xludf.DUMMYFUNCTION("GOOGLETRANSLATE(B313, ""en"", ""hi"")"),"टीम बी का एक डिफेंडर टैग से बचने के लिए तेज़ ज़िगज़ैग पैटर्न अपना रहा है। टीम ए के चेज़र्स को किस पर ध्यान केंद्रित करना चाहिए?")</f>
        <v>टीम बी का एक डिफेंडर टैग से बचने के लिए तेज़ ज़िगज़ैग पैटर्न अपना रहा है। टीम ए के चेज़र्स को किस पर ध्यान केंद्रित करना चाहिए?</v>
      </c>
      <c r="H313" s="5" t="str">
        <f>IFERROR(__xludf.DUMMYFUNCTION("GOOGLETRANSLATE(C313, ""en"", ""hi"")"),"A) ज़िगज़ैग पैटर्न को रोकें, B) गति बढ़ाएँ, C) बेहतर टाइमिंग का उपयोग करें, D) डिफेंडर के थकने का इंतज़ार करें")</f>
        <v>A) ज़िगज़ैग पैटर्न को रोकें, B) गति बढ़ाएँ, C) बेहतर टाइमिंग का उपयोग करें, D) डिफेंडर के थकने का इंतज़ार करें</v>
      </c>
      <c r="I313" s="5" t="str">
        <f>IFERROR(__xludf.DUMMYFUNCTION("GOOGLETRANSLATE(D313, ""en"", ""hi"")"),"A) ब्लॉक ज़िगज़ैग पैटर्न")</f>
        <v>A) ब्लॉक ज़िगज़ैग पैटर्न</v>
      </c>
    </row>
    <row r="314" ht="22.5" customHeight="1">
      <c r="A314" s="7">
        <v>313.0</v>
      </c>
      <c r="B314" s="7" t="s">
        <v>2855</v>
      </c>
      <c r="C314" s="7" t="s">
        <v>2746</v>
      </c>
      <c r="D314" s="7" t="s">
        <v>2705</v>
      </c>
      <c r="F314" s="5" t="str">
        <f>IFERROR(__xludf.DUMMYFUNCTION("GOOGLETRANSLATE(A314, ""en"", ""hi"")"),"313")</f>
        <v>313</v>
      </c>
      <c r="G314" s="5" t="str">
        <f>IFERROR(__xludf.DUMMYFUNCTION("GOOGLETRANSLATE(B314, ""en"", ""hi"")"),"आखिरी सेकंड में, टीम बी का चेज़र 'खो' की दिशा को लेकर कन्फ़्यूज़न के कारण एक डिफेंडर को टैग करने से चूक जाता है। इसमें क्या सुधार होना चाहिए?")</f>
        <v>आखिरी सेकंड में, टीम बी का चेज़र 'खो' की दिशा को लेकर कन्फ़्यूज़न के कारण एक डिफेंडर को टैग करने से चूक जाता है। इसमें क्या सुधार होना चाहिए?</v>
      </c>
      <c r="H314" s="5" t="str">
        <f>IFERROR(__xludf.DUMMYFUNCTION("GOOGLETRANSLATE(C314, ""en"", ""hi"")"),"A) संचार, B) गति, C) समय, D) समन्वय")</f>
        <v>A) संचार, B) गति, C) समय, D) समन्वय</v>
      </c>
      <c r="I314" s="5" t="str">
        <f>IFERROR(__xludf.DUMMYFUNCTION("GOOGLETRANSLATE(D314, ""en"", ""hi"")"),"ए) संचार")</f>
        <v>ए) संचार</v>
      </c>
    </row>
    <row r="315" ht="22.5" customHeight="1">
      <c r="A315" s="7">
        <v>314.0</v>
      </c>
      <c r="B315" s="7" t="s">
        <v>2830</v>
      </c>
      <c r="C315" s="7" t="s">
        <v>2746</v>
      </c>
      <c r="D315" s="7" t="s">
        <v>2705</v>
      </c>
      <c r="F315" s="5" t="str">
        <f>IFERROR(__xludf.DUMMYFUNCTION("GOOGLETRANSLATE(A315, ""en"", ""hi"")"),"314")</f>
        <v>314</v>
      </c>
      <c r="G315" s="5" t="str">
        <f>IFERROR(__xludf.DUMMYFUNCTION("GOOGLETRANSLATE(B315, ""en"", ""hi"")"),"टीम ए का चेज़र 'खो' की दिशा को लेकर उलझन में है और एक डिफेंडर को टैग करने से चूक जाता है। सुधार के लिए मुख्य ध्यान किस पर होना चाहिए?")</f>
        <v>टीम ए का चेज़र 'खो' की दिशा को लेकर उलझन में है और एक डिफेंडर को टैग करने से चूक जाता है। सुधार के लिए मुख्य ध्यान किस पर होना चाहिए?</v>
      </c>
      <c r="H315" s="5" t="str">
        <f>IFERROR(__xludf.DUMMYFUNCTION("GOOGLETRANSLATE(C315, ""en"", ""hi"")"),"A) संचार, B) गति, C) समय, D) समन्वय")</f>
        <v>A) संचार, B) गति, C) समय, D) समन्वय</v>
      </c>
      <c r="I315" s="5" t="str">
        <f>IFERROR(__xludf.DUMMYFUNCTION("GOOGLETRANSLATE(D315, ""en"", ""hi"")"),"ए) संचार")</f>
        <v>ए) संचार</v>
      </c>
    </row>
    <row r="316" ht="22.5" customHeight="1">
      <c r="A316" s="7">
        <v>315.0</v>
      </c>
      <c r="B316" s="7" t="s">
        <v>2856</v>
      </c>
      <c r="C316" s="7" t="s">
        <v>2794</v>
      </c>
      <c r="D316" s="7" t="s">
        <v>2770</v>
      </c>
      <c r="F316" s="5" t="str">
        <f>IFERROR(__xludf.DUMMYFUNCTION("GOOGLETRANSLATE(A316, ""en"", ""hi"")"),"315")</f>
        <v>315</v>
      </c>
      <c r="G316" s="5" t="str">
        <f>IFERROR(__xludf.DUMMYFUNCTION("GOOGLETRANSLATE(B316, ""en"", ""hi"")"),"टीम बी का चेज़र दूरी का सही अंदाज़ा न लगा पाने के कारण डिफेंडर को टैग नहीं कर पा रहा है। सुधार के लिए किस पर ध्यान केंद्रित किया जाना चाहिए?")</f>
        <v>टीम बी का चेज़र दूरी का सही अंदाज़ा न लगा पाने के कारण डिफेंडर को टैग नहीं कर पा रहा है। सुधार के लिए किस पर ध्यान केंद्रित किया जाना चाहिए?</v>
      </c>
      <c r="H316" s="5" t="str">
        <f>IFERROR(__xludf.DUMMYFUNCTION("GOOGLETRANSLATE(C316, ""en"", ""hi"")"),"A) दूरी का निर्णय, B) गति, C) समय निर्धारण, D) समन्वय")</f>
        <v>A) दूरी का निर्णय, B) गति, C) समय निर्धारण, D) समन्वय</v>
      </c>
      <c r="I316" s="5" t="str">
        <f>IFERROR(__xludf.DUMMYFUNCTION("GOOGLETRANSLATE(D316, ""en"", ""hi"")"),"A) दूरी निर्णय")</f>
        <v>A) दूरी निर्णय</v>
      </c>
    </row>
    <row r="317" ht="22.5" customHeight="1">
      <c r="A317" s="7">
        <v>316.0</v>
      </c>
      <c r="B317" s="7" t="s">
        <v>2857</v>
      </c>
      <c r="C317" s="7" t="s">
        <v>2858</v>
      </c>
      <c r="D317" s="7" t="s">
        <v>2780</v>
      </c>
      <c r="F317" s="5" t="str">
        <f>IFERROR(__xludf.DUMMYFUNCTION("GOOGLETRANSLATE(A317, ""en"", ""hi"")"),"316")</f>
        <v>316</v>
      </c>
      <c r="G317" s="5" t="str">
        <f>IFERROR(__xludf.DUMMYFUNCTION("GOOGLETRANSLATE(B317, ""en"", ""hi"")"),"टीम A का एक डिफेंडर टैग से बचने के लिए तेज़ी से पार्श्व गति से दौड़ रहा है। टीम B के चेज़र्स के लिए एक अच्छी रणनीति क्या है?")</f>
        <v>टीम A का एक डिफेंडर टैग से बचने के लिए तेज़ी से पार्श्व गति से दौड़ रहा है। टीम B के चेज़र्स के लिए एक अच्छी रणनीति क्या है?</v>
      </c>
      <c r="H317" s="5" t="str">
        <f>IFERROR(__xludf.DUMMYFUNCTION("GOOGLETRANSLATE(C317, ""en"", ""hi"")"),"A) पार्श्व गति को रोकें, B) गति बढ़ाएँ, C) समय सुधारें, D) रक्षक के थकने का इंतज़ार करें")</f>
        <v>A) पार्श्व गति को रोकें, B) गति बढ़ाएँ, C) समय सुधारें, D) रक्षक के थकने का इंतज़ार करें</v>
      </c>
      <c r="I317" s="5" t="str">
        <f>IFERROR(__xludf.DUMMYFUNCTION("GOOGLETRANSLATE(D317, ""en"", ""hi"")"),"A) पार्श्व गतिविधियों को अवरुद्ध करें")</f>
        <v>A) पार्श्व गतिविधियों को अवरुद्ध करें</v>
      </c>
    </row>
    <row r="318" ht="22.5" customHeight="1">
      <c r="A318" s="7">
        <v>317.0</v>
      </c>
      <c r="B318" s="7" t="s">
        <v>2859</v>
      </c>
      <c r="C318" s="7" t="s">
        <v>2722</v>
      </c>
      <c r="D318" s="7" t="s">
        <v>2485</v>
      </c>
      <c r="F318" s="5" t="str">
        <f>IFERROR(__xludf.DUMMYFUNCTION("GOOGLETRANSLATE(A318, ""en"", ""hi"")"),"317")</f>
        <v>317</v>
      </c>
      <c r="G318" s="5" t="str">
        <f>IFERROR(__xludf.DUMMYFUNCTION("GOOGLETRANSLATE(B318, ""en"", ""hi"")"),"खेल के दौरान, टीम A का चेज़र एक डिफेंडर को टैग करता है जो तेज़ी से ज़िगज़ैग पैटर्न में दौड़ रहा था। नियम क्या है?")</f>
        <v>खेल के दौरान, टीम A का चेज़र एक डिफेंडर को टैग करता है जो तेज़ी से ज़िगज़ैग पैटर्न में दौड़ रहा था। नियम क्या है?</v>
      </c>
      <c r="H318" s="5" t="str">
        <f>IFERROR(__xludf.DUMMYFUNCTION("GOOGLETRANSLATE(C318,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18" s="5" t="str">
        <f>IFERROR(__xludf.DUMMYFUNCTION("GOOGLETRANSLATE(D318, ""en"", ""hi"")"),"A) डिफेंडर बाहर है")</f>
        <v>A) डिफेंडर बाहर है</v>
      </c>
    </row>
    <row r="319" ht="22.5" customHeight="1">
      <c r="A319" s="7">
        <v>318.0</v>
      </c>
      <c r="B319" s="7" t="s">
        <v>2834</v>
      </c>
      <c r="C319" s="7" t="s">
        <v>2746</v>
      </c>
      <c r="D319" s="7" t="s">
        <v>2705</v>
      </c>
      <c r="F319" s="5" t="str">
        <f>IFERROR(__xludf.DUMMYFUNCTION("GOOGLETRANSLATE(A319, ""en"", ""hi"")"),"318")</f>
        <v>318</v>
      </c>
      <c r="G319" s="5" t="str">
        <f>IFERROR(__xludf.DUMMYFUNCTION("GOOGLETRANSLATE(B319, ""en"", ""hi"")"),"टीम बी का चेज़र 'खो' की दिशा को लेकर असमंजस के कारण टैग चूक जाता है। इसमें क्या सुधार होना चाहिए?")</f>
        <v>टीम बी का चेज़र 'खो' की दिशा को लेकर असमंजस के कारण टैग चूक जाता है। इसमें क्या सुधार होना चाहिए?</v>
      </c>
      <c r="H319" s="5" t="str">
        <f>IFERROR(__xludf.DUMMYFUNCTION("GOOGLETRANSLATE(C319, ""en"", ""hi"")"),"A) संचार, B) गति, C) समय, D) समन्वय")</f>
        <v>A) संचार, B) गति, C) समय, D) समन्वय</v>
      </c>
      <c r="I319" s="5" t="str">
        <f>IFERROR(__xludf.DUMMYFUNCTION("GOOGLETRANSLATE(D319, ""en"", ""hi"")"),"ए) संचार")</f>
        <v>ए) संचार</v>
      </c>
    </row>
    <row r="320" ht="22.5" customHeight="1">
      <c r="A320" s="7">
        <v>319.0</v>
      </c>
      <c r="B320" s="7" t="s">
        <v>2860</v>
      </c>
      <c r="C320" s="7" t="s">
        <v>2801</v>
      </c>
      <c r="D320" s="7" t="s">
        <v>2737</v>
      </c>
      <c r="F320" s="5" t="str">
        <f>IFERROR(__xludf.DUMMYFUNCTION("GOOGLETRANSLATE(A320, ""en"", ""hi"")"),"319")</f>
        <v>319</v>
      </c>
      <c r="G320" s="5" t="str">
        <f>IFERROR(__xludf.DUMMYFUNCTION("GOOGLETRANSLATE(B320, ""en"", ""hi"")"),"टीम A का एक डिफेंडर गोल घेरे में दौड़कर टैग होने से बच रहा है। टीम B के चेज़र्स के लिए अच्छी रणनीति क्या है?")</f>
        <v>टीम A का एक डिफेंडर गोल घेरे में दौड़कर टैग होने से बच रहा है। टीम B के चेज़र्स के लिए अच्छी रणनीति क्या है?</v>
      </c>
      <c r="H320" s="5" t="str">
        <f>IFERROR(__xludf.DUMMYFUNCTION("GOOGLETRANSLATE(C320, ""en"", ""hi"")"),"A) गोल घेरे में बच निकलने के रास्ते रोकें, B) गति बढ़ाएँ, C) समय सुधारें, D) रक्षक के थकने का इंतज़ार करें")</f>
        <v>A) गोल घेरे में बच निकलने के रास्ते रोकें, B) गति बढ़ाएँ, C) समय सुधारें, D) रक्षक के थकने का इंतज़ार करें</v>
      </c>
      <c r="I320" s="5" t="str">
        <f>IFERROR(__xludf.DUMMYFUNCTION("GOOGLETRANSLATE(D320, ""en"", ""hi"")"),"A) भागने के रास्तों को गोलाकार में अवरुद्ध करें")</f>
        <v>A) भागने के रास्तों को गोलाकार में अवरुद्ध करें</v>
      </c>
    </row>
    <row r="321" ht="22.5" customHeight="1">
      <c r="A321" s="7">
        <v>320.0</v>
      </c>
      <c r="B321" s="7" t="s">
        <v>2861</v>
      </c>
      <c r="C321" s="7" t="s">
        <v>2862</v>
      </c>
      <c r="D321" s="7" t="s">
        <v>2791</v>
      </c>
      <c r="F321" s="5" t="str">
        <f>IFERROR(__xludf.DUMMYFUNCTION("GOOGLETRANSLATE(A321, ""en"", ""hi"")"),"320")</f>
        <v>320</v>
      </c>
      <c r="G321" s="5" t="str">
        <f>IFERROR(__xludf.DUMMYFUNCTION("GOOGLETRANSLATE(B321, ""en"", ""hi"")"),"टीम बी का चेज़र खराब टाइमिंग के कारण डिफेंडर को टैग नहीं कर पा रहा है। सुधार के लिए किस पर ध्यान केंद्रित किया जाना चाहिए?")</f>
        <v>टीम बी का चेज़र खराब टाइमिंग के कारण डिफेंडर को टैग नहीं कर पा रहा है। सुधार के लिए किस पर ध्यान केंद्रित किया जाना चाहिए?</v>
      </c>
      <c r="H321" s="5" t="str">
        <f>IFERROR(__xludf.DUMMYFUNCTION("GOOGLETRANSLATE(C321, ""en"", ""hi"")"),"A) समय, B) गति, C) समन्वय, D) रणनीति")</f>
        <v>A) समय, B) गति, C) समन्वय, D) रणनीति</v>
      </c>
      <c r="I321" s="5" t="str">
        <f>IFERROR(__xludf.DUMMYFUNCTION("GOOGLETRANSLATE(D321, ""en"", ""hi"")"),"ए) समय")</f>
        <v>ए) समय</v>
      </c>
    </row>
    <row r="322" ht="22.5" customHeight="1">
      <c r="A322" s="7">
        <v>321.0</v>
      </c>
      <c r="B322" s="7" t="s">
        <v>2863</v>
      </c>
      <c r="C322" s="7" t="s">
        <v>2746</v>
      </c>
      <c r="D322" s="7" t="s">
        <v>2705</v>
      </c>
      <c r="F322" s="5" t="str">
        <f>IFERROR(__xludf.DUMMYFUNCTION("GOOGLETRANSLATE(A322, ""en"", ""hi"")"),"321")</f>
        <v>321</v>
      </c>
      <c r="G322" s="5" t="str">
        <f>IFERROR(__xludf.DUMMYFUNCTION("GOOGLETRANSLATE(B322, ""en"", ""hi"")"),"खेल के अंतिम क्षणों में, टीम A का चेज़र 'खो' की दिशा को लेकर भ्रमित हो जाता है और एक डिफेंडर को टैग करने से चूक जाता है। सुधार के लिए किस पर ध्यान केंद्रित किया जाना चाहिए?")</f>
        <v>खेल के अंतिम क्षणों में, टीम A का चेज़र 'खो' की दिशा को लेकर भ्रमित हो जाता है और एक डिफेंडर को टैग करने से चूक जाता है। सुधार के लिए किस पर ध्यान केंद्रित किया जाना चाहिए?</v>
      </c>
      <c r="H322" s="5" t="str">
        <f>IFERROR(__xludf.DUMMYFUNCTION("GOOGLETRANSLATE(C322, ""en"", ""hi"")"),"A) संचार, B) गति, C) समय, D) समन्वय")</f>
        <v>A) संचार, B) गति, C) समय, D) समन्वय</v>
      </c>
      <c r="I322" s="5" t="str">
        <f>IFERROR(__xludf.DUMMYFUNCTION("GOOGLETRANSLATE(D322, ""en"", ""hi"")"),"ए) संचार")</f>
        <v>ए) संचार</v>
      </c>
    </row>
    <row r="323" ht="22.5" customHeight="1">
      <c r="A323" s="7">
        <v>322.0</v>
      </c>
      <c r="B323" s="7" t="s">
        <v>2825</v>
      </c>
      <c r="C323" s="7" t="s">
        <v>2811</v>
      </c>
      <c r="D323" s="7" t="s">
        <v>2708</v>
      </c>
      <c r="F323" s="5" t="str">
        <f>IFERROR(__xludf.DUMMYFUNCTION("GOOGLETRANSLATE(A323, ""en"", ""hi"")"),"322")</f>
        <v>322</v>
      </c>
      <c r="G323" s="5" t="str">
        <f>IFERROR(__xludf.DUMMYFUNCTION("GOOGLETRANSLATE(B323, ""en"", ""hi"")"),"टीम A का चेज़र दूसरे चेज़रों के साथ खराब समन्वय के कारण डिफेंडर को टैग नहीं कर पा रहा है। इसमें क्या सुधार किया जाना चाहिए?")</f>
        <v>टीम A का चेज़र दूसरे चेज़रों के साथ खराब समन्वय के कारण डिफेंडर को टैग नहीं कर पा रहा है। इसमें क्या सुधार किया जाना चाहिए?</v>
      </c>
      <c r="H323" s="5" t="str">
        <f>IFERROR(__xludf.DUMMYFUNCTION("GOOGLETRANSLATE(C323, ""en"", ""hi"")"),"A) समन्वय, B) गति, C) समय, D) रणनीति")</f>
        <v>A) समन्वय, B) गति, C) समय, D) रणनीति</v>
      </c>
      <c r="I323" s="5" t="str">
        <f>IFERROR(__xludf.DUMMYFUNCTION("GOOGLETRANSLATE(D323, ""en"", ""hi"")"),"ए) समन्वय")</f>
        <v>ए) समन्वय</v>
      </c>
    </row>
    <row r="324" ht="22.5" customHeight="1">
      <c r="A324" s="7">
        <v>323.0</v>
      </c>
      <c r="B324" s="7" t="s">
        <v>2864</v>
      </c>
      <c r="C324" s="7" t="s">
        <v>2865</v>
      </c>
      <c r="D324" s="7" t="s">
        <v>2823</v>
      </c>
      <c r="F324" s="5" t="str">
        <f>IFERROR(__xludf.DUMMYFUNCTION("GOOGLETRANSLATE(A324, ""en"", ""hi"")"),"323")</f>
        <v>323</v>
      </c>
      <c r="G324" s="5" t="str">
        <f>IFERROR(__xludf.DUMMYFUNCTION("GOOGLETRANSLATE(B324, ""en"", ""hi"")"),"टीम बी का एक डिफेंडर तेज़ ज़िगज़ैग पैटर्न में दौड़कर टैग होने से बच रहा है। टीम ए के चेज़र्स के लिए एक प्रभावी रणनीति क्या है?")</f>
        <v>टीम बी का एक डिफेंडर तेज़ ज़िगज़ैग पैटर्न में दौड़कर टैग होने से बच रहा है। टीम ए के चेज़र्स के लिए एक प्रभावी रणनीति क्या है?</v>
      </c>
      <c r="H324" s="5" t="str">
        <f>IFERROR(__xludf.DUMMYFUNCTION("GOOGLETRANSLATE(C324, ""en"", ""hi"")"),"A) ज़िगज़ैग पैटर्न को रोकें, B) गति बढ़ाएँ, C) बेहतर समय का उपयोग करें, D) रणनीति बदलें")</f>
        <v>A) ज़िगज़ैग पैटर्न को रोकें, B) गति बढ़ाएँ, C) बेहतर समय का उपयोग करें, D) रणनीति बदलें</v>
      </c>
      <c r="I324" s="5" t="str">
        <f>IFERROR(__xludf.DUMMYFUNCTION("GOOGLETRANSLATE(D324, ""en"", ""hi"")"),"A) ब्लॉक ज़िगज़ैग पैटर्न")</f>
        <v>A) ब्लॉक ज़िगज़ैग पैटर्न</v>
      </c>
    </row>
    <row r="325" ht="22.5" customHeight="1">
      <c r="A325" s="7">
        <v>324.0</v>
      </c>
      <c r="B325" s="7" t="s">
        <v>2866</v>
      </c>
      <c r="C325" s="7" t="s">
        <v>2794</v>
      </c>
      <c r="D325" s="7" t="s">
        <v>2770</v>
      </c>
      <c r="F325" s="5" t="str">
        <f>IFERROR(__xludf.DUMMYFUNCTION("GOOGLETRANSLATE(A325, ""en"", ""hi"")"),"324")</f>
        <v>324</v>
      </c>
      <c r="G325" s="5" t="str">
        <f>IFERROR(__xludf.DUMMYFUNCTION("GOOGLETRANSLATE(B325, ""en"", ""hi"")"),"टीम बी का चेज़र गलत दूरी के कारण डिफेंडर को टैग नहीं कर पा रहा है। सुधार के लिए किस पर ध्यान केंद्रित किया जाना चाहिए?")</f>
        <v>टीम बी का चेज़र गलत दूरी के कारण डिफेंडर को टैग नहीं कर पा रहा है। सुधार के लिए किस पर ध्यान केंद्रित किया जाना चाहिए?</v>
      </c>
      <c r="H325" s="5" t="str">
        <f>IFERROR(__xludf.DUMMYFUNCTION("GOOGLETRANSLATE(C325, ""en"", ""hi"")"),"A) दूरी का निर्णय, B) गति, C) समय निर्धारण, D) समन्वय")</f>
        <v>A) दूरी का निर्णय, B) गति, C) समय निर्धारण, D) समन्वय</v>
      </c>
      <c r="I325" s="5" t="str">
        <f>IFERROR(__xludf.DUMMYFUNCTION("GOOGLETRANSLATE(D325, ""en"", ""hi"")"),"A) दूरी निर्णय")</f>
        <v>A) दूरी निर्णय</v>
      </c>
    </row>
    <row r="326" ht="22.5" customHeight="1">
      <c r="A326" s="7">
        <v>325.0</v>
      </c>
      <c r="B326" s="7" t="s">
        <v>2867</v>
      </c>
      <c r="C326" s="7" t="s">
        <v>2868</v>
      </c>
      <c r="D326" s="7" t="s">
        <v>2869</v>
      </c>
      <c r="F326" s="5" t="str">
        <f>IFERROR(__xludf.DUMMYFUNCTION("GOOGLETRANSLATE(A326, ""en"", ""hi"")"),"325")</f>
        <v>325</v>
      </c>
      <c r="G326" s="5" t="str">
        <f>IFERROR(__xludf.DUMMYFUNCTION("GOOGLETRANSLATE(B326, ""en"", ""hi"")"),"टीम A का एक डिफेंडर टैग से बचने के लिए सेंटर लाइन की ओर दौड़ रहा है। टीम B के चेज़र्स के लिए एक प्रभावी रणनीति क्या है?")</f>
        <v>टीम A का एक डिफेंडर टैग से बचने के लिए सेंटर लाइन की ओर दौड़ रहा है। टीम B के चेज़र्स के लिए एक प्रभावी रणनीति क्या है?</v>
      </c>
      <c r="H326" s="5" t="str">
        <f>IFERROR(__xludf.DUMMYFUNCTION("GOOGLETRANSLATE(C326, ""en"", ""hi"")"),"A) केंद्र रेखा मार्गों को अवरुद्ध करें, B) गति बढ़ाएं, C) समय में सुधार करें, D) बेहतर रणनीति का उपयोग करें")</f>
        <v>A) केंद्र रेखा मार्गों को अवरुद्ध करें, B) गति बढ़ाएं, C) समय में सुधार करें, D) बेहतर रणनीति का उपयोग करें</v>
      </c>
      <c r="I326" s="5" t="str">
        <f>IFERROR(__xludf.DUMMYFUNCTION("GOOGLETRANSLATE(D326, ""en"", ""hi"")"),"A) केंद्र रेखा मार्गों को ब्लॉक करें")</f>
        <v>A) केंद्र रेखा मार्गों को ब्लॉक करें</v>
      </c>
    </row>
    <row r="327" ht="22.5" customHeight="1">
      <c r="A327" s="7">
        <v>326.0</v>
      </c>
      <c r="B327" s="7" t="s">
        <v>2870</v>
      </c>
      <c r="C327" s="7" t="s">
        <v>2722</v>
      </c>
      <c r="D327" s="7" t="s">
        <v>2485</v>
      </c>
      <c r="F327" s="5" t="str">
        <f>IFERROR(__xludf.DUMMYFUNCTION("GOOGLETRANSLATE(A327, ""en"", ""hi"")"),"326")</f>
        <v>326</v>
      </c>
      <c r="G327" s="5" t="str">
        <f>IFERROR(__xludf.DUMMYFUNCTION("GOOGLETRANSLATE(B327, ""en"", ""hi"")"),"मैच के दौरान, टीम A का चेज़र सेंटर लाइन के पास दौड़ रहे एक डिफेंडर को टैग करता है। इसका नियम क्या है?")</f>
        <v>मैच के दौरान, टीम A का चेज़र सेंटर लाइन के पास दौड़ रहे एक डिफेंडर को टैग करता है। इसका नियम क्या है?</v>
      </c>
      <c r="H327" s="5" t="str">
        <f>IFERROR(__xludf.DUMMYFUNCTION("GOOGLETRANSLATE(C327,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27" s="5" t="str">
        <f>IFERROR(__xludf.DUMMYFUNCTION("GOOGLETRANSLATE(D327, ""en"", ""hi"")"),"A) डिफेंडर बाहर है")</f>
        <v>A) डिफेंडर बाहर है</v>
      </c>
    </row>
    <row r="328" ht="22.5" customHeight="1">
      <c r="A328" s="7">
        <v>327.0</v>
      </c>
      <c r="B328" s="7" t="s">
        <v>2871</v>
      </c>
      <c r="C328" s="7" t="s">
        <v>2872</v>
      </c>
      <c r="D328" s="7" t="s">
        <v>2873</v>
      </c>
      <c r="F328" s="5" t="str">
        <f>IFERROR(__xludf.DUMMYFUNCTION("GOOGLETRANSLATE(A328, ""en"", ""hi"")"),"327")</f>
        <v>327</v>
      </c>
      <c r="G328" s="5" t="str">
        <f>IFERROR(__xludf.DUMMYFUNCTION("GOOGLETRANSLATE(B328, ""en"", ""hi"")"),"टीम A का चेज़र एक डिफेंडर को टैग करने में संघर्ष कर रहा है जो तेज़ी से विकर्ण रन बना रहा है। टीम A के चेज़र के लिए सबसे अच्छा तरीका क्या है?")</f>
        <v>टीम A का चेज़र एक डिफेंडर को टैग करने में संघर्ष कर रहा है जो तेज़ी से विकर्ण रन बना रहा है। टीम A के चेज़र के लिए सबसे अच्छा तरीका क्या है?</v>
      </c>
      <c r="H328" s="5" t="str">
        <f>IFERROR(__xludf.DUMMYFUNCTION("GOOGLETRANSLATE(C328, ""en"", ""hi"")"),"A) विकर्ण गतिविधियों की आशा करें, B) गति बढ़ाएँ, C) समय सुधारें, D) रक्षक के थकने की प्रतीक्षा करें")</f>
        <v>A) विकर्ण गतिविधियों की आशा करें, B) गति बढ़ाएँ, C) समय सुधारें, D) रक्षक के थकने की प्रतीक्षा करें</v>
      </c>
      <c r="I328" s="5" t="str">
        <f>IFERROR(__xludf.DUMMYFUNCTION("GOOGLETRANSLATE(D328, ""en"", ""hi"")"),"A) विकर्ण आंदोलनों का पूर्वानुमान करें")</f>
        <v>A) विकर्ण आंदोलनों का पूर्वानुमान करें</v>
      </c>
    </row>
    <row r="329" ht="22.5" customHeight="1">
      <c r="A329" s="7">
        <v>328.0</v>
      </c>
      <c r="B329" s="7" t="s">
        <v>2874</v>
      </c>
      <c r="C329" s="7" t="s">
        <v>2875</v>
      </c>
      <c r="D329" s="7" t="s">
        <v>2876</v>
      </c>
      <c r="F329" s="5" t="str">
        <f>IFERROR(__xludf.DUMMYFUNCTION("GOOGLETRANSLATE(A329, ""en"", ""hi"")"),"328")</f>
        <v>328</v>
      </c>
      <c r="G329" s="5" t="str">
        <f>IFERROR(__xludf.DUMMYFUNCTION("GOOGLETRANSLATE(B329, ""en"", ""hi"")"),"टीम बी का एक डिफेंडर साइडलाइन पर दौड़कर टैग होने से बच जाता है। टीम ए के चेज़र्स को किस पर ध्यान केंद्रित करना चाहिए?")</f>
        <v>टीम बी का एक डिफेंडर साइडलाइन पर दौड़कर टैग होने से बच जाता है। टीम ए के चेज़र्स को किस पर ध्यान केंद्रित करना चाहिए?</v>
      </c>
      <c r="H329" s="5" t="str">
        <f>IFERROR(__xludf.DUMMYFUNCTION("GOOGLETRANSLATE(C329, ""en"", ""hi"")"),"A) साइडलाइन मार्गों को ब्लॉक करें, B) गति बढ़ाएं, C) बेहतर समय का उपयोग करें, D) समन्वय में सुधार करें")</f>
        <v>A) साइडलाइन मार्गों को ब्लॉक करें, B) गति बढ़ाएं, C) बेहतर समय का उपयोग करें, D) समन्वय में सुधार करें</v>
      </c>
      <c r="I329" s="5" t="str">
        <f>IFERROR(__xludf.DUMMYFUNCTION("GOOGLETRANSLATE(D329, ""en"", ""hi"")"),"A) साइडलाइन मार्गों को ब्लॉक करें")</f>
        <v>A) साइडलाइन मार्गों को ब्लॉक करें</v>
      </c>
    </row>
    <row r="330" ht="22.5" customHeight="1">
      <c r="A330" s="7">
        <v>329.0</v>
      </c>
      <c r="B330" s="7" t="s">
        <v>2877</v>
      </c>
      <c r="C330" s="7" t="s">
        <v>2722</v>
      </c>
      <c r="D330" s="7" t="s">
        <v>2485</v>
      </c>
      <c r="F330" s="5" t="str">
        <f>IFERROR(__xludf.DUMMYFUNCTION("GOOGLETRANSLATE(A330, ""en"", ""hi"")"),"329")</f>
        <v>329</v>
      </c>
      <c r="G330" s="5" t="str">
        <f>IFERROR(__xludf.DUMMYFUNCTION("GOOGLETRANSLATE(B330, ""en"", ""hi"")"),"एक महत्वपूर्ण क्षण में, टीम B का चेज़र एक डिफेंडर को टैग करता है जो सीधी रेखा में दौड़ रहा है। इसका क्या नियम है?")</f>
        <v>एक महत्वपूर्ण क्षण में, टीम B का चेज़र एक डिफेंडर को टैग करता है जो सीधी रेखा में दौड़ रहा है। इसका क्या नियम है?</v>
      </c>
      <c r="H330" s="5" t="str">
        <f>IFERROR(__xludf.DUMMYFUNCTION("GOOGLETRANSLATE(C330,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30" s="5" t="str">
        <f>IFERROR(__xludf.DUMMYFUNCTION("GOOGLETRANSLATE(D330, ""en"", ""hi"")"),"A) डिफेंडर बाहर है")</f>
        <v>A) डिफेंडर बाहर है</v>
      </c>
    </row>
    <row r="331" ht="22.5" customHeight="1">
      <c r="A331" s="7">
        <v>330.0</v>
      </c>
      <c r="B331" s="7" t="s">
        <v>2878</v>
      </c>
      <c r="C331" s="7" t="s">
        <v>2844</v>
      </c>
      <c r="D331" s="7" t="s">
        <v>2791</v>
      </c>
      <c r="F331" s="5" t="str">
        <f>IFERROR(__xludf.DUMMYFUNCTION("GOOGLETRANSLATE(A331, ""en"", ""hi"")"),"330")</f>
        <v>330</v>
      </c>
      <c r="G331" s="5" t="str">
        <f>IFERROR(__xludf.DUMMYFUNCTION("GOOGLETRANSLATE(B331, ""en"", ""hi"")"),"टीम A का चेज़र खराब टाइमिंग के कारण डिफेंडर को टैग नहीं कर पा रहा है। सुधार के लिए मुख्य ध्यान किस पर होना चाहिए?")</f>
        <v>टीम A का चेज़र खराब टाइमिंग के कारण डिफेंडर को टैग नहीं कर पा रहा है। सुधार के लिए मुख्य ध्यान किस पर होना चाहिए?</v>
      </c>
      <c r="H331" s="5" t="str">
        <f>IFERROR(__xludf.DUMMYFUNCTION("GOOGLETRANSLATE(C331, ""en"", ""hi"")"),"A) समय, B) गति, C) समन्वय, D) संचार")</f>
        <v>A) समय, B) गति, C) समन्वय, D) संचार</v>
      </c>
      <c r="I331" s="5" t="str">
        <f>IFERROR(__xludf.DUMMYFUNCTION("GOOGLETRANSLATE(D331, ""en"", ""hi"")"),"ए) समय")</f>
        <v>ए) समय</v>
      </c>
    </row>
    <row r="332" ht="22.5" customHeight="1">
      <c r="A332" s="7">
        <v>331.0</v>
      </c>
      <c r="B332" s="7" t="s">
        <v>2879</v>
      </c>
      <c r="C332" s="7" t="s">
        <v>2880</v>
      </c>
      <c r="D332" s="7" t="s">
        <v>2881</v>
      </c>
      <c r="F332" s="5" t="str">
        <f>IFERROR(__xludf.DUMMYFUNCTION("GOOGLETRANSLATE(A332, ""en"", ""hi"")"),"331")</f>
        <v>331</v>
      </c>
      <c r="G332" s="5" t="str">
        <f>IFERROR(__xludf.DUMMYFUNCTION("GOOGLETRANSLATE(B332, ""en"", ""hi"")"),"टीम बी का एक चेज़र एक डिफेंडर को टैग करने में नाकाम रहा जो तेज़ कट लगा रहा था। टीम बी के चेज़र के लिए सबसे अच्छी रणनीति क्या है?")</f>
        <v>टीम बी का एक चेज़र एक डिफेंडर को टैग करने में नाकाम रहा जो तेज़ कट लगा रहा था। टीम बी के चेज़र के लिए सबसे अच्छी रणनीति क्या है?</v>
      </c>
      <c r="H332" s="5" t="str">
        <f>IFERROR(__xludf.DUMMYFUNCTION("GOOGLETRANSLATE(C332, ""en"", ""hi"")"),"A) तीव्र कटौती की आशंका करें, B) गति बढ़ाएँ, C) समय सुधारें, D) रणनीति बदलें")</f>
        <v>A) तीव्र कटौती की आशंका करें, B) गति बढ़ाएँ, C) समय सुधारें, D) रणनीति बदलें</v>
      </c>
      <c r="I332" s="5" t="str">
        <f>IFERROR(__xludf.DUMMYFUNCTION("GOOGLETRANSLATE(D332, ""en"", ""hi"")"),"A) तेज कटौती की आशंका")</f>
        <v>A) तेज कटौती की आशंका</v>
      </c>
    </row>
    <row r="333" ht="22.5" customHeight="1">
      <c r="A333" s="7">
        <v>332.0</v>
      </c>
      <c r="B333" s="7" t="s">
        <v>2882</v>
      </c>
      <c r="C333" s="7" t="s">
        <v>2883</v>
      </c>
      <c r="D333" s="7" t="s">
        <v>2884</v>
      </c>
      <c r="F333" s="5" t="str">
        <f>IFERROR(__xludf.DUMMYFUNCTION("GOOGLETRANSLATE(A333, ""en"", ""hi"")"),"332")</f>
        <v>332</v>
      </c>
      <c r="G333" s="5" t="str">
        <f>IFERROR(__xludf.DUMMYFUNCTION("GOOGLETRANSLATE(B333, ""en"", ""hi"")"),"टीम A का डिफेंडर तंग घेरे में दौड़कर टैग होने से बचता है। टीम B के चेज़र्स को किस पर ध्यान केंद्रित करना चाहिए?")</f>
        <v>टीम A का डिफेंडर तंग घेरे में दौड़कर टैग होने से बचता है। टीम B के चेज़र्स को किस पर ध्यान केंद्रित करना चाहिए?</v>
      </c>
      <c r="H333" s="5" t="str">
        <f>IFERROR(__xludf.DUMMYFUNCTION("GOOGLETRANSLATE(C333, ""en"", ""hi"")"),"A) तंग घेरों को रोकें, B) गति बढ़ाएँ, C) समय सुधारें, D) बेहतर रणनीति का उपयोग करें")</f>
        <v>A) तंग घेरों को रोकें, B) गति बढ़ाएँ, C) समय सुधारें, D) बेहतर रणनीति का उपयोग करें</v>
      </c>
      <c r="I333" s="5" t="str">
        <f>IFERROR(__xludf.DUMMYFUNCTION("GOOGLETRANSLATE(D333, ""en"", ""hi"")"),"A) तंग घेरे को ब्लॉक करें")</f>
        <v>A) तंग घेरे को ब्लॉक करें</v>
      </c>
    </row>
    <row r="334" ht="22.5" customHeight="1">
      <c r="A334" s="7">
        <v>333.0</v>
      </c>
      <c r="B334" s="7" t="s">
        <v>2885</v>
      </c>
      <c r="C334" s="7" t="s">
        <v>2722</v>
      </c>
      <c r="D334" s="7" t="s">
        <v>2485</v>
      </c>
      <c r="F334" s="5" t="str">
        <f>IFERROR(__xludf.DUMMYFUNCTION("GOOGLETRANSLATE(A334, ""en"", ""hi"")"),"333")</f>
        <v>333</v>
      </c>
      <c r="G334" s="5" t="str">
        <f>IFERROR(__xludf.DUMMYFUNCTION("GOOGLETRANSLATE(B334, ""en"", ""hi"")"),"खेल के आखिरी सेकंड में, टीम B का चेज़र बाउंड्री के पास खड़े एक डिफेंडर को टैग करता है। नियम क्या है?")</f>
        <v>खेल के आखिरी सेकंड में, टीम B का चेज़र बाउंड्री के पास खड़े एक डिफेंडर को टैग करता है। नियम क्या है?</v>
      </c>
      <c r="H334" s="5" t="str">
        <f>IFERROR(__xludf.DUMMYFUNCTION("GOOGLETRANSLATE(C334,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34" s="5" t="str">
        <f>IFERROR(__xludf.DUMMYFUNCTION("GOOGLETRANSLATE(D334, ""en"", ""hi"")"),"A) डिफेंडर बाहर है")</f>
        <v>A) डिफेंडर बाहर है</v>
      </c>
    </row>
    <row r="335" ht="22.5" customHeight="1">
      <c r="A335" s="7">
        <v>334.0</v>
      </c>
      <c r="B335" s="7" t="s">
        <v>2886</v>
      </c>
      <c r="C335" s="7" t="s">
        <v>2887</v>
      </c>
      <c r="D335" s="7" t="s">
        <v>2888</v>
      </c>
      <c r="F335" s="5" t="str">
        <f>IFERROR(__xludf.DUMMYFUNCTION("GOOGLETRANSLATE(A335, ""en"", ""hi"")"),"334")</f>
        <v>334</v>
      </c>
      <c r="G335" s="5" t="str">
        <f>IFERROR(__xludf.DUMMYFUNCTION("GOOGLETRANSLATE(B335, ""en"", ""hi"")"),"टीम ए का डिफेंडर तेज़ी से पीछे की ओर मूवमेंट करके टैग से बच रहा है। टीम बी के चेज़र्स को किस पर ध्यान केंद्रित करना चाहिए?")</f>
        <v>टीम ए का डिफेंडर तेज़ी से पीछे की ओर मूवमेंट करके टैग से बच रहा है। टीम बी के चेज़र्स को किस पर ध्यान केंद्रित करना चाहिए?</v>
      </c>
      <c r="H335" s="5" t="str">
        <f>IFERROR(__xludf.DUMMYFUNCTION("GOOGLETRANSLATE(C335, ""en"", ""hi"")"),"A) पीछे की ओर होने वाली गतिविधियों को रोकें, B) गति बढ़ाएँ, C) समय सुधारें, D) डिफेंडर के थकने का इंतज़ार करें")</f>
        <v>A) पीछे की ओर होने वाली गतिविधियों को रोकें, B) गति बढ़ाएँ, C) समय सुधारें, D) डिफेंडर के थकने का इंतज़ार करें</v>
      </c>
      <c r="I335" s="5" t="str">
        <f>IFERROR(__xludf.DUMMYFUNCTION("GOOGLETRANSLATE(D335, ""en"", ""hi"")"),"A) पीछे की ओर होने वाली गतिविधियों को रोकें")</f>
        <v>A) पीछे की ओर होने वाली गतिविधियों को रोकें</v>
      </c>
    </row>
    <row r="336" ht="22.5" customHeight="1">
      <c r="A336" s="7">
        <v>335.0</v>
      </c>
      <c r="B336" s="7" t="s">
        <v>2889</v>
      </c>
      <c r="C336" s="7" t="s">
        <v>2890</v>
      </c>
      <c r="D336" s="7" t="s">
        <v>2684</v>
      </c>
      <c r="F336" s="5" t="str">
        <f>IFERROR(__xludf.DUMMYFUNCTION("GOOGLETRANSLATE(A336, ""en"", ""hi"")"),"335")</f>
        <v>335</v>
      </c>
      <c r="G336" s="5" t="str">
        <f>IFERROR(__xludf.DUMMYFUNCTION("GOOGLETRANSLATE(B336, ""en"", ""hi"")"),"टीम बी का चेज़र दूरी का सही आकलन न कर पाने के कारण डिफेंडर को टैग करने से चूक गया। सुधार के लिए क्या ध्यान केंद्रित किया जाना चाहिए?")</f>
        <v>टीम बी का चेज़र दूरी का सही आकलन न कर पाने के कारण डिफेंडर को टैग करने से चूक गया। सुधार के लिए क्या ध्यान केंद्रित किया जाना चाहिए?</v>
      </c>
      <c r="H336" s="5" t="str">
        <f>IFERROR(__xludf.DUMMYFUNCTION("GOOGLETRANSLATE(C336, ""en"", ""hi"")"),"A) दूरी का आकलन, B) गति, C) समय, D) समन्वय")</f>
        <v>A) दूरी का आकलन, B) गति, C) समय, D) समन्वय</v>
      </c>
      <c r="I336" s="5" t="str">
        <f>IFERROR(__xludf.DUMMYFUNCTION("GOOGLETRANSLATE(D336, ""en"", ""hi"")"),"ए) दूरी मूल्यांकन")</f>
        <v>ए) दूरी मूल्यांकन</v>
      </c>
    </row>
    <row r="337" ht="22.5" customHeight="1">
      <c r="A337" s="7">
        <v>336.0</v>
      </c>
      <c r="B337" s="7" t="s">
        <v>2891</v>
      </c>
      <c r="C337" s="7" t="s">
        <v>2892</v>
      </c>
      <c r="D337" s="7" t="s">
        <v>2893</v>
      </c>
      <c r="F337" s="5" t="str">
        <f>IFERROR(__xludf.DUMMYFUNCTION("GOOGLETRANSLATE(A337, ""en"", ""hi"")"),"336")</f>
        <v>336</v>
      </c>
      <c r="G337" s="5" t="str">
        <f>IFERROR(__xludf.DUMMYFUNCTION("GOOGLETRANSLATE(B337, ""en"", ""hi"")"),"टीम A का डिफेंडर टैग से बचने के लिए तेज़ और धीमी चाल का मिश्रण इस्तेमाल करता है। टीम B के चेज़र्स को किस पर ध्यान केंद्रित करना चाहिए?")</f>
        <v>टीम A का डिफेंडर टैग से बचने के लिए तेज़ और धीमी चाल का मिश्रण इस्तेमाल करता है। टीम B के चेज़र्स को किस पर ध्यान केंद्रित करना चाहिए?</v>
      </c>
      <c r="H337" s="5" t="str">
        <f>IFERROR(__xludf.DUMMYFUNCTION("GOOGLETRANSLATE(C337, ""en"", ""hi"")"),"A) गति पैटर्न का पूर्वानुमान करें, B) गति बढ़ाएँ, C) समय में सुधार करें, D) डिफेंडर के थकने का इंतज़ार करें")</f>
        <v>A) गति पैटर्न का पूर्वानुमान करें, B) गति बढ़ाएँ, C) समय में सुधार करें, D) डिफेंडर के थकने का इंतज़ार करें</v>
      </c>
      <c r="I337" s="5" t="str">
        <f>IFERROR(__xludf.DUMMYFUNCTION("GOOGLETRANSLATE(D337, ""en"", ""hi"")"),"A) गति पैटर्न का पूर्वानुमान लगाएं")</f>
        <v>A) गति पैटर्न का पूर्वानुमान लगाएं</v>
      </c>
    </row>
    <row r="338" ht="22.5" customHeight="1">
      <c r="A338" s="7">
        <v>337.0</v>
      </c>
      <c r="B338" s="7" t="s">
        <v>2894</v>
      </c>
      <c r="C338" s="7" t="s">
        <v>2862</v>
      </c>
      <c r="D338" s="7" t="s">
        <v>2791</v>
      </c>
      <c r="F338" s="5" t="str">
        <f>IFERROR(__xludf.DUMMYFUNCTION("GOOGLETRANSLATE(A338, ""en"", ""hi"")"),"337")</f>
        <v>337</v>
      </c>
      <c r="G338" s="5" t="str">
        <f>IFERROR(__xludf.DUMMYFUNCTION("GOOGLETRANSLATE(B338, ""en"", ""hi"")"),"मैच के दौरान, टीम B का चेज़र एक डिफेंडर को टैग करने में बहुत देर कर देता है जो अचानक दिशा बदल देता है। इसमें क्या सुधार होना चाहिए?")</f>
        <v>मैच के दौरान, टीम B का चेज़र एक डिफेंडर को टैग करने में बहुत देर कर देता है जो अचानक दिशा बदल देता है। इसमें क्या सुधार होना चाहिए?</v>
      </c>
      <c r="H338" s="5" t="str">
        <f>IFERROR(__xludf.DUMMYFUNCTION("GOOGLETRANSLATE(C338, ""en"", ""hi"")"),"A) समय, B) गति, C) समन्वय, D) रणनीति")</f>
        <v>A) समय, B) गति, C) समन्वय, D) रणनीति</v>
      </c>
      <c r="I338" s="5" t="str">
        <f>IFERROR(__xludf.DUMMYFUNCTION("GOOGLETRANSLATE(D338, ""en"", ""hi"")"),"ए) समय")</f>
        <v>ए) समय</v>
      </c>
    </row>
    <row r="339" ht="22.5" customHeight="1">
      <c r="A339" s="7">
        <v>338.0</v>
      </c>
      <c r="B339" s="7" t="s">
        <v>2895</v>
      </c>
      <c r="C339" s="7" t="s">
        <v>2896</v>
      </c>
      <c r="D339" s="7" t="s">
        <v>2823</v>
      </c>
      <c r="F339" s="5" t="str">
        <f>IFERROR(__xludf.DUMMYFUNCTION("GOOGLETRANSLATE(A339, ""en"", ""hi"")"),"338")</f>
        <v>338</v>
      </c>
      <c r="G339" s="5" t="str">
        <f>IFERROR(__xludf.DUMMYFUNCTION("GOOGLETRANSLATE(B339, ""en"", ""hi"")"),"टीम A का चेज़र ज़िगज़ैग पैटर्न में दौड़ रहे डिफेंडर को टैग नहीं कर पा रहा है। टीम A के चेज़रों के लिए प्रभावी रणनीति क्या है?")</f>
        <v>टीम A का चेज़र ज़िगज़ैग पैटर्न में दौड़ रहे डिफेंडर को टैग नहीं कर पा रहा है। टीम A के चेज़रों के लिए प्रभावी रणनीति क्या है?</v>
      </c>
      <c r="H339" s="5" t="str">
        <f>IFERROR(__xludf.DUMMYFUNCTION("GOOGLETRANSLATE(C339, ""en"", ""hi"")"),"A) ज़िगज़ैग पैटर्न को ब्लॉक करें, B) गति बढ़ाएँ, C) समय सुधारें, D) रणनीति बदलें")</f>
        <v>A) ज़िगज़ैग पैटर्न को ब्लॉक करें, B) गति बढ़ाएँ, C) समय सुधारें, D) रणनीति बदलें</v>
      </c>
      <c r="I339" s="5" t="str">
        <f>IFERROR(__xludf.DUMMYFUNCTION("GOOGLETRANSLATE(D339, ""en"", ""hi"")"),"A) ब्लॉक ज़िगज़ैग पैटर्न")</f>
        <v>A) ब्लॉक ज़िगज़ैग पैटर्न</v>
      </c>
    </row>
    <row r="340" ht="22.5" customHeight="1">
      <c r="A340" s="7">
        <v>339.0</v>
      </c>
      <c r="B340" s="7" t="s">
        <v>2897</v>
      </c>
      <c r="C340" s="7" t="s">
        <v>2868</v>
      </c>
      <c r="D340" s="7" t="s">
        <v>2869</v>
      </c>
      <c r="F340" s="5" t="str">
        <f>IFERROR(__xludf.DUMMYFUNCTION("GOOGLETRANSLATE(A340, ""en"", ""hi"")"),"339")</f>
        <v>339</v>
      </c>
      <c r="G340" s="5" t="str">
        <f>IFERROR(__xludf.DUMMYFUNCTION("GOOGLETRANSLATE(B340, ""en"", ""hi"")"),"टीम बी का एक डिफेंडर टैग से बचने के लिए सेंटर लाइन के पास दौड़ रहा है। टीम ए के चेज़र्स को किस पर ध्यान केंद्रित करना चाहिए?")</f>
        <v>टीम बी का एक डिफेंडर टैग से बचने के लिए सेंटर लाइन के पास दौड़ रहा है। टीम ए के चेज़र्स को किस पर ध्यान केंद्रित करना चाहिए?</v>
      </c>
      <c r="H340" s="5" t="str">
        <f>IFERROR(__xludf.DUMMYFUNCTION("GOOGLETRANSLATE(C340, ""en"", ""hi"")"),"A) केंद्र रेखा मार्गों को अवरुद्ध करें, B) गति बढ़ाएं, C) समय में सुधार करें, D) बेहतर रणनीति का उपयोग करें")</f>
        <v>A) केंद्र रेखा मार्गों को अवरुद्ध करें, B) गति बढ़ाएं, C) समय में सुधार करें, D) बेहतर रणनीति का उपयोग करें</v>
      </c>
      <c r="I340" s="5" t="str">
        <f>IFERROR(__xludf.DUMMYFUNCTION("GOOGLETRANSLATE(D340, ""en"", ""hi"")"),"A) केंद्र रेखा मार्गों को ब्लॉक करें")</f>
        <v>A) केंद्र रेखा मार्गों को ब्लॉक करें</v>
      </c>
    </row>
    <row r="341" ht="22.5" customHeight="1">
      <c r="A341" s="7">
        <v>340.0</v>
      </c>
      <c r="B341" s="7" t="s">
        <v>2898</v>
      </c>
      <c r="C341" s="7" t="s">
        <v>2722</v>
      </c>
      <c r="D341" s="7" t="s">
        <v>2485</v>
      </c>
      <c r="F341" s="5" t="str">
        <f>IFERROR(__xludf.DUMMYFUNCTION("GOOGLETRANSLATE(A341, ""en"", ""hi"")"),"340")</f>
        <v>340</v>
      </c>
      <c r="G341" s="5" t="str">
        <f>IFERROR(__xludf.DUMMYFUNCTION("GOOGLETRANSLATE(B341, ""en"", ""hi"")"),"एक खेल के दौरान, टीम B का चेज़र सीधे दौड़ रहे एक डिफेंडर को टैग करता है। इसका नियम क्या है?")</f>
        <v>एक खेल के दौरान, टीम B का चेज़र सीधे दौड़ रहे एक डिफेंडर को टैग करता है। इसका नियम क्या है?</v>
      </c>
      <c r="H341" s="5" t="str">
        <f>IFERROR(__xludf.DUMMYFUNCTION("GOOGLETRANSLATE(C341,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41" s="5" t="str">
        <f>IFERROR(__xludf.DUMMYFUNCTION("GOOGLETRANSLATE(D341, ""en"", ""hi"")"),"A) डिफेंडर बाहर है")</f>
        <v>A) डिफेंडर बाहर है</v>
      </c>
    </row>
    <row r="342" ht="22.5" customHeight="1">
      <c r="A342" s="7">
        <v>341.0</v>
      </c>
      <c r="B342" s="7" t="s">
        <v>2899</v>
      </c>
      <c r="C342" s="7" t="s">
        <v>2858</v>
      </c>
      <c r="D342" s="7" t="s">
        <v>2780</v>
      </c>
      <c r="F342" s="5" t="str">
        <f>IFERROR(__xludf.DUMMYFUNCTION("GOOGLETRANSLATE(A342, ""en"", ""hi"")"),"341")</f>
        <v>341</v>
      </c>
      <c r="G342" s="5" t="str">
        <f>IFERROR(__xludf.DUMMYFUNCTION("GOOGLETRANSLATE(B342, ""en"", ""hi"")"),"टीम A का डिफेंडर टैग से बचने के लिए तेज़ पार्श्व गति का उपयोग करता है। टीम B के चेज़र्स को किस पर ध्यान केंद्रित करना चाहिए?")</f>
        <v>टीम A का डिफेंडर टैग से बचने के लिए तेज़ पार्श्व गति का उपयोग करता है। टीम B के चेज़र्स को किस पर ध्यान केंद्रित करना चाहिए?</v>
      </c>
      <c r="H342" s="5" t="str">
        <f>IFERROR(__xludf.DUMMYFUNCTION("GOOGLETRANSLATE(C342, ""en"", ""hi"")"),"A) पार्श्व गति को रोकें, B) गति बढ़ाएँ, C) समय सुधारें, D) रक्षक के थकने का इंतज़ार करें")</f>
        <v>A) पार्श्व गति को रोकें, B) गति बढ़ाएँ, C) समय सुधारें, D) रक्षक के थकने का इंतज़ार करें</v>
      </c>
      <c r="I342" s="5" t="str">
        <f>IFERROR(__xludf.DUMMYFUNCTION("GOOGLETRANSLATE(D342, ""en"", ""hi"")"),"A) पार्श्व गतिविधियों को अवरुद्ध करें")</f>
        <v>A) पार्श्व गतिविधियों को अवरुद्ध करें</v>
      </c>
    </row>
    <row r="343" ht="22.5" customHeight="1">
      <c r="A343" s="7">
        <v>342.0</v>
      </c>
      <c r="B343" s="7" t="s">
        <v>2900</v>
      </c>
      <c r="C343" s="7" t="s">
        <v>2901</v>
      </c>
      <c r="D343" s="7" t="s">
        <v>2902</v>
      </c>
      <c r="F343" s="5" t="str">
        <f>IFERROR(__xludf.DUMMYFUNCTION("GOOGLETRANSLATE(A343, ""en"", ""hi"")"),"342")</f>
        <v>342</v>
      </c>
      <c r="G343" s="5" t="str">
        <f>IFERROR(__xludf.DUMMYFUNCTION("GOOGLETRANSLATE(B343, ""en"", ""hi"")"),"टीम बी का चेज़र एक डिफेंडर को टैग करने में नाकाम रहा जो तेज़ी से विकर्ण रन बना रहा था। सुधार का मुख्य क्षेत्र क्या है?")</f>
        <v>टीम बी का चेज़र एक डिफेंडर को टैग करने में नाकाम रहा जो तेज़ी से विकर्ण रन बना रहा था। सुधार का मुख्य क्षेत्र क्या है?</v>
      </c>
      <c r="H343" s="5" t="str">
        <f>IFERROR(__xludf.DUMMYFUNCTION("GOOGLETRANSLATE(C343, ""en"", ""hi"")"),"A) विकर्ण दौड़ की आशा करें, B) गति बढ़ाएँ, C) समय सुधारें, D) समन्वय")</f>
        <v>A) विकर्ण दौड़ की आशा करें, B) गति बढ़ाएँ, C) समय सुधारें, D) समन्वय</v>
      </c>
      <c r="I343" s="5" t="str">
        <f>IFERROR(__xludf.DUMMYFUNCTION("GOOGLETRANSLATE(D343, ""en"", ""hi"")"),"A) विकर्ण रन का पूर्वानुमान करें")</f>
        <v>A) विकर्ण रन का पूर्वानुमान करें</v>
      </c>
    </row>
    <row r="344" ht="22.5" customHeight="1">
      <c r="A344" s="7">
        <v>343.0</v>
      </c>
      <c r="B344" s="7" t="s">
        <v>2903</v>
      </c>
      <c r="C344" s="7" t="s">
        <v>2904</v>
      </c>
      <c r="D344" s="7" t="s">
        <v>2884</v>
      </c>
      <c r="F344" s="5" t="str">
        <f>IFERROR(__xludf.DUMMYFUNCTION("GOOGLETRANSLATE(A344, ""en"", ""hi"")"),"343")</f>
        <v>343</v>
      </c>
      <c r="G344" s="5" t="str">
        <f>IFERROR(__xludf.DUMMYFUNCTION("GOOGLETRANSLATE(B344, ""en"", ""hi"")"),"टीम A का एक डिफेंडर टैग से बचने के लिए एक तंग घेरे में दौड़ रहा है। टीम B के चेज़र्स को क्या करना चाहिए?")</f>
        <v>टीम A का एक डिफेंडर टैग से बचने के लिए एक तंग घेरे में दौड़ रहा है। टीम B के चेज़र्स को क्या करना चाहिए?</v>
      </c>
      <c r="H344" s="5" t="str">
        <f>IFERROR(__xludf.DUMMYFUNCTION("GOOGLETRANSLATE(C344, ""en"", ""hi"")"),"A) तंग घेरे को रोकें, B) गति बढ़ाएँ, C) समय सुधारें, D) डिफेंडर के थकने का इंतज़ार करें")</f>
        <v>A) तंग घेरे को रोकें, B) गति बढ़ाएँ, C) समय सुधारें, D) डिफेंडर के थकने का इंतज़ार करें</v>
      </c>
      <c r="I344" s="5" t="str">
        <f>IFERROR(__xludf.DUMMYFUNCTION("GOOGLETRANSLATE(D344, ""en"", ""hi"")"),"A) तंग घेरे को ब्लॉक करें")</f>
        <v>A) तंग घेरे को ब्लॉक करें</v>
      </c>
    </row>
    <row r="345" ht="22.5" customHeight="1">
      <c r="A345" s="7">
        <v>344.0</v>
      </c>
      <c r="B345" s="7" t="s">
        <v>2905</v>
      </c>
      <c r="C345" s="7" t="s">
        <v>2722</v>
      </c>
      <c r="D345" s="7" t="s">
        <v>2485</v>
      </c>
      <c r="F345" s="5" t="str">
        <f>IFERROR(__xludf.DUMMYFUNCTION("GOOGLETRANSLATE(A345, ""en"", ""hi"")"),"344")</f>
        <v>344</v>
      </c>
      <c r="G345" s="5" t="str">
        <f>IFERROR(__xludf.DUMMYFUNCTION("GOOGLETRANSLATE(B345, ""en"", ""hi"")"),"मैच के आखिरी सेकंड में, टीम A का चेज़र साइडलाइन के पास दौड़ रहे एक डिफेंडर को टैग करता है। इसका नियम क्या है?")</f>
        <v>मैच के आखिरी सेकंड में, टीम A का चेज़र साइडलाइन के पास दौड़ रहे एक डिफेंडर को टैग करता है। इसका नियम क्या है?</v>
      </c>
      <c r="H345" s="5" t="str">
        <f>IFERROR(__xludf.DUMMYFUNCTION("GOOGLETRANSLATE(C345,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45" s="5" t="str">
        <f>IFERROR(__xludf.DUMMYFUNCTION("GOOGLETRANSLATE(D345, ""en"", ""hi"")"),"A) डिफेंडर बाहर है")</f>
        <v>A) डिफेंडर बाहर है</v>
      </c>
    </row>
    <row r="346" ht="22.5" customHeight="1">
      <c r="A346" s="7">
        <v>345.0</v>
      </c>
      <c r="B346" s="7" t="s">
        <v>2906</v>
      </c>
      <c r="C346" s="7" t="s">
        <v>2811</v>
      </c>
      <c r="D346" s="7" t="s">
        <v>2708</v>
      </c>
      <c r="F346" s="5" t="str">
        <f>IFERROR(__xludf.DUMMYFUNCTION("GOOGLETRANSLATE(A346, ""en"", ""hi"")"),"345")</f>
        <v>345</v>
      </c>
      <c r="G346" s="5" t="str">
        <f>IFERROR(__xludf.DUMMYFUNCTION("GOOGLETRANSLATE(B346, ""en"", ""hi"")"),"टीम बी का चेज़र खराब समन्वय के कारण डिफेंडर को टैग नहीं कर पा रहा है। सुधार के लिए किस पर ध्यान केंद्रित किया जाना चाहिए?")</f>
        <v>टीम बी का चेज़र खराब समन्वय के कारण डिफेंडर को टैग नहीं कर पा रहा है। सुधार के लिए किस पर ध्यान केंद्रित किया जाना चाहिए?</v>
      </c>
      <c r="H346" s="5" t="str">
        <f>IFERROR(__xludf.DUMMYFUNCTION("GOOGLETRANSLATE(C346, ""en"", ""hi"")"),"A) समन्वय, B) गति, C) समय, D) रणनीति")</f>
        <v>A) समन्वय, B) गति, C) समय, D) रणनीति</v>
      </c>
      <c r="I346" s="5" t="str">
        <f>IFERROR(__xludf.DUMMYFUNCTION("GOOGLETRANSLATE(D346, ""en"", ""hi"")"),"ए) समन्वय")</f>
        <v>ए) समन्वय</v>
      </c>
    </row>
    <row r="347" ht="22.5" customHeight="1">
      <c r="A347" s="7">
        <v>346.0</v>
      </c>
      <c r="B347" s="7" t="s">
        <v>2907</v>
      </c>
      <c r="C347" s="7" t="s">
        <v>2722</v>
      </c>
      <c r="D347" s="7" t="s">
        <v>2485</v>
      </c>
      <c r="F347" s="5" t="str">
        <f>IFERROR(__xludf.DUMMYFUNCTION("GOOGLETRANSLATE(A347, ""en"", ""hi"")"),"346")</f>
        <v>346</v>
      </c>
      <c r="G347" s="5" t="str">
        <f>IFERROR(__xludf.DUMMYFUNCTION("GOOGLETRANSLATE(B347, ""en"", ""hi"")"),"टीम A का एक चेज़र एक डिफेंडर को टैग करता है जो तेज़ी से ज़िगज़ैग पैटर्न में दौड़ रहा है। नियम क्या है?")</f>
        <v>टीम A का एक चेज़र एक डिफेंडर को टैग करता है जो तेज़ी से ज़िगज़ैग पैटर्न में दौड़ रहा है। नियम क्या है?</v>
      </c>
      <c r="H347" s="5" t="str">
        <f>IFERROR(__xludf.DUMMYFUNCTION("GOOGLETRANSLATE(C347,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47" s="5" t="str">
        <f>IFERROR(__xludf.DUMMYFUNCTION("GOOGLETRANSLATE(D347, ""en"", ""hi"")"),"A) डिफेंडर बाहर है")</f>
        <v>A) डिफेंडर बाहर है</v>
      </c>
    </row>
    <row r="348" ht="22.5" customHeight="1">
      <c r="A348" s="7">
        <v>347.0</v>
      </c>
      <c r="B348" s="7" t="s">
        <v>2908</v>
      </c>
      <c r="C348" s="7" t="s">
        <v>2862</v>
      </c>
      <c r="D348" s="7" t="s">
        <v>2791</v>
      </c>
      <c r="F348" s="5" t="str">
        <f>IFERROR(__xludf.DUMMYFUNCTION("GOOGLETRANSLATE(A348, ""en"", ""hi"")"),"347")</f>
        <v>347</v>
      </c>
      <c r="G348" s="5" t="str">
        <f>IFERROR(__xludf.DUMMYFUNCTION("GOOGLETRANSLATE(B348, ""en"", ""hi"")"),"टीम बी का चेज़र खराब टाइमिंग के कारण टैग चूक जाता है। सुधार के लिए सबसे अच्छा फोकस क्या है?")</f>
        <v>टीम बी का चेज़र खराब टाइमिंग के कारण टैग चूक जाता है। सुधार के लिए सबसे अच्छा फोकस क्या है?</v>
      </c>
      <c r="H348" s="5" t="str">
        <f>IFERROR(__xludf.DUMMYFUNCTION("GOOGLETRANSLATE(C348, ""en"", ""hi"")"),"A) समय, B) गति, C) समन्वय, D) रणनीति")</f>
        <v>A) समय, B) गति, C) समन्वय, D) रणनीति</v>
      </c>
      <c r="I348" s="5" t="str">
        <f>IFERROR(__xludf.DUMMYFUNCTION("GOOGLETRANSLATE(D348, ""en"", ""hi"")"),"ए) समय")</f>
        <v>ए) समय</v>
      </c>
    </row>
    <row r="349" ht="22.5" customHeight="1">
      <c r="A349" s="7">
        <v>348.0</v>
      </c>
      <c r="B349" s="7" t="s">
        <v>2909</v>
      </c>
      <c r="C349" s="7" t="s">
        <v>2910</v>
      </c>
      <c r="D349" s="7" t="s">
        <v>2911</v>
      </c>
      <c r="F349" s="5" t="str">
        <f>IFERROR(__xludf.DUMMYFUNCTION("GOOGLETRANSLATE(A349, ""en"", ""hi"")"),"348")</f>
        <v>348</v>
      </c>
      <c r="G349" s="5" t="str">
        <f>IFERROR(__xludf.DUMMYFUNCTION("GOOGLETRANSLATE(B349, ""en"", ""hi"")"),"टीम A का एक डिफेंडर टैग से बचने के लिए तेज़ी से पीछे की ओर दौड़ रहा है। टीम B के चेज़र्स को किस पर ध्यान केंद्रित करना चाहिए?")</f>
        <v>टीम A का एक डिफेंडर टैग से बचने के लिए तेज़ी से पीछे की ओर दौड़ रहा है। टीम B के चेज़र्स को किस पर ध्यान केंद्रित करना चाहिए?</v>
      </c>
      <c r="H349" s="5" t="str">
        <f>IFERROR(__xludf.DUMMYFUNCTION("GOOGLETRANSLATE(C349, ""en"", ""hi"")"),"A) पीछे की ओर दौड़ने से रोकें, B) गति बढ़ाएँ, C) समय सुधारें, D) डिफेंडर के थकने का इंतज़ार करें")</f>
        <v>A) पीछे की ओर दौड़ने से रोकें, B) गति बढ़ाएँ, C) समय सुधारें, D) डिफेंडर के थकने का इंतज़ार करें</v>
      </c>
      <c r="I349" s="5" t="str">
        <f>IFERROR(__xludf.DUMMYFUNCTION("GOOGLETRANSLATE(D349, ""en"", ""hi"")"),"A) पीछे की ओर दौड़ को रोकें")</f>
        <v>A) पीछे की ओर दौड़ को रोकें</v>
      </c>
    </row>
    <row r="350" ht="22.5" customHeight="1">
      <c r="A350" s="7">
        <v>349.0</v>
      </c>
      <c r="B350" s="7" t="s">
        <v>2912</v>
      </c>
      <c r="C350" s="7" t="s">
        <v>2722</v>
      </c>
      <c r="D350" s="7" t="s">
        <v>2485</v>
      </c>
      <c r="F350" s="5" t="str">
        <f>IFERROR(__xludf.DUMMYFUNCTION("GOOGLETRANSLATE(A350, ""en"", ""hi"")"),"349")</f>
        <v>349</v>
      </c>
      <c r="G350" s="5" t="str">
        <f>IFERROR(__xludf.DUMMYFUNCTION("GOOGLETRANSLATE(B350, ""en"", ""hi"")"),"खेल के दौरान, टीम B का चेज़र सेंटर लाइन के पास दौड़ रहे एक डिफेंडर को टैग करता है। इसका नियम क्या है?")</f>
        <v>खेल के दौरान, टीम B का चेज़र सेंटर लाइन के पास दौड़ रहे एक डिफेंडर को टैग करता है। इसका नियम क्या है?</v>
      </c>
      <c r="H350" s="5" t="str">
        <f>IFERROR(__xludf.DUMMYFUNCTION("GOOGLETRANSLATE(C350,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50" s="5" t="str">
        <f>IFERROR(__xludf.DUMMYFUNCTION("GOOGLETRANSLATE(D350, ""en"", ""hi"")"),"A) डिफेंडर बाहर है")</f>
        <v>A) डिफेंडर बाहर है</v>
      </c>
    </row>
    <row r="351" ht="22.5" customHeight="1">
      <c r="A351" s="7">
        <v>350.0</v>
      </c>
      <c r="B351" s="7" t="s">
        <v>2913</v>
      </c>
      <c r="C351" s="7" t="s">
        <v>2746</v>
      </c>
      <c r="D351" s="7" t="s">
        <v>2705</v>
      </c>
      <c r="F351" s="5" t="str">
        <f>IFERROR(__xludf.DUMMYFUNCTION("GOOGLETRANSLATE(A351, ""en"", ""hi"")"),"350")</f>
        <v>350</v>
      </c>
      <c r="G351" s="5" t="str">
        <f>IFERROR(__xludf.DUMMYFUNCTION("GOOGLETRANSLATE(B351, ""en"", ""hi"")"),"टीम ए का चेज़र 'खो' की दिशा को लेकर उलझन में है और एक डिफेंडर को टैग करने से चूक जाता है। सुधार के लिए किस पर ध्यान केंद्रित किया जाना चाहिए?")</f>
        <v>टीम ए का चेज़र 'खो' की दिशा को लेकर उलझन में है और एक डिफेंडर को टैग करने से चूक जाता है। सुधार के लिए किस पर ध्यान केंद्रित किया जाना चाहिए?</v>
      </c>
      <c r="H351" s="5" t="str">
        <f>IFERROR(__xludf.DUMMYFUNCTION("GOOGLETRANSLATE(C351, ""en"", ""hi"")"),"A) संचार, B) गति, C) समय, D) समन्वय")</f>
        <v>A) संचार, B) गति, C) समय, D) समन्वय</v>
      </c>
      <c r="I351" s="5" t="str">
        <f>IFERROR(__xludf.DUMMYFUNCTION("GOOGLETRANSLATE(D351, ""en"", ""hi"")"),"ए) संचार")</f>
        <v>ए) संचार</v>
      </c>
    </row>
    <row r="352" ht="22.5" customHeight="1">
      <c r="A352" s="7">
        <v>351.0</v>
      </c>
      <c r="B352" s="7" t="s">
        <v>2914</v>
      </c>
      <c r="C352" s="7" t="s">
        <v>2794</v>
      </c>
      <c r="D352" s="7" t="s">
        <v>2770</v>
      </c>
      <c r="F352" s="5" t="str">
        <f>IFERROR(__xludf.DUMMYFUNCTION("GOOGLETRANSLATE(A352, ""en"", ""hi"")"),"351")</f>
        <v>351</v>
      </c>
      <c r="G352" s="5" t="str">
        <f>IFERROR(__xludf.DUMMYFUNCTION("GOOGLETRANSLATE(B352, ""en"", ""hi"")"),"टीम बी का एक चेज़र दूरी के गलत आकलन के कारण डिफेंडर को टैग नहीं कर पा रहा है। किस पर ध्यान केंद्रित किया जाना चाहिए?")</f>
        <v>टीम बी का एक चेज़र दूरी के गलत आकलन के कारण डिफेंडर को टैग नहीं कर पा रहा है। किस पर ध्यान केंद्रित किया जाना चाहिए?</v>
      </c>
      <c r="H352" s="5" t="str">
        <f>IFERROR(__xludf.DUMMYFUNCTION("GOOGLETRANSLATE(C352, ""en"", ""hi"")"),"A) दूरी का निर्णय, B) गति, C) समय निर्धारण, D) समन्वय")</f>
        <v>A) दूरी का निर्णय, B) गति, C) समय निर्धारण, D) समन्वय</v>
      </c>
      <c r="I352" s="5" t="str">
        <f>IFERROR(__xludf.DUMMYFUNCTION("GOOGLETRANSLATE(D352, ""en"", ""hi"")"),"A) दूरी निर्णय")</f>
        <v>A) दूरी निर्णय</v>
      </c>
    </row>
    <row r="353" ht="22.5" customHeight="1">
      <c r="A353" s="7">
        <v>352.0</v>
      </c>
      <c r="B353" s="7" t="s">
        <v>2915</v>
      </c>
      <c r="C353" s="7" t="s">
        <v>2916</v>
      </c>
      <c r="D353" s="7" t="s">
        <v>2917</v>
      </c>
      <c r="F353" s="5" t="str">
        <f>IFERROR(__xludf.DUMMYFUNCTION("GOOGLETRANSLATE(A353, ""en"", ""hi"")"),"352")</f>
        <v>352</v>
      </c>
      <c r="G353" s="5" t="str">
        <f>IFERROR(__xludf.DUMMYFUNCTION("GOOGLETRANSLATE(B353, ""en"", ""hi"")"),"टीम A का चेज़र टैग होने से बचने के लिए गोल-गोल दौड़ रहा है। टीम B के चेज़रों को क्या करना चाहिए?")</f>
        <v>टीम A का चेज़र टैग होने से बचने के लिए गोल-गोल दौड़ रहा है। टीम B के चेज़रों को क्या करना चाहिए?</v>
      </c>
      <c r="H353" s="5" t="str">
        <f>IFERROR(__xludf.DUMMYFUNCTION("GOOGLETRANSLATE(C353, ""en"", ""hi"")"),"A) गोलाकार मार्गों को ब्लॉक करें, B) गति बढ़ाएँ, C) समय सुधारें, D) डिफेंडर के थकने का इंतज़ार करें")</f>
        <v>A) गोलाकार मार्गों को ब्लॉक करें, B) गति बढ़ाएँ, C) समय सुधारें, D) डिफेंडर के थकने का इंतज़ार करें</v>
      </c>
      <c r="I353" s="5" t="str">
        <f>IFERROR(__xludf.DUMMYFUNCTION("GOOGLETRANSLATE(D353, ""en"", ""hi"")"),"ए) वृत्ताकार मार्गों को अवरुद्ध करें")</f>
        <v>ए) वृत्ताकार मार्गों को अवरुद्ध करें</v>
      </c>
    </row>
    <row r="354" ht="22.5" customHeight="1">
      <c r="A354" s="7">
        <v>353.0</v>
      </c>
      <c r="B354" s="7" t="s">
        <v>2918</v>
      </c>
      <c r="C354" s="7" t="s">
        <v>2722</v>
      </c>
      <c r="D354" s="7" t="s">
        <v>2485</v>
      </c>
      <c r="F354" s="5" t="str">
        <f>IFERROR(__xludf.DUMMYFUNCTION("GOOGLETRANSLATE(A354, ""en"", ""hi"")"),"353")</f>
        <v>353</v>
      </c>
      <c r="G354" s="5" t="str">
        <f>IFERROR(__xludf.DUMMYFUNCTION("GOOGLETRANSLATE(B354, ""en"", ""hi"")"),"मैच के दौरान, टीम B का चेज़र सीधे दौड़ रहे डिफेंडर को टैग करने में नाकाम रहा। फ़ैसला क्या है?")</f>
        <v>मैच के दौरान, टीम B का चेज़र सीधे दौड़ रहे डिफेंडर को टैग करने में नाकाम रहा। फ़ैसला क्या है?</v>
      </c>
      <c r="H354" s="5" t="str">
        <f>IFERROR(__xludf.DUMMYFUNCTION("GOOGLETRANSLATE(C354, ""en"", ""hi"")"),"A) डिफेंडर बाहर है, B) डिफेंडर सुरक्षित है, C) राउंड पुनः शुरू होता है, D) दोनों चेज़र बाहर हैं")</f>
        <v>A) डिफेंडर बाहर है, B) डिफेंडर सुरक्षित है, C) राउंड पुनः शुरू होता है, D) दोनों चेज़र बाहर हैं</v>
      </c>
      <c r="I354" s="5" t="str">
        <f>IFERROR(__xludf.DUMMYFUNCTION("GOOGLETRANSLATE(D354, ""en"", ""hi"")"),"A) डिफेंडर बाहर है")</f>
        <v>A) डिफेंडर बाहर है</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2">
        <v>1.0</v>
      </c>
      <c r="B2" s="3" t="s">
        <v>2919</v>
      </c>
      <c r="C2" s="3" t="s">
        <v>2920</v>
      </c>
      <c r="D2" s="3" t="s">
        <v>2921</v>
      </c>
      <c r="F2" s="5" t="str">
        <f>IFERROR(__xludf.DUMMYFUNCTION("GOOGLETRANSLATE(A2, ""en"", ""hi"")"),"1")</f>
        <v>1</v>
      </c>
      <c r="G2" s="5" t="str">
        <f>IFERROR(__xludf.DUMMYFUNCTION("GOOGLETRANSLATE(B2, ""en"", ""hi"")"),"एक मुस्तैदी युद्ध मैच में, फाइटर A और फाइटर B बराबरी पर हैं। 5 राउंड के कठिन मुकाबले के बाद, दोनों फाइटर्स को 2-2 राउंड जीतने का दर्जा दिया गया है। अंतिम राउंड शुरू होने वाला है, और नियमों के अनुसार, विजेता को मैच जीतने के लिए बिना किसी जवाबी हमले के कम स"&amp;"े कम 3 लगातार मुक्के मारने होंगे। अंतिम राउंड में, फाइटर A लगातार 3 मुक्के मारता है, लेकिन फाइटर B 2 मुक्कों से जवाबी हमला करता है। परिणाम क्या होना चाहिए?")</f>
        <v>एक मुस्तैदी युद्ध मैच में, फाइटर A और फाइटर B बराबरी पर हैं। 5 राउंड के कठिन मुकाबले के बाद, दोनों फाइटर्स को 2-2 राउंड जीतने का दर्जा दिया गया है। अंतिम राउंड शुरू होने वाला है, और नियमों के अनुसार, विजेता को मैच जीतने के लिए बिना किसी जवाबी हमले के कम से कम 3 लगातार मुक्के मारने होंगे। अंतिम राउंड में, फाइटर A लगातार 3 मुक्के मारता है, लेकिन फाइटर B 2 मुक्कों से जवाबी हमला करता है। परिणाम क्या होना चाहिए?</v>
      </c>
      <c r="H2" s="5" t="str">
        <f>IFERROR(__xludf.DUMMYFUNCTION("GOOGLETRANSLATE(C2, ""en"", ""hi"")"),"A) फाइटर A मैच जीतता है। B) फाइटर B मैच जीतता है। C) मैच अचानक मौत तक पहुँच जाता है। D) अंतिम राउंड ड्रॉ घोषित किया जाता है।")</f>
        <v>A) फाइटर A मैच जीतता है। B) फाइटर B मैच जीतता है। C) मैच अचानक मौत तक पहुँच जाता है। D) अंतिम राउंड ड्रॉ घोषित किया जाता है।</v>
      </c>
      <c r="I2" s="5" t="str">
        <f>IFERROR(__xludf.DUMMYFUNCTION("GOOGLETRANSLATE(D2, ""en"", ""hi"")"),"A) फाइटर A मैच जीतता है।")</f>
        <v>A) फाइटर A मैच जीतता है।</v>
      </c>
    </row>
    <row r="3" ht="22.5" customHeight="1">
      <c r="A3" s="2">
        <v>2.0</v>
      </c>
      <c r="B3" s="3" t="s">
        <v>2922</v>
      </c>
      <c r="C3" s="3" t="s">
        <v>2923</v>
      </c>
      <c r="D3" s="3" t="s">
        <v>2924</v>
      </c>
      <c r="F3" s="5" t="str">
        <f>IFERROR(__xludf.DUMMYFUNCTION("GOOGLETRANSLATE(A3, ""en"", ""hi"")"),"2")</f>
        <v>2</v>
      </c>
      <c r="G3" s="5" t="str">
        <f>IFERROR(__xludf.DUMMYFUNCTION("GOOGLETRANSLATE(B3, ""en"", ""hi"")"),"एक मुस्ति युद्ध चैंपियनशिप में, फाइटर X ने पहले दो राउंड निर्णायक रूप से जीत लिए हैं, जबकि फाइटर Y ने तीसरा राउंड जीत लिया है। चौथे राउंड में, फाइटर Y एक ज़ोरदार वार करता है, लेकिन फाइटर X तुरंत कई रक्षात्मक चालों से जवाबी हमला करता है, जिससे नुकसान कम से"&amp;" कम होता है। जज चौथे राउंड को बराबरी पर घोषित करते हैं। इस स्थिति में, अंतिम राउंड के लिए सही रणनीति क्या है?")</f>
        <v>एक मुस्ति युद्ध चैंपियनशिप में, फाइटर X ने पहले दो राउंड निर्णायक रूप से जीत लिए हैं, जबकि फाइटर Y ने तीसरा राउंड जीत लिया है। चौथे राउंड में, फाइटर Y एक ज़ोरदार वार करता है, लेकिन फाइटर X तुरंत कई रक्षात्मक चालों से जवाबी हमला करता है, जिससे नुकसान कम से कम होता है। जज चौथे राउंड को बराबरी पर घोषित करते हैं। इस स्थिति में, अंतिम राउंड के लिए सही रणनीति क्या है?</v>
      </c>
      <c r="H3" s="5" t="str">
        <f>IFERROR(__xludf.DUMMYFUNCTION("GOOGLETRANSLATE(C3, ""en"", ""hi"")"),"A) फाइटर X ज़्यादा राउंड जीतने के कारण स्वतः ही जीत जाता है। B) फाइटर Y को मैच जीतने के लिए नॉकआउट स्कोर करना होगा। C) पिछले राउंड की परवाह किए बिना, अंतिम राउंड विजेता का फैसला करेगा। D) जज अब तक के समग्र प्रदर्शन के आधार पर विजेता का निर्धारण करेंगे।")</f>
        <v>A) फाइटर X ज़्यादा राउंड जीतने के कारण स्वतः ही जीत जाता है। B) फाइटर Y को मैच जीतने के लिए नॉकआउट स्कोर करना होगा। C) पिछले राउंड की परवाह किए बिना, अंतिम राउंड विजेता का फैसला करेगा। D) जज अब तक के समग्र प्रदर्शन के आधार पर विजेता का निर्धारण करेंगे।</v>
      </c>
      <c r="I3" s="5" t="str">
        <f>IFERROR(__xludf.DUMMYFUNCTION("GOOGLETRANSLATE(D3, ""en"", ""hi"")"),"C) अंतिम राउंड में पिछले राउंड की परवाह किए बिना विजेता का फैसला किया जाएगा।")</f>
        <v>C) अंतिम राउंड में पिछले राउंड की परवाह किए बिना विजेता का फैसला किया जाएगा।</v>
      </c>
    </row>
    <row r="4" ht="22.5" customHeight="1">
      <c r="A4" s="2">
        <v>3.0</v>
      </c>
      <c r="B4" s="3" t="s">
        <v>2925</v>
      </c>
      <c r="C4" s="3" t="s">
        <v>2926</v>
      </c>
      <c r="D4" s="3" t="s">
        <v>2927</v>
      </c>
      <c r="F4" s="5" t="str">
        <f>IFERROR(__xludf.DUMMYFUNCTION("GOOGLETRANSLATE(A4, ""en"", ""hi"")"),"3")</f>
        <v>3</v>
      </c>
      <c r="G4" s="5" t="str">
        <f>IFERROR(__xludf.DUMMYFUNCTION("GOOGLETRANSLATE(B4, ""en"", ""hi"")"),"एक मुस्ति युद्ध प्रशिक्षण सत्र के दौरान, दो फाइटर रक्षात्मक रुख और पलटवार की तकनीकों का अभ्यास कर रहे हैं। फाइटर A एक वैध मुक्का मारता है, लेकिन फाइटर B तेज़ी से एक पलटवार करता है जिससे फाइटर A का संतुलन बिगड़ जाता है। पारंपरिक मुस्ति युद्ध नियमों के अनुस"&amp;"ार, मैच हारने से बचने के लिए फाइटर A को आगे क्या करना चाहिए?")</f>
        <v>एक मुस्ति युद्ध प्रशिक्षण सत्र के दौरान, दो फाइटर रक्षात्मक रुख और पलटवार की तकनीकों का अभ्यास कर रहे हैं। फाइटर A एक वैध मुक्का मारता है, लेकिन फाइटर B तेज़ी से एक पलटवार करता है जिससे फाइटर A का संतुलन बिगड़ जाता है। पारंपरिक मुस्ति युद्ध नियमों के अनुसार, मैच हारने से बचने के लिए फाइटर A को आगे क्या करना चाहिए?</v>
      </c>
      <c r="H4" s="5" t="str">
        <f>IFERROR(__xludf.DUMMYFUNCTION("GOOGLETRANSLATE(C4, ""en"", ""hi"")"),"अ) असंतुलन के बावजूद हमला जारी रखें। ब) पीछे हटें और दोबारा हमला करने से पहले संतुलन बनाएँ। स) असंतुलन को संतुलित करने के लिए तेज़ मुक्का मारें। द) रक्षात्मक रुख अपनाएँ और प्रतिद्वंद्वी की चाल का इंतज़ार करें।")</f>
        <v>अ) असंतुलन के बावजूद हमला जारी रखें। ब) पीछे हटें और दोबारा हमला करने से पहले संतुलन बनाएँ। स) असंतुलन को संतुलित करने के लिए तेज़ मुक्का मारें। द) रक्षात्मक रुख अपनाएँ और प्रतिद्वंद्वी की चाल का इंतज़ार करें।</v>
      </c>
      <c r="I4" s="5" t="str">
        <f>IFERROR(__xludf.DUMMYFUNCTION("GOOGLETRANSLATE(D4, ""en"", ""hi"")"),"बी) दोबारा हमला करने से पहले पीछे हटें और संतुलन प्राप्त करें।")</f>
        <v>बी) दोबारा हमला करने से पहले पीछे हटें और संतुलन प्राप्त करें।</v>
      </c>
    </row>
    <row r="5" ht="22.5" customHeight="1">
      <c r="A5" s="2">
        <v>4.0</v>
      </c>
      <c r="B5" s="3" t="s">
        <v>2928</v>
      </c>
      <c r="C5" s="3" t="s">
        <v>2929</v>
      </c>
      <c r="D5" s="3" t="s">
        <v>2930</v>
      </c>
      <c r="F5" s="5" t="str">
        <f>IFERROR(__xludf.DUMMYFUNCTION("GOOGLETRANSLATE(A5, ""en"", ""hi"")"),"4")</f>
        <v>4</v>
      </c>
      <c r="G5" s="5" t="str">
        <f>IFERROR(__xludf.DUMMYFUNCTION("GOOGLETRANSLATE(B5, ""en"", ""hi"")"),"मुस्ति युद्ध टूर्नामेंट में, दो अनुभवी फाइटर्स फाइनल मुकाबले में आमने-सामने होते हैं। फाइटर A, मुक्कों और रक्षात्मक तकनीकों के मिश्रण पर ध्यान केंद्रित करता है, जबकि फाइटर B, फाइटर A को घेरने के लिए आक्रामक गति का उपयोग करता है। कई प्रयासों के बाद, फाइटर "&amp;"B एक नॉकडाउन पंच लगाने में सफल हो जाता है, लेकिन फाइटर A निर्धारित समय के भीतर खड़ा हो जाता है। नियमों के अनुसार, आगे क्या होना चाहिए?")</f>
        <v>मुस्ति युद्ध टूर्नामेंट में, दो अनुभवी फाइटर्स फाइनल मुकाबले में आमने-सामने होते हैं। फाइटर A, मुक्कों और रक्षात्मक तकनीकों के मिश्रण पर ध्यान केंद्रित करता है, जबकि फाइटर B, फाइटर A को घेरने के लिए आक्रामक गति का उपयोग करता है। कई प्रयासों के बाद, फाइटर B एक नॉकडाउन पंच लगाने में सफल हो जाता है, लेकिन फाइटर A निर्धारित समय के भीतर खड़ा हो जाता है। नियमों के अनुसार, आगे क्या होना चाहिए?</v>
      </c>
      <c r="H5" s="5" t="str">
        <f>IFERROR(__xludf.DUMMYFUNCTION("GOOGLETRANSLATE(C5, ""en"", ""hi"")"),"A) नॉकडाउन के कारण फाइटर B स्वतः ही जीत जाता है। B) फाइटर A के खड़े होने के बाद मैच जारी रहता है। C) फाइटर A को अंक वापस पाने के लिए काउंटरस्ट्राइक करना होगा। D) जज समग्र प्रदर्शन के आधार पर विजेता का फैसला करेंगे।")</f>
        <v>A) नॉकडाउन के कारण फाइटर B स्वतः ही जीत जाता है। B) फाइटर A के खड़े होने के बाद मैच जारी रहता है। C) फाइटर A को अंक वापस पाने के लिए काउंटरस्ट्राइक करना होगा। D) जज समग्र प्रदर्शन के आधार पर विजेता का फैसला करेंगे।</v>
      </c>
      <c r="I5" s="5" t="str">
        <f>IFERROR(__xludf.DUMMYFUNCTION("GOOGLETRANSLATE(D5, ""en"", ""hi"")"),"बी) मैच जारी रहता है क्योंकि फाइटर ए खड़ा होने में सक्षम था।")</f>
        <v>बी) मैच जारी रहता है क्योंकि फाइटर ए खड़ा होने में सक्षम था।</v>
      </c>
    </row>
    <row r="6" ht="22.5" customHeight="1">
      <c r="A6" s="2">
        <v>5.0</v>
      </c>
      <c r="B6" s="3" t="s">
        <v>2931</v>
      </c>
      <c r="C6" s="3" t="s">
        <v>2932</v>
      </c>
      <c r="D6" s="3" t="s">
        <v>2933</v>
      </c>
      <c r="F6" s="5" t="str">
        <f>IFERROR(__xludf.DUMMYFUNCTION("GOOGLETRANSLATE(A6, ""en"", ""hi"")"),"5")</f>
        <v>5</v>
      </c>
      <c r="G6" s="5" t="str">
        <f>IFERROR(__xludf.DUMMYFUNCTION("GOOGLETRANSLATE(B6, ""en"", ""hi"")"),"सेमीफाइनल मुस्तैदी युद्ध में, फाइटर A और फाइटर B एक-एक राउंड जीतकर बराबरी पर हैं। तीसरे और आखिरी राउंड में, दोनों फाइटर बेहद सतर्क हैं और कम मुक्के लगा रहे हैं। हालाँकि, फाइटर A के मुक्के ज़्यादा सटीक हैं, जबकि फाइटर B के मुक्के ज़्यादा मज़बूत हैं, लेकिन "&amp;"कम सटीक हैं। विजेता का फैसला करते समय जजों को किन बातों का ध्यान रखना चाहिए?")</f>
        <v>सेमीफाइनल मुस्तैदी युद्ध में, फाइटर A और फाइटर B एक-एक राउंड जीतकर बराबरी पर हैं। तीसरे और आखिरी राउंड में, दोनों फाइटर बेहद सतर्क हैं और कम मुक्के लगा रहे हैं। हालाँकि, फाइटर A के मुक्के ज़्यादा सटीक हैं, जबकि फाइटर B के मुक्के ज़्यादा मज़बूत हैं, लेकिन कम सटीक हैं। विजेता का फैसला करते समय जजों को किन बातों का ध्यान रखना चाहिए?</v>
      </c>
      <c r="H6" s="5" t="str">
        <f>IFERROR(__xludf.DUMMYFUNCTION("GOOGLETRANSLATE(C6, ""en"", ""hi"")"),"A) लगाए गए मुक्कों की संख्या। B) प्रत्येक मुक्के की ताकत। C) सटीकता और ताकत का संयोजन। D) प्रत्येक खिलाड़ी द्वारा राउंड पर नियंत्रण की अवधि।")</f>
        <v>A) लगाए गए मुक्कों की संख्या। B) प्रत्येक मुक्के की ताकत। C) सटीकता और ताकत का संयोजन। D) प्रत्येक खिलाड़ी द्वारा राउंड पर नियंत्रण की अवधि।</v>
      </c>
      <c r="I6" s="5" t="str">
        <f>IFERROR(__xludf.DUMMYFUNCTION("GOOGLETRANSLATE(D6, ""en"", ""hi"")"),"सी) परिशुद्धता और शक्ति का संयोजन।")</f>
        <v>सी) परिशुद्धता और शक्ति का संयोजन।</v>
      </c>
    </row>
    <row r="7" ht="22.5" customHeight="1">
      <c r="A7" s="2">
        <v>6.0</v>
      </c>
      <c r="B7" s="3" t="s">
        <v>2934</v>
      </c>
      <c r="C7" s="3" t="s">
        <v>2935</v>
      </c>
      <c r="D7" s="3" t="s">
        <v>2936</v>
      </c>
      <c r="F7" s="5" t="str">
        <f>IFERROR(__xludf.DUMMYFUNCTION("GOOGLETRANSLATE(A7, ""en"", ""hi"")"),"6")</f>
        <v>6</v>
      </c>
      <c r="G7" s="5" t="str">
        <f>IFERROR(__xludf.DUMMYFUNCTION("GOOGLETRANSLATE(B7, ""en"", ""hi"")"),"एक मुस्तैदी युद्ध मैच में, फाइटर A अंकों में आगे चल रहा है, लेकिन आखिरी राउंड में थकने लगता है। फाइटर B, जो अपनी ऊर्जा बचा रहा था, आखिरी मिनट में अचानक हमला शुरू कर देता है। फाइटर A ज़्यादातर वारों से बच निकलता है, लेकिन अंत में उसे एक ज़ोरदार झटका लगता ह"&amp;"ै। नतीजा क्या होगा?")</f>
        <v>एक मुस्तैदी युद्ध मैच में, फाइटर A अंकों में आगे चल रहा है, लेकिन आखिरी राउंड में थकने लगता है। फाइटर B, जो अपनी ऊर्जा बचा रहा था, आखिरी मिनट में अचानक हमला शुरू कर देता है। फाइटर A ज़्यादातर वारों से बच निकलता है, लेकिन अंत में उसे एक ज़ोरदार झटका लगता है। नतीजा क्या होगा?</v>
      </c>
      <c r="H7" s="5" t="str">
        <f>IFERROR(__xludf.DUMMYFUNCTION("GOOGLETRANSLATE(C7, ""en"", ""hi"")"),"A) फाइटर A अंकों में बढ़त के कारण जीतता है। B) फाइटर B ज़ोरदार प्रहार के कारण जीतता है। C) मैच बराबरी पर समाप्त होता है। D) विजेता का फैसला करने के लिए जज अंतिम राउंड की समीक्षा करेंगे।")</f>
        <v>A) फाइटर A अंकों में बढ़त के कारण जीतता है। B) फाइटर B ज़ोरदार प्रहार के कारण जीतता है। C) मैच बराबरी पर समाप्त होता है। D) विजेता का फैसला करने के लिए जज अंतिम राउंड की समीक्षा करेंगे।</v>
      </c>
      <c r="I7" s="5" t="str">
        <f>IFERROR(__xludf.DUMMYFUNCTION("GOOGLETRANSLATE(D7, ""en"", ""hi"")"),"A) फाइटर A अंकों में आगे होने के कारण जीतता है।")</f>
        <v>A) फाइटर A अंकों में आगे होने के कारण जीतता है।</v>
      </c>
    </row>
    <row r="8" ht="22.5" customHeight="1">
      <c r="A8" s="2">
        <v>7.0</v>
      </c>
      <c r="B8" s="3" t="s">
        <v>2937</v>
      </c>
      <c r="C8" s="3" t="s">
        <v>2938</v>
      </c>
      <c r="D8" s="3" t="s">
        <v>2939</v>
      </c>
      <c r="F8" s="5" t="str">
        <f>IFERROR(__xludf.DUMMYFUNCTION("GOOGLETRANSLATE(A8, ""en"", ""hi"")"),"7")</f>
        <v>7</v>
      </c>
      <c r="G8" s="5" t="str">
        <f>IFERROR(__xludf.DUMMYFUNCTION("GOOGLETRANSLATE(B8, ""en"", ""hi"")"),"मुस्ति युद्ध के एक बेहद करीबी मुकाबले में, दोनों पहलवानों ने दो-दो राउंड जीत लिए हैं। आखिरी राउंड में, पहलवान A ने एक नॉकआउट पंच मारा, लेकिन रेफरी ने फैसला सुनाया कि यह मुक्का घंटी बजने के ठीक बाद मारा गया था। अब आगे क्या होगा?")</f>
        <v>मुस्ति युद्ध के एक बेहद करीबी मुकाबले में, दोनों पहलवानों ने दो-दो राउंड जीत लिए हैं। आखिरी राउंड में, पहलवान A ने एक नॉकआउट पंच मारा, लेकिन रेफरी ने फैसला सुनाया कि यह मुक्का घंटी बजने के ठीक बाद मारा गया था। अब आगे क्या होगा?</v>
      </c>
      <c r="H8" s="5" t="str">
        <f>IFERROR(__xludf.DUMMYFUNCTION("GOOGLETRANSLATE(C8, ""en"", ""hi"")"),"A) घंटी बजने के बाद हिट करने के कारण फाइटर A को अयोग्य घोषित कर दिया जाता है। B) नॉकआउट पंच को नज़रअंदाज़ कर दिया जाता है और राउंड का सामान्य रूप से मूल्यांकन किया जाता है। C) फाइटर A द्वारा किए गए फ़ाउल के कारण फाइटर B जीत जाता है। D) राउंड को निष्पक्ष स"&amp;"मापन के लिए फिर से शुरू किया जाता है।")</f>
        <v>A) घंटी बजने के बाद हिट करने के कारण फाइटर A को अयोग्य घोषित कर दिया जाता है। B) नॉकआउट पंच को नज़रअंदाज़ कर दिया जाता है और राउंड का सामान्य रूप से मूल्यांकन किया जाता है। C) फाइटर A द्वारा किए गए फ़ाउल के कारण फाइटर B जीत जाता है। D) राउंड को निष्पक्ष समापन के लिए फिर से शुरू किया जाता है।</v>
      </c>
      <c r="I8" s="5" t="str">
        <f>IFERROR(__xludf.DUMMYFUNCTION("GOOGLETRANSLATE(D8, ""en"", ""hi"")"),"बी) नॉकआउट पंच को नजरअंदाज कर दिया जाता है, और राउंड को सामान्य रूप से आंका जाता है।")</f>
        <v>बी) नॉकआउट पंच को नजरअंदाज कर दिया जाता है, और राउंड को सामान्य रूप से आंका जाता है।</v>
      </c>
    </row>
    <row r="9" ht="22.5" customHeight="1">
      <c r="A9" s="2">
        <v>8.0</v>
      </c>
      <c r="B9" s="3" t="s">
        <v>2940</v>
      </c>
      <c r="C9" s="3" t="s">
        <v>2941</v>
      </c>
      <c r="D9" s="3" t="s">
        <v>2942</v>
      </c>
      <c r="F9" s="5" t="str">
        <f>IFERROR(__xludf.DUMMYFUNCTION("GOOGLETRANSLATE(A9, ""en"", ""hi"")"),"8")</f>
        <v>8</v>
      </c>
      <c r="G9" s="5" t="str">
        <f>IFERROR(__xludf.DUMMYFUNCTION("GOOGLETRANSLATE(B9, ""en"", ""hi"")"),"फाइटर A अपनी रक्षात्मक तकनीकों के लिए जाना जाता है, जबकि फाइटर B एक आक्रामक हमलावर है। पहले राउंड के दौरान, फाइटर B लगातार हमला करता है, लेकिन फाइटर A कभी-कभी बच निकलने और जवाबी हमला करने में कामयाब हो जाता है। राउंड के अंत तक, दोनों में से किसी भी फाइटर "&amp;"ने निर्णायक वार नहीं किया है। जजों को इस राउंड का स्कोर कैसे करना चाहिए?")</f>
        <v>फाइटर A अपनी रक्षात्मक तकनीकों के लिए जाना जाता है, जबकि फाइटर B एक आक्रामक हमलावर है। पहले राउंड के दौरान, फाइटर B लगातार हमला करता है, लेकिन फाइटर A कभी-कभी बच निकलने और जवाबी हमला करने में कामयाब हो जाता है। राउंड के अंत तक, दोनों में से किसी भी फाइटर ने निर्णायक वार नहीं किया है। जजों को इस राउंड का स्कोर कैसे करना चाहिए?</v>
      </c>
      <c r="H9" s="5" t="str">
        <f>IFERROR(__xludf.DUMMYFUNCTION("GOOGLETRANSLATE(C9, ""en"", ""hi"")"),"A) बेहतर बचाव के लिए फाइटर A को प्राथमिकता दें। B) आक्रामकता के लिए फाइटर B को प्राथमिकता दें। C) राउंड को ड्रॉ घोषित करें। D) सटीकता की कमी के लिए फाइटर B को दंडित करें।")</f>
        <v>A) बेहतर बचाव के लिए फाइटर A को प्राथमिकता दें। B) आक्रामकता के लिए फाइटर B को प्राथमिकता दें। C) राउंड को ड्रॉ घोषित करें। D) सटीकता की कमी के लिए फाइटर B को दंडित करें।</v>
      </c>
      <c r="I9" s="5" t="str">
        <f>IFERROR(__xludf.DUMMYFUNCTION("GOOGLETRANSLATE(D9, ""en"", ""hi"")"),"C) राउंड को ड्रॉ घोषित करें।")</f>
        <v>C) राउंड को ड्रॉ घोषित करें।</v>
      </c>
    </row>
    <row r="10" ht="22.5" customHeight="1">
      <c r="A10" s="2">
        <v>9.0</v>
      </c>
      <c r="B10" s="3" t="s">
        <v>2943</v>
      </c>
      <c r="C10" s="3" t="s">
        <v>2944</v>
      </c>
      <c r="D10" s="3" t="s">
        <v>2945</v>
      </c>
      <c r="F10" s="5" t="str">
        <f>IFERROR(__xludf.DUMMYFUNCTION("GOOGLETRANSLATE(A10, ""en"", ""hi"")"),"9")</f>
        <v>9</v>
      </c>
      <c r="G10" s="5" t="str">
        <f>IFERROR(__xludf.DUMMYFUNCTION("GOOGLETRANSLATE(B10, ""en"", ""hi"")"),"चैंपियनशिप मुस्तैदी युद्ध मैच में, फाइटर A ऊँचे मुक्कों से बचने के लिए लो स्टांस अपनाता है, जबकि फाइटर B ऊँचे और निचले हमलों के बीच स्विच करता है। लो स्वीप के दौरान, फाइटर B फिसल जाता है, लेकिन तुरंत संतुलन बना लेता है। नियमों के अनुसार क्या होना चाहिए?")</f>
        <v>चैंपियनशिप मुस्तैदी युद्ध मैच में, फाइटर A ऊँचे मुक्कों से बचने के लिए लो स्टांस अपनाता है, जबकि फाइटर B ऊँचे और निचले हमलों के बीच स्विच करता है। लो स्वीप के दौरान, फाइटर B फिसल जाता है, लेकिन तुरंत संतुलन बना लेता है। नियमों के अनुसार क्या होना चाहिए?</v>
      </c>
      <c r="H10" s="5" t="str">
        <f>IFERROR(__xludf.DUMMYFUNCTION("GOOGLETRANSLATE(C10, ""en"", ""hi"")"),"A) फाइटर A को फिसलने के लिए एक अंक दिया जाना चाहिए। B) फाइटर B को असंतुलन के कारण अयोग्य घोषित कर दिया जाता है। C) मैच जारी रहता है क्योंकि यह एक आकस्मिक फिसलन थी। D) राउंड रोक दिया जाता है और फाइटर B को चेतावनी दी जाती है।")</f>
        <v>A) फाइटर A को फिसलने के लिए एक अंक दिया जाना चाहिए। B) फाइटर B को असंतुलन के कारण अयोग्य घोषित कर दिया जाता है। C) मैच जारी रहता है क्योंकि यह एक आकस्मिक फिसलन थी। D) राउंड रोक दिया जाता है और फाइटर B को चेतावनी दी जाती है।</v>
      </c>
      <c r="I10" s="5" t="str">
        <f>IFERROR(__xludf.DUMMYFUNCTION("GOOGLETRANSLATE(D10, ""en"", ""hi"")"),"C) मैच जारी रहता है क्योंकि यह एक आकस्मिक फिसलन थी।")</f>
        <v>C) मैच जारी रहता है क्योंकि यह एक आकस्मिक फिसलन थी।</v>
      </c>
    </row>
    <row r="11" ht="22.5" customHeight="1">
      <c r="A11" s="2">
        <v>10.0</v>
      </c>
      <c r="B11" s="3" t="s">
        <v>2946</v>
      </c>
      <c r="C11" s="3" t="s">
        <v>2947</v>
      </c>
      <c r="D11" s="3" t="s">
        <v>2948</v>
      </c>
      <c r="F11" s="5" t="str">
        <f>IFERROR(__xludf.DUMMYFUNCTION("GOOGLETRANSLATE(A11, ""en"", ""hi"")"),"10")</f>
        <v>10</v>
      </c>
      <c r="G11" s="5" t="str">
        <f>IFERROR(__xludf.DUMMYFUNCTION("GOOGLETRANSLATE(B11, ""en"", ""hi"")"),"फाइटर A और फाइटर B एक मुस्तैदी युद्ध मैच के अंतिम दौर में पहुँच गए हैं। फाइटर A अंकों से आगे है, लेकिन फाइटर B अंतिम 10 सेकंड में एक क्लीन हिट लगाता है। फाइटर A जवाबी हमला नहीं करता, बल्कि आगे के हमलों से बचता है। परिणाम क्या होना चाहिए?")</f>
        <v>फाइटर A और फाइटर B एक मुस्तैदी युद्ध मैच के अंतिम दौर में पहुँच गए हैं। फाइटर A अंकों से आगे है, लेकिन फाइटर B अंतिम 10 सेकंड में एक क्लीन हिट लगाता है। फाइटर A जवाबी हमला नहीं करता, बल्कि आगे के हमलों से बचता है। परिणाम क्या होना चाहिए?</v>
      </c>
      <c r="H11" s="5" t="str">
        <f>IFERROR(__xludf.DUMMYFUNCTION("GOOGLETRANSLATE(C11, ""en"", ""hi"")"),"A) फाइटर A कुल अंकों के कारण जीतता है। B) फाइटर B क्लीन हिट के कारण जीतता है। C) राउंड ड्रॉ घोषित किया जाता है। D) मैच ओवरटाइम में चला जाता है।")</f>
        <v>A) फाइटर A कुल अंकों के कारण जीतता है। B) फाइटर B क्लीन हिट के कारण जीतता है। C) राउंड ड्रॉ घोषित किया जाता है। D) मैच ओवरटाइम में चला जाता है।</v>
      </c>
      <c r="I11" s="5" t="str">
        <f>IFERROR(__xludf.DUMMYFUNCTION("GOOGLETRANSLATE(D11, ""en"", ""hi"")"),"ए) फाइटर ए समग्र अंकों के कारण जीतता है।")</f>
        <v>ए) फाइटर ए समग्र अंकों के कारण जीतता है।</v>
      </c>
    </row>
    <row r="12" ht="22.5" customHeight="1">
      <c r="A12" s="2">
        <v>11.0</v>
      </c>
      <c r="B12" s="3" t="s">
        <v>2949</v>
      </c>
      <c r="C12" s="3" t="s">
        <v>2950</v>
      </c>
      <c r="D12" s="3" t="s">
        <v>2951</v>
      </c>
      <c r="F12" s="5" t="str">
        <f>IFERROR(__xludf.DUMMYFUNCTION("GOOGLETRANSLATE(A12, ""en"", ""hi"")"),"11")</f>
        <v>11</v>
      </c>
      <c r="G12" s="5" t="str">
        <f>IFERROR(__xludf.DUMMYFUNCTION("GOOGLETRANSLATE(B12, ""en"", ""hi"")"),"एक प्रशिक्षण मैच के दौरान, फाइटर A कमर के नीचे एक अवैध मुक्का मारने की कोशिश करता है, लेकिन फाइटर B उसे रोक देता है। रेफरी इस कोशिश को देखता है, लेकिन मैच नहीं रोकता। फाइटर्स को आगे कैसे बढ़ना चाहिए?")</f>
        <v>एक प्रशिक्षण मैच के दौरान, फाइटर A कमर के नीचे एक अवैध मुक्का मारने की कोशिश करता है, लेकिन फाइटर B उसे रोक देता है। रेफरी इस कोशिश को देखता है, लेकिन मैच नहीं रोकता। फाइटर्स को आगे कैसे बढ़ना चाहिए?</v>
      </c>
      <c r="H12" s="5" t="str">
        <f>IFERROR(__xludf.DUMMYFUNCTION("GOOGLETRANSLATE(C12, ""en"", ""hi"")"),"A) फाइटर B को ब्लॉक के लिए एक अंक दिया जाता है। B) फाइटर A को चेतावनी दी जाती है, लेकिन उसे जारी रखने की अनुमति दी जाती है। C) मैच रोक दिया जाता है और फाइटर A को अयोग्य घोषित कर दिया जाता है। D) फाइटर A को चेतावनी के साथ राउंड फिर से शुरू होता है।")</f>
        <v>A) फाइटर B को ब्लॉक के लिए एक अंक दिया जाता है। B) फाइटर A को चेतावनी दी जाती है, लेकिन उसे जारी रखने की अनुमति दी जाती है। C) मैच रोक दिया जाता है और फाइटर A को अयोग्य घोषित कर दिया जाता है। D) फाइटर A को चेतावनी के साथ राउंड फिर से शुरू होता है।</v>
      </c>
      <c r="I12" s="5" t="str">
        <f>IFERROR(__xludf.DUMMYFUNCTION("GOOGLETRANSLATE(D12, ""en"", ""hi"")"),"बी) लड़ाकू ए को चेतावनी दी गई लेकिन उसे आगे बढ़ने की अनुमति दी गई।")</f>
        <v>बी) लड़ाकू ए को चेतावनी दी गई लेकिन उसे आगे बढ़ने की अनुमति दी गई।</v>
      </c>
    </row>
    <row r="13" ht="22.5" customHeight="1">
      <c r="A13" s="2">
        <v>12.0</v>
      </c>
      <c r="B13" s="3" t="s">
        <v>2952</v>
      </c>
      <c r="C13" s="3" t="s">
        <v>2953</v>
      </c>
      <c r="D13" s="3" t="s">
        <v>2954</v>
      </c>
      <c r="F13" s="5" t="str">
        <f>IFERROR(__xludf.DUMMYFUNCTION("GOOGLETRANSLATE(A13, ""en"", ""hi"")"),"12")</f>
        <v>12</v>
      </c>
      <c r="G13" s="5" t="str">
        <f>IFERROR(__xludf.DUMMYFUNCTION("GOOGLETRANSLATE(B13, ""en"", ""hi"")"),"मुस्ति युद्ध मैच के अंतिम राउंड में, फाइटर A कई तेज़ मुक्के मारता है, लेकिन फाइटर B उन्हें झेलकर एक ज़ोरदार वार करता है। फाइटर A स्तब्ध सा दिखता है, लेकिन अपने पैरों पर खड़ा रहता है। इस राउंड का स्कोर कैसे होना चाहिए?")</f>
        <v>मुस्ति युद्ध मैच के अंतिम राउंड में, फाइटर A कई तेज़ मुक्के मारता है, लेकिन फाइटर B उन्हें झेलकर एक ज़ोरदार वार करता है। फाइटर A स्तब्ध सा दिखता है, लेकिन अपने पैरों पर खड़ा रहता है। इस राउंड का स्कोर कैसे होना चाहिए?</v>
      </c>
      <c r="H13" s="5" t="str">
        <f>IFERROR(__xludf.DUMMYFUNCTION("GOOGLETRANSLATE(C13, ""en"", ""hi"")"),"A) ज़्यादा मुक्के मारने के लिए फाइटर A को प्राथमिकता दें। B) ज़्यादा शक्तिशाली वार करने के लिए फाइटर B को प्राथमिकता दें। C) राउंड को बराबर घोषित करें। D) बेहतर सहनशक्ति के लिए फाइटर A को राउंड प्रदान करें।")</f>
        <v>A) ज़्यादा मुक्के मारने के लिए फाइटर A को प्राथमिकता दें। B) ज़्यादा शक्तिशाली वार करने के लिए फाइटर B को प्राथमिकता दें। C) राउंड को बराबर घोषित करें। D) बेहतर सहनशक्ति के लिए फाइटर A को राउंड प्रदान करें।</v>
      </c>
      <c r="I13" s="5" t="str">
        <f>IFERROR(__xludf.DUMMYFUNCTION("GOOGLETRANSLATE(D13, ""en"", ""hi"")"),"बी) अधिक शक्तिशाली प्रहार करने के लिए लड़ाकू बी का पक्ष लें।")</f>
        <v>बी) अधिक शक्तिशाली प्रहार करने के लिए लड़ाकू बी का पक्ष लें।</v>
      </c>
    </row>
    <row r="14" ht="22.5" customHeight="1">
      <c r="A14" s="2">
        <v>13.0</v>
      </c>
      <c r="B14" s="3" t="s">
        <v>2955</v>
      </c>
      <c r="C14" s="3" t="s">
        <v>2956</v>
      </c>
      <c r="D14" s="3" t="s">
        <v>2957</v>
      </c>
      <c r="F14" s="5" t="str">
        <f>IFERROR(__xludf.DUMMYFUNCTION("GOOGLETRANSLATE(A14, ""en"", ""hi"")"),"13")</f>
        <v>13</v>
      </c>
      <c r="G14" s="5" t="str">
        <f>IFERROR(__xludf.DUMMYFUNCTION("GOOGLETRANSLATE(B14, ""en"", ""hi"")"),"पाँच राउंड के मुस्तैद युद्ध में फाइटर A ने तीन राउंड जीत लिए हैं। हालाँकि, चौथे राउंड में, फाइटर B एक ऐसा वार करता है जिससे फाइटर A अस्थायी रूप से अशक्त हो जाता है और उस राउंड में आगे नहीं खेल पाता। अब आगे क्या होगा?")</f>
        <v>पाँच राउंड के मुस्तैद युद्ध में फाइटर A ने तीन राउंड जीत लिए हैं। हालाँकि, चौथे राउंड में, फाइटर B एक ऐसा वार करता है जिससे फाइटर A अस्थायी रूप से अशक्त हो जाता है और उस राउंड में आगे नहीं खेल पाता। अब आगे क्या होगा?</v>
      </c>
      <c r="H14" s="5" t="str">
        <f>IFERROR(__xludf.DUMMYFUNCTION("GOOGLETRANSLATE(C14, ""en"", ""hi"")"),"A) फाइटर B नॉकआउट से जीतता है। B) फाइटर A जीतता है क्योंकि उसने ज़्यादा राउंड जीते हैं। C) फाइटर A मैच हार जाता है। D) मेडिकल मूल्यांकन के लिए मैच रोक दिया जाता है।")</f>
        <v>A) फाइटर B नॉकआउट से जीतता है। B) फाइटर A जीतता है क्योंकि उसने ज़्यादा राउंड जीते हैं। C) फाइटर A मैच हार जाता है। D) मेडिकल मूल्यांकन के लिए मैच रोक दिया जाता है।</v>
      </c>
      <c r="I14" s="5" t="str">
        <f>IFERROR(__xludf.DUMMYFUNCTION("GOOGLETRANSLATE(D14, ""en"", ""hi"")"),"D) मैच को चिकित्सीय मूल्यांकन के लिए रोक दिया गया है।")</f>
        <v>D) मैच को चिकित्सीय मूल्यांकन के लिए रोक दिया गया है।</v>
      </c>
    </row>
    <row r="15" ht="22.5" customHeight="1">
      <c r="A15" s="2">
        <v>14.0</v>
      </c>
      <c r="B15" s="3" t="s">
        <v>2958</v>
      </c>
      <c r="C15" s="3" t="s">
        <v>2959</v>
      </c>
      <c r="D15" s="3" t="s">
        <v>2960</v>
      </c>
      <c r="F15" s="5" t="str">
        <f>IFERROR(__xludf.DUMMYFUNCTION("GOOGLETRANSLATE(A15, ""en"", ""hi"")"),"14")</f>
        <v>14</v>
      </c>
      <c r="G15" s="5" t="str">
        <f>IFERROR(__xludf.DUMMYFUNCTION("GOOGLETRANSLATE(B15, ""en"", ""hi"")"),"एक युवा मुस्ति युद्ध प्रतियोगिता में, फाइटर A पहले दो राउंड में दबदबा बनाए रखता है, लेकिन फाइटर B तीसरे राउंड में बेहतर प्रदर्शन करने लगता है। बेल बजने से ठीक पहले फाइटर A एक ज़ोरदार वार करता है, और फाइटर B गिर जाता है, लेकिन फिर से खड़ा हो जाता है। रेफरी"&amp;" को इस स्थिति से कैसे निपटना चाहिए?")</f>
        <v>एक युवा मुस्ति युद्ध प्रतियोगिता में, फाइटर A पहले दो राउंड में दबदबा बनाए रखता है, लेकिन फाइटर B तीसरे राउंड में बेहतर प्रदर्शन करने लगता है। बेल बजने से ठीक पहले फाइटर A एक ज़ोरदार वार करता है, और फाइटर B गिर जाता है, लेकिन फिर से खड़ा हो जाता है। रेफरी को इस स्थिति से कैसे निपटना चाहिए?</v>
      </c>
      <c r="H15" s="5" t="str">
        <f>IFERROR(__xludf.DUMMYFUNCTION("GOOGLETRANSLATE(C15, ""en"", ""hi"")"),"A) नॉकडाउन के लिए फाइटर A को राउंड दें। B) राउंड को ड्रॉ घोषित करें क्योंकि फाइटर B खड़ा हो गया था। C) देर से मुक्का मारने के लिए फाइटर A को चेतावनी दें। D) गिरने की समीक्षा करें और जजों को फैसला करने दें।")</f>
        <v>A) नॉकडाउन के लिए फाइटर A को राउंड दें। B) राउंड को ड्रॉ घोषित करें क्योंकि फाइटर B खड़ा हो गया था। C) देर से मुक्का मारने के लिए फाइटर A को चेतावनी दें। D) गिरने की समीक्षा करें और जजों को फैसला करने दें।</v>
      </c>
      <c r="I15" s="5" t="str">
        <f>IFERROR(__xludf.DUMMYFUNCTION("GOOGLETRANSLATE(D15, ""en"", ""hi"")"),"ए) नॉकडाउन के लिए फाइटर ए को राउंड प्रदान करें।")</f>
        <v>ए) नॉकडाउन के लिए फाइटर ए को राउंड प्रदान करें।</v>
      </c>
    </row>
    <row r="16" ht="22.5" customHeight="1">
      <c r="A16" s="2">
        <v>15.0</v>
      </c>
      <c r="B16" s="3" t="s">
        <v>2961</v>
      </c>
      <c r="C16" s="3" t="s">
        <v>2962</v>
      </c>
      <c r="D16" s="3" t="s">
        <v>2963</v>
      </c>
      <c r="F16" s="5" t="str">
        <f>IFERROR(__xludf.DUMMYFUNCTION("GOOGLETRANSLATE(A16, ""en"", ""hi"")"),"15")</f>
        <v>15</v>
      </c>
      <c r="G16" s="5" t="str">
        <f>IFERROR(__xludf.DUMMYFUNCTION("GOOGLETRANSLATE(B16, ""en"", ""hi"")"),"एक बेहद रोमांचक मुस्तैदी भरे मुस्तैदी भरे फ़ाइनल में, फ़ाइटर A अंकों से आगे चल रहा है, लेकिन फ़ाइटर B तेज़ी से आगे बढ़ने लगता है। क्लिंच के दौरान, फ़ाइटर B कोहनी से वार करता है, जो कि अवैध है। रेफ़री इसे देख नहीं पाता, लेकिन फ़ाइटर A शिकायत करता है। मैच आ"&amp;"गे कैसे बढ़ना चाहिए?")</f>
        <v>एक बेहद रोमांचक मुस्तैदी भरे मुस्तैदी भरे फ़ाइनल में, फ़ाइटर A अंकों से आगे चल रहा है, लेकिन फ़ाइटर B तेज़ी से आगे बढ़ने लगता है। क्लिंच के दौरान, फ़ाइटर B कोहनी से वार करता है, जो कि अवैध है। रेफ़री इसे देख नहीं पाता, लेकिन फ़ाइटर A शिकायत करता है। मैच आगे कैसे बढ़ना चाहिए?</v>
      </c>
      <c r="H16" s="5" t="str">
        <f>IFERROR(__xludf.DUMMYFUNCTION("GOOGLETRANSLATE(C16, ""en"", ""hi"")"),"A) रेफरी मैच रोक देता है और फुटेज की समीक्षा करता है। B) फाइटर B स्वतः ही अयोग्य घोषित हो जाता है। C) मैच बिना पेनल्टी के जारी रहता है। D) फाइटर A को फ्री हिट लेने की अनुमति दी जाती है।")</f>
        <v>A) रेफरी मैच रोक देता है और फुटेज की समीक्षा करता है। B) फाइटर B स्वतः ही अयोग्य घोषित हो जाता है। C) मैच बिना पेनल्टी के जारी रहता है। D) फाइटर A को फ्री हिट लेने की अनुमति दी जाती है।</v>
      </c>
      <c r="I16" s="5" t="str">
        <f>IFERROR(__xludf.DUMMYFUNCTION("GOOGLETRANSLATE(D16, ""en"", ""hi"")"),"ए) रेफरी मैच को रोक देता है और फुटेज की समीक्षा करता है।")</f>
        <v>ए) रेफरी मैच को रोक देता है और फुटेज की समीक्षा करता है।</v>
      </c>
    </row>
    <row r="17" ht="22.5" customHeight="1">
      <c r="A17" s="2">
        <v>16.0</v>
      </c>
      <c r="B17" s="3" t="s">
        <v>2964</v>
      </c>
      <c r="C17" s="3" t="s">
        <v>2965</v>
      </c>
      <c r="D17" s="3" t="s">
        <v>2966</v>
      </c>
      <c r="F17" s="5" t="str">
        <f>IFERROR(__xludf.DUMMYFUNCTION("GOOGLETRANSLATE(A17, ""en"", ""hi"")"),"16")</f>
        <v>16</v>
      </c>
      <c r="G17" s="5" t="str">
        <f>IFERROR(__xludf.DUMMYFUNCTION("GOOGLETRANSLATE(B17, ""en"", ""hi"")"),"एक मुस्ति युद्ध टूर्नामेंट के दौरान, फाइटर A मैच की शुरुआत में कई क्लीन हिट लगाता है। हालाँकि, फाइटर B आखिरी सेकंड में एक ज़ोरदार मुक्का मारता है, जिससे फाइटर A ज़मीन पर गिर जाता है। फाइटर A जल्दी से संभल जाता है, लेकिन उसका शरीर हिलता हुआ दिखाई देता है। "&amp;"रेफरी को क्या फैसला लेना चाहिए?")</f>
        <v>एक मुस्ति युद्ध टूर्नामेंट के दौरान, फाइटर A मैच की शुरुआत में कई क्लीन हिट लगाता है। हालाँकि, फाइटर B आखिरी सेकंड में एक ज़ोरदार मुक्का मारता है, जिससे फाइटर A ज़मीन पर गिर जाता है। फाइटर A जल्दी से संभल जाता है, लेकिन उसका शरीर हिलता हुआ दिखाई देता है। रेफरी को क्या फैसला लेना चाहिए?</v>
      </c>
      <c r="H17" s="5" t="str">
        <f>IFERROR(__xludf.DUMMYFUNCTION("GOOGLETRANSLATE(C17, ""en"", ""hi"")"),"A) फाइटर B नॉकआउट से जीतता है। B) फाइटर A शुरुआती अंकों के कारण जीतता है। C) राउंड बराबरी पर घोषित किया जाता है। D) मैच अचानक मौत में चला जाता है।")</f>
        <v>A) फाइटर B नॉकआउट से जीतता है। B) फाइटर A शुरुआती अंकों के कारण जीतता है। C) राउंड बराबरी पर घोषित किया जाता है। D) मैच अचानक मौत में चला जाता है।</v>
      </c>
      <c r="I17" s="5" t="str">
        <f>IFERROR(__xludf.DUMMYFUNCTION("GOOGLETRANSLATE(D17, ""en"", ""hi"")"),"बी) फाइटर ए प्रारंभिक अंकों के कारण जीतता है।")</f>
        <v>बी) फाइटर ए प्रारंभिक अंकों के कारण जीतता है।</v>
      </c>
    </row>
    <row r="18" ht="22.5" customHeight="1">
      <c r="A18" s="2">
        <v>17.0</v>
      </c>
      <c r="B18" s="3" t="s">
        <v>2967</v>
      </c>
      <c r="C18" s="3" t="s">
        <v>2968</v>
      </c>
      <c r="D18" s="3" t="s">
        <v>2969</v>
      </c>
      <c r="F18" s="5" t="str">
        <f>IFERROR(__xludf.DUMMYFUNCTION("GOOGLETRANSLATE(A18, ""en"", ""hi"")"),"17")</f>
        <v>17</v>
      </c>
      <c r="G18" s="5" t="str">
        <f>IFERROR(__xludf.DUMMYFUNCTION("GOOGLETRANSLATE(B18, ""en"", ""hi"")"),"एक दोस्ताना मुस्ति युद्ध मुकाबले में, फाइटर A, फाइटर B से कहीं ज़्यादा अनुभवी है। फाइटर A कई नियंत्रित मुक्के मारता है, लेकिन बढ़त हासिल नहीं कर पाता। हालाँकि, फाइटर B एक आश्चर्यजनक प्रहार करने में कामयाब हो जाता है। इस मुकाबले का मूल्यांकन कैसे किया जाना"&amp;" चाहिए?")</f>
        <v>एक दोस्ताना मुस्ति युद्ध मुकाबले में, फाइटर A, फाइटर B से कहीं ज़्यादा अनुभवी है। फाइटर A कई नियंत्रित मुक्के मारता है, लेकिन बढ़त हासिल नहीं कर पाता। हालाँकि, फाइटर B एक आश्चर्यजनक प्रहार करने में कामयाब हो जाता है। इस मुकाबले का मूल्यांकन कैसे किया जाना चाहिए?</v>
      </c>
      <c r="H18" s="5" t="str">
        <f>IFERROR(__xludf.DUMMYFUNCTION("GOOGLETRANSLATE(C18, ""en"", ""hi"")"),"A) बेहतर तकनीक के कारण फाइटर A जीतता है। B) सरप्राइज़ हिट के कारण फाइटर B जीतता है। C) मुकाबला ड्रॉ घोषित किया जाता है। D) दोनों फाइटर्स को उनके प्रदर्शन के लिए समान श्रेय दिया जाता है।")</f>
        <v>A) बेहतर तकनीक के कारण फाइटर A जीतता है। B) सरप्राइज़ हिट के कारण फाइटर B जीतता है। C) मुकाबला ड्रॉ घोषित किया जाता है। D) दोनों फाइटर्स को उनके प्रदर्शन के लिए समान श्रेय दिया जाता है।</v>
      </c>
      <c r="I18" s="5" t="str">
        <f>IFERROR(__xludf.DUMMYFUNCTION("GOOGLETRANSLATE(D18, ""en"", ""hi"")"),"A) बेहतर तकनीक के कारण फाइटर A जीतता है।")</f>
        <v>A) बेहतर तकनीक के कारण फाइटर A जीतता है।</v>
      </c>
    </row>
    <row r="19" ht="22.5" customHeight="1">
      <c r="A19" s="2">
        <v>18.0</v>
      </c>
      <c r="B19" s="3" t="s">
        <v>2970</v>
      </c>
      <c r="C19" s="3" t="s">
        <v>2971</v>
      </c>
      <c r="D19" s="3" t="s">
        <v>2972</v>
      </c>
      <c r="F19" s="5" t="str">
        <f>IFERROR(__xludf.DUMMYFUNCTION("GOOGLETRANSLATE(A19, ""en"", ""hi"")"),"18")</f>
        <v>18</v>
      </c>
      <c r="G19" s="5" t="str">
        <f>IFERROR(__xludf.DUMMYFUNCTION("GOOGLETRANSLATE(B19, ""en"", ""hi"")"),"मुस्ति युद्ध के प्रदर्शन के दौरान, फाइटर ए और फाइटर बी उन्नत तकनीकों का प्रदर्शन कर रहे हैं। फाइटर बी एक घूमता हुआ मुक्का मारता है जो फाइटर ए के चेहरे को छूता है, लेकिन फाइटर ए जवाब में एक पलटवार करता है जो ज़मीन पर मजबूती से लगता है। दर्शकों को इस बातचीत"&amp;" से क्या सीख लेनी चाहिए?")</f>
        <v>मुस्ति युद्ध के प्रदर्शन के दौरान, फाइटर ए और फाइटर बी उन्नत तकनीकों का प्रदर्शन कर रहे हैं। फाइटर बी एक घूमता हुआ मुक्का मारता है जो फाइटर ए के चेहरे को छूता है, लेकिन फाइटर ए जवाब में एक पलटवार करता है जो ज़मीन पर मजबूती से लगता है। दर्शकों को इस बातचीत से क्या सीख लेनी चाहिए?</v>
      </c>
      <c r="H19" s="5" t="str">
        <f>IFERROR(__xludf.DUMMYFUNCTION("GOOGLETRANSLATE(C19, ""en"", ""hi"")"),"A) फाइटर B की तकनीक बेहतर है। B) फाइटर A के काउंटरपंच में बेहतर टाइमिंग दिखाई देती है। C) दोनों फाइटरों ने समान कौशल का प्रदर्शन किया। D) फाइटर B को रचनात्मकता के लिए विजेता घोषित किया जाना चाहिए।")</f>
        <v>A) फाइटर B की तकनीक बेहतर है। B) फाइटर A के काउंटरपंच में बेहतर टाइमिंग दिखाई देती है। C) दोनों फाइटरों ने समान कौशल का प्रदर्शन किया। D) फाइटर B को रचनात्मकता के लिए विजेता घोषित किया जाना चाहिए।</v>
      </c>
      <c r="I19" s="5" t="str">
        <f>IFERROR(__xludf.DUMMYFUNCTION("GOOGLETRANSLATE(D19, ""en"", ""hi"")"),"बी) फाइटर ए का काउंटरपंच बेहतर टाइमिंग दर्शाता है।")</f>
        <v>बी) फाइटर ए का काउंटरपंच बेहतर टाइमिंग दर्शाता है।</v>
      </c>
    </row>
    <row r="20" ht="22.5" customHeight="1">
      <c r="A20" s="2">
        <v>19.0</v>
      </c>
      <c r="B20" s="3" t="s">
        <v>2973</v>
      </c>
      <c r="C20" s="3" t="s">
        <v>2974</v>
      </c>
      <c r="D20" s="3" t="s">
        <v>2975</v>
      </c>
      <c r="F20" s="5" t="str">
        <f>IFERROR(__xludf.DUMMYFUNCTION("GOOGLETRANSLATE(A20, ""en"", ""hi"")"),"19")</f>
        <v>19</v>
      </c>
      <c r="G20" s="5" t="str">
        <f>IFERROR(__xludf.DUMMYFUNCTION("GOOGLETRANSLATE(B20, ""en"", ""hi"")"),"एक गरमागरम मुस्तैदी भरे मुकाबले में, दोनों फाइटर्स आखिरी राउंड में जाने से पहले बराबरी के अंक हासिल कर रहे हैं। फाइटर A आक्रामक हमलों की एक श्रृंखला के साथ शुरुआत करता है, लेकिन फाइटर B शांत रहता है और प्रभावी ढंग से जवाबी हमला करता है। आखिरी 30 सेकंड में"&amp;", फाइटर A थकने लगता है। इस राउंड का मूल्यांकन कैसे किया जाना चाहिए?")</f>
        <v>एक गरमागरम मुस्तैदी भरे मुकाबले में, दोनों फाइटर्स आखिरी राउंड में जाने से पहले बराबरी के अंक हासिल कर रहे हैं। फाइटर A आक्रामक हमलों की एक श्रृंखला के साथ शुरुआत करता है, लेकिन फाइटर B शांत रहता है और प्रभावी ढंग से जवाबी हमला करता है। आखिरी 30 सेकंड में, फाइटर A थकने लगता है। इस राउंड का मूल्यांकन कैसे किया जाना चाहिए?</v>
      </c>
      <c r="H20" s="5" t="str">
        <f>IFERROR(__xludf.DUMMYFUNCTION("GOOGLETRANSLATE(C20, ""en"", ""hi"")"),"A) आक्रामक खेल के लिए फाइटर A को राउंड दें। B) शांत रक्षा के लिए फाइटर B को राउंड दें। C) राउंड को बराबरी पर घोषित करें। D) मैच को ओवरटाइम तक बढ़ाएँ।")</f>
        <v>A) आक्रामक खेल के लिए फाइटर A को राउंड दें। B) शांत रक्षा के लिए फाइटर B को राउंड दें। C) राउंड को बराबरी पर घोषित करें। D) मैच को ओवरटाइम तक बढ़ाएँ।</v>
      </c>
      <c r="I20" s="5" t="str">
        <f>IFERROR(__xludf.DUMMYFUNCTION("GOOGLETRANSLATE(D20, ""en"", ""hi"")"),"बी) शांत रक्षा के लिए फाइटर बी को राउंड प्रदान करें।")</f>
        <v>बी) शांत रक्षा के लिए फाइटर बी को राउंड प्रदान करें।</v>
      </c>
    </row>
    <row r="21" ht="22.5" customHeight="1">
      <c r="A21" s="2">
        <v>20.0</v>
      </c>
      <c r="B21" s="3" t="s">
        <v>2976</v>
      </c>
      <c r="C21" s="3" t="s">
        <v>2977</v>
      </c>
      <c r="D21" s="3" t="s">
        <v>2978</v>
      </c>
      <c r="F21" s="5" t="str">
        <f>IFERROR(__xludf.DUMMYFUNCTION("GOOGLETRANSLATE(A21, ""en"", ""hi"")"),"20")</f>
        <v>20</v>
      </c>
      <c r="G21" s="5" t="str">
        <f>IFERROR(__xludf.DUMMYFUNCTION("GOOGLETRANSLATE(B21, ""en"", ""hi"")"),"फाइटर A और फाइटर B एक मुस्ति युद्ध मैच के दूसरे राउंड में हैं। फाइटर A एक हमले से बचते हुए गलती से रिंग से बाहर निकल जाता है। फाइटर B रिंग पर नियंत्रण के लिए एक अंक का दावा करता है। रेफरी को क्या फैसला लेना चाहिए?")</f>
        <v>फाइटर A और फाइटर B एक मुस्ति युद्ध मैच के दूसरे राउंड में हैं। फाइटर A एक हमले से बचते हुए गलती से रिंग से बाहर निकल जाता है। फाइटर B रिंग पर नियंत्रण के लिए एक अंक का दावा करता है। रेफरी को क्या फैसला लेना चाहिए?</v>
      </c>
      <c r="H21" s="5" t="str">
        <f>IFERROR(__xludf.DUMMYFUNCTION("GOOGLETRANSLATE(C21, ""en"", ""hi"")"),"A) रिंग पर नियंत्रण के लिए फाइटर B को एक अंक दें। B) बाहर निकलने के लिए फाइटर A का एक अंक काट लें। C) मैच को रोक दें और राउंड को फिर से शुरू करें। D) बिना किसी अंक परिवर्तन के मैच को जारी रहने दें।")</f>
        <v>A) रिंग पर नियंत्रण के लिए फाइटर B को एक अंक दें। B) बाहर निकलने के लिए फाइटर A का एक अंक काट लें। C) मैच को रोक दें और राउंड को फिर से शुरू करें। D) बिना किसी अंक परिवर्तन के मैच को जारी रहने दें।</v>
      </c>
      <c r="I21" s="5" t="str">
        <f>IFERROR(__xludf.DUMMYFUNCTION("GOOGLETRANSLATE(D21, ""en"", ""hi"")"),"D) मैच को बिना किसी अंक परिवर्तन के जारी रहने दें।")</f>
        <v>D) मैच को बिना किसी अंक परिवर्तन के जारी रहने दें।</v>
      </c>
    </row>
    <row r="22" ht="22.5" customHeight="1">
      <c r="A22" s="2">
        <v>21.0</v>
      </c>
      <c r="B22" s="3" t="s">
        <v>2979</v>
      </c>
      <c r="C22" s="3" t="s">
        <v>2980</v>
      </c>
      <c r="D22" s="3" t="s">
        <v>2981</v>
      </c>
      <c r="F22" s="5" t="str">
        <f>IFERROR(__xludf.DUMMYFUNCTION("GOOGLETRANSLATE(A22, ""en"", ""hi"")"),"21")</f>
        <v>21</v>
      </c>
      <c r="G22" s="5" t="str">
        <f>IFERROR(__xludf.DUMMYFUNCTION("GOOGLETRANSLATE(B22, ""en"", ""hi"")"),"एक क्षेत्रीय मुस्ति युद्ध टूर्नामेंट में, फाइटर A को फाइटर B पर पहुँच में काफ़ी बढ़त हासिल है। फाइटर A, फाइटर B को दूर रखने के लिए लंबे मुक्कों का इस्तेमाल करता है, लेकिन फाइटर B अंदर घुसकर बॉडी शॉट लगाने में कामयाब हो जाता है। फाइटर A को नियंत्रण वापस पा"&amp;"ने के लिए क्या करना चाहिए?")</f>
        <v>एक क्षेत्रीय मुस्ति युद्ध टूर्नामेंट में, फाइटर A को फाइटर B पर पहुँच में काफ़ी बढ़त हासिल है। फाइटर A, फाइटर B को दूर रखने के लिए लंबे मुक्कों का इस्तेमाल करता है, लेकिन फाइटर B अंदर घुसकर बॉडी शॉट लगाने में कामयाब हो जाता है। फाइटर A को नियंत्रण वापस पाने के लिए क्या करना चाहिए?</v>
      </c>
      <c r="H22" s="5" t="str">
        <f>IFERROR(__xludf.DUMMYFUNCTION("GOOGLETRANSLATE(C22, ""en"", ""hi"")"),"A) लंबी दूरी के मुक्कों का इस्तेमाल करते रहें। B) रक्षात्मक फुटवर्क पर ध्यान केंद्रित करें। C) तुरंत जवाबी हमला करने का प्रयास करें। D) पीछे हटें और अपनी स्थिति फिर से बनाएँ।")</f>
        <v>A) लंबी दूरी के मुक्कों का इस्तेमाल करते रहें। B) रक्षात्मक फुटवर्क पर ध्यान केंद्रित करें। C) तुरंत जवाबी हमला करने का प्रयास करें। D) पीछे हटें और अपनी स्थिति फिर से बनाएँ।</v>
      </c>
      <c r="I22" s="5" t="str">
        <f>IFERROR(__xludf.DUMMYFUNCTION("GOOGLETRANSLATE(D22, ""en"", ""hi"")"),"बी) रक्षात्मक फुटवर्क पर ध्यान केंद्रित करें।")</f>
        <v>बी) रक्षात्मक फुटवर्क पर ध्यान केंद्रित करें।</v>
      </c>
    </row>
    <row r="23" ht="22.5" customHeight="1">
      <c r="A23" s="2">
        <v>22.0</v>
      </c>
      <c r="B23" s="3" t="s">
        <v>2982</v>
      </c>
      <c r="C23" s="3" t="s">
        <v>2983</v>
      </c>
      <c r="D23" s="3" t="s">
        <v>2984</v>
      </c>
      <c r="F23" s="5" t="str">
        <f>IFERROR(__xludf.DUMMYFUNCTION("GOOGLETRANSLATE(A23, ""en"", ""hi"")"),"22")</f>
        <v>22</v>
      </c>
      <c r="G23" s="5" t="str">
        <f>IFERROR(__xludf.DUMMYFUNCTION("GOOGLETRANSLATE(B23, ""en"", ""hi"")"),"मुस्ति युद्ध प्रदर्शनी मैच में, फाइटर ए और फाइटर बी दर्शकों के सामने तकनीकों का प्रदर्शन कर रहे हैं। फाइटर बी एक अपरंपरागत मुद्रा अपनाता है जिससे फाइटर ए भ्रमित हो जाता है और हिचकिचाता है। पारंपरिक प्रशिक्षण के अनुसार फाइटर ए को कैसे प्रतिक्रिया देनी चाहि"&amp;"ए?")</f>
        <v>मुस्ति युद्ध प्रदर्शनी मैच में, फाइटर ए और फाइटर बी दर्शकों के सामने तकनीकों का प्रदर्शन कर रहे हैं। फाइटर बी एक अपरंपरागत मुद्रा अपनाता है जिससे फाइटर ए भ्रमित हो जाता है और हिचकिचाता है। पारंपरिक प्रशिक्षण के अनुसार फाइटर ए को कैसे प्रतिक्रिया देनी चाहिए?</v>
      </c>
      <c r="H23" s="5" t="str">
        <f>IFERROR(__xludf.DUMMYFUNCTION("GOOGLETRANSLATE(C23, ""en"", ""hi"")"),"A) फाइटर B के रुख की नकल करें। B) उसके रुख पर कायम रहें और ध्यान केंद्रित रखें। C) और अधिक भ्रम से बचने के लिए तुरंत हमला करें। D) रेफरी से स्पष्टीकरण मांगें।")</f>
        <v>A) फाइटर B के रुख की नकल करें। B) उसके रुख पर कायम रहें और ध्यान केंद्रित रखें। C) और अधिक भ्रम से बचने के लिए तुरंत हमला करें। D) रेफरी से स्पष्टीकरण मांगें।</v>
      </c>
      <c r="I23" s="5" t="str">
        <f>IFERROR(__xludf.DUMMYFUNCTION("GOOGLETRANSLATE(D23, ""en"", ""hi"")"),"बी) अपने रुख पर कायम रहें और ध्यान केंद्रित रखें।")</f>
        <v>बी) अपने रुख पर कायम रहें और ध्यान केंद्रित रखें।</v>
      </c>
    </row>
    <row r="24" ht="22.5" customHeight="1">
      <c r="A24" s="2">
        <v>23.0</v>
      </c>
      <c r="B24" s="3" t="s">
        <v>2985</v>
      </c>
      <c r="C24" s="3" t="s">
        <v>2986</v>
      </c>
      <c r="D24" s="3" t="s">
        <v>2987</v>
      </c>
      <c r="F24" s="5" t="str">
        <f>IFERROR(__xludf.DUMMYFUNCTION("GOOGLETRANSLATE(A24, ""en"", ""hi"")"),"23")</f>
        <v>23</v>
      </c>
      <c r="G24" s="5" t="str">
        <f>IFERROR(__xludf.DUMMYFUNCTION("GOOGLETRANSLATE(B24, ""en"", ""hi"")"),"सेमीफ़ाइनल मैच में, फ़ाइटर A अंकों से पीछे चल रहा है, लेकिन उसका स्टेमिना फ़ाइटर B से बेहतर है। फ़ाइनल राउंड में, फ़ाइटर A अपनी गति बढ़ा देता है, जबकि फ़ाइटर B धीमा पड़ने लगता है। फ़ाइटर A को अपनी जीत की संभावना बढ़ाने के लिए कौन सी रणनीति अपनानी चाहिए?")</f>
        <v>सेमीफ़ाइनल मैच में, फ़ाइटर A अंकों से पीछे चल रहा है, लेकिन उसका स्टेमिना फ़ाइटर B से बेहतर है। फ़ाइनल राउंड में, फ़ाइटर A अपनी गति बढ़ा देता है, जबकि फ़ाइटर B धीमा पड़ने लगता है। फ़ाइटर A को अपनी जीत की संभावना बढ़ाने के लिए कौन सी रणनीति अपनानी चाहिए?</v>
      </c>
      <c r="H24" s="5" t="str">
        <f>IFERROR(__xludf.DUMMYFUNCTION("GOOGLETRANSLATE(C24, ""en"", ""hi"")"),"A) तेज़ वार करने पर ध्यान केंद्रित करें। B) फाइटर B को नॉकआउट करने की कोशिश करें। C) फाइटर B की गलती का इंतज़ार करें। D) नियंत्रित वार के साथ लगातार दबाव बनाए रखें।")</f>
        <v>A) तेज़ वार करने पर ध्यान केंद्रित करें। B) फाइटर B को नॉकआउट करने की कोशिश करें। C) फाइटर B की गलती का इंतज़ार करें। D) नियंत्रित वार के साथ लगातार दबाव बनाए रखें।</v>
      </c>
      <c r="I24" s="5" t="str">
        <f>IFERROR(__xludf.DUMMYFUNCTION("GOOGLETRANSLATE(D24, ""en"", ""hi"")"),"डी) नियंत्रित प्रहारों के साथ लगातार दबाव बनाए रखें।")</f>
        <v>डी) नियंत्रित प्रहारों के साथ लगातार दबाव बनाए रखें।</v>
      </c>
    </row>
    <row r="25" ht="22.5" customHeight="1">
      <c r="A25" s="2">
        <v>24.0</v>
      </c>
      <c r="B25" s="3" t="s">
        <v>2988</v>
      </c>
      <c r="C25" s="3" t="s">
        <v>2989</v>
      </c>
      <c r="D25" s="3" t="s">
        <v>2990</v>
      </c>
      <c r="F25" s="5" t="str">
        <f>IFERROR(__xludf.DUMMYFUNCTION("GOOGLETRANSLATE(A25, ""en"", ""hi"")"),"24")</f>
        <v>24</v>
      </c>
      <c r="G25" s="5" t="str">
        <f>IFERROR(__xludf.DUMMYFUNCTION("GOOGLETRANSLATE(B25, ""en"", ""hi"")"),"एक मुस्ति युद्ध चैंपियनशिप मुकाबले के दौरान, फाइटर A एक जोखिम भरा फ्लाइंग पंच मारने की कोशिश करता है, लेकिन चूक जाता है, जिससे वह खुद को खुला छोड़ देता है। फाइटर B जवाबी कार्रवाई करने में हिचकिचाता है। फाइटर B के लिए सबसे अच्छा उपाय क्या है?")</f>
        <v>एक मुस्ति युद्ध चैंपियनशिप मुकाबले के दौरान, फाइटर A एक जोखिम भरा फ्लाइंग पंच मारने की कोशिश करता है, लेकिन चूक जाता है, जिससे वह खुद को खुला छोड़ देता है। फाइटर B जवाबी कार्रवाई करने में हिचकिचाता है। फाइटर B के लिए सबसे अच्छा उपाय क्या है?</v>
      </c>
      <c r="H25" s="5" t="str">
        <f>IFERROR(__xludf.DUMMYFUNCTION("GOOGLETRANSLATE(C25, ""en"", ""hi"")"),"A) फाइटर A की कमज़ोरी का फ़ायदा उठाएँ और वार करें। B) पीछे हटें और फाइटर A के संभलने का इंतज़ार करें। C) फाइटर A की जोखिम भरी तकनीक का अपनी तकनीक से मुकाबला करें। D) मैच में विराम का आह्वान करें।")</f>
        <v>A) फाइटर A की कमज़ोरी का फ़ायदा उठाएँ और वार करें। B) पीछे हटें और फाइटर A के संभलने का इंतज़ार करें। C) फाइटर A की जोखिम भरी तकनीक का अपनी तकनीक से मुकाबला करें। D) मैच में विराम का आह्वान करें।</v>
      </c>
      <c r="I25" s="5" t="str">
        <f>IFERROR(__xludf.DUMMYFUNCTION("GOOGLETRANSLATE(D25, ""en"", ""hi"")"),"ए) लड़ाकू ए की कमजोरी का फायदा उठाएं और हमला करें।")</f>
        <v>ए) लड़ाकू ए की कमजोरी का फायदा उठाएं और हमला करें।</v>
      </c>
    </row>
    <row r="26" ht="22.5" customHeight="1">
      <c r="A26" s="2">
        <v>25.0</v>
      </c>
      <c r="B26" s="3" t="s">
        <v>2991</v>
      </c>
      <c r="C26" s="3" t="s">
        <v>2992</v>
      </c>
      <c r="D26" s="3" t="s">
        <v>2993</v>
      </c>
      <c r="F26" s="5" t="str">
        <f>IFERROR(__xludf.DUMMYFUNCTION("GOOGLETRANSLATE(A26, ""en"", ""hi"")"),"25")</f>
        <v>25</v>
      </c>
      <c r="G26" s="5" t="str">
        <f>IFERROR(__xludf.DUMMYFUNCTION("GOOGLETRANSLATE(B26, ""en"", ""hi"")"),"एक कांटे के मुकाबले वाले मुस्ति युद्ध के आखिरी राउंड में, दोनों फाइटर थक चुके हैं। फाइटर A आखिरी बार मुक्कों की बौछार करने की कोशिश करता है, लेकिन कोई खास वार नहीं कर पाता। फाइटर B सफलतापूर्वक बचाव करता है, लेकिन पलटवार नहीं कर पाता। जजों को इस राउंड का स"&amp;"्कोर कैसे देना चाहिए?")</f>
        <v>एक कांटे के मुकाबले वाले मुस्ति युद्ध के आखिरी राउंड में, दोनों फाइटर थक चुके हैं। फाइटर A आखिरी बार मुक्कों की बौछार करने की कोशिश करता है, लेकिन कोई खास वार नहीं कर पाता। फाइटर B सफलतापूर्वक बचाव करता है, लेकिन पलटवार नहीं कर पाता। जजों को इस राउंड का स्कोर कैसे देना चाहिए?</v>
      </c>
      <c r="H26" s="5" t="str">
        <f>IFERROR(__xludf.DUMMYFUNCTION("GOOGLETRANSLATE(C26, ""en"", ""hi"")"),"A) आक्रामकता के लिए फाइटर A का पक्ष लें। B) सफल बचाव के लिए फाइटर B का पक्ष लें। C) राउंड को ड्रॉ घोषित करें। D) मैच को ओवरटाइम में भेज दें।")</f>
        <v>A) आक्रामकता के लिए फाइटर A का पक्ष लें। B) सफल बचाव के लिए फाइटर B का पक्ष लें। C) राउंड को ड्रॉ घोषित करें। D) मैच को ओवरटाइम में भेज दें।</v>
      </c>
      <c r="I26" s="5" t="str">
        <f>IFERROR(__xludf.DUMMYFUNCTION("GOOGLETRANSLATE(D26, ""en"", ""hi"")"),"बी) सफल बचाव के लिए फाइटर बी का पक्ष लें।")</f>
        <v>बी) सफल बचाव के लिए फाइटर बी का पक्ष लें।</v>
      </c>
    </row>
    <row r="27" ht="22.5" customHeight="1">
      <c r="A27" s="2">
        <v>26.0</v>
      </c>
      <c r="B27" s="3" t="s">
        <v>2994</v>
      </c>
      <c r="C27" s="3" t="s">
        <v>2995</v>
      </c>
      <c r="D27" s="3" t="s">
        <v>2996</v>
      </c>
      <c r="F27" s="5" t="str">
        <f>IFERROR(__xludf.DUMMYFUNCTION("GOOGLETRANSLATE(A27, ""en"", ""hi"")"),"26")</f>
        <v>26</v>
      </c>
      <c r="G27" s="5" t="str">
        <f>IFERROR(__xludf.DUMMYFUNCTION("GOOGLETRANSLATE(B27, ""en"", ""hi"")"),"मुस्ति युद्ध के अभ्यास सत्र में, फाइटर A अपनी प्रतिक्रिया समय सुधारने के लिए प्रशिक्षण ले रहा है। उसका प्रशिक्षण साथी, फाइटर B, फाइटर A की प्रतिक्रिया को परखने के लिए जानबूझकर एक धीमा मुक्का मारता है। फाइटर A ज़रूरत से ज़्यादा प्रतिक्रिया करता है और पलटवा"&amp;"र करने में चूक जाता है। फाइटर A को सुधार के लिए क्या करना चाहिए?")</f>
        <v>मुस्ति युद्ध के अभ्यास सत्र में, फाइटर A अपनी प्रतिक्रिया समय सुधारने के लिए प्रशिक्षण ले रहा है। उसका प्रशिक्षण साथी, फाइटर B, फाइटर A की प्रतिक्रिया को परखने के लिए जानबूझकर एक धीमा मुक्का मारता है। फाइटर A ज़रूरत से ज़्यादा प्रतिक्रिया करता है और पलटवार करने में चूक जाता है। फाइटर A को सुधार के लिए क्या करना चाहिए?</v>
      </c>
      <c r="H27" s="5" t="str">
        <f>IFERROR(__xludf.DUMMYFUNCTION("GOOGLETRANSLATE(C27, ""en"", ""hi"")"),"A) धीमा करें और सटीकता पर ध्यान केंद्रित करें। B) उसकी प्रतिक्रियाओं की गति बढ़ाएँ। C) धीमे मुक्कों को नज़रअंदाज़ करें और तेज़ मुक्कों पर ध्यान केंद्रित करें। D) फाइटर B को तेज़ मुक्के मारने के लिए कहें।")</f>
        <v>A) धीमा करें और सटीकता पर ध्यान केंद्रित करें। B) उसकी प्रतिक्रियाओं की गति बढ़ाएँ। C) धीमे मुक्कों को नज़रअंदाज़ करें और तेज़ मुक्कों पर ध्यान केंद्रित करें। D) फाइटर B को तेज़ मुक्के मारने के लिए कहें।</v>
      </c>
      <c r="I27" s="5" t="str">
        <f>IFERROR(__xludf.DUMMYFUNCTION("GOOGLETRANSLATE(D27, ""en"", ""hi"")"),"ए) गति धीमी करें और सटीकता पर ध्यान केन्द्रित करें।")</f>
        <v>ए) गति धीमी करें और सटीकता पर ध्यान केन्द्रित करें।</v>
      </c>
    </row>
    <row r="28" ht="22.5" customHeight="1">
      <c r="A28" s="2">
        <v>27.0</v>
      </c>
      <c r="B28" s="3" t="s">
        <v>2997</v>
      </c>
      <c r="C28" s="3" t="s">
        <v>2998</v>
      </c>
      <c r="D28" s="3" t="s">
        <v>2999</v>
      </c>
      <c r="F28" s="5" t="str">
        <f>IFERROR(__xludf.DUMMYFUNCTION("GOOGLETRANSLATE(A28, ""en"", ""hi"")"),"27")</f>
        <v>27</v>
      </c>
      <c r="G28" s="5" t="str">
        <f>IFERROR(__xludf.DUMMYFUNCTION("GOOGLETRANSLATE(B28, ""en"", ""hi"")"),"एक मुस्ति युद्ध मैच के दौरान, फाइटर A, फाइटर B पर ज़ोरदार मुक्का मारता है। फाइटर B लड़खड़ाता है, लेकिन अपने पैरों पर खड़ा रहता है। फाइटर A पीछे हट जाता है, जिससे फाइटर B को अपने आप पर नियंत्रण पाने का मौका मिलता है। रेफरी को क्या करना चाहिए?")</f>
        <v>एक मुस्ति युद्ध मैच के दौरान, फाइटर A, फाइटर B पर ज़ोरदार मुक्का मारता है। फाइटर B लड़खड़ाता है, लेकिन अपने पैरों पर खड़ा रहता है। फाइटर A पीछे हट जाता है, जिससे फाइटर B को अपने आप पर नियंत्रण पाने का मौका मिलता है। रेफरी को क्या करना चाहिए?</v>
      </c>
      <c r="H28" s="5" t="str">
        <f>IFERROR(__xludf.DUMMYFUNCTION("GOOGLETRANSLATE(C28, ""en"", ""hi"")"),"A) मैच रोककर फाइटर B की जाँच करें। B) लड़ाई जारी रहने दें। C) फाइटर B को लड़खड़ाने पर चेतावनी दें। D) फाइटर A को खेल भावना के लिए अतिरिक्त अंक दें।")</f>
        <v>A) मैच रोककर फाइटर B की जाँच करें। B) लड़ाई जारी रहने दें। C) फाइटर B को लड़खड़ाने पर चेतावनी दें। D) फाइटर A को खेल भावना के लिए अतिरिक्त अंक दें।</v>
      </c>
      <c r="I28" s="5" t="str">
        <f>IFERROR(__xludf.DUMMYFUNCTION("GOOGLETRANSLATE(D28, ""en"", ""hi"")"),"बी) लड़ाई जारी रहने दें।")</f>
        <v>बी) लड़ाई जारी रहने दें।</v>
      </c>
    </row>
    <row r="29" ht="22.5" customHeight="1">
      <c r="A29" s="2">
        <v>28.0</v>
      </c>
      <c r="B29" s="3" t="s">
        <v>3000</v>
      </c>
      <c r="C29" s="3" t="s">
        <v>3001</v>
      </c>
      <c r="D29" s="3" t="s">
        <v>3002</v>
      </c>
      <c r="F29" s="5" t="str">
        <f>IFERROR(__xludf.DUMMYFUNCTION("GOOGLETRANSLATE(A29, ""en"", ""hi"")"),"28")</f>
        <v>28</v>
      </c>
      <c r="G29" s="5" t="str">
        <f>IFERROR(__xludf.DUMMYFUNCTION("GOOGLETRANSLATE(B29, ""en"", ""hi"")"),"मुस्ति युद्ध मैच के तीसरे राउंड में, फाइटर A अंकों से आगे चल रहा है, लेकिन थक रहा है। फाइटर B इसका फायदा उठाता है और तेज़ी से कई मुक्के मारता है। फाइटर A ज़्यादातर मुक्कों को रोक लेता है, लेकिन फिर भी पीछे धकेल दिया जाता है। फाइटर A को किस पर ध्यान केंद्र"&amp;"ित करना चाहिए?")</f>
        <v>मुस्ति युद्ध मैच के तीसरे राउंड में, फाइटर A अंकों से आगे चल रहा है, लेकिन थक रहा है। फाइटर B इसका फायदा उठाता है और तेज़ी से कई मुक्के मारता है। फाइटर A ज़्यादातर मुक्कों को रोक लेता है, लेकिन फिर भी पीछे धकेल दिया जाता है। फाइटर A को किस पर ध्यान केंद्रित करना चाहिए?</v>
      </c>
      <c r="H29" s="5" t="str">
        <f>IFERROR(__xludf.DUMMYFUNCTION("GOOGLETRANSLATE(C29, ""en"", ""hi"")"),"A) अपने आक्रामक हमलों को बढ़ाना। B) अपने रक्षात्मक रुख में सुधार करना। C) ऊर्जा बचाने के लिए राउंड हारना। D) आक्रामक रुख अपनाना।")</f>
        <v>A) अपने आक्रामक हमलों को बढ़ाना। B) अपने रक्षात्मक रुख में सुधार करना। C) ऊर्जा बचाने के लिए राउंड हारना। D) आक्रामक रुख अपनाना।</v>
      </c>
      <c r="I29" s="5" t="str">
        <f>IFERROR(__xludf.DUMMYFUNCTION("GOOGLETRANSLATE(D29, ""en"", ""hi"")"),"बी) अपने रक्षात्मक रुख में सुधार करना।")</f>
        <v>बी) अपने रक्षात्मक रुख में सुधार करना।</v>
      </c>
    </row>
    <row r="30" ht="22.5" customHeight="1">
      <c r="A30" s="2">
        <v>29.0</v>
      </c>
      <c r="B30" s="3" t="s">
        <v>3003</v>
      </c>
      <c r="C30" s="3" t="s">
        <v>3004</v>
      </c>
      <c r="D30" s="3" t="s">
        <v>3005</v>
      </c>
      <c r="F30" s="5" t="str">
        <f>IFERROR(__xludf.DUMMYFUNCTION("GOOGLETRANSLATE(A30, ""en"", ""hi"")"),"29")</f>
        <v>29</v>
      </c>
      <c r="G30" s="5" t="str">
        <f>IFERROR(__xludf.DUMMYFUNCTION("GOOGLETRANSLATE(B30, ""en"", ""hi"")"),"मुस्तैदी युद्ध मैच में फाइटर A को फाइटर B पर ऊँचाई और पहुँच में काफ़ी बढ़त हासिल है। फाइटर B, फाइटर A के गार्ड के अंदर घुसकर कई बॉडी शॉट मारने में कामयाब हो जाता है। फाइटर A को क्या रणनीति अपनानी चाहिए?")</f>
        <v>मुस्तैदी युद्ध मैच में फाइटर A को फाइटर B पर ऊँचाई और पहुँच में काफ़ी बढ़त हासिल है। फाइटर B, फाइटर A के गार्ड के अंदर घुसकर कई बॉडी शॉट मारने में कामयाब हो जाता है। फाइटर A को क्या रणनीति अपनानी चाहिए?</v>
      </c>
      <c r="H30" s="5" t="str">
        <f>IFERROR(__xludf.DUMMYFUNCTION("GOOGLETRANSLATE(C30, ""en"", ""hi"")"),"A) फाइटर B को दूर रखने के लिए लंबी दूरी के मुक्कों का इस्तेमाल करें। B) बॉडी शॉट्स से बचाव पर ध्यान केंद्रित करें। C) दूरी बनाए रखने के लिए किक का इस्तेमाल करें। D) पीछे हटें और जगह बनाएँ।")</f>
        <v>A) फाइटर B को दूर रखने के लिए लंबी दूरी के मुक्कों का इस्तेमाल करें। B) बॉडी शॉट्स से बचाव पर ध्यान केंद्रित करें। C) दूरी बनाए रखने के लिए किक का इस्तेमाल करें। D) पीछे हटें और जगह बनाएँ।</v>
      </c>
      <c r="I30" s="5" t="str">
        <f>IFERROR(__xludf.DUMMYFUNCTION("GOOGLETRANSLATE(D30, ""en"", ""hi"")"),"ए) फाइटर बी को दूर रखने के लिए लंबी दूरी के मुक्कों का प्रयोग करें।")</f>
        <v>ए) फाइटर बी को दूर रखने के लिए लंबी दूरी के मुक्कों का प्रयोग करें।</v>
      </c>
    </row>
    <row r="31" ht="22.5" customHeight="1">
      <c r="A31" s="2">
        <v>30.0</v>
      </c>
      <c r="B31" s="3" t="s">
        <v>3006</v>
      </c>
      <c r="C31" s="3" t="s">
        <v>3007</v>
      </c>
      <c r="D31" s="3" t="s">
        <v>3008</v>
      </c>
      <c r="F31" s="5" t="str">
        <f>IFERROR(__xludf.DUMMYFUNCTION("GOOGLETRANSLATE(A31, ""en"", ""hi"")"),"30")</f>
        <v>30</v>
      </c>
      <c r="G31" s="5" t="str">
        <f>IFERROR(__xludf.DUMMYFUNCTION("GOOGLETRANSLATE(B31, ""en"", ""hi"")"),"एक मुस्तैदी युद्ध प्रतियोगिता में, फाइटर A, फाइटर B पर एक ज़ोरदार मुक्का मारता है जिससे B अपना संतुलन खो देता है और गिर जाता है। हालाँकि, मुक्का इतना ज़ोरदार नहीं लगता कि वह गिर जाए। रेफरी को क्या प्रतिक्रिया देनी चाहिए?")</f>
        <v>एक मुस्तैदी युद्ध प्रतियोगिता में, फाइटर A, फाइटर B पर एक ज़ोरदार मुक्का मारता है जिससे B अपना संतुलन खो देता है और गिर जाता है। हालाँकि, मुक्का इतना ज़ोरदार नहीं लगता कि वह गिर जाए। रेफरी को क्या प्रतिक्रिया देनी चाहिए?</v>
      </c>
      <c r="H31" s="5" t="str">
        <f>IFERROR(__xludf.DUMMYFUNCTION("GOOGLETRANSLATE(C31, ""en"", ""hi"")"),"A) फ़ाइटर A को गिरने के लिए एक अंक दें। B) बिना किसी पेनल्टी के मैच जारी रहने दें। C) फ़ाइटर B से पूछें कि क्या वह जारी रख सकता है। D) अवैध चाल के लिए फ़ाइटर A का एक अंक काट लें।")</f>
        <v>A) फ़ाइटर A को गिरने के लिए एक अंक दें। B) बिना किसी पेनल्टी के मैच जारी रहने दें। C) फ़ाइटर B से पूछें कि क्या वह जारी रख सकता है। D) अवैध चाल के लिए फ़ाइटर A का एक अंक काट लें।</v>
      </c>
      <c r="I31" s="5" t="str">
        <f>IFERROR(__xludf.DUMMYFUNCTION("GOOGLETRANSLATE(D31, ""en"", ""hi"")"),"बी) मैच को बिना किसी पेनल्टी के जारी रहने दें।")</f>
        <v>बी) मैच को बिना किसी पेनल्टी के जारी रहने दें।</v>
      </c>
    </row>
    <row r="32" ht="22.5" customHeight="1">
      <c r="A32" s="2">
        <v>31.0</v>
      </c>
      <c r="B32" s="3" t="s">
        <v>3009</v>
      </c>
      <c r="C32" s="3" t="s">
        <v>3010</v>
      </c>
      <c r="D32" s="3" t="s">
        <v>3011</v>
      </c>
      <c r="F32" s="5" t="str">
        <f>IFERROR(__xludf.DUMMYFUNCTION("GOOGLETRANSLATE(A32, ""en"", ""hi"")"),"31")</f>
        <v>31</v>
      </c>
      <c r="G32" s="5" t="str">
        <f>IFERROR(__xludf.DUMMYFUNCTION("GOOGLETRANSLATE(B32, ""en"", ""hi"")"),"फाइटर A अपने तेज़ फुटवर्क के लिए जाना जाता है, जबकि फाइटर B शक्तिशाली मुक्कों पर निर्भर करता है। मैच के दौरान, फाइटर A, फाइटर B के मुक्कों से बचता रहता है, लेकिन कोई भी महत्वपूर्ण वार नहीं कर पाता। फाइटर B को क्या करना चाहिए?")</f>
        <v>फाइटर A अपने तेज़ फुटवर्क के लिए जाना जाता है, जबकि फाइटर B शक्तिशाली मुक्कों पर निर्भर करता है। मैच के दौरान, फाइटर A, फाइटर B के मुक्कों से बचता रहता है, लेकिन कोई भी महत्वपूर्ण वार नहीं कर पाता। फाइटर B को क्या करना चाहिए?</v>
      </c>
      <c r="H32" s="5" t="str">
        <f>IFERROR(__xludf.DUMMYFUNCTION("GOOGLETRANSLATE(C32, ""en"", ""hi"")"),"A) फाइटर A का पीछा करते रहें और ज़्यादा मुक्के मारें। B) जब फाइटर A पास आए तो जवाबी हमले पर ध्यान केंद्रित करें। C) गति धीमी करें और फाइटर A के थकने का इंतज़ार करें। D) उसके मुक्कों की गति बढ़ाएँ।")</f>
        <v>A) फाइटर A का पीछा करते रहें और ज़्यादा मुक्के मारें। B) जब फाइटर A पास आए तो जवाबी हमले पर ध्यान केंद्रित करें। C) गति धीमी करें और फाइटर A के थकने का इंतज़ार करें। D) उसके मुक्कों की गति बढ़ाएँ।</v>
      </c>
      <c r="I32" s="5" t="str">
        <f>IFERROR(__xludf.DUMMYFUNCTION("GOOGLETRANSLATE(D32, ""en"", ""hi"")"),"बी) जब लड़ाकू ए करीब आए तो जवाबी हमले पर ध्यान केंद्रित करें।")</f>
        <v>बी) जब लड़ाकू ए करीब आए तो जवाबी हमले पर ध्यान केंद्रित करें।</v>
      </c>
    </row>
    <row r="33" ht="22.5" customHeight="1">
      <c r="A33" s="2">
        <v>32.0</v>
      </c>
      <c r="B33" s="3" t="s">
        <v>3012</v>
      </c>
      <c r="C33" s="3" t="s">
        <v>3013</v>
      </c>
      <c r="D33" s="3" t="s">
        <v>3014</v>
      </c>
      <c r="F33" s="5" t="str">
        <f>IFERROR(__xludf.DUMMYFUNCTION("GOOGLETRANSLATE(A33, ""en"", ""hi"")"),"32")</f>
        <v>32</v>
      </c>
      <c r="G33" s="5" t="str">
        <f>IFERROR(__xludf.DUMMYFUNCTION("GOOGLETRANSLATE(B33, ""en"", ""hi"")"),"फाइटर A अंकों में आगे चल रहा है, लेकिन अंतिम राउंड में, फाइटर B एक ज़ोरदार नॉकआउट पंच मारता है। हालाँकि, यह पंच घंटी बजने के बाद मारा जाता है। सही नियम क्या है?")</f>
        <v>फाइटर A अंकों में आगे चल रहा है, लेकिन अंतिम राउंड में, फाइटर B एक ज़ोरदार नॉकआउट पंच मारता है। हालाँकि, यह पंच घंटी बजने के बाद मारा जाता है। सही नियम क्या है?</v>
      </c>
      <c r="H33" s="5" t="str">
        <f>IFERROR(__xludf.DUMMYFUNCTION("GOOGLETRANSLATE(C33, ""en"", ""hi"")"),"A) फाइटर B नॉकआउट से जीतता है। B) फाइटर A जीतता है क्योंकि मुक्का घंटी बजने के बाद मारा गया था। C) मैच ड्रॉ घोषित किया जाता है। D) राउंड फिर से शुरू होता है।")</f>
        <v>A) फाइटर B नॉकआउट से जीतता है। B) फाइटर A जीतता है क्योंकि मुक्का घंटी बजने के बाद मारा गया था। C) मैच ड्रॉ घोषित किया जाता है। D) राउंड फिर से शुरू होता है।</v>
      </c>
      <c r="I33" s="5" t="str">
        <f>IFERROR(__xludf.DUMMYFUNCTION("GOOGLETRANSLATE(D33, ""en"", ""hi"")"),"बी) फाइटर ए जीतता है क्योंकि मुक्का घंटी बजने के बाद मारा गया था।")</f>
        <v>बी) फाइटर ए जीतता है क्योंकि मुक्का घंटी बजने के बाद मारा गया था।</v>
      </c>
    </row>
    <row r="34" ht="22.5" customHeight="1">
      <c r="A34" s="2">
        <v>33.0</v>
      </c>
      <c r="B34" s="3" t="s">
        <v>3015</v>
      </c>
      <c r="C34" s="3" t="s">
        <v>3016</v>
      </c>
      <c r="D34" s="3" t="s">
        <v>3017</v>
      </c>
      <c r="F34" s="5" t="str">
        <f>IFERROR(__xludf.DUMMYFUNCTION("GOOGLETRANSLATE(A34, ""en"", ""hi"")"),"33")</f>
        <v>33</v>
      </c>
      <c r="G34" s="5" t="str">
        <f>IFERROR(__xludf.DUMMYFUNCTION("GOOGLETRANSLATE(B34, ""en"", ""hi"")"),"मुस्तैदी युद्ध के पहले राउंड में, फाइटर A की कलाई में चोट लग जाती है, लेकिन वह लड़ना जारी रखता है। फाइटर B, चोट को भांपकर, फाइटर A की कमज़ोरी पर निशाना साधता है। फाइटर B के लिए नैतिक कार्रवाई क्या होनी चाहिए?")</f>
        <v>मुस्तैदी युद्ध के पहले राउंड में, फाइटर A की कलाई में चोट लग जाती है, लेकिन वह लड़ना जारी रखता है। फाइटर B, चोट को भांपकर, फाइटर A की कमज़ोरी पर निशाना साधता है। फाइटर B के लिए नैतिक कार्रवाई क्या होनी चाहिए?</v>
      </c>
      <c r="H34" s="5" t="str">
        <f>IFERROR(__xludf.DUMMYFUNCTION("GOOGLETRANSLATE(C34, ""en"", ""hi"")"),"A) फाइटर A की कलाई पर निशाना साधते रहें। B) निष्पक्षता से लड़ें और घायल क्षेत्र से बचें। C) रेफरी से मैच रोकने के लिए कहें। D) लड़ाई की गति धीमी कर दें।")</f>
        <v>A) फाइटर A की कलाई पर निशाना साधते रहें। B) निष्पक्षता से लड़ें और घायल क्षेत्र से बचें। C) रेफरी से मैच रोकने के लिए कहें। D) लड़ाई की गति धीमी कर दें।</v>
      </c>
      <c r="I34" s="5" t="str">
        <f>IFERROR(__xludf.DUMMYFUNCTION("GOOGLETRANSLATE(D34, ""en"", ""hi"")"),"बी) निष्पक्षता से लड़ें और घायल क्षेत्र से बचें।")</f>
        <v>बी) निष्पक्षता से लड़ें और घायल क्षेत्र से बचें।</v>
      </c>
    </row>
    <row r="35" ht="22.5" customHeight="1">
      <c r="A35" s="2">
        <v>34.0</v>
      </c>
      <c r="B35" s="3" t="s">
        <v>3018</v>
      </c>
      <c r="C35" s="3" t="s">
        <v>3019</v>
      </c>
      <c r="D35" s="3" t="s">
        <v>3020</v>
      </c>
      <c r="F35" s="5" t="str">
        <f>IFERROR(__xludf.DUMMYFUNCTION("GOOGLETRANSLATE(A35, ""en"", ""hi"")"),"34")</f>
        <v>34</v>
      </c>
      <c r="G35" s="5" t="str">
        <f>IFERROR(__xludf.DUMMYFUNCTION("GOOGLETRANSLATE(B35, ""en"", ""hi"")"),"मुस्ति युद्ध के एक मुकाबले में, फाइटर A ने दो राउंड जीते हैं, और फाइटर B ने एक। चौथे राउंड में, घंटी बजते ही फाइटर A एक मुक्का मारता है, जिससे फाइटर B नीचे गिर जाता है। रेफरी को क्या फैसला लेना चाहिए?")</f>
        <v>मुस्ति युद्ध के एक मुकाबले में, फाइटर A ने दो राउंड जीते हैं, और फाइटर B ने एक। चौथे राउंड में, घंटी बजते ही फाइटर A एक मुक्का मारता है, जिससे फाइटर B नीचे गिर जाता है। रेफरी को क्या फैसला लेना चाहिए?</v>
      </c>
      <c r="H35" s="5" t="str">
        <f>IFERROR(__xludf.DUMMYFUNCTION("GOOGLETRANSLATE(C35, ""en"", ""hi"")"),"A) पंच मान्य है, और फाइटर A राउंड जीत जाता है। B) पंच घंटी बजने के बाद होता है, और फाइटर B राउंड जीत जाता है। C) पंच घंटी बजने के बाद होता है, इसलिए कोई अंक नहीं दिए जाते। D) फाइटर A घंटी बजने के बाद हिट करने के लिए अयोग्य घोषित कर दिया जाता है।")</f>
        <v>A) पंच मान्य है, और फाइटर A राउंड जीत जाता है। B) पंच घंटी बजने के बाद होता है, और फाइटर B राउंड जीत जाता है। C) पंच घंटी बजने के बाद होता है, इसलिए कोई अंक नहीं दिए जाते। D) फाइटर A घंटी बजने के बाद हिट करने के लिए अयोग्य घोषित कर दिया जाता है।</v>
      </c>
      <c r="I35" s="5" t="str">
        <f>IFERROR(__xludf.DUMMYFUNCTION("GOOGLETRANSLATE(D35, ""en"", ""hi"")"),"C) पंच घंटी बजने के बाद होता है, इसलिए कोई अंक नहीं दिया जाता।")</f>
        <v>C) पंच घंटी बजने के बाद होता है, इसलिए कोई अंक नहीं दिया जाता।</v>
      </c>
    </row>
    <row r="36" ht="22.5" customHeight="1">
      <c r="A36" s="2">
        <v>35.0</v>
      </c>
      <c r="B36" s="3" t="s">
        <v>3021</v>
      </c>
      <c r="C36" s="3" t="s">
        <v>3022</v>
      </c>
      <c r="D36" s="3" t="s">
        <v>3023</v>
      </c>
      <c r="F36" s="5" t="str">
        <f>IFERROR(__xludf.DUMMYFUNCTION("GOOGLETRANSLATE(A36, ""en"", ""hi"")"),"35")</f>
        <v>35</v>
      </c>
      <c r="G36" s="5" t="str">
        <f>IFERROR(__xludf.DUMMYFUNCTION("GOOGLETRANSLATE(B36, ""en"", ""hi"")"),"मुस्तैदी युद्ध के पहले दो राउंड में फाइटर A और फाइटर B बराबरी पर हैं। तीसरे राउंड में, फाइटर A अचानक अपनी लड़ने की शैली बदल देता है, जिससे फाइटर B उलझन में पड़ जाता है। फाइटर B को कैसे अपने आप को ढालना चाहिए?")</f>
        <v>मुस्तैदी युद्ध के पहले दो राउंड में फाइटर A और फाइटर B बराबरी पर हैं। तीसरे राउंड में, फाइटर A अचानक अपनी लड़ने की शैली बदल देता है, जिससे फाइटर B उलझन में पड़ जाता है। फाइटर B को कैसे अपने आप को ढालना चाहिए?</v>
      </c>
      <c r="H36" s="5" t="str">
        <f>IFERROR(__xludf.DUMMYFUNCTION("GOOGLETRANSLATE(C36, ""en"", ""hi"")"),"A) अपनी मूल युद्ध शैली पर कायम रहें। B) फाइटर A की नई शैली की नकल करें। C) बचाव पर ध्यान केंद्रित करें और मौके का इंतज़ार करें। D) फिर से संगठित होने के लिए रेफरी से टाइमआउट मांगें।")</f>
        <v>A) अपनी मूल युद्ध शैली पर कायम रहें। B) फाइटर A की नई शैली की नकल करें। C) बचाव पर ध्यान केंद्रित करें और मौके का इंतज़ार करें। D) फिर से संगठित होने के लिए रेफरी से टाइमआउट मांगें।</v>
      </c>
      <c r="I36" s="5" t="str">
        <f>IFERROR(__xludf.DUMMYFUNCTION("GOOGLETRANSLATE(D36, ""en"", ""hi"")"),"सी) रक्षा पर ध्यान केन्द्रित करें और अवसर की प्रतीक्षा करें।")</f>
        <v>सी) रक्षा पर ध्यान केन्द्रित करें और अवसर की प्रतीक्षा करें।</v>
      </c>
    </row>
    <row r="37" ht="22.5" customHeight="1">
      <c r="A37" s="2">
        <v>36.0</v>
      </c>
      <c r="B37" s="3" t="s">
        <v>3024</v>
      </c>
      <c r="C37" s="3" t="s">
        <v>3025</v>
      </c>
      <c r="D37" s="3" t="s">
        <v>3026</v>
      </c>
      <c r="F37" s="5" t="str">
        <f>IFERROR(__xludf.DUMMYFUNCTION("GOOGLETRANSLATE(A37, ""en"", ""hi"")"),"36")</f>
        <v>36</v>
      </c>
      <c r="G37" s="5" t="str">
        <f>IFERROR(__xludf.DUMMYFUNCTION("GOOGLETRANSLATE(B37, ""en"", ""hi"")"),"फाइटर A अपनी तेज़ रिफ़्लेक्स के लिए जाना जाता है, जबकि फाइटर B अपनी सहनशक्ति के लिए जाना जाता है। मैच के दौरान, फाइटर A शुरुआत में कई तेज़ पंच लगाता है, लेकिन फाइटर B आगे बढ़ता रहता है। फाइटर B को पासा पलटने के लिए क्या करना चाहिए?")</f>
        <v>फाइटर A अपनी तेज़ रिफ़्लेक्स के लिए जाना जाता है, जबकि फाइटर B अपनी सहनशक्ति के लिए जाना जाता है। मैच के दौरान, फाइटर A शुरुआत में कई तेज़ पंच लगाता है, लेकिन फाइटर B आगे बढ़ता रहता है। फाइटर B को पासा पलटने के लिए क्या करना चाहिए?</v>
      </c>
      <c r="H37" s="5" t="str">
        <f>IFERROR(__xludf.DUMMYFUNCTION("GOOGLETRANSLATE(C37, ""en"", ""hi"")"),"A) फाइटर A की गति से बराबरी करने की कोशिश करें। B) फाइटर A को थका देने के लिए बॉडी शॉट्स पर ध्यान केंद्रित करें। C) उसकी रक्षात्मक गतिविधियों को बढ़ाएँ। D) फाइटर A के थकने का इंतज़ार करें और फिर हमला करें।")</f>
        <v>A) फाइटर A की गति से बराबरी करने की कोशिश करें। B) फाइटर A को थका देने के लिए बॉडी शॉट्स पर ध्यान केंद्रित करें। C) उसकी रक्षात्मक गतिविधियों को बढ़ाएँ। D) फाइटर A के थकने का इंतज़ार करें और फिर हमला करें।</v>
      </c>
      <c r="I37" s="5" t="str">
        <f>IFERROR(__xludf.DUMMYFUNCTION("GOOGLETRANSLATE(D37, ""en"", ""hi"")"),"डी) लड़ाकू ए के थकने तक प्रतीक्षा करें और फिर हमला करें।")</f>
        <v>डी) लड़ाकू ए के थकने तक प्रतीक्षा करें और फिर हमला करें।</v>
      </c>
    </row>
    <row r="38" ht="22.5" customHeight="1">
      <c r="A38" s="2">
        <v>37.0</v>
      </c>
      <c r="B38" s="3" t="s">
        <v>3027</v>
      </c>
      <c r="C38" s="3" t="s">
        <v>3028</v>
      </c>
      <c r="D38" s="3" t="s">
        <v>3029</v>
      </c>
      <c r="F38" s="5" t="str">
        <f>IFERROR(__xludf.DUMMYFUNCTION("GOOGLETRANSLATE(A38, ""en"", ""hi"")"),"37")</f>
        <v>37</v>
      </c>
      <c r="G38" s="5" t="str">
        <f>IFERROR(__xludf.DUMMYFUNCTION("GOOGLETRANSLATE(B38, ""en"", ""hi"")"),"एक मुस्तैदी युद्ध टूर्नामेंट के सेमीफ़ाइनल मैच में, फ़ाइटर A अपनी आक्रामक लड़ाई शैली के लिए जाना जाता है, जबकि फ़ाइटर B ज़्यादा रक्षात्मक है। अंतिम राउंड में, फ़ाइटर B रक्षात्मक रुख़ अपनाता है, जिससे फ़ाइटर A के कई मुक्के चूक जाते हैं। फ़ाइटर A को क्या कर"&amp;"ना चाहिए?")</f>
        <v>एक मुस्तैदी युद्ध टूर्नामेंट के सेमीफ़ाइनल मैच में, फ़ाइटर A अपनी आक्रामक लड़ाई शैली के लिए जाना जाता है, जबकि फ़ाइटर B ज़्यादा रक्षात्मक है। अंतिम राउंड में, फ़ाइटर B रक्षात्मक रुख़ अपनाता है, जिससे फ़ाइटर A के कई मुक्के चूक जाते हैं। फ़ाइटर A को क्या करना चाहिए?</v>
      </c>
      <c r="H38" s="5" t="str">
        <f>IFERROR(__xludf.DUMMYFUNCTION("GOOGLETRANSLATE(C38, ""en"", ""hi"")"),"A) आक्रामक तरीके से हमला करते रहें। B) सटीक हमलों पर ध्यान केंद्रित करें। C) फाइटर B की गलती का इंतज़ार करें। D) रक्षात्मक रणनीति अपनाएँ।")</f>
        <v>A) आक्रामक तरीके से हमला करते रहें। B) सटीक हमलों पर ध्यान केंद्रित करें। C) फाइटर B की गलती का इंतज़ार करें। D) रक्षात्मक रणनीति अपनाएँ।</v>
      </c>
      <c r="I38" s="5" t="str">
        <f>IFERROR(__xludf.DUMMYFUNCTION("GOOGLETRANSLATE(D38, ""en"", ""hi"")"),"बी) सटीक हमलों पर ध्यान केंद्रित करें।")</f>
        <v>बी) सटीक हमलों पर ध्यान केंद्रित करें।</v>
      </c>
    </row>
    <row r="39" ht="22.5" customHeight="1">
      <c r="A39" s="2">
        <v>38.0</v>
      </c>
      <c r="B39" s="3" t="s">
        <v>3030</v>
      </c>
      <c r="C39" s="3" t="s">
        <v>3031</v>
      </c>
      <c r="D39" s="3" t="s">
        <v>3032</v>
      </c>
      <c r="F39" s="5" t="str">
        <f>IFERROR(__xludf.DUMMYFUNCTION("GOOGLETRANSLATE(A39, ""en"", ""hi"")"),"38")</f>
        <v>38</v>
      </c>
      <c r="G39" s="5" t="str">
        <f>IFERROR(__xludf.DUMMYFUNCTION("GOOGLETRANSLATE(B39, ""en"", ""hi"")"),"एक मुस्तैदी युद्ध मैच के बीच में, फाइटर A को फाइटर B ने कोने में धकेल दिया। फाइटर A अंकों में आगे चल रहा था, लेकिन अब लगातार दबाव में है। फाइटर A के लिए सबसे अच्छी चाल क्या होगी?")</f>
        <v>एक मुस्तैदी युद्ध मैच के बीच में, फाइटर A को फाइटर B ने कोने में धकेल दिया। फाइटर A अंकों में आगे चल रहा था, लेकिन अब लगातार दबाव में है। फाइटर A के लिए सबसे अच्छी चाल क्या होगी?</v>
      </c>
      <c r="H39" s="5" t="str">
        <f>IFERROR(__xludf.DUMMYFUNCTION("GOOGLETRANSLATE(C39, ""en"", ""hi"")"),"A) आक्रामक तरीके से उससे लड़कर बाहर निकलें। B) उसकी स्थिति पर डटे रहें और बचाव करें। C) कोने से निकलने की कोशिश करें। D) फाइटर B के खुलने का इंतज़ार करें।")</f>
        <v>A) आक्रामक तरीके से उससे लड़कर बाहर निकलें। B) उसकी स्थिति पर डटे रहें और बचाव करें। C) कोने से निकलने की कोशिश करें। D) फाइटर B के खुलने का इंतज़ार करें।</v>
      </c>
      <c r="I39" s="5" t="str">
        <f>IFERROR(__xludf.DUMMYFUNCTION("GOOGLETRANSLATE(D39, ""en"", ""hi"")"),"C) कोने से भागने की कोशिश करें।")</f>
        <v>C) कोने से भागने की कोशिश करें।</v>
      </c>
    </row>
    <row r="40" ht="22.5" customHeight="1">
      <c r="A40" s="2">
        <v>39.0</v>
      </c>
      <c r="B40" s="3" t="s">
        <v>3033</v>
      </c>
      <c r="C40" s="3" t="s">
        <v>3034</v>
      </c>
      <c r="D40" s="3" t="s">
        <v>3035</v>
      </c>
      <c r="F40" s="5" t="str">
        <f>IFERROR(__xludf.DUMMYFUNCTION("GOOGLETRANSLATE(A40, ""en"", ""hi"")"),"39")</f>
        <v>39</v>
      </c>
      <c r="G40" s="5" t="str">
        <f>IFERROR(__xludf.DUMMYFUNCTION("GOOGLETRANSLATE(B40, ""en"", ""hi"")"),"मुस्तैदी युद्ध के दौरान, फाइटर A रक्षात्मक रुख अपनाता है और फाइटर B के पहले कदम उठाने का इंतज़ार करता है। फाइटर B हिचकिचाता है और एक कमज़ोर मुक्का मारता है। फाइटर A को क्या करना चाहिए?")</f>
        <v>मुस्तैदी युद्ध के दौरान, फाइटर A रक्षात्मक रुख अपनाता है और फाइटर B के पहले कदम उठाने का इंतज़ार करता है। फाइटर B हिचकिचाता है और एक कमज़ोर मुक्का मारता है। फाइटर A को क्या करना चाहिए?</v>
      </c>
      <c r="H40" s="5" t="str">
        <f>IFERROR(__xludf.DUMMYFUNCTION("GOOGLETRANSLATE(C40, ""en"", ""hi"")"),"A) तुरंत पलटवार करें। B) एक मज़बूत हमले की प्रतीक्षा करते रहें। C) रक्षात्मक रुख बनाए रखें। D) दूरी कम करें और नॉकआउट के लिए प्रयास करें।")</f>
        <v>A) तुरंत पलटवार करें। B) एक मज़बूत हमले की प्रतीक्षा करते रहें। C) रक्षात्मक रुख बनाए रखें। D) दूरी कम करें और नॉकआउट के लिए प्रयास करें।</v>
      </c>
      <c r="I40" s="5" t="str">
        <f>IFERROR(__xludf.DUMMYFUNCTION("GOOGLETRANSLATE(D40, ""en"", ""hi"")"),"अ) तुरंत जवाबी हमला करें।")</f>
        <v>अ) तुरंत जवाबी हमला करें।</v>
      </c>
    </row>
    <row r="41" ht="22.5" customHeight="1">
      <c r="A41" s="2">
        <v>40.0</v>
      </c>
      <c r="B41" s="3" t="s">
        <v>3036</v>
      </c>
      <c r="C41" s="3" t="s">
        <v>3037</v>
      </c>
      <c r="D41" s="3" t="s">
        <v>3038</v>
      </c>
      <c r="F41" s="5" t="str">
        <f>IFERROR(__xludf.DUMMYFUNCTION("GOOGLETRANSLATE(A41, ""en"", ""hi"")"),"40")</f>
        <v>40</v>
      </c>
      <c r="G41" s="5" t="str">
        <f>IFERROR(__xludf.DUMMYFUNCTION("GOOGLETRANSLATE(B41, ""en"", ""hi"")"),"फाइटर A मैच में हावी है, लेकिन आखिरी राउंड में, फाइटर B एक ऐसा ज़बरदस्त पंच मारता है जिससे फाइटर A कमज़ोर पड़ जाता है। फाइटर B हमला जारी रखता है, लेकिन फाइटर A बचाव करने में कामयाब हो जाता है। फाइटर B को अब क्या करना चाहिए?")</f>
        <v>फाइटर A मैच में हावी है, लेकिन आखिरी राउंड में, फाइटर B एक ऐसा ज़बरदस्त पंच मारता है जिससे फाइटर A कमज़ोर पड़ जाता है। फाइटर B हमला जारी रखता है, लेकिन फाइटर A बचाव करने में कामयाब हो जाता है। फाइटर B को अब क्या करना चाहिए?</v>
      </c>
      <c r="H41" s="5" t="str">
        <f>IFERROR(__xludf.DUMMYFUNCTION("GOOGLETRANSLATE(C41, ""en"", ""hi"")"),"A) आक्रामक हमला जारी रखें। B) गति धीमी करें और सटीकता पर ध्यान केंद्रित करें। C) लड़ाकू A को संभलने दें और लड़ाई को फिर से शुरू करें। D) संभावित जवाबी हमले से बचाव करें।")</f>
        <v>A) आक्रामक हमला जारी रखें। B) गति धीमी करें और सटीकता पर ध्यान केंद्रित करें। C) लड़ाकू A को संभलने दें और लड़ाई को फिर से शुरू करें। D) संभावित जवाबी हमले से बचाव करें।</v>
      </c>
      <c r="I41" s="5" t="str">
        <f>IFERROR(__xludf.DUMMYFUNCTION("GOOGLETRANSLATE(D41, ""en"", ""hi"")"),"अ) आक्रामक हमला जारी रखें।")</f>
        <v>अ) आक्रामक हमला जारी रखें।</v>
      </c>
    </row>
    <row r="42" ht="22.5" customHeight="1">
      <c r="A42" s="2">
        <v>41.0</v>
      </c>
      <c r="B42" s="3" t="s">
        <v>3039</v>
      </c>
      <c r="C42" s="3" t="s">
        <v>3040</v>
      </c>
      <c r="D42" s="3" t="s">
        <v>3041</v>
      </c>
      <c r="F42" s="5" t="str">
        <f>IFERROR(__xludf.DUMMYFUNCTION("GOOGLETRANSLATE(A42, ""en"", ""hi"")"),"41")</f>
        <v>41</v>
      </c>
      <c r="G42" s="5" t="str">
        <f>IFERROR(__xludf.DUMMYFUNCTION("GOOGLETRANSLATE(B42, ""en"", ""hi"")"),"मुस्तैदी युद्ध में फाइटर A ने दो राउंड जीते हैं, और फाइटर B ने एक। चौथे राउंड में, फाइटर B एक ज़ोरदार मुक्का मारता है जिससे फाइटर A अचेत हो जाता है। रेफरी गिनती शुरू करता है, लेकिन फाइटर A गिनती 10 तक पहुँचने से पहले ही उठ जाता है। अब आगे क्या होगा?")</f>
        <v>मुस्तैदी युद्ध में फाइटर A ने दो राउंड जीते हैं, और फाइटर B ने एक। चौथे राउंड में, फाइटर B एक ज़ोरदार मुक्का मारता है जिससे फाइटर A अचेत हो जाता है। रेफरी गिनती शुरू करता है, लेकिन फाइटर A गिनती 10 तक पहुँचने से पहले ही उठ जाता है। अब आगे क्या होगा?</v>
      </c>
      <c r="H42" s="5" t="str">
        <f>IFERROR(__xludf.DUMMYFUNCTION("GOOGLETRANSLATE(C42, ""en"", ""hi"")"),"A) फाइटर B को नॉकआउट से विजेता घोषित किया जाता है। B) राउंड जारी रहता है। C) फाइटर A को अचेत होने के कारण अयोग्य घोषित कर दिया जाता है। D) रेफरी मेडिकल जाँच के लिए मैच रोक देता है।")</f>
        <v>A) फाइटर B को नॉकआउट से विजेता घोषित किया जाता है। B) राउंड जारी रहता है। C) फाइटर A को अचेत होने के कारण अयोग्य घोषित कर दिया जाता है। D) रेफरी मेडिकल जाँच के लिए मैच रोक देता है।</v>
      </c>
      <c r="I42" s="5" t="str">
        <f>IFERROR(__xludf.DUMMYFUNCTION("GOOGLETRANSLATE(D42, ""en"", ""hi"")"),"बी) दौर जारी है.")</f>
        <v>बी) दौर जारी है.</v>
      </c>
    </row>
    <row r="43" ht="22.5" customHeight="1">
      <c r="A43" s="2">
        <v>42.0</v>
      </c>
      <c r="B43" s="3" t="s">
        <v>3042</v>
      </c>
      <c r="C43" s="3" t="s">
        <v>3043</v>
      </c>
      <c r="D43" s="3" t="s">
        <v>3044</v>
      </c>
      <c r="F43" s="5" t="str">
        <f>IFERROR(__xludf.DUMMYFUNCTION("GOOGLETRANSLATE(A43, ""en"", ""hi"")"),"42")</f>
        <v>42</v>
      </c>
      <c r="G43" s="5" t="str">
        <f>IFERROR(__xludf.DUMMYFUNCTION("GOOGLETRANSLATE(B43, ""en"", ""hi"")"),"एक मुस्तैद युद्ध प्रशिक्षण मैच के दौरान, फाइटर A गलती से फाइटर B की कमर के नीचे मुक्का मार देता है। रेफरी यह देख लेता है, लेकिन फाइटर B कहता है कि वह ठीक है और खेलना चाहता है। रेफरी को क्या करना चाहिए?")</f>
        <v>एक मुस्तैद युद्ध प्रशिक्षण मैच के दौरान, फाइटर A गलती से फाइटर B की कमर के नीचे मुक्का मार देता है। रेफरी यह देख लेता है, लेकिन फाइटर B कहता है कि वह ठीक है और खेलना चाहता है। रेफरी को क्या करना चाहिए?</v>
      </c>
      <c r="H43" s="5" t="str">
        <f>IFERROR(__xludf.DUMMYFUNCTION("GOOGLETRANSLATE(C43, ""en"", ""hi"")"),"A) फाइटर A को अवैध चाल के लिए अयोग्य घोषित करें। B) मैच को जारी रहने दें। C) मैच रोकें और फाइटर A को चेतावनी दें। D) फाइटर A के अंक काटें और मैच फिर से शुरू करें।")</f>
        <v>A) फाइटर A को अवैध चाल के लिए अयोग्य घोषित करें। B) मैच को जारी रहने दें। C) मैच रोकें और फाइटर A को चेतावनी दें। D) फाइटर A के अंक काटें और मैच फिर से शुरू करें।</v>
      </c>
      <c r="I43" s="5" t="str">
        <f>IFERROR(__xludf.DUMMYFUNCTION("GOOGLETRANSLATE(D43, ""en"", ""hi"")"),"C) मैच रोकें और फाइटर A को चेतावनी दें।")</f>
        <v>C) मैच रोकें और फाइटर A को चेतावनी दें।</v>
      </c>
    </row>
    <row r="44" ht="22.5" customHeight="1">
      <c r="A44" s="2">
        <v>43.0</v>
      </c>
      <c r="B44" s="3" t="s">
        <v>3045</v>
      </c>
      <c r="C44" s="3" t="s">
        <v>3046</v>
      </c>
      <c r="D44" s="3" t="s">
        <v>3047</v>
      </c>
      <c r="F44" s="5" t="str">
        <f>IFERROR(__xludf.DUMMYFUNCTION("GOOGLETRANSLATE(A44, ""en"", ""hi"")"),"43")</f>
        <v>43</v>
      </c>
      <c r="G44" s="5" t="str">
        <f>IFERROR(__xludf.DUMMYFUNCTION("GOOGLETRANSLATE(B44, ""en"", ""hi"")"),"फाइटर A अंकों के मामले में आगे चल रहा है, लेकिन आखिरी राउंड में थका हुआ दिख रहा है। फाइटर B, जो अभी भी तरोताज़ा है, लगातार ज़ोरदार वार करके दबाव बनाना शुरू कर देता है। फाइटर A ज़्यादातर वार से बच जाता है, लेकिन उसकी गति धीमी हो जाती है। फाइटर A की रणनीति "&amp;"क्या होनी चाहिए?")</f>
        <v>फाइटर A अंकों के मामले में आगे चल रहा है, लेकिन आखिरी राउंड में थका हुआ दिख रहा है। फाइटर B, जो अभी भी तरोताज़ा है, लगातार ज़ोरदार वार करके दबाव बनाना शुरू कर देता है। फाइटर A ज़्यादातर वार से बच जाता है, लेकिन उसकी गति धीमी हो जाती है। फाइटर A की रणनीति क्या होनी चाहिए?</v>
      </c>
      <c r="H44" s="5" t="str">
        <f>IFERROR(__xludf.DUMMYFUNCTION("GOOGLETRANSLATE(C44, ""en"", ""hi"")"),"A) नॉकआउट पंच लगाने की कोशिश करें। B) बचाव और समय समाप्त होने पर ध्यान केंद्रित करें। C) आक्रामक रुख अपनाएँ। D) ऊर्जा बचाने के लिए राउंड हार जाएँ।")</f>
        <v>A) नॉकआउट पंच लगाने की कोशिश करें। B) बचाव और समय समाप्त होने पर ध्यान केंद्रित करें। C) आक्रामक रुख अपनाएँ। D) ऊर्जा बचाने के लिए राउंड हार जाएँ।</v>
      </c>
      <c r="I44" s="5" t="str">
        <f>IFERROR(__xludf.DUMMYFUNCTION("GOOGLETRANSLATE(D44, ""en"", ""hi"")"),"बी) रक्षा और समय समाप्त होने पर ध्यान केन्द्रित करें।")</f>
        <v>बी) रक्षा और समय समाप्त होने पर ध्यान केन्द्रित करें।</v>
      </c>
    </row>
    <row r="45" ht="22.5" customHeight="1">
      <c r="A45" s="2">
        <v>44.0</v>
      </c>
      <c r="B45" s="3" t="s">
        <v>3048</v>
      </c>
      <c r="C45" s="3" t="s">
        <v>3049</v>
      </c>
      <c r="D45" s="3" t="s">
        <v>3050</v>
      </c>
      <c r="F45" s="5" t="str">
        <f>IFERROR(__xludf.DUMMYFUNCTION("GOOGLETRANSLATE(A45, ""en"", ""hi"")"),"44")</f>
        <v>44</v>
      </c>
      <c r="G45" s="5" t="str">
        <f>IFERROR(__xludf.DUMMYFUNCTION("GOOGLETRANSLATE(B45, ""en"", ""hi"")"),"एक मुस्ति युद्ध अभ्यास सत्र में, फाइटर A एक ऐसा मुक्का मारता है जो फाइटर B से बाल-बाल बच जाता है। फाइटर B, यह सोचकर कि यह एक छलावा था, हिचकिचाता है और पलटवार करने का मौका गँवा देता है। फाइटर B को क्या करना चाहिए था?")</f>
        <v>एक मुस्ति युद्ध अभ्यास सत्र में, फाइटर A एक ऐसा मुक्का मारता है जो फाइटर B से बाल-बाल बच जाता है। फाइटर B, यह सोचकर कि यह एक छलावा था, हिचकिचाता है और पलटवार करने का मौका गँवा देता है। फाइटर B को क्या करना चाहिए था?</v>
      </c>
      <c r="H45" s="5" t="str">
        <f>IFERROR(__xludf.DUMMYFUNCTION("GOOGLETRANSLATE(C45, ""en"", ""hi"")"),"A) फाइटर A की अगली चाल का इंतज़ार करें। B) तुरंत पलटवार करें। C) पीछे हटें और दोबारा आकलन करें। D) अपना रुख बदलें और आगे बढ़ें।")</f>
        <v>A) फाइटर A की अगली चाल का इंतज़ार करें। B) तुरंत पलटवार करें। C) पीछे हटें और दोबारा आकलन करें। D) अपना रुख बदलें और आगे बढ़ें।</v>
      </c>
      <c r="I45" s="5" t="str">
        <f>IFERROR(__xludf.DUMMYFUNCTION("GOOGLETRANSLATE(D45, ""en"", ""hi"")"),"बी) तुरंत जवाबी हमला करें।")</f>
        <v>बी) तुरंत जवाबी हमला करें।</v>
      </c>
    </row>
    <row r="46" ht="22.5" customHeight="1">
      <c r="A46" s="2">
        <v>45.0</v>
      </c>
      <c r="B46" s="3" t="s">
        <v>3051</v>
      </c>
      <c r="C46" s="3" t="s">
        <v>3052</v>
      </c>
      <c r="D46" s="3" t="s">
        <v>3053</v>
      </c>
      <c r="F46" s="5" t="str">
        <f>IFERROR(__xludf.DUMMYFUNCTION("GOOGLETRANSLATE(A46, ""en"", ""hi"")"),"45")</f>
        <v>45</v>
      </c>
      <c r="G46" s="5" t="str">
        <f>IFERROR(__xludf.DUMMYFUNCTION("GOOGLETRANSLATE(B46, ""en"", ""hi"")"),"मुस्तैदी युद्ध टूर्नामेंट के अंतिम मैच में, फाइटर A तेज़ और सटीक मुक्के मार रहा है, लेकिन फाइटर B का डिफेंस मज़बूत है। कई राउंड के बाद, किसी भी फाइटर को कोई स्पष्ट बढ़त नहीं मिल रही है। फ़ाइनल राउंड में फाइटर A को किस पर ध्यान केंद्रित करना चाहिए?")</f>
        <v>मुस्तैदी युद्ध टूर्नामेंट के अंतिम मैच में, फाइटर A तेज़ और सटीक मुक्के मार रहा है, लेकिन फाइटर B का डिफेंस मज़बूत है। कई राउंड के बाद, किसी भी फाइटर को कोई स्पष्ट बढ़त नहीं मिल रही है। फ़ाइनल राउंड में फाइटर A को किस पर ध्यान केंद्रित करना चाहिए?</v>
      </c>
      <c r="H46" s="5" t="str">
        <f>IFERROR(__xludf.DUMMYFUNCTION("GOOGLETRANSLATE(C46, ""en"", ""hi"")"),"A) अपने मुक्कों की गति बढ़ाएँ। B) फाइटर B के डिफेंस को कमज़ोर करने पर ध्यान केंद्रित करें। C) ज़्यादा रक्षात्मक रुख अपनाएँ। D) नॉकआउट पंच लगाने की कोशिश करें।")</f>
        <v>A) अपने मुक्कों की गति बढ़ाएँ। B) फाइटर B के डिफेंस को कमज़ोर करने पर ध्यान केंद्रित करें। C) ज़्यादा रक्षात्मक रुख अपनाएँ। D) नॉकआउट पंच लगाने की कोशिश करें।</v>
      </c>
      <c r="I46" s="5" t="str">
        <f>IFERROR(__xludf.DUMMYFUNCTION("GOOGLETRANSLATE(D46, ""en"", ""hi"")"),"बी) फाइटर बी की रक्षा को कमजोर करने पर ध्यान केंद्रित करें।")</f>
        <v>बी) फाइटर बी की रक्षा को कमजोर करने पर ध्यान केंद्रित करें।</v>
      </c>
    </row>
    <row r="47" ht="22.5" customHeight="1">
      <c r="A47" s="2">
        <v>46.0</v>
      </c>
      <c r="B47" s="3" t="s">
        <v>3054</v>
      </c>
      <c r="C47" s="3" t="s">
        <v>3055</v>
      </c>
      <c r="D47" s="3" t="s">
        <v>3056</v>
      </c>
      <c r="F47" s="5" t="str">
        <f>IFERROR(__xludf.DUMMYFUNCTION("GOOGLETRANSLATE(A47, ""en"", ""hi"")"),"46")</f>
        <v>46</v>
      </c>
      <c r="G47" s="5" t="str">
        <f>IFERROR(__xludf.DUMMYFUNCTION("GOOGLETRANSLATE(B47, ""en"", ""hi"")"),"एक मुस्ति युद्ध मैच के दौरान, फाइटर A देखता है कि फाइटर B अपनी बाईं ओर झुक रहा है, जो संभावित चोट का संकेत है। फाइटर A के लिए सबसे अच्छा उपाय क्या है?")</f>
        <v>एक मुस्ति युद्ध मैच के दौरान, फाइटर A देखता है कि फाइटर B अपनी बाईं ओर झुक रहा है, जो संभावित चोट का संकेत है। फाइटर A के लिए सबसे अच्छा उपाय क्या है?</v>
      </c>
      <c r="H47" s="5" t="str">
        <f>IFERROR(__xludf.DUMMYFUNCTION("GOOGLETRANSLATE(C47, ""en"", ""hi"")"),"A) फाइटर B के घायल हिस्से को निशाना बनाएँ। B) चोट का फायदा उठाए बिना लड़ाई जारी रखें। C) रेफरी से मैच रोकने के लिए कहें। D) ज़्यादा रक्षात्मक शैली अपनाएँ।")</f>
        <v>A) फाइटर B के घायल हिस्से को निशाना बनाएँ। B) चोट का फायदा उठाए बिना लड़ाई जारी रखें। C) रेफरी से मैच रोकने के लिए कहें। D) ज़्यादा रक्षात्मक शैली अपनाएँ।</v>
      </c>
      <c r="I47" s="5" t="str">
        <f>IFERROR(__xludf.DUMMYFUNCTION("GOOGLETRANSLATE(D47, ""en"", ""hi"")"),"ए) फाइटर बी के घायल हिस्से को निशाना बनाएं।")</f>
        <v>ए) फाइटर बी के घायल हिस्से को निशाना बनाएं।</v>
      </c>
    </row>
    <row r="48" ht="22.5" customHeight="1">
      <c r="A48" s="2">
        <v>47.0</v>
      </c>
      <c r="B48" s="3" t="s">
        <v>3057</v>
      </c>
      <c r="C48" s="3" t="s">
        <v>3058</v>
      </c>
      <c r="D48" s="3" t="s">
        <v>3059</v>
      </c>
      <c r="F48" s="5" t="str">
        <f>IFERROR(__xludf.DUMMYFUNCTION("GOOGLETRANSLATE(A48, ""en"", ""hi"")"),"47")</f>
        <v>47</v>
      </c>
      <c r="G48" s="5" t="str">
        <f>IFERROR(__xludf.DUMMYFUNCTION("GOOGLETRANSLATE(B48, ""en"", ""hi"")"),"एक मुस्तैदी युद्ध मैच के दौरान, फाइटर A, फाइटर B पर ज़ोरदार मुक्का मारने की कोशिश करता है, लेकिन फाइटर B उसे चकमा देकर एक तेज़ जैब से पलटवार करता है। पंच चूकने के बाद फाइटर A असंतुलित नज़र आता है। फाइटर B को अब क्या करना चाहिए?")</f>
        <v>एक मुस्तैदी युद्ध मैच के दौरान, फाइटर A, फाइटर B पर ज़ोरदार मुक्का मारने की कोशिश करता है, लेकिन फाइटर B उसे चकमा देकर एक तेज़ जैब से पलटवार करता है। पंच चूकने के बाद फाइटर A असंतुलित नज़र आता है। फाइटर B को अब क्या करना चाहिए?</v>
      </c>
      <c r="H48" s="5" t="str">
        <f>IFERROR(__xludf.DUMMYFUNCTION("GOOGLETRANSLATE(C48, ""en"", ""hi"")"),"A) और ज़ोर से आगे की ओर धक्का दें। B) स्थिति का दोबारा आकलन करने के लिए पीछे हटें। C) फाइटर A के संतुलन हासिल करने का इंतज़ार करें। D) लड़ाई खत्म करने के लिए ग्रैपलिंग मूव का प्रयास करें।")</f>
        <v>A) और ज़ोर से आगे की ओर धक्का दें। B) स्थिति का दोबारा आकलन करने के लिए पीछे हटें। C) फाइटर A के संतुलन हासिल करने का इंतज़ार करें। D) लड़ाई खत्म करने के लिए ग्रैपलिंग मूव का प्रयास करें।</v>
      </c>
      <c r="I48" s="5" t="str">
        <f>IFERROR(__xludf.DUMMYFUNCTION("GOOGLETRANSLATE(D48, ""en"", ""hi"")"),"ए) अधिक झटके के साथ आगे की ओर दबाव डालें।")</f>
        <v>ए) अधिक झटके के साथ आगे की ओर दबाव डालें।</v>
      </c>
    </row>
    <row r="49" ht="22.5" customHeight="1">
      <c r="A49" s="2">
        <v>48.0</v>
      </c>
      <c r="B49" s="3" t="s">
        <v>3060</v>
      </c>
      <c r="C49" s="3" t="s">
        <v>3061</v>
      </c>
      <c r="D49" s="3" t="s">
        <v>3062</v>
      </c>
      <c r="F49" s="5" t="str">
        <f>IFERROR(__xludf.DUMMYFUNCTION("GOOGLETRANSLATE(A49, ""en"", ""hi"")"),"48")</f>
        <v>48</v>
      </c>
      <c r="G49" s="5" t="str">
        <f>IFERROR(__xludf.DUMMYFUNCTION("GOOGLETRANSLATE(B49, ""en"", ""hi"")"),"फाइटर A, मुस्ति युद्ध मैच की शुरुआत आक्रामक रणनीति के साथ करता है और कई मुक्के मारता है। हालाँकि, फाइटर B संयमित रहता है और ज़्यादा नुकसान से बचने के लिए रक्षात्मक चालें चलता है। फाइटर B को लड़ाई का रुख कैसे मोड़ना चाहिए?")</f>
        <v>फाइटर A, मुस्ति युद्ध मैच की शुरुआत आक्रामक रणनीति के साथ करता है और कई मुक्के मारता है। हालाँकि, फाइटर B संयमित रहता है और ज़्यादा नुकसान से बचने के लिए रक्षात्मक चालें चलता है। फाइटर B को लड़ाई का रुख कैसे मोड़ना चाहिए?</v>
      </c>
      <c r="H49" s="5" t="str">
        <f>IFERROR(__xludf.DUMMYFUNCTION("GOOGLETRANSLATE(C49, ""en"", ""hi"")"),"A) फाइटर A को थका देने के लिए रक्षात्मक चालें चलते रहें। B) फाइटर A को चौंकाने के लिए आक्रामक तरीके से आगे बढ़ें। C) फाइटर A की आक्रामकता का फायदा उठाने के लिए जवाबी हमलों पर ध्यान केंद्रित करें। D) निष्क्रिय रहें और उम्मीद करें कि फाइटर A कोई गलती करे।")</f>
        <v>A) फाइटर A को थका देने के लिए रक्षात्मक चालें चलते रहें। B) फाइटर A को चौंकाने के लिए आक्रामक तरीके से आगे बढ़ें। C) फाइटर A की आक्रामकता का फायदा उठाने के लिए जवाबी हमलों पर ध्यान केंद्रित करें। D) निष्क्रिय रहें और उम्मीद करें कि फाइटर A कोई गलती करे।</v>
      </c>
      <c r="I49" s="5" t="str">
        <f>IFERROR(__xludf.DUMMYFUNCTION("GOOGLETRANSLATE(D49, ""en"", ""hi"")"),"सी) फाइटर ए की आक्रामकता का लाभ उठाने के लिए जवाबी हमलों पर ध्यान केंद्रित करें।")</f>
        <v>सी) फाइटर ए की आक्रामकता का लाभ उठाने के लिए जवाबी हमलों पर ध्यान केंद्रित करें।</v>
      </c>
    </row>
    <row r="50" ht="22.5" customHeight="1">
      <c r="A50" s="2">
        <v>49.0</v>
      </c>
      <c r="B50" s="3" t="s">
        <v>3063</v>
      </c>
      <c r="C50" s="3" t="s">
        <v>3064</v>
      </c>
      <c r="D50" s="3" t="s">
        <v>3065</v>
      </c>
      <c r="F50" s="5" t="str">
        <f>IFERROR(__xludf.DUMMYFUNCTION("GOOGLETRANSLATE(A50, ""en"", ""hi"")"),"49")</f>
        <v>49</v>
      </c>
      <c r="G50" s="5" t="str">
        <f>IFERROR(__xludf.DUMMYFUNCTION("GOOGLETRANSLATE(B50, ""en"", ""hi"")"),"एक कांटे के मुकाबले में, फाइटर A अचानक बाएँ हाथ की मुद्रा में आ जाता है, जिससे फाइटर B उलझन में पड़ जाता है। फाइटर B एक पल के लिए हिचकिचाता है। फाइटर B को क्या करना चाहिए?")</f>
        <v>एक कांटे के मुकाबले में, फाइटर A अचानक बाएँ हाथ की मुद्रा में आ जाता है, जिससे फाइटर B उलझन में पड़ जाता है। फाइटर B एक पल के लिए हिचकिचाता है। फाइटर B को क्या करना चाहिए?</v>
      </c>
      <c r="H50" s="5" t="str">
        <f>IFERROR(__xludf.DUMMYFUNCTION("GOOGLETRANSLATE(C50, ""en"", ""hi"")"),"A) फाइटर A के रुख को प्रतिबिंबित करने के लिए रुख बदलें। B) उसकी सामान्य मुद्रा में लड़ते रहें। C) फाइटर A के नए रुख का आकलन करने के लिए रक्षात्मक स्थिति में रहें। D) फाइटर A के खुले हिस्से पर हमला करने पर ध्यान केंद्रित करें।")</f>
        <v>A) फाइटर A के रुख को प्रतिबिंबित करने के लिए रुख बदलें। B) उसकी सामान्य मुद्रा में लड़ते रहें। C) फाइटर A के नए रुख का आकलन करने के लिए रक्षात्मक स्थिति में रहें। D) फाइटर A के खुले हिस्से पर हमला करने पर ध्यान केंद्रित करें।</v>
      </c>
      <c r="I50" s="5" t="str">
        <f>IFERROR(__xludf.DUMMYFUNCTION("GOOGLETRANSLATE(D50, ""en"", ""hi"")"),"C) फाइटर A के नए रुख का मूल्यांकन करने के लिए रक्षात्मक स्थिति लें।")</f>
        <v>C) फाइटर A के नए रुख का मूल्यांकन करने के लिए रक्षात्मक स्थिति लें।</v>
      </c>
    </row>
    <row r="51" ht="22.5" customHeight="1">
      <c r="A51" s="2">
        <v>50.0</v>
      </c>
      <c r="B51" s="3" t="s">
        <v>3066</v>
      </c>
      <c r="C51" s="3" t="s">
        <v>3067</v>
      </c>
      <c r="D51" s="3" t="s">
        <v>3068</v>
      </c>
      <c r="F51" s="5" t="str">
        <f>IFERROR(__xludf.DUMMYFUNCTION("GOOGLETRANSLATE(A51, ""en"", ""hi"")"),"50")</f>
        <v>50</v>
      </c>
      <c r="G51" s="5" t="str">
        <f>IFERROR(__xludf.DUMMYFUNCTION("GOOGLETRANSLATE(B51, ""en"", ""hi"")"),"अंतिम राउंड के दौरान, फाइटर ए अंकों के आधार पर आगे है, लेकिन फाइटर बी एक जोरदार मुक्का मारता है जिससे फाइटर ए लड़खड़ा जाता है। भीड़ फाइटर बी के लिए जयकार कर रही है। इस क्षण का लाभ उठाने के लिए फाइटर बी को क्या करना चाहिए?")</f>
        <v>अंतिम राउंड के दौरान, फाइटर ए अंकों के आधार पर आगे है, लेकिन फाइटर बी एक जोरदार मुक्का मारता है जिससे फाइटर ए लड़खड़ा जाता है। भीड़ फाइटर बी के लिए जयकार कर रही है। इस क्षण का लाभ उठाने के लिए फाइटर बी को क्या करना चाहिए?</v>
      </c>
      <c r="H51" s="5" t="str">
        <f>IFERROR(__xludf.DUMMYFUNCTION("GOOGLETRANSLATE(C51, ""en"", ""hi"")"),"A) अपने मुक्कों की तीव्रता बढ़ाएँ। B) फाइटर A के संभलने का इंतज़ार करें। C) गलतियाँ करने से बचने के लिए रक्षात्मक रहें। D) फाइटर A को जल्दी से नॉकआउट करने की कोशिश करें।")</f>
        <v>A) अपने मुक्कों की तीव्रता बढ़ाएँ। B) फाइटर A के संभलने का इंतज़ार करें। C) गलतियाँ करने से बचने के लिए रक्षात्मक रहें। D) फाइटर A को जल्दी से नॉकआउट करने की कोशिश करें।</v>
      </c>
      <c r="I51" s="5" t="str">
        <f>IFERROR(__xludf.DUMMYFUNCTION("GOOGLETRANSLATE(D51, ""en"", ""hi"")"),"क) अपने मुक्कों की तीव्रता बढ़ाएँ।")</f>
        <v>क) अपने मुक्कों की तीव्रता बढ़ाएँ।</v>
      </c>
    </row>
    <row r="52" ht="22.5" customHeight="1">
      <c r="A52" s="2">
        <v>51.0</v>
      </c>
      <c r="B52" s="3" t="s">
        <v>3069</v>
      </c>
      <c r="C52" s="3" t="s">
        <v>3070</v>
      </c>
      <c r="D52" s="3" t="s">
        <v>3071</v>
      </c>
      <c r="F52" s="5" t="str">
        <f>IFERROR(__xludf.DUMMYFUNCTION("GOOGLETRANSLATE(A52, ""en"", ""hi"")"),"51")</f>
        <v>51</v>
      </c>
      <c r="G52" s="5" t="str">
        <f>IFERROR(__xludf.DUMMYFUNCTION("GOOGLETRANSLATE(B52, ""en"", ""hi"")"),"फाइटर A अपने शक्तिशाली अपरकट्स के लिए जाना जाता है, जबकि फाइटर B अपनी गति और फुटवर्क में उत्कृष्ट है। मैच के दौरान, फाइटर B लगातार फाइटर A के अपरकट्स को चकमा देता रहता है। फाइटर A को अपनी संभावनाओं को बेहतर बनाने के लिए क्या करना चाहिए?")</f>
        <v>फाइटर A अपने शक्तिशाली अपरकट्स के लिए जाना जाता है, जबकि फाइटर B अपनी गति और फुटवर्क में उत्कृष्ट है। मैच के दौरान, फाइटर B लगातार फाइटर A के अपरकट्स को चकमा देता रहता है। फाइटर A को अपनी संभावनाओं को बेहतर बनाने के लिए क्या करना चाहिए?</v>
      </c>
      <c r="H52" s="5" t="str">
        <f>IFERROR(__xludf.DUMMYFUNCTION("GOOGLETRANSLATE(C52, ""en"", ""hi"")"),"A) अपरकट्स लगाते रहें और उम्मीद करें कि कोई एक ज़मीन पर लगे। B) फाइटर B को धीमा करने के लिए बॉडी पंच पर ध्यान केंद्रित करें। C) फाइटर B की गति से मेल खाने की कोशिश करें। D) ज़्यादा रक्षात्मक लड़ाई शैली अपनाएँ।")</f>
        <v>A) अपरकट्स लगाते रहें और उम्मीद करें कि कोई एक ज़मीन पर लगे। B) फाइटर B को धीमा करने के लिए बॉडी पंच पर ध्यान केंद्रित करें। C) फाइटर B की गति से मेल खाने की कोशिश करें। D) ज़्यादा रक्षात्मक लड़ाई शैली अपनाएँ।</v>
      </c>
      <c r="I52" s="5" t="str">
        <f>IFERROR(__xludf.DUMMYFUNCTION("GOOGLETRANSLATE(D52, ""en"", ""hi"")"),"बी) फाइटर बी को धीमा करने के लिए शरीर पर प्रहार पर ध्यान केंद्रित करें।")</f>
        <v>बी) फाइटर बी को धीमा करने के लिए शरीर पर प्रहार पर ध्यान केंद्रित करें।</v>
      </c>
    </row>
    <row r="53" ht="22.5" customHeight="1">
      <c r="A53" s="2">
        <v>52.0</v>
      </c>
      <c r="B53" s="3" t="s">
        <v>3072</v>
      </c>
      <c r="C53" s="3" t="s">
        <v>3073</v>
      </c>
      <c r="D53" s="3" t="s">
        <v>3074</v>
      </c>
      <c r="F53" s="5" t="str">
        <f>IFERROR(__xludf.DUMMYFUNCTION("GOOGLETRANSLATE(A53, ""en"", ""hi"")"),"52")</f>
        <v>52</v>
      </c>
      <c r="G53" s="5" t="str">
        <f>IFERROR(__xludf.DUMMYFUNCTION("GOOGLETRANSLATE(B53, ""en"", ""hi"")"),"दूसरे राउंड में, फाइटर A, फाइटर B पर कई मुक्के मारने में कामयाब हो जाता है, लेकिन फाइटर B शांत रहता है। फाइटर A में थकान के लक्षण दिखने लगते हैं। फाइटर B को बाकी राउंड में कैसे खेलना चाहिए?")</f>
        <v>दूसरे राउंड में, फाइटर A, फाइटर B पर कई मुक्के मारने में कामयाब हो जाता है, लेकिन फाइटर B शांत रहता है। फाइटर A में थकान के लक्षण दिखने लगते हैं। फाइटर B को बाकी राउंड में कैसे खेलना चाहिए?</v>
      </c>
      <c r="H53" s="5" t="str">
        <f>IFERROR(__xludf.DUMMYFUNCTION("GOOGLETRANSLATE(C53, ""en"", ""hi"")"),"A) फाइटर A को और थका देने के लिए उस पर दबाव बनाए रखें। B) गति धीमी करें और फाइटर A को ठीक होने दें। C) फाइटर A की गलती का इंतज़ार करें। D) फाइटर A को तुरंत नॉकआउट करने की कोशिश करें।")</f>
        <v>A) फाइटर A को और थका देने के लिए उस पर दबाव बनाए रखें। B) गति धीमी करें और फाइटर A को ठीक होने दें। C) फाइटर A की गलती का इंतज़ार करें। D) फाइटर A को तुरंत नॉकआउट करने की कोशिश करें।</v>
      </c>
      <c r="I53" s="5" t="str">
        <f>IFERROR(__xludf.DUMMYFUNCTION("GOOGLETRANSLATE(D53, ""en"", ""hi"")"),"ए) फाइटर ए को और अधिक थका देने के लिए उस पर दबाव बनाए रखें।")</f>
        <v>ए) फाइटर ए को और अधिक थका देने के लिए उस पर दबाव बनाए रखें।</v>
      </c>
    </row>
    <row r="54" ht="22.5" customHeight="1">
      <c r="A54" s="2">
        <v>53.0</v>
      </c>
      <c r="B54" s="3" t="s">
        <v>3075</v>
      </c>
      <c r="C54" s="3" t="s">
        <v>3076</v>
      </c>
      <c r="D54" s="3" t="s">
        <v>3077</v>
      </c>
      <c r="F54" s="5" t="str">
        <f>IFERROR(__xludf.DUMMYFUNCTION("GOOGLETRANSLATE(A54, ""en"", ""hi"")"),"53")</f>
        <v>53</v>
      </c>
      <c r="G54" s="5" t="str">
        <f>IFERROR(__xludf.DUMMYFUNCTION("GOOGLETRANSLATE(B54, ""en"", ""hi"")"),"पहले राउंड में, फाइटर A हावी हो रहा है, लेकिन फाइटर B अचानक एक ज़ोरदार काउंटरपंच से गति बदल देता है। फाइटर A पीछे हटता है, लेकिन उसका शरीर हिलता हुआ दिखाई देता है। फाइटर B को अब क्या करना चाहिए?")</f>
        <v>पहले राउंड में, फाइटर A हावी हो रहा है, लेकिन फाइटर B अचानक एक ज़ोरदार काउंटरपंच से गति बदल देता है। फाइटर A पीछे हटता है, लेकिन उसका शरीर हिलता हुआ दिखाई देता है। फाइटर B को अब क्या करना चाहिए?</v>
      </c>
      <c r="H54" s="5" t="str">
        <f>IFERROR(__xludf.DUMMYFUNCTION("GOOGLETRANSLATE(C54, ""en"", ""hi"")"),"A) लड़ाकू A के पीछे हटने का फायदा उठाएँ और हमला करें। B) किसी भी जवाबी हमले को रोकने के लिए रक्षात्मक रहें। C) दोबारा हमला करने से पहले लड़ाकू A को आत्मविश्वास हासिल करने दें। D) लड़ाकू A के आगे आने का इंतज़ार करें और फिर हमला करें।")</f>
        <v>A) लड़ाकू A के पीछे हटने का फायदा उठाएँ और हमला करें। B) किसी भी जवाबी हमले को रोकने के लिए रक्षात्मक रहें। C) दोबारा हमला करने से पहले लड़ाकू A को आत्मविश्वास हासिल करने दें। D) लड़ाकू A के आगे आने का इंतज़ार करें और फिर हमला करें।</v>
      </c>
      <c r="I54" s="5" t="str">
        <f>IFERROR(__xludf.DUMMYFUNCTION("GOOGLETRANSLATE(D54, ""en"", ""hi"")"),"ए) लड़ाकू ए के पीछे हटने का लाभ उठाएं और हमला करें।")</f>
        <v>ए) लड़ाकू ए के पीछे हटने का लाभ उठाएं और हमला करें।</v>
      </c>
    </row>
    <row r="55" ht="22.5" customHeight="1">
      <c r="A55" s="2">
        <v>54.0</v>
      </c>
      <c r="B55" s="3" t="s">
        <v>3078</v>
      </c>
      <c r="C55" s="3" t="s">
        <v>3079</v>
      </c>
      <c r="D55" s="3" t="s">
        <v>3080</v>
      </c>
      <c r="F55" s="5" t="str">
        <f>IFERROR(__xludf.DUMMYFUNCTION("GOOGLETRANSLATE(A55, ""en"", ""hi"")"),"54")</f>
        <v>54</v>
      </c>
      <c r="G55" s="5" t="str">
        <f>IFERROR(__xludf.DUMMYFUNCTION("GOOGLETRANSLATE(B55, ""en"", ""hi"")"),"तीसरे राउंड में, फाइटर A अंकों के मामले में आगे है, लेकिन थकान के कारण उसकी गति धीमी पड़ने लगती है। फाइटर B को मौका मिलता है और वह आक्रामक तरीके से हमला करना शुरू कर देता है। अपनी बढ़त बनाए रखने के लिए फाइटर A को क्या करना चाहिए?")</f>
        <v>तीसरे राउंड में, फाइटर A अंकों के मामले में आगे है, लेकिन थकान के कारण उसकी गति धीमी पड़ने लगती है। फाइटर B को मौका मिलता है और वह आक्रामक तरीके से हमला करना शुरू कर देता है। अपनी बढ़त बनाए रखने के लिए फाइटर A को क्या करना चाहिए?</v>
      </c>
      <c r="H55" s="5" t="str">
        <f>IFERROR(__xludf.DUMMYFUNCTION("GOOGLETRANSLATE(C55, ""en"", ""hi"")"),"क) सावधानी से बचाव करें और ऊर्जा बचाएँ। ख) फाइटर बी को बहुत ज़्यादा थकने से पहले ही नॉकआउट करने की कोशिश करें। ग) फाइटर बी के आक्रामक मुक्कों का जवाब दें। घ) पीछे हटें और फाइटर बी के थकने का इंतज़ार करें।")</f>
        <v>क) सावधानी से बचाव करें और ऊर्जा बचाएँ। ख) फाइटर बी को बहुत ज़्यादा थकने से पहले ही नॉकआउट करने की कोशिश करें। ग) फाइटर बी के आक्रामक मुक्कों का जवाब दें। घ) पीछे हटें और फाइटर बी के थकने का इंतज़ार करें।</v>
      </c>
      <c r="I55" s="5" t="str">
        <f>IFERROR(__xludf.DUMMYFUNCTION("GOOGLETRANSLATE(D55, ""en"", ""hi"")"),"क) सावधानी से बचाव करें और ऊर्जा का संरक्षण करें।")</f>
        <v>क) सावधानी से बचाव करें और ऊर्जा का संरक्षण करें।</v>
      </c>
    </row>
    <row r="56" ht="22.5" customHeight="1">
      <c r="A56" s="2">
        <v>55.0</v>
      </c>
      <c r="B56" s="3" t="s">
        <v>3081</v>
      </c>
      <c r="C56" s="3" t="s">
        <v>3082</v>
      </c>
      <c r="D56" s="3" t="s">
        <v>3083</v>
      </c>
      <c r="F56" s="5" t="str">
        <f>IFERROR(__xludf.DUMMYFUNCTION("GOOGLETRANSLATE(A56, ""en"", ""hi"")"),"55")</f>
        <v>55</v>
      </c>
      <c r="G56" s="5" t="str">
        <f>IFERROR(__xludf.DUMMYFUNCTION("GOOGLETRANSLATE(B56, ""en"", ""hi"")"),"फाइटर A को फाइटर B पर पहुँच का अच्छा-खासा फ़ायदा है। फाइटर B, फाइटर A के गार्ड के अंदर जाने की कोशिश करता रहता है, लेकिन हर बार उसे जैब का सामना करना पड़ता है। फाइटर B को क्या रणनीति अपनानी चाहिए?")</f>
        <v>फाइटर A को फाइटर B पर पहुँच का अच्छा-खासा फ़ायदा है। फाइटर B, फाइटर A के गार्ड के अंदर जाने की कोशिश करता रहता है, लेकिन हर बार उसे जैब का सामना करना पड़ता है। फाइटर B को क्या रणनीति अपनानी चाहिए?</v>
      </c>
      <c r="H56" s="5" t="str">
        <f>IFERROR(__xludf.DUMMYFUNCTION("GOOGLETRANSLATE(C56, ""en"", ""hi"")"),"A) झटकों के बावजूद आगे बढ़ते रहो। B) फाइटर A को भ्रमित करने और अंदर आने के लिए छल-कपट का प्रयोग करो। C) हमला करने से पहले फाइटर A के थकने का इंतज़ार करो। D) पहुँच की कमी के बावजूद लंबी दूरी के हमलों पर ध्यान केंद्रित करो।")</f>
        <v>A) झटकों के बावजूद आगे बढ़ते रहो। B) फाइटर A को भ्रमित करने और अंदर आने के लिए छल-कपट का प्रयोग करो। C) हमला करने से पहले फाइटर A के थकने का इंतज़ार करो। D) पहुँच की कमी के बावजूद लंबी दूरी के हमलों पर ध्यान केंद्रित करो।</v>
      </c>
      <c r="I56" s="5" t="str">
        <f>IFERROR(__xludf.DUMMYFUNCTION("GOOGLETRANSLATE(D56, ""en"", ""hi"")"),"बी) लड़ाकू ए को भ्रमित करने और अंदर जाने के लिए छल का प्रयोग करें।")</f>
        <v>बी) लड़ाकू ए को भ्रमित करने और अंदर जाने के लिए छल का प्रयोग करें।</v>
      </c>
    </row>
    <row r="57" ht="22.5" customHeight="1">
      <c r="A57" s="2">
        <v>56.0</v>
      </c>
      <c r="B57" s="3" t="s">
        <v>3084</v>
      </c>
      <c r="C57" s="3" t="s">
        <v>3085</v>
      </c>
      <c r="D57" s="3" t="s">
        <v>3086</v>
      </c>
      <c r="F57" s="5" t="str">
        <f>IFERROR(__xludf.DUMMYFUNCTION("GOOGLETRANSLATE(A57, ""en"", ""hi"")"),"56")</f>
        <v>56</v>
      </c>
      <c r="G57" s="5" t="str">
        <f>IFERROR(__xludf.DUMMYFUNCTION("GOOGLETRANSLATE(B57, ""en"", ""hi"")"),"फाइटर A, फाइटर B के चेहरे पर एक मुक्का मारता है, जिससे फाइटर B की आँख के ऊपर कट लग जाता है। रेफरी मैच तो नहीं रोकता, लेकिन फाइटर B की दृष्टि प्रभावित होती दिखती है। फाइटर A को क्या करना चाहिए?")</f>
        <v>फाइटर A, फाइटर B के चेहरे पर एक मुक्का मारता है, जिससे फाइटर B की आँख के ऊपर कट लग जाता है। रेफरी मैच तो नहीं रोकता, लेकिन फाइटर B की दृष्टि प्रभावित होती दिखती है। फाइटर A को क्या करना चाहिए?</v>
      </c>
      <c r="H57" s="5" t="str">
        <f>IFERROR(__xludf.DUMMYFUNCTION("GOOGLETRANSLATE(C57, ""en"", ""hi"")"),"A) कट पर निशाना साधते रहें। B) इसके बजाय बॉडी शॉट्स पर ध्यान केंद्रित करें। C) लड़ाई की गति धीमी कर दें। D) रेफरी से लड़ाई रोकने के लिए कहें।")</f>
        <v>A) कट पर निशाना साधते रहें। B) इसके बजाय बॉडी शॉट्स पर ध्यान केंद्रित करें। C) लड़ाई की गति धीमी कर दें। D) रेफरी से लड़ाई रोकने के लिए कहें।</v>
      </c>
      <c r="I57" s="5" t="str">
        <f>IFERROR(__xludf.DUMMYFUNCTION("GOOGLETRANSLATE(D57, ""en"", ""hi"")"),"ए) कट को लक्ष्य बनाए रखें।")</f>
        <v>ए) कट को लक्ष्य बनाए रखें।</v>
      </c>
    </row>
    <row r="58" ht="22.5" customHeight="1">
      <c r="A58" s="2">
        <v>57.0</v>
      </c>
      <c r="B58" s="3" t="s">
        <v>3087</v>
      </c>
      <c r="C58" s="3" t="s">
        <v>3088</v>
      </c>
      <c r="D58" s="3" t="s">
        <v>3089</v>
      </c>
      <c r="F58" s="5" t="str">
        <f>IFERROR(__xludf.DUMMYFUNCTION("GOOGLETRANSLATE(A58, ""en"", ""hi"")"),"57")</f>
        <v>57</v>
      </c>
      <c r="G58" s="5" t="str">
        <f>IFERROR(__xludf.DUMMYFUNCTION("GOOGLETRANSLATE(B58, ""en"", ""hi"")"),"अंतिम राउंड में, फाइटर A अंकों के मामले में थोड़ा आगे है। यह जानते हुए, फाइटर B पूरी ताकत से हमला शुरू कर देता है। फाइटर A ज़्यादातर मुक्कों से बच रहा है, लेकिन कोई पलटवार नहीं कर पा रहा है। फाइटर A को किस पर ध्यान केंद्रित करना चाहिए?")</f>
        <v>अंतिम राउंड में, फाइटर A अंकों के मामले में थोड़ा आगे है। यह जानते हुए, फाइटर B पूरी ताकत से हमला शुरू कर देता है। फाइटर A ज़्यादातर मुक्कों से बच रहा है, लेकिन कोई पलटवार नहीं कर पा रहा है। फाइटर A को किस पर ध्यान केंद्रित करना चाहिए?</v>
      </c>
      <c r="H58" s="5" t="str">
        <f>IFERROR(__xludf.DUMMYFUNCTION("GOOGLETRANSLATE(C58, ""en"", ""hi"")"),"A) राउंड खत्म होने तक चकमा देते रहें। B) सुरक्षित होने पर जवाबी हमले करें। C) हमले से बचें और समय खत्म होने का इंतज़ार करें। D) फाइटर B को समान रूप से आक्रामक हमलों से चुनौती दें।")</f>
        <v>A) राउंड खत्म होने तक चकमा देते रहें। B) सुरक्षित होने पर जवाबी हमले करें। C) हमले से बचें और समय खत्म होने का इंतज़ार करें। D) फाइटर B को समान रूप से आक्रामक हमलों से चुनौती दें।</v>
      </c>
      <c r="I58" s="5" t="str">
        <f>IFERROR(__xludf.DUMMYFUNCTION("GOOGLETRANSLATE(D58, ""en"", ""hi"")"),"बी) जब सुरक्षित हो तो जवाबी हमले करें।")</f>
        <v>बी) जब सुरक्षित हो तो जवाबी हमले करें।</v>
      </c>
    </row>
    <row r="59" ht="22.5" customHeight="1">
      <c r="A59" s="2">
        <v>58.0</v>
      </c>
      <c r="B59" s="3" t="s">
        <v>3090</v>
      </c>
      <c r="C59" s="3" t="s">
        <v>3091</v>
      </c>
      <c r="D59" s="3" t="s">
        <v>3092</v>
      </c>
      <c r="F59" s="5" t="str">
        <f>IFERROR(__xludf.DUMMYFUNCTION("GOOGLETRANSLATE(A59, ""en"", ""hi"")"),"58")</f>
        <v>58</v>
      </c>
      <c r="G59" s="5" t="str">
        <f>IFERROR(__xludf.DUMMYFUNCTION("GOOGLETRANSLATE(B59, ""en"", ""hi"")"),"मुस्तैदी युद्ध के दौरान, फाइटर A रक्षात्मक रुख अपनाता है और फाइटर B के पहले कदम उठाने का इंतज़ार करता है। फाइटर B एक ज़ोरदार मुक्का मारता है और चूक जाता है। फाइटर A को क्या जवाब देना चाहिए?")</f>
        <v>मुस्तैदी युद्ध के दौरान, फाइटर A रक्षात्मक रुख अपनाता है और फाइटर B के पहले कदम उठाने का इंतज़ार करता है। फाइटर B एक ज़ोरदार मुक्का मारता है और चूक जाता है। फाइटर A को क्या जवाब देना चाहिए?</v>
      </c>
      <c r="H59" s="5" t="str">
        <f>IFERROR(__xludf.DUMMYFUNCTION("GOOGLETRANSLATE(C59, ""en"", ""hi"")"),"A) तेज़ी से काउंटर पंच मारें। B) रक्षात्मक मुद्रा में रहें। C) फाइटर B के दूसरे पंच मारने का इंतज़ार करें। D) आगे बढ़ें और नॉकआउट का प्रयास करें।")</f>
        <v>A) तेज़ी से काउंटर पंच मारें। B) रक्षात्मक मुद्रा में रहें। C) फाइटर B के दूसरे पंच मारने का इंतज़ार करें। D) आगे बढ़ें और नॉकआउट का प्रयास करें।</v>
      </c>
      <c r="I59" s="5" t="str">
        <f>IFERROR(__xludf.DUMMYFUNCTION("GOOGLETRANSLATE(D59, ""en"", ""hi"")"),"क) त्वरित जवाबी प्रहार करें।")</f>
        <v>क) त्वरित जवाबी प्रहार करें।</v>
      </c>
    </row>
    <row r="60" ht="22.5" customHeight="1">
      <c r="A60" s="2">
        <v>59.0</v>
      </c>
      <c r="B60" s="3" t="s">
        <v>3093</v>
      </c>
      <c r="C60" s="3" t="s">
        <v>3094</v>
      </c>
      <c r="D60" s="3" t="s">
        <v>3095</v>
      </c>
      <c r="F60" s="5" t="str">
        <f>IFERROR(__xludf.DUMMYFUNCTION("GOOGLETRANSLATE(A60, ""en"", ""hi"")"),"59")</f>
        <v>59</v>
      </c>
      <c r="G60" s="5" t="str">
        <f>IFERROR(__xludf.DUMMYFUNCTION("GOOGLETRANSLATE(B60, ""en"", ""hi"")"),"दूसरे राउंड के बीच में, फाइटर A, फाइटर B से घिर जाता है। फाइटर B मुक्के बरसा रहा है, और फाइटर A बचने की कोशिश कर रहा है। फाइटर A को क्या करना चाहिए?")</f>
        <v>दूसरे राउंड के बीच में, फाइटर A, फाइटर B से घिर जाता है। फाइटर B मुक्के बरसा रहा है, और फाइटर A बचने की कोशिश कर रहा है। फाइटर A को क्या करना चाहिए?</v>
      </c>
      <c r="H60" s="5" t="str">
        <f>IFERROR(__xludf.DUMMYFUNCTION("GOOGLETRANSLATE(C60, ""en"", ""hi"")"),"A) फाइटर B को ज़ोरदार मुक्के से दूर धकेलने की कोशिश करें। B) फाइटर B के सभी मुक्कों को रोकने की कोशिश करें। C) कोने से बाहर निकलें और दूरी बनाएँ। D) कोने में रहते हुए मुक्के मारें।")</f>
        <v>A) फाइटर B को ज़ोरदार मुक्के से दूर धकेलने की कोशिश करें। B) फाइटर B के सभी मुक्कों को रोकने की कोशिश करें। C) कोने से बाहर निकलें और दूरी बनाएँ। D) कोने में रहते हुए मुक्के मारें।</v>
      </c>
      <c r="I60" s="5" t="str">
        <f>IFERROR(__xludf.DUMMYFUNCTION("GOOGLETRANSLATE(D60, ""en"", ""hi"")"),"C) कोने से बाहर निकलें और दूरी बनाएं।")</f>
        <v>C) कोने से बाहर निकलें और दूरी बनाएं।</v>
      </c>
    </row>
    <row r="61" ht="22.5" customHeight="1">
      <c r="A61" s="2">
        <v>60.0</v>
      </c>
      <c r="B61" s="3" t="s">
        <v>3096</v>
      </c>
      <c r="C61" s="3" t="s">
        <v>3097</v>
      </c>
      <c r="D61" s="3" t="s">
        <v>3098</v>
      </c>
      <c r="F61" s="5" t="str">
        <f>IFERROR(__xludf.DUMMYFUNCTION("GOOGLETRANSLATE(A61, ""en"", ""hi"")"),"60")</f>
        <v>60</v>
      </c>
      <c r="G61" s="5" t="str">
        <f>IFERROR(__xludf.DUMMYFUNCTION("GOOGLETRANSLATE(B61, ""en"", ""hi"")"),"फाइटर A अंकों के आधार पर लड़ाई में आगे चल रहा है, लेकिन आखिरी राउंड में, फाइटर B एक ज़ोरदार अपरकट लगाता है, जिससे फाइटर A ज़मीन पर गिर जाता है। फाइटर A 10 की गिनती से पहले ही उठ जाता है। अब फाइटर A को किस पर ध्यान केंद्रित करना चाहिए?")</f>
        <v>फाइटर A अंकों के आधार पर लड़ाई में आगे चल रहा है, लेकिन आखिरी राउंड में, फाइटर B एक ज़ोरदार अपरकट लगाता है, जिससे फाइटर A ज़मीन पर गिर जाता है। फाइटर A 10 की गिनती से पहले ही उठ जाता है। अब फाइटर A को किस पर ध्यान केंद्रित करना चाहिए?</v>
      </c>
      <c r="H61" s="5" t="str">
        <f>IFERROR(__xludf.DUMMYFUNCTION("GOOGLETRANSLATE(C61, ""en"", ""hi"")"),"A) अपनी पकड़ फिर से जमाना और आक्रामक रुख अपनाना। B) पॉइंट लीड को बनाए रखने के लिए सावधानी से बचाव करना। C) फाइटर B को नॉकआउट करके मैच खत्म करने की कोशिश करना। D) रेफरी से टाइम-आउट मांगना।")</f>
        <v>A) अपनी पकड़ फिर से जमाना और आक्रामक रुख अपनाना। B) पॉइंट लीड को बनाए रखने के लिए सावधानी से बचाव करना। C) फाइटर B को नॉकआउट करके मैच खत्म करने की कोशिश करना। D) रेफरी से टाइम-आउट मांगना।</v>
      </c>
      <c r="I61" s="5" t="str">
        <f>IFERROR(__xludf.DUMMYFUNCTION("GOOGLETRANSLATE(D61, ""en"", ""hi"")"),"बी) पॉइंट लीड की रक्षा के लिए सावधानीपूर्वक बचाव करना।")</f>
        <v>बी) पॉइंट लीड की रक्षा के लिए सावधानीपूर्वक बचाव करना।</v>
      </c>
    </row>
    <row r="62" ht="22.5" customHeight="1">
      <c r="A62" s="2">
        <v>61.0</v>
      </c>
      <c r="B62" s="3" t="s">
        <v>3099</v>
      </c>
      <c r="C62" s="3" t="s">
        <v>3100</v>
      </c>
      <c r="D62" s="3" t="s">
        <v>3101</v>
      </c>
      <c r="F62" s="5" t="str">
        <f>IFERROR(__xludf.DUMMYFUNCTION("GOOGLETRANSLATE(A62, ""en"", ""hi"")"),"61")</f>
        <v>61</v>
      </c>
      <c r="G62" s="5" t="str">
        <f>IFERROR(__xludf.DUMMYFUNCTION("GOOGLETRANSLATE(B62, ""en"", ""hi"")"),"पूरी लड़ाई के दौरान, फाइटर A ने फाइटर B पर कई बार बॉडी शॉट लगाए हैं। आखिरी राउंड में, फाइटर B की गति धीमी होती दिख रही है। मैच खत्म करने के लिए फाइटर A को क्या करना चाहिए?")</f>
        <v>पूरी लड़ाई के दौरान, फाइटर A ने फाइटर B पर कई बार बॉडी शॉट लगाए हैं। आखिरी राउंड में, फाइटर B की गति धीमी होती दिख रही है। मैच खत्म करने के लिए फाइटर A को क्या करना चाहिए?</v>
      </c>
      <c r="H62" s="5" t="str">
        <f>IFERROR(__xludf.DUMMYFUNCTION("GOOGLETRANSLATE(C62, ""en"", ""hi"")"),"A) फाइटर B को और कमज़ोर करने के लिए शरीर पर लगातार हमला करें। B) नॉकआउट के लिए सिर पर वार करें। C) बचाव पर ध्यान केंद्रित करें और समय का सदुपयोग करें। D) फाइटर B को संभलने का मौका दें।")</f>
        <v>A) फाइटर B को और कमज़ोर करने के लिए शरीर पर लगातार हमला करें। B) नॉकआउट के लिए सिर पर वार करें। C) बचाव पर ध्यान केंद्रित करें और समय का सदुपयोग करें। D) फाइटर B को संभलने का मौका दें।</v>
      </c>
      <c r="I62" s="5" t="str">
        <f>IFERROR(__xludf.DUMMYFUNCTION("GOOGLETRANSLATE(D62, ""en"", ""hi"")"),"ए) फाइटर बी को और कमजोर करने के लिए शरीर पर हमला करते रहें।")</f>
        <v>ए) फाइटर बी को और कमजोर करने के लिए शरीर पर हमला करते रहें।</v>
      </c>
    </row>
    <row r="63" ht="22.5" customHeight="1">
      <c r="A63" s="2">
        <v>62.0</v>
      </c>
      <c r="B63" s="3" t="s">
        <v>3102</v>
      </c>
      <c r="C63" s="3" t="s">
        <v>3103</v>
      </c>
      <c r="D63" s="3" t="s">
        <v>3104</v>
      </c>
      <c r="F63" s="5" t="str">
        <f>IFERROR(__xludf.DUMMYFUNCTION("GOOGLETRANSLATE(A63, ""en"", ""hi"")"),"62")</f>
        <v>62</v>
      </c>
      <c r="G63" s="5" t="str">
        <f>IFERROR(__xludf.DUMMYFUNCTION("GOOGLETRANSLATE(B63, ""en"", ""hi"")"),"मुस्तैदी युद्ध मैच के पहले राउंड में, फाइटर A लगातार फाइटर B पर जैब लगाता है। हालाँकि, फाइटर B जैब के बावजूद भी टिककर आगे बढ़ने में सक्षम है। फाइटर A को क्या बदलाव करने चाहिए?")</f>
        <v>मुस्तैदी युद्ध मैच के पहले राउंड में, फाइटर A लगातार फाइटर B पर जैब लगाता है। हालाँकि, फाइटर B जैब के बावजूद भी टिककर आगे बढ़ने में सक्षम है। फाइटर A को क्या बदलाव करने चाहिए?</v>
      </c>
      <c r="H63" s="5" t="str">
        <f>IFERROR(__xludf.DUMMYFUNCTION("GOOGLETRANSLATE(C63, ""en"", ""hi"")"),"A) फाइटर B को दूर रखने के लिए ज़्यादा घूंसे मारें। B) हुक या अपरकट जैसे ज़्यादा ज़ोरदार मुक्के लगाएँ। C) पूरी तरह से बचाव पर ध्यान केंद्रित करें। D) पीछे हटें और फाइटर B के थकने का इंतज़ार करें।")</f>
        <v>A) फाइटर B को दूर रखने के लिए ज़्यादा घूंसे मारें। B) हुक या अपरकट जैसे ज़्यादा ज़ोरदार मुक्के लगाएँ। C) पूरी तरह से बचाव पर ध्यान केंद्रित करें। D) पीछे हटें और फाइटर B के थकने का इंतज़ार करें।</v>
      </c>
      <c r="I63" s="5" t="str">
        <f>IFERROR(__xludf.DUMMYFUNCTION("GOOGLETRANSLATE(D63, ""en"", ""hi"")"),"बी) हुक या अपरकट जैसे मजबूत पंचों पर स्विच करें।")</f>
        <v>बी) हुक या अपरकट जैसे मजबूत पंचों पर स्विच करें।</v>
      </c>
    </row>
    <row r="64" ht="22.5" customHeight="1">
      <c r="A64" s="2">
        <v>63.0</v>
      </c>
      <c r="B64" s="3" t="s">
        <v>3105</v>
      </c>
      <c r="C64" s="3" t="s">
        <v>3106</v>
      </c>
      <c r="D64" s="3" t="s">
        <v>3107</v>
      </c>
      <c r="F64" s="5" t="str">
        <f>IFERROR(__xludf.DUMMYFUNCTION("GOOGLETRANSLATE(A64, ""en"", ""hi"")"),"63")</f>
        <v>63</v>
      </c>
      <c r="G64" s="5" t="str">
        <f>IFERROR(__xludf.DUMMYFUNCTION("GOOGLETRANSLATE(B64, ""en"", ""hi"")"),"फाइटर A अपनी सहनशक्ति के लिए जाना जाता है, जबकि फाइटर B अपनी विस्फोटक शक्ति के लिए जाना जाता है। अंतिम दौर में, फाइटर B की ऊर्जा समाप्त हो रही है, लेकिन फाइटर A अभी भी तरोताज़ा है। फाइटर A को किस पर ध्यान केंद्रित करना चाहिए?")</f>
        <v>फाइटर A अपनी सहनशक्ति के लिए जाना जाता है, जबकि फाइटर B अपनी विस्फोटक शक्ति के लिए जाना जाता है। अंतिम दौर में, फाइटर B की ऊर्जा समाप्त हो रही है, लेकिन फाइटर A अभी भी तरोताज़ा है। फाइटर A को किस पर ध्यान केंद्रित करना चाहिए?</v>
      </c>
      <c r="H64" s="5" t="str">
        <f>IFERROR(__xludf.DUMMYFUNCTION("GOOGLETRANSLATE(C64, ""en"", ""hi"")"),"A) फाइटर B को पूरी तरह से थका देने के लिए दबाव बनाए रखना। B) नॉकआउट पंच से बचने के लिए सावधानी से बचाव करना। C) लड़ाई को और अधिक प्रतिस्पर्धी बनाने के लिए फाइटर B को ठीक होने देना। D) नज़दीकी मुकाबलों से बचना।")</f>
        <v>A) फाइटर B को पूरी तरह से थका देने के लिए दबाव बनाए रखना। B) नॉकआउट पंच से बचने के लिए सावधानी से बचाव करना। C) लड़ाई को और अधिक प्रतिस्पर्धी बनाने के लिए फाइटर B को ठीक होने देना। D) नज़दीकी मुकाबलों से बचना।</v>
      </c>
      <c r="I64" s="5" t="str">
        <f>IFERROR(__xludf.DUMMYFUNCTION("GOOGLETRANSLATE(D64, ""en"", ""hi"")"),"ए) फाइटर बी को पूरी तरह से थका देने का दबाव बनाए रखना।")</f>
        <v>ए) फाइटर बी को पूरी तरह से थका देने का दबाव बनाए रखना।</v>
      </c>
    </row>
    <row r="65" ht="22.5" customHeight="1">
      <c r="A65" s="2">
        <v>64.0</v>
      </c>
      <c r="B65" s="3" t="s">
        <v>3108</v>
      </c>
      <c r="C65" s="3" t="s">
        <v>3109</v>
      </c>
      <c r="D65" s="3" t="s">
        <v>3110</v>
      </c>
      <c r="F65" s="5" t="str">
        <f>IFERROR(__xludf.DUMMYFUNCTION("GOOGLETRANSLATE(A65, ""en"", ""hi"")"),"64")</f>
        <v>64</v>
      </c>
      <c r="G65" s="5" t="str">
        <f>IFERROR(__xludf.DUMMYFUNCTION("GOOGLETRANSLATE(B65, ""en"", ""hi"")"),"एक मुस्तैदी युद्ध मैच के दौरान, फाइटर A, फाइटर B से गिर जाता है। रेफरी गिनती शुरू करता है, लेकिन फाइटर A तुरंत खड़ा हो जाता है और इशारा करता है कि वह आगे खेलने के लिए तैयार है। फाइटर B को अब क्या करना चाहिए?")</f>
        <v>एक मुस्तैदी युद्ध मैच के दौरान, फाइटर A, फाइटर B से गिर जाता है। रेफरी गिनती शुरू करता है, लेकिन फाइटर A तुरंत खड़ा हो जाता है और इशारा करता है कि वह आगे खेलने के लिए तैयार है। फाइटर B को अब क्या करना चाहिए?</v>
      </c>
      <c r="H65" s="5" t="str">
        <f>IFERROR(__xludf.DUMMYFUNCTION("GOOGLETRANSLATE(C65, ""en"", ""hi"")"),"A) लड़ाई खत्म करने के लिए आक्रामक तरीके से हमला करें। B) फाइटर A के पूरी तरह से ठीक होने का इंतज़ार करें। C) रक्षात्मक रुख बनाए रखें और देखें कि फाइटर A क्या करता है। D) पीछे हटें और रेफरी को फाइटर A की जाँच करने दें।")</f>
        <v>A) लड़ाई खत्म करने के लिए आक्रामक तरीके से हमला करें। B) फाइटर A के पूरी तरह से ठीक होने का इंतज़ार करें। C) रक्षात्मक रुख बनाए रखें और देखें कि फाइटर A क्या करता है। D) पीछे हटें और रेफरी को फाइटर A की जाँच करने दें।</v>
      </c>
      <c r="I65" s="5" t="str">
        <f>IFERROR(__xludf.DUMMYFUNCTION("GOOGLETRANSLATE(D65, ""en"", ""hi"")"),"A) लड़ाई खत्म करने के लिए आक्रामक तरीके से हमला करें।")</f>
        <v>A) लड़ाई खत्म करने के लिए आक्रामक तरीके से हमला करें।</v>
      </c>
    </row>
    <row r="66" ht="22.5" customHeight="1">
      <c r="A66" s="2">
        <v>65.0</v>
      </c>
      <c r="B66" s="3" t="s">
        <v>3111</v>
      </c>
      <c r="C66" s="3" t="s">
        <v>3112</v>
      </c>
      <c r="D66" s="3" t="s">
        <v>3113</v>
      </c>
      <c r="F66" s="5" t="str">
        <f>IFERROR(__xludf.DUMMYFUNCTION("GOOGLETRANSLATE(A66, ""en"", ""hi"")"),"65")</f>
        <v>65</v>
      </c>
      <c r="G66" s="5" t="str">
        <f>IFERROR(__xludf.DUMMYFUNCTION("GOOGLETRANSLATE(B66, ""en"", ""hi"")"),"एक महत्वपूर्ण मुकाबले में, फाइटर A अपने शक्तिशाली मुक्कों के लिए जाना जाता है, लेकिन फाइटर B हमलों से बचने में माहिर है। कई बार मुक्के चूकने के बाद, फाइटर A निराश हो रहा है। फाइटर A को किस पर ध्यान केंद्रित करना चाहिए?")</f>
        <v>एक महत्वपूर्ण मुकाबले में, फाइटर A अपने शक्तिशाली मुक्कों के लिए जाना जाता है, लेकिन फाइटर B हमलों से बचने में माहिर है। कई बार मुक्के चूकने के बाद, फाइटर A निराश हो रहा है। फाइटर A को किस पर ध्यान केंद्रित करना चाहिए?</v>
      </c>
      <c r="H66" s="5" t="str">
        <f>IFERROR(__xludf.DUMMYFUNCTION("GOOGLETRANSLATE(C66, ""en"", ""hi"")"),"A) शक्तिशाली मुक्के मारते रहें। B) गति धीमी करें और सटीक प्रहार करने पर ध्यान केंद्रित करें। C) लड़ाकू B को आक्रामकता से डराने की कोशिश करें। D) हमला करना बंद करें और लड़ाकू B के शुरू करने का इंतज़ार करें।")</f>
        <v>A) शक्तिशाली मुक्के मारते रहें। B) गति धीमी करें और सटीक प्रहार करने पर ध्यान केंद्रित करें। C) लड़ाकू B को आक्रामकता से डराने की कोशिश करें। D) हमला करना बंद करें और लड़ाकू B के शुरू करने का इंतज़ार करें।</v>
      </c>
      <c r="I66" s="5" t="str">
        <f>IFERROR(__xludf.DUMMYFUNCTION("GOOGLETRANSLATE(D66, ""en"", ""hi"")"),"बी) गति धीमी करें और सटीक प्रहार करने पर ध्यान केन्द्रित करें।")</f>
        <v>बी) गति धीमी करें और सटीक प्रहार करने पर ध्यान केन्द्रित करें।</v>
      </c>
    </row>
    <row r="67" ht="22.5" customHeight="1">
      <c r="A67" s="2">
        <v>66.0</v>
      </c>
      <c r="B67" s="3" t="s">
        <v>3114</v>
      </c>
      <c r="C67" s="3" t="s">
        <v>3115</v>
      </c>
      <c r="D67" s="3" t="s">
        <v>3116</v>
      </c>
      <c r="F67" s="5" t="str">
        <f>IFERROR(__xludf.DUMMYFUNCTION("GOOGLETRANSLATE(A67, ""en"", ""hi"")"),"66")</f>
        <v>66</v>
      </c>
      <c r="G67" s="5" t="str">
        <f>IFERROR(__xludf.DUMMYFUNCTION("GOOGLETRANSLATE(B67, ""en"", ""hi"")"),"फ़ाइटर A के अंक कम हैं और फ़ाइनल राउंड में सिर्फ़ 30 सेकंड बचे हैं। फ़ाइटर B आगे है, लेकिन लगता है उसकी गति धीमी पड़ रही है। फ़ाइटर A की रणनीति क्या होनी चाहिए?")</f>
        <v>फ़ाइटर A के अंक कम हैं और फ़ाइनल राउंड में सिर्फ़ 30 सेकंड बचे हैं। फ़ाइटर B आगे है, लेकिन लगता है उसकी गति धीमी पड़ रही है। फ़ाइटर A की रणनीति क्या होनी चाहिए?</v>
      </c>
      <c r="H67" s="5" t="str">
        <f>IFERROR(__xludf.DUMMYFUNCTION("GOOGLETRANSLATE(C67, ""en"", ""hi"")"),"A) मैच जीतने के लिए नॉकआउट का प्रयास करें। B) आगे की क्षति से बचने के लिए रक्षात्मक खेलें। C) फाइटर B से ज़्यादा समय तक टिकने की कोशिश करें और अंकों से जीत हासिल करें। D) रेफरी से और समय की अपील करें।")</f>
        <v>A) मैच जीतने के लिए नॉकआउट का प्रयास करें। B) आगे की क्षति से बचने के लिए रक्षात्मक खेलें। C) फाइटर B से ज़्यादा समय तक टिकने की कोशिश करें और अंकों से जीत हासिल करें। D) रेफरी से और समय की अपील करें।</v>
      </c>
      <c r="I67" s="5" t="str">
        <f>IFERROR(__xludf.DUMMYFUNCTION("GOOGLETRANSLATE(D67, ""en"", ""hi"")"),"ए) मैच जीतने के लिए नॉकआउट का प्रयास करें।")</f>
        <v>ए) मैच जीतने के लिए नॉकआउट का प्रयास करें।</v>
      </c>
    </row>
    <row r="68" ht="22.5" customHeight="1">
      <c r="A68" s="2">
        <v>67.0</v>
      </c>
      <c r="B68" s="3" t="s">
        <v>3117</v>
      </c>
      <c r="C68" s="3" t="s">
        <v>3118</v>
      </c>
      <c r="D68" s="3" t="s">
        <v>3119</v>
      </c>
      <c r="F68" s="5" t="str">
        <f>IFERROR(__xludf.DUMMYFUNCTION("GOOGLETRANSLATE(A68, ""en"", ""hi"")"),"67")</f>
        <v>67</v>
      </c>
      <c r="G68" s="5" t="str">
        <f>IFERROR(__xludf.DUMMYFUNCTION("GOOGLETRANSLATE(B68, ""en"", ""hi"")"),"फाइटर A और फाइटर B एक चैंपियनशिप मुकाबले में हैं। फाइटर A अपने तेज़ फुटवर्क के लिए जाना जाता है, जबकि फाइटर B के पंच ज़बरदस्त हैं। फाइटर A, फाइटर B के ज़्यादातर हमलों को सफलतापूर्वक चकमा दे देता है, लेकिन ज़्यादा पंच नहीं लगा पा रहा है। फाइटर A को अब किस "&amp;"पर ध्यान देना चाहिए?")</f>
        <v>फाइटर A और फाइटर B एक चैंपियनशिप मुकाबले में हैं। फाइटर A अपने तेज़ फुटवर्क के लिए जाना जाता है, जबकि फाइटर B के पंच ज़बरदस्त हैं। फाइटर A, फाइटर B के ज़्यादातर हमलों को सफलतापूर्वक चकमा दे देता है, लेकिन ज़्यादा पंच नहीं लगा पा रहा है। फाइटर A को अब किस पर ध्यान देना चाहिए?</v>
      </c>
      <c r="H68" s="5" t="str">
        <f>IFERROR(__xludf.DUMMYFUNCTION("GOOGLETRANSLATE(C68, ""en"", ""hi"")"),"A) चकमा देते रहें और मौके का इंतज़ार करें। B) गति बढ़ाएँ और फाइटर B को थका देने की कोशिश करें। C) आक्रामक रुख अपनाएँ और मुक्कों का आदान-प्रदान करें। D) रक्षात्मक रुख अपनाएँ और ऊर्जा बचाएँ।")</f>
        <v>A) चकमा देते रहें और मौके का इंतज़ार करें। B) गति बढ़ाएँ और फाइटर B को थका देने की कोशिश करें। C) आक्रामक रुख अपनाएँ और मुक्कों का आदान-प्रदान करें। D) रक्षात्मक रुख अपनाएँ और ऊर्जा बचाएँ।</v>
      </c>
      <c r="I68" s="5" t="str">
        <f>IFERROR(__xludf.DUMMYFUNCTION("GOOGLETRANSLATE(D68, ""en"", ""hi"")"),"बी) गति बढ़ाएँ और फाइटर बी को थका देने का प्रयास करें।")</f>
        <v>बी) गति बढ़ाएँ और फाइटर बी को थका देने का प्रयास करें।</v>
      </c>
    </row>
    <row r="69" ht="22.5" customHeight="1">
      <c r="A69" s="2">
        <v>68.0</v>
      </c>
      <c r="B69" s="3" t="s">
        <v>3120</v>
      </c>
      <c r="C69" s="3" t="s">
        <v>3121</v>
      </c>
      <c r="D69" s="3" t="s">
        <v>3122</v>
      </c>
      <c r="F69" s="5" t="str">
        <f>IFERROR(__xludf.DUMMYFUNCTION("GOOGLETRANSLATE(A69, ""en"", ""hi"")"),"68")</f>
        <v>68</v>
      </c>
      <c r="G69" s="5" t="str">
        <f>IFERROR(__xludf.DUMMYFUNCTION("GOOGLETRANSLATE(B69, ""en"", ""hi"")"),"एक करीबी मुकाबले में, फाइटर A देखता है कि फाइटर B ज़ोर-ज़ोर से साँस लेने लगा है और उसकी गति धीमी हो गई है। फाइटर A के लिए जीत हासिल करने की सबसे अच्छी रणनीति क्या है?")</f>
        <v>एक करीबी मुकाबले में, फाइटर A देखता है कि फाइटर B ज़ोर-ज़ोर से साँस लेने लगा है और उसकी गति धीमी हो गई है। फाइटर A के लिए जीत हासिल करने की सबसे अच्छी रणनीति क्या है?</v>
      </c>
      <c r="H69" s="5" t="str">
        <f>IFERROR(__xludf.DUMMYFUNCTION("GOOGLETRANSLATE(C69, ""en"", ""hi"")"),"A) फाइटर B को और थका देने के लिए उस पर दबाव बनाए रखें। B) किसी भी जोखिम से बचने के लिए लड़ाई को धीमा कर दें। C) आक्रामक तरीके से हमला करें और मैच खत्म करने की कोशिश करें। D) फाइटर B की गलती का इंतज़ार करें।")</f>
        <v>A) फाइटर B को और थका देने के लिए उस पर दबाव बनाए रखें। B) किसी भी जोखिम से बचने के लिए लड़ाई को धीमा कर दें। C) आक्रामक तरीके से हमला करें और मैच खत्म करने की कोशिश करें। D) फाइटर B की गलती का इंतज़ार करें।</v>
      </c>
      <c r="I69" s="5" t="str">
        <f>IFERROR(__xludf.DUMMYFUNCTION("GOOGLETRANSLATE(D69, ""en"", ""hi"")"),"ए) फाइटर बी पर दबाव बनाए रखें ताकि वह और अधिक थक जाए।")</f>
        <v>ए) फाइटर बी पर दबाव बनाए रखें ताकि वह और अधिक थक जाए।</v>
      </c>
    </row>
    <row r="70" ht="22.5" customHeight="1">
      <c r="A70" s="2">
        <v>69.0</v>
      </c>
      <c r="B70" s="3" t="s">
        <v>3123</v>
      </c>
      <c r="C70" s="3" t="s">
        <v>3124</v>
      </c>
      <c r="D70" s="3" t="s">
        <v>3125</v>
      </c>
      <c r="F70" s="5" t="str">
        <f>IFERROR(__xludf.DUMMYFUNCTION("GOOGLETRANSLATE(A70, ""en"", ""hi"")"),"69")</f>
        <v>69</v>
      </c>
      <c r="G70" s="5" t="str">
        <f>IFERROR(__xludf.DUMMYFUNCTION("GOOGLETRANSLATE(B70, ""en"", ""hi"")"),"फाइटर A ने फाइटर B के शरीर पर कई घूँसे मारे हैं, जिससे उसे बेचैनी साफ़ दिखाई दे रही है। फाइटर B ने भी उसके सिर पर कई घूँसे मारे हैं। फाइटर A को अब क्या करना चाहिए?")</f>
        <v>फाइटर A ने फाइटर B के शरीर पर कई घूँसे मारे हैं, जिससे उसे बेचैनी साफ़ दिखाई दे रही है। फाइटर B ने भी उसके सिर पर कई घूँसे मारे हैं। फाइटर A को अब क्या करना चाहिए?</v>
      </c>
      <c r="H70" s="5" t="str">
        <f>IFERROR(__xludf.DUMMYFUNCTION("GOOGLETRANSLATE(C70, ""en"", ""hi"")"),"A) सिर की रक्षा पर ध्यान केंद्रित करें। B) फाइटर B को और कमज़ोर करने के लिए शरीर पर लगातार हमला करते रहें। C) पीछे हटें और नज़दीकी मुक़ाबले से बचें। D) फाइटर B को सिर पर गोली मारकर बेहोश करने की कोशिश करें।")</f>
        <v>A) सिर की रक्षा पर ध्यान केंद्रित करें। B) फाइटर B को और कमज़ोर करने के लिए शरीर पर लगातार हमला करते रहें। C) पीछे हटें और नज़दीकी मुक़ाबले से बचें। D) फाइटर B को सिर पर गोली मारकर बेहोश करने की कोशिश करें।</v>
      </c>
      <c r="I70" s="5" t="str">
        <f>IFERROR(__xludf.DUMMYFUNCTION("GOOGLETRANSLATE(D70, ""en"", ""hi"")"),"बी) फाइटर बी को और कमजोर करने के लिए शरीर पर हमला करते रहें।")</f>
        <v>बी) फाइटर बी को और कमजोर करने के लिए शरीर पर हमला करते रहें।</v>
      </c>
    </row>
    <row r="71" ht="22.5" customHeight="1">
      <c r="A71" s="2">
        <v>70.0</v>
      </c>
      <c r="B71" s="3" t="s">
        <v>3126</v>
      </c>
      <c r="C71" s="3" t="s">
        <v>3127</v>
      </c>
      <c r="D71" s="3" t="s">
        <v>3128</v>
      </c>
      <c r="F71" s="5" t="str">
        <f>IFERROR(__xludf.DUMMYFUNCTION("GOOGLETRANSLATE(A71, ""en"", ""hi"")"),"70")</f>
        <v>70</v>
      </c>
      <c r="G71" s="5" t="str">
        <f>IFERROR(__xludf.DUMMYFUNCTION("GOOGLETRANSLATE(B71, ""en"", ""hi"")"),"एक तीखी बहस के दौरान, फाइटर A एक ऐसा मुक्का मारता है जिससे फाइटर B अचेत हो जाता है। फाइटर A कुछ देर के लिए हिचकिचाता है। फाइटर A के लिए सबसे अच्छा उपाय क्या है?")</f>
        <v>एक तीखी बहस के दौरान, फाइटर A एक ऐसा मुक्का मारता है जिससे फाइटर B अचेत हो जाता है। फाइटर A कुछ देर के लिए हिचकिचाता है। फाइटर A के लिए सबसे अच्छा उपाय क्या है?</v>
      </c>
      <c r="H71" s="5" t="str">
        <f>IFERROR(__xludf.DUMMYFUNCTION("GOOGLETRANSLATE(C71, ""en"", ""hi"")"),"A) पीछे हटें और स्थिति का आकलन करें। B) तुरंत नॉकआउट करें। C) फाइटर B के ठीक होने का इंतज़ार करें। D) रक्षात्मक मोड में आ जाएँ।")</f>
        <v>A) पीछे हटें और स्थिति का आकलन करें। B) तुरंत नॉकआउट करें। C) फाइटर B के ठीक होने का इंतज़ार करें। D) रक्षात्मक मोड में आ जाएँ।</v>
      </c>
      <c r="I71" s="5" t="str">
        <f>IFERROR(__xludf.DUMMYFUNCTION("GOOGLETRANSLATE(D71, ""en"", ""hi"")"),"बी) तुरंत नॉकआउट के लिए जाओ।")</f>
        <v>बी) तुरंत नॉकआउट के लिए जाओ।</v>
      </c>
    </row>
    <row r="72" ht="22.5" customHeight="1">
      <c r="A72" s="2">
        <v>71.0</v>
      </c>
      <c r="B72" s="3" t="s">
        <v>3129</v>
      </c>
      <c r="C72" s="3" t="s">
        <v>3130</v>
      </c>
      <c r="D72" s="3" t="s">
        <v>3131</v>
      </c>
      <c r="F72" s="5" t="str">
        <f>IFERROR(__xludf.DUMMYFUNCTION("GOOGLETRANSLATE(A72, ""en"", ""hi"")"),"71")</f>
        <v>71</v>
      </c>
      <c r="G72" s="5" t="str">
        <f>IFERROR(__xludf.DUMMYFUNCTION("GOOGLETRANSLATE(B72, ""en"", ""hi"")"),"फाइटर A अंकों के आधार पर आगे चल रहा है, लेकिन फाइटर B एक ऐसा मुक्का मारता है जिससे फाइटर A ज़मीन पर गिर जाता है। फाइटर A फिर से उठ खड़ा होता है, लेकिन लड़खड़ाता हुआ दिखता है। फाइटर B को क्या करना चाहिए?")</f>
        <v>फाइटर A अंकों के आधार पर आगे चल रहा है, लेकिन फाइटर B एक ऐसा मुक्का मारता है जिससे फाइटर A ज़मीन पर गिर जाता है। फाइटर A फिर से उठ खड़ा होता है, लेकिन लड़खड़ाता हुआ दिखता है। फाइटर B को क्या करना चाहिए?</v>
      </c>
      <c r="H72" s="5" t="str">
        <f>IFERROR(__xludf.DUMMYFUNCTION("GOOGLETRANSLATE(C72, ""en"", ""hi"")"),"A) ज़्यादा मुक्कों से दबाव बनाए रखें। B) पीछे हटें और फाइटर A को संतुलन हासिल करने दें। C) आखिरी राउंड के लिए ऊर्जा बचाने की कोशिश करें। D) आगे मुक्कों से बचें और बचाव पर ध्यान केंद्रित करें।")</f>
        <v>A) ज़्यादा मुक्कों से दबाव बनाए रखें। B) पीछे हटें और फाइटर A को संतुलन हासिल करने दें। C) आखिरी राउंड के लिए ऊर्जा बचाने की कोशिश करें। D) आगे मुक्कों से बचें और बचाव पर ध्यान केंद्रित करें।</v>
      </c>
      <c r="I72" s="5" t="str">
        <f>IFERROR(__xludf.DUMMYFUNCTION("GOOGLETRANSLATE(D72, ""en"", ""hi"")"),"क) अधिक मुक्कों से दबाव बनाए रखें।")</f>
        <v>क) अधिक मुक्कों से दबाव बनाए रखें।</v>
      </c>
    </row>
    <row r="73" ht="22.5" customHeight="1">
      <c r="A73" s="2">
        <v>72.0</v>
      </c>
      <c r="B73" s="3" t="s">
        <v>3132</v>
      </c>
      <c r="C73" s="3" t="s">
        <v>3133</v>
      </c>
      <c r="D73" s="3" t="s">
        <v>3134</v>
      </c>
      <c r="F73" s="5" t="str">
        <f>IFERROR(__xludf.DUMMYFUNCTION("GOOGLETRANSLATE(A73, ""en"", ""hi"")"),"72")</f>
        <v>72</v>
      </c>
      <c r="G73" s="5" t="str">
        <f>IFERROR(__xludf.DUMMYFUNCTION("GOOGLETRANSLATE(B73, ""en"", ""hi"")"),"एक चैंपियनशिप मैच में, फाइटर A, फाइटर B की गलतियों का इंतज़ार करते हुए, काउंटर-पंचिंग रणनीति अपना रहा है। हालाँकि, फाइटर B सतर्क है और ज़्यादा हमला नहीं कर रहा है। फाइटर A को कैसे एडजस्ट करना चाहिए?")</f>
        <v>एक चैंपियनशिप मैच में, फाइटर A, फाइटर B की गलतियों का इंतज़ार करते हुए, काउंटर-पंचिंग रणनीति अपना रहा है। हालाँकि, फाइटर B सतर्क है और ज़्यादा हमला नहीं कर रहा है। फाइटर A को कैसे एडजस्ट करना चाहिए?</v>
      </c>
      <c r="H73" s="5" t="str">
        <f>IFERROR(__xludf.DUMMYFUNCTION("GOOGLETRANSLATE(C73, ""en"", ""hi"")"),"A) फाइटर B के हमले का इंतज़ार करते रहें। B) रणनीति बदलें और ज़्यादा आक्रामक बनें। C) फाइटर B को छल-कपट से उकसाने की कोशिश करें। D) पूरी तरह से बचाव पर ध्यान केंद्रित करें।")</f>
        <v>A) फाइटर B के हमले का इंतज़ार करते रहें। B) रणनीति बदलें और ज़्यादा आक्रामक बनें। C) फाइटर B को छल-कपट से उकसाने की कोशिश करें। D) पूरी तरह से बचाव पर ध्यान केंद्रित करें।</v>
      </c>
      <c r="I73" s="5" t="str">
        <f>IFERROR(__xludf.DUMMYFUNCTION("GOOGLETRANSLATE(D73, ""en"", ""hi"")"),"सी) लड़ाकू बी को छल-कपट से उकसाने का प्रयास करें।")</f>
        <v>सी) लड़ाकू बी को छल-कपट से उकसाने का प्रयास करें।</v>
      </c>
    </row>
    <row r="74" ht="22.5" customHeight="1">
      <c r="A74" s="2">
        <v>73.0</v>
      </c>
      <c r="B74" s="3" t="s">
        <v>3135</v>
      </c>
      <c r="C74" s="3" t="s">
        <v>3136</v>
      </c>
      <c r="D74" s="3" t="s">
        <v>3137</v>
      </c>
      <c r="F74" s="5" t="str">
        <f>IFERROR(__xludf.DUMMYFUNCTION("GOOGLETRANSLATE(A74, ""en"", ""hi"")"),"73")</f>
        <v>73</v>
      </c>
      <c r="G74" s="5" t="str">
        <f>IFERROR(__xludf.DUMMYFUNCTION("GOOGLETRANSLATE(B74, ""en"", ""hi"")"),"मैच के बीच में, फाइटर A, फाइटर B पर एक ज़ोरदार बॉडी शॉट सफलतापूर्वक लगाता है, जिससे फाइटर B दर्द से कराह उठता है। फाइटर A के लिए इस मौके का फ़ायदा उठाने का सबसे अच्छा तरीका क्या है?")</f>
        <v>मैच के बीच में, फाइटर A, फाइटर B पर एक ज़ोरदार बॉडी शॉट सफलतापूर्वक लगाता है, जिससे फाइटर B दर्द से कराह उठता है। फाइटर A के लिए इस मौके का फ़ायदा उठाने का सबसे अच्छा तरीका क्या है?</v>
      </c>
      <c r="H74" s="5" t="str">
        <f>IFERROR(__xludf.DUMMYFUNCTION("GOOGLETRANSLATE(C74, ""en"", ""hi"")"),"A) शरीर पर वार करना जारी रखें। B) नॉकआउट के लिए सिर पर मुक्के मारना शुरू करें। C) पीछे हटें और फाइटर B को ठीक होने दें। D) निष्पक्ष खेलने के लिए घायल क्षेत्र पर वार करने से बचें।")</f>
        <v>A) शरीर पर वार करना जारी रखें। B) नॉकआउट के लिए सिर पर मुक्के मारना शुरू करें। C) पीछे हटें और फाइटर B को ठीक होने दें। D) निष्पक्ष खेलने के लिए घायल क्षेत्र पर वार करने से बचें।</v>
      </c>
      <c r="I74" s="5" t="str">
        <f>IFERROR(__xludf.DUMMYFUNCTION("GOOGLETRANSLATE(D74, ""en"", ""hi"")"),"क) शरीर पर आक्रमण जारी रखें।")</f>
        <v>क) शरीर पर आक्रमण जारी रखें।</v>
      </c>
    </row>
    <row r="75" ht="22.5" customHeight="1">
      <c r="A75" s="2">
        <v>74.0</v>
      </c>
      <c r="B75" s="3" t="s">
        <v>3138</v>
      </c>
      <c r="C75" s="3" t="s">
        <v>3139</v>
      </c>
      <c r="D75" s="3" t="s">
        <v>3140</v>
      </c>
      <c r="F75" s="5" t="str">
        <f>IFERROR(__xludf.DUMMYFUNCTION("GOOGLETRANSLATE(A75, ""en"", ""hi"")"),"74")</f>
        <v>74</v>
      </c>
      <c r="G75" s="5" t="str">
        <f>IFERROR(__xludf.DUMMYFUNCTION("GOOGLETRANSLATE(B75, ""en"", ""hi"")"),"फाइटर A अपने शक्तिशाली मुक्कों के लिए जाना जाता है, लेकिन फाइटर B का डिफेंस पूरे मैच में मज़बूत रहा। अंतिम राउंड में, फाइटर A थकने लगता है। मैच जीतने के लिए फाइटर B को किस पर ध्यान केंद्रित करना चाहिए?")</f>
        <v>फाइटर A अपने शक्तिशाली मुक्कों के लिए जाना जाता है, लेकिन फाइटर B का डिफेंस पूरे मैच में मज़बूत रहा। अंतिम राउंड में, फाइटर A थकने लगता है। मैच जीतने के लिए फाइटर B को किस पर ध्यान केंद्रित करना चाहिए?</v>
      </c>
      <c r="H75" s="5" t="str">
        <f>IFERROR(__xludf.DUMMYFUNCTION("GOOGLETRANSLATE(C75, ""en"", ""hi"")"),"A) बचाव करते रहें और फाइटर A को थकने दें। B) फाइटर A की थकान का फायदा उठाने के लिए आक्रामक तरीके से हमला करें। C) फाइटर A को और थका देने के लिए बॉडी शॉट्स पर ध्यान केंद्रित करें। D) नॉकआउट पंच लगाने के मौके का इंतज़ार करें।")</f>
        <v>A) बचाव करते रहें और फाइटर A को थकने दें। B) फाइटर A की थकान का फायदा उठाने के लिए आक्रामक तरीके से हमला करें। C) फाइटर A को और थका देने के लिए बॉडी शॉट्स पर ध्यान केंद्रित करें। D) नॉकआउट पंच लगाने के मौके का इंतज़ार करें।</v>
      </c>
      <c r="I75" s="5" t="str">
        <f>IFERROR(__xludf.DUMMYFUNCTION("GOOGLETRANSLATE(D75, ""en"", ""hi"")"),"बी) फाइटर ए की थकान का फायदा उठाने के लिए आक्रामक तरीके से हमला करें।")</f>
        <v>बी) फाइटर ए की थकान का फायदा उठाने के लिए आक्रामक तरीके से हमला करें।</v>
      </c>
    </row>
    <row r="76" ht="22.5" customHeight="1">
      <c r="A76" s="2">
        <v>75.0</v>
      </c>
      <c r="B76" s="3" t="s">
        <v>3141</v>
      </c>
      <c r="C76" s="3" t="s">
        <v>3142</v>
      </c>
      <c r="D76" s="3" t="s">
        <v>3143</v>
      </c>
      <c r="F76" s="5" t="str">
        <f>IFERROR(__xludf.DUMMYFUNCTION("GOOGLETRANSLATE(A76, ""en"", ""hi"")"),"75")</f>
        <v>75</v>
      </c>
      <c r="G76" s="5" t="str">
        <f>IFERROR(__xludf.DUMMYFUNCTION("GOOGLETRANSLATE(B76, ""en"", ""hi"")"),"मुस्तैदी युद्ध के दौरान, फाइटर A लगातार आक्रामक हमले कर रहा है, लेकिन फाइटर B अपनी पहुँच का फ़ायदा उठाकर जैब लगा रहा है। दूरी को प्रभावी ढंग से कम करने के लिए फाइटर A को क्या करना चाहिए?")</f>
        <v>मुस्तैदी युद्ध के दौरान, फाइटर A लगातार आक्रामक हमले कर रहा है, लेकिन फाइटर B अपनी पहुँच का फ़ायदा उठाकर जैब लगा रहा है। दूरी को प्रभावी ढंग से कम करने के लिए फाइटर A को क्या करना चाहिए?</v>
      </c>
      <c r="H76" s="5" t="str">
        <f>IFERROR(__xludf.DUMMYFUNCTION("GOOGLETRANSLATE(C76, ""en"", ""hi"")"),"A) उन्हीं हमलों के साथ तेज़ी से आगे बढ़ते रहें। B) फाइटर B की पहुँच में आने के लिए सिर और पैरों की गति का इस्तेमाल करें। C) पीछे रहें और फाइटर B के थकने का इंतज़ार करें। D) फाइटर B के वार का जवाब देने पर ध्यान केंद्रित करें।")</f>
        <v>A) उन्हीं हमलों के साथ तेज़ी से आगे बढ़ते रहें। B) फाइटर B की पहुँच में आने के लिए सिर और पैरों की गति का इस्तेमाल करें। C) पीछे रहें और फाइटर B के थकने का इंतज़ार करें। D) फाइटर B के वार का जवाब देने पर ध्यान केंद्रित करें।</v>
      </c>
      <c r="I76" s="5" t="str">
        <f>IFERROR(__xludf.DUMMYFUNCTION("GOOGLETRANSLATE(D76, ""en"", ""hi"")"),"बी) फाइटर बी की पहुंच के अंदर आने के लिए सिर की गति और पैरों का प्रयोग करें।")</f>
        <v>बी) फाइटर बी की पहुंच के अंदर आने के लिए सिर की गति और पैरों का प्रयोग करें।</v>
      </c>
    </row>
    <row r="77" ht="22.5" customHeight="1">
      <c r="A77" s="2">
        <v>76.0</v>
      </c>
      <c r="B77" s="3" t="s">
        <v>3144</v>
      </c>
      <c r="C77" s="3" t="s">
        <v>3145</v>
      </c>
      <c r="D77" s="3" t="s">
        <v>3116</v>
      </c>
      <c r="F77" s="5" t="str">
        <f>IFERROR(__xludf.DUMMYFUNCTION("GOOGLETRANSLATE(A77, ""en"", ""hi"")"),"76")</f>
        <v>76</v>
      </c>
      <c r="G77" s="5" t="str">
        <f>IFERROR(__xludf.DUMMYFUNCTION("GOOGLETRANSLATE(B77, ""en"", ""hi"")"),"फाइटर A मैच में पिछड़ रहा है और अंकों में पीछे है। फाइटर B आगे है, लेकिन थका हुआ लग रहा है। फाइटर A को अंतिम राउंड में कैसे आगे बढ़ना चाहिए?")</f>
        <v>फाइटर A मैच में पिछड़ रहा है और अंकों में पीछे है। फाइटर B आगे है, लेकिन थका हुआ लग रहा है। फाइटर A को अंतिम राउंड में कैसे आगे बढ़ना चाहिए?</v>
      </c>
      <c r="H77" s="5" t="str">
        <f>IFERROR(__xludf.DUMMYFUNCTION("GOOGLETRANSLATE(C77, ""en"", ""hi"")"),"A) मैच जीतने के लिए नॉकआउट का प्रयास करें। B) ऊर्जा बचाएँ और सुरक्षित खेलें। C) रक्षात्मक रणनीति के साथ अंकों से जीतने का प्रयास करें। D) ब्रेक लें और फाइटर B के हमले का इंतज़ार करें।")</f>
        <v>A) मैच जीतने के लिए नॉकआउट का प्रयास करें। B) ऊर्जा बचाएँ और सुरक्षित खेलें। C) रक्षात्मक रणनीति के साथ अंकों से जीतने का प्रयास करें। D) ब्रेक लें और फाइटर B के हमले का इंतज़ार करें।</v>
      </c>
      <c r="I77" s="5" t="str">
        <f>IFERROR(__xludf.DUMMYFUNCTION("GOOGLETRANSLATE(D77, ""en"", ""hi"")"),"ए) मैच जीतने के लिए नॉकआउट का प्रयास करें।")</f>
        <v>ए) मैच जीतने के लिए नॉकआउट का प्रयास करें।</v>
      </c>
    </row>
    <row r="78" ht="22.5" customHeight="1">
      <c r="A78" s="2">
        <v>77.0</v>
      </c>
      <c r="B78" s="3" t="s">
        <v>3146</v>
      </c>
      <c r="C78" s="3" t="s">
        <v>3147</v>
      </c>
      <c r="D78" s="3" t="s">
        <v>3148</v>
      </c>
      <c r="F78" s="5" t="str">
        <f>IFERROR(__xludf.DUMMYFUNCTION("GOOGLETRANSLATE(A78, ""en"", ""hi"")"),"77")</f>
        <v>77</v>
      </c>
      <c r="G78" s="5" t="str">
        <f>IFERROR(__xludf.DUMMYFUNCTION("GOOGLETRANSLATE(B78, ""en"", ""hi"")"),"अंतिम राउंड में, फाइटर A अंकों के मामले में आगे है, लेकिन फाइटर B के एक ज़ोरदार मुक्के से गिर जाता है। फाइटर A को स्पष्ट रूप से चोट लगी है, लेकिन वह अभी भी खड़ा है। फाइटर A को बाकी राउंड में किस पर ध्यान केंद्रित करना चाहिए?")</f>
        <v>अंतिम राउंड में, फाइटर A अंकों के मामले में आगे है, लेकिन फाइटर B के एक ज़ोरदार मुक्के से गिर जाता है। फाइटर A को स्पष्ट रूप से चोट लगी है, लेकिन वह अभी भी खड़ा है। फाइटर A को बाकी राउंड में किस पर ध्यान केंद्रित करना चाहिए?</v>
      </c>
      <c r="H78" s="5" t="str">
        <f>IFERROR(__xludf.DUMMYFUNCTION("GOOGLETRANSLATE(C78, ""en"", ""hi"")"),"A) बचाव करें और दोबारा वार से बचें। B) नियंत्रण पाने के लिए आक्रामक तरीके से हमला करें। C) स्थिर रहें और उम्मीद करें कि फाइटर B थक जाए। D) फाइटर B को नॉकआउट करने की कोशिश करें।")</f>
        <v>A) बचाव करें और दोबारा वार से बचें। B) नियंत्रण पाने के लिए आक्रामक तरीके से हमला करें। C) स्थिर रहें और उम्मीद करें कि फाइटर B थक जाए। D) फाइटर B को नॉकआउट करने की कोशिश करें।</v>
      </c>
      <c r="I78" s="5" t="str">
        <f>IFERROR(__xludf.DUMMYFUNCTION("GOOGLETRANSLATE(D78, ""en"", ""hi"")"),"क) बचाव करें और दोबारा चोट लगने से बचें।")</f>
        <v>क) बचाव करें और दोबारा चोट लगने से बचें।</v>
      </c>
    </row>
    <row r="79" ht="22.5" customHeight="1">
      <c r="A79" s="2">
        <v>78.0</v>
      </c>
      <c r="B79" s="3" t="s">
        <v>3149</v>
      </c>
      <c r="C79" s="3" t="s">
        <v>3150</v>
      </c>
      <c r="D79" s="3" t="s">
        <v>3151</v>
      </c>
      <c r="F79" s="5" t="str">
        <f>IFERROR(__xludf.DUMMYFUNCTION("GOOGLETRANSLATE(A79, ""en"", ""hi"")"),"78")</f>
        <v>78</v>
      </c>
      <c r="G79" s="5" t="str">
        <f>IFERROR(__xludf.DUMMYFUNCTION("GOOGLETRANSLATE(B79, ""en"", ""hi"")"),"फाइटर A लगातार अच्छे पंच लगा रहा है, लेकिन फाइटर B का डिफेंस कड़ा है। जैसे-जैसे मैच आगे बढ़ रहा है, फाइटर B की गति धीमी पड़ने के संकेत दिख रहे हैं। फाइटर A को किस पर ध्यान केंद्रित करना चाहिए?")</f>
        <v>फाइटर A लगातार अच्छे पंच लगा रहा है, लेकिन फाइटर B का डिफेंस कड़ा है। जैसे-जैसे मैच आगे बढ़ रहा है, फाइटर B की गति धीमी पड़ने के संकेत दिख रहे हैं। फाइटर A को किस पर ध्यान केंद्रित करना चाहिए?</v>
      </c>
      <c r="H79" s="5" t="str">
        <f>IFERROR(__xludf.DUMMYFUNCTION("GOOGLETRANSLATE(C79, ""en"", ""hi"")"),"A) वही गति और दबाव बनाए रखें। B) आराम से रहें और ऊर्जा बचाएँ। C) फाइटर B को और कमज़ोर करने के लिए बॉडी पंच पर ध्यान केंद्रित करें। D) तुरंत नॉकआउट पंच लगाने की कोशिश करें।")</f>
        <v>A) वही गति और दबाव बनाए रखें। B) आराम से रहें और ऊर्जा बचाएँ। C) फाइटर B को और कमज़ोर करने के लिए बॉडी पंच पर ध्यान केंद्रित करें। D) तुरंत नॉकआउट पंच लगाने की कोशिश करें।</v>
      </c>
      <c r="I79" s="5" t="str">
        <f>IFERROR(__xludf.DUMMYFUNCTION("GOOGLETRANSLATE(D79, ""en"", ""hi"")"),"सी) फाइटर बी को और अधिक थका देने के लिए शरीर पर प्रहार पर ध्यान केन्द्रित करें।")</f>
        <v>सी) फाइटर बी को और अधिक थका देने के लिए शरीर पर प्रहार पर ध्यान केन्द्रित करें।</v>
      </c>
    </row>
    <row r="80" ht="22.5" customHeight="1">
      <c r="A80" s="2">
        <v>79.0</v>
      </c>
      <c r="B80" s="3" t="s">
        <v>3152</v>
      </c>
      <c r="C80" s="3" t="s">
        <v>3153</v>
      </c>
      <c r="D80" s="3" t="s">
        <v>3154</v>
      </c>
      <c r="F80" s="5" t="str">
        <f>IFERROR(__xludf.DUMMYFUNCTION("GOOGLETRANSLATE(A80, ""en"", ""hi"")"),"79")</f>
        <v>79</v>
      </c>
      <c r="G80" s="5" t="str">
        <f>IFERROR(__xludf.DUMMYFUNCTION("GOOGLETRANSLATE(B80, ""en"", ""hi"")"),"फाइटर A अपनी गति के लिए जाना जाता है, जबकि फाइटर B का नॉकआउट पंच बहुत शक्तिशाली है। मैच के दौरान, फाइटर A, फाइटर B के ज़्यादातर हमलों से बचता है, लेकिन ज़्यादा नुकसान नहीं पहुँचा पाता। फाइटर A को अब क्या करना चाहिए?")</f>
        <v>फाइटर A अपनी गति के लिए जाना जाता है, जबकि फाइटर B का नॉकआउट पंच बहुत शक्तिशाली है। मैच के दौरान, फाइटर A, फाइटर B के ज़्यादातर हमलों से बचता है, लेकिन ज़्यादा नुकसान नहीं पहुँचा पाता। फाइटर A को अब क्या करना चाहिए?</v>
      </c>
      <c r="H80" s="5" t="str">
        <f>IFERROR(__xludf.DUMMYFUNCTION("GOOGLETRANSLATE(C80, ""en"", ""hi"")"),"A) फाइटर B के मुक्कों से बचते रहें। B) गति बढ़ाएँ और फाइटर B को ज़ोर से दबाने की कोशिश करें। C) फाइटर B के थकने का इंतज़ार करें। D) ज़्यादा रक्षात्मक रणनीति अपनाएँ।")</f>
        <v>A) फाइटर B के मुक्कों से बचते रहें। B) गति बढ़ाएँ और फाइटर B को ज़ोर से दबाने की कोशिश करें। C) फाइटर B के थकने का इंतज़ार करें। D) ज़्यादा रक्षात्मक रणनीति अपनाएँ।</v>
      </c>
      <c r="I80" s="5" t="str">
        <f>IFERROR(__xludf.DUMMYFUNCTION("GOOGLETRANSLATE(D80, ""en"", ""hi"")"),"बी) गति बढ़ाएँ और फाइटर बी को वॉल्यूम से पराजित करने का प्रयास करें।")</f>
        <v>बी) गति बढ़ाएँ और फाइटर बी को वॉल्यूम से पराजित करने का प्रयास करें।</v>
      </c>
    </row>
    <row r="81" ht="22.5" customHeight="1">
      <c r="A81" s="2">
        <v>80.0</v>
      </c>
      <c r="B81" s="3" t="s">
        <v>3155</v>
      </c>
      <c r="C81" s="3" t="s">
        <v>3156</v>
      </c>
      <c r="D81" s="3" t="s">
        <v>3157</v>
      </c>
      <c r="F81" s="5" t="str">
        <f>IFERROR(__xludf.DUMMYFUNCTION("GOOGLETRANSLATE(A81, ""en"", ""hi"")"),"80")</f>
        <v>80</v>
      </c>
      <c r="G81" s="5" t="str">
        <f>IFERROR(__xludf.DUMMYFUNCTION("GOOGLETRANSLATE(B81, ""en"", ""hi"")"),"एक मुस्तैदी युद्ध मैच के दौरान, फाइटर A, फाइटर B के एक आश्चर्यजनक मुक्के से गिर जाता है। काउंट खत्म होने से पहले ही फाइटर A खड़ा हो जाता है। अब फाइटर A को क्या करना चाहिए?")</f>
        <v>एक मुस्तैदी युद्ध मैच के दौरान, फाइटर A, फाइटर B के एक आश्चर्यजनक मुक्के से गिर जाता है। काउंट खत्म होने से पहले ही फाइटर A खड़ा हो जाता है। अब फाइटर A को क्या करना चाहिए?</v>
      </c>
      <c r="H81" s="5" t="str">
        <f>IFERROR(__xludf.DUMMYFUNCTION("GOOGLETRANSLATE(C81, ""en"", ""hi"")"),"A) एक और नॉकडाउन से बचने के लिए सावधानी से बचाव करें। B) नियंत्रण पाने के लिए तुरंत हमला करें। C) ब्रेक लें और संभल जाएँ। D) मैच खत्म करने के लिए फाइटर B को नॉकआउट करने की कोशिश करें।")</f>
        <v>A) एक और नॉकडाउन से बचने के लिए सावधानी से बचाव करें। B) नियंत्रण पाने के लिए तुरंत हमला करें। C) ब्रेक लें और संभल जाएँ। D) मैच खत्म करने के लिए फाइटर B को नॉकआउट करने की कोशिश करें।</v>
      </c>
      <c r="I81" s="5" t="str">
        <f>IFERROR(__xludf.DUMMYFUNCTION("GOOGLETRANSLATE(D81, ""en"", ""hi"")"),"ए) एक और नॉकडाउन से बचने के लिए सावधानीपूर्वक बचाव करें।")</f>
        <v>ए) एक और नॉकडाउन से बचने के लिए सावधानीपूर्वक बचाव करें।</v>
      </c>
    </row>
    <row r="82" ht="22.5" customHeight="1">
      <c r="A82" s="2">
        <v>81.0</v>
      </c>
      <c r="B82" s="3" t="s">
        <v>3158</v>
      </c>
      <c r="C82" s="3" t="s">
        <v>3159</v>
      </c>
      <c r="D82" s="3" t="s">
        <v>3160</v>
      </c>
      <c r="F82" s="5" t="str">
        <f>IFERROR(__xludf.DUMMYFUNCTION("GOOGLETRANSLATE(A82, ""en"", ""hi"")"),"81")</f>
        <v>81</v>
      </c>
      <c r="G82" s="5" t="str">
        <f>IFERROR(__xludf.DUMMYFUNCTION("GOOGLETRANSLATE(B82, ""en"", ""hi"")"),"एक मुस्तैदी युद्ध मैच में, फाइटर A दूरी को नियंत्रित करने के लिए ज़ोरदार जैब का इस्तेमाल कर रहा है। फाइटर B को फाइटर A के मुक्कों की रेंज में आने में परेशानी हो रही है। फाइटर B को क्या करना चाहिए?")</f>
        <v>एक मुस्तैदी युद्ध मैच में, फाइटर A दूरी को नियंत्रित करने के लिए ज़ोरदार जैब का इस्तेमाल कर रहा है। फाइटर B को फाइटर A के मुक्कों की रेंज में आने में परेशानी हो रही है। फाइटर B को क्या करना चाहिए?</v>
      </c>
      <c r="H82" s="5" t="str">
        <f>IFERROR(__xludf.DUMMYFUNCTION("GOOGLETRANSLATE(C82, ""en"", ""hi"")"),"A) जैब के बावजूद तेज़ी से आगे बढ़ने की कोशिश करते रहें। B) जैब से बचने और अंदर जाने के लिए सिर हिलाएँ। C) बाहर रहें और फाइटर A के थकने का इंतज़ार करें। D) जैब से बचाव पर ध्यान केंद्रित करें।")</f>
        <v>A) जैब के बावजूद तेज़ी से आगे बढ़ने की कोशिश करते रहें। B) जैब से बचने और अंदर जाने के लिए सिर हिलाएँ। C) बाहर रहें और फाइटर A के थकने का इंतज़ार करें। D) जैब से बचाव पर ध्यान केंद्रित करें।</v>
      </c>
      <c r="I82" s="5" t="str">
        <f>IFERROR(__xludf.DUMMYFUNCTION("GOOGLETRANSLATE(D82, ""en"", ""hi"")"),"बी) जैब्स से बचने और अंदर जाने के लिए सिर की गति का उपयोग करें।")</f>
        <v>बी) जैब्स से बचने और अंदर जाने के लिए सिर की गति का उपयोग करें।</v>
      </c>
    </row>
    <row r="83" ht="22.5" customHeight="1">
      <c r="A83" s="2">
        <v>82.0</v>
      </c>
      <c r="B83" s="3" t="s">
        <v>3161</v>
      </c>
      <c r="C83" s="3" t="s">
        <v>3162</v>
      </c>
      <c r="D83" s="3" t="s">
        <v>3163</v>
      </c>
      <c r="F83" s="5" t="str">
        <f>IFERROR(__xludf.DUMMYFUNCTION("GOOGLETRANSLATE(A83, ""en"", ""hi"")"),"82")</f>
        <v>82</v>
      </c>
      <c r="G83" s="5" t="str">
        <f>IFERROR(__xludf.DUMMYFUNCTION("GOOGLETRANSLATE(B83, ""en"", ""hi"")"),"फाइटर A ने एक ऐसा पंच मारा जिससे फाइटर B बेहोश हो गया। फाइटर B हिलता हुआ ज़रूर दिख रहा है, लेकिन गिरा नहीं है। फाइटर A के लिए सबसे अच्छी चाल क्या है?")</f>
        <v>फाइटर A ने एक ऐसा पंच मारा जिससे फाइटर B बेहोश हो गया। फाइटर B हिलता हुआ ज़रूर दिख रहा है, लेकिन गिरा नहीं है। फाइटर A के लिए सबसे अच्छी चाल क्या है?</v>
      </c>
      <c r="H83" s="5" t="str">
        <f>IFERROR(__xludf.DUMMYFUNCTION("GOOGLETRANSLATE(C83, ""en"", ""hi"")"),"A) एक तेज़ नॉकआउट पंच लगाएँ। B) पीछे हटें और दूसरे मौके का इंतज़ार करें। C) रक्षात्मक मोड में आएँ और जोखिम से बचें। D) फाइटर B को ठीक होने दें।")</f>
        <v>A) एक तेज़ नॉकआउट पंच लगाएँ। B) पीछे हटें और दूसरे मौके का इंतज़ार करें। C) रक्षात्मक मोड में आएँ और जोखिम से बचें। D) फाइटर B को ठीक होने दें।</v>
      </c>
      <c r="I83" s="5" t="str">
        <f>IFERROR(__xludf.DUMMYFUNCTION("GOOGLETRANSLATE(D83, ""en"", ""hi"")"),"ए) एक त्वरित नॉकआउट पंच के लिए जाओ।")</f>
        <v>ए) एक त्वरित नॉकआउट पंच के लिए जाओ।</v>
      </c>
    </row>
    <row r="84" ht="22.5" customHeight="1">
      <c r="A84" s="2">
        <v>83.0</v>
      </c>
      <c r="B84" s="3" t="s">
        <v>3164</v>
      </c>
      <c r="C84" s="3" t="s">
        <v>3165</v>
      </c>
      <c r="D84" s="3" t="s">
        <v>3166</v>
      </c>
      <c r="F84" s="5" t="str">
        <f>IFERROR(__xludf.DUMMYFUNCTION("GOOGLETRANSLATE(A84, ""en"", ""hi"")"),"83")</f>
        <v>83</v>
      </c>
      <c r="G84" s="5" t="str">
        <f>IFERROR(__xludf.DUMMYFUNCTION("GOOGLETRANSLATE(B84, ""en"", ""hi"")"),"फाइटर A एक ऐसे प्रतिद्वंद्वी से लड़ रहा है जिसके पास पहुँच का फ़ायदा है। अपनी पूरी कोशिश के बावजूद, फाइटर A को लगातार लंबी दूरी के मुक्कों का सामना करना पड़ रहा है। स्थिति को बदलने के लिए फाइटर A को किस पर ध्यान केंद्रित करना चाहिए?")</f>
        <v>फाइटर A एक ऐसे प्रतिद्वंद्वी से लड़ रहा है जिसके पास पहुँच का फ़ायदा है। अपनी पूरी कोशिश के बावजूद, फाइटर A को लगातार लंबी दूरी के मुक्कों का सामना करना पड़ रहा है। स्थिति को बदलने के लिए फाइटर A को किस पर ध्यान केंद्रित करना चाहिए?</v>
      </c>
      <c r="H84" s="5" t="str">
        <f>IFERROR(__xludf.DUMMYFUNCTION("GOOGLETRANSLATE(C84, ""en"", ""hi"")"),"A) दूरी बनाए रखें और मुक्के मारें। B) अंदर आने और दूरी कम करने के लिए पैरों का इस्तेमाल करें। C) बाहर से मुक्के मारने की कोशिश करते रहें। D) ऊर्जा बचाएँ और फाइटर B के थकने का इंतज़ार करें।")</f>
        <v>A) दूरी बनाए रखें और मुक्के मारें। B) अंदर आने और दूरी कम करने के लिए पैरों का इस्तेमाल करें। C) बाहर से मुक्के मारने की कोशिश करते रहें। D) ऊर्जा बचाएँ और फाइटर B के थकने का इंतज़ार करें।</v>
      </c>
      <c r="I84" s="5" t="str">
        <f>IFERROR(__xludf.DUMMYFUNCTION("GOOGLETRANSLATE(D84, ""en"", ""hi"")"),"बी) अंदर जाने और अंतर को कम करने के लिए फुटवर्क का उपयोग करें।")</f>
        <v>बी) अंदर जाने और अंतर को कम करने के लिए फुटवर्क का उपयोग करें।</v>
      </c>
    </row>
    <row r="85" ht="22.5" customHeight="1">
      <c r="A85" s="2">
        <v>84.0</v>
      </c>
      <c r="B85" s="3" t="s">
        <v>3167</v>
      </c>
      <c r="C85" s="3" t="s">
        <v>3168</v>
      </c>
      <c r="D85" s="3" t="s">
        <v>3137</v>
      </c>
      <c r="F85" s="5" t="str">
        <f>IFERROR(__xludf.DUMMYFUNCTION("GOOGLETRANSLATE(A85, ""en"", ""hi"")"),"84")</f>
        <v>84</v>
      </c>
      <c r="G85" s="5" t="str">
        <f>IFERROR(__xludf.DUMMYFUNCTION("GOOGLETRANSLATE(B85, ""en"", ""hi"")"),"एक मैच के दौरान, फाइटर A, फाइटर B के पेट पर कई घूँसे मारता है, जिससे वह कमज़ोर पड़ जाता है। फाइटर B ज़्यादा रक्षात्मक हो जाता है और लड़ने में हिचकिचाता है। फाइटर A को इसका फ़ायदा कैसे उठाना चाहिए?")</f>
        <v>एक मैच के दौरान, फाइटर A, फाइटर B के पेट पर कई घूँसे मारता है, जिससे वह कमज़ोर पड़ जाता है। फाइटर B ज़्यादा रक्षात्मक हो जाता है और लड़ने में हिचकिचाता है। फाइटर A को इसका फ़ायदा कैसे उठाना चाहिए?</v>
      </c>
      <c r="H85" s="5" t="str">
        <f>IFERROR(__xludf.DUMMYFUNCTION("GOOGLETRANSLATE(C85, ""en"", ""hi"")"),"A) शरीर पर हमला जारी रखें। B) नॉकआउट के लिए सिर पर मुक्के मारना शुरू करें। C) पीछे हटें और रक्षात्मक खेलें। D) फाइटर B के दोबारा हमला करने का इंतज़ार करें।")</f>
        <v>A) शरीर पर हमला जारी रखें। B) नॉकआउट के लिए सिर पर मुक्के मारना शुरू करें। C) पीछे हटें और रक्षात्मक खेलें। D) फाइटर B के दोबारा हमला करने का इंतज़ार करें।</v>
      </c>
      <c r="I85" s="5" t="str">
        <f>IFERROR(__xludf.DUMMYFUNCTION("GOOGLETRANSLATE(D85, ""en"", ""hi"")"),"क) शरीर पर आक्रमण जारी रखें।")</f>
        <v>क) शरीर पर आक्रमण जारी रखें।</v>
      </c>
    </row>
    <row r="86" ht="22.5" customHeight="1">
      <c r="A86" s="2">
        <v>85.0</v>
      </c>
      <c r="B86" s="3" t="s">
        <v>3169</v>
      </c>
      <c r="C86" s="3" t="s">
        <v>3170</v>
      </c>
      <c r="D86" s="3" t="s">
        <v>3171</v>
      </c>
      <c r="F86" s="5" t="str">
        <f>IFERROR(__xludf.DUMMYFUNCTION("GOOGLETRANSLATE(A86, ""en"", ""hi"")"),"85")</f>
        <v>85</v>
      </c>
      <c r="G86" s="5" t="str">
        <f>IFERROR(__xludf.DUMMYFUNCTION("GOOGLETRANSLATE(B86, ""en"", ""hi"")"),"एक मुस्तैदी युद्ध मैच के दौरान, फाइटर A अंकों के मामले में काफ़ी आगे है, लेकिन फाइटर B एक आश्चर्यजनक किक मारता है जिससे फाइटर A लड़खड़ा जाता है। इसके तुरंत बाद फाइटर A को क्या करना चाहिए?")</f>
        <v>एक मुस्तैदी युद्ध मैच के दौरान, फाइटर A अंकों के मामले में काफ़ी आगे है, लेकिन फाइटर B एक आश्चर्यजनक किक मारता है जिससे फाइटर A लड़खड़ा जाता है। इसके तुरंत बाद फाइटर A को क्या करना चाहिए?</v>
      </c>
      <c r="H86" s="5" t="str">
        <f>IFERROR(__xludf.DUMMYFUNCTION("GOOGLETRANSLATE(C86, ""en"", ""hi"")"),"A) रणनीति का पुनर्मूल्यांकन करें और बचाव पर ध्यान केंद्रित करें। B) नियंत्रण पाने के लिए आक्रामकता बढ़ाएँ। C) लड़ाकू B की क्षणिक चूक का फायदा उठाने के लिए जवाबी हमला करें। D) आगे की क्षति से बचने और खुद को संभालने के लिए पीछे हटें।")</f>
        <v>A) रणनीति का पुनर्मूल्यांकन करें और बचाव पर ध्यान केंद्रित करें। B) नियंत्रण पाने के लिए आक्रामकता बढ़ाएँ। C) लड़ाकू B की क्षणिक चूक का फायदा उठाने के लिए जवाबी हमला करें। D) आगे की क्षति से बचने और खुद को संभालने के लिए पीछे हटें।</v>
      </c>
      <c r="I86" s="5" t="str">
        <f>IFERROR(__xludf.DUMMYFUNCTION("GOOGLETRANSLATE(D86, ""en"", ""hi"")"),"ए) रणनीति का पुनर्मूल्यांकन करें और रक्षा पर ध्यान केंद्रित करें।")</f>
        <v>ए) रणनीति का पुनर्मूल्यांकन करें और रक्षा पर ध्यान केंद्रित करें।</v>
      </c>
    </row>
    <row r="87" ht="22.5" customHeight="1">
      <c r="A87" s="2">
        <v>86.0</v>
      </c>
      <c r="B87" s="3" t="s">
        <v>3172</v>
      </c>
      <c r="C87" s="3" t="s">
        <v>3173</v>
      </c>
      <c r="D87" s="3" t="s">
        <v>3174</v>
      </c>
      <c r="F87" s="5" t="str">
        <f>IFERROR(__xludf.DUMMYFUNCTION("GOOGLETRANSLATE(A87, ""en"", ""hi"")"),"86")</f>
        <v>86</v>
      </c>
      <c r="G87" s="5" t="str">
        <f>IFERROR(__xludf.DUMMYFUNCTION("GOOGLETRANSLATE(B87, ""en"", ""hi"")"),"फाइटर A को फाइटर B की बेहतरीन ब्लॉकिंग तकनीक की वजह से प्रभावी स्ट्राइक लगाने में दिक्कत हो रही है। फाइटर A को अपनी रणनीति में कैसे बदलाव करना चाहिए?")</f>
        <v>फाइटर A को फाइटर B की बेहतरीन ब्लॉकिंग तकनीक की वजह से प्रभावी स्ट्राइक लगाने में दिक्कत हो रही है। फाइटर A को अपनी रणनीति में कैसे बदलाव करना चाहिए?</v>
      </c>
      <c r="H87" s="5" t="str">
        <f>IFERROR(__xludf.DUMMYFUNCTION("GOOGLETRANSLATE(C87, ""en"", ""hi"")"),"A) फाइटर B के डिफेंस को खोलने के लिए छल-कपट का इस्तेमाल करें। B) हमलों की आवृत्ति बढ़ाएँ। C) रक्षात्मक तकनीकों पर ध्यान केंद्रित करें और फाइटर B की गलती का इंतज़ार करें। D) किसी दूसरी लड़ाई शैली पर स्विच करें।")</f>
        <v>A) फाइटर B के डिफेंस को खोलने के लिए छल-कपट का इस्तेमाल करें। B) हमलों की आवृत्ति बढ़ाएँ। C) रक्षात्मक तकनीकों पर ध्यान केंद्रित करें और फाइटर B की गलती का इंतज़ार करें। D) किसी दूसरी लड़ाई शैली पर स्विच करें।</v>
      </c>
      <c r="I87" s="5" t="str">
        <f>IFERROR(__xludf.DUMMYFUNCTION("GOOGLETRANSLATE(D87, ""en"", ""hi"")"),"ए) फाइटर बी की रक्षा को खोलने के लिए फ़िंट का उपयोग करें।")</f>
        <v>ए) फाइटर बी की रक्षा को खोलने के लिए फ़िंट का उपयोग करें।</v>
      </c>
    </row>
    <row r="88" ht="22.5" customHeight="1">
      <c r="A88" s="2">
        <v>87.0</v>
      </c>
      <c r="B88" s="3" t="s">
        <v>3175</v>
      </c>
      <c r="C88" s="3" t="s">
        <v>3176</v>
      </c>
      <c r="D88" s="3" t="s">
        <v>3177</v>
      </c>
      <c r="F88" s="5" t="str">
        <f>IFERROR(__xludf.DUMMYFUNCTION("GOOGLETRANSLATE(A88, ""en"", ""hi"")"),"87")</f>
        <v>87</v>
      </c>
      <c r="G88" s="5" t="str">
        <f>IFERROR(__xludf.DUMMYFUNCTION("GOOGLETRANSLATE(B88, ""en"", ""hi"")"),"अंतिम राउंड में, फाइटर A और फाइटर B के अंक बराबर हैं। फाइटर A देखता है कि फाइटर B में थकान के लक्षण दिखाई दे रहे हैं। फाइटर A को क्या करना चाहिए?")</f>
        <v>अंतिम राउंड में, फाइटर A और फाइटर B के अंक बराबर हैं। फाइटर A देखता है कि फाइटर B में थकान के लक्षण दिखाई दे रहे हैं। फाइटर A को क्या करना चाहिए?</v>
      </c>
      <c r="H88" s="5" t="str">
        <f>IFERROR(__xludf.DUMMYFUNCTION("GOOGLETRANSLATE(C88, ""en"", ""hi"")"),"A) फाइटर B की थकान का फायदा उठाने के लिए हमले को तेज़ करें। B) गलतियों से बचने के लिए वर्तमान गति बनाए रखें। C) बचाव पर ध्यान केंद्रित करें और जोखिम लेने से बचें। D) मैच को जल्दी खत्म करने के लिए नॉकआउट का प्रयास करें।")</f>
        <v>A) फाइटर B की थकान का फायदा उठाने के लिए हमले को तेज़ करें। B) गलतियों से बचने के लिए वर्तमान गति बनाए रखें। C) बचाव पर ध्यान केंद्रित करें और जोखिम लेने से बचें। D) मैच को जल्दी खत्म करने के लिए नॉकआउट का प्रयास करें।</v>
      </c>
      <c r="I88" s="5" t="str">
        <f>IFERROR(__xludf.DUMMYFUNCTION("GOOGLETRANSLATE(D88, ""en"", ""hi"")"),"ए) लड़ाकू बी की थकान का फायदा उठाने के लिए हमले को तेज करें।")</f>
        <v>ए) लड़ाकू बी की थकान का फायदा उठाने के लिए हमले को तेज करें।</v>
      </c>
    </row>
    <row r="89" ht="22.5" customHeight="1">
      <c r="A89" s="2">
        <v>88.0</v>
      </c>
      <c r="B89" s="3" t="s">
        <v>3178</v>
      </c>
      <c r="C89" s="3" t="s">
        <v>3179</v>
      </c>
      <c r="D89" s="3" t="s">
        <v>3180</v>
      </c>
      <c r="F89" s="5" t="str">
        <f>IFERROR(__xludf.DUMMYFUNCTION("GOOGLETRANSLATE(A89, ""en"", ""hi"")"),"88")</f>
        <v>88</v>
      </c>
      <c r="G89" s="5" t="str">
        <f>IFERROR(__xludf.DUMMYFUNCTION("GOOGLETRANSLATE(B89, ""en"", ""hi"")"),"फाइटर A अंकों में आगे चल रहा है, लेकिन आखिरी राउंड में उसे सामान्य से ज़्यादा हिट मिल रहे हैं। फाइटर A के लिए सबसे अच्छी रणनीति क्या है?")</f>
        <v>फाइटर A अंकों में आगे चल रहा है, लेकिन आखिरी राउंड में उसे सामान्य से ज़्यादा हिट मिल रहे हैं। फाइटर A के लिए सबसे अच्छी रणनीति क्या है?</v>
      </c>
      <c r="H89" s="5" t="str">
        <f>IFERROR(__xludf.DUMMYFUNCTION("GOOGLETRANSLATE(C89, ""en"", ""hi"")"),"क) बढ़त बनाए रखने के लिए रक्षात्मक तकनीकों पर ध्यान केंद्रित करें। ख) नॉकआउट की कोशिश करने के लिए गति बढ़ाएँ। ग) दूरी बनाए रखें और अंतिम घंटी बजने का इंतज़ार करें। घ) निर्णायक जीत हासिल करने के लिए अंतिम आक्रामक प्रयास करें।")</f>
        <v>क) बढ़त बनाए रखने के लिए रक्षात्मक तकनीकों पर ध्यान केंद्रित करें। ख) नॉकआउट की कोशिश करने के लिए गति बढ़ाएँ। ग) दूरी बनाए रखें और अंतिम घंटी बजने का इंतज़ार करें। घ) निर्णायक जीत हासिल करने के लिए अंतिम आक्रामक प्रयास करें।</v>
      </c>
      <c r="I89" s="5" t="str">
        <f>IFERROR(__xludf.DUMMYFUNCTION("GOOGLETRANSLATE(D89, ""en"", ""hi"")"),"ए) बढ़त की रक्षा के लिए रक्षात्मक तकनीकों पर ध्यान केंद्रित करें।")</f>
        <v>ए) बढ़त की रक्षा के लिए रक्षात्मक तकनीकों पर ध्यान केंद्रित करें।</v>
      </c>
    </row>
    <row r="90" ht="22.5" customHeight="1">
      <c r="A90" s="2">
        <v>89.0</v>
      </c>
      <c r="B90" s="3" t="s">
        <v>3181</v>
      </c>
      <c r="C90" s="3" t="s">
        <v>3182</v>
      </c>
      <c r="D90" s="3" t="s">
        <v>3183</v>
      </c>
      <c r="F90" s="5" t="str">
        <f>IFERROR(__xludf.DUMMYFUNCTION("GOOGLETRANSLATE(A90, ""en"", ""hi"")"),"89")</f>
        <v>89</v>
      </c>
      <c r="G90" s="5" t="str">
        <f>IFERROR(__xludf.DUMMYFUNCTION("GOOGLETRANSLATE(B90, ""en"", ""hi"")"),"फाइटर A और फाइटर B के बीच कड़ी टक्कर चल रही है। फाइटर B में हताशा और आक्रामकता के लक्षण दिखने लगे हैं। फाइटर A को फाइटर B के व्यवहार में आए इस बदलाव को कैसे संभालना चाहिए?")</f>
        <v>फाइटर A और फाइटर B के बीच कड़ी टक्कर चल रही है। फाइटर B में हताशा और आक्रामकता के लक्षण दिखने लगे हैं। फाइटर A को फाइटर B के व्यवहार में आए इस बदलाव को कैसे संभालना चाहिए?</v>
      </c>
      <c r="H90" s="5" t="str">
        <f>IFERROR(__xludf.DUMMYFUNCTION("GOOGLETRANSLATE(C90, ""en"", ""hi"")"),"अ) संयम बनाए रखें और रक्षात्मक रणनीति अपनाएँ। ब) लड़ाकू बी की आक्रामकता से मुकाबला करने के लिए हमलों की तीव्रता बढ़ाएँ। स) लड़ाकू बी के आक्रामक कदमों का जवाब देने का प्रयास करें। द) पीछे हटें और लड़ाकू बी के थकने का इंतज़ार करें।")</f>
        <v>अ) संयम बनाए रखें और रक्षात्मक रणनीति अपनाएँ। ब) लड़ाकू बी की आक्रामकता से मुकाबला करने के लिए हमलों की तीव्रता बढ़ाएँ। स) लड़ाकू बी के आक्रामक कदमों का जवाब देने का प्रयास करें। द) पीछे हटें और लड़ाकू बी के थकने का इंतज़ार करें।</v>
      </c>
      <c r="I90" s="5" t="str">
        <f>IFERROR(__xludf.DUMMYFUNCTION("GOOGLETRANSLATE(D90, ""en"", ""hi"")"),"अ) धैर्य बनाए रखें और रक्षात्मक रणनीति अपनाएं।")</f>
        <v>अ) धैर्य बनाए रखें और रक्षात्मक रणनीति अपनाएं।</v>
      </c>
    </row>
    <row r="91" ht="22.5" customHeight="1">
      <c r="A91" s="2">
        <v>90.0</v>
      </c>
      <c r="B91" s="3" t="s">
        <v>3184</v>
      </c>
      <c r="C91" s="3" t="s">
        <v>3185</v>
      </c>
      <c r="D91" s="3" t="s">
        <v>3186</v>
      </c>
      <c r="F91" s="5" t="str">
        <f>IFERROR(__xludf.DUMMYFUNCTION("GOOGLETRANSLATE(A91, ""en"", ""hi"")"),"90")</f>
        <v>90</v>
      </c>
      <c r="G91" s="5" t="str">
        <f>IFERROR(__xludf.DUMMYFUNCTION("GOOGLETRANSLATE(B91, ""en"", ""hi"")"),"फाइटर A कई तरह की किक का प्रभावी ढंग से इस्तेमाल कर रहा है, लेकिन फाइटर B ने खुद को ढाल लिया है और उन्हें रोकना शुरू कर दिया है। बढ़त हासिल करने के लिए फाइटर A को क्या करना चाहिए?")</f>
        <v>फाइटर A कई तरह की किक का प्रभावी ढंग से इस्तेमाल कर रहा है, लेकिन फाइटर B ने खुद को ढाल लिया है और उन्हें रोकना शुरू कर दिया है। बढ़त हासिल करने के लिए फाइटर A को क्या करना चाहिए?</v>
      </c>
      <c r="H91" s="5" t="str">
        <f>IFERROR(__xludf.DUMMYFUNCTION("GOOGLETRANSLATE(C91, ""en"", ""hi"")"),"क) आक्रमण रणनीति में अधिक मुक्कों को शामिल करें। ख) किक की शक्ति और गति बढ़ाएँ। ग) रक्षात्मक रणनीति पर ध्यान केंद्रित करें और मौके का इंतज़ार करें। घ) किक के अवसर बनाने के लिए छल-कपट का प्रयोग करें।")</f>
        <v>क) आक्रमण रणनीति में अधिक मुक्कों को शामिल करें। ख) किक की शक्ति और गति बढ़ाएँ। ग) रक्षात्मक रणनीति पर ध्यान केंद्रित करें और मौके का इंतज़ार करें। घ) किक के अवसर बनाने के लिए छल-कपट का प्रयोग करें।</v>
      </c>
      <c r="I91" s="5" t="str">
        <f>IFERROR(__xludf.DUMMYFUNCTION("GOOGLETRANSLATE(D91, ""en"", ""hi"")"),"डी) किक के अवसर पैदा करने के लिए छल का प्रयोग करें।")</f>
        <v>डी) किक के अवसर पैदा करने के लिए छल का प्रयोग करें।</v>
      </c>
    </row>
    <row r="92" ht="22.5" customHeight="1">
      <c r="A92" s="2">
        <v>91.0</v>
      </c>
      <c r="B92" s="3" t="s">
        <v>3187</v>
      </c>
      <c r="C92" s="3" t="s">
        <v>3188</v>
      </c>
      <c r="D92" s="3" t="s">
        <v>3189</v>
      </c>
      <c r="F92" s="5" t="str">
        <f>IFERROR(__xludf.DUMMYFUNCTION("GOOGLETRANSLATE(A92, ""en"", ""hi"")"),"91")</f>
        <v>91</v>
      </c>
      <c r="G92" s="5" t="str">
        <f>IFERROR(__xludf.DUMMYFUNCTION("GOOGLETRANSLATE(B92, ""en"", ""hi"")"),"एक मुस्तैदी युद्ध मैच के दौरान, फाइटर A प्रभावी रूप से जवाबी हमले की रणनीति अपना रहा है, लेकिन फाइटर B, फाइटर A के जवाबी हमलों का अनुमान लगाकर उनका मुकाबला करना शुरू कर देता है। फाइटर A को अपने आप को ढालने के लिए क्या करना चाहिए?")</f>
        <v>एक मुस्तैदी युद्ध मैच के दौरान, फाइटर A प्रभावी रूप से जवाबी हमले की रणनीति अपना रहा है, लेकिन फाइटर B, फाइटर A के जवाबी हमलों का अनुमान लगाकर उनका मुकाबला करना शुरू कर देता है। फाइटर A को अपने आप को ढालने के लिए क्या करना चाहिए?</v>
      </c>
      <c r="H92" s="5" t="str">
        <f>IFERROR(__xludf.DUMMYFUNCTION("GOOGLETRANSLATE(C92, ""en"", ""hi"")"),"A) हमलों के समय और कोण में बदलाव करें। B) लड़ाकू B को परास्त करने के लिए हमलों की तीव्रता बढ़ाएँ। C) आगे के हमलों से बचने के लिए रक्षात्मक तकनीकों पर ध्यान केंद्रित करें। D) अधिक आक्रामक युद्ध शैली अपनाएँ।")</f>
        <v>A) हमलों के समय और कोण में बदलाव करें। B) लड़ाकू B को परास्त करने के लिए हमलों की तीव्रता बढ़ाएँ। C) आगे के हमलों से बचने के लिए रक्षात्मक तकनीकों पर ध्यान केंद्रित करें। D) अधिक आक्रामक युद्ध शैली अपनाएँ।</v>
      </c>
      <c r="I92" s="5" t="str">
        <f>IFERROR(__xludf.DUMMYFUNCTION("GOOGLETRANSLATE(D92, ""en"", ""hi"")"),"क) हमलों के समय और कोण में परिवर्तन करें।")</f>
        <v>क) हमलों के समय और कोण में परिवर्तन करें।</v>
      </c>
    </row>
    <row r="93" ht="22.5" customHeight="1">
      <c r="A93" s="2">
        <v>92.0</v>
      </c>
      <c r="B93" s="3" t="s">
        <v>3190</v>
      </c>
      <c r="C93" s="3" t="s">
        <v>3191</v>
      </c>
      <c r="D93" s="3" t="s">
        <v>3192</v>
      </c>
      <c r="F93" s="5" t="str">
        <f>IFERROR(__xludf.DUMMYFUNCTION("GOOGLETRANSLATE(A93, ""en"", ""hi"")"),"92")</f>
        <v>92</v>
      </c>
      <c r="G93" s="5" t="str">
        <f>IFERROR(__xludf.DUMMYFUNCTION("GOOGLETRANSLATE(B93, ""en"", ""hi"")"),"फाइटर A और फाइटर B के बीच कड़ी टक्कर चल रही है। फाइटर B रणनीतिक बदलावों के संकेत दे रहा है, जबकि फाइटर A अपनी तय रणनीति पर कायम है। फाइटर A को क्या करना चाहिए?")</f>
        <v>फाइटर A और फाइटर B के बीच कड़ी टक्कर चल रही है। फाइटर B रणनीतिक बदलावों के संकेत दे रहा है, जबकि फाइटर A अपनी तय रणनीति पर कायम है। फाइटर A को क्या करना चाहिए?</v>
      </c>
      <c r="H93" s="5" t="str">
        <f>IFERROR(__xludf.DUMMYFUNCTION("GOOGLETRANSLATE(C93, ""en"", ""hi"")"),"अ) लड़ाकू बी के नए दृष्टिकोण का मुकाबला करने के लिए रणनीति को समायोजित करें। ब) लड़ाकू बी को परास्त करने के लिए हमलों की तीव्रता बढ़ाएँ। स) रक्षात्मक रणनीति पर ध्यान केंद्रित करें और लड़ाकू बी की गलती का इंतज़ार करें। द) वर्तमान रणनीति बनाए रखें और पिछली "&amp;"सफलता पर भरोसा करें।")</f>
        <v>अ) लड़ाकू बी के नए दृष्टिकोण का मुकाबला करने के लिए रणनीति को समायोजित करें। ब) लड़ाकू बी को परास्त करने के लिए हमलों की तीव्रता बढ़ाएँ। स) रक्षात्मक रणनीति पर ध्यान केंद्रित करें और लड़ाकू बी की गलती का इंतज़ार करें। द) वर्तमान रणनीति बनाए रखें और पिछली सफलता पर भरोसा करें।</v>
      </c>
      <c r="I93" s="5" t="str">
        <f>IFERROR(__xludf.DUMMYFUNCTION("GOOGLETRANSLATE(D93, ""en"", ""hi"")"),"ए) फाइटर बी के नए दृष्टिकोण का मुकाबला करने के लिए रणनीति को समायोजित करें।")</f>
        <v>ए) फाइटर बी के नए दृष्टिकोण का मुकाबला करने के लिए रणनीति को समायोजित करें।</v>
      </c>
    </row>
    <row r="94" ht="22.5" customHeight="1">
      <c r="A94" s="2">
        <v>93.0</v>
      </c>
      <c r="B94" s="3" t="s">
        <v>3193</v>
      </c>
      <c r="C94" s="3" t="s">
        <v>3194</v>
      </c>
      <c r="D94" s="3" t="s">
        <v>3195</v>
      </c>
      <c r="F94" s="5" t="str">
        <f>IFERROR(__xludf.DUMMYFUNCTION("GOOGLETRANSLATE(A94, ""en"", ""hi"")"),"93")</f>
        <v>93</v>
      </c>
      <c r="G94" s="5" t="str">
        <f>IFERROR(__xludf.DUMMYFUNCTION("GOOGLETRANSLATE(B94, ""en"", ""hi"")"),"फाइटर A अंकों में आगे चल रहा है और उसकी रक्षात्मक रणनीति मज़बूत है। फाइटर B लगातार आक्रामक और लापरवाह होता जा रहा है। फाइटर A को क्या करना चाहिए?")</f>
        <v>फाइटर A अंकों में आगे चल रहा है और उसकी रक्षात्मक रणनीति मज़बूत है। फाइटर B लगातार आक्रामक और लापरवाह होता जा रहा है। फाइटर A को क्या करना चाहिए?</v>
      </c>
      <c r="H94" s="5" t="str">
        <f>IFERROR(__xludf.DUMMYFUNCTION("GOOGLETRANSLATE(C94, ""en"", ""hi"")"),"A) रक्षात्मक रणनीति जारी रखें और फाइटर B की गलतियों का फायदा उठाएँ। B) फाइटर B की गति से मेल खाने के लिए आक्रामकता बढ़ाएँ। C) मैच खत्म करने के लिए शक्तिशाली प्रहार करने पर ध्यान केंद्रित करें। D) ऊर्जा बचाएँ और अंतिम घंटी का इंतज़ार करें।")</f>
        <v>A) रक्षात्मक रणनीति जारी रखें और फाइटर B की गलतियों का फायदा उठाएँ। B) फाइटर B की गति से मेल खाने के लिए आक्रामकता बढ़ाएँ। C) मैच खत्म करने के लिए शक्तिशाली प्रहार करने पर ध्यान केंद्रित करें। D) ऊर्जा बचाएँ और अंतिम घंटी का इंतज़ार करें।</v>
      </c>
      <c r="I94" s="5" t="str">
        <f>IFERROR(__xludf.DUMMYFUNCTION("GOOGLETRANSLATE(D94, ""en"", ""hi"")"),"ए) रक्षात्मक रणनीति जारी रखें और फाइटर बी की गलतियों का फायदा उठाएं।")</f>
        <v>ए) रक्षात्मक रणनीति जारी रखें और फाइटर बी की गलतियों का फायदा उठाएं।</v>
      </c>
    </row>
    <row r="95" ht="22.5" customHeight="1">
      <c r="A95" s="2">
        <v>94.0</v>
      </c>
      <c r="B95" s="3" t="s">
        <v>3196</v>
      </c>
      <c r="C95" s="3" t="s">
        <v>3197</v>
      </c>
      <c r="D95" s="3" t="s">
        <v>3198</v>
      </c>
      <c r="F95" s="5" t="str">
        <f>IFERROR(__xludf.DUMMYFUNCTION("GOOGLETRANSLATE(A95, ""en"", ""hi"")"),"94")</f>
        <v>94</v>
      </c>
      <c r="G95" s="5" t="str">
        <f>IFERROR(__xludf.DUMMYFUNCTION("GOOGLETRANSLATE(B95, ""en"", ""hi"")"),"फाइटर A मुक्कों और किक के संयोजन में सफल रहा है। फाइटर B किक को रोकने पर ज़्यादा ध्यान दे रहा है। अपनी प्रभावशीलता बनाए रखने के लिए फाइटर A को क्या करना चाहिए?")</f>
        <v>फाइटर A मुक्कों और किक के संयोजन में सफल रहा है। फाइटर B किक को रोकने पर ज़्यादा ध्यान दे रहा है। अपनी प्रभावशीलता बनाए रखने के लिए फाइटर A को क्या करना चाहिए?</v>
      </c>
      <c r="H95" s="5" t="str">
        <f>IFERROR(__xludf.DUMMYFUNCTION("GOOGLETRANSLATE(C95, ""en"", ""hi"")"),"A) फाइटर B के किक रोकने पर ध्यान केंद्रित करने के लिए मुक्कों का इस्तेमाल बढ़ाएँ। B) किक जारी रखें और नए कोण ढूँढ़ने की कोशिश करें। C) ज़्यादा आक्रामक रणनीति अपनाएँ। D) गलतियों से बचने के लिए रक्षात्मक तकनीकों पर ध्यान केंद्रित करें।")</f>
        <v>A) फाइटर B के किक रोकने पर ध्यान केंद्रित करने के लिए मुक्कों का इस्तेमाल बढ़ाएँ। B) किक जारी रखें और नए कोण ढूँढ़ने की कोशिश करें। C) ज़्यादा आक्रामक रणनीति अपनाएँ। D) गलतियों से बचने के लिए रक्षात्मक तकनीकों पर ध्यान केंद्रित करें।</v>
      </c>
      <c r="I95" s="5" t="str">
        <f>IFERROR(__xludf.DUMMYFUNCTION("GOOGLETRANSLATE(D95, ""en"", ""hi"")"),"ए) फाइटर बी के किक को रोकने पर ध्यान केंद्रित करने के लिए मुक्कों का उपयोग बढ़ाएं।")</f>
        <v>ए) फाइटर बी के किक को रोकने पर ध्यान केंद्रित करने के लिए मुक्कों का उपयोग बढ़ाएं।</v>
      </c>
    </row>
    <row r="96" ht="22.5" customHeight="1">
      <c r="A96" s="2">
        <v>95.0</v>
      </c>
      <c r="B96" s="3" t="s">
        <v>3199</v>
      </c>
      <c r="C96" s="3" t="s">
        <v>3200</v>
      </c>
      <c r="D96" s="3" t="s">
        <v>3201</v>
      </c>
      <c r="F96" s="5" t="str">
        <f>IFERROR(__xludf.DUMMYFUNCTION("GOOGLETRANSLATE(A96, ""en"", ""hi"")"),"95")</f>
        <v>95</v>
      </c>
      <c r="G96" s="5" t="str">
        <f>IFERROR(__xludf.DUMMYFUNCTION("GOOGLETRANSLATE(B96, ""en"", ""hi"")"),"फ़ाइटर A और फ़ाइटर B अंतिम दौर में हैं। फ़ाइटर A अंकों के मामले में थोड़ा आगे है, लेकिन थक रहा है। फ़ाइटर A को बचे हुए समय का उपयोग कैसे करना चाहिए?")</f>
        <v>फ़ाइटर A और फ़ाइटर B अंतिम दौर में हैं। फ़ाइटर A अंकों के मामले में थोड़ा आगे है, लेकिन थक रहा है। फ़ाइटर A को बचे हुए समय का उपयोग कैसे करना चाहिए?</v>
      </c>
      <c r="H96" s="5" t="str">
        <f>IFERROR(__xludf.DUMMYFUNCTION("GOOGLETRANSLATE(C96, ""en"", ""hi"")"),"A) बढ़त बनाए रखने और जोखिम से बचने के लिए रक्षात्मक खेलें। B) नॉकआउट की कोशिश करने के लिए गति बढ़ाएँ। C) फाइटर B की गलतियों का फायदा उठाने के लिए काउंटर-पंचिंग पर ध्यान केंद्रित करें। D) ऊर्जा बचाएँ और अंतिम घंटी का इंतज़ार करें।")</f>
        <v>A) बढ़त बनाए रखने और जोखिम से बचने के लिए रक्षात्मक खेलें। B) नॉकआउट की कोशिश करने के लिए गति बढ़ाएँ। C) फाइटर B की गलतियों का फायदा उठाने के लिए काउंटर-पंचिंग पर ध्यान केंद्रित करें। D) ऊर्जा बचाएँ और अंतिम घंटी का इंतज़ार करें।</v>
      </c>
      <c r="I96" s="5" t="str">
        <f>IFERROR(__xludf.DUMMYFUNCTION("GOOGLETRANSLATE(D96, ""en"", ""hi"")"),"ए) बढ़त बनाए रखने और जोखिम से बचने के लिए रक्षात्मक तरीके से खेलें।")</f>
        <v>ए) बढ़त बनाए रखने और जोखिम से बचने के लिए रक्षात्मक तरीके से खेलें।</v>
      </c>
    </row>
    <row r="97" ht="22.5" customHeight="1">
      <c r="A97" s="2">
        <v>96.0</v>
      </c>
      <c r="B97" s="3" t="s">
        <v>3202</v>
      </c>
      <c r="C97" s="3" t="s">
        <v>3203</v>
      </c>
      <c r="D97" s="3" t="s">
        <v>3204</v>
      </c>
      <c r="F97" s="5" t="str">
        <f>IFERROR(__xludf.DUMMYFUNCTION("GOOGLETRANSLATE(A97, ""en"", ""hi"")"),"96")</f>
        <v>96</v>
      </c>
      <c r="G97" s="5" t="str">
        <f>IFERROR(__xludf.DUMMYFUNCTION("GOOGLETRANSLATE(B97, ""en"", ""hi"")"),"फाइटर A तेज़ हमलों और फ़ुटवर्क के संयोजन का प्रभावी ढंग से उपयोग कर रहा है। फाइटर B इन चालों का अनुमान लगाने और उनका प्रतिकार करने लगा है। अपनी बढ़त बनाए रखने के लिए फाइटर A को क्या करना चाहिए?")</f>
        <v>फाइटर A तेज़ हमलों और फ़ुटवर्क के संयोजन का प्रभावी ढंग से उपयोग कर रहा है। फाइटर B इन चालों का अनुमान लगाने और उनका प्रतिकार करने लगा है। अपनी बढ़त बनाए रखने के लिए फाइटर A को क्या करना चाहिए?</v>
      </c>
      <c r="H97" s="5" t="str">
        <f>IFERROR(__xludf.DUMMYFUNCTION("GOOGLETRANSLATE(C97, ""en"", ""hi"")"),"क) हमले के पैटर्न में बदलाव लाएँ और नई तकनीकों को शामिल करें। ख) हमलों की गति और आवृत्ति बढ़ाएँ। ग) जवाबी हमलों से बचने के लिए रक्षात्मक रणनीतियों पर ध्यान केंद्रित करें। घ) एक अलग युद्ध शैली अपनाएँ।")</f>
        <v>क) हमले के पैटर्न में बदलाव लाएँ और नई तकनीकों को शामिल करें। ख) हमलों की गति और आवृत्ति बढ़ाएँ। ग) जवाबी हमलों से बचने के लिए रक्षात्मक रणनीतियों पर ध्यान केंद्रित करें। घ) एक अलग युद्ध शैली अपनाएँ।</v>
      </c>
      <c r="I97" s="5" t="str">
        <f>IFERROR(__xludf.DUMMYFUNCTION("GOOGLETRANSLATE(D97, ""en"", ""hi"")"),"ए) हमले के पैटर्न में विविधता लाएं और नई तकनीकों को शामिल करें।")</f>
        <v>ए) हमले के पैटर्न में विविधता लाएं और नई तकनीकों को शामिल करें।</v>
      </c>
    </row>
    <row r="98" ht="22.5" customHeight="1">
      <c r="A98" s="2">
        <v>97.0</v>
      </c>
      <c r="B98" s="3" t="s">
        <v>3205</v>
      </c>
      <c r="C98" s="3" t="s">
        <v>3206</v>
      </c>
      <c r="D98" s="3" t="s">
        <v>3207</v>
      </c>
      <c r="F98" s="5" t="str">
        <f>IFERROR(__xludf.DUMMYFUNCTION("GOOGLETRANSLATE(A98, ""en"", ""hi"")"),"97")</f>
        <v>97</v>
      </c>
      <c r="G98" s="5" t="str">
        <f>IFERROR(__xludf.DUMMYFUNCTION("GOOGLETRANSLATE(B98, ""en"", ""hi"")"),"फाइटर A में थकान के लक्षण दिख रहे हैं, जबकि फाइटर B अभी भी ऊर्जावान और आक्रामक है। मैच हारने से बचने के लिए फाइटर A को किस पर ध्यान केंद्रित करना चाहिए?")</f>
        <v>फाइटर A में थकान के लक्षण दिख रहे हैं, जबकि फाइटर B अभी भी ऊर्जावान और आक्रामक है। मैच हारने से बचने के लिए फाइटर A को किस पर ध्यान केंद्रित करना चाहिए?</v>
      </c>
      <c r="H98" s="5" t="str">
        <f>IFERROR(__xludf.DUMMYFUNCTION("GOOGLETRANSLATE(C98, ""en"", ""hi"")"),"A) रक्षात्मक तकनीकों पर ध्यान केंद्रित करें और ऊर्जा बचाएँ। B) फाइटर B की गति से मेल खाने के लिए आक्रामकता बढ़ाएँ। C) मैच को जल्दी खत्म करने के लिए नॉकआउट का प्रयास करें। D) लड़ाई का रुख मोड़ने के लिए शक्तिशाली प्रहार करने पर ध्यान केंद्रित करें।")</f>
        <v>A) रक्षात्मक तकनीकों पर ध्यान केंद्रित करें और ऊर्जा बचाएँ। B) फाइटर B की गति से मेल खाने के लिए आक्रामकता बढ़ाएँ। C) मैच को जल्दी खत्म करने के लिए नॉकआउट का प्रयास करें। D) लड़ाई का रुख मोड़ने के लिए शक्तिशाली प्रहार करने पर ध्यान केंद्रित करें।</v>
      </c>
      <c r="I98" s="5" t="str">
        <f>IFERROR(__xludf.DUMMYFUNCTION("GOOGLETRANSLATE(D98, ""en"", ""hi"")"),"अ) रक्षात्मक तकनीकों पर ध्यान केन्द्रित करें और ऊर्जा का संरक्षण करें।")</f>
        <v>अ) रक्षात्मक तकनीकों पर ध्यान केन्द्रित करें और ऊर्जा का संरक्षण करें।</v>
      </c>
    </row>
    <row r="99" ht="22.5" customHeight="1">
      <c r="A99" s="2">
        <v>98.0</v>
      </c>
      <c r="B99" s="3" t="s">
        <v>3208</v>
      </c>
      <c r="C99" s="3" t="s">
        <v>3209</v>
      </c>
      <c r="D99" s="3" t="s">
        <v>3210</v>
      </c>
      <c r="F99" s="5" t="str">
        <f>IFERROR(__xludf.DUMMYFUNCTION("GOOGLETRANSLATE(A99, ""en"", ""hi"")"),"98")</f>
        <v>98</v>
      </c>
      <c r="G99" s="5" t="str">
        <f>IFERROR(__xludf.DUMMYFUNCTION("GOOGLETRANSLATE(B99, ""en"", ""hi"")"),"फाइटर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f>
        <v>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v>
      </c>
      <c r="H99" s="5" t="str">
        <f>IFERROR(__xludf.DUMMYFUNCTION("GOOGLETRANSLATE(C99, ""en"", ""hi"")"),"A) गति बढ़ाएँ और फाइटर B से ज़्यादा समय तक टिकें। B) रक्षात्मक रणनीति पर ध्यान केंद्रित करें और फाइटर B के थकने का इंतज़ार करें। C) लड़ाई को नॉकआउट से खत्म करने की कोशिश करें। D) संयम से खेलें और आखिरी घंटी बजने का इंतज़ार करें।")</f>
        <v>A) गति बढ़ाएँ और फाइटर B से ज़्यादा समय तक टिकें। B) रक्षात्मक रणनीति पर ध्यान केंद्रित करें और फाइटर B के थकने का इंतज़ार करें। C) लड़ाई को नॉकआउट से खत्म करने की कोशिश करें। D) संयम से खेलें और आखिरी घंटी बजने का इंतज़ार करें।</v>
      </c>
      <c r="I99" s="5" t="str">
        <f>IFERROR(__xludf.DUMMYFUNCTION("GOOGLETRANSLATE(D99, ""en"", ""hi"")"),"बी) रक्षात्मक रणनीति पर ध्यान केंद्रित करें और फाइटर बी के थकने की प्रतीक्षा करें।")</f>
        <v>बी) रक्षात्मक रणनीति पर ध्यान केंद्रित करें और फाइटर बी के थकने की प्रतीक्षा करें।</v>
      </c>
    </row>
    <row r="100" ht="22.5" customHeight="1">
      <c r="A100" s="2">
        <v>99.0</v>
      </c>
      <c r="B100" s="3" t="s">
        <v>3211</v>
      </c>
      <c r="C100" s="3" t="s">
        <v>3212</v>
      </c>
      <c r="D100" s="3" t="s">
        <v>3213</v>
      </c>
      <c r="F100" s="5" t="str">
        <f>IFERROR(__xludf.DUMMYFUNCTION("GOOGLETRANSLATE(A100, ""en"", ""hi"")"),"99")</f>
        <v>99</v>
      </c>
      <c r="G100" s="5" t="str">
        <f>IFERROR(__xludf.DUMMYFUNCTION("GOOGLETRANSLATE(B100, ""en"", ""hi"")"),"फाइटर A प्रभावी रूप से बॉडी पंच का इस्तेमाल कर रहा है, लेकिन फाइटर B इन हमलों से बचने के लिए खुद को ढकने और बचाव करने लगता है। फाइटर A को अपनी रणनीति में कैसे बदलाव करना चाहिए?")</f>
        <v>फाइटर A प्रभावी रूप से बॉडी पंच का इस्तेमाल कर रहा है, लेकिन फाइटर B इन हमलों से बचने के लिए खुद को ढकने और बचाव करने लगता है। फाइटर A को अपनी रणनीति में कैसे बदलाव करना चाहिए?</v>
      </c>
      <c r="H100" s="5" t="str">
        <f>IFERROR(__xludf.DUMMYFUNCTION("GOOGLETRANSLATE(C100, ""en"", ""hi"")"),"A) फाइटर B के नए डिफेंस का फायदा उठाने के लिए हेड पंच का इस्तेमाल बढ़ाएँ। B) ज़्यादा आक्रामक रुख अपनाएँ। C) रक्षात्मक तकनीकों पर ध्यान केंद्रित करें और मौके का इंतज़ार करें। D) बॉडी पंच के लिए मौके बनाने के लिए फ़िंट का इस्तेमाल करें।")</f>
        <v>A) फाइटर B के नए डिफेंस का फायदा उठाने के लिए हेड पंच का इस्तेमाल बढ़ाएँ। B) ज़्यादा आक्रामक रुख अपनाएँ। C) रक्षात्मक तकनीकों पर ध्यान केंद्रित करें और मौके का इंतज़ार करें। D) बॉडी पंच के लिए मौके बनाने के लिए फ़िंट का इस्तेमाल करें।</v>
      </c>
      <c r="I100" s="5" t="str">
        <f>IFERROR(__xludf.DUMMYFUNCTION("GOOGLETRANSLATE(D100, ""en"", ""hi"")"),"ए) फाइटर बी की नई रक्षा का फायदा उठाने के लिए सिर पर मुक्कों का उपयोग बढ़ाएं।")</f>
        <v>ए) फाइटर बी की नई रक्षा का फायदा उठाने के लिए सिर पर मुक्कों का उपयोग बढ़ाएं।</v>
      </c>
    </row>
    <row r="101" ht="22.5" customHeight="1">
      <c r="A101" s="2">
        <v>100.0</v>
      </c>
      <c r="B101" s="3" t="s">
        <v>3214</v>
      </c>
      <c r="C101" s="3" t="s">
        <v>3215</v>
      </c>
      <c r="D101" s="3" t="s">
        <v>3216</v>
      </c>
      <c r="F101" s="5" t="str">
        <f>IFERROR(__xludf.DUMMYFUNCTION("GOOGLETRANSLATE(A101, ""en"", ""hi"")"),"100")</f>
        <v>100</v>
      </c>
      <c r="G101" s="5" t="str">
        <f>IFERROR(__xludf.DUMMYFUNCTION("GOOGLETRANSLATE(B101, ""en"", ""hi"")"),"फाइटर A अंकों के मामले में पीछे चल रहा है और आखिरी राउंड में है। जीतने का मौका पाने के लिए फाइटर A को किस पर ध्यान केंद्रित करना चाहिए?")</f>
        <v>फाइटर A अंकों के मामले में पीछे चल रहा है और आखिरी राउंड में है। जीतने का मौका पाने के लिए फाइटर A को किस पर ध्यान केंद्रित करना चाहिए?</v>
      </c>
      <c r="H101" s="5" t="str">
        <f>IFERROR(__xludf.DUMMYFUNCTION("GOOGLETRANSLATE(C101, ""en"", ""hi"")"),"A) नॉकआउट की कोशिश के लिए पूरी ताकत से हमला करें। B) बचाव पर ध्यान केंद्रित करें और फाइटर B की गलती का इंतज़ार करें। C) अंकों के अंतर को कम करने के लिए ज़्यादा से ज़्यादा वार करने की कोशिश करें। D) ऊर्जा बचाएँ और आखिरी घंटी बजने का इंतज़ार करें।")</f>
        <v>A) नॉकआउट की कोशिश के लिए पूरी ताकत से हमला करें। B) बचाव पर ध्यान केंद्रित करें और फाइटर B की गलती का इंतज़ार करें। C) अंकों के अंतर को कम करने के लिए ज़्यादा से ज़्यादा वार करने की कोशिश करें। D) ऊर्जा बचाएँ और आखिरी घंटी बजने का इंतज़ार करें।</v>
      </c>
      <c r="I101" s="5" t="str">
        <f>IFERROR(__xludf.DUMMYFUNCTION("GOOGLETRANSLATE(D101, ""en"", ""hi"")"),"ए) नॉकआउट का प्रयास करने के लिए पूरी ताकत से आक्रमण करें।")</f>
        <v>ए) नॉकआउट का प्रयास करने के लिए पूरी ताकत से आक्रमण करें।</v>
      </c>
    </row>
    <row r="102" ht="22.5" customHeight="1">
      <c r="A102" s="2">
        <v>101.0</v>
      </c>
      <c r="B102" s="3" t="s">
        <v>3217</v>
      </c>
      <c r="C102" s="3" t="s">
        <v>3218</v>
      </c>
      <c r="D102" s="3" t="s">
        <v>3180</v>
      </c>
      <c r="F102" s="5" t="str">
        <f>IFERROR(__xludf.DUMMYFUNCTION("GOOGLETRANSLATE(A102, ""en"", ""hi"")"),"101")</f>
        <v>101</v>
      </c>
      <c r="G102" s="5" t="str">
        <f>IFERROR(__xludf.DUMMYFUNCTION("GOOGLETRANSLATE(B102, ""en"", ""hi"")"),"फाइटर A और फाइटर B एक प्रतिस्पर्धी मुकाबले में हैं और एक राउंड बाकी है। फाइटर A थोड़ा आगे है, लेकिन उसे ज़्यादा बार चोट लग रही है। फाइटर A को अपनी रणनीति कैसे बदलनी चाहिए?")</f>
        <v>फाइटर A और फाइटर B एक प्रतिस्पर्धी मुकाबले में हैं और एक राउंड बाकी है। फाइटर A थोड़ा आगे है, लेकिन उसे ज़्यादा बार चोट लग रही है। फाइटर A को अपनी रणनीति कैसे बदलनी चाहिए?</v>
      </c>
      <c r="H102" s="5" t="str">
        <f>IFERROR(__xludf.DUMMYFUNCTION("GOOGLETRANSLATE(C102, ""en"", ""hi"")"),"A) बढ़त बनाए रखने के लिए रक्षात्मक तकनीकों पर ध्यान केंद्रित करें। B) नॉकआउट की कोशिश करने के लिए आक्रामकता बढ़ाएँ। C) फाइटर B की गलतियों का फायदा उठाने के लिए काउंटर-पंचिंग पर ध्यान केंद्रित करें। D) ऊर्जा बचाएँ और अंतिम घंटी का इंतज़ार करें।")</f>
        <v>A) बढ़त बनाए रखने के लिए रक्षात्मक तकनीकों पर ध्यान केंद्रित करें। B) नॉकआउट की कोशिश करने के लिए आक्रामकता बढ़ाएँ। C) फाइटर B की गलतियों का फायदा उठाने के लिए काउंटर-पंचिंग पर ध्यान केंद्रित करें। D) ऊर्जा बचाएँ और अंतिम घंटी का इंतज़ार करें।</v>
      </c>
      <c r="I102" s="5" t="str">
        <f>IFERROR(__xludf.DUMMYFUNCTION("GOOGLETRANSLATE(D102, ""en"", ""hi"")"),"ए) बढ़त की रक्षा के लिए रक्षात्मक तकनीकों पर ध्यान केंद्रित करें।")</f>
        <v>ए) बढ़त की रक्षा के लिए रक्षात्मक तकनीकों पर ध्यान केंद्रित करें।</v>
      </c>
    </row>
    <row r="103" ht="22.5" customHeight="1">
      <c r="A103" s="2">
        <v>102.0</v>
      </c>
      <c r="B103" s="3" t="s">
        <v>3219</v>
      </c>
      <c r="C103" s="3" t="s">
        <v>3220</v>
      </c>
      <c r="D103" s="3" t="s">
        <v>3221</v>
      </c>
      <c r="F103" s="5" t="str">
        <f>IFERROR(__xludf.DUMMYFUNCTION("GOOGLETRANSLATE(A103, ""en"", ""hi"")"),"102")</f>
        <v>102</v>
      </c>
      <c r="G103" s="5" t="str">
        <f>IFERROR(__xludf.DUMMYFUNCTION("GOOGLETRANSLATE(B103, ""en"", ""hi"")"),"फाइटर A मुक्कों और किक का मिश्रण प्रभावी ढंग से इस्तेमाल कर रहा है, लेकिन फाइटर B इन हमलों का अनुमान लगाकर उन्हें रोकने लगा है। फाइटर A को नियंत्रण वापस पाने के लिए क्या करना चाहिए?")</f>
        <v>फाइटर A मुक्कों और किक का मिश्रण प्रभावी ढंग से इस्तेमाल कर रहा है, लेकिन फाइटर B इन हमलों का अनुमान लगाकर उन्हें रोकने लगा है। फाइटर A को नियंत्रण वापस पाने के लिए क्या करना चाहिए?</v>
      </c>
      <c r="H103" s="5" t="str">
        <f>IFERROR(__xludf.DUMMYFUNCTION("GOOGLETRANSLATE(C103, ""en"", ""hi"")"),"क) हमलों में विविधता लाएँ और नई तकनीकों को अपनाएँ। ख) मुक्कों और किक की गति और शक्ति बढ़ाएँ। ग) चोट से बचने के लिए रक्षात्मक रणनीति पर ध्यान केंद्रित करें। घ) मौके बनाने के लिए छल और गलत दिशा का प्रयोग करें।")</f>
        <v>क) हमलों में विविधता लाएँ और नई तकनीकों को अपनाएँ। ख) मुक्कों और किक की गति और शक्ति बढ़ाएँ। ग) चोट से बचने के लिए रक्षात्मक रणनीति पर ध्यान केंद्रित करें। घ) मौके बनाने के लिए छल और गलत दिशा का प्रयोग करें।</v>
      </c>
      <c r="I103" s="5" t="str">
        <f>IFERROR(__xludf.DUMMYFUNCTION("GOOGLETRANSLATE(D103, ""en"", ""hi"")"),"डी) अवसर पैदा करने के लिए छल और गलत दिशा का प्रयोग करें।")</f>
        <v>डी) अवसर पैदा करने के लिए छल और गलत दिशा का प्रयोग करें।</v>
      </c>
    </row>
    <row r="104" ht="22.5" customHeight="1">
      <c r="A104" s="2">
        <v>103.0</v>
      </c>
      <c r="B104" s="3" t="s">
        <v>3222</v>
      </c>
      <c r="C104" s="3" t="s">
        <v>3223</v>
      </c>
      <c r="D104" s="3" t="s">
        <v>3224</v>
      </c>
      <c r="F104" s="5" t="str">
        <f>IFERROR(__xludf.DUMMYFUNCTION("GOOGLETRANSLATE(A104, ""en"", ""hi"")"),"103")</f>
        <v>103</v>
      </c>
      <c r="G104" s="5" t="str">
        <f>IFERROR(__xludf.DUMMYFUNCTION("GOOGLETRANSLATE(B104, ""en"", ""hi"")"),"लड़ाकू A प्रभावी हमले कर रहा है, लेकिन लड़ाकू B बेहतर बचाव दिखा रहा है। लड़ाकू A को प्रभावशीलता बनाए रखने के लिए कैसे समायोजन करना चाहिए?")</f>
        <v>लड़ाकू A प्रभावी हमले कर रहा है, लेकिन लड़ाकू B बेहतर बचाव दिखा रहा है। लड़ाकू A को प्रभावशीलता बनाए रखने के लिए कैसे समायोजन करना चाहिए?</v>
      </c>
      <c r="H104" s="5" t="str">
        <f>IFERROR(__xludf.DUMMYFUNCTION("GOOGLETRANSLATE(C104, ""en"", ""hi"")"),"A) हमलों की तीव्रता बढ़ाएँ और अधिक छल-कपट का प्रयोग करें। B) रक्षात्मक तकनीकों पर ध्यान केंद्रित करें और अवसर की प्रतीक्षा करें। C) अधिक आक्रामक रणनीति अपनाएँ। D) निर्णायक नॉकआउट प्रहार करने का प्रयास करें।")</f>
        <v>A) हमलों की तीव्रता बढ़ाएँ और अधिक छल-कपट का प्रयोग करें। B) रक्षात्मक तकनीकों पर ध्यान केंद्रित करें और अवसर की प्रतीक्षा करें। C) अधिक आक्रामक रणनीति अपनाएँ। D) निर्णायक नॉकआउट प्रहार करने का प्रयास करें।</v>
      </c>
      <c r="I104" s="5" t="str">
        <f>IFERROR(__xludf.DUMMYFUNCTION("GOOGLETRANSLATE(D104, ""en"", ""hi"")"),"ए) हमलों की मात्रा बढ़ाएँ और अधिक छल-कपट का प्रयोग करें।")</f>
        <v>ए) हमलों की मात्रा बढ़ाएँ और अधिक छल-कपट का प्रयोग करें।</v>
      </c>
    </row>
    <row r="105" ht="22.5" customHeight="1">
      <c r="A105" s="2">
        <v>104.0</v>
      </c>
      <c r="B105" s="3" t="s">
        <v>3225</v>
      </c>
      <c r="C105" s="3" t="s">
        <v>3226</v>
      </c>
      <c r="D105" s="3" t="s">
        <v>3227</v>
      </c>
      <c r="F105" s="5" t="str">
        <f>IFERROR(__xludf.DUMMYFUNCTION("GOOGLETRANSLATE(A105, ""en"", ""hi"")"),"104")</f>
        <v>104</v>
      </c>
      <c r="G105" s="5" t="str">
        <f>IFERROR(__xludf.DUMMYFUNCTION("GOOGLETRANSLATE(B105, ""en"", ""hi"")"),"फाइटर A और फाइटर B के बीच कांटे का मुकाबला है और दोनों फाइटर थकान के लक्षण दिखा रहे हैं। फाइटर A को बढ़त हासिल करने के लिए किस पर ध्यान केंद्रित करना चाहिए?")</f>
        <v>फाइटर A और फाइटर B के बीच कांटे का मुकाबला है और दोनों फाइटर थकान के लक्षण दिखा रहे हैं। फाइटर A को बढ़त हासिल करने के लिए किस पर ध्यान केंद्रित करना चाहिए?</v>
      </c>
      <c r="H105" s="5" t="str">
        <f>IFERROR(__xludf.DUMMYFUNCTION("GOOGLETRANSLATE(C105, ""en"", ""hi"")"),"A) शेष ऊर्जा का उपयोग हमलों की गति बढ़ाने के लिए करें। B) ऊर्जा संरक्षण के लिए रक्षात्मक तकनीकों पर ध्यान केंद्रित करें। C) मैच को जल्दी समाप्त करने के लिए नॉकआउट का प्रयास करें। D) संयम से खेलें और अंतिम घंटी का इंतज़ार करें।")</f>
        <v>A) शेष ऊर्जा का उपयोग हमलों की गति बढ़ाने के लिए करें। B) ऊर्जा संरक्षण के लिए रक्षात्मक तकनीकों पर ध्यान केंद्रित करें। C) मैच को जल्दी समाप्त करने के लिए नॉकआउट का प्रयास करें। D) संयम से खेलें और अंतिम घंटी का इंतज़ार करें।</v>
      </c>
      <c r="I105" s="5" t="str">
        <f>IFERROR(__xludf.DUMMYFUNCTION("GOOGLETRANSLATE(D105, ""en"", ""hi"")"),"ए) शेष ऊर्जा का उपयोग हमलों की गति बढ़ाने के लिए करें।")</f>
        <v>ए) शेष ऊर्जा का उपयोग हमलों की गति बढ़ाने के लिए करें।</v>
      </c>
    </row>
    <row r="106" ht="22.5" customHeight="1">
      <c r="A106" s="2">
        <v>105.0</v>
      </c>
      <c r="B106" s="3" t="s">
        <v>3228</v>
      </c>
      <c r="C106" s="3" t="s">
        <v>3229</v>
      </c>
      <c r="D106" s="3" t="s">
        <v>3230</v>
      </c>
      <c r="F106" s="5" t="str">
        <f>IFERROR(__xludf.DUMMYFUNCTION("GOOGLETRANSLATE(A106, ""en"", ""hi"")"),"105")</f>
        <v>105</v>
      </c>
      <c r="G106" s="5" t="str">
        <f>IFERROR(__xludf.DUMMYFUNCTION("GOOGLETRANSLATE(B106, ""en"", ""hi"")"),"फाइटर A अंकों के मामले में आगे चल रहा है, लेकिन बाद के राउंड में उसे ज़्यादा बार चोट लग रही है। फाइटर A के लिए सबसे अच्छी रणनीति क्या है?")</f>
        <v>फाइटर A अंकों के मामले में आगे चल रहा है, लेकिन बाद के राउंड में उसे ज़्यादा बार चोट लग रही है। फाइटर A के लिए सबसे अच्छी रणनीति क्या है?</v>
      </c>
      <c r="H106" s="5" t="str">
        <f>IFERROR(__xludf.DUMMYFUNCTION("GOOGLETRANSLATE(C106, ""en"", ""hi"")"),"A) बढ़त बनाए रखने के लिए रक्षात्मक रणनीति पर ध्यान केंद्रित करें। B) मैच को नॉकआउट से समाप्त करने के लिए आक्रामकता बढ़ाएँ। C) वर्तमान गति बनाए रखें और आगे की क्षति से बचें। D) निर्णायक जीत हासिल करने के लिए अंतिम प्रयास करें।")</f>
        <v>A) बढ़त बनाए रखने के लिए रक्षात्मक रणनीति पर ध्यान केंद्रित करें। B) मैच को नॉकआउट से समाप्त करने के लिए आक्रामकता बढ़ाएँ। C) वर्तमान गति बनाए रखें और आगे की क्षति से बचें। D) निर्णायक जीत हासिल करने के लिए अंतिम प्रयास करें।</v>
      </c>
      <c r="I106" s="5" t="str">
        <f>IFERROR(__xludf.DUMMYFUNCTION("GOOGLETRANSLATE(D106, ""en"", ""hi"")"),"ए) बढ़त की रक्षा के लिए रक्षात्मक रणनीति पर ध्यान केंद्रित करें।")</f>
        <v>ए) बढ़त की रक्षा के लिए रक्षात्मक रणनीति पर ध्यान केंद्रित करें।</v>
      </c>
    </row>
    <row r="107" ht="22.5" customHeight="1">
      <c r="A107" s="2">
        <v>106.0</v>
      </c>
      <c r="B107" s="3" t="s">
        <v>3231</v>
      </c>
      <c r="C107" s="3" t="s">
        <v>3232</v>
      </c>
      <c r="D107" s="3" t="s">
        <v>3233</v>
      </c>
      <c r="F107" s="5" t="str">
        <f>IFERROR(__xludf.DUMMYFUNCTION("GOOGLETRANSLATE(A107, ""en"", ""hi"")"),"106")</f>
        <v>106</v>
      </c>
      <c r="G107" s="5" t="str">
        <f>IFERROR(__xludf.DUMMYFUNCTION("GOOGLETRANSLATE(B107, ""en"", ""hi"")"),"फाइटर A और फाइटर B बराबरी पर हैं। फाइटर B में हताशा और आक्रामकता के लक्षण दिखने लगते हैं। फाइटर A को कैसे तालमेल बिठाना चाहिए?")</f>
        <v>फाइटर A और फाइटर B बराबरी पर हैं। फाइटर B में हताशा और आक्रामकता के लक्षण दिखने लगते हैं। फाइटर A को कैसे तालमेल बिठाना चाहिए?</v>
      </c>
      <c r="H107" s="5" t="str">
        <f>IFERROR(__xludf.DUMMYFUNCTION("GOOGLETRANSLATE(C107, ""en"", ""hi"")"),"A) वर्तमान रणनीति जारी रखें और फाइटर B की गलतियों का फायदा उठाएँ। B) फाइटर B की गति से मेल खाने के लिए आक्रामकता बढ़ाएँ। C) रक्षात्मक रणनीति पर ध्यान केंद्रित करें और चोट लगने से बचें। D) नॉकआउट के साथ मैच को जल्दी खत्म करने का प्रयास करें।")</f>
        <v>A) वर्तमान रणनीति जारी रखें और फाइटर B की गलतियों का फायदा उठाएँ। B) फाइटर B की गति से मेल खाने के लिए आक्रामकता बढ़ाएँ। C) रक्षात्मक रणनीति पर ध्यान केंद्रित करें और चोट लगने से बचें। D) नॉकआउट के साथ मैच को जल्दी खत्म करने का प्रयास करें।</v>
      </c>
      <c r="I107" s="5" t="str">
        <f>IFERROR(__xludf.DUMMYFUNCTION("GOOGLETRANSLATE(D107, ""en"", ""hi"")"),"ए) वर्तमान रणनीति जारी रखें और फाइटर बी की गलतियों का लाभ उठाएं।")</f>
        <v>ए) वर्तमान रणनीति जारी रखें और फाइटर बी की गलतियों का लाभ उठाएं।</v>
      </c>
    </row>
    <row r="108" ht="22.5" customHeight="1">
      <c r="A108" s="2">
        <v>107.0</v>
      </c>
      <c r="B108" s="3" t="s">
        <v>3234</v>
      </c>
      <c r="C108" s="3" t="s">
        <v>3235</v>
      </c>
      <c r="D108" s="3" t="s">
        <v>3236</v>
      </c>
      <c r="F108" s="5" t="str">
        <f>IFERROR(__xludf.DUMMYFUNCTION("GOOGLETRANSLATE(A108, ""en"", ""hi"")"),"107")</f>
        <v>107</v>
      </c>
      <c r="G108" s="5" t="str">
        <f>IFERROR(__xludf.DUMMYFUNCTION("GOOGLETRANSLATE(B108, ""en"", ""hi"")"),"फाइटर A अपनी शक्तिशाली किक्स के लिए जाना जाता है, लेकिन फाइटर B प्रभावी ब्लॉकिंग तकनीकों का इस्तेमाल कर रहा है। फाइटर A को अपनी रणनीति कैसे बदलनी चाहिए?")</f>
        <v>फाइटर A अपनी शक्तिशाली किक्स के लिए जाना जाता है, लेकिन फाइटर B प्रभावी ब्लॉकिंग तकनीकों का इस्तेमाल कर रहा है। फाइटर A को अपनी रणनीति कैसे बदलनी चाहिए?</v>
      </c>
      <c r="H108" s="5" t="str">
        <f>IFERROR(__xludf.DUMMYFUNCTION("GOOGLETRANSLATE(C108, ""en"", ""hi"")"),"क) हमलों की विविधता और अप्रत्याशितता बढ़ाएँ। ख) शक्तिशाली किक पर ध्यान केंद्रित करें और विभिन्न कोणों से प्रहार करें। ग) अधिक आक्रामक पंचिंग रणनीति अपनाएँ। घ) चोट से बचने के लिए रक्षात्मक तकनीकों पर ध्यान केंद्रित करें।")</f>
        <v>क) हमलों की विविधता और अप्रत्याशितता बढ़ाएँ। ख) शक्तिशाली किक पर ध्यान केंद्रित करें और विभिन्न कोणों से प्रहार करें। ग) अधिक आक्रामक पंचिंग रणनीति अपनाएँ। घ) चोट से बचने के लिए रक्षात्मक तकनीकों पर ध्यान केंद्रित करें।</v>
      </c>
      <c r="I108" s="5" t="str">
        <f>IFERROR(__xludf.DUMMYFUNCTION("GOOGLETRANSLATE(D108, ""en"", ""hi"")"),"क) हमलों की विविधता और अप्रत्याशितता में वृद्धि करना।")</f>
        <v>क) हमलों की विविधता और अप्रत्याशितता में वृद्धि करना।</v>
      </c>
    </row>
    <row r="109" ht="22.5" customHeight="1">
      <c r="A109" s="2">
        <v>108.0</v>
      </c>
      <c r="B109" s="3" t="s">
        <v>3237</v>
      </c>
      <c r="C109" s="3" t="s">
        <v>3238</v>
      </c>
      <c r="D109" s="3" t="s">
        <v>3239</v>
      </c>
      <c r="F109" s="5" t="str">
        <f>IFERROR(__xludf.DUMMYFUNCTION("GOOGLETRANSLATE(A109, ""en"", ""hi"")"),"108")</f>
        <v>108</v>
      </c>
      <c r="G109" s="5" t="str">
        <f>IFERROR(__xludf.DUMMYFUNCTION("GOOGLETRANSLATE(B109, ""en"", ""hi"")"),"अंतिम राउंड में, फाइटर A अंकों के मामले में थोड़ा पीछे है। मैच जीतने के लिए फाइटर A को किस पर ध्यान केंद्रित करना चाहिए?")</f>
        <v>अंतिम राउंड में, फाइटर A अंकों के मामले में थोड़ा पीछे है। मैच जीतने के लिए फाइटर A को किस पर ध्यान केंद्रित करना चाहिए?</v>
      </c>
      <c r="H109" s="5" t="str">
        <f>IFERROR(__xludf.DUMMYFUNCTION("GOOGLETRANSLATE(C109, ""en"", ""hi"")"),"A) तीव्रता बढ़ाएँ और नॉकआउट के लिए प्रयास करें। B) हिट होने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f>
        <v>A) तीव्रता बढ़ाएँ और नॉकआउट के लिए प्रयास करें। B) हिट होने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v>
      </c>
      <c r="I109" s="5" t="str">
        <f>IFERROR(__xludf.DUMMYFUNCTION("GOOGLETRANSLATE(D109, ""en"", ""hi"")"),"ए) तीव्रता बढ़ाएँ और नॉकआउट के लिए जाएं।")</f>
        <v>ए) तीव्रता बढ़ाएँ और नॉकआउट के लिए जाएं।</v>
      </c>
    </row>
    <row r="110" ht="22.5" customHeight="1">
      <c r="A110" s="2">
        <v>109.0</v>
      </c>
      <c r="B110" s="3" t="s">
        <v>3240</v>
      </c>
      <c r="C110" s="3" t="s">
        <v>3241</v>
      </c>
      <c r="D110" s="3" t="s">
        <v>3204</v>
      </c>
      <c r="F110" s="5" t="str">
        <f>IFERROR(__xludf.DUMMYFUNCTION("GOOGLETRANSLATE(A110, ""en"", ""hi"")"),"109")</f>
        <v>109</v>
      </c>
      <c r="G110" s="5" t="str">
        <f>IFERROR(__xludf.DUMMYFUNCTION("GOOGLETRANSLATE(B110, ""en"", ""hi"")"),"फाइटर A स्ट्राइक और किक के संयोजन का प्रभावी ढंग से उपयोग कर रहा है, लेकिन फाइटर B इन हमलों का अनुमान लगाकर उनका प्रतिकार करना शुरू कर देता है। फाइटर A को कैसे अनुकूलित होना चाहिए?")</f>
        <v>फाइटर A स्ट्राइक और किक के संयोजन का प्रभावी ढंग से उपयोग कर रहा है, लेकिन फाइटर B इन हमलों का अनुमान लगाकर उनका प्रतिकार करना शुरू कर देता है। फाइटर A को कैसे अनुकूलित होना चाहिए?</v>
      </c>
      <c r="H110" s="5" t="str">
        <f>IFERROR(__xludf.DUMMYFUNCTION("GOOGLETRANSLATE(C110, ""en"", ""hi"")"),"A) हमले के पैटर्न में बदलाव करें और नई तकनीकों को शामिल करें। B) लड़ाकू B को परास्त करने के लिए हमलों की आवृत्ति बढ़ाएँ। C) जवाबी हमलों से बचने के लिए रक्षात्मक रणनीतियों पर ध्यान केंद्रित करें। D) एक अलग युद्ध शैली अपनाएँ।")</f>
        <v>A) हमले के पैटर्न में बदलाव करें और नई तकनीकों को शामिल करें। B) लड़ाकू B को परास्त करने के लिए हमलों की आवृत्ति बढ़ाएँ। C) जवाबी हमलों से बचने के लिए रक्षात्मक रणनीतियों पर ध्यान केंद्रित करें। D) एक अलग युद्ध शैली अपनाएँ।</v>
      </c>
      <c r="I110" s="5" t="str">
        <f>IFERROR(__xludf.DUMMYFUNCTION("GOOGLETRANSLATE(D110, ""en"", ""hi"")"),"ए) हमले के पैटर्न में विविधता लाएं और नई तकनीकों को शामिल करें।")</f>
        <v>ए) हमले के पैटर्न में विविधता लाएं और नई तकनीकों को शामिल करें।</v>
      </c>
    </row>
    <row r="111" ht="22.5" customHeight="1">
      <c r="A111" s="2">
        <v>110.0</v>
      </c>
      <c r="B111" s="3" t="s">
        <v>3242</v>
      </c>
      <c r="C111" s="3" t="s">
        <v>3243</v>
      </c>
      <c r="D111" s="3" t="s">
        <v>3244</v>
      </c>
      <c r="F111" s="5" t="str">
        <f>IFERROR(__xludf.DUMMYFUNCTION("GOOGLETRANSLATE(A111, ""en"", ""hi"")"),"110")</f>
        <v>110</v>
      </c>
      <c r="G111" s="5" t="str">
        <f>IFERROR(__xludf.DUMMYFUNCTION("GOOGLETRANSLATE(B111, ""en"", ""hi"")"),"फाइटर A और फाइटर B एक प्रतिस्पर्धी मैच में हैं और केवल एक राउंड बाकी है। फाइटर A अंकों में आगे है, लेकिन थकान के लक्षण दिखा रहा है। फाइटर A के लिए सबसे अच्छी रणनीति क्या है?")</f>
        <v>फाइटर A और फाइटर B एक प्रतिस्पर्धी मैच में हैं और केवल एक राउंड बाकी है। फाइटर A अंकों में आगे है, लेकिन थकान के लक्षण दिखा रहा है। फाइटर A के लिए सबसे अच्छी रणनीति क्या है?</v>
      </c>
      <c r="H111" s="5" t="str">
        <f>IFERROR(__xludf.DUMMYFUNCTION("GOOGLETRANSLATE(C111, ""en"", ""hi"")"),"क) बढ़त बनाए रखने के लिए रक्षात्मक खेलें। ख) नॉकआउट की कोशिश करने के लिए गति बढ़ाएँ। ग) जितना हो सके उतने स्ट्राइक लगाने का प्रयास करें। घ) ऊर्जा संरक्षण पर ध्यान केंद्रित करें और अंतिम घंटी का इंतज़ार करें।")</f>
        <v>क) बढ़त बनाए रखने के लिए रक्षात्मक खेलें। ख) नॉकआउट की कोशिश करने के लिए गति बढ़ाएँ। ग) जितना हो सके उतने स्ट्राइक लगाने का प्रयास करें। घ) ऊर्जा संरक्षण पर ध्यान केंद्रित करें और अंतिम घंटी का इंतज़ार करें।</v>
      </c>
      <c r="I111" s="5" t="str">
        <f>IFERROR(__xludf.DUMMYFUNCTION("GOOGLETRANSLATE(D111, ""en"", ""hi"")"),"ए) बढ़त बनाए रखने के लिए रक्षात्मक खेलें।")</f>
        <v>ए) बढ़त बनाए रखने के लिए रक्षात्मक खेलें।</v>
      </c>
    </row>
    <row r="112" ht="22.5" customHeight="1">
      <c r="A112" s="2">
        <v>111.0</v>
      </c>
      <c r="B112" s="3" t="s">
        <v>3245</v>
      </c>
      <c r="C112" s="3" t="s">
        <v>3246</v>
      </c>
      <c r="D112" s="3" t="s">
        <v>3198</v>
      </c>
      <c r="F112" s="5" t="str">
        <f>IFERROR(__xludf.DUMMYFUNCTION("GOOGLETRANSLATE(A112, ""en"", ""hi"")"),"111")</f>
        <v>111</v>
      </c>
      <c r="G112" s="5" t="str">
        <f>IFERROR(__xludf.DUMMYFUNCTION("GOOGLETRANSLATE(B112, ""en"", ""hi"")"),"फाइटर A और फाइटर B दोनों ही मुक्के और किक मारने में कुशल हैं। फाइटर B, किक रोकने पर ज़्यादा ध्यान देने लगता है। फाइटर A को अपनी रणनीति में कैसे बदलाव करना चाहिए?")</f>
        <v>फाइटर A और फाइटर B दोनों ही मुक्के और किक मारने में कुशल हैं। फाइटर B, किक रोकने पर ज़्यादा ध्यान देने लगता है। फाइटर A को अपनी रणनीति में कैसे बदलाव करना चाहिए?</v>
      </c>
      <c r="H112" s="5" t="str">
        <f>IFERROR(__xludf.DUMMYFUNCTION("GOOGLETRANSLATE(C112, ""en"", ""hi"")"),"A) फाइटर B के किक रोकने पर ध्यान केंद्रित करने के लिए मुक्कों का इस्तेमाल बढ़ाएँ। B) किक जारी रखें और नई तकनीकें आज़माएँ। C) ज़्यादा आक्रामक रुख अपनाएँ। D) चोट से बचने के लिए रक्षात्मक रणनीति पर ध्यान केंद्रित करें।")</f>
        <v>A) फाइटर B के किक रोकने पर ध्यान केंद्रित करने के लिए मुक्कों का इस्तेमाल बढ़ाएँ। B) किक जारी रखें और नई तकनीकें आज़माएँ। C) ज़्यादा आक्रामक रुख अपनाएँ। D) चोट से बचने के लिए रक्षात्मक रणनीति पर ध्यान केंद्रित करें।</v>
      </c>
      <c r="I112" s="5" t="str">
        <f>IFERROR(__xludf.DUMMYFUNCTION("GOOGLETRANSLATE(D112, ""en"", ""hi"")"),"ए) फाइटर बी के किक को रोकने पर ध्यान केंद्रित करने के लिए मुक्कों का उपयोग बढ़ाएं।")</f>
        <v>ए) फाइटर बी के किक को रोकने पर ध्यान केंद्रित करने के लिए मुक्कों का उपयोग बढ़ाएं।</v>
      </c>
    </row>
    <row r="113" ht="22.5" customHeight="1">
      <c r="A113" s="2">
        <v>112.0</v>
      </c>
      <c r="B113" s="3" t="s">
        <v>3247</v>
      </c>
      <c r="C113" s="3" t="s">
        <v>3248</v>
      </c>
      <c r="D113" s="3" t="s">
        <v>3249</v>
      </c>
      <c r="F113" s="5" t="str">
        <f>IFERROR(__xludf.DUMMYFUNCTION("GOOGLETRANSLATE(A113, ""en"", ""hi"")"),"112")</f>
        <v>112</v>
      </c>
      <c r="G113" s="5" t="str">
        <f>IFERROR(__xludf.DUMMYFUNCTION("GOOGLETRANSLATE(B113, ""en"", ""hi"")"),"फाइटर A अपनी सहनशक्ति और क्षति सहने की क्षमता के लिए जाना जाता है, जबकि फाइटर B आक्रामक है लेकिन जल्दी थक जाता है। फाइटर A को अपनी सहनशक्ति का लाभ उठाने के लिए क्या करना चाहिए?")</f>
        <v>फाइटर A अपनी सहनशक्ति और क्षति सहने की क्षमता के लिए जाना जाता है, जबकि फाइटर B आक्रामक है लेकिन जल्दी थक जाता है। फाइटर A को अपनी सहनशक्ति का लाभ उठाने के लिए क्या करना चाहिए?</v>
      </c>
      <c r="H113" s="5" t="str">
        <f>IFERROR(__xludf.DUMMYFUNCTION("GOOGLETRANSLATE(C113, ""en"", ""hi"")"),"A)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f>
        <v>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v>
      </c>
      <c r="I113" s="5" t="str">
        <f>IFERROR(__xludf.DUMMYFUNCTION("GOOGLETRANSLATE(D113, ""en"", ""hi"")"),"ए) रक्षात्मक रणनीति पर ध्यान केंद्रित करें और फाइटर बी से अधिक समय तक टिकें।")</f>
        <v>ए) रक्षात्मक रणनीति पर ध्यान केंद्रित करें और फाइटर बी से अधिक समय तक टिकें।</v>
      </c>
    </row>
    <row r="114" ht="22.5" customHeight="1">
      <c r="A114" s="2">
        <v>113.0</v>
      </c>
      <c r="B114" s="3" t="s">
        <v>3250</v>
      </c>
      <c r="C114" s="3" t="s">
        <v>3251</v>
      </c>
      <c r="D114" s="3" t="s">
        <v>3252</v>
      </c>
      <c r="F114" s="5" t="str">
        <f>IFERROR(__xludf.DUMMYFUNCTION("GOOGLETRANSLATE(A114, ""en"", ""hi"")"),"113")</f>
        <v>113</v>
      </c>
      <c r="G114" s="5" t="str">
        <f>IFERROR(__xludf.DUMMYFUNCTION("GOOGLETRANSLATE(B114, ""en"", ""hi"")"),"फाइटर A मुक्कों और किक के मिश्रण से सफल रहा है, लेकिन फाइटर B इन हमलों का अनुमान लगाने और उन्हें रोकने में सक्षम हो गया है। फाइटर A को अपनी रणनीति में कैसे बदलाव करना चाहिए?")</f>
        <v>फाइटर A मुक्कों और किक के मिश्रण से सफल रहा है, लेकिन फाइटर B इन हमलों का अनुमान लगाने और उन्हें रोकने में सक्षम हो गया है। फाइटर A को अपनी रणनीति में कैसे बदलाव करना चाहिए?</v>
      </c>
      <c r="H114" s="5" t="str">
        <f>IFERROR(__xludf.DUMMYFUNCTION("GOOGLETRANSLATE(C114, ""en"", ""hi"")"),"क) मौके बनाने के लिए छल और गलत दिशा का प्रयोग करें। ख) मुक्कों और किक की गति और शक्ति बढ़ाएँ। ग) रक्षात्मक रणनीति पर ध्यान केंद्रित करें और मौके का इंतज़ार करें। घ) एक अलग लड़ाई शैली अपनाएँ।")</f>
        <v>क) मौके बनाने के लिए छल और गलत दिशा का प्रयोग करें। ख) मुक्कों और किक की गति और शक्ति बढ़ाएँ। ग) रक्षात्मक रणनीति पर ध्यान केंद्रित करें और मौके का इंतज़ार करें। घ) एक अलग लड़ाई शैली अपनाएँ।</v>
      </c>
      <c r="I114" s="5" t="str">
        <f>IFERROR(__xludf.DUMMYFUNCTION("GOOGLETRANSLATE(D114, ""en"", ""hi"")"),"ए) अवसर पैदा करने के लिए छल और गलत दिशा का प्रयोग करें।")</f>
        <v>ए) अवसर पैदा करने के लिए छल और गलत दिशा का प्रयोग करें।</v>
      </c>
    </row>
    <row r="115" ht="22.5" customHeight="1">
      <c r="A115" s="2">
        <v>114.0</v>
      </c>
      <c r="B115" s="3" t="s">
        <v>3253</v>
      </c>
      <c r="C115" s="3" t="s">
        <v>3254</v>
      </c>
      <c r="D115" s="3" t="s">
        <v>3180</v>
      </c>
      <c r="F115" s="5" t="str">
        <f>IFERROR(__xludf.DUMMYFUNCTION("GOOGLETRANSLATE(A115, ""en"", ""hi"")"),"114")</f>
        <v>114</v>
      </c>
      <c r="G115" s="5" t="str">
        <f>IFERROR(__xludf.DUMMYFUNCTION("GOOGLETRANSLATE(B115, ""en"", ""hi"")"),"फाइटर A और फाइटर B के बीच कांटे का मुकाबला है, जिसमें फाइटर A थोड़ा आगे है। अंतिम राउंड में फाइटर A के लिए सबसे अच्छा तरीका क्या है?")</f>
        <v>फाइटर A और फाइटर B के बीच कांटे का मुकाबला है, जिसमें फाइटर A थोड़ा आगे है। अंतिम राउंड में फाइटर A के लिए सबसे अच्छा तरीका क्या है?</v>
      </c>
      <c r="H115" s="5" t="str">
        <f>IFERROR(__xludf.DUMMYFUNCTION("GOOGLETRANSLATE(C115, ""en"", ""hi"")"),"क) बढ़त बनाए रखने के लिए रक्षात्मक तकनीकों पर ध्यान केंद्रित करें। ख) नॉकआउट की कोशिश के लिए आक्रामकता बढ़ाएँ। ग) जीत सुनिश्चित करने के लिए यथासंभव अधिक से अधिक प्रहार करने का प्रयास करें। घ) ऊर्जा बचाएँ और अंतिम घंटी बजने का इंतज़ार करें।")</f>
        <v>क) बढ़त बनाए रखने के लिए रक्षात्मक तकनीकों पर ध्यान केंद्रित करें। ख) नॉकआउट की कोशिश के लिए आक्रामकता बढ़ाएँ। ग) जीत सुनिश्चित करने के लिए यथासंभव अधिक से अधिक प्रहार करने का प्रयास करें। घ) ऊर्जा बचाएँ और अंतिम घंटी बजने का इंतज़ार करें।</v>
      </c>
      <c r="I115" s="5" t="str">
        <f>IFERROR(__xludf.DUMMYFUNCTION("GOOGLETRANSLATE(D115, ""en"", ""hi"")"),"ए) बढ़त की रक्षा के लिए रक्षात्मक तकनीकों पर ध्यान केंद्रित करें।")</f>
        <v>ए) बढ़त की रक्षा के लिए रक्षात्मक तकनीकों पर ध्यान केंद्रित करें।</v>
      </c>
    </row>
    <row r="116" ht="22.5" customHeight="1">
      <c r="A116" s="2">
        <v>115.0</v>
      </c>
      <c r="B116" s="3" t="s">
        <v>3255</v>
      </c>
      <c r="C116" s="3" t="s">
        <v>3256</v>
      </c>
      <c r="D116" s="3" t="s">
        <v>3227</v>
      </c>
      <c r="F116" s="5" t="str">
        <f>IFERROR(__xludf.DUMMYFUNCTION("GOOGLETRANSLATE(A116, ""en"", ""hi"")"),"115")</f>
        <v>115</v>
      </c>
      <c r="G116" s="5" t="str">
        <f>IFERROR(__xludf.DUMMYFUNCTION("GOOGLETRANSLATE(B116, ""en"", ""hi"")"),"फाइटर A और फाइटर B बराबरी पर हैं, और दोनों में थकान के लक्षण दिख रहे हैं। फाइटर A को बढ़त हासिल करने के लिए किस पर ध्यान केंद्रित करना चाहिए?")</f>
        <v>फाइटर A और फाइटर B बराबरी पर हैं, और दोनों में थकान के लक्षण दिख रहे हैं। फाइटर A को बढ़त हासिल करने के लिए किस पर ध्यान केंद्रित करना चाहिए?</v>
      </c>
      <c r="H116" s="5" t="str">
        <f>IFERROR(__xludf.DUMMYFUNCTION("GOOGLETRANSLATE(C116, ""en"", ""hi"")"),"A)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f>
        <v>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v>
      </c>
      <c r="I116" s="5" t="str">
        <f>IFERROR(__xludf.DUMMYFUNCTION("GOOGLETRANSLATE(D116, ""en"", ""hi"")"),"ए) शेष ऊर्जा का उपयोग हमलों की गति बढ़ाने के लिए करें।")</f>
        <v>ए) शेष ऊर्जा का उपयोग हमलों की गति बढ़ाने के लिए करें।</v>
      </c>
    </row>
    <row r="117" ht="22.5" customHeight="1">
      <c r="A117" s="2">
        <v>116.0</v>
      </c>
      <c r="B117" s="3" t="s">
        <v>3257</v>
      </c>
      <c r="C117" s="3" t="s">
        <v>3258</v>
      </c>
      <c r="D117" s="3" t="s">
        <v>3213</v>
      </c>
      <c r="F117" s="5" t="str">
        <f>IFERROR(__xludf.DUMMYFUNCTION("GOOGLETRANSLATE(A117, ""en"", ""hi"")"),"116")</f>
        <v>116</v>
      </c>
      <c r="G117" s="5" t="str">
        <f>IFERROR(__xludf.DUMMYFUNCTION("GOOGLETRANSLATE(B117, ""en"", ""hi"")"),"फाइटर A प्रभावी बॉडी पंच लगा रहा है, लेकिन फाइटर B इन हमलों से बचने के लिए खुद को ढकने और बचाव करने लगा है। फाइटर A को अपना तरीका कैसे बदलना चाहिए?")</f>
        <v>फाइटर A प्रभावी बॉडी पंच लगा रहा है, लेकिन फाइटर B इन हमलों से बचने के लिए खुद को ढकने और बचाव करने लगा है। फाइटर A को अपना तरीका कैसे बदलना चाहिए?</v>
      </c>
      <c r="H117" s="5" t="str">
        <f>IFERROR(__xludf.DUMMYFUNCTION("GOOGLETRANSLATE(C117, ""en"", ""hi"")"),"A)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f>
        <v>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v>
      </c>
      <c r="I117" s="5" t="str">
        <f>IFERROR(__xludf.DUMMYFUNCTION("GOOGLETRANSLATE(D117, ""en"", ""hi"")"),"ए) फाइटर बी की नई रक्षा का फायदा उठाने के लिए सिर पर मुक्कों का उपयोग बढ़ाएं।")</f>
        <v>ए) फाइटर बी की नई रक्षा का फायदा उठाने के लिए सिर पर मुक्कों का उपयोग बढ़ाएं।</v>
      </c>
    </row>
    <row r="118" ht="22.5" customHeight="1">
      <c r="A118" s="2">
        <v>117.0</v>
      </c>
      <c r="B118" s="3" t="s">
        <v>3259</v>
      </c>
      <c r="C118" s="3" t="s">
        <v>3260</v>
      </c>
      <c r="D118" s="3" t="s">
        <v>3261</v>
      </c>
      <c r="F118" s="5" t="str">
        <f>IFERROR(__xludf.DUMMYFUNCTION("GOOGLETRANSLATE(A118, ""en"", ""hi"")"),"117")</f>
        <v>117</v>
      </c>
      <c r="G118" s="5" t="str">
        <f>IFERROR(__xludf.DUMMYFUNCTION("GOOGLETRANSLATE(B118, ""en"", ""hi"")"),"फाइटर A और फाइटर B के बीच कड़ा मुकाबला चल रहा है। फाइटर A अंकों के मामले में पीछे चल रहा है, लेकिन उसमें सुधार के संकेत दिख रहे हैं। अंतर कम करने के लिए फाइटर A को किस पर ध्यान देना चाहिए?")</f>
        <v>फाइटर A और फाइटर B के बीच कड़ा मुकाबला चल रहा है। फाइटर A अंकों के मामले में पीछे चल रहा है, लेकिन उसमें सुधार के संकेत दिख रहे हैं। अंतर कम करने के लिए फाइटर A को किस पर ध्यान देना चाहिए?</v>
      </c>
      <c r="H118" s="5" t="str">
        <f>IFERROR(__xludf.DUMMYFUNCTION("GOOGLETRANSLATE(C118, ""en"", ""hi"")"),"A) अंकों के अंतर को कम करने के लिए हमलों की तीव्रता बढ़ाएँ। B) रक्षात्मक तकनीकों पर ध्यान केंद्रित करें और मौके का इंतज़ार करें। C) निर्णायक नॉकआउट स्ट्राइक लगाने का प्रयास करें। D) ऊर्जा बचाएँ और अंतिम घंटी बजने का इंतज़ार करें।")</f>
        <v>A) अंकों के अंतर को कम करने के लिए हमलों की तीव्रता बढ़ाएँ। B) रक्षात्मक तकनीकों पर ध्यान केंद्रित करें और मौके का इंतज़ार करें। C) निर्णायक नॉकआउट स्ट्राइक लगाने का प्रयास करें। D) ऊर्जा बचाएँ और अंतिम घंटी बजने का इंतज़ार करें।</v>
      </c>
      <c r="I118" s="5" t="str">
        <f>IFERROR(__xludf.DUMMYFUNCTION("GOOGLETRANSLATE(D118, ""en"", ""hi"")"),"ए) अंक अंतर को कम करने के लिए हमलों की तीव्रता बढ़ाएं।")</f>
        <v>ए) अंक अंतर को कम करने के लिए हमलों की तीव्रता बढ़ाएं।</v>
      </c>
    </row>
    <row r="119" ht="22.5" customHeight="1">
      <c r="A119" s="2">
        <v>118.0</v>
      </c>
      <c r="B119" s="3" t="s">
        <v>3262</v>
      </c>
      <c r="C119" s="3" t="s">
        <v>3263</v>
      </c>
      <c r="D119" s="3" t="s">
        <v>3189</v>
      </c>
      <c r="F119" s="5" t="str">
        <f>IFERROR(__xludf.DUMMYFUNCTION("GOOGLETRANSLATE(A119, ""en"", ""hi"")"),"118")</f>
        <v>118</v>
      </c>
      <c r="G119" s="5" t="str">
        <f>IFERROR(__xludf.DUMMYFUNCTION("GOOGLETRANSLATE(B119, ""en"", ""hi"")"),"फाइटर A अपने तेज़ हमलों के लिए जाना जाता है, लेकिन फाइटर B इन हमलों का अंदाज़ा लगाकर उन्हें प्रभावी ढंग से जवाब देना शुरू कर देता है। फाइटर A को कैसे अनुकूलित होना चाहिए?")</f>
        <v>फाइटर A अपने तेज़ हमलों के लिए जाना जाता है, लेकिन फाइटर B इन हमलों का अंदाज़ा लगाकर उन्हें प्रभावी ढंग से जवाब देना शुरू कर देता है। फाइटर A को कैसे अनुकूलित होना चाहिए?</v>
      </c>
      <c r="H119" s="5" t="str">
        <f>IFERROR(__xludf.DUMMYFUNCTION("GOOGLETRANSLATE(C119, ""en"", ""hi"")"),"A) हमलों के समय और कोण में बदलाव करें। B) हमलों की गति और आवृत्ति बढ़ाएँ। C) जवाबी हमलों से बचने के लिए रक्षात्मक रणनीतियों पर ध्यान केंद्रित करें। D) अधिक आक्रामक युद्ध शैली अपनाएँ।")</f>
        <v>A) हमलों के समय और कोण में बदलाव करें। B) हमलों की गति और आवृत्ति बढ़ाएँ। C) जवाबी हमलों से बचने के लिए रक्षात्मक रणनीतियों पर ध्यान केंद्रित करें। D) अधिक आक्रामक युद्ध शैली अपनाएँ।</v>
      </c>
      <c r="I119" s="5" t="str">
        <f>IFERROR(__xludf.DUMMYFUNCTION("GOOGLETRANSLATE(D119, ""en"", ""hi"")"),"क) हमलों के समय और कोण में परिवर्तन करें।")</f>
        <v>क) हमलों के समय और कोण में परिवर्तन करें।</v>
      </c>
    </row>
    <row r="120" ht="22.5" customHeight="1">
      <c r="A120" s="2">
        <v>119.0</v>
      </c>
      <c r="B120" s="3" t="s">
        <v>3264</v>
      </c>
      <c r="C120" s="3" t="s">
        <v>3265</v>
      </c>
      <c r="D120" s="3" t="s">
        <v>3216</v>
      </c>
      <c r="F120" s="5" t="str">
        <f>IFERROR(__xludf.DUMMYFUNCTION("GOOGLETRANSLATE(A120, ""en"", ""hi"")"),"119")</f>
        <v>119</v>
      </c>
      <c r="G120" s="5" t="str">
        <f>IFERROR(__xludf.DUMMYFUNCTION("GOOGLETRANSLATE(B120, ""en"", ""hi"")"),"फाइटर A और फाइटर B अपने मैच के आखिरी दौर में हैं। फाइटर A अंकों में थोड़ा पीछे है और थकान के लक्षण दिखा रहा है। फाइटर A के लिए सबसे अच्छी रणनीति क्या है?")</f>
        <v>फाइटर A और फाइटर B अपने मैच के आखिरी दौर में हैं। फाइटर A अंकों में थोड़ा पीछे है और थकान के लक्षण दिखा रहा है। फाइटर A के लिए सबसे अच्छी रणनीति क्या है?</v>
      </c>
      <c r="H120" s="5" t="str">
        <f>IFERROR(__xludf.DUMMYFUNCTION("GOOGLETRANSLATE(C120, ""en"", ""hi"")"),"A) नॉकआउट की कोशिश के लिए पूरी ताकत से हमला करें।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f>
        <v>A) नॉकआउट की कोशिश के लिए पूरी ताकत से हमला करें।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v>
      </c>
      <c r="I120" s="5" t="str">
        <f>IFERROR(__xludf.DUMMYFUNCTION("GOOGLETRANSLATE(D120, ""en"", ""hi"")"),"ए) नॉकआउट का प्रयास करने के लिए पूरी ताकत से आक्रमण करें।")</f>
        <v>ए) नॉकआउट का प्रयास करने के लिए पूरी ताकत से आक्रमण करें।</v>
      </c>
    </row>
    <row r="121" ht="22.5" customHeight="1">
      <c r="A121" s="2">
        <v>120.0</v>
      </c>
      <c r="B121" s="3" t="s">
        <v>3266</v>
      </c>
      <c r="C121" s="3" t="s">
        <v>3267</v>
      </c>
      <c r="D121" s="3" t="s">
        <v>3268</v>
      </c>
      <c r="F121" s="5" t="str">
        <f>IFERROR(__xludf.DUMMYFUNCTION("GOOGLETRANSLATE(A121, ""en"", ""hi"")"),"120")</f>
        <v>120</v>
      </c>
      <c r="G121" s="5" t="str">
        <f>IFERROR(__xludf.DUMMYFUNCTION("GOOGLETRANSLATE(B121, ""en"", ""hi"")"),"फाइटर A मुक्कों और किक का प्रभावी ढंग से इस्तेमाल कर रहा है, लेकिन फाइटर B इन हमलों को रोकने लगा है। फाइटर A को नियंत्रण पाने के लिए क्या करना चाहिए?")</f>
        <v>फाइटर A मुक्कों और किक का प्रभावी ढंग से इस्तेमाल कर रहा है, लेकिन फाइटर B इन हमलों को रोकने लगा है। फाइटर A को नियंत्रण पाने के लिए क्या करना चाहिए?</v>
      </c>
      <c r="H121" s="5" t="str">
        <f>IFERROR(__xludf.DUMMYFUNCTION("GOOGLETRANSLATE(C121, ""en"", ""hi"")"),"A) हमलों की विविधता बढ़ाएँ और ज़्यादा छल-कपट का इस्तेमाल करें। B) मुक्के और किक मारना जारी रखें और अलग-अलग तकनीकें आज़माएँ। C) रक्षात्मक रणनीति पर ध्यान केंद्रित करें और मौके का इंतज़ार करें। D) एक अलग लड़ाई शैली अपनाएँ।")</f>
        <v>A) हमलों की विविधता बढ़ाएँ और ज़्यादा छल-कपट का इस्तेमाल करें। B) मुक्के और किक मारना जारी रखें और अलग-अलग तकनीकें आज़माएँ। C) रक्षात्मक रणनीति पर ध्यान केंद्रित करें और मौके का इंतज़ार करें। D) एक अलग लड़ाई शैली अपनाएँ।</v>
      </c>
      <c r="I121" s="5" t="str">
        <f>IFERROR(__xludf.DUMMYFUNCTION("GOOGLETRANSLATE(D121, ""en"", ""hi"")"),"A) हमलों की विविधता बढ़ाएं और अधिक छल-कपट का प्रयोग करें।")</f>
        <v>A) हमलों की विविधता बढ़ाएं और अधिक छल-कपट का प्रयोग करें।</v>
      </c>
    </row>
    <row r="122" ht="22.5" customHeight="1">
      <c r="A122" s="2">
        <v>121.0</v>
      </c>
      <c r="B122" s="3" t="s">
        <v>3269</v>
      </c>
      <c r="C122" s="3" t="s">
        <v>3270</v>
      </c>
      <c r="D122" s="3" t="s">
        <v>3244</v>
      </c>
      <c r="F122" s="5" t="str">
        <f>IFERROR(__xludf.DUMMYFUNCTION("GOOGLETRANSLATE(A122, ""en"", ""hi"")"),"121")</f>
        <v>121</v>
      </c>
      <c r="G122" s="5" t="str">
        <f>IFERROR(__xludf.DUMMYFUNCTION("GOOGLETRANSLATE(B122, ""en"", ""hi"")"),"फाइटर A और फाइटर B एक प्रतिस्पर्धी मैच में हैं। फाइटर A अंकों के मामले में थोड़ा आगे है, लेकिन थक रहा है। फ़ाइनल राउंड में फाइटर A को किस पर ध्यान केंद्रित करना चाहिए?")</f>
        <v>फाइटर A और फाइटर B एक प्रतिस्पर्धी मैच में हैं। फाइटर A अंकों के मामले में थोड़ा आगे है, लेकिन थक रहा है। फ़ाइनल राउंड में फाइटर A को किस पर ध्यान केंद्रित करना चाहिए?</v>
      </c>
      <c r="H122" s="5" t="str">
        <f>IFERROR(__xludf.DUMMYFUNCTION("GOOGLETRANSLATE(C122, ""en"", ""hi"")"),"क)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f>
        <v>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v>
      </c>
      <c r="I122" s="5" t="str">
        <f>IFERROR(__xludf.DUMMYFUNCTION("GOOGLETRANSLATE(D122, ""en"", ""hi"")"),"ए) बढ़त बनाए रखने के लिए रक्षात्मक खेलें।")</f>
        <v>ए) बढ़त बनाए रखने के लिए रक्षात्मक खेलें।</v>
      </c>
    </row>
    <row r="123" ht="22.5" customHeight="1">
      <c r="A123" s="2">
        <v>122.0</v>
      </c>
      <c r="B123" s="3" t="s">
        <v>3271</v>
      </c>
      <c r="C123" s="3" t="s">
        <v>3272</v>
      </c>
      <c r="D123" s="3" t="s">
        <v>3180</v>
      </c>
      <c r="F123" s="5" t="str">
        <f>IFERROR(__xludf.DUMMYFUNCTION("GOOGLETRANSLATE(A123, ""en"", ""hi"")"),"122")</f>
        <v>122</v>
      </c>
      <c r="G123" s="5" t="str">
        <f>IFERROR(__xludf.DUMMYFUNCTION("GOOGLETRANSLATE(B123, ""en"", ""hi"")"),"फ़ाइटर A अंकों में आगे चल रहा है, लेकिन उसे ज़्यादा बार चोट लग रही है। फ़ाइनल राउंड में फ़ाइटर A के लिए सबसे अच्छी रणनीति क्या है?")</f>
        <v>फ़ाइटर A अंकों में आगे चल रहा है, लेकिन उसे ज़्यादा बार चोट लग रही है। फ़ाइनल राउंड में फ़ाइटर A के लिए सबसे अच्छी रणनीति क्या है?</v>
      </c>
      <c r="H123" s="5" t="str">
        <f>IFERROR(__xludf.DUMMYFUNCTION("GOOGLETRANSLATE(C123, ""en"", ""hi"")"),"क)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f>
        <v>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v>
      </c>
      <c r="I123" s="5" t="str">
        <f>IFERROR(__xludf.DUMMYFUNCTION("GOOGLETRANSLATE(D123, ""en"", ""hi"")"),"ए) बढ़त की रक्षा के लिए रक्षात्मक तकनीकों पर ध्यान केंद्रित करें।")</f>
        <v>ए) बढ़त की रक्षा के लिए रक्षात्मक तकनीकों पर ध्यान केंद्रित करें।</v>
      </c>
    </row>
    <row r="124" ht="22.5" customHeight="1">
      <c r="A124" s="2">
        <v>123.0</v>
      </c>
      <c r="B124" s="3" t="s">
        <v>3273</v>
      </c>
      <c r="C124" s="3" t="s">
        <v>3274</v>
      </c>
      <c r="D124" s="3" t="s">
        <v>3183</v>
      </c>
      <c r="F124" s="5" t="str">
        <f>IFERROR(__xludf.DUMMYFUNCTION("GOOGLETRANSLATE(A124, ""en"", ""hi"")"),"123")</f>
        <v>123</v>
      </c>
      <c r="G124" s="5" t="str">
        <f>IFERROR(__xludf.DUMMYFUNCTION("GOOGLETRANSLATE(B124, ""en"", ""hi"")"),"फाइटर A और फाइटर B के बीच कांटे की टक्कर है। फाइटर B में हताशा और आक्रामकता के लक्षण दिखने लगते हैं। फाइटर A को इस बदलाव से कैसे निपटना चाहिए?")</f>
        <v>फाइटर A और फाइटर B के बीच कांटे की टक्कर है। फाइटर B में हताशा और आक्रामकता के लक्षण दिखने लगते हैं। फाइटर A को इस बदलाव से कैसे निपटना चाहिए?</v>
      </c>
      <c r="H124" s="5" t="str">
        <f>IFERROR(__xludf.DUMMYFUNCTION("GOOGLETRANSLATE(C124, ""en"", ""hi"")"),"A)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f>
        <v>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v>
      </c>
      <c r="I124" s="5" t="str">
        <f>IFERROR(__xludf.DUMMYFUNCTION("GOOGLETRANSLATE(D124, ""en"", ""hi"")"),"अ) धैर्य बनाए रखें और रक्षात्मक रणनीति अपनाएं।")</f>
        <v>अ) धैर्य बनाए रखें और रक्षात्मक रणनीति अपनाएं।</v>
      </c>
    </row>
    <row r="125" ht="22.5" customHeight="1">
      <c r="A125" s="2">
        <v>124.0</v>
      </c>
      <c r="B125" s="3" t="s">
        <v>3275</v>
      </c>
      <c r="C125" s="3" t="s">
        <v>3248</v>
      </c>
      <c r="D125" s="3" t="s">
        <v>3249</v>
      </c>
      <c r="F125" s="5" t="str">
        <f>IFERROR(__xludf.DUMMYFUNCTION("GOOGLETRANSLATE(A125, ""en"", ""hi"")"),"124")</f>
        <v>124</v>
      </c>
      <c r="G125" s="5" t="str">
        <f>IFERROR(__xludf.DUMMYFUNCTION("GOOGLETRANSLATE(B125, ""en"", ""hi"")"),"फाइटर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f>
        <v>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v>
      </c>
      <c r="H125" s="5" t="str">
        <f>IFERROR(__xludf.DUMMYFUNCTION("GOOGLETRANSLATE(C125, ""en"", ""hi"")"),"A)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f>
        <v>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v>
      </c>
      <c r="I125" s="5" t="str">
        <f>IFERROR(__xludf.DUMMYFUNCTION("GOOGLETRANSLATE(D125, ""en"", ""hi"")"),"ए) रक्षात्मक रणनीति पर ध्यान केंद्रित करें और फाइटर बी से अधिक समय तक टिकें।")</f>
        <v>ए) रक्षात्मक रणनीति पर ध्यान केंद्रित करें और फाइटर बी से अधिक समय तक टिकें।</v>
      </c>
    </row>
    <row r="126" ht="22.5" customHeight="1">
      <c r="A126" s="2">
        <v>125.0</v>
      </c>
      <c r="B126" s="3" t="s">
        <v>3276</v>
      </c>
      <c r="C126" s="3" t="s">
        <v>3277</v>
      </c>
      <c r="D126" s="3" t="s">
        <v>3252</v>
      </c>
      <c r="F126" s="5" t="str">
        <f>IFERROR(__xludf.DUMMYFUNCTION("GOOGLETRANSLATE(A126, ""en"", ""hi"")"),"125")</f>
        <v>125</v>
      </c>
      <c r="G126" s="5" t="str">
        <f>IFERROR(__xludf.DUMMYFUNCTION("GOOGLETRANSLATE(B126, ""en"", ""hi"")"),"फाइटर A प्रभावी हमले कर रहा है, लेकिन फाइटर B बेहतर डिफेंस दिखा रहा है। फाइटर A को अपनी रणनीति कैसे बदलनी चाहिए?")</f>
        <v>फाइटर A प्रभावी हमले कर रहा है, लेकिन फाइटर B बेहतर डिफेंस दिखा रहा है। फाइटर A को अपनी रणनीति कैसे बदलनी चाहिए?</v>
      </c>
      <c r="H126" s="5" t="str">
        <f>IFERROR(__xludf.DUMMYFUNCTION("GOOGLETRANSLATE(C126, ""en"", ""hi"")"),"क)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f>
        <v>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v>
      </c>
      <c r="I126" s="5" t="str">
        <f>IFERROR(__xludf.DUMMYFUNCTION("GOOGLETRANSLATE(D126, ""en"", ""hi"")"),"ए) अवसर पैदा करने के लिए छल और गलत दिशा का प्रयोग करें।")</f>
        <v>ए) अवसर पैदा करने के लिए छल और गलत दिशा का प्रयोग करें।</v>
      </c>
    </row>
    <row r="127" ht="22.5" customHeight="1">
      <c r="A127" s="2">
        <v>126.0</v>
      </c>
      <c r="B127" s="3" t="s">
        <v>3278</v>
      </c>
      <c r="C127" s="3" t="s">
        <v>3256</v>
      </c>
      <c r="D127" s="3" t="s">
        <v>3227</v>
      </c>
      <c r="F127" s="5" t="str">
        <f>IFERROR(__xludf.DUMMYFUNCTION("GOOGLETRANSLATE(A127, ""en"", ""hi"")"),"126")</f>
        <v>126</v>
      </c>
      <c r="G127" s="5" t="str">
        <f>IFERROR(__xludf.DUMMYFUNCTION("GOOGLETRANSLATE(B127, ""en"", ""hi"")"),"फाइटर A और फाइटर B के बीच कांटे का मुकाबला है, और सिर्फ़ एक राउंड बाकी है। बढ़त हासिल करने के लिए फाइटर A को किस पर ध्यान केंद्रित करना चाहिए?")</f>
        <v>फाइटर A और फाइटर B के बीच कांटे का मुकाबला है, और सिर्फ़ एक राउंड बाकी है। बढ़त हासिल करने के लिए फाइटर A को किस पर ध्यान केंद्रित करना चाहिए?</v>
      </c>
      <c r="H127" s="5" t="str">
        <f>IFERROR(__xludf.DUMMYFUNCTION("GOOGLETRANSLATE(C127, ""en"", ""hi"")"),"A)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f>
        <v>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v>
      </c>
      <c r="I127" s="5" t="str">
        <f>IFERROR(__xludf.DUMMYFUNCTION("GOOGLETRANSLATE(D127, ""en"", ""hi"")"),"ए) शेष ऊर्जा का उपयोग हमलों की गति बढ़ाने के लिए करें।")</f>
        <v>ए) शेष ऊर्जा का उपयोग हमलों की गति बढ़ाने के लिए करें।</v>
      </c>
    </row>
    <row r="128" ht="22.5" customHeight="1">
      <c r="A128" s="2">
        <v>127.0</v>
      </c>
      <c r="B128" s="3" t="s">
        <v>3279</v>
      </c>
      <c r="C128" s="3" t="s">
        <v>3258</v>
      </c>
      <c r="D128" s="3" t="s">
        <v>3213</v>
      </c>
      <c r="F128" s="5" t="str">
        <f>IFERROR(__xludf.DUMMYFUNCTION("GOOGLETRANSLATE(A128, ""en"", ""hi"")"),"127")</f>
        <v>127</v>
      </c>
      <c r="G128" s="5" t="str">
        <f>IFERROR(__xludf.DUMMYFUNCTION("GOOGLETRANSLATE(B128, ""en"", ""hi"")"),"फाइटर A प्रभावी रूप से बॉडी पंच का इस्तेमाल कर रहा है, लेकिन फाइटर B इन हमलों से बचने के लिए खुद को ढकने और बचाव करने लगता है। फाइटर A को अपना तरीका कैसे बदलना चाहिए?")</f>
        <v>फाइटर A प्रभावी रूप से बॉडी पंच का इस्तेमाल कर रहा है, लेकिन फाइटर B इन हमलों से बचने के लिए खुद को ढकने और बचाव करने लगता है। फाइटर A को अपना तरीका कैसे बदलना चाहिए?</v>
      </c>
      <c r="H128" s="5" t="str">
        <f>IFERROR(__xludf.DUMMYFUNCTION("GOOGLETRANSLATE(C128, ""en"", ""hi"")"),"A)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f>
        <v>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v>
      </c>
      <c r="I128" s="5" t="str">
        <f>IFERROR(__xludf.DUMMYFUNCTION("GOOGLETRANSLATE(D128, ""en"", ""hi"")"),"ए) फाइटर बी की नई रक्षा का फायदा उठाने के लिए सिर पर मुक्कों का उपयोग बढ़ाएं।")</f>
        <v>ए) फाइटर बी की नई रक्षा का फायदा उठाने के लिए सिर पर मुक्कों का उपयोग बढ़ाएं।</v>
      </c>
    </row>
    <row r="129" ht="22.5" customHeight="1">
      <c r="A129" s="2">
        <v>128.0</v>
      </c>
      <c r="B129" s="3" t="s">
        <v>3280</v>
      </c>
      <c r="C129" s="3" t="s">
        <v>3281</v>
      </c>
      <c r="D129" s="3" t="s">
        <v>3216</v>
      </c>
      <c r="F129" s="5" t="str">
        <f>IFERROR(__xludf.DUMMYFUNCTION("GOOGLETRANSLATE(A129, ""en"", ""hi"")"),"128")</f>
        <v>128</v>
      </c>
      <c r="G129" s="5" t="str">
        <f>IFERROR(__xludf.DUMMYFUNCTION("GOOGLETRANSLATE(B129, ""en"", ""hi"")"),"फाइटर A और फाइटर B के बीच कांटे का मुकाबला है, जिसमें फाइटर A अंकों से पीछे है। फ़ाइटर A को अंतिम राउंड में किस पर ध्यान केंद्रित करना चाहिए?")</f>
        <v>फाइटर A और फाइटर B के बीच कांटे का मुकाबला है, जिसमें फाइटर A अंकों से पीछे है। फ़ाइटर A को अंतिम राउंड में किस पर ध्यान केंद्रित करना चाहिए?</v>
      </c>
      <c r="H129" s="5" t="str">
        <f>IFERROR(__xludf.DUMMYFUNCTION("GOOGLETRANSLATE(C129, ""en"", ""hi"")"),"A)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f>
        <v>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v>
      </c>
      <c r="I129" s="5" t="str">
        <f>IFERROR(__xludf.DUMMYFUNCTION("GOOGLETRANSLATE(D129, ""en"", ""hi"")"),"ए) नॉकआउट का प्रयास करने के लिए पूरी ताकत से आक्रमण करें।")</f>
        <v>ए) नॉकआउट का प्रयास करने के लिए पूरी ताकत से आक्रमण करें।</v>
      </c>
    </row>
    <row r="130" ht="22.5" customHeight="1">
      <c r="A130" s="2">
        <v>129.0</v>
      </c>
      <c r="B130" s="3" t="s">
        <v>3282</v>
      </c>
      <c r="C130" s="3" t="s">
        <v>3283</v>
      </c>
      <c r="D130" s="3" t="s">
        <v>3239</v>
      </c>
      <c r="F130" s="5" t="str">
        <f>IFERROR(__xludf.DUMMYFUNCTION("GOOGLETRANSLATE(A130, ""en"", ""hi"")"),"129")</f>
        <v>129</v>
      </c>
      <c r="G130" s="5" t="str">
        <f>IFERROR(__xludf.DUMMYFUNCTION("GOOGLETRANSLATE(B130, ""en"", ""hi"")"),"फाइटर A और फाइटर B अपने मैच के अंतिम दौर में हैं। फाइटर A अंकों में थोड़ा पीछे है और थकान के लक्षण दिखा रहा है। फाइटर A के लिए सबसे अच्छी रणनीति क्या है?")</f>
        <v>फाइटर A और फाइटर B अपने मैच के अंतिम दौर में हैं। फाइटर A अंकों में थोड़ा पीछे है और थकान के लक्षण दिखा रहा है। फाइटर A के लिए सबसे अच्छी रणनीति क्या है?</v>
      </c>
      <c r="H130" s="5" t="str">
        <f>IFERROR(__xludf.DUMMYFUNCTION("GOOGLETRANSLATE(C130, ""en"", ""hi"")"),"A)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f>
        <v>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v>
      </c>
      <c r="I130" s="5" t="str">
        <f>IFERROR(__xludf.DUMMYFUNCTION("GOOGLETRANSLATE(D130, ""en"", ""hi"")"),"ए) तीव्रता बढ़ाएँ और नॉकआउट के लिए जाएं।")</f>
        <v>ए) तीव्रता बढ़ाएँ और नॉकआउट के लिए जाएं।</v>
      </c>
    </row>
    <row r="131" ht="22.5" customHeight="1">
      <c r="A131" s="2">
        <v>130.0</v>
      </c>
      <c r="B131" s="3" t="s">
        <v>3245</v>
      </c>
      <c r="C131" s="3" t="s">
        <v>3246</v>
      </c>
      <c r="D131" s="3" t="s">
        <v>3198</v>
      </c>
      <c r="F131" s="5" t="str">
        <f>IFERROR(__xludf.DUMMYFUNCTION("GOOGLETRANSLATE(A131, ""en"", ""hi"")"),"130")</f>
        <v>130</v>
      </c>
      <c r="G131" s="5" t="str">
        <f>IFERROR(__xludf.DUMMYFUNCTION("GOOGLETRANSLATE(B131, ""en"", ""hi"")"),"फाइटर A और फाइटर B दोनों ही मुक्के और किक मारने में कुशल हैं। फाइटर B, किक रोकने पर ज़्यादा ध्यान देने लगता है। फाइटर A को अपनी रणनीति में कैसे बदलाव करना चाहिए?")</f>
        <v>फाइटर A और फाइटर B दोनों ही मुक्के और किक मारने में कुशल हैं। फाइटर B, किक रोकने पर ज़्यादा ध्यान देने लगता है। फाइटर A को अपनी रणनीति में कैसे बदलाव करना चाहिए?</v>
      </c>
      <c r="H131" s="5" t="str">
        <f>IFERROR(__xludf.DUMMYFUNCTION("GOOGLETRANSLATE(C131, ""en"", ""hi"")"),"A) फाइटर B के किक रोकने पर ध्यान केंद्रित करने के लिए मुक्कों का इस्तेमाल बढ़ाएँ। B) किक जारी रखें और नई तकनीकें आज़माएँ। C) ज़्यादा आक्रामक रुख अपनाएँ। D) चोट से बचने के लिए रक्षात्मक रणनीति पर ध्यान केंद्रित करें।")</f>
        <v>A) फाइटर B के किक रोकने पर ध्यान केंद्रित करने के लिए मुक्कों का इस्तेमाल बढ़ाएँ। B) किक जारी रखें और नई तकनीकें आज़माएँ। C) ज़्यादा आक्रामक रुख अपनाएँ। D) चोट से बचने के लिए रक्षात्मक रणनीति पर ध्यान केंद्रित करें।</v>
      </c>
      <c r="I131" s="5" t="str">
        <f>IFERROR(__xludf.DUMMYFUNCTION("GOOGLETRANSLATE(D131, ""en"", ""hi"")"),"ए) फाइटर बी के किक को रोकने पर ध्यान केंद्रित करने के लिए मुक्कों का उपयोग बढ़ाएं।")</f>
        <v>ए) फाइटर बी के किक को रोकने पर ध्यान केंद्रित करने के लिए मुक्कों का उपयोग बढ़ाएं।</v>
      </c>
    </row>
    <row r="132" ht="22.5" customHeight="1">
      <c r="A132" s="2">
        <v>131.0</v>
      </c>
      <c r="B132" s="3" t="s">
        <v>3284</v>
      </c>
      <c r="C132" s="3" t="s">
        <v>3285</v>
      </c>
      <c r="D132" s="3" t="s">
        <v>3189</v>
      </c>
      <c r="F132" s="5" t="str">
        <f>IFERROR(__xludf.DUMMYFUNCTION("GOOGLETRANSLATE(A132, ""en"", ""hi"")"),"131")</f>
        <v>131</v>
      </c>
      <c r="G132" s="5" t="str">
        <f>IFERROR(__xludf.DUMMYFUNCTION("GOOGLETRANSLATE(B132, ""en"", ""hi"")"),"फाइटर A स्ट्राइक और किक का मिश्रण प्रभावी ढंग से इस्तेमाल कर रहा है, लेकिन फाइटर B इन हमलों का अनुमान लगाकर उन्हें रोकने लगा है। फाइटर A को अपना तरीका कैसे बदलना चाहिए?")</f>
        <v>फाइटर A स्ट्राइक और किक का मिश्रण प्रभावी ढंग से इस्तेमाल कर रहा है, लेकिन फाइटर B इन हमलों का अनुमान लगाकर उन्हें रोकने लगा है। फाइटर A को अपना तरीका कैसे बदलना चाहिए?</v>
      </c>
      <c r="H132" s="5" t="str">
        <f>IFERROR(__xludf.DUMMYFUNCTION("GOOGLETRANSLATE(C132, ""en"", ""hi"")"),"क)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f>
        <v>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v>
      </c>
      <c r="I132" s="5" t="str">
        <f>IFERROR(__xludf.DUMMYFUNCTION("GOOGLETRANSLATE(D132, ""en"", ""hi"")"),"क) हमलों के समय और कोण में परिवर्तन करें।")</f>
        <v>क) हमलों के समय और कोण में परिवर्तन करें।</v>
      </c>
    </row>
    <row r="133" ht="22.5" customHeight="1">
      <c r="A133" s="2">
        <v>132.0</v>
      </c>
      <c r="B133" s="3" t="s">
        <v>3286</v>
      </c>
      <c r="C133" s="3" t="s">
        <v>3256</v>
      </c>
      <c r="D133" s="3" t="s">
        <v>3227</v>
      </c>
      <c r="F133" s="5" t="str">
        <f>IFERROR(__xludf.DUMMYFUNCTION("GOOGLETRANSLATE(A133, ""en"", ""hi"")"),"132")</f>
        <v>132</v>
      </c>
      <c r="G133" s="5" t="str">
        <f>IFERROR(__xludf.DUMMYFUNCTION("GOOGLETRANSLATE(B133, ""en"", ""hi"")"),"फाइटर A और फाइटर B के बीच कांटे का मुकाबला है, और अब सिर्फ़ एक राउंड बाकी है। बढ़त हासिल करने के लिए फाइटर A को किस पर ध्यान केंद्रित करना चाहिए?")</f>
        <v>फाइटर A और फाइटर B के बीच कांटे का मुकाबला है, और अब सिर्फ़ एक राउंड बाकी है। बढ़त हासिल करने के लिए फाइटर A को किस पर ध्यान केंद्रित करना चाहिए?</v>
      </c>
      <c r="H133" s="5" t="str">
        <f>IFERROR(__xludf.DUMMYFUNCTION("GOOGLETRANSLATE(C133, ""en"", ""hi"")"),"A)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f>
        <v>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v>
      </c>
      <c r="I133" s="5" t="str">
        <f>IFERROR(__xludf.DUMMYFUNCTION("GOOGLETRANSLATE(D133, ""en"", ""hi"")"),"ए) शेष ऊर्जा का उपयोग हमलों की गति बढ़ाने के लिए करें।")</f>
        <v>ए) शेष ऊर्जा का उपयोग हमलों की गति बढ़ाने के लिए करें।</v>
      </c>
    </row>
    <row r="134" ht="22.5" customHeight="1">
      <c r="A134" s="2">
        <v>133.0</v>
      </c>
      <c r="B134" s="3" t="s">
        <v>3287</v>
      </c>
      <c r="C134" s="3" t="s">
        <v>3272</v>
      </c>
      <c r="D134" s="3" t="s">
        <v>3180</v>
      </c>
      <c r="F134" s="5" t="str">
        <f>IFERROR(__xludf.DUMMYFUNCTION("GOOGLETRANSLATE(A134, ""en"", ""hi"")"),"133")</f>
        <v>133</v>
      </c>
      <c r="G134" s="5" t="str">
        <f>IFERROR(__xludf.DUMMYFUNCTION("GOOGLETRANSLATE(B134, ""en"", ""hi"")"),"फ़ाइटर A अंकों में आगे चल रहा है, लेकिन उसे ज़्यादा बार चोट लग रही है। फ़ाइटर A को अंतिम राउंड में किस पर ध्यान केंद्रित करना चाहिए?")</f>
        <v>फ़ाइटर A अंकों में आगे चल रहा है, लेकिन उसे ज़्यादा बार चोट लग रही है। फ़ाइटर A को अंतिम राउंड में किस पर ध्यान केंद्रित करना चाहिए?</v>
      </c>
      <c r="H134" s="5" t="str">
        <f>IFERROR(__xludf.DUMMYFUNCTION("GOOGLETRANSLATE(C134, ""en"", ""hi"")"),"क)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f>
        <v>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v>
      </c>
      <c r="I134" s="5" t="str">
        <f>IFERROR(__xludf.DUMMYFUNCTION("GOOGLETRANSLATE(D134, ""en"", ""hi"")"),"ए) बढ़त की रक्षा के लिए रक्षात्मक तकनीकों पर ध्यान केंद्रित करें।")</f>
        <v>ए) बढ़त की रक्षा के लिए रक्षात्मक तकनीकों पर ध्यान केंद्रित करें।</v>
      </c>
    </row>
    <row r="135" ht="22.5" customHeight="1">
      <c r="A135" s="2">
        <v>134.0</v>
      </c>
      <c r="B135" s="3" t="s">
        <v>3269</v>
      </c>
      <c r="C135" s="3" t="s">
        <v>3270</v>
      </c>
      <c r="D135" s="3" t="s">
        <v>3244</v>
      </c>
      <c r="F135" s="5" t="str">
        <f>IFERROR(__xludf.DUMMYFUNCTION("GOOGLETRANSLATE(A135, ""en"", ""hi"")"),"134")</f>
        <v>134</v>
      </c>
      <c r="G135" s="5" t="str">
        <f>IFERROR(__xludf.DUMMYFUNCTION("GOOGLETRANSLATE(B135, ""en"", ""hi"")"),"फाइटर A और फाइटर B एक प्रतिस्पर्धी मैच में हैं। फाइटर A अंकों के मामले में थोड़ा आगे है, लेकिन थक रहा है। फ़ाइनल राउंड में फाइटर A को किस पर ध्यान केंद्रित करना चाहिए?")</f>
        <v>फाइटर A और फाइटर B एक प्रतिस्पर्धी मैच में हैं। फाइटर A अंकों के मामले में थोड़ा आगे है, लेकिन थक रहा है। फ़ाइनल राउंड में फाइटर A को किस पर ध्यान केंद्रित करना चाहिए?</v>
      </c>
      <c r="H135" s="5" t="str">
        <f>IFERROR(__xludf.DUMMYFUNCTION("GOOGLETRANSLATE(C135, ""en"", ""hi"")"),"क)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f>
        <v>क) बढ़त बनाए रखने के लिए रक्षात्मक खेलें। ख) जीत सुनिश्चित करने के लिए हमलों की तीव्रता बढ़ाएँ। ग) नॉकआउट स्ट्राइक लगाने का प्रयास करें। घ) ऊर्जा संरक्षण पर ध्यान केंद्रित करें और अंतिम घंटी का इंतज़ार करें।</v>
      </c>
      <c r="I135" s="5" t="str">
        <f>IFERROR(__xludf.DUMMYFUNCTION("GOOGLETRANSLATE(D135, ""en"", ""hi"")"),"ए) बढ़त बनाए रखने के लिए रक्षात्मक खेलें।")</f>
        <v>ए) बढ़त बनाए रखने के लिए रक्षात्मक खेलें।</v>
      </c>
    </row>
    <row r="136" ht="22.5" customHeight="1">
      <c r="A136" s="2">
        <v>135.0</v>
      </c>
      <c r="B136" s="3" t="s">
        <v>3288</v>
      </c>
      <c r="C136" s="3" t="s">
        <v>3274</v>
      </c>
      <c r="D136" s="3" t="s">
        <v>3183</v>
      </c>
      <c r="F136" s="5" t="str">
        <f>IFERROR(__xludf.DUMMYFUNCTION("GOOGLETRANSLATE(A136, ""en"", ""hi"")"),"135")</f>
        <v>135</v>
      </c>
      <c r="G136" s="5" t="str">
        <f>IFERROR(__xludf.DUMMYFUNCTION("GOOGLETRANSLATE(B136, ""en"", ""hi"")"),"फाइटर A और फाइटर B बराबरी पर हैं। फाइटर B में हताशा और आक्रामकता के लक्षण दिखने लगते हैं। फाइटर A को इस बदलाव से कैसे निपटना चाहिए?")</f>
        <v>फाइटर A और फाइटर B बराबरी पर हैं। फाइटर B में हताशा और आक्रामकता के लक्षण दिखने लगते हैं। फाइटर A को इस बदलाव से कैसे निपटना चाहिए?</v>
      </c>
      <c r="H136" s="5" t="str">
        <f>IFERROR(__xludf.DUMMYFUNCTION("GOOGLETRANSLATE(C136, ""en"", ""hi"")"),"A)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f>
        <v>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v>
      </c>
      <c r="I136" s="5" t="str">
        <f>IFERROR(__xludf.DUMMYFUNCTION("GOOGLETRANSLATE(D136, ""en"", ""hi"")"),"अ) धैर्य बनाए रखें और रक्षात्मक रणनीति अपनाएं।")</f>
        <v>अ) धैर्य बनाए रखें और रक्षात्मक रणनीति अपनाएं।</v>
      </c>
    </row>
    <row r="137" ht="22.5" customHeight="1">
      <c r="A137" s="2">
        <v>136.0</v>
      </c>
      <c r="B137" s="3" t="s">
        <v>3289</v>
      </c>
      <c r="C137" s="3" t="s">
        <v>3258</v>
      </c>
      <c r="D137" s="3" t="s">
        <v>3213</v>
      </c>
      <c r="F137" s="5" t="str">
        <f>IFERROR(__xludf.DUMMYFUNCTION("GOOGLETRANSLATE(A137, ""en"", ""hi"")"),"136")</f>
        <v>136</v>
      </c>
      <c r="G137" s="5" t="str">
        <f>IFERROR(__xludf.DUMMYFUNCTION("GOOGLETRANSLATE(B137, ""en"", ""hi"")"),"फाइटर A प्रभावी बॉडी पंच लगा रहा है, लेकिन फाइटर B इन हमलों से बचने के लिए खुद को ढकने और बचाव करने लगता है। फाइटर A को अपनी रणनीति में कैसे बदलाव करना चाहिए?")</f>
        <v>फाइटर A प्रभावी बॉडी पंच लगा रहा है, लेकिन फाइटर B इन हमलों से बचने के लिए खुद को ढकने और बचाव करने लगता है। फाइटर A को अपनी रणनीति में कैसे बदलाव करना चाहिए?</v>
      </c>
      <c r="H137" s="5" t="str">
        <f>IFERROR(__xludf.DUMMYFUNCTION("GOOGLETRANSLATE(C137, ""en"", ""hi"")"),"A)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f>
        <v>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v>
      </c>
      <c r="I137" s="5" t="str">
        <f>IFERROR(__xludf.DUMMYFUNCTION("GOOGLETRANSLATE(D137, ""en"", ""hi"")"),"ए) फाइटर बी की नई रक्षा का फायदा उठाने के लिए सिर पर मुक्कों का उपयोग बढ़ाएं।")</f>
        <v>ए) फाइटर बी की नई रक्षा का फायदा उठाने के लिए सिर पर मुक्कों का उपयोग बढ़ाएं।</v>
      </c>
    </row>
    <row r="138" ht="22.5" customHeight="1">
      <c r="A138" s="2">
        <v>137.0</v>
      </c>
      <c r="B138" s="3" t="s">
        <v>3280</v>
      </c>
      <c r="C138" s="3" t="s">
        <v>3281</v>
      </c>
      <c r="D138" s="3" t="s">
        <v>3216</v>
      </c>
      <c r="F138" s="5" t="str">
        <f>IFERROR(__xludf.DUMMYFUNCTION("GOOGLETRANSLATE(A138, ""en"", ""hi"")"),"137")</f>
        <v>137</v>
      </c>
      <c r="G138" s="5" t="str">
        <f>IFERROR(__xludf.DUMMYFUNCTION("GOOGLETRANSLATE(B138, ""en"", ""hi"")"),"फाइटर A और फाइटर B के बीच कांटे का मुकाबला है, जिसमें फाइटर A अंकों से पीछे है। फ़ाइटर A को अंतिम राउंड में किस पर ध्यान केंद्रित करना चाहिए?")</f>
        <v>फाइटर A और फाइटर B के बीच कांटे का मुकाबला है, जिसमें फाइटर A अंकों से पीछे है। फ़ाइटर A को अंतिम राउंड में किस पर ध्यान केंद्रित करना चाहिए?</v>
      </c>
      <c r="H138" s="5" t="str">
        <f>IFERROR(__xludf.DUMMYFUNCTION("GOOGLETRANSLATE(C138, ""en"", ""hi"")"),"A)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f>
        <v>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v>
      </c>
      <c r="I138" s="5" t="str">
        <f>IFERROR(__xludf.DUMMYFUNCTION("GOOGLETRANSLATE(D138, ""en"", ""hi"")"),"ए) नॉकआउट का प्रयास करने के लिए पूरी ताकत से आक्रमण करें।")</f>
        <v>ए) नॉकआउट का प्रयास करने के लिए पूरी ताकत से आक्रमण करें।</v>
      </c>
    </row>
    <row r="139" ht="22.5" customHeight="1">
      <c r="A139" s="2">
        <v>138.0</v>
      </c>
      <c r="B139" s="3" t="s">
        <v>3275</v>
      </c>
      <c r="C139" s="3" t="s">
        <v>3248</v>
      </c>
      <c r="D139" s="3" t="s">
        <v>3249</v>
      </c>
      <c r="F139" s="5" t="str">
        <f>IFERROR(__xludf.DUMMYFUNCTION("GOOGLETRANSLATE(A139, ""en"", ""hi"")"),"138")</f>
        <v>138</v>
      </c>
      <c r="G139" s="5" t="str">
        <f>IFERROR(__xludf.DUMMYFUNCTION("GOOGLETRANSLATE(B139, ""en"", ""hi"")"),"फाइटर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f>
        <v>फाइटर A अपनी सहनशक्ति और क्षति सहने की क्षमता के लिए जाना जाता है, जबकि फाइटर B आक्रामक है लेकिन जल्दी थक जाता है। फाइटर A को अपनी सहनशक्ति का लाभ कैसे उठाना चाहिए?</v>
      </c>
      <c r="H139" s="5" t="str">
        <f>IFERROR(__xludf.DUMMYFUNCTION("GOOGLETRANSLATE(C139, ""en"", ""hi"")"),"A)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f>
        <v>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v>
      </c>
      <c r="I139" s="5" t="str">
        <f>IFERROR(__xludf.DUMMYFUNCTION("GOOGLETRANSLATE(D139, ""en"", ""hi"")"),"ए) रक्षात्मक रणनीति पर ध्यान केंद्रित करें और फाइटर बी से अधिक समय तक टिकें।")</f>
        <v>ए) रक्षात्मक रणनीति पर ध्यान केंद्रित करें और फाइटर बी से अधिक समय तक टिकें।</v>
      </c>
    </row>
    <row r="140" ht="22.5" customHeight="1">
      <c r="A140" s="2">
        <v>139.0</v>
      </c>
      <c r="B140" s="3" t="s">
        <v>3276</v>
      </c>
      <c r="C140" s="3" t="s">
        <v>3277</v>
      </c>
      <c r="D140" s="3" t="s">
        <v>3252</v>
      </c>
      <c r="F140" s="5" t="str">
        <f>IFERROR(__xludf.DUMMYFUNCTION("GOOGLETRANSLATE(A140, ""en"", ""hi"")"),"139")</f>
        <v>139</v>
      </c>
      <c r="G140" s="5" t="str">
        <f>IFERROR(__xludf.DUMMYFUNCTION("GOOGLETRANSLATE(B140, ""en"", ""hi"")"),"फाइटर A प्रभावी हमले कर रहा है, लेकिन फाइटर B बेहतर डिफेंस दिखा रहा है। फाइटर A को अपनी रणनीति कैसे बदलनी चाहिए?")</f>
        <v>फाइटर A प्रभावी हमले कर रहा है, लेकिन फाइटर B बेहतर डिफेंस दिखा रहा है। फाइटर A को अपनी रणनीति कैसे बदलनी चाहिए?</v>
      </c>
      <c r="H140" s="5" t="str">
        <f>IFERROR(__xludf.DUMMYFUNCTION("GOOGLETRANSLATE(C140, ""en"", ""hi"")"),"क)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f>
        <v>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v>
      </c>
      <c r="I140" s="5" t="str">
        <f>IFERROR(__xludf.DUMMYFUNCTION("GOOGLETRANSLATE(D140, ""en"", ""hi"")"),"ए) अवसर पैदा करने के लिए छल और गलत दिशा का प्रयोग करें।")</f>
        <v>ए) अवसर पैदा करने के लिए छल और गलत दिशा का प्रयोग करें।</v>
      </c>
    </row>
    <row r="141" ht="22.5" customHeight="1">
      <c r="A141" s="2">
        <v>140.0</v>
      </c>
      <c r="B141" s="3" t="s">
        <v>3278</v>
      </c>
      <c r="C141" s="3" t="s">
        <v>3256</v>
      </c>
      <c r="D141" s="3" t="s">
        <v>3227</v>
      </c>
      <c r="F141" s="5" t="str">
        <f>IFERROR(__xludf.DUMMYFUNCTION("GOOGLETRANSLATE(A141, ""en"", ""hi"")"),"140")</f>
        <v>140</v>
      </c>
      <c r="G141" s="5" t="str">
        <f>IFERROR(__xludf.DUMMYFUNCTION("GOOGLETRANSLATE(B141, ""en"", ""hi"")"),"फाइटर A और फाइटर B के बीच कांटे का मुकाबला है, और सिर्फ़ एक राउंड बाकी है। बढ़त हासिल करने के लिए फाइटर A को किस पर ध्यान केंद्रित करना चाहिए?")</f>
        <v>फाइटर A और फाइटर B के बीच कांटे का मुकाबला है, और सिर्फ़ एक राउंड बाकी है। बढ़त हासिल करने के लिए फाइटर A को किस पर ध्यान केंद्रित करना चाहिए?</v>
      </c>
      <c r="H141" s="5" t="str">
        <f>IFERROR(__xludf.DUMMYFUNCTION("GOOGLETRANSLATE(C141, ""en"", ""hi"")"),"A)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f>
        <v>A) शेष ऊर्जा का उपयोग हमलों की गति बढ़ाने के लिए करें। B) ऊर्जा संरक्षण के लिए रक्षात्मक तकनीकों पर ध्यान केंद्रित करें। C) मैच को जल्दी खत्म करने के लिए नॉकआउट का प्रयास करें। D) संयम से खेलें और अंतिम घंटी का इंतज़ार करें।</v>
      </c>
      <c r="I141" s="5" t="str">
        <f>IFERROR(__xludf.DUMMYFUNCTION("GOOGLETRANSLATE(D141, ""en"", ""hi"")"),"ए) शेष ऊर्जा का उपयोग हमलों की गति बढ़ाने के लिए करें।")</f>
        <v>ए) शेष ऊर्जा का उपयोग हमलों की गति बढ़ाने के लिए करें।</v>
      </c>
    </row>
    <row r="142" ht="22.5" customHeight="1">
      <c r="A142" s="2">
        <v>141.0</v>
      </c>
      <c r="B142" s="3" t="s">
        <v>3279</v>
      </c>
      <c r="C142" s="3" t="s">
        <v>3258</v>
      </c>
      <c r="D142" s="3" t="s">
        <v>3213</v>
      </c>
      <c r="F142" s="5" t="str">
        <f>IFERROR(__xludf.DUMMYFUNCTION("GOOGLETRANSLATE(A142, ""en"", ""hi"")"),"141")</f>
        <v>141</v>
      </c>
      <c r="G142" s="5" t="str">
        <f>IFERROR(__xludf.DUMMYFUNCTION("GOOGLETRANSLATE(B142, ""en"", ""hi"")"),"फाइटर A प्रभावी रूप से बॉडी पंच का इस्तेमाल कर रहा है, लेकिन फाइटर B इन हमलों से बचने के लिए खुद को ढकने और बचाव करने लगता है। फाइटर A को अपना तरीका कैसे बदलना चाहिए?")</f>
        <v>फाइटर A प्रभावी रूप से बॉडी पंच का इस्तेमाल कर रहा है, लेकिन फाइटर B इन हमलों से बचने के लिए खुद को ढकने और बचाव करने लगता है। फाइटर A को अपना तरीका कैसे बदलना चाहिए?</v>
      </c>
      <c r="H142" s="5" t="str">
        <f>IFERROR(__xludf.DUMMYFUNCTION("GOOGLETRANSLATE(C142, ""en"", ""hi"")"),"A)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f>
        <v>A) फाइटर B के नए डिफेंस का फायदा उठाने के लिए हेड पंच का इस्तेमाल बढ़ाएँ। B) बॉडी पंच जारी रखें और अलग-अलग तकनीकें आज़माएँ। C) चोट से बचने के लिए रक्षात्मक रणनीति पर ध्यान केंद्रित करें। D) बॉडी पंच के लिए मौके बनाने के लिए फ़िंट का इस्तेमाल करें।</v>
      </c>
      <c r="I142" s="5" t="str">
        <f>IFERROR(__xludf.DUMMYFUNCTION("GOOGLETRANSLATE(D142, ""en"", ""hi"")"),"ए) फाइटर बी की नई रक्षा का फायदा उठाने के लिए सिर पर मुक्कों का उपयोग बढ़ाएं।")</f>
        <v>ए) फाइटर बी की नई रक्षा का फायदा उठाने के लिए सिर पर मुक्कों का उपयोग बढ़ाएं।</v>
      </c>
    </row>
    <row r="143" ht="22.5" customHeight="1">
      <c r="A143" s="2">
        <v>142.0</v>
      </c>
      <c r="B143" s="3" t="s">
        <v>3280</v>
      </c>
      <c r="C143" s="3" t="s">
        <v>3281</v>
      </c>
      <c r="D143" s="3" t="s">
        <v>3216</v>
      </c>
      <c r="F143" s="5" t="str">
        <f>IFERROR(__xludf.DUMMYFUNCTION("GOOGLETRANSLATE(A143, ""en"", ""hi"")"),"142")</f>
        <v>142</v>
      </c>
      <c r="G143" s="5" t="str">
        <f>IFERROR(__xludf.DUMMYFUNCTION("GOOGLETRANSLATE(B143, ""en"", ""hi"")"),"फाइटर A और फाइटर B के बीच कांटे का मुकाबला है, जिसमें फाइटर A अंकों से पीछे है। फ़ाइटर A को अंतिम राउंड में किस पर ध्यान केंद्रित करना चाहिए?")</f>
        <v>फाइटर A और फाइटर B के बीच कांटे का मुकाबला है, जिसमें फाइटर A अंकों से पीछे है। फ़ाइटर A को अंतिम राउंड में किस पर ध्यान केंद्रित करना चाहिए?</v>
      </c>
      <c r="H143" s="5" t="str">
        <f>IFERROR(__xludf.DUMMYFUNCTION("GOOGLETRANSLATE(C143, ""en"", ""hi"")"),"A)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f>
        <v>A) नॉकआउट की कोशिश के लिए पूरी ताकत से हमला करें। B) चोट से बचने के लिए रक्षात्मक तकनीकों पर ध्यान केंद्रित करें। C) अंकों के अंतर को कम करने के लिए ज़्यादा से ज़्यादा स्ट्राइक लगाने की कोशिश करें। D) ऊर्जा बचाएँ और अंतिम घंटी का इंतज़ार करें।</v>
      </c>
      <c r="I143" s="5" t="str">
        <f>IFERROR(__xludf.DUMMYFUNCTION("GOOGLETRANSLATE(D143, ""en"", ""hi"")"),"ए) नॉकआउट का प्रयास करने के लिए पूरी ताकत से आक्रमण करें।")</f>
        <v>ए) नॉकआउट का प्रयास करने के लिए पूरी ताकत से आक्रमण करें।</v>
      </c>
    </row>
    <row r="144" ht="22.5" customHeight="1">
      <c r="A144" s="2">
        <v>143.0</v>
      </c>
      <c r="B144" s="3" t="s">
        <v>3282</v>
      </c>
      <c r="C144" s="3" t="s">
        <v>3283</v>
      </c>
      <c r="D144" s="3" t="s">
        <v>3239</v>
      </c>
      <c r="F144" s="5" t="str">
        <f>IFERROR(__xludf.DUMMYFUNCTION("GOOGLETRANSLATE(A144, ""en"", ""hi"")"),"143")</f>
        <v>143</v>
      </c>
      <c r="G144" s="5" t="str">
        <f>IFERROR(__xludf.DUMMYFUNCTION("GOOGLETRANSLATE(B144, ""en"", ""hi"")"),"फाइटर A और फाइटर B अपने मैच के अंतिम दौर में हैं। फाइटर A अंकों में थोड़ा पीछे है और थकान के लक्षण दिखा रहा है। फाइटर A के लिए सबसे अच्छी रणनीति क्या है?")</f>
        <v>फाइटर A और फाइटर B अपने मैच के अंतिम दौर में हैं। फाइटर A अंकों में थोड़ा पीछे है और थकान के लक्षण दिखा रहा है। फाइटर A के लिए सबसे अच्छी रणनीति क्या है?</v>
      </c>
      <c r="H144" s="5" t="str">
        <f>IFERROR(__xludf.DUMMYFUNCTION("GOOGLETRANSLATE(C144, ""en"", ""hi"")"),"A)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f>
        <v>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v>
      </c>
      <c r="I144" s="5" t="str">
        <f>IFERROR(__xludf.DUMMYFUNCTION("GOOGLETRANSLATE(D144, ""en"", ""hi"")"),"ए) तीव्रता बढ़ाएँ और नॉकआउट के लिए जाएं।")</f>
        <v>ए) तीव्रता बढ़ाएँ और नॉकआउट के लिए जाएं।</v>
      </c>
    </row>
    <row r="145" ht="22.5" customHeight="1">
      <c r="A145" s="2">
        <v>144.0</v>
      </c>
      <c r="B145" s="3" t="s">
        <v>3290</v>
      </c>
      <c r="C145" s="3" t="s">
        <v>3291</v>
      </c>
      <c r="D145" s="3" t="s">
        <v>3292</v>
      </c>
      <c r="F145" s="5" t="str">
        <f>IFERROR(__xludf.DUMMYFUNCTION("GOOGLETRANSLATE(A145, ""en"", ""hi"")"),"144")</f>
        <v>144</v>
      </c>
      <c r="G145" s="5" t="str">
        <f>IFERROR(__xludf.DUMMYFUNCTION("GOOGLETRANSLATE(B145, ""en"", ""hi"")"),"फाइटर A अंकों में आगे है, लेकिन थक रहा है। फाइटर B अभी भी तरोताज़ा है। फ़ाइनल राउंड में फाइटर A को किस पर ध्यान केंद्रित करना चाहिए?")</f>
        <v>फाइटर A अंकों में आगे है, लेकिन थक रहा है। फाइटर B अभी भी तरोताज़ा है। फ़ाइनल राउंड में फाइटर A को किस पर ध्यान केंद्रित करना चाहिए?</v>
      </c>
      <c r="H145" s="5" t="str">
        <f>IFERROR(__xludf.DUMMYFUNCTION("GOOGLETRANSLATE(C145, ""en"", ""hi"")"),"A) रक्षात्मक खेलें और ऊर्जा का प्रबंधन करें। B) जीत सुनिश्चित करने के लिए आक्रामकता बढ़ाएँ। C) वर्तमान रणनीति जारी रखें। D) फाइटर B को चौंका देने के लिए जवाबी हमलों पर ध्यान केंद्रित करें।")</f>
        <v>A) रक्षात्मक खेलें और ऊर्जा का प्रबंधन करें। B) जीत सुनिश्चित करने के लिए आक्रामकता बढ़ाएँ। C) वर्तमान रणनीति जारी रखें। D) फाइटर B को चौंका देने के लिए जवाबी हमलों पर ध्यान केंद्रित करें।</v>
      </c>
      <c r="I145" s="5" t="str">
        <f>IFERROR(__xludf.DUMMYFUNCTION("GOOGLETRANSLATE(D145, ""en"", ""hi"")"),"ए) रक्षात्मक खेलें और ऊर्जा का प्रबंधन करें।")</f>
        <v>ए) रक्षात्मक खेलें और ऊर्जा का प्रबंधन करें।</v>
      </c>
    </row>
    <row r="146" ht="22.5" customHeight="1">
      <c r="A146" s="2">
        <v>145.0</v>
      </c>
      <c r="B146" s="3" t="s">
        <v>3293</v>
      </c>
      <c r="C146" s="3" t="s">
        <v>3294</v>
      </c>
      <c r="D146" s="3" t="s">
        <v>3295</v>
      </c>
      <c r="F146" s="5" t="str">
        <f>IFERROR(__xludf.DUMMYFUNCTION("GOOGLETRANSLATE(A146, ""en"", ""hi"")"),"145")</f>
        <v>145</v>
      </c>
      <c r="G146" s="5" t="str">
        <f>IFERROR(__xludf.DUMMYFUNCTION("GOOGLETRANSLATE(B146, ""en"", ""hi"")"),"फाइटर बी अपनी मज़बूत लेग किक्स के लिए जाना जाता है। फाइटर ए को अपनी रणनीति कैसे बदलनी चाहिए?")</f>
        <v>फाइटर बी अपनी मज़बूत लेग किक्स के लिए जाना जाता है। फाइटर ए को अपनी रणनीति कैसे बदलनी चाहिए?</v>
      </c>
      <c r="H146" s="5" t="str">
        <f>IFERROR(__xludf.DUMMYFUNCTION("GOOGLETRANSLATE(C146, ""en"", ""hi"")"),"A) पैरों के प्रहारों का जवाब शरीर पर मुक्कों से देने पर ध्यान केंद्रित करें। B) नज़दीकी मुक़ाबले में शामिल होने से बचें। C) आक्रामकता बढ़ाएँ और फाइटर B पर हावी होने की कोशिश करें। D) मौके बनाने के लिए छल-कपट का इस्तेमाल करें।")</f>
        <v>A) पैरों के प्रहारों का जवाब शरीर पर मुक्कों से देने पर ध्यान केंद्रित करें। B) नज़दीकी मुक़ाबले में शामिल होने से बचें। C) आक्रामकता बढ़ाएँ और फाइटर B पर हावी होने की कोशिश करें। D) मौके बनाने के लिए छल-कपट का इस्तेमाल करें।</v>
      </c>
      <c r="I146" s="5" t="str">
        <f>IFERROR(__xludf.DUMMYFUNCTION("GOOGLETRANSLATE(D146, ""en"", ""hi"")"),"ए) पैरों के प्रहार का जवाब शरीर के प्रहार से देने पर ध्यान केन्द्रित करें।")</f>
        <v>ए) पैरों के प्रहार का जवाब शरीर के प्रहार से देने पर ध्यान केन्द्रित करें।</v>
      </c>
    </row>
    <row r="147" ht="22.5" customHeight="1">
      <c r="A147" s="2">
        <v>146.0</v>
      </c>
      <c r="B147" s="3" t="s">
        <v>3296</v>
      </c>
      <c r="C147" s="3" t="s">
        <v>3297</v>
      </c>
      <c r="D147" s="3" t="s">
        <v>3298</v>
      </c>
      <c r="F147" s="5" t="str">
        <f>IFERROR(__xludf.DUMMYFUNCTION("GOOGLETRANSLATE(A147, ""en"", ""hi"")"),"146")</f>
        <v>146</v>
      </c>
      <c r="G147" s="5" t="str">
        <f>IFERROR(__xludf.DUMMYFUNCTION("GOOGLETRANSLATE(B147, ""en"", ""hi"")"),"फाइटर A अंकों में स्पष्ट बढ़त बनाए हुए है, लेकिन वह लगातार आक्रामक होता जा रहा है। फाइटर B को प्रभावी ढंग से जवाब देने के लिए क्या करना चाहिए?")</f>
        <v>फाइटर A अंकों में स्पष्ट बढ़त बनाए हुए है, लेकिन वह लगातार आक्रामक होता जा रहा है। फाइटर B को प्रभावी ढंग से जवाब देने के लिए क्या करना चाहिए?</v>
      </c>
      <c r="H147" s="5" t="str">
        <f>IFERROR(__xludf.DUMMYFUNCTION("GOOGLETRANSLATE(C147, ""en"", ""hi"")"),"अ) रक्षात्मक तकनीकों पर ध्यान केंद्रित करें और मौके का इंतज़ार करें। ब) फाइटर अ के आक्रामक रवैये का बराबरी से मुकाबला करें। स) नॉकआउट वार करने की कोशिश करें। द) ऊर्जा बचाएँ और संयम से खेलें।")</f>
        <v>अ) रक्षात्मक तकनीकों पर ध्यान केंद्रित करें और मौके का इंतज़ार करें। ब) फाइटर अ के आक्रामक रवैये का बराबरी से मुकाबला करें। स) नॉकआउट वार करने की कोशिश करें। द) ऊर्जा बचाएँ और संयम से खेलें।</v>
      </c>
      <c r="I147" s="5" t="str">
        <f>IFERROR(__xludf.DUMMYFUNCTION("GOOGLETRANSLATE(D147, ""en"", ""hi"")"),"ए) रक्षात्मक तकनीकों पर ध्यान केन्द्रित करें और अवसर की प्रतीक्षा करें।")</f>
        <v>ए) रक्षात्मक तकनीकों पर ध्यान केन्द्रित करें और अवसर की प्रतीक्षा करें।</v>
      </c>
    </row>
    <row r="148" ht="22.5" customHeight="1">
      <c r="A148" s="2">
        <v>147.0</v>
      </c>
      <c r="B148" s="3" t="s">
        <v>3299</v>
      </c>
      <c r="C148" s="3" t="s">
        <v>3300</v>
      </c>
      <c r="D148" s="3" t="s">
        <v>3301</v>
      </c>
      <c r="F148" s="5" t="str">
        <f>IFERROR(__xludf.DUMMYFUNCTION("GOOGLETRANSLATE(A148, ""en"", ""hi"")"),"147")</f>
        <v>147</v>
      </c>
      <c r="G148" s="5" t="str">
        <f>IFERROR(__xludf.DUMMYFUNCTION("GOOGLETRANSLATE(B148, ""en"", ""hi"")"),"ऐसी स्थिति में जहां दोनों लड़ाके कौशल के मामले में समान हैं, लड़ाकू ए के लिए लाभ प्राप्त करने की सबसे प्रभावी रणनीति क्या है?")</f>
        <v>ऐसी स्थिति में जहां दोनों लड़ाके कौशल के मामले में समान हैं, लड़ाकू ए के लिए लाभ प्राप्त करने की सबसे प्रभावी रणनीति क्या है?</v>
      </c>
      <c r="H148" s="5" t="str">
        <f>IFERROR(__xludf.DUMMYFUNCTION("GOOGLETRANSLATE(C148, ""en"", ""hi"")"),"A) फाइटर B की किसी भी छोटी-मोटी गलती का फायदा उठाने पर ध्यान केंद्रित करें। B) फाइटर B को थका देने के लिए लड़ाई की गति बढ़ाएँ। C) चोट से बचने के लिए रक्षात्मक रणनीति अपनाएँ। D) फाइटर B को अचानक से चौंका देने के लिए कोई आश्चर्यजनक चाल चलने का प्रयास करें।")</f>
        <v>A) फाइटर B की किसी भी छोटी-मोटी गलती का फायदा उठाने पर ध्यान केंद्रित करें। B) फाइटर B को थका देने के लिए लड़ाई की गति बढ़ाएँ। C) चोट से बचने के लिए रक्षात्मक रणनीति अपनाएँ। D) फाइटर B को अचानक से चौंका देने के लिए कोई आश्चर्यजनक चाल चलने का प्रयास करें।</v>
      </c>
      <c r="I148" s="5" t="str">
        <f>IFERROR(__xludf.DUMMYFUNCTION("GOOGLETRANSLATE(D148, ""en"", ""hi"")"),"ए) फाइटर बी की किसी भी छोटी सी गलती का फायदा उठाने पर ध्यान केंद्रित करें।")</f>
        <v>ए) फाइटर बी की किसी भी छोटी सी गलती का फायदा उठाने पर ध्यान केंद्रित करें।</v>
      </c>
    </row>
    <row r="149" ht="22.5" customHeight="1">
      <c r="A149" s="2">
        <v>148.0</v>
      </c>
      <c r="B149" s="3" t="s">
        <v>3302</v>
      </c>
      <c r="C149" s="3" t="s">
        <v>3303</v>
      </c>
      <c r="D149" s="3" t="s">
        <v>3304</v>
      </c>
      <c r="F149" s="5" t="str">
        <f>IFERROR(__xludf.DUMMYFUNCTION("GOOGLETRANSLATE(A149, ""en"", ""hi"")"),"148")</f>
        <v>148</v>
      </c>
      <c r="G149" s="5" t="str">
        <f>IFERROR(__xludf.DUMMYFUNCTION("GOOGLETRANSLATE(B149, ""en"", ""hi"")"),"फाइटर A और फाइटर B बराबरी पर हैं, लेकिन फाइटर A में थकान के लक्षण दिखने लगे हैं। इसका फ़ायदा उठाने के लिए फाइटर B को क्या करना चाहिए?")</f>
        <v>फाइटर A और फाइटर B बराबरी पर हैं, लेकिन फाइटर A में थकान के लक्षण दिखने लगे हैं। इसका फ़ायदा उठाने के लिए फाइटर B को क्या करना चाहिए?</v>
      </c>
      <c r="H149" s="5" t="str">
        <f>IFERROR(__xludf.DUMMYFUNCTION("GOOGLETRANSLATE(C149, ""en"", ""hi"")"),"क) हमलों की तीव्रता बढ़ाएँ। ख) चोट से बचने के लिए रक्षात्मक रणनीति पर ध्यान केंद्रित करें। ग) नॉकआउट वार करने का प्रयास करें। घ) संयम से खेलें और अंतिम घंटी बजने का इंतज़ार करें।")</f>
        <v>क) हमलों की तीव्रता बढ़ाएँ। ख) चोट से बचने के लिए रक्षात्मक रणनीति पर ध्यान केंद्रित करें। ग) नॉकआउट वार करने का प्रयास करें। घ) संयम से खेलें और अंतिम घंटी बजने का इंतज़ार करें।</v>
      </c>
      <c r="I149" s="5" t="str">
        <f>IFERROR(__xludf.DUMMYFUNCTION("GOOGLETRANSLATE(D149, ""en"", ""hi"")"),"ए) हमलों की तीव्रता बढ़ाएँ.")</f>
        <v>ए) हमलों की तीव्रता बढ़ाएँ.</v>
      </c>
    </row>
    <row r="150" ht="22.5" customHeight="1">
      <c r="A150" s="2">
        <v>149.0</v>
      </c>
      <c r="B150" s="3" t="s">
        <v>3305</v>
      </c>
      <c r="C150" s="3" t="s">
        <v>3306</v>
      </c>
      <c r="D150" s="3" t="s">
        <v>3307</v>
      </c>
      <c r="F150" s="5" t="str">
        <f>IFERROR(__xludf.DUMMYFUNCTION("GOOGLETRANSLATE(A150, ""en"", ""hi"")"),"149")</f>
        <v>149</v>
      </c>
      <c r="G150" s="5" t="str">
        <f>IFERROR(__xludf.DUMMYFUNCTION("GOOGLETRANSLATE(B150, ""en"", ""hi"")"),"फाइटर A मैच की शुरुआत में बहुत ज़्यादा ऊर्जा खर्च कर रहा है। फाइटर B को अपनी रणनीति कैसे बदलनी चाहिए?")</f>
        <v>फाइटर A मैच की शुरुआत में बहुत ज़्यादा ऊर्जा खर्च कर रहा है। फाइटर B को अपनी रणनीति कैसे बदलनी चाहिए?</v>
      </c>
      <c r="H150" s="5" t="str">
        <f>IFERROR(__xludf.DUMMYFUNCTION("GOOGLETRANSLATE(C150, ""en"", ""hi"")"),"A) रक्षात्मक खेलें और फ़ाइटर A के थकने का इंतज़ार करें। B) फ़ाइटर A की गति के साथ तालमेल बिठाने के लिए आक्रामकता बढ़ाएँ। C) मौकों का फ़ायदा उठाने के लिए जवाबी हमले पर ध्यान केंद्रित करें। D) लड़ाई को जल्दी खत्म करने की कोशिश करें।")</f>
        <v>A) रक्षात्मक खेलें और फ़ाइटर A के थकने का इंतज़ार करें। B) फ़ाइटर A की गति के साथ तालमेल बिठाने के लिए आक्रामकता बढ़ाएँ। C) मौकों का फ़ायदा उठाने के लिए जवाबी हमले पर ध्यान केंद्रित करें। D) लड़ाई को जल्दी खत्म करने की कोशिश करें।</v>
      </c>
      <c r="I150" s="5" t="str">
        <f>IFERROR(__xludf.DUMMYFUNCTION("GOOGLETRANSLATE(D150, ""en"", ""hi"")"),"ए) रक्षात्मक खेलें और फाइटर ए के थकने का इंतजार करें।")</f>
        <v>ए) रक्षात्मक खेलें और फाइटर ए के थकने का इंतजार करें।</v>
      </c>
    </row>
    <row r="151" ht="22.5" customHeight="1">
      <c r="A151" s="2">
        <v>150.0</v>
      </c>
      <c r="B151" s="3" t="s">
        <v>3308</v>
      </c>
      <c r="C151" s="3" t="s">
        <v>3309</v>
      </c>
      <c r="D151" s="3" t="s">
        <v>3310</v>
      </c>
      <c r="F151" s="5" t="str">
        <f>IFERROR(__xludf.DUMMYFUNCTION("GOOGLETRANSLATE(A151, ""en"", ""hi"")"),"150")</f>
        <v>150</v>
      </c>
      <c r="G151" s="5" t="str">
        <f>IFERROR(__xludf.DUMMYFUNCTION("GOOGLETRANSLATE(B151, ""en"", ""hi"")"),"फाइटर A बॉडी पंचेज़ में कामयाब रहा है, लेकिन फाइटर B इन हमलों का अंदाज़ा लगाने लगा है। फाइटर A को अपनी रणनीति में कैसे बदलाव करना चाहिए?")</f>
        <v>फाइटर A बॉडी पंचेज़ में कामयाब रहा है, लेकिन फाइटर B इन हमलों का अंदाज़ा लगाने लगा है। फाइटर A को अपनी रणनीति में कैसे बदलाव करना चाहिए?</v>
      </c>
      <c r="H151" s="5" t="str">
        <f>IFERROR(__xludf.DUMMYFUNCTION("GOOGLETRANSLATE(C151, ""en"", ""hi"")"),"क) सिर पर मुक्कों का इस्तेमाल करके हमले में विविधता लाएँ। ख) शरीर पर मुक्कों का इस्तेमाल जारी रखें और सटीकता बढ़ाने की कोशिश करें। ग) शरीर पर मुक्कों की गति बढ़ाएँ। घ) रक्षात्मक रणनीति पर ध्यान केंद्रित करें।")</f>
        <v>क) सिर पर मुक्कों का इस्तेमाल करके हमले में विविधता लाएँ। ख) शरीर पर मुक्कों का इस्तेमाल जारी रखें और सटीकता बढ़ाने की कोशिश करें। ग) शरीर पर मुक्कों की गति बढ़ाएँ। घ) रक्षात्मक रणनीति पर ध्यान केंद्रित करें।</v>
      </c>
      <c r="I151" s="5" t="str">
        <f>IFERROR(__xludf.DUMMYFUNCTION("GOOGLETRANSLATE(D151, ""en"", ""hi"")"),"क) सिर पर मुक्का मारकर हमले में विविधता लाएं।")</f>
        <v>क) सिर पर मुक्का मारकर हमले में विविधता लाएं।</v>
      </c>
    </row>
    <row r="152" ht="22.5" customHeight="1">
      <c r="A152" s="2">
        <v>151.0</v>
      </c>
      <c r="B152" s="3" t="s">
        <v>3311</v>
      </c>
      <c r="C152" s="3" t="s">
        <v>3312</v>
      </c>
      <c r="D152" s="3" t="s">
        <v>3252</v>
      </c>
      <c r="F152" s="5" t="str">
        <f>IFERROR(__xludf.DUMMYFUNCTION("GOOGLETRANSLATE(A152, ""en"", ""hi"")"),"151")</f>
        <v>151</v>
      </c>
      <c r="G152" s="5" t="str">
        <f>IFERROR(__xludf.DUMMYFUNCTION("GOOGLETRANSLATE(B152, ""en"", ""hi"")"),"फाइटर बी अपने मज़बूत जवाबी हमलों के लिए जाना जाता है। फाइटर ए को मुकाबले में किस तरह से उतरना चाहिए ताकि जवाबी हमले का ख़तरा कम से कम हो?")</f>
        <v>फाइटर बी अपने मज़बूत जवाबी हमलों के लिए जाना जाता है। फाइटर ए को मुकाबले में किस तरह से उतरना चाहिए ताकि जवाबी हमले का ख़तरा कम से कम हो?</v>
      </c>
      <c r="H152" s="5" t="str">
        <f>IFERROR(__xludf.DUMMYFUNCTION("GOOGLETRANSLATE(C152, ""en"", ""hi"")"),"A) मौके बनाने के लिए छल और गलत दिशा का प्रयोग करें। B) आक्रामकता बढ़ाएँ और फाइटर B पर हावी होने की कोशिश करें। C) रक्षात्मक तकनीकों पर ध्यान केंद्रित करें और उलझने से बचें। D) अचानक हमले करके फाइटर B को चौंका देने की कोशिश करें।")</f>
        <v>A) मौके बनाने के लिए छल और गलत दिशा का प्रयोग करें। B) आक्रामकता बढ़ाएँ और फाइटर B पर हावी होने की कोशिश करें। C) रक्षात्मक तकनीकों पर ध्यान केंद्रित करें और उलझने से बचें। D) अचानक हमले करके फाइटर B को चौंका देने की कोशिश करें।</v>
      </c>
      <c r="I152" s="5" t="str">
        <f>IFERROR(__xludf.DUMMYFUNCTION("GOOGLETRANSLATE(D152, ""en"", ""hi"")"),"ए) अवसर पैदा करने के लिए छल और गलत दिशा का प्रयोग करें।")</f>
        <v>ए) अवसर पैदा करने के लिए छल और गलत दिशा का प्रयोग करें।</v>
      </c>
    </row>
    <row r="153" ht="22.5" customHeight="1">
      <c r="A153" s="2">
        <v>152.0</v>
      </c>
      <c r="B153" s="3" t="s">
        <v>3313</v>
      </c>
      <c r="C153" s="3" t="s">
        <v>3274</v>
      </c>
      <c r="D153" s="3" t="s">
        <v>3183</v>
      </c>
      <c r="F153" s="5" t="str">
        <f>IFERROR(__xludf.DUMMYFUNCTION("GOOGLETRANSLATE(A153, ""en"", ""hi"")"),"152")</f>
        <v>152</v>
      </c>
      <c r="G153" s="5" t="str">
        <f>IFERROR(__xludf.DUMMYFUNCTION("GOOGLETRANSLATE(B153, ""en"", ""hi"")"),"फाइटर A और फाइटर B के बीच कड़ी टक्कर चल रही है। फाइटर B में हताशा और आक्रामकता के लक्षण दिखने लगे हैं। फाइटर A को इस स्थिति से कैसे निपटना चाहिए?")</f>
        <v>फाइटर A और फाइटर B के बीच कड़ी टक्कर चल रही है। फाइटर B में हताशा और आक्रामकता के लक्षण दिखने लगे हैं। फाइटर A को इस स्थिति से कैसे निपटना चाहिए?</v>
      </c>
      <c r="H153" s="5" t="str">
        <f>IFERROR(__xludf.DUMMYFUNCTION("GOOGLETRANSLATE(C153, ""en"", ""hi"")"),"A)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f>
        <v>A) संयम बनाए रखें और रक्षात्मक रणनीति अपनाएँ। B) फाइटर B की गति से मेल खाने के लिए आक्रामकता बढ़ाएँ। C) फाइटर B के आक्रामक कदमों का जवाब देने का प्रयास करें। D) पीछे हटें और फाइटर B के थकने का इंतज़ार करें।</v>
      </c>
      <c r="I153" s="5" t="str">
        <f>IFERROR(__xludf.DUMMYFUNCTION("GOOGLETRANSLATE(D153, ""en"", ""hi"")"),"अ) धैर्य बनाए रखें और रक्षात्मक रणनीति अपनाएं।")</f>
        <v>अ) धैर्य बनाए रखें और रक्षात्मक रणनीति अपनाएं।</v>
      </c>
    </row>
    <row r="154" ht="22.5" customHeight="1">
      <c r="A154" s="2">
        <v>153.0</v>
      </c>
      <c r="B154" s="3" t="s">
        <v>3314</v>
      </c>
      <c r="C154" s="3" t="s">
        <v>3315</v>
      </c>
      <c r="D154" s="3" t="s">
        <v>3316</v>
      </c>
      <c r="F154" s="5" t="str">
        <f>IFERROR(__xludf.DUMMYFUNCTION("GOOGLETRANSLATE(A154, ""en"", ""hi"")"),"153")</f>
        <v>153</v>
      </c>
      <c r="G154" s="5" t="str">
        <f>IFERROR(__xludf.DUMMYFUNCTION("GOOGLETRANSLATE(B154, ""en"", ""hi"")"),"फाइटर A अंकों में आगे चल रहा है, लेकिन उसकी आक्रामकता बढ़ती जा रही है। फाइटर B को इसका मुकाबला करने के लिए क्या करना चाहिए?")</f>
        <v>फाइटर A अंकों में आगे चल रहा है, लेकिन उसकी आक्रामकता बढ़ती जा रही है। फाइटर B को इसका मुकाबला करने के लिए क्या करना चाहिए?</v>
      </c>
      <c r="H154" s="5" t="str">
        <f>IFERROR(__xludf.DUMMYFUNCTION("GOOGLETRANSLATE(C154, ""en"", ""hi"")"),"अ)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f>
        <v>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v>
      </c>
      <c r="I154" s="5" t="str">
        <f>IFERROR(__xludf.DUMMYFUNCTION("GOOGLETRANSLATE(D154, ""en"", ""hi"")"),"ए) चोट से बचने के लिए रक्षात्मक तकनीकों का उपयोग करें।")</f>
        <v>ए) चोट से बचने के लिए रक्षात्मक तकनीकों का उपयोग करें।</v>
      </c>
    </row>
    <row r="155" ht="22.5" customHeight="1">
      <c r="A155" s="2">
        <v>154.0</v>
      </c>
      <c r="B155" s="3" t="s">
        <v>3317</v>
      </c>
      <c r="C155" s="3" t="s">
        <v>3283</v>
      </c>
      <c r="D155" s="3" t="s">
        <v>3239</v>
      </c>
      <c r="F155" s="5" t="str">
        <f>IFERROR(__xludf.DUMMYFUNCTION("GOOGLETRANSLATE(A155, ""en"", ""hi"")"),"154")</f>
        <v>154</v>
      </c>
      <c r="G155" s="5" t="str">
        <f>IFERROR(__xludf.DUMMYFUNCTION("GOOGLETRANSLATE(B155, ""en"", ""hi"")"),"फाइटर A और फाइटर B अंतिम दौर में हैं। फाइटर A अंकों में थोड़ा पीछे है, लेकिन थकान के लक्षण दिखा रहा है। फाइटर A के लिए सबसे अच्छी रणनीति क्या है?")</f>
        <v>फाइटर A और फाइटर B अंतिम दौर में हैं। फाइटर A अंकों में थोड़ा पीछे है, लेकिन थकान के लक्षण दिखा रहा है। फाइटर A के लिए सबसे अच्छी रणनीति क्या है?</v>
      </c>
      <c r="H155" s="5" t="str">
        <f>IFERROR(__xludf.DUMMYFUNCTION("GOOGLETRANSLATE(C155, ""en"", ""hi"")"),"A)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f>
        <v>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v>
      </c>
      <c r="I155" s="5" t="str">
        <f>IFERROR(__xludf.DUMMYFUNCTION("GOOGLETRANSLATE(D155, ""en"", ""hi"")"),"ए) तीव्रता बढ़ाएँ और नॉकआउट के लिए जाएं।")</f>
        <v>ए) तीव्रता बढ़ाएँ और नॉकआउट के लिए जाएं।</v>
      </c>
    </row>
    <row r="156" ht="22.5" customHeight="1">
      <c r="A156" s="2">
        <v>155.0</v>
      </c>
      <c r="B156" s="3" t="s">
        <v>3276</v>
      </c>
      <c r="C156" s="3" t="s">
        <v>3277</v>
      </c>
      <c r="D156" s="3" t="s">
        <v>3252</v>
      </c>
      <c r="F156" s="5" t="str">
        <f>IFERROR(__xludf.DUMMYFUNCTION("GOOGLETRANSLATE(A156, ""en"", ""hi"")"),"155")</f>
        <v>155</v>
      </c>
      <c r="G156" s="5" t="str">
        <f>IFERROR(__xludf.DUMMYFUNCTION("GOOGLETRANSLATE(B156, ""en"", ""hi"")"),"फाइटर A प्रभावी हमले कर रहा है, लेकिन फाइटर B बेहतर डिफेंस दिखा रहा है। फाइटर A को अपनी रणनीति कैसे बदलनी चाहिए?")</f>
        <v>फाइटर A प्रभावी हमले कर रहा है, लेकिन फाइटर B बेहतर डिफेंस दिखा रहा है। फाइटर A को अपनी रणनीति कैसे बदलनी चाहिए?</v>
      </c>
      <c r="H156" s="5" t="str">
        <f>IFERROR(__xludf.DUMMYFUNCTION("GOOGLETRANSLATE(C156, ""en"", ""hi"")"),"क)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f>
        <v>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v>
      </c>
      <c r="I156" s="5" t="str">
        <f>IFERROR(__xludf.DUMMYFUNCTION("GOOGLETRANSLATE(D156, ""en"", ""hi"")"),"ए) अवसर पैदा करने के लिए छल और गलत दिशा का प्रयोग करें।")</f>
        <v>ए) अवसर पैदा करने के लिए छल और गलत दिशा का प्रयोग करें।</v>
      </c>
    </row>
    <row r="157" ht="22.5" customHeight="1">
      <c r="A157" s="2">
        <v>156.0</v>
      </c>
      <c r="B157" s="3" t="s">
        <v>3318</v>
      </c>
      <c r="C157" s="3" t="s">
        <v>3248</v>
      </c>
      <c r="D157" s="3" t="s">
        <v>3249</v>
      </c>
      <c r="F157" s="5" t="str">
        <f>IFERROR(__xludf.DUMMYFUNCTION("GOOGLETRANSLATE(A157, ""en"", ""hi"")"),"156")</f>
        <v>156</v>
      </c>
      <c r="G157" s="5" t="str">
        <f>IFERROR(__xludf.DUMMYFUNCTION("GOOGLETRANSLATE(B157, ""en"", ""hi"")"),"लड़ाकू A अपनी सहनशक्ति और क्षति सहने की क्षमता के लिए जाना जाता है। लड़ाकू B आक्रामक है, लेकिन जल्दी थक जाता है। लड़ाकू A को अपनी सहनशक्ति का लाभ कैसे उठाना चाहिए?")</f>
        <v>लड़ाकू A अपनी सहनशक्ति और क्षति सहने की क्षमता के लिए जाना जाता है। लड़ाकू B आक्रामक है, लेकिन जल्दी थक जाता है। लड़ाकू A को अपनी सहनशक्ति का लाभ कैसे उठाना चाहिए?</v>
      </c>
      <c r="H157" s="5" t="str">
        <f>IFERROR(__xludf.DUMMYFUNCTION("GOOGLETRANSLATE(C157, ""en"", ""hi"")"),"A)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f>
        <v>A) रक्षात्मक रणनीति पर ध्यान केंद्रित करें और फाइटर B से ज़्यादा समय तक टिकें। B) फाइटर B की गति से मेल खाने के लिए आक्रामकता बढ़ाएँ। C) लड़ाई को नॉकआउट से खत्म करने का प्रयास करें। D) ऊर्जा बचाएँ और अंतिम घंटी का इंतज़ार करें।</v>
      </c>
      <c r="I157" s="5" t="str">
        <f>IFERROR(__xludf.DUMMYFUNCTION("GOOGLETRANSLATE(D157, ""en"", ""hi"")"),"ए) रक्षात्मक रणनीति पर ध्यान केंद्रित करें और फाइटर बी से अधिक समय तक टिकें।")</f>
        <v>ए) रक्षात्मक रणनीति पर ध्यान केंद्रित करें और फाइटर बी से अधिक समय तक टिकें।</v>
      </c>
    </row>
    <row r="158" ht="22.5" customHeight="1">
      <c r="A158" s="2">
        <v>157.0</v>
      </c>
      <c r="B158" s="3" t="s">
        <v>3319</v>
      </c>
      <c r="C158" s="3" t="s">
        <v>3272</v>
      </c>
      <c r="D158" s="3" t="s">
        <v>3180</v>
      </c>
      <c r="F158" s="5" t="str">
        <f>IFERROR(__xludf.DUMMYFUNCTION("GOOGLETRANSLATE(A158, ""en"", ""hi"")"),"157")</f>
        <v>157</v>
      </c>
      <c r="G158" s="5" t="str">
        <f>IFERROR(__xludf.DUMMYFUNCTION("GOOGLETRANSLATE(B158, ""en"", ""hi"")"),"फ़ाइटर A अंकों में आगे है, लेकिन उसे ज़्यादा बार चोट लग रही है। फ़ाइनल राउंड में फ़ाइटर A के लिए सबसे अच्छी रणनीति क्या है?")</f>
        <v>फ़ाइटर A अंकों में आगे है, लेकिन उसे ज़्यादा बार चोट लग रही है। फ़ाइनल राउंड में फ़ाइटर A के लिए सबसे अच्छी रणनीति क्या है?</v>
      </c>
      <c r="H158" s="5" t="str">
        <f>IFERROR(__xludf.DUMMYFUNCTION("GOOGLETRANSLATE(C158, ""en"", ""hi"")"),"क)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f>
        <v>क) बढ़त बनाए रखने के लिए रक्षात्मक तकनीकों पर ध्यान केंद्रित करें। ख) नॉकआउट की कोशिश के लिए आक्रामकता बढ़ाएँ। ग) वर्तमान गति बनाए रखें और आगे की टक्कर से बचें। घ) निर्णायक जीत हासिल करने के लिए अंतिम प्रयास करें।</v>
      </c>
      <c r="I158" s="5" t="str">
        <f>IFERROR(__xludf.DUMMYFUNCTION("GOOGLETRANSLATE(D158, ""en"", ""hi"")"),"ए) बढ़त की रक्षा के लिए रक्षात्मक तकनीकों पर ध्यान केंद्रित करें।")</f>
        <v>ए) बढ़त की रक्षा के लिए रक्षात्मक तकनीकों पर ध्यान केंद्रित करें।</v>
      </c>
    </row>
    <row r="159" ht="22.5" customHeight="1">
      <c r="A159" s="2">
        <v>158.0</v>
      </c>
      <c r="B159" s="3" t="s">
        <v>3320</v>
      </c>
      <c r="C159" s="3" t="s">
        <v>3321</v>
      </c>
      <c r="D159" s="3" t="s">
        <v>3322</v>
      </c>
      <c r="F159" s="5" t="str">
        <f>IFERROR(__xludf.DUMMYFUNCTION("GOOGLETRANSLATE(A159, ""en"", ""hi"")"),"158")</f>
        <v>158</v>
      </c>
      <c r="G159" s="5" t="str">
        <f>IFERROR(__xludf.DUMMYFUNCTION("GOOGLETRANSLATE(B159, ""en"", ""hi"")"),"फाइटर A और फाइटर B के बीच कांटे का मुकाबला है। फाइटर A में थकान के लक्षण दिखने लगे हैं, जबकि फाइटर B तरोताज़ा है। फाइटर B को इसका फ़ायदा कैसे उठाना चाहिए?")</f>
        <v>फाइटर A और फाइटर B के बीच कांटे का मुकाबला है। फाइटर A में थकान के लक्षण दिखने लगे हैं, जबकि फाइटर B तरोताज़ा है। फाइटर B को इसका फ़ायदा कैसे उठाना चाहिए?</v>
      </c>
      <c r="H159" s="5" t="str">
        <f>IFERROR(__xludf.DUMMYFUNCTION("GOOGLETRANSLATE(C159, ""en"", ""hi"")"),"A) फाइटर A की थकान का फायदा उठाने के लिए हमलों की तीव्रता बढ़ाएँ। B) चोट से बचने के लिए रक्षात्मक तकनीकों पर ध्यान केंद्रित करें। C) नॉकआउट वार करने का प्रयास करें। D) ऊर्जा बचाएँ और अंतिम घंटी बजने का इंतज़ार करें।")</f>
        <v>A) फाइटर A की थकान का फायदा उठाने के लिए हमलों की तीव्रता बढ़ाएँ। B) चोट से बचने के लिए रक्षात्मक तकनीकों पर ध्यान केंद्रित करें। C) नॉकआउट वार करने का प्रयास करें। D) ऊर्जा बचाएँ और अंतिम घंटी बजने का इंतज़ार करें।</v>
      </c>
      <c r="I159" s="5" t="str">
        <f>IFERROR(__xludf.DUMMYFUNCTION("GOOGLETRANSLATE(D159, ""en"", ""hi"")"),"ए) लड़ाकू ए की थकान का फायदा उठाने के लिए हमलों की तीव्रता बढ़ाएं।")</f>
        <v>ए) लड़ाकू ए की थकान का फायदा उठाने के लिए हमलों की तीव्रता बढ़ाएं।</v>
      </c>
    </row>
    <row r="160" ht="22.5" customHeight="1">
      <c r="A160" s="2">
        <v>159.0</v>
      </c>
      <c r="B160" s="3" t="s">
        <v>3323</v>
      </c>
      <c r="C160" s="3" t="s">
        <v>3285</v>
      </c>
      <c r="D160" s="3" t="s">
        <v>3189</v>
      </c>
      <c r="F160" s="5" t="str">
        <f>IFERROR(__xludf.DUMMYFUNCTION("GOOGLETRANSLATE(A160, ""en"", ""hi"")"),"159")</f>
        <v>159</v>
      </c>
      <c r="G160" s="5" t="str">
        <f>IFERROR(__xludf.DUMMYFUNCTION("GOOGLETRANSLATE(B160, ""en"", ""hi"")"),"फाइटर A स्ट्राइक और किक का मिश्रण प्रभावी ढंग से इस्तेमाल कर रहा है। हालाँकि, फाइटर B इन हमलों का अनुमान लगाने और उन्हें रोकने लगा है। फाइटर A को अपना तरीका कैसे बदलना चाहिए?")</f>
        <v>फाइटर A स्ट्राइक और किक का मिश्रण प्रभावी ढंग से इस्तेमाल कर रहा है। हालाँकि, फाइटर B इन हमलों का अनुमान लगाने और उन्हें रोकने लगा है। फाइटर A को अपना तरीका कैसे बदलना चाहिए?</v>
      </c>
      <c r="H160" s="5" t="str">
        <f>IFERROR(__xludf.DUMMYFUNCTION("GOOGLETRANSLATE(C160, ""en"", ""hi"")"),"क)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f>
        <v>क) हमलों के समय और कोण में बदलाव करें। ख) हमलों की गति और आवृत्ति बढ़ाएँ। ग) जवाबी हमलों से बचने के लिए रक्षात्मक रणनीति पर ध्यान केंद्रित करें। घ) एक अलग युद्ध शैली अपनाएँ।</v>
      </c>
      <c r="I160" s="5" t="str">
        <f>IFERROR(__xludf.DUMMYFUNCTION("GOOGLETRANSLATE(D160, ""en"", ""hi"")"),"क) हमलों के समय और कोण में परिवर्तन करें।")</f>
        <v>क) हमलों के समय और कोण में परिवर्तन करें।</v>
      </c>
    </row>
    <row r="161" ht="22.5" customHeight="1">
      <c r="A161" s="2">
        <v>160.0</v>
      </c>
      <c r="B161" s="3" t="s">
        <v>3324</v>
      </c>
      <c r="C161" s="3" t="s">
        <v>3325</v>
      </c>
      <c r="D161" s="3" t="s">
        <v>3326</v>
      </c>
      <c r="F161" s="5" t="str">
        <f>IFERROR(__xludf.DUMMYFUNCTION("GOOGLETRANSLATE(A161, ""en"", ""hi"")"),"160")</f>
        <v>160</v>
      </c>
      <c r="G161" s="5" t="str">
        <f>IFERROR(__xludf.DUMMYFUNCTION("GOOGLETRANSLATE(B161, ""en"", ""hi"")"),"फ़ाइटर A अंकों के मामले में पीछे चल रहा है, लेकिन आख़िरी राउंड में वापसी का उसका रिकॉर्ड मज़बूत है। फ़ाइटर A को आख़िरी राउंड में किस पर ध्यान केंद्रित करना चाहिए?")</f>
        <v>फ़ाइटर A अंकों के मामले में पीछे चल रहा है, लेकिन आख़िरी राउंड में वापसी का उसका रिकॉर्ड मज़बूत है। फ़ाइटर A को आख़िरी राउंड में किस पर ध्यान केंद्रित करना चाहिए?</v>
      </c>
      <c r="H161" s="5" t="str">
        <f>IFERROR(__xludf.DUMMYFUNCTION("GOOGLETRANSLATE(C161, ""en"", ""hi"")"),"A) शेष ऊर्जा का उपयोग हमलों की गति बढ़ाने के लिए करें। B) चोट से बचने के लिए रक्षात्मक तकनीकों पर ध्यान केंद्रित करें। C) जीत सुनिश्चित करने के लिए नॉकआउट का प्रयास करें। D) ऊर्जा बचाएँ और अंतिम घंटी की प्रतीक्षा करें।")</f>
        <v>A) शेष ऊर्जा का उपयोग हमलों की गति बढ़ाने के लिए करें। B) चोट से बचने के लिए रक्षात्मक तकनीकों पर ध्यान केंद्रित करें। C) जीत सुनिश्चित करने के लिए नॉकआउट का प्रयास करें। D) ऊर्जा बचाएँ और अंतिम घंटी की प्रतीक्षा करें।</v>
      </c>
      <c r="I161" s="5" t="str">
        <f>IFERROR(__xludf.DUMMYFUNCTION("GOOGLETRANSLATE(D161, ""en"", ""hi"")"),"ए) शेष ऊर्जा का उपयोग हमलों की गति बढ़ाने के लिए करें।")</f>
        <v>ए) शेष ऊर्जा का उपयोग हमलों की गति बढ़ाने के लिए करें।</v>
      </c>
    </row>
    <row r="162" ht="22.5" customHeight="1">
      <c r="A162" s="2">
        <v>161.0</v>
      </c>
      <c r="B162" s="3" t="s">
        <v>3327</v>
      </c>
      <c r="C162" s="3" t="s">
        <v>3328</v>
      </c>
      <c r="D162" s="3" t="s">
        <v>3329</v>
      </c>
      <c r="F162" s="5" t="str">
        <f>IFERROR(__xludf.DUMMYFUNCTION("GOOGLETRANSLATE(A162, ""en"", ""hi"")"),"161")</f>
        <v>161</v>
      </c>
      <c r="G162" s="5" t="str">
        <f>IFERROR(__xludf.DUMMYFUNCTION("GOOGLETRANSLATE(B162, ""en"", ""hi"")"),"फाइटर A और फाइटर B के बीच कड़ा मुकाबला चल रहा है। फाइटर B ज़्यादा रक्षात्मक रणनीति अपनाने लगा है। फाइटर A को अपनी रणनीति में कैसे बदलाव करना चाहिए?")</f>
        <v>फाइटर A और फाइटर B के बीच कड़ा मुकाबला चल रहा है। फाइटर B ज़्यादा रक्षात्मक रणनीति अपनाने लगा है। फाइटर A को अपनी रणनीति में कैसे बदलाव करना चाहिए?</v>
      </c>
      <c r="H162" s="5" t="str">
        <f>IFERROR(__xludf.DUMMYFUNCTION("GOOGLETRANSLATE(C162, ""en"", ""hi"")"),"A) फाइटर B के डिफेंस को भेदने के लिए फ़िंट और कॉम्बिनेशन का इस्तेमाल बढ़ाएँ। B) काउंटर से बचने के लिए रक्षात्मक रणनीति पर ध्यान केंद्रित करें। C) हमलों की गति बढ़ाएँ। D) ज़्यादा आक्रामक लड़ाई शैली अपनाएँ।")</f>
        <v>A) फाइटर B के डिफेंस को भेदने के लिए फ़िंट और कॉम्बिनेशन का इस्तेमाल बढ़ाएँ। B) काउंटर से बचने के लिए रक्षात्मक रणनीति पर ध्यान केंद्रित करें। C) हमलों की गति बढ़ाएँ। D) ज़्यादा आक्रामक लड़ाई शैली अपनाएँ।</v>
      </c>
      <c r="I162" s="5" t="str">
        <f>IFERROR(__xludf.DUMMYFUNCTION("GOOGLETRANSLATE(D162, ""en"", ""hi"")"),"ए) फाइटर बी की रक्षा को भेदने के लिए छल और संयोजनों का उपयोग बढ़ाएं।")</f>
        <v>ए) फाइटर बी की रक्षा को भेदने के लिए छल और संयोजनों का उपयोग बढ़ाएं।</v>
      </c>
    </row>
    <row r="163" ht="22.5" customHeight="1">
      <c r="A163" s="2">
        <v>162.0</v>
      </c>
      <c r="B163" s="3" t="s">
        <v>3330</v>
      </c>
      <c r="C163" s="3" t="s">
        <v>3277</v>
      </c>
      <c r="D163" s="3" t="s">
        <v>3252</v>
      </c>
      <c r="F163" s="5" t="str">
        <f>IFERROR(__xludf.DUMMYFUNCTION("GOOGLETRANSLATE(A163, ""en"", ""hi"")"),"162")</f>
        <v>162</v>
      </c>
      <c r="G163" s="5" t="str">
        <f>IFERROR(__xludf.DUMMYFUNCTION("GOOGLETRANSLATE(B163, ""en"", ""hi"")"),"फाइटर A प्रभावी प्रहार कर रहा है, लेकिन फाइटर B बेहतर बचाव दिखाने लगा है। फाइटर A को अपना दृष्टिकोण कैसे समायोजित करना चाहिए?")</f>
        <v>फाइटर A प्रभावी प्रहार कर रहा है, लेकिन फाइटर B बेहतर बचाव दिखाने लगा है। फाइटर A को अपना दृष्टिकोण कैसे समायोजित करना चाहिए?</v>
      </c>
      <c r="H163" s="5" t="str">
        <f>IFERROR(__xludf.DUMMYFUNCTION("GOOGLETRANSLATE(C163, ""en"", ""hi"")"),"क)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f>
        <v>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v>
      </c>
      <c r="I163" s="5" t="str">
        <f>IFERROR(__xludf.DUMMYFUNCTION("GOOGLETRANSLATE(D163, ""en"", ""hi"")"),"ए) अवसर पैदा करने के लिए छल और गलत दिशा का प्रयोग करें।")</f>
        <v>ए) अवसर पैदा करने के लिए छल और गलत दिशा का प्रयोग करें।</v>
      </c>
    </row>
    <row r="164" ht="22.5" customHeight="1">
      <c r="A164" s="2">
        <v>163.0</v>
      </c>
      <c r="B164" s="3" t="s">
        <v>3331</v>
      </c>
      <c r="C164" s="3" t="s">
        <v>3315</v>
      </c>
      <c r="D164" s="3" t="s">
        <v>3316</v>
      </c>
      <c r="F164" s="5" t="str">
        <f>IFERROR(__xludf.DUMMYFUNCTION("GOOGLETRANSLATE(A164, ""en"", ""hi"")"),"163")</f>
        <v>163</v>
      </c>
      <c r="G164" s="5" t="str">
        <f>IFERROR(__xludf.DUMMYFUNCTION("GOOGLETRANSLATE(B164, ""en"", ""hi"")"),"फाइटर A अंकों में आगे है, लेकिन उसकी आक्रामकता बढ़ती जा रही है। फाइटर B को इसका मुकाबला करने के लिए क्या करना चाहिए?")</f>
        <v>फाइटर A अंकों में आगे है, लेकिन उसकी आक्रामकता बढ़ती जा रही है। फाइटर B को इसका मुकाबला करने के लिए क्या करना चाहिए?</v>
      </c>
      <c r="H164" s="5" t="str">
        <f>IFERROR(__xludf.DUMMYFUNCTION("GOOGLETRANSLATE(C164, ""en"", ""hi"")"),"अ)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f>
        <v>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v>
      </c>
      <c r="I164" s="5" t="str">
        <f>IFERROR(__xludf.DUMMYFUNCTION("GOOGLETRANSLATE(D164, ""en"", ""hi"")"),"ए) चोट से बचने के लिए रक्षात्मक तकनीकों का उपयोग करें।")</f>
        <v>ए) चोट से बचने के लिए रक्षात्मक तकनीकों का उपयोग करें।</v>
      </c>
    </row>
    <row r="165" ht="22.5" customHeight="1">
      <c r="A165" s="2">
        <v>164.0</v>
      </c>
      <c r="B165" s="3" t="s">
        <v>3332</v>
      </c>
      <c r="C165" s="3" t="s">
        <v>3333</v>
      </c>
      <c r="D165" s="3" t="s">
        <v>3334</v>
      </c>
      <c r="F165" s="5" t="str">
        <f>IFERROR(__xludf.DUMMYFUNCTION("GOOGLETRANSLATE(A165, ""en"", ""hi"")"),"164")</f>
        <v>164</v>
      </c>
      <c r="G165" s="5" t="str">
        <f>IFERROR(__xludf.DUMMYFUNCTION("GOOGLETRANSLATE(B165, ""en"", ""hi"")"),"फाइटर A और फाइटर B बराबरी पर हैं। फाइटर A ऊँची किक से प्रभावी रहा है, लेकिन फाइटर B इन हमलों का अंदाज़ा लगाने लगता है। फाइटर A को कैसे तालमेल बिठाना चाहिए?")</f>
        <v>फाइटर A और फाइटर B बराबरी पर हैं। फाइटर A ऊँची किक से प्रभावी रहा है, लेकिन फाइटर B इन हमलों का अंदाज़ा लगाने लगता है। फाइटर A को कैसे तालमेल बिठाना चाहिए?</v>
      </c>
      <c r="H165" s="5" t="str">
        <f>IFERROR(__xludf.DUMMYFUNCTION("GOOGLETRANSLATE(C165, ""en"", ""hi"")"),"A) लो किक्स और बॉडी पंच का मिश्रण करें। B) हाई किक्स की गति और शक्ति बढ़ाएँ। C) चोट से बचने के लिए रक्षात्मक रणनीति पर ध्यान केंद्रित करें। D) नॉकआउट वार करने का प्रयास करें।")</f>
        <v>A) लो किक्स और बॉडी पंच का मिश्रण करें। B) हाई किक्स की गति और शक्ति बढ़ाएँ। C) चोट से बचने के लिए रक्षात्मक रणनीति पर ध्यान केंद्रित करें। D) नॉकआउट वार करने का प्रयास करें।</v>
      </c>
      <c r="I165" s="5" t="str">
        <f>IFERROR(__xludf.DUMMYFUNCTION("GOOGLETRANSLATE(D165, ""en"", ""hi"")"),"ए) लो किक्स और बॉडी पंचेज का मिश्रण करें।")</f>
        <v>ए) लो किक्स और बॉडी पंचेज का मिश्रण करें।</v>
      </c>
    </row>
    <row r="166" ht="22.5" customHeight="1">
      <c r="A166" s="2">
        <v>165.0</v>
      </c>
      <c r="B166" s="3" t="s">
        <v>3335</v>
      </c>
      <c r="C166" s="3" t="s">
        <v>3336</v>
      </c>
      <c r="D166" s="3" t="s">
        <v>3292</v>
      </c>
      <c r="F166" s="5" t="str">
        <f>IFERROR(__xludf.DUMMYFUNCTION("GOOGLETRANSLATE(A166, ""en"", ""hi"")"),"165")</f>
        <v>165</v>
      </c>
      <c r="G166" s="5" t="str">
        <f>IFERROR(__xludf.DUMMYFUNCTION("GOOGLETRANSLATE(B166, ""en"", ""hi"")"),"फाइटर A बढ़त बना चुका है, लेकिन उसमें थकान के लक्षण दिखने लगे हैं। फाइटर A के लिए जीत सुनिश्चित करने की सबसे अच्छी रणनीति क्या है?")</f>
        <v>फाइटर A बढ़त बना चुका है, लेकिन उसमें थकान के लक्षण दिखने लगे हैं। फाइटर A के लिए जीत सुनिश्चित करने की सबसे अच्छी रणनीति क्या है?</v>
      </c>
      <c r="H166" s="5" t="str">
        <f>IFERROR(__xludf.DUMMYFUNCTION("GOOGLETRANSLATE(C166, ""en"", ""hi"")"),"क) रक्षात्मक खेलें और ऊर्जा का प्रबंधन करें। ख) नॉकआउट की कोशिश के लिए आक्रामकता बढ़ाएँ। ग) वर्तमान गति बनाए रखने पर ध्यान केंद्रित करें। घ) जितना संभव हो उतने प्रहार करने का प्रयास करें।")</f>
        <v>क) रक्षात्मक खेलें और ऊर्जा का प्रबंधन करें। ख) नॉकआउट की कोशिश के लिए आक्रामकता बढ़ाएँ। ग) वर्तमान गति बनाए रखने पर ध्यान केंद्रित करें। घ) जितना संभव हो उतने प्रहार करने का प्रयास करें।</v>
      </c>
      <c r="I166" s="5" t="str">
        <f>IFERROR(__xludf.DUMMYFUNCTION("GOOGLETRANSLATE(D166, ""en"", ""hi"")"),"ए) रक्षात्मक खेलें और ऊर्जा का प्रबंधन करें।")</f>
        <v>ए) रक्षात्मक खेलें और ऊर्जा का प्रबंधन करें।</v>
      </c>
    </row>
    <row r="167" ht="22.5" customHeight="1">
      <c r="A167" s="2">
        <v>166.0</v>
      </c>
      <c r="B167" s="3" t="s">
        <v>3337</v>
      </c>
      <c r="C167" s="3" t="s">
        <v>3338</v>
      </c>
      <c r="D167" s="3" t="s">
        <v>3339</v>
      </c>
      <c r="F167" s="5" t="str">
        <f>IFERROR(__xludf.DUMMYFUNCTION("GOOGLETRANSLATE(A167, ""en"", ""hi"")"),"166")</f>
        <v>166</v>
      </c>
      <c r="G167" s="5" t="str">
        <f>IFERROR(__xludf.DUMMYFUNCTION("GOOGLETRANSLATE(B167, ""en"", ""hi"")"),"फाइटर बी अपने तेज़ फुटवर्क के लिए जाना जाता है। इस बढ़त का मुकाबला करने के लिए फाइटर ए को मैच में कैसे उतरना चाहिए?")</f>
        <v>फाइटर बी अपने तेज़ फुटवर्क के लिए जाना जाता है। इस बढ़त का मुकाबला करने के लिए फाइटर ए को मैच में कैसे उतरना चाहिए?</v>
      </c>
      <c r="H167" s="5" t="str">
        <f>IFERROR(__xludf.DUMMYFUNCTION("GOOGLETRANSLATE(C167, ""en"", ""hi"")"),"A) जवाबी हमलों पर ध्यान केंद्रित करें और फाइटर B की गति को रोकें। B) फाइटर B के कदमों के साथ तालमेल बिठाने के लिए हमलों की गति बढ़ाएँ। C) चोट से बचने के लिए रक्षात्मक रणनीति पर ध्यान केंद्रित करें। D) ऊर्जा बचाकर फाइटर B से ज़्यादा समय तक टिकने का प्रयास "&amp;"करें।")</f>
        <v>A) जवाबी हमलों पर ध्यान केंद्रित करें और फाइटर B की गति को रोकें। B) फाइटर B के कदमों के साथ तालमेल बिठाने के लिए हमलों की गति बढ़ाएँ। C) चोट से बचने के लिए रक्षात्मक रणनीति पर ध्यान केंद्रित करें। D) ऊर्जा बचाकर फाइटर B से ज़्यादा समय तक टिकने का प्रयास करें।</v>
      </c>
      <c r="I167" s="5" t="str">
        <f>IFERROR(__xludf.DUMMYFUNCTION("GOOGLETRANSLATE(D167, ""en"", ""hi"")"),"ए) जवाबी हमलों और फाइटर बी की गतिविधियों को रोकने पर ध्यान केंद्रित करें।")</f>
        <v>ए) जवाबी हमलों और फाइटर बी की गतिविधियों को रोकने पर ध्यान केंद्रित करें।</v>
      </c>
    </row>
    <row r="168" ht="22.5" customHeight="1">
      <c r="A168" s="2">
        <v>167.0</v>
      </c>
      <c r="B168" s="3" t="s">
        <v>3340</v>
      </c>
      <c r="C168" s="3" t="s">
        <v>3341</v>
      </c>
      <c r="D168" s="3" t="s">
        <v>3342</v>
      </c>
      <c r="F168" s="5" t="str">
        <f>IFERROR(__xludf.DUMMYFUNCTION("GOOGLETRANSLATE(A168, ""en"", ""hi"")"),"167")</f>
        <v>167</v>
      </c>
      <c r="G168" s="5" t="str">
        <f>IFERROR(__xludf.DUMMYFUNCTION("GOOGLETRANSLATE(B168, ""en"", ""hi"")"),"फाइटर A और फाइटर B के बीच कांटे का मुकाबला है। फाइटर B ज़्यादा फ़िंट इस्तेमाल करने लगा है। फाइटर A को अपनी रणनीति कैसे बदलनी चाहिए?")</f>
        <v>फाइटर A और फाइटर B के बीच कांटे का मुकाबला है। फाइटर B ज़्यादा फ़िंट इस्तेमाल करने लगा है। फाइटर A को अपनी रणनीति कैसे बदलनी चाहिए?</v>
      </c>
      <c r="H168" s="5" t="str">
        <f>IFERROR(__xludf.DUMMYFUNCTION("GOOGLETRANSLATE(C168, ""en"", ""hi"")"),"अ)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f>
        <v>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v>
      </c>
      <c r="I168" s="5" t="str">
        <f>IFERROR(__xludf.DUMMYFUNCTION("GOOGLETRANSLATE(D168, ""en"", ""hi"")"),"ए) रक्षात्मक तकनीकों और जवाबी हमलों पर ध्यान केंद्रित करना।")</f>
        <v>ए) रक्षात्मक तकनीकों और जवाबी हमलों पर ध्यान केंद्रित करना।</v>
      </c>
    </row>
    <row r="169" ht="22.5" customHeight="1">
      <c r="A169" s="2">
        <v>168.0</v>
      </c>
      <c r="B169" s="3" t="s">
        <v>3343</v>
      </c>
      <c r="C169" s="3" t="s">
        <v>3344</v>
      </c>
      <c r="D169" s="3" t="s">
        <v>3345</v>
      </c>
      <c r="F169" s="5" t="str">
        <f>IFERROR(__xludf.DUMMYFUNCTION("GOOGLETRANSLATE(A169, ""en"", ""hi"")"),"168")</f>
        <v>168</v>
      </c>
      <c r="G169" s="5" t="str">
        <f>IFERROR(__xludf.DUMMYFUNCTION("GOOGLETRANSLATE(B169, ""en"", ""hi"")"),"फाइटर A प्रभावी बॉडी शॉट्स का इस्तेमाल कर रहा है, लेकिन फाइटर B ज़्यादा कवर अप करने लगा है। फाइटर A को अपनी रणनीति कैसे बदलनी चाहिए?")</f>
        <v>फाइटर A प्रभावी बॉडी शॉट्स का इस्तेमाल कर रहा है, लेकिन फाइटर B ज़्यादा कवर अप करने लगा है। फाइटर A को अपनी रणनीति कैसे बदलनी चाहिए?</v>
      </c>
      <c r="H169" s="5" t="str">
        <f>IFERROR(__xludf.DUMMYFUNCTION("GOOGLETRANSLATE(C169, ""en"", ""hi"")"),"A)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f>
        <v>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v>
      </c>
      <c r="I169" s="5" t="str">
        <f>IFERROR(__xludf.DUMMYFUNCTION("GOOGLETRANSLATE(D169, ""en"", ""hi"")"),"ए) हेड शॉट्स और संयोजनों को शामिल करें।")</f>
        <v>ए) हेड शॉट्स और संयोजनों को शामिल करें।</v>
      </c>
    </row>
    <row r="170" ht="22.5" customHeight="1">
      <c r="A170" s="2">
        <v>169.0</v>
      </c>
      <c r="B170" s="3" t="s">
        <v>3346</v>
      </c>
      <c r="C170" s="3" t="s">
        <v>3347</v>
      </c>
      <c r="D170" s="3" t="s">
        <v>3348</v>
      </c>
      <c r="F170" s="5" t="str">
        <f>IFERROR(__xludf.DUMMYFUNCTION("GOOGLETRANSLATE(A170, ""en"", ""hi"")"),"169")</f>
        <v>169</v>
      </c>
      <c r="G170" s="5" t="str">
        <f>IFERROR(__xludf.DUMMYFUNCTION("GOOGLETRANSLATE(B170, ""en"", ""hi"")"),"फाइटर A के पास अंकों में काफ़ी बढ़त है, लेकिन फाइटर B बेहतर डिफेंस दिखा रहा है। फाइटर A को अंतिम राउंड में कैसे आगे बढ़ना चाहिए?")</f>
        <v>फाइटर A के पास अंकों में काफ़ी बढ़त है, लेकिन फाइटर B बेहतर डिफेंस दिखा रहा है। फाइटर A को अंतिम राउंड में कैसे आगे बढ़ना चाहिए?</v>
      </c>
      <c r="H170" s="5" t="str">
        <f>IFERROR(__xludf.DUMMYFUNCTION("GOOGLETRANSLATE(C170, ""en"", ""hi"")"),"क)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f>
        <v>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v>
      </c>
      <c r="I170" s="5" t="str">
        <f>IFERROR(__xludf.DUMMYFUNCTION("GOOGLETRANSLATE(D170, ""en"", ""hi"")"),"ए) रक्षात्मक रणनीति के साथ बढ़त बनाए रखने पर ध्यान केंद्रित करें।")</f>
        <v>ए) रक्षात्मक रणनीति के साथ बढ़त बनाए रखने पर ध्यान केंद्रित करें।</v>
      </c>
    </row>
    <row r="171" ht="22.5" customHeight="1">
      <c r="A171" s="2">
        <v>170.0</v>
      </c>
      <c r="B171" s="3" t="s">
        <v>3349</v>
      </c>
      <c r="C171" s="3" t="s">
        <v>3350</v>
      </c>
      <c r="D171" s="3" t="s">
        <v>3326</v>
      </c>
      <c r="F171" s="5" t="str">
        <f>IFERROR(__xludf.DUMMYFUNCTION("GOOGLETRANSLATE(A171, ""en"", ""hi"")"),"170")</f>
        <v>170</v>
      </c>
      <c r="G171" s="5" t="str">
        <f>IFERROR(__xludf.DUMMYFUNCTION("GOOGLETRANSLATE(B171, ""en"", ""hi"")"),"फाइटर A और फाइटर B के बीच कड़ा मुकाबला चल रहा है और दोनों में थकान के लक्षण दिखाई दे रहे हैं। फाइटर A को अंतिम राउंड में कैसे आगे बढ़ना चाहिए?")</f>
        <v>फाइटर A और फाइटर B के बीच कड़ा मुकाबला चल रहा है और दोनों में थकान के लक्षण दिखाई दे रहे हैं। फाइटर A को अंतिम राउंड में कैसे आगे बढ़ना चाहिए?</v>
      </c>
      <c r="H171" s="5" t="str">
        <f>IFERROR(__xludf.DUMMYFUNCTION("GOOGLETRANSLATE(C171, ""en"", ""hi"")"),"A)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f>
        <v>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v>
      </c>
      <c r="I171" s="5" t="str">
        <f>IFERROR(__xludf.DUMMYFUNCTION("GOOGLETRANSLATE(D171, ""en"", ""hi"")"),"ए) शेष ऊर्जा का उपयोग हमलों की गति बढ़ाने के लिए करें।")</f>
        <v>ए) शेष ऊर्जा का उपयोग हमलों की गति बढ़ाने के लिए करें।</v>
      </c>
    </row>
    <row r="172" ht="22.5" customHeight="1">
      <c r="A172" s="2">
        <v>171.0</v>
      </c>
      <c r="B172" s="3" t="s">
        <v>3351</v>
      </c>
      <c r="C172" s="3" t="s">
        <v>3352</v>
      </c>
      <c r="D172" s="3" t="s">
        <v>3252</v>
      </c>
      <c r="F172" s="5" t="str">
        <f>IFERROR(__xludf.DUMMYFUNCTION("GOOGLETRANSLATE(A172, ""en"", ""hi"")"),"171")</f>
        <v>171</v>
      </c>
      <c r="G172" s="5" t="str">
        <f>IFERROR(__xludf.DUMMYFUNCTION("GOOGLETRANSLATE(B172, ""en"", ""hi"")"),"फाइटर A जवाबी हमलों में कारगर रहा है, लेकिन फाइटर B को इनका अंदाज़ा होने लगा है। फाइटर A को अपनी रणनीति कैसे बदलनी चाहिए?")</f>
        <v>फाइटर A जवाबी हमलों में कारगर रहा है, लेकिन फाइटर B को इनका अंदाज़ा होने लगा है। फाइटर A को अपनी रणनीति कैसे बदलनी चाहिए?</v>
      </c>
      <c r="H172" s="5" t="str">
        <f>IFERROR(__xludf.DUMMYFUNCTION("GOOGLETRANSLATE(C172, ""en"", ""hi"")"),"क)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f>
        <v>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v>
      </c>
      <c r="I172" s="5" t="str">
        <f>IFERROR(__xludf.DUMMYFUNCTION("GOOGLETRANSLATE(D172, ""en"", ""hi"")"),"ए) अवसर पैदा करने के लिए छल और गलत दिशा का प्रयोग करें।")</f>
        <v>ए) अवसर पैदा करने के लिए छल और गलत दिशा का प्रयोग करें।</v>
      </c>
    </row>
    <row r="173" ht="22.5" customHeight="1">
      <c r="A173" s="2">
        <v>172.0</v>
      </c>
      <c r="B173" s="3" t="s">
        <v>3353</v>
      </c>
      <c r="C173" s="3" t="s">
        <v>3354</v>
      </c>
      <c r="D173" s="3" t="s">
        <v>3355</v>
      </c>
      <c r="F173" s="5" t="str">
        <f>IFERROR(__xludf.DUMMYFUNCTION("GOOGLETRANSLATE(A173, ""en"", ""hi"")"),"172")</f>
        <v>172</v>
      </c>
      <c r="G173" s="5" t="str">
        <f>IFERROR(__xludf.DUMMYFUNCTION("GOOGLETRANSLATE(B173, ""en"", ""hi"")"),"फ़ाइटर A अंकों में पीछे चल रहा है, लेकिन अपनी सहनशक्ति के लिए जाना जाता है। फ़ाइटर A को अंतिम राउंड में किस पर ध्यान केंद्रित करना चाहिए?")</f>
        <v>फ़ाइटर A अंकों में पीछे चल रहा है, लेकिन अपनी सहनशक्ति के लिए जाना जाता है। फ़ाइटर A को अंतिम राउंड में किस पर ध्यान केंद्रित करना चाहिए?</v>
      </c>
      <c r="H173" s="5" t="str">
        <f>IFERROR(__xludf.DUMMYFUNCTION("GOOGLETRANSLATE(C173, ""en"", ""hi"")"),"A)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f>
        <v>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v>
      </c>
      <c r="I173" s="5" t="str">
        <f>IFERROR(__xludf.DUMMYFUNCTION("GOOGLETRANSLATE(D173, ""en"", ""hi"")"),"ए) हमलों की गति बढ़ाने के लिए धीरज का प्रयोग करें।")</f>
        <v>ए) हमलों की गति बढ़ाने के लिए धीरज का प्रयोग करें।</v>
      </c>
    </row>
    <row r="174" ht="22.5" customHeight="1">
      <c r="A174" s="2">
        <v>173.0</v>
      </c>
      <c r="B174" s="3" t="s">
        <v>3356</v>
      </c>
      <c r="C174" s="3" t="s">
        <v>3357</v>
      </c>
      <c r="D174" s="3" t="s">
        <v>3358</v>
      </c>
      <c r="F174" s="5" t="str">
        <f>IFERROR(__xludf.DUMMYFUNCTION("GOOGLETRANSLATE(A174, ""en"", ""hi"")"),"173")</f>
        <v>173</v>
      </c>
      <c r="G174" s="5" t="str">
        <f>IFERROR(__xludf.DUMMYFUNCTION("GOOGLETRANSLATE(B174, ""en"", ""hi"")"),"फाइटर A ऊँची किक से प्रभावी है, लेकिन फाइटर B उनका अनुमान लगाकर उनका मुकाबला करने लगता है। फाइटर A को अपनी रणनीति में कैसे बदलाव करना चाहिए?")</f>
        <v>फाइटर A ऊँची किक से प्रभावी है, लेकिन फाइटर B उनका अनुमान लगाकर उनका मुकाबला करने लगता है। फाइटर A को अपनी रणनीति में कैसे बदलाव करना चाहिए?</v>
      </c>
      <c r="H174" s="5" t="str">
        <f>IFERROR(__xludf.DUMMYFUNCTION("GOOGLETRANSLATE(C174, ""en"", ""hi"")"),"A) लो किक और बॉडी पंच शामिल करें। B) हाई किक की गति और शक्ति बढ़ाएँ। C) काउंटर से बचने के लिए रक्षात्मक तकनीकों पर ध्यान केंद्रित करें। D) एक अलग लड़ाई शैली अपनाएँ।")</f>
        <v>A) लो किक और बॉडी पंच शामिल करें। B) हाई किक की गति और शक्ति बढ़ाएँ। C) काउंटर से बचने के लिए रक्षात्मक तकनीकों पर ध्यान केंद्रित करें। D) एक अलग लड़ाई शैली अपनाएँ।</v>
      </c>
      <c r="I174" s="5" t="str">
        <f>IFERROR(__xludf.DUMMYFUNCTION("GOOGLETRANSLATE(D174, ""en"", ""hi"")"),"ए) कम किक और शरीर पर मुक्के शामिल करें।")</f>
        <v>ए) कम किक और शरीर पर मुक्के शामिल करें।</v>
      </c>
    </row>
    <row r="175" ht="22.5" customHeight="1">
      <c r="A175" s="2">
        <v>174.0</v>
      </c>
      <c r="B175" s="3" t="s">
        <v>3359</v>
      </c>
      <c r="C175" s="3" t="s">
        <v>3360</v>
      </c>
      <c r="D175" s="3" t="s">
        <v>3180</v>
      </c>
      <c r="F175" s="5" t="str">
        <f>IFERROR(__xludf.DUMMYFUNCTION("GOOGLETRANSLATE(A175, ""en"", ""hi"")"),"174")</f>
        <v>174</v>
      </c>
      <c r="G175" s="5" t="str">
        <f>IFERROR(__xludf.DUMMYFUNCTION("GOOGLETRANSLATE(B175, ""en"", ""hi"")"),"फ़ाइटर A अंकों में थोड़ी बढ़त बनाए हुए है, लेकिन उसमें थकान के लक्षण दिखने लगे हैं। फ़ाइटर A को अंतिम राउंड में कैसे आगे बढ़ना चाहिए?")</f>
        <v>फ़ाइटर A अंकों में थोड़ी बढ़त बनाए हुए है, लेकिन उसमें थकान के लक्षण दिखने लगे हैं। फ़ाइटर A को अंतिम राउंड में कैसे आगे बढ़ना चाहिए?</v>
      </c>
      <c r="H175" s="5" t="str">
        <f>IFERROR(__xludf.DUMMYFUNCTION("GOOGLETRANSLATE(C175, ""en"", ""hi"")"),"A) बढ़त बनाए रखने के लिए रक्षात्मक तकनीकों पर ध्यान केंद्रित करें। B) नॉकआउट की कोशिश करने के लिए आक्रामकता बढ़ाएँ। C) जितना हो सके उतने वार करने की कोशिश करें। D) ऊर्जा बचाएँ और अंतिम घंटी का इंतज़ार करें।")</f>
        <v>A) बढ़त बनाए रखने के लिए रक्षात्मक तकनीकों पर ध्यान केंद्रित करें। B) नॉकआउट की कोशिश करने के लिए आक्रामकता बढ़ाएँ। C) जितना हो सके उतने वार करने की कोशिश करें। D) ऊर्जा बचाएँ और अंतिम घंटी का इंतज़ार करें।</v>
      </c>
      <c r="I175" s="5" t="str">
        <f>IFERROR(__xludf.DUMMYFUNCTION("GOOGLETRANSLATE(D175, ""en"", ""hi"")"),"ए) बढ़त की रक्षा के लिए रक्षात्मक तकनीकों पर ध्यान केंद्रित करें।")</f>
        <v>ए) बढ़त की रक्षा के लिए रक्षात्मक तकनीकों पर ध्यान केंद्रित करें।</v>
      </c>
    </row>
    <row r="176" ht="22.5" customHeight="1">
      <c r="A176" s="2">
        <v>175.0</v>
      </c>
      <c r="B176" s="3" t="s">
        <v>3361</v>
      </c>
      <c r="C176" s="3" t="s">
        <v>3362</v>
      </c>
      <c r="D176" s="3" t="s">
        <v>3363</v>
      </c>
      <c r="F176" s="5" t="str">
        <f>IFERROR(__xludf.DUMMYFUNCTION("GOOGLETRANSLATE(A176, ""en"", ""hi"")"),"175")</f>
        <v>175</v>
      </c>
      <c r="G176" s="5" t="str">
        <f>IFERROR(__xludf.DUMMYFUNCTION("GOOGLETRANSLATE(B176, ""en"", ""hi"")"),"फाइटर A और फाइटर B के बीच कांटे की टक्कर है। फाइटर B ज़्यादा आक्रामक रणनीति अपनाने लगता है। फाइटर A को क्या जवाब देना चाहिए?")</f>
        <v>फाइटर A और फाइटर B के बीच कांटे की टक्कर है। फाइटर B ज़्यादा आक्रामक रणनीति अपनाने लगता है। फाइटर A को क्या जवाब देना चाहिए?</v>
      </c>
      <c r="H176" s="5" t="str">
        <f>IFERROR(__xludf.DUMMYFUNCTION("GOOGLETRANSLATE(C176, ""en"", ""hi"")"),"A) रक्षात्मक तकनीकों का प्रयोग करें और मौके का इंतज़ार करें। B) फाइटर B की आक्रामकता का बराबरी से मुकाबला करें। C) नॉकआउट वार करने का प्रयास करें। D) संयम से खेलें और अंतिम घंटी बजने का इंतज़ार करें।")</f>
        <v>A) रक्षात्मक तकनीकों का प्रयोग करें और मौके का इंतज़ार करें। B) फाइटर B की आक्रामकता का बराबरी से मुकाबला करें। C) नॉकआउट वार करने का प्रयास करें। D) संयम से खेलें और अंतिम घंटी बजने का इंतज़ार करें।</v>
      </c>
      <c r="I176" s="5" t="str">
        <f>IFERROR(__xludf.DUMMYFUNCTION("GOOGLETRANSLATE(D176, ""en"", ""hi"")"),"ए) रक्षात्मक तकनीकों का उपयोग करें और अवसर का इंतजार करें।")</f>
        <v>ए) रक्षात्मक तकनीकों का उपयोग करें और अवसर का इंतजार करें।</v>
      </c>
    </row>
    <row r="177" ht="22.5" customHeight="1">
      <c r="A177" s="2">
        <v>176.0</v>
      </c>
      <c r="B177" s="3" t="s">
        <v>3364</v>
      </c>
      <c r="C177" s="3" t="s">
        <v>3365</v>
      </c>
      <c r="D177" s="3" t="s">
        <v>3345</v>
      </c>
      <c r="F177" s="5" t="str">
        <f>IFERROR(__xludf.DUMMYFUNCTION("GOOGLETRANSLATE(A177, ""en"", ""hi"")"),"176")</f>
        <v>176</v>
      </c>
      <c r="G177" s="5" t="str">
        <f>IFERROR(__xludf.DUMMYFUNCTION("GOOGLETRANSLATE(B177, ""en"", ""hi"")"),"फाइटर A बॉडी शॉट्स में सफल रहा है, लेकिन फाइटर B ने कवर अप करना शुरू कर दिया है। फाइटर A को अपनी रणनीति में कैसे बदलाव करना चाहिए?")</f>
        <v>फाइटर A बॉडी शॉट्स में सफल रहा है, लेकिन फाइटर B ने कवर अप करना शुरू कर दिया है। फाइटर A को अपनी रणनीति में कैसे बदलाव करना चाहिए?</v>
      </c>
      <c r="H177" s="5" t="str">
        <f>IFERROR(__xludf.DUMMYFUNCTION("GOOGLETRANSLATE(C177, ""en"", ""hi"")"),"A) हेड शॉट और कॉम्बिनेशन को शामिल करें। B) बॉडी शॉट जारी रखें और अलग-अलग तकनीकें आज़माएँ। C) बॉडी शॉट की ताकत बढ़ाएँ। D) काउंटर से बचने के लिए रक्षात्मक रणनीति पर ध्यान केंद्रित करें।")</f>
        <v>A) हेड शॉट और कॉम्बिनेशन को शामिल करें। B) बॉडी शॉट जारी रखें और अलग-अलग तकनीकें आज़माएँ। C) बॉडी शॉट की ताकत बढ़ाएँ। D) काउंटर से बचने के लिए रक्षात्मक रणनीति पर ध्यान केंद्रित करें।</v>
      </c>
      <c r="I177" s="5" t="str">
        <f>IFERROR(__xludf.DUMMYFUNCTION("GOOGLETRANSLATE(D177, ""en"", ""hi"")"),"ए) हेड शॉट्स और संयोजनों को शामिल करें।")</f>
        <v>ए) हेड शॉट्स और संयोजनों को शामिल करें।</v>
      </c>
    </row>
    <row r="178" ht="22.5" customHeight="1">
      <c r="A178" s="2">
        <v>177.0</v>
      </c>
      <c r="B178" s="3" t="s">
        <v>3366</v>
      </c>
      <c r="C178" s="3" t="s">
        <v>3283</v>
      </c>
      <c r="D178" s="3" t="s">
        <v>3239</v>
      </c>
      <c r="F178" s="5" t="str">
        <f>IFERROR(__xludf.DUMMYFUNCTION("GOOGLETRANSLATE(A178, ""en"", ""hi"")"),"177")</f>
        <v>177</v>
      </c>
      <c r="G178" s="5" t="str">
        <f>IFERROR(__xludf.DUMMYFUNCTION("GOOGLETRANSLATE(B178, ""en"", ""hi"")"),"फाइटर A और फाइटर B अंतिम दौर में हैं। फाइटर A अंकों में थोड़ा पीछे है और थकान के लक्षण दिखा रहा है। फाइटर A के लिए सबसे अच्छी रणनीति क्या है?")</f>
        <v>फाइटर A और फाइटर B अंतिम दौर में हैं। फाइटर A अंकों में थोड़ा पीछे है और थकान के लक्षण दिखा रहा है। फाइटर A के लिए सबसे अच्छी रणनीति क्या है?</v>
      </c>
      <c r="H178" s="5" t="str">
        <f>IFERROR(__xludf.DUMMYFUNCTION("GOOGLETRANSLATE(C178, ""en"", ""hi"")"),"A)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f>
        <v>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v>
      </c>
      <c r="I178" s="5" t="str">
        <f>IFERROR(__xludf.DUMMYFUNCTION("GOOGLETRANSLATE(D178, ""en"", ""hi"")"),"ए) तीव्रता बढ़ाएँ और नॉकआउट के लिए जाएं।")</f>
        <v>ए) तीव्रता बढ़ाएँ और नॉकआउट के लिए जाएं।</v>
      </c>
    </row>
    <row r="179" ht="22.5" customHeight="1">
      <c r="A179" s="2">
        <v>178.0</v>
      </c>
      <c r="B179" s="3" t="s">
        <v>3367</v>
      </c>
      <c r="C179" s="3" t="s">
        <v>3277</v>
      </c>
      <c r="D179" s="3" t="s">
        <v>3252</v>
      </c>
      <c r="F179" s="5" t="str">
        <f>IFERROR(__xludf.DUMMYFUNCTION("GOOGLETRANSLATE(A179, ""en"", ""hi"")"),"178")</f>
        <v>178</v>
      </c>
      <c r="G179" s="5" t="str">
        <f>IFERROR(__xludf.DUMMYFUNCTION("GOOGLETRANSLATE(B179, ""en"", ""hi"")"),"फाइटर A स्ट्राइक में प्रभावी है, लेकिन फाइटर B बेहतर डिफेंस दिखाने लगा है। फाइटर A को अपनी रणनीति कैसे बदलनी चाहिए?")</f>
        <v>फाइटर A स्ट्राइक में प्रभावी है, लेकिन फाइटर B बेहतर डिफेंस दिखाने लगा है। फाइटर A को अपनी रणनीति कैसे बदलनी चाहिए?</v>
      </c>
      <c r="H179" s="5" t="str">
        <f>IFERROR(__xludf.DUMMYFUNCTION("GOOGLETRANSLATE(C179, ""en"", ""hi"")"),"क)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f>
        <v>क) मौके बनाने के लिए छल और गलत दिशा का प्रयोग करें। ख) हमलों की गति और शक्ति बढ़ाएँ। ग) चोट से बचने के लिए रक्षात्मक रणनीति पर ध्यान केंद्रित करें। घ) एक अलग युद्ध शैली अपनाएँ।</v>
      </c>
      <c r="I179" s="5" t="str">
        <f>IFERROR(__xludf.DUMMYFUNCTION("GOOGLETRANSLATE(D179, ""en"", ""hi"")"),"ए) अवसर पैदा करने के लिए छल और गलत दिशा का प्रयोग करें।")</f>
        <v>ए) अवसर पैदा करने के लिए छल और गलत दिशा का प्रयोग करें।</v>
      </c>
    </row>
    <row r="180" ht="22.5" customHeight="1">
      <c r="A180" s="2">
        <v>179.0</v>
      </c>
      <c r="B180" s="3" t="s">
        <v>3331</v>
      </c>
      <c r="C180" s="3" t="s">
        <v>3315</v>
      </c>
      <c r="D180" s="3" t="s">
        <v>3316</v>
      </c>
      <c r="F180" s="5" t="str">
        <f>IFERROR(__xludf.DUMMYFUNCTION("GOOGLETRANSLATE(A180, ""en"", ""hi"")"),"179")</f>
        <v>179</v>
      </c>
      <c r="G180" s="5" t="str">
        <f>IFERROR(__xludf.DUMMYFUNCTION("GOOGLETRANSLATE(B180, ""en"", ""hi"")"),"फाइटर A अंकों में आगे है, लेकिन उसकी आक्रामकता बढ़ती जा रही है। फाइटर B को इसका मुकाबला करने के लिए क्या करना चाहिए?")</f>
        <v>फाइटर A अंकों में आगे है, लेकिन उसकी आक्रामकता बढ़ती जा रही है। फाइटर B को इसका मुकाबला करने के लिए क्या करना चाहिए?</v>
      </c>
      <c r="H180" s="5" t="str">
        <f>IFERROR(__xludf.DUMMYFUNCTION("GOOGLETRANSLATE(C180, ""en"", ""hi"")"),"अ)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f>
        <v>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v>
      </c>
      <c r="I180" s="5" t="str">
        <f>IFERROR(__xludf.DUMMYFUNCTION("GOOGLETRANSLATE(D180, ""en"", ""hi"")"),"ए) चोट से बचने के लिए रक्षात्मक तकनीकों का उपयोग करें।")</f>
        <v>ए) चोट से बचने के लिए रक्षात्मक तकनीकों का उपयोग करें।</v>
      </c>
    </row>
    <row r="181" ht="22.5" customHeight="1">
      <c r="A181" s="2">
        <v>180.0</v>
      </c>
      <c r="B181" s="3" t="s">
        <v>3368</v>
      </c>
      <c r="C181" s="3" t="s">
        <v>3341</v>
      </c>
      <c r="D181" s="3" t="s">
        <v>3342</v>
      </c>
      <c r="F181" s="5" t="str">
        <f>IFERROR(__xludf.DUMMYFUNCTION("GOOGLETRANSLATE(A181, ""en"", ""hi"")"),"180")</f>
        <v>180</v>
      </c>
      <c r="G181" s="5" t="str">
        <f>IFERROR(__xludf.DUMMYFUNCTION("GOOGLETRANSLATE(B181, ""en"", ""hi"")"),"फाइटर A और फाइटर B के बीच कड़ा मुकाबला चल रहा है। फाइटर B ज़्यादा फ़िंट इस्तेमाल करने लगा है। फाइटर A को अपनी रणनीति कैसे बदलनी चाहिए?")</f>
        <v>फाइटर A और फाइटर B के बीच कड़ा मुकाबला चल रहा है। फाइटर B ज़्यादा फ़िंट इस्तेमाल करने लगा है। फाइटर A को अपनी रणनीति कैसे बदलनी चाहिए?</v>
      </c>
      <c r="H181" s="5" t="str">
        <f>IFERROR(__xludf.DUMMYFUNCTION("GOOGLETRANSLATE(C181, ""en"", ""hi"")"),"अ)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f>
        <v>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v>
      </c>
      <c r="I181" s="5" t="str">
        <f>IFERROR(__xludf.DUMMYFUNCTION("GOOGLETRANSLATE(D181, ""en"", ""hi"")"),"ए) रक्षात्मक तकनीकों और जवाबी हमलों पर ध्यान केंद्रित करना।")</f>
        <v>ए) रक्षात्मक तकनीकों और जवाबी हमलों पर ध्यान केंद्रित करना।</v>
      </c>
    </row>
    <row r="182" ht="22.5" customHeight="1">
      <c r="A182" s="2">
        <v>181.0</v>
      </c>
      <c r="B182" s="3" t="s">
        <v>3343</v>
      </c>
      <c r="C182" s="3" t="s">
        <v>3344</v>
      </c>
      <c r="D182" s="3" t="s">
        <v>3345</v>
      </c>
      <c r="F182" s="5" t="str">
        <f>IFERROR(__xludf.DUMMYFUNCTION("GOOGLETRANSLATE(A182, ""en"", ""hi"")"),"181")</f>
        <v>181</v>
      </c>
      <c r="G182" s="5" t="str">
        <f>IFERROR(__xludf.DUMMYFUNCTION("GOOGLETRANSLATE(B182, ""en"", ""hi"")"),"फाइटर A प्रभावी बॉडी शॉट्स का इस्तेमाल कर रहा है, लेकिन फाइटर B ज़्यादा कवर अप करने लगा है। फाइटर A को अपनी रणनीति कैसे बदलनी चाहिए?")</f>
        <v>फाइटर A प्रभावी बॉडी शॉट्स का इस्तेमाल कर रहा है, लेकिन फाइटर B ज़्यादा कवर अप करने लगा है। फाइटर A को अपनी रणनीति कैसे बदलनी चाहिए?</v>
      </c>
      <c r="H182" s="5" t="str">
        <f>IFERROR(__xludf.DUMMYFUNCTION("GOOGLETRANSLATE(C182, ""en"", ""hi"")"),"A)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f>
        <v>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v>
      </c>
      <c r="I182" s="5" t="str">
        <f>IFERROR(__xludf.DUMMYFUNCTION("GOOGLETRANSLATE(D182, ""en"", ""hi"")"),"ए) हेड शॉट्स और संयोजनों को शामिल करें।")</f>
        <v>ए) हेड शॉट्स और संयोजनों को शामिल करें।</v>
      </c>
    </row>
    <row r="183" ht="22.5" customHeight="1">
      <c r="A183" s="2">
        <v>182.0</v>
      </c>
      <c r="B183" s="3" t="s">
        <v>3346</v>
      </c>
      <c r="C183" s="3" t="s">
        <v>3347</v>
      </c>
      <c r="D183" s="3" t="s">
        <v>3348</v>
      </c>
      <c r="F183" s="5" t="str">
        <f>IFERROR(__xludf.DUMMYFUNCTION("GOOGLETRANSLATE(A183, ""en"", ""hi"")"),"182")</f>
        <v>182</v>
      </c>
      <c r="G183" s="5" t="str">
        <f>IFERROR(__xludf.DUMMYFUNCTION("GOOGLETRANSLATE(B183, ""en"", ""hi"")"),"फाइटर A के पास अंकों में काफ़ी बढ़त है, लेकिन फाइटर B बेहतर डिफेंस दिखा रहा है। फाइटर A को अंतिम राउंड में कैसे आगे बढ़ना चाहिए?")</f>
        <v>फाइटर A के पास अंकों में काफ़ी बढ़त है, लेकिन फाइटर B बेहतर डिफेंस दिखा रहा है। फाइटर A को अंतिम राउंड में कैसे आगे बढ़ना चाहिए?</v>
      </c>
      <c r="H183" s="5" t="str">
        <f>IFERROR(__xludf.DUMMYFUNCTION("GOOGLETRANSLATE(C183, ""en"", ""hi"")"),"क)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f>
        <v>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v>
      </c>
      <c r="I183" s="5" t="str">
        <f>IFERROR(__xludf.DUMMYFUNCTION("GOOGLETRANSLATE(D183, ""en"", ""hi"")"),"ए) रक्षात्मक रणनीति के साथ बढ़त बनाए रखने पर ध्यान केंद्रित करें।")</f>
        <v>ए) रक्षात्मक रणनीति के साथ बढ़त बनाए रखने पर ध्यान केंद्रित करें।</v>
      </c>
    </row>
    <row r="184" ht="22.5" customHeight="1">
      <c r="A184" s="2">
        <v>183.0</v>
      </c>
      <c r="B184" s="3" t="s">
        <v>3369</v>
      </c>
      <c r="C184" s="3" t="s">
        <v>3370</v>
      </c>
      <c r="D184" s="3" t="s">
        <v>3334</v>
      </c>
      <c r="F184" s="5" t="str">
        <f>IFERROR(__xludf.DUMMYFUNCTION("GOOGLETRANSLATE(A184, ""en"", ""hi"")"),"183")</f>
        <v>183</v>
      </c>
      <c r="G184" s="5" t="str">
        <f>IFERROR(__xludf.DUMMYFUNCTION("GOOGLETRANSLATE(B184, ""en"", ""hi"")"),"फाइटर A और फाइटर B के बीच कांटे का मुकाबला है। फाइटर A ऊँची किक से प्रभावी रहा है, लेकिन फाइटर B इन हमलों का अंदाज़ा लगाने लगा है। फाइटर A को कैसे तालमेल बिठाना चाहिए?")</f>
        <v>फाइटर A और फाइटर B के बीच कांटे का मुकाबला है। फाइटर A ऊँची किक से प्रभावी रहा है, लेकिन फाइटर B इन हमलों का अंदाज़ा लगाने लगा है। फाइटर A को कैसे तालमेल बिठाना चाहिए?</v>
      </c>
      <c r="H184" s="5" t="str">
        <f>IFERROR(__xludf.DUMMYFUNCTION("GOOGLETRANSLATE(C184, ""en"", ""hi"")"),"A) लो किक्स और बॉडी पंच का मिश्रण करें। B) हाई किक्स की गति और शक्ति बढ़ाएँ। C) चोट से बचने के लिए रक्षात्मक तकनीकों पर ध्यान केंद्रित करें। D) नॉकआउट वार करने का प्रयास करें।")</f>
        <v>A) लो किक्स और बॉडी पंच का मिश्रण करें। B) हाई किक्स की गति और शक्ति बढ़ाएँ। C) चोट से बचने के लिए रक्षात्मक तकनीकों पर ध्यान केंद्रित करें। D) नॉकआउट वार करने का प्रयास करें।</v>
      </c>
      <c r="I184" s="5" t="str">
        <f>IFERROR(__xludf.DUMMYFUNCTION("GOOGLETRANSLATE(D184, ""en"", ""hi"")"),"ए) लो किक्स और बॉडी पंचेज का मिश्रण करें।")</f>
        <v>ए) लो किक्स और बॉडी पंचेज का मिश्रण करें।</v>
      </c>
    </row>
    <row r="185" ht="22.5" customHeight="1">
      <c r="A185" s="2">
        <v>184.0</v>
      </c>
      <c r="B185" s="3" t="s">
        <v>3324</v>
      </c>
      <c r="C185" s="3" t="s">
        <v>3371</v>
      </c>
      <c r="D185" s="3" t="s">
        <v>3326</v>
      </c>
      <c r="F185" s="5" t="str">
        <f>IFERROR(__xludf.DUMMYFUNCTION("GOOGLETRANSLATE(A185, ""en"", ""hi"")"),"184")</f>
        <v>184</v>
      </c>
      <c r="G185" s="5" t="str">
        <f>IFERROR(__xludf.DUMMYFUNCTION("GOOGLETRANSLATE(B185, ""en"", ""hi"")"),"फ़ाइटर A अंकों के मामले में पीछे चल रहा है, लेकिन आख़िरी राउंड में वापसी का उसका रिकॉर्ड मज़बूत है। फ़ाइटर A को आख़िरी राउंड में किस पर ध्यान केंद्रित करना चाहिए?")</f>
        <v>फ़ाइटर A अंकों के मामले में पीछे चल रहा है, लेकिन आख़िरी राउंड में वापसी का उसका रिकॉर्ड मज़बूत है। फ़ाइटर A को आख़िरी राउंड में किस पर ध्यान केंद्रित करना चाहिए?</v>
      </c>
      <c r="H185" s="5" t="str">
        <f>IFERROR(__xludf.DUMMYFUNCTION("GOOGLETRANSLATE(C185, ""en"", ""hi"")"),"A) शेष ऊर्जा का उपयोग हमलों की गति बढ़ाने के लिए करें। B) चोट से बचने के लिए रक्षात्मक रणनीति पर ध्यान केंद्रित करें। C) अंकों के अंतर को कम करने के लिए यथासंभव अधिक से अधिक प्रहार करने का प्रयास करें। D) ऊर्जा बचाएँ और अंतिम घंटी बजने का इंतज़ार करें।")</f>
        <v>A) शेष ऊर्जा का उपयोग हमलों की गति बढ़ाने के लिए करें। B) चोट से बचने के लिए रक्षात्मक रणनीति पर ध्यान केंद्रित करें। C) अंकों के अंतर को कम करने के लिए यथासंभव अधिक से अधिक प्रहार करने का प्रयास करें। D) ऊर्जा बचाएँ और अंतिम घंटी बजने का इंतज़ार करें।</v>
      </c>
      <c r="I185" s="5" t="str">
        <f>IFERROR(__xludf.DUMMYFUNCTION("GOOGLETRANSLATE(D185, ""en"", ""hi"")"),"ए) शेष ऊर्जा का उपयोग हमलों की गति बढ़ाने के लिए करें।")</f>
        <v>ए) शेष ऊर्जा का उपयोग हमलों की गति बढ़ाने के लिए करें।</v>
      </c>
    </row>
    <row r="186" ht="22.5" customHeight="1">
      <c r="A186" s="2">
        <v>185.0</v>
      </c>
      <c r="B186" s="3" t="s">
        <v>3349</v>
      </c>
      <c r="C186" s="3" t="s">
        <v>3350</v>
      </c>
      <c r="D186" s="3" t="s">
        <v>3326</v>
      </c>
      <c r="F186" s="5" t="str">
        <f>IFERROR(__xludf.DUMMYFUNCTION("GOOGLETRANSLATE(A186, ""en"", ""hi"")"),"185")</f>
        <v>185</v>
      </c>
      <c r="G186" s="5" t="str">
        <f>IFERROR(__xludf.DUMMYFUNCTION("GOOGLETRANSLATE(B186, ""en"", ""hi"")"),"फाइटर A और फाइटर B के बीच कड़ा मुकाबला चल रहा है और दोनों में थकान के लक्षण दिखाई दे रहे हैं। फाइटर A को अंतिम राउंड में कैसे आगे बढ़ना चाहिए?")</f>
        <v>फाइटर A और फाइटर B के बीच कड़ा मुकाबला चल रहा है और दोनों में थकान के लक्षण दिखाई दे रहे हैं। फाइटर A को अंतिम राउंड में कैसे आगे बढ़ना चाहिए?</v>
      </c>
      <c r="H186" s="5" t="str">
        <f>IFERROR(__xludf.DUMMYFUNCTION("GOOGLETRANSLATE(C186, ""en"", ""hi"")"),"A)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f>
        <v>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v>
      </c>
      <c r="I186" s="5" t="str">
        <f>IFERROR(__xludf.DUMMYFUNCTION("GOOGLETRANSLATE(D186, ""en"", ""hi"")"),"ए) शेष ऊर्जा का उपयोग हमलों की गति बढ़ाने के लिए करें।")</f>
        <v>ए) शेष ऊर्जा का उपयोग हमलों की गति बढ़ाने के लिए करें।</v>
      </c>
    </row>
    <row r="187" ht="22.5" customHeight="1">
      <c r="A187" s="2">
        <v>186.0</v>
      </c>
      <c r="B187" s="3" t="s">
        <v>3372</v>
      </c>
      <c r="C187" s="3" t="s">
        <v>3352</v>
      </c>
      <c r="D187" s="3" t="s">
        <v>3252</v>
      </c>
      <c r="F187" s="5" t="str">
        <f>IFERROR(__xludf.DUMMYFUNCTION("GOOGLETRANSLATE(A187, ""en"", ""hi"")"),"186")</f>
        <v>186</v>
      </c>
      <c r="G187" s="5" t="str">
        <f>IFERROR(__xludf.DUMMYFUNCTION("GOOGLETRANSLATE(B187, ""en"", ""hi"")"),"लड़ाकू A जवाबी हमलों में प्रभावी है, लेकिन लड़ाकू B इनका पूर्वानुमान लगाने लगता है। लड़ाकू A को अपनी रणनीति कैसे बदलनी चाहिए?")</f>
        <v>लड़ाकू A जवाबी हमलों में प्रभावी है, लेकिन लड़ाकू B इनका पूर्वानुमान लगाने लगता है। लड़ाकू A को अपनी रणनीति कैसे बदलनी चाहिए?</v>
      </c>
      <c r="H187" s="5" t="str">
        <f>IFERROR(__xludf.DUMMYFUNCTION("GOOGLETRANSLATE(C187, ""en"", ""hi"")"),"क)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f>
        <v>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v>
      </c>
      <c r="I187" s="5" t="str">
        <f>IFERROR(__xludf.DUMMYFUNCTION("GOOGLETRANSLATE(D187, ""en"", ""hi"")"),"ए) अवसर पैदा करने के लिए छल और गलत दिशा का प्रयोग करें।")</f>
        <v>ए) अवसर पैदा करने के लिए छल और गलत दिशा का प्रयोग करें।</v>
      </c>
    </row>
    <row r="188" ht="22.5" customHeight="1">
      <c r="A188" s="2">
        <v>187.0</v>
      </c>
      <c r="B188" s="3" t="s">
        <v>3353</v>
      </c>
      <c r="C188" s="3" t="s">
        <v>3354</v>
      </c>
      <c r="D188" s="3" t="s">
        <v>3355</v>
      </c>
      <c r="F188" s="5" t="str">
        <f>IFERROR(__xludf.DUMMYFUNCTION("GOOGLETRANSLATE(A188, ""en"", ""hi"")"),"187")</f>
        <v>187</v>
      </c>
      <c r="G188" s="5" t="str">
        <f>IFERROR(__xludf.DUMMYFUNCTION("GOOGLETRANSLATE(B188, ""en"", ""hi"")"),"फ़ाइटर A अंकों में पीछे चल रहा है, लेकिन अपनी सहनशक्ति के लिए जाना जाता है। फ़ाइटर A को अंतिम राउंड में किस पर ध्यान केंद्रित करना चाहिए?")</f>
        <v>फ़ाइटर A अंकों में पीछे चल रहा है, लेकिन अपनी सहनशक्ति के लिए जाना जाता है। फ़ाइटर A को अंतिम राउंड में किस पर ध्यान केंद्रित करना चाहिए?</v>
      </c>
      <c r="H188" s="5" t="str">
        <f>IFERROR(__xludf.DUMMYFUNCTION("GOOGLETRANSLATE(C188, ""en"", ""hi"")"),"A)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f>
        <v>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v>
      </c>
      <c r="I188" s="5" t="str">
        <f>IFERROR(__xludf.DUMMYFUNCTION("GOOGLETRANSLATE(D188, ""en"", ""hi"")"),"ए) हमलों की गति बढ़ाने के लिए धीरज का प्रयोग करें।")</f>
        <v>ए) हमलों की गति बढ़ाने के लिए धीरज का प्रयोग करें।</v>
      </c>
    </row>
    <row r="189" ht="22.5" customHeight="1">
      <c r="A189" s="2">
        <v>188.0</v>
      </c>
      <c r="B189" s="3" t="s">
        <v>3366</v>
      </c>
      <c r="C189" s="3" t="s">
        <v>3283</v>
      </c>
      <c r="D189" s="3" t="s">
        <v>3239</v>
      </c>
      <c r="F189" s="5" t="str">
        <f>IFERROR(__xludf.DUMMYFUNCTION("GOOGLETRANSLATE(A189, ""en"", ""hi"")"),"188")</f>
        <v>188</v>
      </c>
      <c r="G189" s="5" t="str">
        <f>IFERROR(__xludf.DUMMYFUNCTION("GOOGLETRANSLATE(B189, ""en"", ""hi"")"),"फाइटर A और फाइटर B अंतिम दौर में हैं। फाइटर A अंकों में थोड़ा पीछे है और थकान के लक्षण दिखा रहा है। फाइटर A के लिए सबसे अच्छी रणनीति क्या है?")</f>
        <v>फाइटर A और फाइटर B अंतिम दौर में हैं। फाइटर A अंकों में थोड़ा पीछे है और थकान के लक्षण दिखा रहा है। फाइटर A के लिए सबसे अच्छी रणनीति क्या है?</v>
      </c>
      <c r="H189" s="5" t="str">
        <f>IFERROR(__xludf.DUMMYFUNCTION("GOOGLETRANSLATE(C189, ""en"", ""hi"")"),"A)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f>
        <v>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v>
      </c>
      <c r="I189" s="5" t="str">
        <f>IFERROR(__xludf.DUMMYFUNCTION("GOOGLETRANSLATE(D189, ""en"", ""hi"")"),"ए) तीव्रता बढ़ाएँ और नॉकआउट के लिए जाएं।")</f>
        <v>ए) तीव्रता बढ़ाएँ और नॉकआउट के लिए जाएं।</v>
      </c>
    </row>
    <row r="190" ht="22.5" customHeight="1">
      <c r="A190" s="2">
        <v>189.0</v>
      </c>
      <c r="B190" s="3" t="s">
        <v>3373</v>
      </c>
      <c r="C190" s="3" t="s">
        <v>3374</v>
      </c>
      <c r="D190" s="3" t="s">
        <v>3358</v>
      </c>
      <c r="F190" s="5" t="str">
        <f>IFERROR(__xludf.DUMMYFUNCTION("GOOGLETRANSLATE(A190, ""en"", ""hi"")"),"189")</f>
        <v>189</v>
      </c>
      <c r="G190" s="5" t="str">
        <f>IFERROR(__xludf.DUMMYFUNCTION("GOOGLETRANSLATE(B190, ""en"", ""hi"")"),"फाइटर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f>
        <v>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v>
      </c>
      <c r="H190" s="5" t="str">
        <f>IFERROR(__xludf.DUMMYFUNCTION("GOOGLETRANSLATE(C190, ""en"", ""hi"")"),"A) लो किक और बॉडी पंच का प्रयोग करें। B) हाई किक की गति और शक्ति बढ़ाएँ। C) काउंटर से बचने के लिए रक्षात्मक तकनीकों पर ध्यान केंद्रित करें। D) नॉकआउट वार करने का प्रयास करें।")</f>
        <v>A) लो किक और बॉडी पंच का प्रयोग करें। B) हाई किक की गति और शक्ति बढ़ाएँ। C) काउंटर से बचने के लिए रक्षात्मक तकनीकों पर ध्यान केंद्रित करें। D) नॉकआउट वार करने का प्रयास करें।</v>
      </c>
      <c r="I190" s="5" t="str">
        <f>IFERROR(__xludf.DUMMYFUNCTION("GOOGLETRANSLATE(D190, ""en"", ""hi"")"),"ए) कम किक और शरीर पर मुक्के शामिल करें।")</f>
        <v>ए) कम किक और शरीर पर मुक्के शामिल करें।</v>
      </c>
    </row>
    <row r="191" ht="22.5" customHeight="1">
      <c r="A191" s="2">
        <v>190.0</v>
      </c>
      <c r="B191" s="3" t="s">
        <v>3331</v>
      </c>
      <c r="C191" s="3" t="s">
        <v>3315</v>
      </c>
      <c r="D191" s="3" t="s">
        <v>3316</v>
      </c>
      <c r="F191" s="5" t="str">
        <f>IFERROR(__xludf.DUMMYFUNCTION("GOOGLETRANSLATE(A191, ""en"", ""hi"")"),"190")</f>
        <v>190</v>
      </c>
      <c r="G191" s="5" t="str">
        <f>IFERROR(__xludf.DUMMYFUNCTION("GOOGLETRANSLATE(B191, ""en"", ""hi"")"),"फाइटर A अंकों में आगे है, लेकिन उसकी आक्रामकता बढ़ती जा रही है। फाइटर B को इसका मुकाबला करने के लिए क्या करना चाहिए?")</f>
        <v>फाइटर A अंकों में आगे है, लेकिन उसकी आक्रामकता बढ़ती जा रही है। फाइटर B को इसका मुकाबला करने के लिए क्या करना चाहिए?</v>
      </c>
      <c r="H191" s="5" t="str">
        <f>IFERROR(__xludf.DUMMYFUNCTION("GOOGLETRANSLATE(C191, ""en"", ""hi"")"),"अ)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f>
        <v>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v>
      </c>
      <c r="I191" s="5" t="str">
        <f>IFERROR(__xludf.DUMMYFUNCTION("GOOGLETRANSLATE(D191, ""en"", ""hi"")"),"ए) चोट से बचने के लिए रक्षात्मक तकनीकों का उपयोग करें।")</f>
        <v>ए) चोट से बचने के लिए रक्षात्मक तकनीकों का उपयोग करें।</v>
      </c>
    </row>
    <row r="192" ht="22.5" customHeight="1">
      <c r="A192" s="2">
        <v>191.0</v>
      </c>
      <c r="B192" s="3" t="s">
        <v>3340</v>
      </c>
      <c r="C192" s="3" t="s">
        <v>3341</v>
      </c>
      <c r="D192" s="3" t="s">
        <v>3342</v>
      </c>
      <c r="F192" s="5" t="str">
        <f>IFERROR(__xludf.DUMMYFUNCTION("GOOGLETRANSLATE(A192, ""en"", ""hi"")"),"191")</f>
        <v>191</v>
      </c>
      <c r="G192" s="5" t="str">
        <f>IFERROR(__xludf.DUMMYFUNCTION("GOOGLETRANSLATE(B192, ""en"", ""hi"")"),"फाइटर A और फाइटर B के बीच कांटे का मुकाबला है। फाइटर B ज़्यादा फ़िंट इस्तेमाल करने लगा है। फाइटर A को अपनी रणनीति कैसे बदलनी चाहिए?")</f>
        <v>फाइटर A और फाइटर B के बीच कांटे का मुकाबला है। फाइटर B ज़्यादा फ़िंट इस्तेमाल करने लगा है। फाइटर A को अपनी रणनीति कैसे बदलनी चाहिए?</v>
      </c>
      <c r="H192" s="5" t="str">
        <f>IFERROR(__xludf.DUMMYFUNCTION("GOOGLETRANSLATE(C192, ""en"", ""hi"")"),"अ)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f>
        <v>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v>
      </c>
      <c r="I192" s="5" t="str">
        <f>IFERROR(__xludf.DUMMYFUNCTION("GOOGLETRANSLATE(D192, ""en"", ""hi"")"),"ए) रक्षात्मक तकनीकों और जवाबी हमलों पर ध्यान केंद्रित करना।")</f>
        <v>ए) रक्षात्मक तकनीकों और जवाबी हमलों पर ध्यान केंद्रित करना।</v>
      </c>
    </row>
    <row r="193" ht="22.5" customHeight="1">
      <c r="A193" s="2">
        <v>192.0</v>
      </c>
      <c r="B193" s="3" t="s">
        <v>3343</v>
      </c>
      <c r="C193" s="3" t="s">
        <v>3344</v>
      </c>
      <c r="D193" s="3" t="s">
        <v>3345</v>
      </c>
      <c r="F193" s="5" t="str">
        <f>IFERROR(__xludf.DUMMYFUNCTION("GOOGLETRANSLATE(A193, ""en"", ""hi"")"),"192")</f>
        <v>192</v>
      </c>
      <c r="G193" s="5" t="str">
        <f>IFERROR(__xludf.DUMMYFUNCTION("GOOGLETRANSLATE(B193, ""en"", ""hi"")"),"फाइटर A प्रभावी बॉडी शॉट्स का इस्तेमाल कर रहा है, लेकिन फाइटर B ज़्यादा कवर अप करने लगा है। फाइटर A को अपनी रणनीति कैसे बदलनी चाहिए?")</f>
        <v>फाइटर A प्रभावी बॉडी शॉट्स का इस्तेमाल कर रहा है, लेकिन फाइटर B ज़्यादा कवर अप करने लगा है। फाइटर A को अपनी रणनीति कैसे बदलनी चाहिए?</v>
      </c>
      <c r="H193" s="5" t="str">
        <f>IFERROR(__xludf.DUMMYFUNCTION("GOOGLETRANSLATE(C193, ""en"", ""hi"")"),"A)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f>
        <v>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v>
      </c>
      <c r="I193" s="5" t="str">
        <f>IFERROR(__xludf.DUMMYFUNCTION("GOOGLETRANSLATE(D193, ""en"", ""hi"")"),"ए) हेड शॉट्स और संयोजनों को शामिल करें।")</f>
        <v>ए) हेड शॉट्स और संयोजनों को शामिल करें।</v>
      </c>
    </row>
    <row r="194" ht="22.5" customHeight="1">
      <c r="A194" s="2">
        <v>193.0</v>
      </c>
      <c r="B194" s="3" t="s">
        <v>3346</v>
      </c>
      <c r="C194" s="3" t="s">
        <v>3347</v>
      </c>
      <c r="D194" s="3" t="s">
        <v>3348</v>
      </c>
      <c r="F194" s="5" t="str">
        <f>IFERROR(__xludf.DUMMYFUNCTION("GOOGLETRANSLATE(A194, ""en"", ""hi"")"),"193")</f>
        <v>193</v>
      </c>
      <c r="G194" s="5" t="str">
        <f>IFERROR(__xludf.DUMMYFUNCTION("GOOGLETRANSLATE(B194, ""en"", ""hi"")"),"फाइटर A के पास अंकों में काफ़ी बढ़त है, लेकिन फाइटर B बेहतर डिफेंस दिखा रहा है। फाइटर A को अंतिम राउंड में कैसे आगे बढ़ना चाहिए?")</f>
        <v>फाइटर A के पास अंकों में काफ़ी बढ़त है, लेकिन फाइटर B बेहतर डिफेंस दिखा रहा है। फाइटर A को अंतिम राउंड में कैसे आगे बढ़ना चाहिए?</v>
      </c>
      <c r="H194" s="5" t="str">
        <f>IFERROR(__xludf.DUMMYFUNCTION("GOOGLETRANSLATE(C194, ""en"", ""hi"")"),"क)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f>
        <v>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v>
      </c>
      <c r="I194" s="5" t="str">
        <f>IFERROR(__xludf.DUMMYFUNCTION("GOOGLETRANSLATE(D194, ""en"", ""hi"")"),"ए) रक्षात्मक रणनीति के साथ बढ़त बनाए रखने पर ध्यान केंद्रित करें।")</f>
        <v>ए) रक्षात्मक रणनीति के साथ बढ़त बनाए रखने पर ध्यान केंद्रित करें।</v>
      </c>
    </row>
    <row r="195" ht="22.5" customHeight="1">
      <c r="A195" s="2">
        <v>194.0</v>
      </c>
      <c r="B195" s="3" t="s">
        <v>3375</v>
      </c>
      <c r="C195" s="3" t="s">
        <v>3370</v>
      </c>
      <c r="D195" s="3" t="s">
        <v>3334</v>
      </c>
      <c r="F195" s="5" t="str">
        <f>IFERROR(__xludf.DUMMYFUNCTION("GOOGLETRANSLATE(A195, ""en"", ""hi"")"),"194")</f>
        <v>194</v>
      </c>
      <c r="G195" s="5" t="str">
        <f>IFERROR(__xludf.DUMMYFUNCTION("GOOGLETRANSLATE(B195, ""en"", ""hi"")"),"फाइटर A और फाइटर B के बीच कड़ा मुकाबला है। फाइटर A ऊँची किक से प्रभावी रहा है, लेकिन फाइटर B इन हमलों का अंदाज़ा लगाने लगा है। फाइटर A को कैसे तालमेल बिठाना चाहिए?")</f>
        <v>फाइटर A और फाइटर B के बीच कड़ा मुकाबला है। फाइटर A ऊँची किक से प्रभावी रहा है, लेकिन फाइटर B इन हमलों का अंदाज़ा लगाने लगा है। फाइटर A को कैसे तालमेल बिठाना चाहिए?</v>
      </c>
      <c r="H195" s="5" t="str">
        <f>IFERROR(__xludf.DUMMYFUNCTION("GOOGLETRANSLATE(C195, ""en"", ""hi"")"),"A) लो किक्स और बॉडी पंच का मिश्रण करें। B) हाई किक्स की गति और शक्ति बढ़ाएँ। C) चोट से बचने के लिए रक्षात्मक तकनीकों पर ध्यान केंद्रित करें। D) नॉकआउट वार करने का प्रयास करें।")</f>
        <v>A) लो किक्स और बॉडी पंच का मिश्रण करें। B) हाई किक्स की गति और शक्ति बढ़ाएँ। C) चोट से बचने के लिए रक्षात्मक तकनीकों पर ध्यान केंद्रित करें। D) नॉकआउट वार करने का प्रयास करें।</v>
      </c>
      <c r="I195" s="5" t="str">
        <f>IFERROR(__xludf.DUMMYFUNCTION("GOOGLETRANSLATE(D195, ""en"", ""hi"")"),"ए) लो किक्स और बॉडी पंचेज का मिश्रण करें।")</f>
        <v>ए) लो किक्स और बॉडी पंचेज का मिश्रण करें।</v>
      </c>
    </row>
    <row r="196" ht="22.5" customHeight="1">
      <c r="A196" s="2">
        <v>195.0</v>
      </c>
      <c r="B196" s="3" t="s">
        <v>3324</v>
      </c>
      <c r="C196" s="3" t="s">
        <v>3371</v>
      </c>
      <c r="D196" s="3" t="s">
        <v>3326</v>
      </c>
      <c r="F196" s="5" t="str">
        <f>IFERROR(__xludf.DUMMYFUNCTION("GOOGLETRANSLATE(A196, ""en"", ""hi"")"),"195")</f>
        <v>195</v>
      </c>
      <c r="G196" s="5" t="str">
        <f>IFERROR(__xludf.DUMMYFUNCTION("GOOGLETRANSLATE(B196, ""en"", ""hi"")"),"फ़ाइटर A अंकों के मामले में पीछे चल रहा है, लेकिन आख़िरी राउंड में वापसी का उसका रिकॉर्ड मज़बूत है। फ़ाइटर A को आख़िरी राउंड में किस पर ध्यान केंद्रित करना चाहिए?")</f>
        <v>फ़ाइटर A अंकों के मामले में पीछे चल रहा है, लेकिन आख़िरी राउंड में वापसी का उसका रिकॉर्ड मज़बूत है। फ़ाइटर A को आख़िरी राउंड में किस पर ध्यान केंद्रित करना चाहिए?</v>
      </c>
      <c r="H196" s="5" t="str">
        <f>IFERROR(__xludf.DUMMYFUNCTION("GOOGLETRANSLATE(C196, ""en"", ""hi"")"),"A) शेष ऊर्जा का उपयोग हमलों की गति बढ़ाने के लिए करें। B) चोट से बचने के लिए रक्षात्मक रणनीति पर ध्यान केंद्रित करें। C) अंकों के अंतर को कम करने के लिए यथासंभव अधिक से अधिक प्रहार करने का प्रयास करें। D) ऊर्जा बचाएँ और अंतिम घंटी बजने का इंतज़ार करें।")</f>
        <v>A) शेष ऊर्जा का उपयोग हमलों की गति बढ़ाने के लिए करें। B) चोट से बचने के लिए रक्षात्मक रणनीति पर ध्यान केंद्रित करें। C) अंकों के अंतर को कम करने के लिए यथासंभव अधिक से अधिक प्रहार करने का प्रयास करें। D) ऊर्जा बचाएँ और अंतिम घंटी बजने का इंतज़ार करें।</v>
      </c>
      <c r="I196" s="5" t="str">
        <f>IFERROR(__xludf.DUMMYFUNCTION("GOOGLETRANSLATE(D196, ""en"", ""hi"")"),"ए) शेष ऊर्जा का उपयोग हमलों की गति बढ़ाने के लिए करें।")</f>
        <v>ए) शेष ऊर्जा का उपयोग हमलों की गति बढ़ाने के लिए करें।</v>
      </c>
    </row>
    <row r="197" ht="22.5" customHeight="1">
      <c r="A197" s="2">
        <v>196.0</v>
      </c>
      <c r="B197" s="3" t="s">
        <v>3349</v>
      </c>
      <c r="C197" s="3" t="s">
        <v>3350</v>
      </c>
      <c r="D197" s="3" t="s">
        <v>3326</v>
      </c>
      <c r="F197" s="5" t="str">
        <f>IFERROR(__xludf.DUMMYFUNCTION("GOOGLETRANSLATE(A197, ""en"", ""hi"")"),"196")</f>
        <v>196</v>
      </c>
      <c r="G197" s="5" t="str">
        <f>IFERROR(__xludf.DUMMYFUNCTION("GOOGLETRANSLATE(B197, ""en"", ""hi"")"),"फाइटर A और फाइटर B के बीच कड़ा मुकाबला चल रहा है और दोनों में थकान के लक्षण दिखाई दे रहे हैं। फाइटर A को अंतिम राउंड में कैसे आगे बढ़ना चाहिए?")</f>
        <v>फाइटर A और फाइटर B के बीच कड़ा मुकाबला चल रहा है और दोनों में थकान के लक्षण दिखाई दे रहे हैं। फाइटर A को अंतिम राउंड में कैसे आगे बढ़ना चाहिए?</v>
      </c>
      <c r="H197" s="5" t="str">
        <f>IFERROR(__xludf.DUMMYFUNCTION("GOOGLETRANSLATE(C197, ""en"", ""hi"")"),"A)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f>
        <v>A) शेष ऊर्जा का उपयोग हमलों की गति बढ़ाने के लिए करें। B) रक्षात्मक रणनीति पर ध्यान केंद्रित करें और चोट लगने से बचें। C) जीत सुनिश्चित करने के लिए नॉकआउट का प्रयास करें। D) ऊर्जा बचाएँ और अंतिम घंटी बजने का इंतज़ार करें।</v>
      </c>
      <c r="I197" s="5" t="str">
        <f>IFERROR(__xludf.DUMMYFUNCTION("GOOGLETRANSLATE(D197, ""en"", ""hi"")"),"ए) शेष ऊर्जा का उपयोग हमलों की गति बढ़ाने के लिए करें।")</f>
        <v>ए) शेष ऊर्जा का उपयोग हमलों की गति बढ़ाने के लिए करें।</v>
      </c>
    </row>
    <row r="198" ht="22.5" customHeight="1">
      <c r="A198" s="2">
        <v>197.0</v>
      </c>
      <c r="B198" s="3" t="s">
        <v>3372</v>
      </c>
      <c r="C198" s="3" t="s">
        <v>3352</v>
      </c>
      <c r="D198" s="3" t="s">
        <v>3252</v>
      </c>
      <c r="F198" s="5" t="str">
        <f>IFERROR(__xludf.DUMMYFUNCTION("GOOGLETRANSLATE(A198, ""en"", ""hi"")"),"197")</f>
        <v>197</v>
      </c>
      <c r="G198" s="5" t="str">
        <f>IFERROR(__xludf.DUMMYFUNCTION("GOOGLETRANSLATE(B198, ""en"", ""hi"")"),"लड़ाकू A जवाबी हमलों में प्रभावी है, लेकिन लड़ाकू B इनका पूर्वानुमान लगाने लगता है। लड़ाकू A को अपनी रणनीति कैसे बदलनी चाहिए?")</f>
        <v>लड़ाकू A जवाबी हमलों में प्रभावी है, लेकिन लड़ाकू B इनका पूर्वानुमान लगाने लगता है। लड़ाकू A को अपनी रणनीति कैसे बदलनी चाहिए?</v>
      </c>
      <c r="H198" s="5" t="str">
        <f>IFERROR(__xludf.DUMMYFUNCTION("GOOGLETRANSLATE(C198, ""en"", ""hi"")"),"क)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f>
        <v>क) मौके बनाने के लिए छल और गलत दिशा का प्रयोग करें। ख) जवाबी हमलों की गति और शक्ति बढ़ाएँ। ग) चोट से बचने के लिए रक्षात्मक तकनीकों पर ध्यान केंद्रित करें। घ) एक अलग युद्ध शैली अपनाएँ।</v>
      </c>
      <c r="I198" s="5" t="str">
        <f>IFERROR(__xludf.DUMMYFUNCTION("GOOGLETRANSLATE(D198, ""en"", ""hi"")"),"ए) अवसर पैदा करने के लिए छल और गलत दिशा का प्रयोग करें।")</f>
        <v>ए) अवसर पैदा करने के लिए छल और गलत दिशा का प्रयोग करें।</v>
      </c>
    </row>
    <row r="199" ht="22.5" customHeight="1">
      <c r="A199" s="2">
        <v>198.0</v>
      </c>
      <c r="B199" s="3" t="s">
        <v>3353</v>
      </c>
      <c r="C199" s="3" t="s">
        <v>3354</v>
      </c>
      <c r="D199" s="3" t="s">
        <v>3355</v>
      </c>
      <c r="F199" s="5" t="str">
        <f>IFERROR(__xludf.DUMMYFUNCTION("GOOGLETRANSLATE(A199, ""en"", ""hi"")"),"198")</f>
        <v>198</v>
      </c>
      <c r="G199" s="5" t="str">
        <f>IFERROR(__xludf.DUMMYFUNCTION("GOOGLETRANSLATE(B199, ""en"", ""hi"")"),"फ़ाइटर A अंकों में पीछे चल रहा है, लेकिन अपनी सहनशक्ति के लिए जाना जाता है। फ़ाइटर A को अंतिम राउंड में किस पर ध्यान केंद्रित करना चाहिए?")</f>
        <v>फ़ाइटर A अंकों में पीछे चल रहा है, लेकिन अपनी सहनशक्ति के लिए जाना जाता है। फ़ाइटर A को अंतिम राउंड में किस पर ध्यान केंद्रित करना चाहिए?</v>
      </c>
      <c r="H199" s="5" t="str">
        <f>IFERROR(__xludf.DUMMYFUNCTION("GOOGLETRANSLATE(C199, ""en"", ""hi"")"),"A)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f>
        <v>A) हमलों की गति बढ़ाने के लिए सहनशक्ति का प्रयोग करें। B) आगे की क्षति से बचने के लिए रक्षात्मक रणनीति पर ध्यान केंद्रित करें। C) यथासंभव अधिक से अधिक वार करने का प्रयास करें। D) ऊर्जा बचाएँ और अंतिम घंटी बजने का इंतज़ार करें।</v>
      </c>
      <c r="I199" s="5" t="str">
        <f>IFERROR(__xludf.DUMMYFUNCTION("GOOGLETRANSLATE(D199, ""en"", ""hi"")"),"ए) हमलों की गति बढ़ाने के लिए धीरज का प्रयोग करें।")</f>
        <v>ए) हमलों की गति बढ़ाने के लिए धीरज का प्रयोग करें।</v>
      </c>
    </row>
    <row r="200" ht="22.5" customHeight="1">
      <c r="A200" s="2">
        <v>199.0</v>
      </c>
      <c r="B200" s="3" t="s">
        <v>3366</v>
      </c>
      <c r="C200" s="3" t="s">
        <v>3283</v>
      </c>
      <c r="D200" s="3" t="s">
        <v>3239</v>
      </c>
      <c r="F200" s="5" t="str">
        <f>IFERROR(__xludf.DUMMYFUNCTION("GOOGLETRANSLATE(A200, ""en"", ""hi"")"),"199")</f>
        <v>199</v>
      </c>
      <c r="G200" s="5" t="str">
        <f>IFERROR(__xludf.DUMMYFUNCTION("GOOGLETRANSLATE(B200, ""en"", ""hi"")"),"फाइटर A और फाइटर B अंतिम दौर में हैं। फाइटर A अंकों में थोड़ा पीछे है और थकान के लक्षण दिखा रहा है। फाइटर A के लिए सबसे अच्छी रणनीति क्या है?")</f>
        <v>फाइटर A और फाइटर B अंतिम दौर में हैं। फाइटर A अंकों में थोड़ा पीछे है और थकान के लक्षण दिखा रहा है। फाइटर A के लिए सबसे अच्छी रणनीति क्या है?</v>
      </c>
      <c r="H200" s="5" t="str">
        <f>IFERROR(__xludf.DUMMYFUNCTION("GOOGLETRANSLATE(C200, ""en"", ""hi"")"),"A)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f>
        <v>A) तीव्रता बढ़ाएँ और नॉकआउट की कोशिश करें। B) आगे की क्षति से बचने के लिए रक्षात्मक तकनीकों पर ध्यान केंद्रित करें। C) अंकों के अंतर को कम करने के लिए यथासंभव अधिक से अधिक स्ट्राइक लगाने का प्रयास करें। D) ऊर्जा बचाएँ और अंतिम घंटी का इंतज़ार करें।</v>
      </c>
      <c r="I200" s="5" t="str">
        <f>IFERROR(__xludf.DUMMYFUNCTION("GOOGLETRANSLATE(D200, ""en"", ""hi"")"),"ए) तीव्रता बढ़ाएँ और नॉकआउट के लिए जाएं।")</f>
        <v>ए) तीव्रता बढ़ाएँ और नॉकआउट के लिए जाएं।</v>
      </c>
    </row>
    <row r="201" ht="22.5" customHeight="1">
      <c r="A201" s="2">
        <v>200.0</v>
      </c>
      <c r="B201" s="3" t="s">
        <v>3373</v>
      </c>
      <c r="C201" s="3" t="s">
        <v>3374</v>
      </c>
      <c r="D201" s="3" t="s">
        <v>3358</v>
      </c>
      <c r="F201" s="5" t="str">
        <f>IFERROR(__xludf.DUMMYFUNCTION("GOOGLETRANSLATE(A201, ""en"", ""hi"")"),"200")</f>
        <v>200</v>
      </c>
      <c r="G201" s="5" t="str">
        <f>IFERROR(__xludf.DUMMYFUNCTION("GOOGLETRANSLATE(B201, ""en"", ""hi"")"),"फाइटर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f>
        <v>फाइटर A और फाइटर B बराबरी पर हैं। फाइटर A ऊँची किक से प्रभावी रहा है, लेकिन फाइटर B उन्हें भाँपकर उनका मुकाबला करने लगता है। फाइटर A को अपनी रणनीति में कैसे बदलाव करना चाहिए?</v>
      </c>
      <c r="H201" s="5" t="str">
        <f>IFERROR(__xludf.DUMMYFUNCTION("GOOGLETRANSLATE(C201, ""en"", ""hi"")"),"A) लो किक और बॉडी पंच का प्रयोग करें। B) हाई किक की गति और शक्ति बढ़ाएँ। C) काउंटर से बचने के लिए रक्षात्मक तकनीकों पर ध्यान केंद्रित करें। D) नॉकआउट वार करने का प्रयास करें।")</f>
        <v>A) लो किक और बॉडी पंच का प्रयोग करें। B) हाई किक की गति और शक्ति बढ़ाएँ। C) काउंटर से बचने के लिए रक्षात्मक तकनीकों पर ध्यान केंद्रित करें। D) नॉकआउट वार करने का प्रयास करें।</v>
      </c>
      <c r="I201" s="5" t="str">
        <f>IFERROR(__xludf.DUMMYFUNCTION("GOOGLETRANSLATE(D201, ""en"", ""hi"")"),"ए) कम किक और शरीर पर मुक्के शामिल करें।")</f>
        <v>ए) कम किक और शरीर पर मुक्के शामिल करें।</v>
      </c>
    </row>
    <row r="202" ht="22.5" customHeight="1">
      <c r="A202" s="2">
        <v>201.0</v>
      </c>
      <c r="B202" s="3" t="s">
        <v>3331</v>
      </c>
      <c r="C202" s="3" t="s">
        <v>3315</v>
      </c>
      <c r="D202" s="3" t="s">
        <v>3316</v>
      </c>
      <c r="F202" s="5" t="str">
        <f>IFERROR(__xludf.DUMMYFUNCTION("GOOGLETRANSLATE(A202, ""en"", ""hi"")"),"201")</f>
        <v>201</v>
      </c>
      <c r="G202" s="5" t="str">
        <f>IFERROR(__xludf.DUMMYFUNCTION("GOOGLETRANSLATE(B202, ""en"", ""hi"")"),"फाइटर A अंकों में आगे है, लेकिन उसकी आक्रामकता बढ़ती जा रही है। फाइटर B को इसका मुकाबला करने के लिए क्या करना चाहिए?")</f>
        <v>फाइटर A अंकों में आगे है, लेकिन उसकी आक्रामकता बढ़ती जा रही है। फाइटर B को इसका मुकाबला करने के लिए क्या करना चाहिए?</v>
      </c>
      <c r="H202" s="5" t="str">
        <f>IFERROR(__xludf.DUMMYFUNCTION("GOOGLETRANSLATE(C202, ""en"", ""hi"")"),"अ)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f>
        <v>अ) चोट से बचने के लिए रक्षात्मक तकनीकों का प्रयोग करें। ब) फाइटर अ के आक्रमण का समान बल से मुकाबला करें। स) निर्णायक पलटवार करने का प्रयास करें। द) संयम से खेलें और अंतिम घंटी बजने का इंतज़ार करें।</v>
      </c>
      <c r="I202" s="5" t="str">
        <f>IFERROR(__xludf.DUMMYFUNCTION("GOOGLETRANSLATE(D202, ""en"", ""hi"")"),"ए) चोट से बचने के लिए रक्षात्मक तकनीकों का उपयोग करें।")</f>
        <v>ए) चोट से बचने के लिए रक्षात्मक तकनीकों का उपयोग करें।</v>
      </c>
    </row>
    <row r="203" ht="22.5" customHeight="1">
      <c r="A203" s="2">
        <v>202.0</v>
      </c>
      <c r="B203" s="3" t="s">
        <v>3340</v>
      </c>
      <c r="C203" s="3" t="s">
        <v>3341</v>
      </c>
      <c r="D203" s="3" t="s">
        <v>3342</v>
      </c>
      <c r="F203" s="5" t="str">
        <f>IFERROR(__xludf.DUMMYFUNCTION("GOOGLETRANSLATE(A203, ""en"", ""hi"")"),"202")</f>
        <v>202</v>
      </c>
      <c r="G203" s="5" t="str">
        <f>IFERROR(__xludf.DUMMYFUNCTION("GOOGLETRANSLATE(B203, ""en"", ""hi"")"),"फाइटर A और फाइटर B के बीच कांटे का मुकाबला है। फाइटर B ज़्यादा फ़िंट इस्तेमाल करने लगा है। फाइटर A को अपनी रणनीति कैसे बदलनी चाहिए?")</f>
        <v>फाइटर A और फाइटर B के बीच कांटे का मुकाबला है। फाइटर B ज़्यादा फ़िंट इस्तेमाल करने लगा है। फाइटर A को अपनी रणनीति कैसे बदलनी चाहिए?</v>
      </c>
      <c r="H203" s="5" t="str">
        <f>IFERROR(__xludf.DUMMYFUNCTION("GOOGLETRANSLATE(C203, ""en"", ""hi"")"),"अ)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f>
        <v>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v>
      </c>
      <c r="I203" s="5" t="str">
        <f>IFERROR(__xludf.DUMMYFUNCTION("GOOGLETRANSLATE(D203, ""en"", ""hi"")"),"ए) रक्षात्मक तकनीकों और जवाबी हमलों पर ध्यान केंद्रित करना।")</f>
        <v>ए) रक्षात्मक तकनीकों और जवाबी हमलों पर ध्यान केंद्रित करना।</v>
      </c>
    </row>
    <row r="204" ht="22.5" customHeight="1">
      <c r="A204" s="2">
        <v>203.0</v>
      </c>
      <c r="B204" s="3" t="s">
        <v>3343</v>
      </c>
      <c r="C204" s="3" t="s">
        <v>3344</v>
      </c>
      <c r="D204" s="3" t="s">
        <v>3345</v>
      </c>
      <c r="F204" s="5" t="str">
        <f>IFERROR(__xludf.DUMMYFUNCTION("GOOGLETRANSLATE(A204, ""en"", ""hi"")"),"203")</f>
        <v>203</v>
      </c>
      <c r="G204" s="5" t="str">
        <f>IFERROR(__xludf.DUMMYFUNCTION("GOOGLETRANSLATE(B204, ""en"", ""hi"")"),"फाइटर A प्रभावी बॉडी शॉट्स का इस्तेमाल कर रहा है, लेकिन फाइटर B ज़्यादा कवर अप करने लगा है। फाइटर A को अपनी रणनीति कैसे बदलनी चाहिए?")</f>
        <v>फाइटर A प्रभावी बॉडी शॉट्स का इस्तेमाल कर रहा है, लेकिन फाइटर B ज़्यादा कवर अप करने लगा है। फाइटर A को अपनी रणनीति कैसे बदलनी चाहिए?</v>
      </c>
      <c r="H204" s="5" t="str">
        <f>IFERROR(__xludf.DUMMYFUNCTION("GOOGLETRANSLATE(C204, ""en"", ""hi"")"),"A)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f>
        <v>A) हेड शॉट्स और कॉम्बिनेशन को शामिल करें। B) फाइटर B को थका देने के लिए बॉडी शॉट्स जारी रखें। C) बॉडी शॉट्स की ताकत बढ़ाएँ। D) काउंटर्स से बचने के लिए रक्षात्मक रणनीति पर ध्यान केंद्रित करें।</v>
      </c>
      <c r="I204" s="5" t="str">
        <f>IFERROR(__xludf.DUMMYFUNCTION("GOOGLETRANSLATE(D204, ""en"", ""hi"")"),"ए) हेड शॉट्स और संयोजनों को शामिल करें।")</f>
        <v>ए) हेड शॉट्स और संयोजनों को शामिल करें।</v>
      </c>
    </row>
    <row r="205" ht="22.5" customHeight="1">
      <c r="A205" s="2">
        <v>204.0</v>
      </c>
      <c r="B205" s="3" t="s">
        <v>3346</v>
      </c>
      <c r="C205" s="3" t="s">
        <v>3347</v>
      </c>
      <c r="D205" s="3" t="s">
        <v>3348</v>
      </c>
      <c r="F205" s="5" t="str">
        <f>IFERROR(__xludf.DUMMYFUNCTION("GOOGLETRANSLATE(A205, ""en"", ""hi"")"),"204")</f>
        <v>204</v>
      </c>
      <c r="G205" s="5" t="str">
        <f>IFERROR(__xludf.DUMMYFUNCTION("GOOGLETRANSLATE(B205, ""en"", ""hi"")"),"फाइटर A के पास अंकों में काफ़ी बढ़त है, लेकिन फाइटर B बेहतर डिफेंस दिखा रहा है। फाइटर A को अंतिम राउंड में कैसे आगे बढ़ना चाहिए?")</f>
        <v>फाइटर A के पास अंकों में काफ़ी बढ़त है, लेकिन फाइटर B बेहतर डिफेंस दिखा रहा है। फाइटर A को अंतिम राउंड में कैसे आगे बढ़ना चाहिए?</v>
      </c>
      <c r="H205" s="5" t="str">
        <f>IFERROR(__xludf.DUMMYFUNCTION("GOOGLETRANSLATE(C205, ""en"", ""hi"")"),"क)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f>
        <v>क) रक्षात्मक रणनीति के साथ बढ़त बनाए रखने पर ध्यान केंद्रित करें। ख) नॉकआउट की कोशिश के लिए हमलों की गति बढ़ाएँ। ग) जितना हो सके उतने वार करने का प्रयास करें। घ) ऊर्जा बचाएँ और अंतिम घंटी का इंतज़ार करें।</v>
      </c>
      <c r="I205" s="5" t="str">
        <f>IFERROR(__xludf.DUMMYFUNCTION("GOOGLETRANSLATE(D205, ""en"", ""hi"")"),"ए) रक्षात्मक रणनीति के साथ बढ़त बनाए रखने पर ध्यान केंद्रित करें।")</f>
        <v>ए) रक्षात्मक रणनीति के साथ बढ़त बनाए रखने पर ध्यान केंद्रित करें।</v>
      </c>
    </row>
    <row r="206" ht="22.5" customHeight="1">
      <c r="A206" s="2">
        <v>205.0</v>
      </c>
      <c r="B206" s="3" t="s">
        <v>3376</v>
      </c>
      <c r="C206" s="3" t="s">
        <v>3377</v>
      </c>
      <c r="D206" s="3" t="s">
        <v>3378</v>
      </c>
      <c r="F206" s="5" t="str">
        <f>IFERROR(__xludf.DUMMYFUNCTION("GOOGLETRANSLATE(A206, ""en"", ""hi"")"),"205")</f>
        <v>205</v>
      </c>
      <c r="G206" s="5" t="str">
        <f>IFERROR(__xludf.DUMMYFUNCTION("GOOGLETRANSLATE(B206, ""en"", ""hi"")"),"फाइटर A और फाइटर B के अंक बराबर हैं। फाइटर A अपनी आक्रामक शैली के लिए जाना जाता है, जबकि फाइटर B अपने रक्षात्मक कौशल के लिए जाना जाता है। फाइटर A को अपनी रणनीति कैसे बदलनी चाहिए?")</f>
        <v>फाइटर A और फाइटर B के अंक बराबर हैं। फाइटर A अपनी आक्रामक शैली के लिए जाना जाता है, जबकि फाइटर B अपने रक्षात्मक कौशल के लिए जाना जाता है। फाइटर A को अपनी रणनीति कैसे बदलनी चाहिए?</v>
      </c>
      <c r="H206" s="5" t="str">
        <f>IFERROR(__xludf.DUMMYFUNCTION("GOOGLETRANSLATE(C206, ""en"", ""hi"")"),"अ) लड़ाकू बी को परास्त करने के लिए आक्रामकता बढ़ाएँ। ब) जवाबी हमलों से बचने के लिए रक्षात्मक रणनीति पर ध्यान केंद्रित करें। स) निर्णायक नॉकआउट वार करने का प्रयास करें। द) लड़ाकू बी के रक्षात्मक कौशल का समान सावधानी से मुकाबला करें।")</f>
        <v>अ) लड़ाकू बी को परास्त करने के लिए आक्रामकता बढ़ाएँ। ब) जवाबी हमलों से बचने के लिए रक्षात्मक रणनीति पर ध्यान केंद्रित करें। स) निर्णायक नॉकआउट वार करने का प्रयास करें। द) लड़ाकू बी के रक्षात्मक कौशल का समान सावधानी से मुकाबला करें।</v>
      </c>
      <c r="I206" s="5" t="str">
        <f>IFERROR(__xludf.DUMMYFUNCTION("GOOGLETRANSLATE(D206, ""en"", ""hi"")"),"ए) लड़ाकू बी को परास्त करने के लिए आक्रामकता बढ़ाएं।")</f>
        <v>ए) लड़ाकू बी को परास्त करने के लिए आक्रामकता बढ़ाएं।</v>
      </c>
    </row>
    <row r="207" ht="22.5" customHeight="1">
      <c r="A207" s="2">
        <v>206.0</v>
      </c>
      <c r="B207" s="3" t="s">
        <v>3379</v>
      </c>
      <c r="C207" s="3" t="s">
        <v>3380</v>
      </c>
      <c r="D207" s="3" t="s">
        <v>3381</v>
      </c>
      <c r="F207" s="5" t="str">
        <f>IFERROR(__xludf.DUMMYFUNCTION("GOOGLETRANSLATE(A207, ""en"", ""hi"")"),"206")</f>
        <v>206</v>
      </c>
      <c r="G207" s="5" t="str">
        <f>IFERROR(__xludf.DUMMYFUNCTION("GOOGLETRANSLATE(B207, ""en"", ""hi"")"),"फाइटर A अंकों में पीछे है और थकान के लक्षण दिखा रहा है। फाइट को पलटने के लिए फाइटर A को किस पर ध्यान केंद्रित करना चाहिए?")</f>
        <v>फाइटर A अंकों में पीछे है और थकान के लक्षण दिखा रहा है। फाइट को पलटने के लिए फाइटर A को किस पर ध्यान केंद्रित करना चाहिए?</v>
      </c>
      <c r="H207" s="5" t="str">
        <f>IFERROR(__xludf.DUMMYFUNCTION("GOOGLETRANSLATE(C207, ""en"", ""hi"")"),"A) हमलों की गति और तीव्रता बढ़ाएँ। B) आगे की क्षति से बचने के लिए रक्षात्मक तकनीकों पर ध्यान केंद्रित करें। C) ऊर्जा बचाएँ और अंतिम घंटी बजने का इंतज़ार करें। D) नॉकआउट सुनिश्चित करने के लिए जोखिम भरा कदम उठाने का प्रयास करें।")</f>
        <v>A) हमलों की गति और तीव्रता बढ़ाएँ। B) आगे की क्षति से बचने के लिए रक्षात्मक तकनीकों पर ध्यान केंद्रित करें। C) ऊर्जा बचाएँ और अंतिम घंटी बजने का इंतज़ार करें। D) नॉकआउट सुनिश्चित करने के लिए जोखिम भरा कदम उठाने का प्रयास करें।</v>
      </c>
      <c r="I207" s="5" t="str">
        <f>IFERROR(__xludf.DUMMYFUNCTION("GOOGLETRANSLATE(D207, ""en"", ""hi"")"),"क) हमलों की गति और तीव्रता बढ़ाएँ।")</f>
        <v>क) हमलों की गति और तीव्रता बढ़ाएँ।</v>
      </c>
    </row>
    <row r="208" ht="22.5" customHeight="1">
      <c r="A208" s="2">
        <v>207.0</v>
      </c>
      <c r="B208" s="3" t="s">
        <v>3382</v>
      </c>
      <c r="C208" s="3" t="s">
        <v>3383</v>
      </c>
      <c r="D208" s="3" t="s">
        <v>3384</v>
      </c>
      <c r="F208" s="5" t="str">
        <f>IFERROR(__xludf.DUMMYFUNCTION("GOOGLETRANSLATE(A208, ""en"", ""hi"")"),"207")</f>
        <v>207</v>
      </c>
      <c r="G208" s="5" t="str">
        <f>IFERROR(__xludf.DUMMYFUNCTION("GOOGLETRANSLATE(B208, ""en"", ""hi"")"),"फाइटर A और फाइटर B के बीच कांटे का मुकाबला है। फाइटर A लो किक्स में सफल रहा है, लेकिन फाइटर B उनका अनुमान लगाने लगा है। फाइटर A को कैसे तालमेल बिठाना चाहिए?")</f>
        <v>फाइटर A और फाइटर B के बीच कांटे का मुकाबला है। फाइटर A लो किक्स में सफल रहा है, लेकिन फाइटर B उनका अनुमान लगाने लगा है। फाइटर A को कैसे तालमेल बिठाना चाहिए?</v>
      </c>
      <c r="H208" s="5" t="str">
        <f>IFERROR(__xludf.DUMMYFUNCTION("GOOGLETRANSLATE(C208, ""en"", ""hi"")"),"A)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f>
        <v>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v>
      </c>
      <c r="I208" s="5" t="str">
        <f>IFERROR(__xludf.DUMMYFUNCTION("GOOGLETRANSLATE(D208, ""en"", ""hi"")"),"ए) अधिक हेड शॉट्स और संयोजनों को शामिल करें।")</f>
        <v>ए) अधिक हेड शॉट्स और संयोजनों को शामिल करें।</v>
      </c>
    </row>
    <row r="209" ht="22.5" customHeight="1">
      <c r="A209" s="2">
        <v>208.0</v>
      </c>
      <c r="B209" s="3" t="s">
        <v>3385</v>
      </c>
      <c r="C209" s="3" t="s">
        <v>3386</v>
      </c>
      <c r="D209" s="3" t="s">
        <v>3387</v>
      </c>
      <c r="F209" s="5" t="str">
        <f>IFERROR(__xludf.DUMMYFUNCTION("GOOGLETRANSLATE(A209, ""en"", ""hi"")"),"208")</f>
        <v>208</v>
      </c>
      <c r="G209" s="5" t="str">
        <f>IFERROR(__xludf.DUMMYFUNCTION("GOOGLETRANSLATE(B209, ""en"", ""hi"")"),"फ़ाइटर A काफ़ी अंतर से पीछे चल रहा है। फ़ाइटर A को वापसी के लिए आख़िरी राउंड में क्या करना चाहिए?")</f>
        <v>फ़ाइटर A काफ़ी अंतर से पीछे चल रहा है। फ़ाइटर A को वापसी के लिए आख़िरी राउंड में क्या करना चाहिए?</v>
      </c>
      <c r="H209" s="5" t="str">
        <f>IFERROR(__xludf.DUMMYFUNCTION("GOOGLETRANSLATE(C209, ""en"", ""hi"")"),"A) गति बढ़ाएँ और नॉकआउट का प्रयास करें। B) आगे की क्षति को कम करने के लिए रक्षात्मक रणनीति पर ध्यान केंद्रित करें। C) ऊर्जा बचाएँ और अंतिम घंटी बजने का इंतज़ार करें। D) फ़ाइटर B को भ्रमित करने और मौके बनाने के लिए फ़िंट का इस्तेमाल करें।")</f>
        <v>A) गति बढ़ाएँ और नॉकआउट का प्रयास करें। B) आगे की क्षति को कम करने के लिए रक्षात्मक रणनीति पर ध्यान केंद्रित करें। C) ऊर्जा बचाएँ और अंतिम घंटी बजने का इंतज़ार करें। D) फ़ाइटर B को भ्रमित करने और मौके बनाने के लिए फ़िंट का इस्तेमाल करें।</v>
      </c>
      <c r="I209" s="5" t="str">
        <f>IFERROR(__xludf.DUMMYFUNCTION("GOOGLETRANSLATE(D209, ""en"", ""hi"")"),"ए) गति बढ़ाएं और नॉकआउट का प्रयास करें।")</f>
        <v>ए) गति बढ़ाएं और नॉकआउट का प्रयास करें।</v>
      </c>
    </row>
    <row r="210" ht="22.5" customHeight="1">
      <c r="A210" s="2">
        <v>209.0</v>
      </c>
      <c r="B210" s="3" t="s">
        <v>3388</v>
      </c>
      <c r="C210" s="3" t="s">
        <v>3389</v>
      </c>
      <c r="D210" s="3" t="s">
        <v>3390</v>
      </c>
      <c r="F210" s="5" t="str">
        <f>IFERROR(__xludf.DUMMYFUNCTION("GOOGLETRANSLATE(A210, ""en"", ""hi"")"),"209")</f>
        <v>209</v>
      </c>
      <c r="G210" s="5" t="str">
        <f>IFERROR(__xludf.DUMMYFUNCTION("GOOGLETRANSLATE(B210, ""en"", ""hi"")"),"पूरे मैच में फाइटर A अपने जैब से प्रभावी रहा है। फाइटर B इस जैब का प्रभावी ढंग से मुकाबला करना शुरू कर देता है। बढ़त हासिल करने के लिए फाइटर A को क्या करना चाहिए?")</f>
        <v>पूरे मैच में फाइटर A अपने जैब से प्रभावी रहा है। फाइटर B इस जैब का प्रभावी ढंग से मुकाबला करना शुरू कर देता है। बढ़त हासिल करने के लिए फाइटर A को क्या करना चाहिए?</v>
      </c>
      <c r="H210" s="5" t="str">
        <f>IFERROR(__xludf.DUMMYFUNCTION("GOOGLETRANSLATE(C210, ""en"", ""hi"")"),"A) फाइटर B के डिफेंस को भेदने के लिए फ़िंट और कॉम्बिनेशन का इस्तेमाल करें। B) जैब की ताकत बढ़ाएँ। C) रक्षात्मक तकनीकों पर ध्यान केंद्रित करें। D) नॉकआउट सुनिश्चित करने के लिए एक शक्तिशाली पंच लगाने का प्रयास करें।")</f>
        <v>A) फाइटर B के डिफेंस को भेदने के लिए फ़िंट और कॉम्बिनेशन का इस्तेमाल करें। B) जैब की ताकत बढ़ाएँ। C) रक्षात्मक तकनीकों पर ध्यान केंद्रित करें। D) नॉकआउट सुनिश्चित करने के लिए एक शक्तिशाली पंच लगाने का प्रयास करें।</v>
      </c>
      <c r="I210" s="5" t="str">
        <f>IFERROR(__xludf.DUMMYFUNCTION("GOOGLETRANSLATE(D210, ""en"", ""hi"")"),"ए) फाइटर बी की रक्षा को तोड़ने के लिए छल और संयोजन को शामिल करें।")</f>
        <v>ए) फाइटर बी की रक्षा को तोड़ने के लिए छल और संयोजन को शामिल करें।</v>
      </c>
    </row>
    <row r="211" ht="22.5" customHeight="1">
      <c r="A211" s="2">
        <v>210.0</v>
      </c>
      <c r="B211" s="3" t="s">
        <v>3391</v>
      </c>
      <c r="C211" s="3" t="s">
        <v>3392</v>
      </c>
      <c r="D211" s="3" t="s">
        <v>3393</v>
      </c>
      <c r="F211" s="5" t="str">
        <f>IFERROR(__xludf.DUMMYFUNCTION("GOOGLETRANSLATE(A211, ""en"", ""hi"")"),"210")</f>
        <v>210</v>
      </c>
      <c r="G211" s="5" t="str">
        <f>IFERROR(__xludf.DUMMYFUNCTION("GOOGLETRANSLATE(B211, ""en"", ""hi"")"),"फाइटर A अंकों के मामले में आगे है, लेकिन फाइटर B ज़्यादा आक्रामक होता जा रहा है। फाइटर A के लिए बढ़त बनाए रखने की सबसे अच्छी रणनीति क्या है?")</f>
        <v>फाइटर A अंकों के मामले में आगे है, लेकिन फाइटर B ज़्यादा आक्रामक होता जा रहा है। फाइटर A के लिए बढ़त बनाए रखने की सबसे अच्छी रणनीति क्या है?</v>
      </c>
      <c r="H211" s="5" t="str">
        <f>IFERROR(__xludf.DUMMYFUNCTION("GOOGLETRANSLATE(C211, ""en"", ""hi"")"),"अ) रक्षात्मक तकनीकों का प्रयोग करें और बढ़त बनाए रखने पर ध्यान केंद्रित करें। ब) फाइटर बी की आक्रामकता का बराबरी से मुकाबला करें। स) नॉकआउट की कोशिश करने के लिए हमलों की गति बढ़ाएँ। द) ऊर्जा बचाएँ और अंतिम घंटी का इंतज़ार करें।")</f>
        <v>अ) रक्षात्मक तकनीकों का प्रयोग करें और बढ़त बनाए रखने पर ध्यान केंद्रित करें। ब) फाइटर बी की आक्रामकता का बराबरी से मुकाबला करें। स) नॉकआउट की कोशिश करने के लिए हमलों की गति बढ़ाएँ। द) ऊर्जा बचाएँ और अंतिम घंटी का इंतज़ार करें।</v>
      </c>
      <c r="I211" s="5" t="str">
        <f>IFERROR(__xludf.DUMMYFUNCTION("GOOGLETRANSLATE(D211, ""en"", ""hi"")"),"ए) रक्षात्मक तकनीकों का उपयोग करें और बढ़त बनाए रखने पर ध्यान केंद्रित करें।")</f>
        <v>ए) रक्षात्मक तकनीकों का उपयोग करें और बढ़त बनाए रखने पर ध्यान केंद्रित करें।</v>
      </c>
    </row>
    <row r="212" ht="22.5" customHeight="1">
      <c r="A212" s="2">
        <v>211.0</v>
      </c>
      <c r="B212" s="3" t="s">
        <v>3394</v>
      </c>
      <c r="C212" s="3" t="s">
        <v>3395</v>
      </c>
      <c r="D212" s="3" t="s">
        <v>3381</v>
      </c>
      <c r="F212" s="5" t="str">
        <f>IFERROR(__xludf.DUMMYFUNCTION("GOOGLETRANSLATE(A212, ""en"", ""hi"")"),"211")</f>
        <v>211</v>
      </c>
      <c r="G212" s="5" t="str">
        <f>IFERROR(__xludf.DUMMYFUNCTION("GOOGLETRANSLATE(B212, ""en"", ""hi"")"),"फाइटर A और फाइटर B अंतिम दौर में हैं। फाइटर B कुछ अंकों से पीछे चल रहा है, लेकिन अपनी सहनशक्ति के लिए जाना जाता है। फाइटिंग B को मुकाबले का रुख बदलने के लिए किस पर ध्यान केंद्रित करना चाहिए?")</f>
        <v>फाइटर A और फाइटर B अंतिम दौर में हैं। फाइटर B कुछ अंकों से पीछे चल रहा है, लेकिन अपनी सहनशक्ति के लिए जाना जाता है। फाइटिंग B को मुकाबले का रुख बदलने के लिए किस पर ध्यान केंद्रित करना चाहिए?</v>
      </c>
      <c r="H212" s="5" t="str">
        <f>IFERROR(__xludf.DUMMYFUNCTION("GOOGLETRANSLATE(C212, ""en"", ""hi"")"),"A) हमलों की गति और तीव्रता बढ़ाएँ।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f>
        <v>A) हमलों की गति और तीव्रता बढ़ाएँ। B) आगे की क्षति से बचने के लिए रक्षात्मक तकनीकों पर ध्यान केंद्रित करें। C) अंकों के अंतर को कम करने के लिए यथासंभव अधिक से अधिक वार करने का प्रयास करें। D) ऊर्जा बचाएँ और अंतिम घंटी बजने का इंतज़ार करें।</v>
      </c>
      <c r="I212" s="5" t="str">
        <f>IFERROR(__xludf.DUMMYFUNCTION("GOOGLETRANSLATE(D212, ""en"", ""hi"")"),"क) हमलों की गति और तीव्रता बढ़ाएँ।")</f>
        <v>क) हमलों की गति और तीव्रता बढ़ाएँ।</v>
      </c>
    </row>
    <row r="213" ht="22.5" customHeight="1">
      <c r="A213" s="2">
        <v>212.0</v>
      </c>
      <c r="B213" s="3" t="s">
        <v>3396</v>
      </c>
      <c r="C213" s="3" t="s">
        <v>3397</v>
      </c>
      <c r="D213" s="3" t="s">
        <v>3345</v>
      </c>
      <c r="F213" s="5" t="str">
        <f>IFERROR(__xludf.DUMMYFUNCTION("GOOGLETRANSLATE(A213, ""en"", ""hi"")"),"212")</f>
        <v>212</v>
      </c>
      <c r="G213" s="5" t="str">
        <f>IFERROR(__xludf.DUMMYFUNCTION("GOOGLETRANSLATE(B213, ""en"", ""hi"")"),"फाइटर A प्रभावी बॉडी शॉट लगा रहा है। फाइटर B शरीर की सुरक्षा के लिए ज़्यादा ढकने लगा है। फाइटर A को अपनी रणनीति में कैसे बदलाव करना चाहिए?")</f>
        <v>फाइटर A प्रभावी बॉडी शॉट लगा रहा है। फाइटर B शरीर की सुरक्षा के लिए ज़्यादा ढकने लगा है। फाइटर A को अपनी रणनीति में कैसे बदलाव करना चाहिए?</v>
      </c>
      <c r="H213" s="5" t="str">
        <f>IFERROR(__xludf.DUMMYFUNCTION("GOOGLETRANSLATE(C213, ""en"", ""hi"")"),"A) हेड शॉट्स और कॉम्बिनेशन को शामिल करें। B) बॉडी शॉट्स को लक्षित करना जारी रखें। C) बॉडी शॉट्स की शक्ति बढ़ाएँ। D) काउंटर से बचने के लिए रक्षात्मक तकनीकों पर ध्यान केंद्रित करें।")</f>
        <v>A) हेड शॉट्स और कॉम्बिनेशन को शामिल करें। B) बॉडी शॉट्स को लक्षित करना जारी रखें। C) बॉडी शॉट्स की शक्ति बढ़ाएँ। D) काउंटर से बचने के लिए रक्षात्मक तकनीकों पर ध्यान केंद्रित करें।</v>
      </c>
      <c r="I213" s="5" t="str">
        <f>IFERROR(__xludf.DUMMYFUNCTION("GOOGLETRANSLATE(D213, ""en"", ""hi"")"),"ए) हेड शॉट्स और संयोजनों को शामिल करें।")</f>
        <v>ए) हेड शॉट्स और संयोजनों को शामिल करें।</v>
      </c>
    </row>
    <row r="214" ht="22.5" customHeight="1">
      <c r="A214" s="2">
        <v>213.0</v>
      </c>
      <c r="B214" s="3" t="s">
        <v>3398</v>
      </c>
      <c r="C214" s="3" t="s">
        <v>3399</v>
      </c>
      <c r="D214" s="3" t="s">
        <v>3400</v>
      </c>
      <c r="F214" s="5" t="str">
        <f>IFERROR(__xludf.DUMMYFUNCTION("GOOGLETRANSLATE(A214, ""en"", ""hi"")"),"213")</f>
        <v>213</v>
      </c>
      <c r="G214" s="5" t="str">
        <f>IFERROR(__xludf.DUMMYFUNCTION("GOOGLETRANSLATE(B214, ""en"", ""hi"")"),"फाइटर A और फाइटर B बराबरी पर हैं। फाइटर A अपने तेज़ फुटवर्क के लिए जाना जाता है, लेकिन फाइटर B इन हरकतों का अंदाज़ा लगाकर उनका मुकाबला करने लगता है। फाइटर A को क्या करना चाहिए?")</f>
        <v>फाइटर A और फाइटर B बराबरी पर हैं। फाइटर A अपने तेज़ फुटवर्क के लिए जाना जाता है, लेकिन फाइटर B इन हरकतों का अंदाज़ा लगाकर उनका मुकाबला करने लगता है। फाइटर A को क्या करना चाहिए?</v>
      </c>
      <c r="H214" s="5" t="str">
        <f>IFERROR(__xludf.DUMMYFUNCTION("GOOGLETRANSLATE(C214, ""en"", ""hi"")"),"क) अप्रत्याशित चालों और छल-कपट का प्रयोग करें। ख) पैरों की गति बढ़ाएँ। ग) रक्षात्मक तकनीकों पर ध्यान केंद्रित करें। घ) नॉकआउट वार करने का प्रयास करें।")</f>
        <v>क) अप्रत्याशित चालों और छल-कपट का प्रयोग करें। ख) पैरों की गति बढ़ाएँ। ग) रक्षात्मक तकनीकों पर ध्यान केंद्रित करें। घ) नॉकआउट वार करने का प्रयास करें।</v>
      </c>
      <c r="I214" s="5" t="str">
        <f>IFERROR(__xludf.DUMMYFUNCTION("GOOGLETRANSLATE(D214, ""en"", ""hi"")"),"अ) अप्रत्याशित गतिविधियों और छल-कपट का प्रयोग करना।")</f>
        <v>अ) अप्रत्याशित गतिविधियों और छल-कपट का प्रयोग करना।</v>
      </c>
    </row>
    <row r="215" ht="22.5" customHeight="1">
      <c r="A215" s="2">
        <v>214.0</v>
      </c>
      <c r="B215" s="3" t="s">
        <v>3401</v>
      </c>
      <c r="C215" s="3" t="s">
        <v>3402</v>
      </c>
      <c r="D215" s="3" t="s">
        <v>3403</v>
      </c>
      <c r="F215" s="5" t="str">
        <f>IFERROR(__xludf.DUMMYFUNCTION("GOOGLETRANSLATE(A215, ""en"", ""hi"")"),"214")</f>
        <v>214</v>
      </c>
      <c r="G215" s="5" t="str">
        <f>IFERROR(__xludf.DUMMYFUNCTION("GOOGLETRANSLATE(B215, ""en"", ""hi"")"),"फाइटर A अपने अपरकट्स से प्रभावी है, लेकिन फाइटर B उनका मुकाबला करना शुरू कर देता है। फाइटर A को अपनी रणनीति कैसे बदलनी चाहिए?")</f>
        <v>फाइटर A अपने अपरकट्स से प्रभावी है, लेकिन फाइटर B उनका मुकाबला करना शुरू कर देता है। फाइटर A को अपनी रणनीति कैसे बदलनी चाहिए?</v>
      </c>
      <c r="H215" s="5" t="str">
        <f>IFERROR(__xludf.DUMMYFUNCTION("GOOGLETRANSLATE(C215, ""en"", ""hi"")"),"क) विभिन्न प्रकार के मुक्कों और संयोजनों को शामिल करें। ख) अपरकट्स की आवृत्ति बढ़ाएँ। ग) काउंटरों से बचने के लिए रक्षात्मक तकनीकों पर ध्यान केंद्रित करें। घ) नॉकआउट वार करने का प्रयास करें।")</f>
        <v>क) विभिन्न प्रकार के मुक्कों और संयोजनों को शामिल करें। ख) अपरकट्स की आवृत्ति बढ़ाएँ। ग) काउंटरों से बचने के लिए रक्षात्मक तकनीकों पर ध्यान केंद्रित करें। घ) नॉकआउट वार करने का प्रयास करें।</v>
      </c>
      <c r="I215" s="5" t="str">
        <f>IFERROR(__xludf.DUMMYFUNCTION("GOOGLETRANSLATE(D215, ""en"", ""hi"")"),"क) विभिन्न प्रकार के पंचों और संयोजनों को शामिल करें।")</f>
        <v>क) विभिन्न प्रकार के पंचों और संयोजनों को शामिल करें।</v>
      </c>
    </row>
    <row r="216" ht="22.5" customHeight="1">
      <c r="A216" s="2">
        <v>215.0</v>
      </c>
      <c r="B216" s="3" t="s">
        <v>3404</v>
      </c>
      <c r="C216" s="3" t="s">
        <v>3405</v>
      </c>
      <c r="D216" s="3" t="s">
        <v>3406</v>
      </c>
      <c r="F216" s="5" t="str">
        <f>IFERROR(__xludf.DUMMYFUNCTION("GOOGLETRANSLATE(A216, ""en"", ""hi"")"),"215")</f>
        <v>215</v>
      </c>
      <c r="G216" s="5" t="str">
        <f>IFERROR(__xludf.DUMMYFUNCTION("GOOGLETRANSLATE(B216, ""en"", ""hi"")"),"फ़ाइटर A अंकों में पीछे चल रहा है और थकान के लक्षण दिखा रहा है। फ़ाइटर A के लिए अंतिम राउंड में सबसे प्रभावी रणनीति क्या है?")</f>
        <v>फ़ाइटर A अंकों में पीछे चल रहा है और थकान के लक्षण दिखा रहा है। फ़ाइटर A के लिए अंतिम राउंड में सबसे प्रभावी रणनीति क्या है?</v>
      </c>
      <c r="H216" s="5" t="str">
        <f>IFERROR(__xludf.DUMMYFUNCTION("GOOGLETRANSLATE(C216, ""en"", ""hi"")"),"A)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f>
        <v>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v>
      </c>
      <c r="I216" s="5" t="str">
        <f>IFERROR(__xludf.DUMMYFUNCTION("GOOGLETRANSLATE(D216, ""en"", ""hi"")"),"ए) हमलों की गति बढ़ाएं और नॉकआउट का प्रयास करें।")</f>
        <v>ए) हमलों की गति बढ़ाएं और नॉकआउट का प्रयास करें।</v>
      </c>
    </row>
    <row r="217" ht="22.5" customHeight="1">
      <c r="A217" s="2">
        <v>216.0</v>
      </c>
      <c r="B217" s="3" t="s">
        <v>3407</v>
      </c>
      <c r="C217" s="3" t="s">
        <v>3341</v>
      </c>
      <c r="D217" s="3" t="s">
        <v>3342</v>
      </c>
      <c r="F217" s="5" t="str">
        <f>IFERROR(__xludf.DUMMYFUNCTION("GOOGLETRANSLATE(A217, ""en"", ""hi"")"),"216")</f>
        <v>216</v>
      </c>
      <c r="G217" s="5" t="str">
        <f>IFERROR(__xludf.DUMMYFUNCTION("GOOGLETRANSLATE(B217, ""en"", ""hi"")"),"फाइटर A और फाइटर B के बीच कांटे की टक्कर है। फाइटर B ज़्यादा छल और गलत दिशा दिखाने वाले हथकंडे अपनाने लगता है। फाइटर A को क्या जवाब देना चाहिए?")</f>
        <v>फाइटर A और फाइटर B के बीच कांटे की टक्कर है। फाइटर B ज़्यादा छल और गलत दिशा दिखाने वाले हथकंडे अपनाने लगता है। फाइटर A को क्या जवाब देना चाहिए?</v>
      </c>
      <c r="H217" s="5" t="str">
        <f>IFERROR(__xludf.DUMMYFUNCTION("GOOGLETRANSLATE(C217, ""en"", ""hi"")"),"अ)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f>
        <v>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v>
      </c>
      <c r="I217" s="5" t="str">
        <f>IFERROR(__xludf.DUMMYFUNCTION("GOOGLETRANSLATE(D217, ""en"", ""hi"")"),"ए) रक्षात्मक तकनीकों और जवाबी हमलों पर ध्यान केंद्रित करना।")</f>
        <v>ए) रक्षात्मक तकनीकों और जवाबी हमलों पर ध्यान केंद्रित करना।</v>
      </c>
    </row>
    <row r="218" ht="22.5" customHeight="1">
      <c r="A218" s="2">
        <v>217.0</v>
      </c>
      <c r="B218" s="3" t="s">
        <v>3408</v>
      </c>
      <c r="C218" s="3" t="s">
        <v>3409</v>
      </c>
      <c r="D218" s="3" t="s">
        <v>3326</v>
      </c>
      <c r="F218" s="5" t="str">
        <f>IFERROR(__xludf.DUMMYFUNCTION("GOOGLETRANSLATE(A218, ""en"", ""hi"")"),"217")</f>
        <v>217</v>
      </c>
      <c r="G218" s="5" t="str">
        <f>IFERROR(__xludf.DUMMYFUNCTION("GOOGLETRANSLATE(B218, ""en"", ""hi"")"),"फाइटर A और फाइटर B बराबरी पर हैं, दोनों में थकान के लक्षण दिखाई दे रहे हैं। जीत सुनिश्चित करने के लिए फाइटर A को किस पर ध्यान केंद्रित करना चाहिए?")</f>
        <v>फाइटर A और फाइटर B बराबरी पर हैं, दोनों में थकान के लक्षण दिखाई दे रहे हैं। जीत सुनिश्चित करने के लिए फाइटर A को किस पर ध्यान केंद्रित करना चाहिए?</v>
      </c>
      <c r="H218" s="5" t="str">
        <f>IFERROR(__xludf.DUMMYFUNCTION("GOOGLETRANSLATE(C218, ""en"", ""hi"")"),"A) शेष ऊर्जा का उपयोग हमलों की गति बढ़ाने के लिए करें। B) चोट से बचने के लिए रक्षात्मक तकनीकों पर ध्यान केंद्रित करें। C) अंकों के अंतर को कम करने के लिए यथासंभव अधिक से अधिक प्रहार करने का प्रयास करें। D) ऊर्जा बचाएँ और अंतिम घंटी बजने का इंतज़ार करें।")</f>
        <v>A) शेष ऊर्जा का उपयोग हमलों की गति बढ़ाने के लिए करें। B) चोट से बचने के लिए रक्षात्मक तकनीकों पर ध्यान केंद्रित करें। C) अंकों के अंतर को कम करने के लिए यथासंभव अधिक से अधिक प्रहार करने का प्रयास करें। D) ऊर्जा बचाएँ और अंतिम घंटी बजने का इंतज़ार करें।</v>
      </c>
      <c r="I218" s="5" t="str">
        <f>IFERROR(__xludf.DUMMYFUNCTION("GOOGLETRANSLATE(D218, ""en"", ""hi"")"),"ए) शेष ऊर्जा का उपयोग हमलों की गति बढ़ाने के लिए करें।")</f>
        <v>ए) शेष ऊर्जा का उपयोग हमलों की गति बढ़ाने के लिए करें।</v>
      </c>
    </row>
    <row r="219" ht="22.5" customHeight="1">
      <c r="A219" s="2">
        <v>218.0</v>
      </c>
      <c r="B219" s="3" t="s">
        <v>3410</v>
      </c>
      <c r="C219" s="3" t="s">
        <v>3411</v>
      </c>
      <c r="D219" s="3" t="s">
        <v>3412</v>
      </c>
      <c r="F219" s="5" t="str">
        <f>IFERROR(__xludf.DUMMYFUNCTION("GOOGLETRANSLATE(A219, ""en"", ""hi"")"),"218")</f>
        <v>218</v>
      </c>
      <c r="G219" s="5" t="str">
        <f>IFERROR(__xludf.DUMMYFUNCTION("GOOGLETRANSLATE(B219, ""en"", ""hi"")"),"फाइटर A अपनी किक्स से प्रभावी है, लेकिन फाइटर B उन्हें भांपकर उनका मुकाबला करने लगता है। फाइटर A को फिर से बढ़त हासिल करने के लिए क्या करना चाहिए?")</f>
        <v>फाइटर A अपनी किक्स से प्रभावी है, लेकिन फाइटर B उन्हें भांपकर उनका मुकाबला करने लगता है। फाइटर A को फिर से बढ़त हासिल करने के लिए क्या करना चाहिए?</v>
      </c>
      <c r="H219" s="5" t="str">
        <f>IFERROR(__xludf.DUMMYFUNCTION("GOOGLETRANSLATE(C219, ""en"", ""hi"")"),"क) अधिक मुक्के और संयोजन शामिल करें। ख) किक की गति और शक्ति बढ़ाएँ। ग) जवाबी हमलों से बचने के लिए रक्षात्मक तकनीकों पर ध्यान केंद्रित करें। घ) शक्तिशाली प्रहार करने का प्रयास करें।")</f>
        <v>क) अधिक मुक्के और संयोजन शामिल करें। ख) किक की गति और शक्ति बढ़ाएँ। ग) जवाबी हमलों से बचने के लिए रक्षात्मक तकनीकों पर ध्यान केंद्रित करें। घ) शक्तिशाली प्रहार करने का प्रयास करें।</v>
      </c>
      <c r="I219" s="5" t="str">
        <f>IFERROR(__xludf.DUMMYFUNCTION("GOOGLETRANSLATE(D219, ""en"", ""hi"")"),"ए) अधिक पंच और संयोजन शामिल करें।")</f>
        <v>ए) अधिक पंच और संयोजन शामिल करें।</v>
      </c>
    </row>
    <row r="220" ht="22.5" customHeight="1">
      <c r="A220" s="2">
        <v>219.0</v>
      </c>
      <c r="B220" s="3" t="s">
        <v>3413</v>
      </c>
      <c r="C220" s="3" t="s">
        <v>3414</v>
      </c>
      <c r="D220" s="3" t="s">
        <v>3415</v>
      </c>
      <c r="F220" s="5" t="str">
        <f>IFERROR(__xludf.DUMMYFUNCTION("GOOGLETRANSLATE(A220, ""en"", ""hi"")"),"219")</f>
        <v>219</v>
      </c>
      <c r="G220" s="5" t="str">
        <f>IFERROR(__xludf.DUMMYFUNCTION("GOOGLETRANSLATE(B220, ""en"", ""hi"")"),"फाइटर A और फाइटर B के बीच कड़ा मुकाबला चल रहा है। फाइटर B ज़्यादा रक्षात्मक तकनीकें अपनाने लगा है। फाइटर A को अपनी रणनीति में कैसे बदलाव करना चाहिए?")</f>
        <v>फाइटर A और फाइटर B के बीच कड़ा मुकाबला चल रहा है। फाइटर B ज़्यादा रक्षात्मक तकनीकें अपनाने लगा है। फाइटर A को अपनी रणनीति में कैसे बदलाव करना चाहिए?</v>
      </c>
      <c r="H220" s="5" t="str">
        <f>IFERROR(__xludf.DUMMYFUNCTION("GOOGLETRANSLATE(C220, ""en"", ""hi"")"),"A) गति बढ़ाएँ और ज़्यादा वार करने की कोशिश करें। B) चोट से बचने के लिए रक्षात्मक तकनीकों पर ध्यान केंद्रित करें। C) नॉकआउट वार करने की कोशिश करें। D) मौके बनाने के लिए छल-कपट का इस्तेमाल करें।")</f>
        <v>A) गति बढ़ाएँ और ज़्यादा वार करने की कोशिश करें। B) चोट से बचने के लिए रक्षात्मक तकनीकों पर ध्यान केंद्रित करें। C) नॉकआउट वार करने की कोशिश करें। D) मौके बनाने के लिए छल-कपट का इस्तेमाल करें।</v>
      </c>
      <c r="I220" s="5" t="str">
        <f>IFERROR(__xludf.DUMMYFUNCTION("GOOGLETRANSLATE(D220, ""en"", ""hi"")"),"A) गति बढ़ाएं और अधिक प्रहार करने का प्रयास करें।")</f>
        <v>A) गति बढ़ाएं और अधिक प्रहार करने का प्रयास करें।</v>
      </c>
    </row>
    <row r="221" ht="22.5" customHeight="1">
      <c r="A221" s="2">
        <v>220.0</v>
      </c>
      <c r="B221" s="3" t="s">
        <v>3416</v>
      </c>
      <c r="C221" s="3" t="s">
        <v>3417</v>
      </c>
      <c r="D221" s="3" t="s">
        <v>3326</v>
      </c>
      <c r="F221" s="5" t="str">
        <f>IFERROR(__xludf.DUMMYFUNCTION("GOOGLETRANSLATE(A221, ""en"", ""hi"")"),"220")</f>
        <v>220</v>
      </c>
      <c r="G221" s="5" t="str">
        <f>IFERROR(__xludf.DUMMYFUNCTION("GOOGLETRANSLATE(B221, ""en"", ""hi"")"),"फ़ाइटर A अंकों के मामले में पीछे चल रहा है, लेकिन मज़बूत प्रदर्शन के लिए जाना जाता है। फ़ाइटर A को अंतिम राउंड में किस पर ध्यान केंद्रित करना चाहिए?")</f>
        <v>फ़ाइटर A अंकों के मामले में पीछे चल रहा है, लेकिन मज़बूत प्रदर्शन के लिए जाना जाता है। फ़ाइटर A को अंतिम राउंड में किस पर ध्यान केंद्रित करना चाहिए?</v>
      </c>
      <c r="H221" s="5" t="str">
        <f>IFERROR(__xludf.DUMMYFUNCTION("GOOGLETRANSLATE(C221, ""en"", ""hi"")"),"A) शेष ऊर्जा का उपयोग हमलों की गति बढ़ाने के लिए करें। B) चोट से बचने के लिए रक्षात्मक रणनीति पर ध्यान केंद्रित करें। C) निर्णायक नॉकआउट प्रहार करने का प्रयास करें। D) ऊर्जा बचाएँ और अंतिम घंटी बजने का इंतज़ार करें।")</f>
        <v>A) शेष ऊर्जा का उपयोग हमलों की गति बढ़ाने के लिए करें। B) चोट से बचने के लिए रक्षात्मक रणनीति पर ध्यान केंद्रित करें। C) निर्णायक नॉकआउट प्रहार करने का प्रयास करें। D) ऊर्जा बचाएँ और अंतिम घंटी बजने का इंतज़ार करें।</v>
      </c>
      <c r="I221" s="5" t="str">
        <f>IFERROR(__xludf.DUMMYFUNCTION("GOOGLETRANSLATE(D221, ""en"", ""hi"")"),"ए) शेष ऊर्जा का उपयोग हमलों की गति बढ़ाने के लिए करें।")</f>
        <v>ए) शेष ऊर्जा का उपयोग हमलों की गति बढ़ाने के लिए करें।</v>
      </c>
    </row>
    <row r="222" ht="22.5" customHeight="1">
      <c r="A222" s="2">
        <v>221.0</v>
      </c>
      <c r="B222" s="3" t="s">
        <v>3418</v>
      </c>
      <c r="C222" s="3" t="s">
        <v>3419</v>
      </c>
      <c r="D222" s="3" t="s">
        <v>3390</v>
      </c>
      <c r="F222" s="5" t="str">
        <f>IFERROR(__xludf.DUMMYFUNCTION("GOOGLETRANSLATE(A222, ""en"", ""hi"")"),"221")</f>
        <v>221</v>
      </c>
      <c r="G222" s="5" t="str">
        <f>IFERROR(__xludf.DUMMYFUNCTION("GOOGLETRANSLATE(B222, ""en"", ""hi"")"),"फाइटर A और फाइटर B बराबरी पर हैं। फाइटर A अपने जैब से प्रभावी है, लेकिन फाइटर B उनका मुकाबला करना शुरू कर देता है। फाइटर A को क्या करना चाहिए?")</f>
        <v>फाइटर A और फाइटर B बराबरी पर हैं। फाइटर A अपने जैब से प्रभावी है, लेकिन फाइटर B उनका मुकाबला करना शुरू कर देता है। फाइटर A को क्या करना चाहिए?</v>
      </c>
      <c r="H222" s="5" t="str">
        <f>IFERROR(__xludf.DUMMYFUNCTION("GOOGLETRANSLATE(C222, ""en"", ""hi"")"),"A)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f>
        <v>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v>
      </c>
      <c r="I222" s="5" t="str">
        <f>IFERROR(__xludf.DUMMYFUNCTION("GOOGLETRANSLATE(D222, ""en"", ""hi"")"),"ए) फाइटर बी की रक्षा को तोड़ने के लिए छल और संयोजन को शामिल करें।")</f>
        <v>ए) फाइटर बी की रक्षा को तोड़ने के लिए छल और संयोजन को शामिल करें।</v>
      </c>
    </row>
    <row r="223" ht="22.5" customHeight="1">
      <c r="A223" s="2">
        <v>222.0</v>
      </c>
      <c r="B223" s="3" t="s">
        <v>3420</v>
      </c>
      <c r="C223" s="3" t="s">
        <v>3421</v>
      </c>
      <c r="D223" s="3" t="s">
        <v>3334</v>
      </c>
      <c r="F223" s="5" t="str">
        <f>IFERROR(__xludf.DUMMYFUNCTION("GOOGLETRANSLATE(A223, ""en"", ""hi"")"),"222")</f>
        <v>222</v>
      </c>
      <c r="G223" s="5" t="str">
        <f>IFERROR(__xludf.DUMMYFUNCTION("GOOGLETRANSLATE(B223, ""en"", ""hi"")"),"फाइटर A अपनी ऊँची किक के लिए जाना जाता है, लेकिन फाइटर B इन किक का अनुमान लगाकर उनका मुकाबला करना शुरू कर देता है। फाइटर A को अपनी रणनीति में कैसे बदलाव करना चाहिए?")</f>
        <v>फाइटर A अपनी ऊँची किक के लिए जाना जाता है, लेकिन फाइटर B इन किक का अनुमान लगाकर उनका मुकाबला करना शुरू कर देता है। फाइटर A को अपनी रणनीति में कैसे बदलाव करना चाहिए?</v>
      </c>
      <c r="H223" s="5" t="str">
        <f>IFERROR(__xludf.DUMMYFUNCTION("GOOGLETRANSLATE(C223, ""en"", ""hi"")"),"A) लो किक्स और बॉडी पंच का मिश्रण करें। B) हाई किक्स की गति और शक्ति बढ़ाएँ। C) काउंटर से बचने के लिए रक्षात्मक तकनीकों पर ध्यान केंद्रित करें। D) नॉकआउट वार करने का प्रयास करें।")</f>
        <v>A) लो किक्स और बॉडी पंच का मिश्रण करें। B) हाई किक्स की गति और शक्ति बढ़ाएँ। C) काउंटर से बचने के लिए रक्षात्मक तकनीकों पर ध्यान केंद्रित करें। D) नॉकआउट वार करने का प्रयास करें।</v>
      </c>
      <c r="I223" s="5" t="str">
        <f>IFERROR(__xludf.DUMMYFUNCTION("GOOGLETRANSLATE(D223, ""en"", ""hi"")"),"ए) लो किक्स और बॉडी पंचेज का मिश्रण करें।")</f>
        <v>ए) लो किक्स और बॉडी पंचेज का मिश्रण करें।</v>
      </c>
    </row>
    <row r="224" ht="22.5" customHeight="1">
      <c r="A224" s="2">
        <v>223.0</v>
      </c>
      <c r="B224" s="3" t="s">
        <v>3422</v>
      </c>
      <c r="C224" s="3" t="s">
        <v>3423</v>
      </c>
      <c r="D224" s="3" t="s">
        <v>3424</v>
      </c>
      <c r="F224" s="5" t="str">
        <f>IFERROR(__xludf.DUMMYFUNCTION("GOOGLETRANSLATE(A224, ""en"", ""hi"")"),"223")</f>
        <v>223</v>
      </c>
      <c r="G224" s="5" t="str">
        <f>IFERROR(__xludf.DUMMYFUNCTION("GOOGLETRANSLATE(B224, ""en"", ""hi"")"),"फाइटर A और फाइटर B के बीच कांटे की टक्कर है। फाइटर A अपनी सहनशक्ति के लिए जाना जाता है, लेकिन फाइटर B ज़्यादा आक्रामक रणनीति अपनाने लगता है। फाइटर A को क्या जवाब देना चाहिए?")</f>
        <v>फाइटर A और फाइटर B के बीच कांटे की टक्कर है। फाइटर A अपनी सहनशक्ति के लिए जाना जाता है, लेकिन फाइटर B ज़्यादा आक्रामक रणनीति अपनाने लगता है। फाइटर A को क्या जवाब देना चाहिए?</v>
      </c>
      <c r="H224" s="5" t="str">
        <f>IFERROR(__xludf.DUMMYFUNCTION("GOOGLETRANSLATE(C224, ""en"", ""hi"")"),"A)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f>
        <v>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v>
      </c>
      <c r="I224" s="5" t="str">
        <f>IFERROR(__xludf.DUMMYFUNCTION("GOOGLETRANSLATE(D224, ""en"", ""hi"")"),"ए) फाइटर बी की आक्रामकता से बचने के लिए धीरज का प्रयोग करें।")</f>
        <v>ए) फाइटर बी की आक्रामकता से बचने के लिए धीरज का प्रयोग करें।</v>
      </c>
    </row>
    <row r="225" ht="22.5" customHeight="1">
      <c r="A225" s="2">
        <v>224.0</v>
      </c>
      <c r="B225" s="3" t="s">
        <v>3425</v>
      </c>
      <c r="C225" s="3" t="s">
        <v>3426</v>
      </c>
      <c r="D225" s="3" t="s">
        <v>3427</v>
      </c>
      <c r="F225" s="5" t="str">
        <f>IFERROR(__xludf.DUMMYFUNCTION("GOOGLETRANSLATE(A225, ""en"", ""hi"")"),"224")</f>
        <v>224</v>
      </c>
      <c r="G225" s="5" t="str">
        <f>IFERROR(__xludf.DUMMYFUNCTION("GOOGLETRANSLATE(B225, ""en"", ""hi"")"),"फ़ाइटर A अंकों में पीछे चल रहा है, लेकिन अपनी तकनीकी कुशलता के लिए जाना जाता है। फ़ाइटर A को अंतिम राउंड में किस पर ध्यान केंद्रित करना चाहिए?")</f>
        <v>फ़ाइटर A अंकों में पीछे चल रहा है, लेकिन अपनी तकनीकी कुशलता के लिए जाना जाता है। फ़ाइटर A को अंतिम राउंड में किस पर ध्यान केंद्रित करना चाहिए?</v>
      </c>
      <c r="H225" s="5" t="str">
        <f>IFERROR(__xludf.DUMMYFUNCTION("GOOGLETRANSLATE(C225, ""en"", ""hi"")"),"क) सटीक प्रहार और संयोजन करने के लिए तकनीकी कौशल का उपयोग करें। ख) आगे की क्षति से बचने के लिए रक्षात्मक तकनीकों पर ध्यान केंद्रित करें। ग) एक शक्तिशाली नॉकआउट प्रहार करने का प्रयास करें। घ) ऊर्जा बचाएँ और अंतिम घंटी की प्रतीक्षा करें।")</f>
        <v>क) सटीक प्रहार और संयोजन करने के लिए तकनीकी कौशल का उपयोग करें। ख) आगे की क्षति से बचने के लिए रक्षात्मक तकनीकों पर ध्यान केंद्रित करें। ग) एक शक्तिशाली नॉकआउट प्रहार करने का प्रयास करें। घ) ऊर्जा बचाएँ और अंतिम घंटी की प्रतीक्षा करें।</v>
      </c>
      <c r="I225" s="5" t="str">
        <f>IFERROR(__xludf.DUMMYFUNCTION("GOOGLETRANSLATE(D225, ""en"", ""hi"")"),"क) सटीक प्रहार और संयोजन करने के लिए तकनीकी कौशल का उपयोग करें।")</f>
        <v>क) सटीक प्रहार और संयोजन करने के लिए तकनीकी कौशल का उपयोग करें।</v>
      </c>
    </row>
    <row r="226" ht="22.5" customHeight="1">
      <c r="A226" s="2">
        <v>225.0</v>
      </c>
      <c r="B226" s="3" t="s">
        <v>3428</v>
      </c>
      <c r="C226" s="3" t="s">
        <v>3429</v>
      </c>
      <c r="D226" s="3" t="s">
        <v>3345</v>
      </c>
      <c r="F226" s="5" t="str">
        <f>IFERROR(__xludf.DUMMYFUNCTION("GOOGLETRANSLATE(A226, ""en"", ""hi"")"),"225")</f>
        <v>225</v>
      </c>
      <c r="G226" s="5" t="str">
        <f>IFERROR(__xludf.DUMMYFUNCTION("GOOGLETRANSLATE(B226, ""en"", ""hi"")"),"फाइटर A और फाइटर B बराबरी पर हैं। फाइटर A बॉडी पंच में कामयाब रहा है, लेकिन फाइटर B ने उसे कवर अप करना शुरू कर दिया है। फाइटर A को कैसे एडजस्ट करना चाहिए?")</f>
        <v>फाइटर A और फाइटर B बराबरी पर हैं। फाइटर A बॉडी पंच में कामयाब रहा है, लेकिन फाइटर B ने उसे कवर अप करना शुरू कर दिया है। फाइटर A को कैसे एडजस्ट करना चाहिए?</v>
      </c>
      <c r="H226" s="5" t="str">
        <f>IFERROR(__xludf.DUMMYFUNCTION("GOOGLETRANSLATE(C226, ""en"", ""hi"")"),"A) हेड शॉट्स और कॉम्बिनेशन्स को शामिल करें। B) बॉडी पंच की आवृत्ति बढ़ाएँ। C) काउंटर्स से बचने के लिए रक्षात्मक तकनीकों पर ध्यान केंद्रित करें। D) नॉकआउट वार करने का प्रयास करें।")</f>
        <v>A) हेड शॉट्स और कॉम्बिनेशन्स को शामिल करें। B) बॉडी पंच की आवृत्ति बढ़ाएँ। C) काउंटर्स से बचने के लिए रक्षात्मक तकनीकों पर ध्यान केंद्रित करें। D) नॉकआउट वार करने का प्रयास करें।</v>
      </c>
      <c r="I226" s="5" t="str">
        <f>IFERROR(__xludf.DUMMYFUNCTION("GOOGLETRANSLATE(D226, ""en"", ""hi"")"),"ए) हेड शॉट्स और संयोजनों को शामिल करें।")</f>
        <v>ए) हेड शॉट्स और संयोजनों को शामिल करें।</v>
      </c>
    </row>
    <row r="227" ht="22.5" customHeight="1">
      <c r="A227" s="2">
        <v>226.0</v>
      </c>
      <c r="B227" s="3" t="s">
        <v>3430</v>
      </c>
      <c r="C227" s="3" t="s">
        <v>3431</v>
      </c>
      <c r="D227" s="3" t="s">
        <v>3432</v>
      </c>
      <c r="F227" s="5" t="str">
        <f>IFERROR(__xludf.DUMMYFUNCTION("GOOGLETRANSLATE(A227, ""en"", ""hi"")"),"226")</f>
        <v>226</v>
      </c>
      <c r="G227" s="5" t="str">
        <f>IFERROR(__xludf.DUMMYFUNCTION("GOOGLETRANSLATE(B227, ""en"", ""hi"")"),"फाइटर A अपने शक्तिशाली मुक्कों के लिए जाना जाता है, लेकिन फाइटर B उनसे बचने के लिए रक्षात्मक तकनीकें इस्तेमाल करने लगता है। इससे निपटने के लिए फाइटर A को क्या करना चाहिए?")</f>
        <v>फाइटर A अपने शक्तिशाली मुक्कों के लिए जाना जाता है, लेकिन फाइटर B उनसे बचने के लिए रक्षात्मक तकनीकें इस्तेमाल करने लगता है। इससे निपटने के लिए फाइटर A को क्या करना चाहिए?</v>
      </c>
      <c r="H227" s="5" t="str">
        <f>IFERROR(__xludf.DUMMYFUNCTION("GOOGLETRANSLATE(C227, ""en"", ""hi"")"),"A) फाइटर B के डिफेंस को भेदने के लिए फ़िंट और कॉम्बिनेशन का इस्तेमाल करें। B) मुक्कों की ताकत बढ़ाएँ। C) काउंटर से बचने के लिए रक्षात्मक तकनीकों पर ध्यान केंद्रित करें। D) नॉकआउट वार करने की कोशिश करें।")</f>
        <v>A) फाइटर B के डिफेंस को भेदने के लिए फ़िंट और कॉम्बिनेशन का इस्तेमाल करें। B) मुक्कों की ताकत बढ़ाएँ। C) काउंटर से बचने के लिए रक्षात्मक तकनीकों पर ध्यान केंद्रित करें। D) नॉकआउट वार करने की कोशिश करें।</v>
      </c>
      <c r="I227" s="5" t="str">
        <f>IFERROR(__xludf.DUMMYFUNCTION("GOOGLETRANSLATE(D227, ""en"", ""hi"")"),"ए) फाइटर बी की रक्षा को तोड़ने के लिए छल और संयोजनों का प्रयोग करें।")</f>
        <v>ए) फाइटर बी की रक्षा को तोड़ने के लिए छल और संयोजनों का प्रयोग करें।</v>
      </c>
    </row>
    <row r="228" ht="22.5" customHeight="1">
      <c r="A228" s="2">
        <v>227.0</v>
      </c>
      <c r="B228" s="3" t="s">
        <v>3433</v>
      </c>
      <c r="C228" s="3" t="s">
        <v>3434</v>
      </c>
      <c r="D228" s="3" t="s">
        <v>3326</v>
      </c>
      <c r="F228" s="5" t="str">
        <f>IFERROR(__xludf.DUMMYFUNCTION("GOOGLETRANSLATE(A228, ""en"", ""hi"")"),"227")</f>
        <v>227</v>
      </c>
      <c r="G228" s="5" t="str">
        <f>IFERROR(__xludf.DUMMYFUNCTION("GOOGLETRANSLATE(B228, ""en"", ""hi"")"),"फ़ाइटर A अंकों के मामले में पीछे चल रहा है, लेकिन मज़बूत फ़िनिश के लिए जाना जाता है। फ़ाइनल राउंड में फ़ाइटर A के लिए सबसे प्रभावी रणनीति क्या है?")</f>
        <v>फ़ाइटर A अंकों के मामले में पीछे चल रहा है, लेकिन मज़बूत फ़िनिश के लिए जाना जाता है। फ़ाइनल राउंड में फ़ाइटर A के लिए सबसे प्रभावी रणनीति क्या है?</v>
      </c>
      <c r="H228" s="5" t="str">
        <f>IFERROR(__xludf.DUMMYFUNCTION("GOOGLETRANSLATE(C228, ""en"", ""hi"")"),"A) शेष ऊर्जा का उपयोग हमलों की गति बढ़ाने के लिए करें। B) चोट से बचने के लिए रक्षात्मक तकनीकों पर ध्यान केंद्रित करें। C) निर्णायक नॉकआउट प्रहार करने का प्रयास करें। D) ऊर्जा बचाएँ और अंतिम घंटी बजने का इंतज़ार करें।")</f>
        <v>A) शेष ऊर्जा का उपयोग हमलों की गति बढ़ाने के लिए करें। B) चोट से बचने के लिए रक्षात्मक तकनीकों पर ध्यान केंद्रित करें। C) निर्णायक नॉकआउट प्रहार करने का प्रयास करें। D) ऊर्जा बचाएँ और अंतिम घंटी बजने का इंतज़ार करें।</v>
      </c>
      <c r="I228" s="5" t="str">
        <f>IFERROR(__xludf.DUMMYFUNCTION("GOOGLETRANSLATE(D228, ""en"", ""hi"")"),"ए) शेष ऊर्जा का उपयोग हमलों की गति बढ़ाने के लिए करें।")</f>
        <v>ए) शेष ऊर्जा का उपयोग हमलों की गति बढ़ाने के लिए करें।</v>
      </c>
    </row>
    <row r="229" ht="22.5" customHeight="1">
      <c r="A229" s="2">
        <v>228.0</v>
      </c>
      <c r="B229" s="3" t="s">
        <v>3435</v>
      </c>
      <c r="C229" s="3" t="s">
        <v>3436</v>
      </c>
      <c r="D229" s="3" t="s">
        <v>3437</v>
      </c>
      <c r="F229" s="5" t="str">
        <f>IFERROR(__xludf.DUMMYFUNCTION("GOOGLETRANSLATE(A229, ""en"", ""hi"")"),"228")</f>
        <v>228</v>
      </c>
      <c r="G229" s="5" t="str">
        <f>IFERROR(__xludf.DUMMYFUNCTION("GOOGLETRANSLATE(B229, ""en"", ""hi"")"),"फाइटर A अपनी गति के लिए जाना जाता है, लेकिन फाइटर B दूरी कम करने के लिए ज़्यादा आक्रामक रणनीति अपनाने लगता है। फाइटर A को अपनी रणनीति में कैसे बदलाव करना चाहिए?")</f>
        <v>फाइटर A अपनी गति के लिए जाना जाता है, लेकिन फाइटर B दूरी कम करने के लिए ज़्यादा आक्रामक रणनीति अपनाने लगता है। फाइटर A को अपनी रणनीति में कैसे बदलाव करना चाहिए?</v>
      </c>
      <c r="H229" s="5" t="str">
        <f>IFERROR(__xludf.DUMMYFUNCTION("GOOGLETRANSLATE(C229, ""en"", ""hi"")"),"A) दूरी बनाए रखने के लिए चाल और छल-कपट का प्रयोग करें। B) फाइटर B की आक्रामकता का बराबरी से मुकाबला करें। C) नुकसान से बचने के लिए रक्षात्मक तकनीकों पर ध्यान केंद्रित करें। D) नॉकआउट वार करने का प्रयास करें।")</f>
        <v>A) दूरी बनाए रखने के लिए चाल और छल-कपट का प्रयोग करें। B) फाइटर B की आक्रामकता का बराबरी से मुकाबला करें। C) नुकसान से बचने के लिए रक्षात्मक तकनीकों पर ध्यान केंद्रित करें। D) नॉकआउट वार करने का प्रयास करें।</v>
      </c>
      <c r="I229" s="5" t="str">
        <f>IFERROR(__xludf.DUMMYFUNCTION("GOOGLETRANSLATE(D229, ""en"", ""hi"")"),"ए) दूरी बनाए रखने के लिए चाल और छल का प्रयोग करें।")</f>
        <v>ए) दूरी बनाए रखने के लिए चाल और छल का प्रयोग करें।</v>
      </c>
    </row>
    <row r="230" ht="22.5" customHeight="1">
      <c r="A230" s="2">
        <v>229.0</v>
      </c>
      <c r="B230" s="3" t="s">
        <v>3438</v>
      </c>
      <c r="C230" s="3" t="s">
        <v>3439</v>
      </c>
      <c r="D230" s="3" t="s">
        <v>3393</v>
      </c>
      <c r="F230" s="5" t="str">
        <f>IFERROR(__xludf.DUMMYFUNCTION("GOOGLETRANSLATE(A230, ""en"", ""hi"")"),"229")</f>
        <v>229</v>
      </c>
      <c r="G230" s="5" t="str">
        <f>IFERROR(__xludf.DUMMYFUNCTION("GOOGLETRANSLATE(B230, ""en"", ""hi"")"),"फाइटर A अंकों के मामले में आगे है, लेकिन फाइटर B ज़्यादा आक्रामक होता जा रहा है। फाइटर A को अपनी रणनीति कैसे बदलनी चाहिए?")</f>
        <v>फाइटर A अंकों के मामले में आगे है, लेकिन फाइटर B ज़्यादा आक्रामक होता जा रहा है। फाइटर A को अपनी रणनीति कैसे बदलनी चाहिए?</v>
      </c>
      <c r="H230" s="5" t="str">
        <f>IFERROR(__xludf.DUMMYFUNCTION("GOOGLETRANSLATE(C230, ""en"", ""hi"")"),"क)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f>
        <v>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v>
      </c>
      <c r="I230" s="5" t="str">
        <f>IFERROR(__xludf.DUMMYFUNCTION("GOOGLETRANSLATE(D230, ""en"", ""hi"")"),"ए) रक्षात्मक तकनीकों का उपयोग करें और बढ़त बनाए रखने पर ध्यान केंद्रित करें।")</f>
        <v>ए) रक्षात्मक तकनीकों का उपयोग करें और बढ़त बनाए रखने पर ध्यान केंद्रित करें।</v>
      </c>
    </row>
    <row r="231" ht="22.5" customHeight="1">
      <c r="A231" s="2">
        <v>230.0</v>
      </c>
      <c r="B231" s="3" t="s">
        <v>3440</v>
      </c>
      <c r="C231" s="3" t="s">
        <v>3441</v>
      </c>
      <c r="D231" s="3" t="s">
        <v>3442</v>
      </c>
      <c r="F231" s="5" t="str">
        <f>IFERROR(__xludf.DUMMYFUNCTION("GOOGLETRANSLATE(A231, ""en"", ""hi"")"),"230")</f>
        <v>230</v>
      </c>
      <c r="G231" s="5" t="str">
        <f>IFERROR(__xludf.DUMMYFUNCTION("GOOGLETRANSLATE(B231, ""en"", ""hi"")"),"फाइटर A और फाइटर B बराबरी पर हैं, और फाइटर B ज़्यादा जवाबी हमले करने लगा है। बढ़त हासिल करने के लिए फाइटर A को किस पर ध्यान केंद्रित करना चाहिए?")</f>
        <v>फाइटर A और फाइटर B बराबरी पर हैं, और फाइटर B ज़्यादा जवाबी हमले करने लगा है। बढ़त हासिल करने के लिए फाइटर A को किस पर ध्यान केंद्रित करना चाहिए?</v>
      </c>
      <c r="H231" s="5" t="str">
        <f>IFERROR(__xludf.DUMMYFUNCTION("GOOGLETRANSLATE(C231, ""en"", ""hi"")"),"A) गति बढ़ाएँ और फाइटर B के काउंटरों को तोड़ने का प्रयास करें। B) फाइटर B के काउंटरअटैक की बराबरी करें। C) चोट से बचने के लिए रक्षात्मक तकनीकों पर ध्यान केंद्रित करें। D) नॉकआउट वार करने का प्रयास करें।")</f>
        <v>A) गति बढ़ाएँ और फाइटर B के काउंटरों को तोड़ने का प्रयास करें। B) फाइटर B के काउंटरअटैक की बराबरी करें। C) चोट से बचने के लिए रक्षात्मक तकनीकों पर ध्यान केंद्रित करें। D) नॉकआउट वार करने का प्रयास करें।</v>
      </c>
      <c r="I231" s="5" t="str">
        <f>IFERROR(__xludf.DUMMYFUNCTION("GOOGLETRANSLATE(D231, ""en"", ""hi"")"),"ए) गति बढ़ाएं और फाइटर बी के काउंटरों को तोड़ने का प्रयास करें।")</f>
        <v>ए) गति बढ़ाएं और फाइटर बी के काउंटरों को तोड़ने का प्रयास करें।</v>
      </c>
    </row>
    <row r="232" ht="22.5" customHeight="1">
      <c r="A232" s="2">
        <v>231.0</v>
      </c>
      <c r="B232" s="3" t="s">
        <v>3443</v>
      </c>
      <c r="C232" s="3" t="s">
        <v>3405</v>
      </c>
      <c r="D232" s="3" t="s">
        <v>3406</v>
      </c>
      <c r="F232" s="5" t="str">
        <f>IFERROR(__xludf.DUMMYFUNCTION("GOOGLETRANSLATE(A232, ""en"", ""hi"")"),"231")</f>
        <v>231</v>
      </c>
      <c r="G232" s="5" t="str">
        <f>IFERROR(__xludf.DUMMYFUNCTION("GOOGLETRANSLATE(B232, ""en"", ""hi"")"),"फ़ाइटर A अंकों में पिछड़ रहा है और थकान के लक्षण दिखा रहा है। फ़ाइटर A को वापसी के लिए अंतिम राउंड में क्या करना चाहिए?")</f>
        <v>फ़ाइटर A अंकों में पिछड़ रहा है और थकान के लक्षण दिखा रहा है। फ़ाइटर A को वापसी के लिए अंतिम राउंड में क्या करना चाहिए?</v>
      </c>
      <c r="H232" s="5" t="str">
        <f>IFERROR(__xludf.DUMMYFUNCTION("GOOGLETRANSLATE(C232, ""en"", ""hi"")"),"A)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f>
        <v>A) हमलों की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v>
      </c>
      <c r="I232" s="5" t="str">
        <f>IFERROR(__xludf.DUMMYFUNCTION("GOOGLETRANSLATE(D232, ""en"", ""hi"")"),"ए) हमलों की गति बढ़ाएं और नॉकआउट का प्रयास करें।")</f>
        <v>ए) हमलों की गति बढ़ाएं और नॉकआउट का प्रयास करें।</v>
      </c>
    </row>
    <row r="233" ht="22.5" customHeight="1">
      <c r="A233" s="2">
        <v>232.0</v>
      </c>
      <c r="B233" s="3" t="s">
        <v>3444</v>
      </c>
      <c r="C233" s="3" t="s">
        <v>3445</v>
      </c>
      <c r="D233" s="3" t="s">
        <v>3446</v>
      </c>
      <c r="F233" s="5" t="str">
        <f>IFERROR(__xludf.DUMMYFUNCTION("GOOGLETRANSLATE(A233, ""en"", ""hi"")"),"232")</f>
        <v>232</v>
      </c>
      <c r="G233" s="5" t="str">
        <f>IFERROR(__xludf.DUMMYFUNCTION("GOOGLETRANSLATE(B233, ""en"", ""hi"")"),"फाइटर A अपनी लो किक्स से प्रभावी है, लेकिन फाइटर B उनका अनुमान लगाकर उनका मुकाबला करने लगता है। फाइटर A को अपनी रणनीति में बदलाव करने के लिए क्या करना चाहिए?")</f>
        <v>फाइटर A अपनी लो किक्स से प्रभावी है, लेकिन फाइटर B उनका अनुमान लगाकर उनका मुकाबला करने लगता है। फाइटर A को अपनी रणनीति में बदलाव करने के लिए क्या करना चाहिए?</v>
      </c>
      <c r="H233" s="5" t="str">
        <f>IFERROR(__xludf.DUMMYFUNCTION("GOOGLETRANSLATE(C233, ""en"", ""hi"")"),"A) ज़्यादा संयोजन और हेड शॉट शामिल करें। B) लो किक की शक्ति और आवृत्ति बढ़ाएँ। C) काउंटर से बचने के लिए रक्षात्मक तकनीकों पर ध्यान केंद्रित करें। D) नॉकआउट वार करने का प्रयास करें।")</f>
        <v>A) ज़्यादा संयोजन और हेड शॉट शामिल करें। B) लो किक की शक्ति और आवृत्ति बढ़ाएँ। C) काउंटर से बचने के लिए रक्षात्मक तकनीकों पर ध्यान केंद्रित करें। D) नॉकआउट वार करने का प्रयास करें।</v>
      </c>
      <c r="I233" s="5" t="str">
        <f>IFERROR(__xludf.DUMMYFUNCTION("GOOGLETRANSLATE(D233, ""en"", ""hi"")"),"ए) अधिक संयोजन और हेड शॉट शामिल करें।")</f>
        <v>ए) अधिक संयोजन और हेड शॉट शामिल करें।</v>
      </c>
    </row>
    <row r="234" ht="22.5" customHeight="1">
      <c r="A234" s="2">
        <v>233.0</v>
      </c>
      <c r="B234" s="3" t="s">
        <v>3447</v>
      </c>
      <c r="C234" s="3" t="s">
        <v>3448</v>
      </c>
      <c r="D234" s="3" t="s">
        <v>3342</v>
      </c>
      <c r="F234" s="5" t="str">
        <f>IFERROR(__xludf.DUMMYFUNCTION("GOOGLETRANSLATE(A234, ""en"", ""hi"")"),"233")</f>
        <v>233</v>
      </c>
      <c r="G234" s="5" t="str">
        <f>IFERROR(__xludf.DUMMYFUNCTION("GOOGLETRANSLATE(B234, ""en"", ""hi"")"),"फाइटर A और फाइटर B के बीच कांटे की टक्कर है। फाइटर A ज़्यादा छल-कपट और गलत दिशा दिखाने की कोशिश करने लगता है। फाइटर B को क्या जवाब देना चाहिए?")</f>
        <v>फाइटर A और फाइटर B के बीच कांटे की टक्कर है। फाइटर A ज़्यादा छल-कपट और गलत दिशा दिखाने की कोशिश करने लगता है। फाइटर B को क्या जवाब देना चाहिए?</v>
      </c>
      <c r="H234" s="5" t="str">
        <f>IFERROR(__xludf.DUMMYFUNCTION("GOOGLETRANSLATE(C234, ""en"", ""hi"")"),"अ)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f>
        <v>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v>
      </c>
      <c r="I234" s="5" t="str">
        <f>IFERROR(__xludf.DUMMYFUNCTION("GOOGLETRANSLATE(D234, ""en"", ""hi"")"),"ए) रक्षात्मक तकनीकों और जवाबी हमलों पर ध्यान केंद्रित करना।")</f>
        <v>ए) रक्षात्मक तकनीकों और जवाबी हमलों पर ध्यान केंद्रित करना।</v>
      </c>
    </row>
    <row r="235" ht="22.5" customHeight="1">
      <c r="A235" s="2">
        <v>234.0</v>
      </c>
      <c r="B235" s="3" t="s">
        <v>3449</v>
      </c>
      <c r="C235" s="3" t="s">
        <v>3423</v>
      </c>
      <c r="D235" s="3" t="s">
        <v>3424</v>
      </c>
      <c r="F235" s="5" t="str">
        <f>IFERROR(__xludf.DUMMYFUNCTION("GOOGLETRANSLATE(A235, ""en"", ""hi"")"),"234")</f>
        <v>234</v>
      </c>
      <c r="G235" s="5" t="str">
        <f>IFERROR(__xludf.DUMMYFUNCTION("GOOGLETRANSLATE(B235, ""en"", ""hi"")"),"लड़ाकू A अपनी उच्च सहनशक्ति के लिए जाना जाता है, लेकिन लड़ाकू B ज़्यादा आक्रामक रणनीति अपनाने लगता है। लड़ाकू A को कैसे समायोजित करना चाहिए?")</f>
        <v>लड़ाकू A अपनी उच्च सहनशक्ति के लिए जाना जाता है, लेकिन लड़ाकू B ज़्यादा आक्रामक रणनीति अपनाने लगता है। लड़ाकू A को कैसे समायोजित करना चाहिए?</v>
      </c>
      <c r="H235" s="5" t="str">
        <f>IFERROR(__xludf.DUMMYFUNCTION("GOOGLETRANSLATE(C235, ""en"", ""hi"")"),"A)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f>
        <v>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v>
      </c>
      <c r="I235" s="5" t="str">
        <f>IFERROR(__xludf.DUMMYFUNCTION("GOOGLETRANSLATE(D235, ""en"", ""hi"")"),"ए) फाइटर बी की आक्रामकता से बचने के लिए धीरज का प्रयोग करें।")</f>
        <v>ए) फाइटर बी की आक्रामकता से बचने के लिए धीरज का प्रयोग करें।</v>
      </c>
    </row>
    <row r="236" ht="22.5" customHeight="1">
      <c r="A236" s="2">
        <v>235.0</v>
      </c>
      <c r="B236" s="3" t="s">
        <v>3450</v>
      </c>
      <c r="C236" s="3" t="s">
        <v>3451</v>
      </c>
      <c r="D236" s="3" t="s">
        <v>3326</v>
      </c>
      <c r="F236" s="5" t="str">
        <f>IFERROR(__xludf.DUMMYFUNCTION("GOOGLETRANSLATE(A236, ""en"", ""hi"")"),"235")</f>
        <v>235</v>
      </c>
      <c r="G236" s="5" t="str">
        <f>IFERROR(__xludf.DUMMYFUNCTION("GOOGLETRANSLATE(B236, ""en"", ""hi"")"),"फ़ाइटर A अंकों के मामले में पीछे चल रहा है और अपने मज़बूत फ़िनिश के लिए जाना जाता है। फ़ाइनल राउंड में फ़ाइटर A के लिए सबसे प्रभावी रणनीति क्या है?")</f>
        <v>फ़ाइटर A अंकों के मामले में पीछे चल रहा है और अपने मज़बूत फ़िनिश के लिए जाना जाता है। फ़ाइनल राउंड में फ़ाइटर A के लिए सबसे प्रभावी रणनीति क्या है?</v>
      </c>
      <c r="H236" s="5" t="str">
        <f>IFERROR(__xludf.DUMMYFUNCTION("GOOGLETRANSLATE(C236, ""en"", ""hi"")"),"A)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f>
        <v>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v>
      </c>
      <c r="I236" s="5" t="str">
        <f>IFERROR(__xludf.DUMMYFUNCTION("GOOGLETRANSLATE(D236, ""en"", ""hi"")"),"ए) शेष ऊर्जा का उपयोग हमलों की गति बढ़ाने के लिए करें।")</f>
        <v>ए) शेष ऊर्जा का उपयोग हमलों की गति बढ़ाने के लिए करें।</v>
      </c>
    </row>
    <row r="237" ht="22.5" customHeight="1">
      <c r="A237" s="2">
        <v>236.0</v>
      </c>
      <c r="B237" s="3" t="s">
        <v>3452</v>
      </c>
      <c r="C237" s="3" t="s">
        <v>3419</v>
      </c>
      <c r="D237" s="3" t="s">
        <v>3390</v>
      </c>
      <c r="F237" s="5" t="str">
        <f>IFERROR(__xludf.DUMMYFUNCTION("GOOGLETRANSLATE(A237, ""en"", ""hi"")"),"236")</f>
        <v>236</v>
      </c>
      <c r="G237" s="5" t="str">
        <f>IFERROR(__xludf.DUMMYFUNCTION("GOOGLETRANSLATE(B237, ""en"", ""hi"")"),"फाइटर A और फाइटर B के बीच कड़ा मुकाबला है। फाइटर A जैब से प्रभावी है, लेकिन फाइटर B उनका मुकाबला करना शुरू कर देता है। फाइटर A को अपनी रणनीति कैसे बदलनी चाहिए?")</f>
        <v>फाइटर A और फाइटर B के बीच कड़ा मुकाबला है। फाइटर A जैब से प्रभावी है, लेकिन फाइटर B उनका मुकाबला करना शुरू कर देता है। फाइटर A को अपनी रणनीति कैसे बदलनी चाहिए?</v>
      </c>
      <c r="H237" s="5" t="str">
        <f>IFERROR(__xludf.DUMMYFUNCTION("GOOGLETRANSLATE(C237, ""en"", ""hi"")"),"A)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f>
        <v>A) फाइटर B के डिफेंस को भेदने के लिए फ़िंट और कॉम्बिनेशन का इस्तेमाल करें। B) जैब की ताकत बढ़ाएँ। C) रक्षात्मक तकनीकों पर ध्यान केंद्रित करें। D) एक शक्तिशाली पंच लगाने का प्रयास करें।</v>
      </c>
      <c r="I237" s="5" t="str">
        <f>IFERROR(__xludf.DUMMYFUNCTION("GOOGLETRANSLATE(D237, ""en"", ""hi"")"),"ए) फाइटर बी की रक्षा को तोड़ने के लिए छल और संयोजन को शामिल करें।")</f>
        <v>ए) फाइटर बी की रक्षा को तोड़ने के लिए छल और संयोजन को शामिल करें।</v>
      </c>
    </row>
    <row r="238" ht="22.5" customHeight="1">
      <c r="A238" s="2">
        <v>237.0</v>
      </c>
      <c r="B238" s="3" t="s">
        <v>3453</v>
      </c>
      <c r="C238" s="3" t="s">
        <v>3454</v>
      </c>
      <c r="D238" s="3" t="s">
        <v>3432</v>
      </c>
      <c r="F238" s="5" t="str">
        <f>IFERROR(__xludf.DUMMYFUNCTION("GOOGLETRANSLATE(A238, ""en"", ""hi"")"),"237")</f>
        <v>237</v>
      </c>
      <c r="G238" s="5" t="str">
        <f>IFERROR(__xludf.DUMMYFUNCTION("GOOGLETRANSLATE(B238, ""en"", ""hi"")"),"लड़ाकू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f>
        <v>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v>
      </c>
      <c r="H238" s="5" t="str">
        <f>IFERROR(__xludf.DUMMYFUNCTION("GOOGLETRANSLATE(C238, ""en"", ""hi"")"),"A)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f>
        <v>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v>
      </c>
      <c r="I238" s="5" t="str">
        <f>IFERROR(__xludf.DUMMYFUNCTION("GOOGLETRANSLATE(D238, ""en"", ""hi"")"),"ए) फाइटर बी की रक्षा को तोड़ने के लिए छल और संयोजनों का प्रयोग करें।")</f>
        <v>ए) फाइटर बी की रक्षा को तोड़ने के लिए छल और संयोजनों का प्रयोग करें।</v>
      </c>
    </row>
    <row r="239" ht="22.5" customHeight="1">
      <c r="A239" s="2">
        <v>238.0</v>
      </c>
      <c r="B239" s="3" t="s">
        <v>3438</v>
      </c>
      <c r="C239" s="3" t="s">
        <v>3439</v>
      </c>
      <c r="D239" s="3" t="s">
        <v>3393</v>
      </c>
      <c r="F239" s="5" t="str">
        <f>IFERROR(__xludf.DUMMYFUNCTION("GOOGLETRANSLATE(A239, ""en"", ""hi"")"),"238")</f>
        <v>238</v>
      </c>
      <c r="G239" s="5" t="str">
        <f>IFERROR(__xludf.DUMMYFUNCTION("GOOGLETRANSLATE(B239, ""en"", ""hi"")"),"फाइटर A अंकों के मामले में आगे है, लेकिन फाइटर B ज़्यादा आक्रामक होता जा रहा है। फाइटर A को अपनी रणनीति कैसे बदलनी चाहिए?")</f>
        <v>फाइटर A अंकों के मामले में आगे है, लेकिन फाइटर B ज़्यादा आक्रामक होता जा रहा है। फाइटर A को अपनी रणनीति कैसे बदलनी चाहिए?</v>
      </c>
      <c r="H239" s="5" t="str">
        <f>IFERROR(__xludf.DUMMYFUNCTION("GOOGLETRANSLATE(C239, ""en"", ""hi"")"),"क)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f>
        <v>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v>
      </c>
      <c r="I239" s="5" t="str">
        <f>IFERROR(__xludf.DUMMYFUNCTION("GOOGLETRANSLATE(D239, ""en"", ""hi"")"),"ए) रक्षात्मक तकनीकों का उपयोग करें और बढ़त बनाए रखने पर ध्यान केंद्रित करें।")</f>
        <v>ए) रक्षात्मक तकनीकों का उपयोग करें और बढ़त बनाए रखने पर ध्यान केंद्रित करें।</v>
      </c>
    </row>
    <row r="240" ht="22.5" customHeight="1">
      <c r="A240" s="2">
        <v>239.0</v>
      </c>
      <c r="B240" s="3" t="s">
        <v>3455</v>
      </c>
      <c r="C240" s="3" t="s">
        <v>3456</v>
      </c>
      <c r="D240" s="3" t="s">
        <v>3437</v>
      </c>
      <c r="F240" s="5" t="str">
        <f>IFERROR(__xludf.DUMMYFUNCTION("GOOGLETRANSLATE(A240, ""en"", ""hi"")"),"239")</f>
        <v>239</v>
      </c>
      <c r="G240" s="5" t="str">
        <f>IFERROR(__xludf.DUMMYFUNCTION("GOOGLETRANSLATE(B240, ""en"", ""hi"")"),"फाइटर A और फाइटर B बराबरी पर हैं। फाइटर A अपनी गति के लिए जाना जाता है, लेकिन फाइटर B दूरी कम करने लगता है। फाइटर A को अपनी रणनीति कैसे बदलनी चाहिए?")</f>
        <v>फाइटर A और फाइटर B बराबरी पर हैं। फाइटर A अपनी गति के लिए जाना जाता है, लेकिन फाइटर B दूरी कम करने लगता है। फाइटर A को अपनी रणनीति कैसे बदलनी चाहिए?</v>
      </c>
      <c r="H240" s="5" t="str">
        <f>IFERROR(__xludf.DUMMYFUNCTION("GOOGLETRANSLATE(C240, ""en"", ""hi"")"),"A) दूरी बनाए रखने के लिए गति और छल-कपट का प्रयोग करें। B) हमलों की गति बढ़ाएँ। C) क्षति से बचने के लिए रक्षात्मक तकनीकों पर ध्यान केंद्रित करें। D) नॉकआउट वार करने का प्रयास करें।")</f>
        <v>A) दूरी बनाए रखने के लिए गति और छल-कपट का प्रयोग करें। B) हमलों की गति बढ़ाएँ। C) क्षति से बचने के लिए रक्षात्मक तकनीकों पर ध्यान केंद्रित करें। D) नॉकआउट वार करने का प्रयास करें।</v>
      </c>
      <c r="I240" s="5" t="str">
        <f>IFERROR(__xludf.DUMMYFUNCTION("GOOGLETRANSLATE(D240, ""en"", ""hi"")"),"ए) दूरी बनाए रखने के लिए चाल और छल का प्रयोग करें।")</f>
        <v>ए) दूरी बनाए रखने के लिए चाल और छल का प्रयोग करें।</v>
      </c>
    </row>
    <row r="241" ht="22.5" customHeight="1">
      <c r="A241" s="2">
        <v>240.0</v>
      </c>
      <c r="B241" s="3" t="s">
        <v>3457</v>
      </c>
      <c r="C241" s="3" t="s">
        <v>3458</v>
      </c>
      <c r="D241" s="3" t="s">
        <v>3381</v>
      </c>
      <c r="F241" s="5" t="str">
        <f>IFERROR(__xludf.DUMMYFUNCTION("GOOGLETRANSLATE(A241, ""en"", ""hi"")"),"240")</f>
        <v>240</v>
      </c>
      <c r="G241" s="5" t="str">
        <f>IFERROR(__xludf.DUMMYFUNCTION("GOOGLETRANSLATE(B241, ""en"", ""hi"")"),"फ़ाइटर A अंकों में पीछे चल रहा है और थकान के लक्षण दिखा रहा है। फ़ाइटर A को अंतिम राउंड में किस पर ध्यान केंद्रित करना चाहिए?")</f>
        <v>फ़ाइटर A अंकों में पीछे चल रहा है और थकान के लक्षण दिखा रहा है। फ़ाइटर A को अंतिम राउंड में किस पर ध्यान केंद्रित करना चाहिए?</v>
      </c>
      <c r="H241" s="5" t="str">
        <f>IFERROR(__xludf.DUMMYFUNCTION("GOOGLETRANSLATE(C241, ""en"", ""hi"")"),"A) हमलों की गति और तीव्रता बढ़ाएँ। B) आगे की क्षति से बचने के लिए रक्षात्मक तकनीकों पर ध्यान केंद्रित करें। C) ऊर्जा बचाएँ और अंतिम घंटी बजने का इंतज़ार करें। D) कुछ शक्तिशाली प्रहार करने का प्रयास करें।")</f>
        <v>A) हमलों की गति और तीव्रता बढ़ाएँ। B) आगे की क्षति से बचने के लिए रक्षात्मक तकनीकों पर ध्यान केंद्रित करें। C) ऊर्जा बचाएँ और अंतिम घंटी बजने का इंतज़ार करें। D) कुछ शक्तिशाली प्रहार करने का प्रयास करें।</v>
      </c>
      <c r="I241" s="5" t="str">
        <f>IFERROR(__xludf.DUMMYFUNCTION("GOOGLETRANSLATE(D241, ""en"", ""hi"")"),"क) हमलों की गति और तीव्रता बढ़ाएँ।")</f>
        <v>क) हमलों की गति और तीव्रता बढ़ाएँ।</v>
      </c>
    </row>
    <row r="242" ht="22.5" customHeight="1">
      <c r="A242" s="2">
        <v>241.0</v>
      </c>
      <c r="B242" s="3" t="s">
        <v>3407</v>
      </c>
      <c r="C242" s="3" t="s">
        <v>3341</v>
      </c>
      <c r="D242" s="3" t="s">
        <v>3342</v>
      </c>
      <c r="F242" s="5" t="str">
        <f>IFERROR(__xludf.DUMMYFUNCTION("GOOGLETRANSLATE(A242, ""en"", ""hi"")"),"241")</f>
        <v>241</v>
      </c>
      <c r="G242" s="5" t="str">
        <f>IFERROR(__xludf.DUMMYFUNCTION("GOOGLETRANSLATE(B242, ""en"", ""hi"")"),"फाइटर A और फाइटर B के बीच कांटे की टक्कर है। फाइटर B ज़्यादा छल और गलत दिशा दिखाने वाले हथकंडे अपनाने लगता है। फाइटर A को क्या जवाब देना चाहिए?")</f>
        <v>फाइटर A और फाइटर B के बीच कांटे की टक्कर है। फाइटर B ज़्यादा छल और गलत दिशा दिखाने वाले हथकंडे अपनाने लगता है। फाइटर A को क्या जवाब देना चाहिए?</v>
      </c>
      <c r="H242" s="5" t="str">
        <f>IFERROR(__xludf.DUMMYFUNCTION("GOOGLETRANSLATE(C242, ""en"", ""hi"")"),"अ)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f>
        <v>अ) रक्षात्मक तकनीकों और जवाबी हमलों पर ध्यान बढ़ाएँ। ब) फाइटर बी के छल-कपट का मुकाबला बराबरी से करें। स) फाइटर बी पर हावी होने के लिए आक्रामकता बढ़ाएँ। द) वर्तमान गति बनाए रखने पर ध्यान केंद्रित करें।</v>
      </c>
      <c r="I242" s="5" t="str">
        <f>IFERROR(__xludf.DUMMYFUNCTION("GOOGLETRANSLATE(D242, ""en"", ""hi"")"),"ए) रक्षात्मक तकनीकों और जवाबी हमलों पर ध्यान केंद्रित करना।")</f>
        <v>ए) रक्षात्मक तकनीकों और जवाबी हमलों पर ध्यान केंद्रित करना।</v>
      </c>
    </row>
    <row r="243" ht="22.5" customHeight="1">
      <c r="A243" s="2">
        <v>242.0</v>
      </c>
      <c r="B243" s="3" t="s">
        <v>3453</v>
      </c>
      <c r="C243" s="3" t="s">
        <v>3454</v>
      </c>
      <c r="D243" s="3" t="s">
        <v>3432</v>
      </c>
      <c r="F243" s="5" t="str">
        <f>IFERROR(__xludf.DUMMYFUNCTION("GOOGLETRANSLATE(A243, ""en"", ""hi"")"),"242")</f>
        <v>242</v>
      </c>
      <c r="G243" s="5" t="str">
        <f>IFERROR(__xludf.DUMMYFUNCTION("GOOGLETRANSLATE(B243, ""en"", ""hi"")"),"लड़ाकू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f>
        <v>लड़ाकू A अपने शक्तिशाली प्रहारों के लिए जाना जाता है, लेकिन लड़ाकू B उनसे बचने के लिए रक्षात्मक तकनीकों का इस्तेमाल करने लगता है। लड़ाकू A को इससे निपटने के लिए क्या करना चाहिए?</v>
      </c>
      <c r="H243" s="5" t="str">
        <f>IFERROR(__xludf.DUMMYFUNCTION("GOOGLETRANSLATE(C243, ""en"", ""hi"")"),"A)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f>
        <v>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v>
      </c>
      <c r="I243" s="5" t="str">
        <f>IFERROR(__xludf.DUMMYFUNCTION("GOOGLETRANSLATE(D243, ""en"", ""hi"")"),"ए) फाइटर बी की रक्षा को तोड़ने के लिए छल और संयोजनों का प्रयोग करें।")</f>
        <v>ए) फाइटर बी की रक्षा को तोड़ने के लिए छल और संयोजनों का प्रयोग करें।</v>
      </c>
    </row>
    <row r="244" ht="22.5" customHeight="1">
      <c r="A244" s="2">
        <v>243.0</v>
      </c>
      <c r="B244" s="3" t="s">
        <v>3459</v>
      </c>
      <c r="C244" s="3" t="s">
        <v>3460</v>
      </c>
      <c r="D244" s="3" t="s">
        <v>3461</v>
      </c>
      <c r="F244" s="5" t="str">
        <f>IFERROR(__xludf.DUMMYFUNCTION("GOOGLETRANSLATE(A244, ""en"", ""hi"")"),"243")</f>
        <v>243</v>
      </c>
      <c r="G244" s="5" t="str">
        <f>IFERROR(__xludf.DUMMYFUNCTION("GOOGLETRANSLATE(B244, ""en"", ""hi"")"),"फाइटर A अंकों में पीछे चल रहा है और अपनी सहनशक्ति के लिए जाना जाता है। फ़ाइटर A को अंतिम राउंड में अपनी सहनशक्ति का उपयोग कैसे करना चाहिए?")</f>
        <v>फाइटर A अंकों में पीछे चल रहा है और अपनी सहनशक्ति के लिए जाना जाता है। फ़ाइटर A को अंतिम राउंड में अपनी सहनशक्ति का उपयोग कैसे करना चाहिए?</v>
      </c>
      <c r="H244" s="5" t="str">
        <f>IFERROR(__xludf.DUMMYFUNCTION("GOOGLETRANSLATE(C244, ""en"", ""hi"")"),"A) फाइटर B की आक्रामक रणनीति का सामना करने के लिए धीरज का प्रयोग करें। B) फाइटर B की आक्रामकता का बराबरी से मुकाबला करें। C) नुकसान से बचने के लिए रक्षात्मक तकनीकों पर ध्यान केंद्रित करें। D) नॉकआउट वार करने का प्रयास करें।")</f>
        <v>A) फाइटर B की आक्रामक रणनीति का सामना करने के लिए धीरज का प्रयोग करें। B) फाइटर B की आक्रामकता का बराबरी से मुकाबला करें। C) नुकसान से बचने के लिए रक्षात्मक तकनीकों पर ध्यान केंद्रित करें। D) नॉकआउट वार करने का प्रयास करें।</v>
      </c>
      <c r="I244" s="5" t="str">
        <f>IFERROR(__xludf.DUMMYFUNCTION("GOOGLETRANSLATE(D244, ""en"", ""hi"")"),"ए) फाइटर बी की आक्रामक रणनीति से बचने के लिए धीरज का उपयोग करें।")</f>
        <v>ए) फाइटर बी की आक्रामक रणनीति से बचने के लिए धीरज का उपयोग करें।</v>
      </c>
    </row>
    <row r="245" ht="22.5" customHeight="1">
      <c r="A245" s="2">
        <v>244.0</v>
      </c>
      <c r="B245" s="3" t="s">
        <v>3462</v>
      </c>
      <c r="C245" s="3" t="s">
        <v>3463</v>
      </c>
      <c r="D245" s="3" t="s">
        <v>3464</v>
      </c>
      <c r="F245" s="5" t="str">
        <f>IFERROR(__xludf.DUMMYFUNCTION("GOOGLETRANSLATE(A245, ""en"", ""hi"")"),"244")</f>
        <v>244</v>
      </c>
      <c r="G245" s="5" t="str">
        <f>IFERROR(__xludf.DUMMYFUNCTION("GOOGLETRANSLATE(B245, ""en"", ""hi"")"),"फाइटर ए और फाइटर बी अंतिम दौर में हैं। फाइटर बी अपने पलटवार के लिए जाना जाता है। पलटवार से बचने के लिए फाइटर ए को किस पर ध्यान केंद्रित करना चाहिए?")</f>
        <v>फाइटर ए और फाइटर बी अंतिम दौर में हैं। फाइटर बी अपने पलटवार के लिए जाना जाता है। पलटवार से बचने के लिए फाइटर ए को किस पर ध्यान केंद्रित करना चाहिए?</v>
      </c>
      <c r="H245" s="5" t="str">
        <f>IFERROR(__xludf.DUMMYFUNCTION("GOOGLETRANSLATE(C245, ""en"", ""hi"")"),"A) फाइटर B के डिफेंस को भेदने के लिए छल और संयोजनों का प्रयोग करें। B) हमलों की शक्ति बढ़ाएँ। C) काउंटरों से बचने के लिए रक्षात्मक तकनीकों पर ध्यान केंद्रित करें। D) एक शक्तिशाली प्रहार करने का प्रयास करें।")</f>
        <v>A) फाइटर B के डिफेंस को भेदने के लिए छल और संयोजनों का प्रयोग करें। B) हमलों की शक्ति बढ़ाएँ। C) काउंटरों से बचने के लिए रक्षात्मक तकनीकों पर ध्यान केंद्रित करें। D) एक शक्तिशाली प्रहार करने का प्रयास करें।</v>
      </c>
      <c r="I245" s="5" t="str">
        <f>IFERROR(__xludf.DUMMYFUNCTION("GOOGLETRANSLATE(D245, ""en"", ""hi"")"),"ए) फाइटर बी की रक्षा को तोड़ने के लिए छल और संयोजन का उपयोग करें।")</f>
        <v>ए) फाइटर बी की रक्षा को तोड़ने के लिए छल और संयोजन का उपयोग करें।</v>
      </c>
    </row>
    <row r="246" ht="22.5" customHeight="1">
      <c r="A246" s="2">
        <v>245.0</v>
      </c>
      <c r="B246" s="3" t="s">
        <v>3465</v>
      </c>
      <c r="C246" s="3" t="s">
        <v>3466</v>
      </c>
      <c r="D246" s="3" t="s">
        <v>3400</v>
      </c>
      <c r="F246" s="5" t="str">
        <f>IFERROR(__xludf.DUMMYFUNCTION("GOOGLETRANSLATE(A246, ""en"", ""hi"")"),"245")</f>
        <v>245</v>
      </c>
      <c r="G246" s="5" t="str">
        <f>IFERROR(__xludf.DUMMYFUNCTION("GOOGLETRANSLATE(B246, ""en"", ""hi"")"),"फाइटर A अपने तेज़ फुटवर्क के लिए जाना जाता है, लेकिन फाइटर B इन हरकतों का अंदाज़ा लगाकर उनका मुकाबला करने लगता है। बढ़त हासिल करने के लिए फाइटर A को क्या करना चाहिए?")</f>
        <v>फाइटर A अपने तेज़ फुटवर्क के लिए जाना जाता है, लेकिन फाइटर B इन हरकतों का अंदाज़ा लगाकर उनका मुकाबला करने लगता है। बढ़त हासिल करने के लिए फाइटर A को क्या करना चाहिए?</v>
      </c>
      <c r="H246" s="5" t="str">
        <f>IFERROR(__xludf.DUMMYFUNCTION("GOOGLETRANSLATE(C246, ""en"", ""hi"")"),"क) अप्रत्याशित चालों और छल-कपट का प्रयोग करें। ख) पैरों की गति बढ़ाएँ। ग) जवाबी हमलों से बचने के लिए रक्षात्मक तकनीकों पर ध्यान केंद्रित करें। घ) नॉकआउट वार करने का प्रयास करें।")</f>
        <v>क) अप्रत्याशित चालों और छल-कपट का प्रयोग करें। ख) पैरों की गति बढ़ाएँ। ग) जवाबी हमलों से बचने के लिए रक्षात्मक तकनीकों पर ध्यान केंद्रित करें। घ) नॉकआउट वार करने का प्रयास करें।</v>
      </c>
      <c r="I246" s="5" t="str">
        <f>IFERROR(__xludf.DUMMYFUNCTION("GOOGLETRANSLATE(D246, ""en"", ""hi"")"),"अ) अप्रत्याशित गतिविधियों और छल-कपट का प्रयोग करना।")</f>
        <v>अ) अप्रत्याशित गतिविधियों और छल-कपट का प्रयोग करना।</v>
      </c>
    </row>
    <row r="247" ht="22.5" customHeight="1">
      <c r="A247" s="2">
        <v>246.0</v>
      </c>
      <c r="B247" s="3" t="s">
        <v>3404</v>
      </c>
      <c r="C247" s="3" t="s">
        <v>3467</v>
      </c>
      <c r="D247" s="3" t="s">
        <v>3387</v>
      </c>
      <c r="F247" s="5" t="str">
        <f>IFERROR(__xludf.DUMMYFUNCTION("GOOGLETRANSLATE(A247, ""en"", ""hi"")"),"246")</f>
        <v>246</v>
      </c>
      <c r="G247" s="5" t="str">
        <f>IFERROR(__xludf.DUMMYFUNCTION("GOOGLETRANSLATE(B247, ""en"", ""hi"")"),"फ़ाइटर A अंकों में पीछे चल रहा है और थकान के लक्षण दिखा रहा है। फ़ाइटर A के लिए अंतिम राउंड में सबसे प्रभावी रणनीति क्या है?")</f>
        <v>फ़ाइटर A अंकों में पीछे चल रहा है और थकान के लक्षण दिखा रहा है। फ़ाइटर A के लिए अंतिम राउंड में सबसे प्रभावी रणनीति क्या है?</v>
      </c>
      <c r="H247" s="5" t="str">
        <f>IFERROR(__xludf.DUMMYFUNCTION("GOOGLETRANSLATE(C247, ""en"", ""hi"")"),"A)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f>
        <v>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v>
      </c>
      <c r="I247" s="5" t="str">
        <f>IFERROR(__xludf.DUMMYFUNCTION("GOOGLETRANSLATE(D247, ""en"", ""hi"")"),"ए) गति बढ़ाएं और नॉकआउट का प्रयास करें।")</f>
        <v>ए) गति बढ़ाएं और नॉकआउट का प्रयास करें।</v>
      </c>
    </row>
    <row r="248" ht="22.5" customHeight="1">
      <c r="A248" s="2">
        <v>247.0</v>
      </c>
      <c r="B248" s="3" t="s">
        <v>3468</v>
      </c>
      <c r="C248" s="3" t="s">
        <v>3423</v>
      </c>
      <c r="D248" s="3" t="s">
        <v>3424</v>
      </c>
      <c r="F248" s="5" t="str">
        <f>IFERROR(__xludf.DUMMYFUNCTION("GOOGLETRANSLATE(A248, ""en"", ""hi"")"),"247")</f>
        <v>247</v>
      </c>
      <c r="G248" s="5" t="str">
        <f>IFERROR(__xludf.DUMMYFUNCTION("GOOGLETRANSLATE(B248, ""en"", ""hi"")"),"फाइटर A और फाइटर B बराबरी के हैं। फाइटर A अपनी सहनशक्ति के लिए जाना जाता है, लेकिन फाइटर B ज़्यादा आक्रामक रणनीति अपनाने लगता है। फाइटर A को कैसे एडजस्ट करना चाहिए?")</f>
        <v>फाइटर A और फाइटर B बराबरी के हैं। फाइटर A अपनी सहनशक्ति के लिए जाना जाता है, लेकिन फाइटर B ज़्यादा आक्रामक रणनीति अपनाने लगता है। फाइटर A को कैसे एडजस्ट करना चाहिए?</v>
      </c>
      <c r="H248" s="5" t="str">
        <f>IFERROR(__xludf.DUMMYFUNCTION("GOOGLETRANSLATE(C248, ""en"", ""hi"")"),"A)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f>
        <v>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v>
      </c>
      <c r="I248" s="5" t="str">
        <f>IFERROR(__xludf.DUMMYFUNCTION("GOOGLETRANSLATE(D248, ""en"", ""hi"")"),"ए) फाइटर बी की आक्रामकता से बचने के लिए धीरज का प्रयोग करें।")</f>
        <v>ए) फाइटर बी की आक्रामकता से बचने के लिए धीरज का प्रयोग करें।</v>
      </c>
    </row>
    <row r="249" ht="22.5" customHeight="1">
      <c r="A249" s="2">
        <v>248.0</v>
      </c>
      <c r="B249" s="3" t="s">
        <v>3469</v>
      </c>
      <c r="C249" s="3" t="s">
        <v>3470</v>
      </c>
      <c r="D249" s="3" t="s">
        <v>3446</v>
      </c>
      <c r="F249" s="5" t="str">
        <f>IFERROR(__xludf.DUMMYFUNCTION("GOOGLETRANSLATE(A249, ""en"", ""hi"")"),"248")</f>
        <v>248</v>
      </c>
      <c r="G249" s="5" t="str">
        <f>IFERROR(__xludf.DUMMYFUNCTION("GOOGLETRANSLATE(B249, ""en"", ""hi"")"),"फाइटर A अपनी शक्तिशाली किक के लिए जाना जाता है, लेकिन फाइटर B उनका अनुमान लगाकर उनका मुकाबला करना शुरू कर देता है। बढ़त हासिल करने के लिए फाइटर A को क्या करना चाहिए?")</f>
        <v>फाइटर A अपनी शक्तिशाली किक के लिए जाना जाता है, लेकिन फाइटर B उनका अनुमान लगाकर उनका मुकाबला करना शुरू कर देता है। बढ़त हासिल करने के लिए फाइटर A को क्या करना चाहिए?</v>
      </c>
      <c r="H249" s="5" t="str">
        <f>IFERROR(__xludf.DUMMYFUNCTION("GOOGLETRANSLATE(C249, ""en"", ""hi"")"),"A) ज़्यादा संयोजन और हेड शॉट शामिल करें। B) किक की आवृत्ति और शक्ति बढ़ाएँ। C) काउंटर से बचने के लिए रक्षात्मक तकनीकों पर ध्यान केंद्रित करें। D) नॉकआउट वार करने का प्रयास करें।")</f>
        <v>A) ज़्यादा संयोजन और हेड शॉट शामिल करें। B) किक की आवृत्ति और शक्ति बढ़ाएँ। C) काउंटर से बचने के लिए रक्षात्मक तकनीकों पर ध्यान केंद्रित करें। D) नॉकआउट वार करने का प्रयास करें।</v>
      </c>
      <c r="I249" s="5" t="str">
        <f>IFERROR(__xludf.DUMMYFUNCTION("GOOGLETRANSLATE(D249, ""en"", ""hi"")"),"ए) अधिक संयोजन और हेड शॉट शामिल करें।")</f>
        <v>ए) अधिक संयोजन और हेड शॉट शामिल करें।</v>
      </c>
    </row>
    <row r="250" ht="22.5" customHeight="1">
      <c r="A250" s="2">
        <v>249.0</v>
      </c>
      <c r="B250" s="3" t="s">
        <v>3447</v>
      </c>
      <c r="C250" s="3" t="s">
        <v>3448</v>
      </c>
      <c r="D250" s="3" t="s">
        <v>3342</v>
      </c>
      <c r="F250" s="5" t="str">
        <f>IFERROR(__xludf.DUMMYFUNCTION("GOOGLETRANSLATE(A250, ""en"", ""hi"")"),"249")</f>
        <v>249</v>
      </c>
      <c r="G250" s="5" t="str">
        <f>IFERROR(__xludf.DUMMYFUNCTION("GOOGLETRANSLATE(B250, ""en"", ""hi"")"),"फाइटर A और फाइटर B के बीच कांटे की टक्कर है। फाइटर A ज़्यादा छल-कपट और गलत दिशा दिखाने की कोशिश करने लगता है। फाइटर B को क्या जवाब देना चाहिए?")</f>
        <v>फाइटर A और फाइटर B के बीच कांटे की टक्कर है। फाइटर A ज़्यादा छल-कपट और गलत दिशा दिखाने की कोशिश करने लगता है। फाइटर B को क्या जवाब देना चाहिए?</v>
      </c>
      <c r="H250" s="5" t="str">
        <f>IFERROR(__xludf.DUMMYFUNCTION("GOOGLETRANSLATE(C250, ""en"", ""hi"")"),"अ)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f>
        <v>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v>
      </c>
      <c r="I250" s="5" t="str">
        <f>IFERROR(__xludf.DUMMYFUNCTION("GOOGLETRANSLATE(D250, ""en"", ""hi"")"),"ए) रक्षात्मक तकनीकों और जवाबी हमलों पर ध्यान केंद्रित करना।")</f>
        <v>ए) रक्षात्मक तकनीकों और जवाबी हमलों पर ध्यान केंद्रित करना।</v>
      </c>
    </row>
    <row r="251" ht="22.5" customHeight="1">
      <c r="A251" s="2">
        <v>250.0</v>
      </c>
      <c r="B251" s="3" t="s">
        <v>3471</v>
      </c>
      <c r="C251" s="3" t="s">
        <v>3451</v>
      </c>
      <c r="D251" s="3" t="s">
        <v>3326</v>
      </c>
      <c r="F251" s="5" t="str">
        <f>IFERROR(__xludf.DUMMYFUNCTION("GOOGLETRANSLATE(A251, ""en"", ""hi"")"),"250")</f>
        <v>250</v>
      </c>
      <c r="G251" s="5" t="str">
        <f>IFERROR(__xludf.DUMMYFUNCTION("GOOGLETRANSLATE(B251, ""en"", ""hi"")"),"फ़ाइटर A अंकों के मामले में पीछे चल रहा है और अपने मज़बूत फ़िनिश के लिए जाना जाता है। फ़ाइटर A को फ़ाइनल राउंड में किस पर ध्यान केंद्रित करना चाहिए?")</f>
        <v>फ़ाइटर A अंकों के मामले में पीछे चल रहा है और अपने मज़बूत फ़िनिश के लिए जाना जाता है। फ़ाइटर A को फ़ाइनल राउंड में किस पर ध्यान केंद्रित करना चाहिए?</v>
      </c>
      <c r="H251" s="5" t="str">
        <f>IFERROR(__xludf.DUMMYFUNCTION("GOOGLETRANSLATE(C251, ""en"", ""hi"")"),"A)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f>
        <v>A) शेष ऊर्जा का उपयोग हमलों की गति बढ़ाने के लिए करें। B) आगे की क्षति से बचने के लिए रक्षात्मक तकनीकों पर ध्यान केंद्रित करें। C) निर्णायक नॉकआउट प्रहार करने का प्रयास करें। D) ऊर्जा बचाएँ और अंतिम घंटी बजने का इंतज़ार करें।</v>
      </c>
      <c r="I251" s="5" t="str">
        <f>IFERROR(__xludf.DUMMYFUNCTION("GOOGLETRANSLATE(D251, ""en"", ""hi"")"),"ए) शेष ऊर्जा का उपयोग हमलों की गति बढ़ाने के लिए करें।")</f>
        <v>ए) शेष ऊर्जा का उपयोग हमलों की गति बढ़ाने के लिए करें।</v>
      </c>
    </row>
    <row r="252" ht="22.5" customHeight="1">
      <c r="A252" s="2">
        <v>251.0</v>
      </c>
      <c r="B252" s="3" t="s">
        <v>3472</v>
      </c>
      <c r="C252" s="3" t="s">
        <v>3473</v>
      </c>
      <c r="D252" s="3" t="s">
        <v>3474</v>
      </c>
      <c r="F252" s="5" t="str">
        <f>IFERROR(__xludf.DUMMYFUNCTION("GOOGLETRANSLATE(A252, ""en"", ""hi"")"),"251")</f>
        <v>251</v>
      </c>
      <c r="G252" s="5" t="str">
        <f>IFERROR(__xludf.DUMMYFUNCTION("GOOGLETRANSLATE(B252, ""en"", ""hi"")"),"फाइटर A अपनी तकनीकी कुशलता के लिए जाना जाता है, लेकिन फाइटर B ज़्यादा आक्रामक रणनीति अपनाने लगता है। फाइटर B के रवैये का मुकाबला करने के लिए फाइटर A को क्या करना चाहिए?")</f>
        <v>फाइटर A अपनी तकनीकी कुशलता के लिए जाना जाता है, लेकिन फाइटर B ज़्यादा आक्रामक रणनीति अपनाने लगता है। फाइटर B के रवैये का मुकाबला करने के लिए फाइटर A को क्या करना चाहिए?</v>
      </c>
      <c r="H252" s="5" t="str">
        <f>IFERROR(__xludf.DUMMYFUNCTION("GOOGLETRANSLATE(C252, ""en"", ""hi"")"),"क) सटीक प्रहार और संयोजन करने के लिए तकनीकी कौशल का उपयोग करें। ख) हमलों की गति बढ़ाएँ। ग) क्षति से बचने के लिए रक्षात्मक तकनीकों पर ध्यान केंद्रित करें। घ) नॉकआउट प्रहार करने का प्रयास करें।")</f>
        <v>क) सटीक प्रहार और संयोजन करने के लिए तकनीकी कौशल का उपयोग करें। ख) हमलों की गति बढ़ाएँ। ग) क्षति से बचने के लिए रक्षात्मक तकनीकों पर ध्यान केंद्रित करें। घ) नॉकआउट प्रहार करने का प्रयास करें।</v>
      </c>
      <c r="I252" s="5" t="str">
        <f>IFERROR(__xludf.DUMMYFUNCTION("GOOGLETRANSLATE(D252, ""en"", ""hi"")"),"क) सटीक प्रहार और संयोजन करने के लिए तकनीकी कौशल का उपयोग करें।")</f>
        <v>क) सटीक प्रहार और संयोजन करने के लिए तकनीकी कौशल का उपयोग करें।</v>
      </c>
    </row>
    <row r="253" ht="22.5" customHeight="1">
      <c r="A253" s="2">
        <v>252.0</v>
      </c>
      <c r="B253" s="3" t="s">
        <v>3475</v>
      </c>
      <c r="C253" s="3" t="s">
        <v>3476</v>
      </c>
      <c r="D253" s="3" t="s">
        <v>3390</v>
      </c>
      <c r="F253" s="5" t="str">
        <f>IFERROR(__xludf.DUMMYFUNCTION("GOOGLETRANSLATE(A253, ""en"", ""hi"")"),"252")</f>
        <v>252</v>
      </c>
      <c r="G253" s="5" t="str">
        <f>IFERROR(__xludf.DUMMYFUNCTION("GOOGLETRANSLATE(B253, ""en"", ""hi"")"),"फाइटर A और फाइटर B के बीच कड़ा मुकाबला चल रहा है। फाइटर A अपने जैब से प्रभावी रहा है, लेकिन फाइटर B उसका मुकाबला करने लगा है। फाइटर A को अपनी रणनीति में कैसे बदलाव करना चाहिए?")</f>
        <v>फाइटर A और फाइटर B के बीच कड़ा मुकाबला चल रहा है। फाइटर A अपने जैब से प्रभावी रहा है, लेकिन फाइटर B उसका मुकाबला करने लगा है। फाइटर A को अपनी रणनीति में कैसे बदलाव करना चाहिए?</v>
      </c>
      <c r="H253" s="5" t="str">
        <f>IFERROR(__xludf.DUMMYFUNCTION("GOOGLETRANSLATE(C253, ""en"", ""hi"")"),"A) फाइटर B के डिफेंस को भेदने के लिए फ़िंट और कॉम्बिनेशन का इस्तेमाल करें। B) जैब की ताकत बढ़ाएँ। C) रक्षात्मक तकनीकों पर ध्यान केंद्रित करें। D) नॉकआउट वार करने की कोशिश करें।")</f>
        <v>A) फाइटर B के डिफेंस को भेदने के लिए फ़िंट और कॉम्बिनेशन का इस्तेमाल करें। B) जैब की ताकत बढ़ाएँ। C) रक्षात्मक तकनीकों पर ध्यान केंद्रित करें। D) नॉकआउट वार करने की कोशिश करें।</v>
      </c>
      <c r="I253" s="5" t="str">
        <f>IFERROR(__xludf.DUMMYFUNCTION("GOOGLETRANSLATE(D253, ""en"", ""hi"")"),"ए) फाइटर बी की रक्षा को तोड़ने के लिए छल और संयोजन को शामिल करें।")</f>
        <v>ए) फाइटर बी की रक्षा को तोड़ने के लिए छल और संयोजन को शामिल करें।</v>
      </c>
    </row>
    <row r="254" ht="22.5" customHeight="1">
      <c r="A254" s="2">
        <v>253.0</v>
      </c>
      <c r="B254" s="3" t="s">
        <v>3477</v>
      </c>
      <c r="C254" s="3" t="s">
        <v>3478</v>
      </c>
      <c r="D254" s="3" t="s">
        <v>3424</v>
      </c>
      <c r="F254" s="5" t="str">
        <f>IFERROR(__xludf.DUMMYFUNCTION("GOOGLETRANSLATE(A254, ""en"", ""hi"")"),"253")</f>
        <v>253</v>
      </c>
      <c r="G254" s="5" t="str">
        <f>IFERROR(__xludf.DUMMYFUNCTION("GOOGLETRANSLATE(B254, ""en"", ""hi"")"),"फ़ाइटर A अंकों में पीछे चल रहा है और अपनी सहनशक्ति के लिए जाना जाता है। फ़ाइटर A को अंतिम राउंड में किस पर ध्यान केंद्रित करना चाहिए?")</f>
        <v>फ़ाइटर A अंकों में पीछे चल रहा है और अपनी सहनशक्ति के लिए जाना जाता है। फ़ाइटर A को अंतिम राउंड में किस पर ध्यान केंद्रित करना चाहिए?</v>
      </c>
      <c r="H254" s="5" t="str">
        <f>IFERROR(__xludf.DUMMYFUNCTION("GOOGLETRANSLATE(C254, ""en"", ""hi"")"),"A)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f>
        <v>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v>
      </c>
      <c r="I254" s="5" t="str">
        <f>IFERROR(__xludf.DUMMYFUNCTION("GOOGLETRANSLATE(D254, ""en"", ""hi"")"),"ए) फाइटर बी की आक्रामकता से बचने के लिए धीरज का प्रयोग करें।")</f>
        <v>ए) फाइटर बी की आक्रामकता से बचने के लिए धीरज का प्रयोग करें।</v>
      </c>
    </row>
    <row r="255" ht="22.5" customHeight="1">
      <c r="A255" s="2">
        <v>254.0</v>
      </c>
      <c r="B255" s="3" t="s">
        <v>3479</v>
      </c>
      <c r="C255" s="3" t="s">
        <v>3454</v>
      </c>
      <c r="D255" s="3" t="s">
        <v>3432</v>
      </c>
      <c r="F255" s="5" t="str">
        <f>IFERROR(__xludf.DUMMYFUNCTION("GOOGLETRANSLATE(A255, ""en"", ""hi"")"),"254")</f>
        <v>254</v>
      </c>
      <c r="G255" s="5" t="str">
        <f>IFERROR(__xludf.DUMMYFUNCTION("GOOGLETRANSLATE(B255, ""en"", ""hi"")"),"लड़ाकू A अपने शक्तिशाली प्रहारों के लिए जाना जाता है, लेकिन लड़ाकू B उनका पूर्वानुमान लगाकर उनका प्रतिकार करने लगता है। लड़ाकू A को अपनी रणनीति में कैसे बदलाव करना चाहिए?")</f>
        <v>लड़ाकू A अपने शक्तिशाली प्रहारों के लिए जाना जाता है, लेकिन लड़ाकू B उनका पूर्वानुमान लगाकर उनका प्रतिकार करने लगता है। लड़ाकू A को अपनी रणनीति में कैसे बदलाव करना चाहिए?</v>
      </c>
      <c r="H255" s="5" t="str">
        <f>IFERROR(__xludf.DUMMYFUNCTION("GOOGLETRANSLATE(C255, ""en"", ""hi"")"),"A)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f>
        <v>A) फाइटर B के डिफेंस को भेदने के लिए फ़िंट और कॉम्बिनेशन का इस्तेमाल करें। B) स्ट्राइक की ताकत बढ़ाएँ। C) काउंटर से बचने के लिए रक्षात्मक तकनीकों पर ध्यान केंद्रित करें। D) नॉकआउट वार करने की कोशिश करें।</v>
      </c>
      <c r="I255" s="5" t="str">
        <f>IFERROR(__xludf.DUMMYFUNCTION("GOOGLETRANSLATE(D255, ""en"", ""hi"")"),"ए) फाइटर बी की रक्षा को तोड़ने के लिए छल और संयोजनों का प्रयोग करें।")</f>
        <v>ए) फाइटर बी की रक्षा को तोड़ने के लिए छल और संयोजनों का प्रयोग करें।</v>
      </c>
    </row>
    <row r="256" ht="22.5" customHeight="1">
      <c r="A256" s="2">
        <v>255.0</v>
      </c>
      <c r="B256" s="3" t="s">
        <v>3480</v>
      </c>
      <c r="C256" s="3" t="s">
        <v>3439</v>
      </c>
      <c r="D256" s="3" t="s">
        <v>3393</v>
      </c>
      <c r="F256" s="5" t="str">
        <f>IFERROR(__xludf.DUMMYFUNCTION("GOOGLETRANSLATE(A256, ""en"", ""hi"")"),"255")</f>
        <v>255</v>
      </c>
      <c r="G256" s="5" t="str">
        <f>IFERROR(__xludf.DUMMYFUNCTION("GOOGLETRANSLATE(B256, ""en"", ""hi"")"),"फाइटर A अंकों के मामले में आगे है, लेकिन फाइटर B ज़्यादा आक्रामक होता जा रहा है। बढ़त बनाए रखने के लिए फाइटर A को क्या करना चाहिए?")</f>
        <v>फाइटर A अंकों के मामले में आगे है, लेकिन फाइटर B ज़्यादा आक्रामक होता जा रहा है। बढ़त बनाए रखने के लिए फाइटर A को क्या करना चाहिए?</v>
      </c>
      <c r="H256" s="5" t="str">
        <f>IFERROR(__xludf.DUMMYFUNCTION("GOOGLETRANSLATE(C256, ""en"", ""hi"")"),"क)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f>
        <v>क) रक्षात्मक तकनीकों का प्रयोग करें और बढ़त बनाए रखने पर ध्यान केंद्रित करें। ख) नॉकआउट की कोशिश करने के लिए आक्रामकता बढ़ाएँ। ग) फाइटर बी की आक्रामकता का बराबरी से मुकाबला करें। घ) ऊर्जा बचाएँ और अंतिम घंटी का इंतज़ार करें।</v>
      </c>
      <c r="I256" s="5" t="str">
        <f>IFERROR(__xludf.DUMMYFUNCTION("GOOGLETRANSLATE(D256, ""en"", ""hi"")"),"ए) रक्षात्मक तकनीकों का उपयोग करें और बढ़त बनाए रखने पर ध्यान केंद्रित करें।")</f>
        <v>ए) रक्षात्मक तकनीकों का उपयोग करें और बढ़त बनाए रखने पर ध्यान केंद्रित करें।</v>
      </c>
    </row>
    <row r="257" ht="22.5" customHeight="1">
      <c r="A257" s="2">
        <v>256.0</v>
      </c>
      <c r="B257" s="3" t="s">
        <v>3481</v>
      </c>
      <c r="C257" s="3" t="s">
        <v>3383</v>
      </c>
      <c r="D257" s="3" t="s">
        <v>3384</v>
      </c>
      <c r="F257" s="5" t="str">
        <f>IFERROR(__xludf.DUMMYFUNCTION("GOOGLETRANSLATE(A257, ""en"", ""hi"")"),"256")</f>
        <v>256</v>
      </c>
      <c r="G257" s="5" t="str">
        <f>IFERROR(__xludf.DUMMYFUNCTION("GOOGLETRANSLATE(B257, ""en"", ""hi"")"),"फाइटर A और फाइटर B के बीच कांटे का मुकाबला है। फाइटर A अपनी लो किक्स से प्रभावी है, लेकिन फाइटर B उनका अनुमान लगाने लगता है। फाइटर A को कैसे तालमेल बिठाना चाहिए?")</f>
        <v>फाइटर A और फाइटर B के बीच कांटे का मुकाबला है। फाइटर A अपनी लो किक्स से प्रभावी है, लेकिन फाइटर B उनका अनुमान लगाने लगता है। फाइटर A को कैसे तालमेल बिठाना चाहिए?</v>
      </c>
      <c r="H257" s="5" t="str">
        <f>IFERROR(__xludf.DUMMYFUNCTION("GOOGLETRANSLATE(C257, ""en"", ""hi"")"),"A)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f>
        <v>A) ज़्यादा हेड शॉट और कॉम्बिनेशन शामिल करें। B) लो किक्स की आवृत्ति और शक्ति बढ़ाएँ। C) काउंटर से बचने के लिए रक्षात्मक तकनीकों पर ध्यान केंद्रित करें। D) नॉकआउट वार करने का प्रयास करें।</v>
      </c>
      <c r="I257" s="5" t="str">
        <f>IFERROR(__xludf.DUMMYFUNCTION("GOOGLETRANSLATE(D257, ""en"", ""hi"")"),"ए) अधिक हेड शॉट्स और संयोजनों को शामिल करें।")</f>
        <v>ए) अधिक हेड शॉट्स और संयोजनों को शामिल करें।</v>
      </c>
    </row>
    <row r="258" ht="22.5" customHeight="1">
      <c r="A258" s="2">
        <v>257.0</v>
      </c>
      <c r="B258" s="3" t="s">
        <v>3482</v>
      </c>
      <c r="C258" s="3" t="s">
        <v>3483</v>
      </c>
      <c r="D258" s="3" t="s">
        <v>3381</v>
      </c>
      <c r="F258" s="5" t="str">
        <f>IFERROR(__xludf.DUMMYFUNCTION("GOOGLETRANSLATE(A258, ""en"", ""hi"")"),"257")</f>
        <v>257</v>
      </c>
      <c r="G258" s="5" t="str">
        <f>IFERROR(__xludf.DUMMYFUNCTION("GOOGLETRANSLATE(B258, ""en"", ""hi"")"),"फाइटर A अंकों के मामले में पीछे चल रहा है और अपने मज़बूत फ़िनिश के लिए जाना जाता है। फ़ाइटर A को फ़ाइनल राउंड में अपनी ताकत का इस्तेमाल कैसे करना चाहिए?")</f>
        <v>फाइटर A अंकों के मामले में पीछे चल रहा है और अपने मज़बूत फ़िनिश के लिए जाना जाता है। फ़ाइटर A को फ़ाइनल राउंड में अपनी ताकत का इस्तेमाल कैसे करना चाहिए?</v>
      </c>
      <c r="H258" s="5" t="str">
        <f>IFERROR(__xludf.DUMMYFUNCTION("GOOGLETRANSLATE(C258, ""en"", ""hi"")"),"A) हमलों की गति और तीव्रता बढ़ाएँ। B) आगे की क्षति से बचने के लिए रक्षात्मक तकनीकों पर ध्यान केंद्रित करें। C) ऊर्जा बचाएँ और अंतिम घंटी बजने का इंतज़ार करें। D) निर्णायक नॉकआउट प्रहार करने का प्रयास करें।")</f>
        <v>A) हमलों की गति और तीव्रता बढ़ाएँ। B) आगे की क्षति से बचने के लिए रक्षात्मक तकनीकों पर ध्यान केंद्रित करें। C) ऊर्जा बचाएँ और अंतिम घंटी बजने का इंतज़ार करें। D) निर्णायक नॉकआउट प्रहार करने का प्रयास करें।</v>
      </c>
      <c r="I258" s="5" t="str">
        <f>IFERROR(__xludf.DUMMYFUNCTION("GOOGLETRANSLATE(D258, ""en"", ""hi"")"),"क) हमलों की गति और तीव्रता बढ़ाएँ।")</f>
        <v>क) हमलों की गति और तीव्रता बढ़ाएँ।</v>
      </c>
    </row>
    <row r="259" ht="22.5" customHeight="1">
      <c r="A259" s="2">
        <v>258.0</v>
      </c>
      <c r="B259" s="3" t="s">
        <v>3484</v>
      </c>
      <c r="C259" s="3" t="s">
        <v>3423</v>
      </c>
      <c r="D259" s="3" t="s">
        <v>3424</v>
      </c>
      <c r="F259" s="5" t="str">
        <f>IFERROR(__xludf.DUMMYFUNCTION("GOOGLETRANSLATE(A259, ""en"", ""hi"")"),"258")</f>
        <v>258</v>
      </c>
      <c r="G259" s="5" t="str">
        <f>IFERROR(__xludf.DUMMYFUNCTION("GOOGLETRANSLATE(B259, ""en"", ""hi"")"),"लड़ाकू A अपनी सहनशक्ति के लिए जाना जाता है, लेकिन लड़ाकू B ज़्यादा आक्रामक रणनीति अपनाने लगता है। लड़ाकू A को जवाब देने के लिए क्या करना चाहिए?")</f>
        <v>लड़ाकू A अपनी सहनशक्ति के लिए जाना जाता है, लेकिन लड़ाकू B ज़्यादा आक्रामक रणनीति अपनाने लगता है। लड़ाकू A को जवाब देने के लिए क्या करना चाहिए?</v>
      </c>
      <c r="H259" s="5" t="str">
        <f>IFERROR(__xludf.DUMMYFUNCTION("GOOGLETRANSLATE(C259, ""en"", ""hi"")"),"A)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f>
        <v>A) फाइटर B की आक्रामकता को मात देने के लिए धीरज का इस्तेमाल करें। B) फाइटर B की आक्रामकता का बराबरी से मुकाबला करें। C) नुकसान से बचने के लिए रक्षात्मक तकनीकों पर ध्यान केंद्रित करें। D) ऊर्जा बचाएँ और अंतिम घंटी का इंतज़ार करें।</v>
      </c>
      <c r="I259" s="5" t="str">
        <f>IFERROR(__xludf.DUMMYFUNCTION("GOOGLETRANSLATE(D259, ""en"", ""hi"")"),"ए) फाइटर बी की आक्रामकता से बचने के लिए धीरज का प्रयोग करें।")</f>
        <v>ए) फाइटर बी की आक्रामकता से बचने के लिए धीरज का प्रयोग करें।</v>
      </c>
    </row>
    <row r="260" ht="22.5" customHeight="1">
      <c r="A260" s="2">
        <v>259.0</v>
      </c>
      <c r="B260" s="3" t="s">
        <v>3485</v>
      </c>
      <c r="C260" s="3" t="s">
        <v>3448</v>
      </c>
      <c r="D260" s="3" t="s">
        <v>3342</v>
      </c>
      <c r="F260" s="5" t="str">
        <f>IFERROR(__xludf.DUMMYFUNCTION("GOOGLETRANSLATE(A260, ""en"", ""hi"")"),"259")</f>
        <v>259</v>
      </c>
      <c r="G260" s="5" t="str">
        <f>IFERROR(__xludf.DUMMYFUNCTION("GOOGLETRANSLATE(B260, ""en"", ""hi"")"),"फाइटर A और फाइटर B के बीच कड़ा मुकाबला चल रहा है। फाइटर A ज़्यादा फ़िंट और गलत दिशा दिखाने वाले हथकंडे अपनाने लगा है। फाइटर B को अपनी रणनीति में कैसे बदलाव करना चाहिए?")</f>
        <v>फाइटर A और फाइटर B के बीच कड़ा मुकाबला चल रहा है। फाइटर A ज़्यादा फ़िंट और गलत दिशा दिखाने वाले हथकंडे अपनाने लगा है। फाइटर B को अपनी रणनीति में कैसे बदलाव करना चाहिए?</v>
      </c>
      <c r="H260" s="5" t="str">
        <f>IFERROR(__xludf.DUMMYFUNCTION("GOOGLETRANSLATE(C260, ""en"", ""hi"")"),"अ)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f>
        <v>अ) रक्षात्मक तकनीकों और जवाबी हमलों पर ध्यान बढ़ाएँ। ब) फाइटर अ के छल-कपट का मुकाबला बराबरी से करें। स) फाइटर अ पर हावी होने के लिए आक्रामकता बढ़ाएँ। द) वर्तमान गति बनाए रखने पर ध्यान केंद्रित करें।</v>
      </c>
      <c r="I260" s="5" t="str">
        <f>IFERROR(__xludf.DUMMYFUNCTION("GOOGLETRANSLATE(D260, ""en"", ""hi"")"),"ए) रक्षात्मक तकनीकों और जवाबी हमलों पर ध्यान केंद्रित करना।")</f>
        <v>ए) रक्षात्मक तकनीकों और जवाबी हमलों पर ध्यान केंद्रित करना।</v>
      </c>
    </row>
    <row r="261" ht="22.5" customHeight="1">
      <c r="A261" s="2">
        <v>260.0</v>
      </c>
      <c r="B261" s="3" t="s">
        <v>3486</v>
      </c>
      <c r="C261" s="3" t="s">
        <v>3467</v>
      </c>
      <c r="D261" s="3" t="s">
        <v>3387</v>
      </c>
      <c r="F261" s="5" t="str">
        <f>IFERROR(__xludf.DUMMYFUNCTION("GOOGLETRANSLATE(A261, ""en"", ""hi"")"),"260")</f>
        <v>260</v>
      </c>
      <c r="G261" s="5" t="str">
        <f>IFERROR(__xludf.DUMMYFUNCTION("GOOGLETRANSLATE(B261, ""en"", ""hi"")"),"फ़ाइटर A अंकों में पीछे चल रहा है और थकान के लक्षण दिखा रहा है। फ़ाइटर A के लिए अंतिम राउंड में सबसे अच्छी रणनीति क्या है?")</f>
        <v>फ़ाइटर A अंकों में पीछे चल रहा है और थकान के लक्षण दिखा रहा है। फ़ाइटर A के लिए अंतिम राउंड में सबसे अच्छी रणनीति क्या है?</v>
      </c>
      <c r="H261" s="5" t="str">
        <f>IFERROR(__xludf.DUMMYFUNCTION("GOOGLETRANSLATE(C261, ""en"", ""hi"")"),"A)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f>
        <v>A) गति बढ़ाएँ और नॉकआउट का प्रयास करें। B) आगे की क्षति से बचने के लिए रक्षात्मक तकनीकों पर ध्यान केंद्रित करें। C) ऊर्जा बचाएँ और अंतिम घंटी बजने का इंतज़ार करें। D) कुछ शक्तिशाली प्रहार करने का प्रयास करें।</v>
      </c>
      <c r="I261" s="5" t="str">
        <f>IFERROR(__xludf.DUMMYFUNCTION("GOOGLETRANSLATE(D261, ""en"", ""hi"")"),"ए) गति बढ़ाएं और नॉकआउट का प्रयास करें।")</f>
        <v>ए) गति बढ़ाएं और नॉकआउट का प्रयास करें।</v>
      </c>
    </row>
    <row r="262" ht="22.5" customHeight="1">
      <c r="A262" s="2">
        <v>261.0</v>
      </c>
      <c r="B262" s="3" t="s">
        <v>3455</v>
      </c>
      <c r="C262" s="3" t="s">
        <v>3456</v>
      </c>
      <c r="D262" s="3" t="s">
        <v>3437</v>
      </c>
      <c r="F262" s="5" t="str">
        <f>IFERROR(__xludf.DUMMYFUNCTION("GOOGLETRANSLATE(A262, ""en"", ""hi"")"),"261")</f>
        <v>261</v>
      </c>
      <c r="G262" s="5" t="str">
        <f>IFERROR(__xludf.DUMMYFUNCTION("GOOGLETRANSLATE(B262, ""en"", ""hi"")"),"फाइटर A और फाइटर B बराबरी पर हैं। फाइटर A अपनी गति के लिए जाना जाता है, लेकिन फाइटर B दूरी कम करने लगता है। फाइटर A को अपनी रणनीति कैसे बदलनी चाहिए?")</f>
        <v>फाइटर A और फाइटर B बराबरी पर हैं। फाइटर A अपनी गति के लिए जाना जाता है, लेकिन फाइटर B दूरी कम करने लगता है। फाइटर A को अपनी रणनीति कैसे बदलनी चाहिए?</v>
      </c>
      <c r="H262" s="5" t="str">
        <f>IFERROR(__xludf.DUMMYFUNCTION("GOOGLETRANSLATE(C262, ""en"", ""hi"")"),"A) दूरी बनाए रखने के लिए गति और छल-कपट का प्रयोग करें। B) हमलों की गति बढ़ाएँ। C) क्षति से बचने के लिए रक्षात्मक तकनीकों पर ध्यान केंद्रित करें। D) नॉकआउट वार करने का प्रयास करें।")</f>
        <v>A) दूरी बनाए रखने के लिए गति और छल-कपट का प्रयोग करें। B) हमलों की गति बढ़ाएँ। C) क्षति से बचने के लिए रक्षात्मक तकनीकों पर ध्यान केंद्रित करें। D) नॉकआउट वार करने का प्रयास करें।</v>
      </c>
      <c r="I262" s="5" t="str">
        <f>IFERROR(__xludf.DUMMYFUNCTION("GOOGLETRANSLATE(D262, ""en"", ""hi"")"),"ए) दूरी बनाए रखने के लिए चाल और छल का प्रयोग करें।")</f>
        <v>ए) दूरी बनाए रखने के लिए चाल और छल का प्रयोग करें।</v>
      </c>
    </row>
    <row r="263" ht="22.5" customHeight="1">
      <c r="A263" s="2">
        <v>262.0</v>
      </c>
      <c r="B263" s="3" t="s">
        <v>3477</v>
      </c>
      <c r="C263" s="3" t="s">
        <v>3478</v>
      </c>
      <c r="D263" s="3" t="s">
        <v>3424</v>
      </c>
      <c r="F263" s="5" t="str">
        <f>IFERROR(__xludf.DUMMYFUNCTION("GOOGLETRANSLATE(A263, ""en"", ""hi"")"),"262")</f>
        <v>262</v>
      </c>
      <c r="G263" s="5" t="str">
        <f>IFERROR(__xludf.DUMMYFUNCTION("GOOGLETRANSLATE(B263, ""en"", ""hi"")"),"फ़ाइटर A अंकों में पीछे चल रहा है और अपनी सहनशक्ति के लिए जाना जाता है। फ़ाइटर A को अंतिम राउंड में किस पर ध्यान केंद्रित करना चाहिए?")</f>
        <v>फ़ाइटर A अंकों में पीछे चल रहा है और अपनी सहनशक्ति के लिए जाना जाता है। फ़ाइटर A को अंतिम राउंड में किस पर ध्यान केंद्रित करना चाहिए?</v>
      </c>
      <c r="H263" s="5" t="str">
        <f>IFERROR(__xludf.DUMMYFUNCTION("GOOGLETRANSLATE(C263, ""en"", ""hi"")"),"A)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f>
        <v>A) फाइटर B के आक्रमण का सामना करने के लिए धीरज का प्रयोग करें। B) हमलों की गति बढ़ाएँ। C) क्षति से बचने के लिए रक्षात्मक तकनीकों पर ध्यान केंद्रित करें। D) नॉकआउट वार करने का प्रयास करें।</v>
      </c>
      <c r="I263" s="5" t="str">
        <f>IFERROR(__xludf.DUMMYFUNCTION("GOOGLETRANSLATE(D263, ""en"", ""hi"")"),"ए) फाइटर बी की आक्रामकता से बचने के लिए धीरज का प्रयोग करें।")</f>
        <v>ए) फाइटर बी की आक्रामकता से बचने के लिए धीरज का प्रयोग करें।</v>
      </c>
    </row>
    <row r="264" ht="22.5" customHeight="1">
      <c r="A264" s="2">
        <v>263.0</v>
      </c>
      <c r="B264" s="3" t="s">
        <v>3487</v>
      </c>
      <c r="C264" s="3" t="s">
        <v>3488</v>
      </c>
      <c r="D264" s="3" t="s">
        <v>3384</v>
      </c>
      <c r="F264" s="5" t="str">
        <f>IFERROR(__xludf.DUMMYFUNCTION("GOOGLETRANSLATE(A264, ""en"", ""hi"")"),"263")</f>
        <v>263</v>
      </c>
      <c r="G264" s="5" t="str">
        <f>IFERROR(__xludf.DUMMYFUNCTION("GOOGLETRANSLATE(B264, ""en"", ""hi"")"),"फाइटर A और फाइटर B अंतिम दौर में हैं। फाइटर A अपनी लो किक्स से प्रभावी है, लेकिन फाइटर B उसे कवर अप करने लगता है। फाइटर A को एडजस्ट करने के लिए क्या करना चाहिए?")</f>
        <v>फाइटर A और फाइटर B अंतिम दौर में हैं। फाइटर A अपनी लो किक्स से प्रभावी है, लेकिन फाइटर B उसे कवर अप करने लगता है। फाइटर A को एडजस्ट करने के लिए क्या करना चाहिए?</v>
      </c>
      <c r="H264" s="5" t="str">
        <f>IFERROR(__xludf.DUMMYFUNCTION("GOOGLETRANSLATE(C264, ""en"", ""hi"")"),"A) ज़्यादा हेड शॉट और कॉम्बिनेशन शामिल करें। B) लो किक्स की आवृत्ति बढ़ाएँ। C) काउंटर से बचने के लिए रक्षात्मक तकनीकों पर ध्यान केंद्रित करें। D) नॉकआउट वार करने का प्रयास करें।")</f>
        <v>A) ज़्यादा हेड शॉट और कॉम्बिनेशन शामिल करें। B) लो किक्स की आवृत्ति बढ़ाएँ। C) काउंटर से बचने के लिए रक्षात्मक तकनीकों पर ध्यान केंद्रित करें। D) नॉकआउट वार करने का प्रयास करें।</v>
      </c>
      <c r="I264" s="5" t="str">
        <f>IFERROR(__xludf.DUMMYFUNCTION("GOOGLETRANSLATE(D264, ""en"", ""hi"")"),"ए) अधिक हेड शॉट्स और संयोजनों को शामिल करें।")</f>
        <v>ए) अधिक हेड शॉट्स और संयोजनों को शामिल करें।</v>
      </c>
    </row>
    <row r="265" ht="22.5" customHeight="1">
      <c r="A265" s="2">
        <v>264.0</v>
      </c>
      <c r="B265" s="3" t="s">
        <v>3489</v>
      </c>
      <c r="C265" s="3" t="s">
        <v>3490</v>
      </c>
      <c r="D265" s="3" t="s">
        <v>3491</v>
      </c>
      <c r="F265" s="5" t="str">
        <f>IFERROR(__xludf.DUMMYFUNCTION("GOOGLETRANSLATE(A265, ""en"", ""hi"")"),"264")</f>
        <v>264</v>
      </c>
      <c r="G265" s="5" t="str">
        <f>IFERROR(__xludf.DUMMYFUNCTION("GOOGLETRANSLATE(B265, ""en"", ""hi"")"),"फाइटर A अपने शक्तिशाली मुक्कों के लिए जाना जाता है, लेकिन फाइटर B ज़्यादातर हमलों से बचने के लिए तेज़ पैरों का इस्तेमाल कर रहा है। फाइटर A को अपनी रणनीति में कैसे बदलाव करना चाहिए?")</f>
        <v>फाइटर A अपने शक्तिशाली मुक्कों के लिए जाना जाता है, लेकिन फाइटर B ज़्यादातर हमलों से बचने के लिए तेज़ पैरों का इस्तेमाल कर रहा है। फाइटर A को अपनी रणनीति में कैसे बदलाव करना चाहिए?</v>
      </c>
      <c r="H265" s="5" t="str">
        <f>IFERROR(__xludf.DUMMYFUNCTION("GOOGLETRANSLATE(C265, ""en"", ""hi"")"),"A) फाइटर B को धीमा करने के लिए बॉडी शॉट्स पर ध्यान केंद्रित करें। B) शक्तिशाली मुक्कों के साथ जारी रखें। C) रक्षात्मक तकनीकों पर ध्यान केंद्रित करें। D) क्लिंच करने का प्रयास करें।")</f>
        <v>A) फाइटर B को धीमा करने के लिए बॉडी शॉट्स पर ध्यान केंद्रित करें। B) शक्तिशाली मुक्कों के साथ जारी रखें। C) रक्षात्मक तकनीकों पर ध्यान केंद्रित करें। D) क्लिंच करने का प्रयास करें।</v>
      </c>
      <c r="I265" s="5" t="str">
        <f>IFERROR(__xludf.DUMMYFUNCTION("GOOGLETRANSLATE(D265, ""en"", ""hi"")"),"ए) फाइटर बी को धीमा करने के लिए बॉडी शॉट्स पर ध्यान केंद्रित करें।")</f>
        <v>ए) फाइटर बी को धीमा करने के लिए बॉडी शॉट्स पर ध्यान केंद्रित करें।</v>
      </c>
    </row>
    <row r="266" ht="22.5" customHeight="1">
      <c r="A266" s="2">
        <v>265.0</v>
      </c>
      <c r="B266" s="3" t="s">
        <v>3492</v>
      </c>
      <c r="C266" s="3" t="s">
        <v>3493</v>
      </c>
      <c r="D266" s="3" t="s">
        <v>3494</v>
      </c>
      <c r="F266" s="5" t="str">
        <f>IFERROR(__xludf.DUMMYFUNCTION("GOOGLETRANSLATE(A266, ""en"", ""hi"")"),"265")</f>
        <v>265</v>
      </c>
      <c r="G266" s="5" t="str">
        <f>IFERROR(__xludf.DUMMYFUNCTION("GOOGLETRANSLATE(B266, ""en"", ""hi"")"),"एक मुस्तैदी युद्ध मैच के दौरान, फाइटर A अंकों में आगे चल रहा है, लेकिन फाइटर B तेज़ी से जैब लगाने लगता है। अपनी बढ़त बनाए रखने के लिए फाइटर A को क्या करना चाहिए?")</f>
        <v>एक मुस्तैदी युद्ध मैच के दौरान, फाइटर A अंकों में आगे चल रहा है, लेकिन फाइटर B तेज़ी से जैब लगाने लगता है। अपनी बढ़त बनाए रखने के लिए फाइटर A को क्या करना चाहिए?</v>
      </c>
      <c r="H266" s="5" t="str">
        <f>IFERROR(__xludf.DUMMYFUNCTION("GOOGLETRANSLATE(C266, ""en"", ""hi"")"),"A) अपनी रक्षा और जवाबी हमले को बढ़ाएँ। B) फाइटर B को परास्त करने के लिए आक्रामकता बढ़ाएँ। C) नॉकआउट प्रयासों पर ध्यान केंद्रित करें। D) जैब को नज़रअंदाज़ करें और अपनी मूल रणनीति पर चलते रहें।")</f>
        <v>A) अपनी रक्षा और जवाबी हमले को बढ़ाएँ। B) फाइटर B को परास्त करने के लिए आक्रामकता बढ़ाएँ। C) नॉकआउट प्रयासों पर ध्यान केंद्रित करें। D) जैब को नज़रअंदाज़ करें और अपनी मूल रणनीति पर चलते रहें।</v>
      </c>
      <c r="I266" s="5" t="str">
        <f>IFERROR(__xludf.DUMMYFUNCTION("GOOGLETRANSLATE(D266, ""en"", ""hi"")"),"A) अपनी रक्षा और जवाबी हमले को बढ़ाएँ।")</f>
        <v>A) अपनी रक्षा और जवाबी हमले को बढ़ाएँ।</v>
      </c>
    </row>
    <row r="267" ht="22.5" customHeight="1">
      <c r="A267" s="2">
        <v>266.0</v>
      </c>
      <c r="B267" s="3" t="s">
        <v>3495</v>
      </c>
      <c r="C267" s="3" t="s">
        <v>3496</v>
      </c>
      <c r="D267" s="3" t="s">
        <v>3497</v>
      </c>
      <c r="F267" s="5" t="str">
        <f>IFERROR(__xludf.DUMMYFUNCTION("GOOGLETRANSLATE(A267, ""en"", ""hi"")"),"266")</f>
        <v>266</v>
      </c>
      <c r="G267" s="5" t="str">
        <f>IFERROR(__xludf.DUMMYFUNCTION("GOOGLETRANSLATE(B267, ""en"", ""hi"")"),"फाइटर A को पहुँच का फ़ायदा है, लेकिन फाइटर B के नज़दीकी हमलों से उस पर दबाव पड़ रहा है। फाइटर A को नियंत्रण वापस पाने के लिए क्या करना चाहिए?")</f>
        <v>फाइटर A को पहुँच का फ़ायदा है, लेकिन फाइटर B के नज़दीकी हमलों से उस पर दबाव पड़ रहा है। फाइटर A को नियंत्रण वापस पाने के लिए क्या करना चाहिए?</v>
      </c>
      <c r="H267" s="5" t="str">
        <f>IFERROR(__xludf.DUMMYFUNCTION("GOOGLETRANSLATE(C267, ""en"", ""hi"")"),"A) फाइटर B को दूर रखने के लिए जैब और लंबी दूरी के वार का इस्तेमाल करें। B) फाइटर B के नज़दीकी हमलों का मुकाबला करें। C) बचाव पर ध्यान केंद्रित करें और मौके का इंतज़ार करें। D) फाइटर B को पकड़ने और गिराने की कोशिश करें।")</f>
        <v>A) फाइटर B को दूर रखने के लिए जैब और लंबी दूरी के वार का इस्तेमाल करें। B) फाइटर B के नज़दीकी हमलों का मुकाबला करें। C) बचाव पर ध्यान केंद्रित करें और मौके का इंतज़ार करें। D) फाइटर B को पकड़ने और गिराने की कोशिश करें।</v>
      </c>
      <c r="I267" s="5" t="str">
        <f>IFERROR(__xludf.DUMMYFUNCTION("GOOGLETRANSLATE(D267, ""en"", ""hi"")"),"ए) लड़ाकू बी को दूर रखने के लिए जैब और लंबी दूरी के हमलों का उपयोग करें।")</f>
        <v>ए) लड़ाकू बी को दूर रखने के लिए जैब और लंबी दूरी के हमलों का उपयोग करें।</v>
      </c>
    </row>
    <row r="268" ht="22.5" customHeight="1">
      <c r="A268" s="2">
        <v>267.0</v>
      </c>
      <c r="B268" s="3" t="s">
        <v>3498</v>
      </c>
      <c r="C268" s="3" t="s">
        <v>3499</v>
      </c>
      <c r="D268" s="3" t="s">
        <v>3500</v>
      </c>
      <c r="F268" s="5" t="str">
        <f>IFERROR(__xludf.DUMMYFUNCTION("GOOGLETRANSLATE(A268, ""en"", ""hi"")"),"267")</f>
        <v>267</v>
      </c>
      <c r="G268" s="5" t="str">
        <f>IFERROR(__xludf.DUMMYFUNCTION("GOOGLETRANSLATE(B268, ""en"", ""hi"")"),"अंतिम राउंड में, फ़ाइटर A के अंक कम हैं, लेकिन वह अपनी सहनशक्ति के लिए जाना जाता है। फ़ाइटर A को इस राउंड में कैसे आगे बढ़ना चाहिए?")</f>
        <v>अंतिम राउंड में, फ़ाइटर A के अंक कम हैं, लेकिन वह अपनी सहनशक्ति के लिए जाना जाता है। फ़ाइटर A को इस राउंड में कैसे आगे बढ़ना चाहिए?</v>
      </c>
      <c r="H268" s="5" t="str">
        <f>IFERROR(__xludf.DUMMYFUNCTION("GOOGLETRANSLATE(C268, ""en"", ""hi"")"),"A) हमलों की गति बढ़ाएँ और आगे बढ़ें। B) आगे अंक गँवाने से बचने के लिए बचाव पर ध्यान केंद्रित करें। C) ऊर्जा बचाएँ और फाइटर B से गलती की उम्मीद करें। D) जोखिम भरा, पूरी ताकत से हमला करने का प्रयास करें।")</f>
        <v>A) हमलों की गति बढ़ाएँ और आगे बढ़ें। B) आगे अंक गँवाने से बचने के लिए बचाव पर ध्यान केंद्रित करें। C) ऊर्जा बचाएँ और फाइटर B से गलती की उम्मीद करें। D) जोखिम भरा, पूरी ताकत से हमला करने का प्रयास करें।</v>
      </c>
      <c r="I268" s="5" t="str">
        <f>IFERROR(__xludf.DUMMYFUNCTION("GOOGLETRANSLATE(D268, ""en"", ""hi"")"),"ए) हमलों की गति बढ़ाएं और आगे बढ़ें।")</f>
        <v>ए) हमलों की गति बढ़ाएं और आगे बढ़ें।</v>
      </c>
    </row>
    <row r="269" ht="22.5" customHeight="1">
      <c r="A269" s="2">
        <v>268.0</v>
      </c>
      <c r="B269" s="3" t="s">
        <v>3501</v>
      </c>
      <c r="C269" s="3" t="s">
        <v>3502</v>
      </c>
      <c r="D269" s="3" t="s">
        <v>3503</v>
      </c>
      <c r="F269" s="5" t="str">
        <f>IFERROR(__xludf.DUMMYFUNCTION("GOOGLETRANSLATE(A269, ""en"", ""hi"")"),"268")</f>
        <v>268</v>
      </c>
      <c r="G269" s="5" t="str">
        <f>IFERROR(__xludf.DUMMYFUNCTION("GOOGLETRANSLATE(B269, ""en"", ""hi"")"),"फाइटर A अपनी ताकतवर किक्स से दबदबा बना रहा है, लेकिन फाइटर B उन्हें रोकने और काउंटर करने लगता है। फाइटर A को कैसे तालमेल बिठाना चाहिए?")</f>
        <v>फाइटर A अपनी ताकतवर किक्स से दबदबा बना रहा है, लेकिन फाइटर B उन्हें रोकने और काउंटर करने लगता है। फाइटर A को कैसे तालमेल बिठाना चाहिए?</v>
      </c>
      <c r="H269" s="5" t="str">
        <f>IFERROR(__xludf.DUMMYFUNCTION("GOOGLETRANSLATE(C269, ""en"", ""hi"")"),"A) फाइटर B को भ्रमित करने के लिए मुक्कों और छल-कपट का मिश्रण करें। B) उसकी किक की ताकत बढ़ाएँ। C) पूरी तरह से रक्षात्मक तकनीकों पर ध्यान केंद्रित करें। D) एक ज़ोरदार किक से नॉकआउट करने का प्रयास करें।")</f>
        <v>A) फाइटर B को भ्रमित करने के लिए मुक्कों और छल-कपट का मिश्रण करें। B) उसकी किक की ताकत बढ़ाएँ। C) पूरी तरह से रक्षात्मक तकनीकों पर ध्यान केंद्रित करें। D) एक ज़ोरदार किक से नॉकआउट करने का प्रयास करें।</v>
      </c>
      <c r="I269" s="5" t="str">
        <f>IFERROR(__xludf.DUMMYFUNCTION("GOOGLETRANSLATE(D269, ""en"", ""hi"")"),"ए) फाइटर बी को भ्रमित करने के लिए मुक्कों और छल-कपट का मिश्रण करें।")</f>
        <v>ए) फाइटर बी को भ्रमित करने के लिए मुक्कों और छल-कपट का मिश्रण करें।</v>
      </c>
    </row>
    <row r="270" ht="22.5" customHeight="1">
      <c r="A270" s="2">
        <v>269.0</v>
      </c>
      <c r="B270" s="3" t="s">
        <v>3504</v>
      </c>
      <c r="C270" s="3" t="s">
        <v>3505</v>
      </c>
      <c r="D270" s="3" t="s">
        <v>3506</v>
      </c>
      <c r="F270" s="5" t="str">
        <f>IFERROR(__xludf.DUMMYFUNCTION("GOOGLETRANSLATE(A270, ""en"", ""hi"")"),"269")</f>
        <v>269</v>
      </c>
      <c r="G270" s="5" t="str">
        <f>IFERROR(__xludf.DUMMYFUNCTION("GOOGLETRANSLATE(B270, ""en"", ""hi"")"),"फाइटर A अपनी तेज़ रिफ़्लेक्स के लिए जाना जाता है, लेकिन फाइटर B उसे समय पर किए गए काउंटर्स से पकड़ रहा है। इन काउंटर्स से बचने के लिए फाइटर A को किस पर ध्यान देना चाहिए?")</f>
        <v>फाइटर A अपनी तेज़ रिफ़्लेक्स के लिए जाना जाता है, लेकिन फाइटर B उसे समय पर किए गए काउंटर्स से पकड़ रहा है। इन काउंटर्स से बचने के लिए फाइटर A को किस पर ध्यान देना चाहिए?</v>
      </c>
      <c r="H270" s="5" t="str">
        <f>IFERROR(__xludf.DUMMYFUNCTION("GOOGLETRANSLATE(C270, ""en"", ""hi"")"),"A) फाइटर B की टाइमिंग को बिगाड़ने के लिए फ़िंट और कॉम्बिनेशन का इस्तेमाल करें। B) उसके हमलों की गति बढ़ाएँ। C) काउंटर से बचने के लिए फुटवर्क पर ध्यान केंद्रित करें। D) फाइटर B के काउंटर को रोकने का प्रयास करें।")</f>
        <v>A) फाइटर B की टाइमिंग को बिगाड़ने के लिए फ़िंट और कॉम्बिनेशन का इस्तेमाल करें। B) उसके हमलों की गति बढ़ाएँ। C) काउंटर से बचने के लिए फुटवर्क पर ध्यान केंद्रित करें। D) फाइटर B के काउंटर को रोकने का प्रयास करें।</v>
      </c>
      <c r="I270" s="5" t="str">
        <f>IFERROR(__xludf.DUMMYFUNCTION("GOOGLETRANSLATE(D270, ""en"", ""hi"")"),"ए) फाइटर बी की टाइमिंग को बाधित करने के लिए छल और संयोजन का उपयोग करें।")</f>
        <v>ए) फाइटर बी की टाइमिंग को बाधित करने के लिए छल और संयोजन का उपयोग करें।</v>
      </c>
    </row>
    <row r="271" ht="22.5" customHeight="1">
      <c r="A271" s="2">
        <v>270.0</v>
      </c>
      <c r="B271" s="3" t="s">
        <v>3507</v>
      </c>
      <c r="C271" s="3" t="s">
        <v>3508</v>
      </c>
      <c r="D271" s="3" t="s">
        <v>3509</v>
      </c>
      <c r="F271" s="5" t="str">
        <f>IFERROR(__xludf.DUMMYFUNCTION("GOOGLETRANSLATE(A271, ""en"", ""hi"")"),"270")</f>
        <v>270</v>
      </c>
      <c r="G271" s="5" t="str">
        <f>IFERROR(__xludf.DUMMYFUNCTION("GOOGLETRANSLATE(B271, ""en"", ""hi"")"),"एक मुस्तैदी युद्ध मैच में, फाइटर A मुक्कों को रोकने के लिए हाई गार्ड का इस्तेमाल कर रहा है, लेकिन फाइटर B शरीर को निशाना बना रहा है। फाइटर A को क्या करना चाहिए?")</f>
        <v>एक मुस्तैदी युद्ध मैच में, फाइटर A मुक्कों को रोकने के लिए हाई गार्ड का इस्तेमाल कर रहा है, लेकिन फाइटर B शरीर को निशाना बना रहा है। फाइटर A को क्या करना चाहिए?</v>
      </c>
      <c r="H271" s="5" t="str">
        <f>IFERROR(__xludf.DUMMYFUNCTION("GOOGLETRANSLATE(C271, ""en"", ""hi"")"),"A) शरीर की सुरक्षा के लिए अपनी सुरक्षा कम करें और सिर पर लगने वाले वार से बचने के लिए पैरों का इस्तेमाल करें। B) मुक्कों को रोकते रहें और मौका मिलने का इंतज़ार करें। C) आक्रामकता बढ़ाएँ और फाइटर B को परास्त करने की कोशिश करें। D) फाइटर B को जकड़ने और उसे "&amp;"धीमा करने की कोशिश करें।")</f>
        <v>A) शरीर की सुरक्षा के लिए अपनी सुरक्षा कम करें और सिर पर लगने वाले वार से बचने के लिए पैरों का इस्तेमाल करें। B) मुक्कों को रोकते रहें और मौका मिलने का इंतज़ार करें। C) आक्रामकता बढ़ाएँ और फाइटर B को परास्त करने की कोशिश करें। D) फाइटर B को जकड़ने और उसे धीमा करने की कोशिश करें।</v>
      </c>
      <c r="I271" s="5" t="str">
        <f>IFERROR(__xludf.DUMMYFUNCTION("GOOGLETRANSLATE(D271, ""en"", ""hi"")"),"A) सिर पर लगने वाली चोट से बचने के लिए पैरों का इस्तेमाल करते हुए शरीर की सुरक्षा के लिए अपना गार्ड कम कर लें।")</f>
        <v>A) सिर पर लगने वाली चोट से बचने के लिए पैरों का इस्तेमाल करते हुए शरीर की सुरक्षा के लिए अपना गार्ड कम कर लें।</v>
      </c>
    </row>
    <row r="272" ht="22.5" customHeight="1">
      <c r="A272" s="2">
        <v>271.0</v>
      </c>
      <c r="B272" s="3" t="s">
        <v>3510</v>
      </c>
      <c r="C272" s="3" t="s">
        <v>3511</v>
      </c>
      <c r="D272" s="3" t="s">
        <v>3512</v>
      </c>
      <c r="F272" s="5" t="str">
        <f>IFERROR(__xludf.DUMMYFUNCTION("GOOGLETRANSLATE(A272, ""en"", ""hi"")"),"271")</f>
        <v>271</v>
      </c>
      <c r="G272" s="5" t="str">
        <f>IFERROR(__xludf.DUMMYFUNCTION("GOOGLETRANSLATE(B272, ""en"", ""hi"")"),"फाइटर A के अंक कम हैं और जीतने के लिए सिर्फ़ एक राउंड बचा है। फाइटर B सुरक्षित खेल रहा है और डिफेंस पर ध्यान दे रहा है। फाइटर A की सबसे अच्छी रणनीति क्या है?")</f>
        <v>फाइटर A के अंक कम हैं और जीतने के लिए सिर्फ़ एक राउंड बचा है। फाइटर B सुरक्षित खेल रहा है और डिफेंस पर ध्यान दे रहा है। फाइटर A की सबसे अच्छी रणनीति क्या है?</v>
      </c>
      <c r="H272" s="5" t="str">
        <f>IFERROR(__xludf.DUMMYFUNCTION("GOOGLETRANSLATE(C272, ""en"", ""hi"")"),"A)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f>
        <v>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v>
      </c>
      <c r="I272" s="5" t="str">
        <f>IFERROR(__xludf.DUMMYFUNCTION("GOOGLETRANSLATE(D272, ""en"", ""hi"")"),"ए) आक्रामकता बढ़ाएँ और नॉकआउट के लिए प्रयास करें।")</f>
        <v>ए) आक्रामकता बढ़ाएँ और नॉकआउट के लिए प्रयास करें।</v>
      </c>
    </row>
    <row r="273" ht="22.5" customHeight="1">
      <c r="A273" s="2">
        <v>272.0</v>
      </c>
      <c r="B273" s="3" t="s">
        <v>3513</v>
      </c>
      <c r="C273" s="3" t="s">
        <v>3514</v>
      </c>
      <c r="D273" s="3" t="s">
        <v>3515</v>
      </c>
      <c r="F273" s="5" t="str">
        <f>IFERROR(__xludf.DUMMYFUNCTION("GOOGLETRANSLATE(A273, ""en"", ""hi"")"),"272")</f>
        <v>272</v>
      </c>
      <c r="G273" s="5" t="str">
        <f>IFERROR(__xludf.DUMMYFUNCTION("GOOGLETRANSLATE(B273, ""en"", ""hi"")"),"फाइटर A लगातार फाइटर B पर लेग किक मार रहा है, लेकिन फाइटर B उन्हें रोकने लगता है। फाइटर A को अब क्या करना चाहिए?")</f>
        <v>फाइटर A लगातार फाइटर B पर लेग किक मार रहा है, लेकिन फाइटर B उन्हें रोकने लगता है। फाइटर A को अब क्या करना चाहिए?</v>
      </c>
      <c r="H273" s="5" t="str">
        <f>IFERROR(__xludf.DUMMYFUNCTION("GOOGLETRANSLATE(C273, ""en"", ""hi"")"),"A) फाइटर B को उलझन में रखने के लिए तेज़ किक या पंच लगाएँ। B) उसके लेग किक की ताकत बढ़ाएँ। C) काउंटर से बचने के लिए रक्षात्मक तकनीकों पर ध्यान केंद्रित करें। D) नॉकआउट पंच लगाने की कोशिश करें।")</f>
        <v>A) फाइटर B को उलझन में रखने के लिए तेज़ किक या पंच लगाएँ। B) उसके लेग किक की ताकत बढ़ाएँ। C) काउंटर से बचने के लिए रक्षात्मक तकनीकों पर ध्यान केंद्रित करें। D) नॉकआउट पंच लगाने की कोशिश करें।</v>
      </c>
      <c r="I273" s="5" t="str">
        <f>IFERROR(__xludf.DUMMYFUNCTION("GOOGLETRANSLATE(D273, ""en"", ""hi"")"),"ए) फाइटर बी को उलझन में रखने के लिए ऊंची किक या घूंसे का प्रयोग करें।")</f>
        <v>ए) फाइटर बी को उलझन में रखने के लिए ऊंची किक या घूंसे का प्रयोग करें।</v>
      </c>
    </row>
    <row r="274" ht="22.5" customHeight="1">
      <c r="A274" s="2">
        <v>273.0</v>
      </c>
      <c r="B274" s="3" t="s">
        <v>3516</v>
      </c>
      <c r="C274" s="3" t="s">
        <v>3517</v>
      </c>
      <c r="D274" s="3" t="s">
        <v>3518</v>
      </c>
      <c r="F274" s="5" t="str">
        <f>IFERROR(__xludf.DUMMYFUNCTION("GOOGLETRANSLATE(A274, ""en"", ""hi"")"),"273")</f>
        <v>273</v>
      </c>
      <c r="G274" s="5" t="str">
        <f>IFERROR(__xludf.DUMMYFUNCTION("GOOGLETRANSLATE(B274, ""en"", ""hi"")"),"फाइटर A, फाइटर B पर रस्सियों के सहारे दबाव बना रहा है, लेकिन फाइटर B प्रभावी ढंग से जवाबी हमला कर रहा है। बिना जवाबी हमले के दबाव बनाए रखने के लिए फाइटर A को क्या करना चाहिए?")</f>
        <v>फाइटर A, फाइटर B पर रस्सियों के सहारे दबाव बना रहा है, लेकिन फाइटर B प्रभावी ढंग से जवाबी हमला कर रहा है। बिना जवाबी हमले के दबाव बनाए रखने के लिए फाइटर A को क्या करना चाहिए?</v>
      </c>
      <c r="H274" s="5" t="str">
        <f>IFERROR(__xludf.DUMMYFUNCTION("GOOGLETRANSLATE(C274, ""en"", ""hi"")"),"A) फाइटर B के डिफेंस को खोलने के लिए फाइन्ट और कॉम्बिनेशन का इस्तेमाल करें। B) उसके हमलों की ताकत बढ़ाएँ। C) डिफेंस पर ध्यान केंद्रित करें और फाइटर B के थकने का इंतज़ार करें। D) क्लिंच करने और घुटने से वार करने की कोशिश करें।")</f>
        <v>A) फाइटर B के डिफेंस को खोलने के लिए फाइन्ट और कॉम्बिनेशन का इस्तेमाल करें। B) उसके हमलों की ताकत बढ़ाएँ। C) डिफेंस पर ध्यान केंद्रित करें और फाइटर B के थकने का इंतज़ार करें। D) क्लिंच करने और घुटने से वार करने की कोशिश करें।</v>
      </c>
      <c r="I274" s="5" t="str">
        <f>IFERROR(__xludf.DUMMYFUNCTION("GOOGLETRANSLATE(D274, ""en"", ""hi"")"),"ए) फाइटर बी की रक्षा को खोलने के लिए छल और संयोजन का उपयोग करें।")</f>
        <v>ए) फाइटर बी की रक्षा को खोलने के लिए छल और संयोजन का उपयोग करें।</v>
      </c>
    </row>
    <row r="275" ht="22.5" customHeight="1">
      <c r="A275" s="2">
        <v>274.0</v>
      </c>
      <c r="B275" s="3" t="s">
        <v>3519</v>
      </c>
      <c r="C275" s="3" t="s">
        <v>3520</v>
      </c>
      <c r="D275" s="3" t="s">
        <v>3521</v>
      </c>
      <c r="F275" s="5" t="str">
        <f>IFERROR(__xludf.DUMMYFUNCTION("GOOGLETRANSLATE(A275, ""en"", ""hi"")"),"274")</f>
        <v>274</v>
      </c>
      <c r="G275" s="5" t="str">
        <f>IFERROR(__xludf.DUMMYFUNCTION("GOOGLETRANSLATE(B275, ""en"", ""hi"")"),"फाइटर A अंकों के मामले में आगे है, लेकिन फ़ाइटर B अंतिम राउंड में ज़्यादा आक्रामक हो गया है। फाइटर A को कैसे एडजस्ट करना चाहिए?")</f>
        <v>फाइटर A अंकों के मामले में आगे है, लेकिन फ़ाइटर B अंतिम राउंड में ज़्यादा आक्रामक हो गया है। फाइटर A को कैसे एडजस्ट करना चाहिए?</v>
      </c>
      <c r="H275" s="5" t="str">
        <f>IFERROR(__xludf.DUMMYFUNCTION("GOOGLETRANSLATE(C275, ""en"", ""hi"")"),"A) बचाव और जवाबी हमलों पर ध्यान केंद्रित करना। B) लड़ाकू B को परास्त करने के लिए अपनी आक्रामकता बढ़ाना। C) ऊर्जा बचाना और मुठभेड़ से बचना। D) जीत सुनिश्चित करने के लिए नॉकआउट करने का प्रयास करना।")</f>
        <v>A) बचाव और जवाबी हमलों पर ध्यान केंद्रित करना। B) लड़ाकू B को परास्त करने के लिए अपनी आक्रामकता बढ़ाना। C) ऊर्जा बचाना और मुठभेड़ से बचना। D) जीत सुनिश्चित करने के लिए नॉकआउट करने का प्रयास करना।</v>
      </c>
      <c r="I275" s="5" t="str">
        <f>IFERROR(__xludf.DUMMYFUNCTION("GOOGLETRANSLATE(D275, ""en"", ""hi"")"),"ए) रक्षा और जवाबी हमलों पर ध्यान केंद्रित करें।")</f>
        <v>ए) रक्षा और जवाबी हमलों पर ध्यान केंद्रित करें।</v>
      </c>
    </row>
    <row r="276" ht="22.5" customHeight="1">
      <c r="A276" s="2">
        <v>275.0</v>
      </c>
      <c r="B276" s="3" t="s">
        <v>3522</v>
      </c>
      <c r="C276" s="3" t="s">
        <v>3523</v>
      </c>
      <c r="D276" s="3" t="s">
        <v>3524</v>
      </c>
      <c r="F276" s="5" t="str">
        <f>IFERROR(__xludf.DUMMYFUNCTION("GOOGLETRANSLATE(A276, ""en"", ""hi"")"),"275")</f>
        <v>275</v>
      </c>
      <c r="G276" s="5" t="str">
        <f>IFERROR(__xludf.DUMMYFUNCTION("GOOGLETRANSLATE(B276, ""en"", ""hi"")"),"फाइटर A अपनी गति से हावी हो रहा है, लेकिन फाइटर B उसके हमलों का अंदाज़ा लगाकर उनका मुकाबला करने लगता है। फाइटर A को क्या करना चाहिए?")</f>
        <v>फाइटर A अपनी गति से हावी हो रहा है, लेकिन फाइटर B उसके हमलों का अंदाज़ा लगाकर उनका मुकाबला करने लगता है। फाइटर A को क्या करना चाहिए?</v>
      </c>
      <c r="H276" s="5" t="str">
        <f>IFERROR(__xludf.DUMMYFUNCTION("GOOGLETRANSLATE(C276, ""en"", ""hi"")"),"A) छल-कपट का प्रयोग करें और उसके हमलों की लय बदलें। B) उसके हमलों की गति को और भी बढ़ाएँ। C) बचाव पर ध्यान केंद्रित करें और मौके का इंतज़ार करें। D) फाइटर B को जल्दी से नॉकआउट करने का प्रयास करें।")</f>
        <v>A) छल-कपट का प्रयोग करें और उसके हमलों की लय बदलें। B) उसके हमलों की गति को और भी बढ़ाएँ। C) बचाव पर ध्यान केंद्रित करें और मौके का इंतज़ार करें। D) फाइटर B को जल्दी से नॉकआउट करने का प्रयास करें।</v>
      </c>
      <c r="I276" s="5" t="str">
        <f>IFERROR(__xludf.DUMMYFUNCTION("GOOGLETRANSLATE(D276, ""en"", ""hi"")"),"ए) छल-कपट का प्रयोग करें और अपने हमलों की लय बदलें।")</f>
        <v>ए) छल-कपट का प्रयोग करें और अपने हमलों की लय बदलें।</v>
      </c>
    </row>
    <row r="277" ht="22.5" customHeight="1">
      <c r="A277" s="2">
        <v>276.0</v>
      </c>
      <c r="B277" s="3" t="s">
        <v>3525</v>
      </c>
      <c r="C277" s="3" t="s">
        <v>3526</v>
      </c>
      <c r="D277" s="3" t="s">
        <v>3527</v>
      </c>
      <c r="F277" s="5" t="str">
        <f>IFERROR(__xludf.DUMMYFUNCTION("GOOGLETRANSLATE(A277, ""en"", ""hi"")"),"276")</f>
        <v>276</v>
      </c>
      <c r="G277" s="5" t="str">
        <f>IFERROR(__xludf.DUMMYFUNCTION("GOOGLETRANSLATE(B277, ""en"", ""hi"")"),"फाइटर ए अंकों में पीछे है लेकिन उसके पास फाइटर बी से अधिक सहनशक्ति है। मैच को पलटने के लिए फाइटर ए को किस पर ध्यान केंद्रित करना चाहिए?")</f>
        <v>फाइटर ए अंकों में पीछे है लेकिन उसके पास फाइटर बी से अधिक सहनशक्ति है। मैच को पलटने के लिए फाइटर ए को किस पर ध्यान केंद्रित करना चाहिए?</v>
      </c>
      <c r="H277" s="5" t="str">
        <f>IFERROR(__xludf.DUMMYFUNCTION("GOOGLETRANSLATE(C277, ""en"", ""hi"")"),"A) गति बढ़ाएँ और फाइटर B पर दबाव डालकर उसे थका दें। B) साफ-सुथरे हमलों से अंक हासिल करने पर ध्यान केंद्रित करें। C) ऊर्जा बचाएँ और मौके का इंतज़ार करें। D) जोखिम भरे, शक्तिशाली हमले करें।")</f>
        <v>A) गति बढ़ाएँ और फाइटर B पर दबाव डालकर उसे थका दें। B) साफ-सुथरे हमलों से अंक हासिल करने पर ध्यान केंद्रित करें। C) ऊर्जा बचाएँ और मौके का इंतज़ार करें। D) जोखिम भरे, शक्तिशाली हमले करें।</v>
      </c>
      <c r="I277" s="5" t="str">
        <f>IFERROR(__xludf.DUMMYFUNCTION("GOOGLETRANSLATE(D277, ""en"", ""hi"")"),"ए) गति बढ़ाएं और फाइटर बी पर दबाव डालकर उसे थका दें।")</f>
        <v>ए) गति बढ़ाएं और फाइटर बी पर दबाव डालकर उसे थका दें।</v>
      </c>
    </row>
    <row r="278" ht="22.5" customHeight="1">
      <c r="A278" s="2">
        <v>277.0</v>
      </c>
      <c r="B278" s="3" t="s">
        <v>3528</v>
      </c>
      <c r="C278" s="3" t="s">
        <v>3529</v>
      </c>
      <c r="D278" s="3" t="s">
        <v>3530</v>
      </c>
      <c r="F278" s="5" t="str">
        <f>IFERROR(__xludf.DUMMYFUNCTION("GOOGLETRANSLATE(A278, ""en"", ""hi"")"),"277")</f>
        <v>277</v>
      </c>
      <c r="G278" s="5" t="str">
        <f>IFERROR(__xludf.DUMMYFUNCTION("GOOGLETRANSLATE(B278, ""en"", ""hi"")"),"फाइटर A अपने शक्तिशाली मुक्कों के लिए जाना जाता है, लेकिन फाइटर B तेज़ और प्रभावी काउंटर लगा रहा है। फाइटर A को अपनी रणनीति में कैसे बदलाव करना चाहिए?")</f>
        <v>फाइटर A अपने शक्तिशाली मुक्कों के लिए जाना जाता है, लेकिन फाइटर B तेज़ और प्रभावी काउंटर लगा रहा है। फाइटर A को अपनी रणनीति में कैसे बदलाव करना चाहिए?</v>
      </c>
      <c r="H278" s="5" t="str">
        <f>IFERROR(__xludf.DUMMYFUNCTION("GOOGLETRANSLATE(C278, ""en"", ""hi"")"),"A) फाइटर B के काउंटरों को बाधित करने के लिए अधिक फ़िंट और संयोजनों का उपयोग करें। B) उसके मुक्कों की शक्ति बढ़ाने पर ध्यान केंद्रित करें। C) बचाव पर ध्यान केंद्रित करें और काउंटरों से बचें। D) एक ज़ोरदार मुक्के से फाइटर B को नॉकआउट करने का प्रयास करें।")</f>
        <v>A) फाइटर B के काउंटरों को बाधित करने के लिए अधिक फ़िंट और संयोजनों का उपयोग करें। B) उसके मुक्कों की शक्ति बढ़ाने पर ध्यान केंद्रित करें। C) बचाव पर ध्यान केंद्रित करें और काउंटरों से बचें। D) एक ज़ोरदार मुक्के से फाइटर B को नॉकआउट करने का प्रयास करें।</v>
      </c>
      <c r="I278" s="5" t="str">
        <f>IFERROR(__xludf.DUMMYFUNCTION("GOOGLETRANSLATE(D278, ""en"", ""hi"")"),"ए) फाइटर बी के काउंटरों को बाधित करने के लिए अधिक छल और संयोजनों का उपयोग करें।")</f>
        <v>ए) फाइटर बी के काउंटरों को बाधित करने के लिए अधिक छल और संयोजनों का उपयोग करें।</v>
      </c>
    </row>
    <row r="279" ht="22.5" customHeight="1">
      <c r="A279" s="2">
        <v>278.0</v>
      </c>
      <c r="B279" s="3" t="s">
        <v>3531</v>
      </c>
      <c r="C279" s="3" t="s">
        <v>3532</v>
      </c>
      <c r="D279" s="3" t="s">
        <v>3533</v>
      </c>
      <c r="F279" s="5" t="str">
        <f>IFERROR(__xludf.DUMMYFUNCTION("GOOGLETRANSLATE(A279, ""en"", ""hi"")"),"278")</f>
        <v>278</v>
      </c>
      <c r="G279" s="5" t="str">
        <f>IFERROR(__xludf.DUMMYFUNCTION("GOOGLETRANSLATE(B279, ""en"", ""hi"")"),"फाइटर A लो किक्स का प्रभावी ढंग से इस्तेमाल कर रहा है, लेकिन फाइटर B उन्हें रोकने लगता है। अपनी बढ़त बनाए रखने के लिए फाइटर A को क्या करना चाहिए?")</f>
        <v>फाइटर A लो किक्स का प्रभावी ढंग से इस्तेमाल कर रहा है, लेकिन फाइटर B उन्हें रोकने लगता है। अपनी बढ़त बनाए रखने के लिए फाइटर A को क्या करना चाहिए?</v>
      </c>
      <c r="H279" s="5" t="str">
        <f>IFERROR(__xludf.DUMMYFUNCTION("GOOGLETRANSLATE(C279, ""en"", ""hi"")"),"A) फाइटर B को उलझन में रखने के लिए पंच और हाई किक का मिश्रण करें। B) उसकी लो किक की ताकत बढ़ाएँ। C) बचाव पर ध्यान केंद्रित करें और मौके का इंतज़ार करें। D) नॉकआउट पंच लगाने की कोशिश करें।")</f>
        <v>A) फाइटर B को उलझन में रखने के लिए पंच और हाई किक का मिश्रण करें। B) उसकी लो किक की ताकत बढ़ाएँ। C) बचाव पर ध्यान केंद्रित करें और मौके का इंतज़ार करें। D) नॉकआउट पंच लगाने की कोशिश करें।</v>
      </c>
      <c r="I279" s="5" t="str">
        <f>IFERROR(__xludf.DUMMYFUNCTION("GOOGLETRANSLATE(D279, ""en"", ""hi"")"),"ए) फाइटर बी को उलझन में रखने के लिए मुक्के और ऊंची किक का प्रयोग करें।")</f>
        <v>ए) फाइटर बी को उलझन में रखने के लिए मुक्के और ऊंची किक का प्रयोग करें।</v>
      </c>
    </row>
    <row r="280" ht="22.5" customHeight="1">
      <c r="A280" s="2">
        <v>279.0</v>
      </c>
      <c r="B280" s="3" t="s">
        <v>3534</v>
      </c>
      <c r="C280" s="3" t="s">
        <v>3535</v>
      </c>
      <c r="D280" s="3" t="s">
        <v>3536</v>
      </c>
      <c r="F280" s="5" t="str">
        <f>IFERROR(__xludf.DUMMYFUNCTION("GOOGLETRANSLATE(A280, ""en"", ""hi"")"),"279")</f>
        <v>279</v>
      </c>
      <c r="G280" s="5" t="str">
        <f>IFERROR(__xludf.DUMMYFUNCTION("GOOGLETRANSLATE(B280, ""en"", ""hi"")"),"फाइटर A अपनी गति के लिए जाना जाता है, लेकिन फाइटर B इस बढ़त को कम करने के लिए दूरी कम करने लगता है। फाइटर A को किस पर ध्यान केंद्रित करना चाहिए?")</f>
        <v>फाइटर A अपनी गति के लिए जाना जाता है, लेकिन फाइटर B इस बढ़त को कम करने के लिए दूरी कम करने लगता है। फाइटर A को किस पर ध्यान केंद्रित करना चाहिए?</v>
      </c>
      <c r="H280" s="5" t="str">
        <f>IFERROR(__xludf.DUMMYFUNCTION("GOOGLETRANSLATE(C280, ""en"", ""hi"")"),"A) दूरी बनाए रखने के लिए गति और कोण का प्रयोग करें। B) अपने मुक्कों की गति बढ़ाएँ। C) बचाव पर ध्यान केंद्रित करें और मौके का इंतज़ार करें। D) फाइटर B को पकड़ने और बेअसर करने का प्रयास करें।")</f>
        <v>A) दूरी बनाए रखने के लिए गति और कोण का प्रयोग करें। B) अपने मुक्कों की गति बढ़ाएँ। C) बचाव पर ध्यान केंद्रित करें और मौके का इंतज़ार करें। D) फाइटर B को पकड़ने और बेअसर करने का प्रयास करें।</v>
      </c>
      <c r="I280" s="5" t="str">
        <f>IFERROR(__xludf.DUMMYFUNCTION("GOOGLETRANSLATE(D280, ""en"", ""hi"")"),"क) दूरी बनाए रखने के लिए गति और कोण का उपयोग करें।")</f>
        <v>क) दूरी बनाए रखने के लिए गति और कोण का उपयोग करें।</v>
      </c>
    </row>
    <row r="281" ht="22.5" customHeight="1">
      <c r="A281" s="2">
        <v>280.0</v>
      </c>
      <c r="B281" s="3" t="s">
        <v>3537</v>
      </c>
      <c r="C281" s="3" t="s">
        <v>3511</v>
      </c>
      <c r="D281" s="3" t="s">
        <v>3512</v>
      </c>
      <c r="F281" s="5" t="str">
        <f>IFERROR(__xludf.DUMMYFUNCTION("GOOGLETRANSLATE(A281, ""en"", ""hi"")"),"280")</f>
        <v>280</v>
      </c>
      <c r="G281" s="5" t="str">
        <f>IFERROR(__xludf.DUMMYFUNCTION("GOOGLETRANSLATE(B281, ""en"", ""hi"")"),"फाइटर A अंकों के मामले में पीछे चल रहा है और उसके पास जीतने के लिए सिर्फ़ एक राउंड बचा है। फाइटर B सुरक्षित खेल रहा है और डिफेंस पर ध्यान केंद्रित कर रहा है। फाइटर A की सबसे अच्छी रणनीति क्या है?")</f>
        <v>फाइटर A अंकों के मामले में पीछे चल रहा है और उसके पास जीतने के लिए सिर्फ़ एक राउंड बचा है। फाइटर B सुरक्षित खेल रहा है और डिफेंस पर ध्यान केंद्रित कर रहा है। फाइटर A की सबसे अच्छी रणनीति क्या है?</v>
      </c>
      <c r="H281" s="5" t="str">
        <f>IFERROR(__xludf.DUMMYFUNCTION("GOOGLETRANSLATE(C281, ""en"", ""hi"")"),"A)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f>
        <v>A) आक्रामकता बढ़ाएँ और नॉकआउट की कोशिश करें। B) क्लीन स्ट्राइक के ज़रिए अंक बनाने पर ध्यान केंद्रित करें। C) ऊर्जा बचाएँ और उम्मीद करें कि फाइटर B गलती करे। D) आगे की क्षति से बचने के लिए रक्षात्मक तकनीकों पर ध्यान केंद्रित करें।</v>
      </c>
      <c r="I281" s="5" t="str">
        <f>IFERROR(__xludf.DUMMYFUNCTION("GOOGLETRANSLATE(D281, ""en"", ""hi"")"),"ए) आक्रामकता बढ़ाएँ और नॉकआउट के लिए प्रयास करें।")</f>
        <v>ए) आक्रामकता बढ़ाएँ और नॉकआउट के लिए प्रयास करें।</v>
      </c>
    </row>
    <row r="282" ht="22.5" customHeight="1">
      <c r="A282" s="2">
        <v>281.0</v>
      </c>
      <c r="B282" s="3" t="s">
        <v>3538</v>
      </c>
      <c r="C282" s="3" t="s">
        <v>3539</v>
      </c>
      <c r="D282" s="3" t="s">
        <v>3540</v>
      </c>
      <c r="F282" s="5" t="str">
        <f>IFERROR(__xludf.DUMMYFUNCTION("GOOGLETRANSLATE(A282, ""en"", ""hi"")"),"281")</f>
        <v>281</v>
      </c>
      <c r="G282" s="5" t="str">
        <f>IFERROR(__xludf.DUMMYFUNCTION("GOOGLETRANSLATE(B282, ""en"", ""hi"")"),"फाइटर A ज़ोरदार बॉडी शॉट लगा रहा है, लेकिन फाइटर B अभी भी आक्रामक तरीके से आगे बढ़ रहा है। फाइटर A को दबाव का सामना कैसे करना चाहिए?")</f>
        <v>फाइटर A ज़ोरदार बॉडी शॉट लगा रहा है, लेकिन फाइटर B अभी भी आक्रामक तरीके से आगे बढ़ रहा है। फाइटर A को दबाव का सामना कैसे करना चाहिए?</v>
      </c>
      <c r="H282" s="5" t="str">
        <f>IFERROR(__xludf.DUMMYFUNCTION("GOOGLETRANSLATE(C282, ""en"", ""hi"")"),"A) फाइटर B को धीमा करने के लिए मूवमेंट और काउंटरअटैक का इस्तेमाल करें। B) उसके बॉडी शॉट्स की ताकत बढ़ाएँ। C) डिफेंस पर ध्यान केंद्रित करें और टकराव से बचें। D) नॉकआउट पंच लगाने की कोशिश करें।")</f>
        <v>A) फाइटर B को धीमा करने के लिए मूवमेंट और काउंटरअटैक का इस्तेमाल करें। B) उसके बॉडी शॉट्स की ताकत बढ़ाएँ। C) डिफेंस पर ध्यान केंद्रित करें और टकराव से बचें। D) नॉकआउट पंच लगाने की कोशिश करें।</v>
      </c>
      <c r="I282" s="5" t="str">
        <f>IFERROR(__xludf.DUMMYFUNCTION("GOOGLETRANSLATE(D282, ""en"", ""hi"")"),"ए) लड़ाकू बी को धीमा करने के लिए आंदोलन और जवाबी हमलों का उपयोग करें।")</f>
        <v>ए) लड़ाकू बी को धीमा करने के लिए आंदोलन और जवाबी हमलों का उपयोग करें।</v>
      </c>
    </row>
    <row r="283" ht="22.5" customHeight="1">
      <c r="A283" s="2">
        <v>282.0</v>
      </c>
      <c r="B283" s="3" t="s">
        <v>3541</v>
      </c>
      <c r="C283" s="3" t="s">
        <v>3542</v>
      </c>
      <c r="D283" s="3" t="s">
        <v>3543</v>
      </c>
      <c r="F283" s="5" t="str">
        <f>IFERROR(__xludf.DUMMYFUNCTION("GOOGLETRANSLATE(A283, ""en"", ""hi"")"),"282")</f>
        <v>282</v>
      </c>
      <c r="G283" s="5" t="str">
        <f>IFERROR(__xludf.DUMMYFUNCTION("GOOGLETRANSLATE(B283, ""en"", ""hi"")"),"लड़ाकू A, लड़ाकू B पर कई संयोजनों से दबाव बना रहा है, लेकिन लड़ाकू B उन प्रहारों को झेल रहा है। लड़ाकू A बिना थके दबाव कैसे बनाए रख सकता है?")</f>
        <v>लड़ाकू A, लड़ाकू B पर कई संयोजनों से दबाव बना रहा है, लेकिन लड़ाकू B उन प्रहारों को झेल रहा है। लड़ाकू A बिना थके दबाव कैसे बनाए रख सकता है?</v>
      </c>
      <c r="H283" s="5" t="str">
        <f>IFERROR(__xludf.DUMMYFUNCTION("GOOGLETRANSLATE(C283, ""en"", ""hi"")"),"A) छल-कपट का प्रयोग करें और हमलों के समय में बदलाव करें। B) अपने मुक्कों की ताकत बढ़ाएँ। C) बचाव पर ध्यान केंद्रित करें और फाइटर B के थकने का इंतज़ार करें। D) क्लिंच करने और घुटने से वार करने का प्रयास करें।")</f>
        <v>A) छल-कपट का प्रयोग करें और हमलों के समय में बदलाव करें। B) अपने मुक्कों की ताकत बढ़ाएँ। C) बचाव पर ध्यान केंद्रित करें और फाइटर B के थकने का इंतज़ार करें। D) क्लिंच करने और घुटने से वार करने का प्रयास करें।</v>
      </c>
      <c r="I283" s="5" t="str">
        <f>IFERROR(__xludf.DUMMYFUNCTION("GOOGLETRANSLATE(D283, ""en"", ""hi"")"),"ए) छल-कपट को मिलाएं और अपने हमलों के समय में बदलाव करें।")</f>
        <v>ए) छल-कपट को मिलाएं और अपने हमलों के समय में बदलाव करें।</v>
      </c>
    </row>
    <row r="284" ht="22.5" customHeight="1">
      <c r="A284" s="2">
        <v>283.0</v>
      </c>
      <c r="B284" s="3" t="s">
        <v>3544</v>
      </c>
      <c r="C284" s="3" t="s">
        <v>3545</v>
      </c>
      <c r="D284" s="3" t="s">
        <v>3546</v>
      </c>
      <c r="F284" s="5" t="str">
        <f>IFERROR(__xludf.DUMMYFUNCTION("GOOGLETRANSLATE(A284, ""en"", ""hi"")"),"283")</f>
        <v>283</v>
      </c>
      <c r="G284" s="5" t="str">
        <f>IFERROR(__xludf.DUMMYFUNCTION("GOOGLETRANSLATE(B284, ""en"", ""hi"")"),"फाइटर A अंकों में पीछे है और अपनी सहनशक्ति के लिए जाना जाता है। फाइटर B बाद के राउंड में थक जाता है। फाइटर A को किस पर ध्यान केंद्रित करना चाहिए?")</f>
        <v>फाइटर A अंकों में पीछे है और अपनी सहनशक्ति के लिए जाना जाता है। फाइटर B बाद के राउंड में थक जाता है। फाइटर A को किस पर ध्यान केंद्रित करना चाहिए?</v>
      </c>
      <c r="H284" s="5" t="str">
        <f>IFERROR(__xludf.DUMMYFUNCTION("GOOGLETRANSLATE(C284, ""en"", ""hi"")"),"A) फाइटर B पर दबाव बनाने के लिए गति बढ़ाएँ। B) ऊर्जा बचाएँ और मौके का इंतज़ार करें। C) नॉकआउट पंच लगाने की कोशिश करें। D) रक्षात्मक तकनीकों पर ध्यान केंद्रित करें।")</f>
        <v>A) फाइटर B पर दबाव बनाने के लिए गति बढ़ाएँ। B) ऊर्जा बचाएँ और मौके का इंतज़ार करें। C) नॉकआउट पंच लगाने की कोशिश करें। D) रक्षात्मक तकनीकों पर ध्यान केंद्रित करें।</v>
      </c>
      <c r="I284" s="5" t="str">
        <f>IFERROR(__xludf.DUMMYFUNCTION("GOOGLETRANSLATE(D284, ""en"", ""hi"")"),"ए) फाइटर बी पर दबाव बनाने के लिए गति बढ़ाएँ।")</f>
        <v>ए) फाइटर बी पर दबाव बनाने के लिए गति बढ़ाएँ।</v>
      </c>
    </row>
    <row r="285" ht="22.5" customHeight="1">
      <c r="A285" s="2">
        <v>284.0</v>
      </c>
      <c r="B285" s="3" t="s">
        <v>3547</v>
      </c>
      <c r="C285" s="3" t="s">
        <v>3548</v>
      </c>
      <c r="D285" s="3" t="s">
        <v>3549</v>
      </c>
      <c r="F285" s="5" t="str">
        <f>IFERROR(__xludf.DUMMYFUNCTION("GOOGLETRANSLATE(A285, ""en"", ""hi"")"),"284")</f>
        <v>284</v>
      </c>
      <c r="G285" s="5" t="str">
        <f>IFERROR(__xludf.DUMMYFUNCTION("GOOGLETRANSLATE(B285, ""en"", ""hi"")"),"फाइटर A को फाइटर B पर पहुँच का फ़ायदा है, लेकिन फाइटर B तेज़ी से दूरी कम कर रहा है। फाइटर B को दूर रखने के लिए फाइटर A को किस पर ध्यान केंद्रित करना चाहिए?")</f>
        <v>फाइटर A को फाइटर B पर पहुँच का फ़ायदा है, लेकिन फाइटर B तेज़ी से दूरी कम कर रहा है। फाइटर B को दूर रखने के लिए फाइटर A को किस पर ध्यान केंद्रित करना चाहिए?</v>
      </c>
      <c r="H285" s="5" t="str">
        <f>IFERROR(__xludf.DUMMYFUNCTION("GOOGLETRANSLATE(C285, ""en"", ""hi"")"),"A) दूरी नियंत्रित करने के लिए जैब का प्रयोग करें। B) शक्तिशाली प्रहारों पर ध्यान केंद्रित करें। C) जवाबी हमलों पर भरोसा करें। D) लड़ाकू B के थकने का इंतज़ार करें।")</f>
        <v>A) दूरी नियंत्रित करने के लिए जैब का प्रयोग करें। B) शक्तिशाली प्रहारों पर ध्यान केंद्रित करें। C) जवाबी हमलों पर भरोसा करें। D) लड़ाकू B के थकने का इंतज़ार करें।</v>
      </c>
      <c r="I285" s="5" t="str">
        <f>IFERROR(__xludf.DUMMYFUNCTION("GOOGLETRANSLATE(D285, ""en"", ""hi"")"),"ए) दूरी को नियंत्रित करने के लिए जैब का प्रयोग करें।")</f>
        <v>ए) दूरी को नियंत्रित करने के लिए जैब का प्रयोग करें।</v>
      </c>
    </row>
    <row r="286" ht="22.5" customHeight="1">
      <c r="A286" s="2">
        <v>285.0</v>
      </c>
      <c r="B286" s="3" t="s">
        <v>3550</v>
      </c>
      <c r="C286" s="3" t="s">
        <v>3551</v>
      </c>
      <c r="D286" s="3" t="s">
        <v>3521</v>
      </c>
      <c r="F286" s="5" t="str">
        <f>IFERROR(__xludf.DUMMYFUNCTION("GOOGLETRANSLATE(A286, ""en"", ""hi"")"),"285")</f>
        <v>285</v>
      </c>
      <c r="G286" s="5" t="str">
        <f>IFERROR(__xludf.DUMMYFUNCTION("GOOGLETRANSLATE(B286, ""en"", ""hi"")"),"फाइटर A अंकों के मामले में आगे है, लेकिन फाइटर B अंतिम राउंड में आक्रामक रूप से आगे बढ़ रहा है। फाइटर A को अपनी बढ़त बनाए रखने के लिए क्या करना चाहिए?")</f>
        <v>फाइटर A अंकों के मामले में आगे है, लेकिन फाइटर B अंतिम राउंड में आक्रामक रूप से आगे बढ़ रहा है। फाइटर A को अपनी बढ़त बनाए रखने के लिए क्या करना चाहिए?</v>
      </c>
      <c r="H286" s="5" t="str">
        <f>IFERROR(__xludf.DUMMYFUNCTION("GOOGLETRANSLATE(C286, ""en"", ""hi"")"),"A) बचाव और जवाबी हमलों पर ध्यान केंद्रित करें। B) लड़ाकू B को पीछे धकेलने के लिए आक्रामकता बढ़ाएँ। C) नॉकआउट वार करने का प्रयास करें। D) ऊर्जा बचाएँ और आदान-प्रदान से बचें।")</f>
        <v>A) बचाव और जवाबी हमलों पर ध्यान केंद्रित करें। B) लड़ाकू B को पीछे धकेलने के लिए आक्रामकता बढ़ाएँ। C) नॉकआउट वार करने का प्रयास करें। D) ऊर्जा बचाएँ और आदान-प्रदान से बचें।</v>
      </c>
      <c r="I286" s="5" t="str">
        <f>IFERROR(__xludf.DUMMYFUNCTION("GOOGLETRANSLATE(D286, ""en"", ""hi"")"),"ए) रक्षा और जवाबी हमलों पर ध्यान केंद्रित करें।")</f>
        <v>ए) रक्षा और जवाबी हमलों पर ध्यान केंद्रित करें।</v>
      </c>
    </row>
    <row r="287" ht="22.5" customHeight="1">
      <c r="A287" s="2">
        <v>286.0</v>
      </c>
      <c r="B287" s="3" t="s">
        <v>3552</v>
      </c>
      <c r="C287" s="3" t="s">
        <v>3553</v>
      </c>
      <c r="D287" s="3" t="s">
        <v>3554</v>
      </c>
      <c r="F287" s="5" t="str">
        <f>IFERROR(__xludf.DUMMYFUNCTION("GOOGLETRANSLATE(A287, ""en"", ""hi"")"),"286")</f>
        <v>286</v>
      </c>
      <c r="G287" s="5" t="str">
        <f>IFERROR(__xludf.DUMMYFUNCTION("GOOGLETRANSLATE(B287, ""en"", ""hi"")"),"फाइटर A, फाइटर B पर लगातार बॉडी शॉट्स मार रहा है, लेकिन फाइटर B की रफ़्तार कम होने का नाम नहीं ले रही। फाइटर A को अब क्या करना चाहिए?")</f>
        <v>फाइटर A, फाइटर B पर लगातार बॉडी शॉट्स मार रहा है, लेकिन फाइटर B की रफ़्तार कम होने का नाम नहीं ले रही। फाइटर A को अब क्या करना चाहिए?</v>
      </c>
      <c r="H287" s="5" t="str">
        <f>IFERROR(__xludf.DUMMYFUNCTION("GOOGLETRANSLATE(C287, ""en"", ""hi"")"),"क) सिर पर वार के साथ शरीर पर वार भी करें। ख) रक्षात्मक रणनीति पर ध्यान केंद्रित करें। ग) शरीर पर वार की आवृत्ति बढ़ाएँ। घ) शक्तिशाली नॉकआउट पंच लगाने का प्रयास करें।")</f>
        <v>क) सिर पर वार के साथ शरीर पर वार भी करें। ख) रक्षात्मक रणनीति पर ध्यान केंद्रित करें। ग) शरीर पर वार की आवृत्ति बढ़ाएँ। घ) शक्तिशाली नॉकआउट पंच लगाने का प्रयास करें।</v>
      </c>
      <c r="I287" s="5" t="str">
        <f>IFERROR(__xludf.DUMMYFUNCTION("GOOGLETRANSLATE(D287, ""en"", ""hi"")"),"ए) सिर पर वार के साथ शरीर पर वार भी करें।")</f>
        <v>ए) सिर पर वार के साथ शरीर पर वार भी करें।</v>
      </c>
    </row>
    <row r="288" ht="22.5" customHeight="1">
      <c r="A288" s="2">
        <v>287.0</v>
      </c>
      <c r="B288" s="3" t="s">
        <v>3555</v>
      </c>
      <c r="C288" s="3" t="s">
        <v>3556</v>
      </c>
      <c r="D288" s="3" t="s">
        <v>3557</v>
      </c>
      <c r="F288" s="5" t="str">
        <f>IFERROR(__xludf.DUMMYFUNCTION("GOOGLETRANSLATE(A288, ""en"", ""hi"")"),"287")</f>
        <v>287</v>
      </c>
      <c r="G288" s="5" t="str">
        <f>IFERROR(__xludf.DUMMYFUNCTION("GOOGLETRANSLATE(B288, ""en"", ""hi"")"),"फाइटर A, फाइटर B की रक्षात्मक शैली के सामने मुक्के जमाने में संघर्ष कर रहा है। फाइटर B के बचाव को भेदने के लिए फाइटर A को क्या रणनीति अपनानी चाहिए?")</f>
        <v>फाइटर A, फाइटर B की रक्षात्मक शैली के सामने मुक्के जमाने में संघर्ष कर रहा है। फाइटर B के बचाव को भेदने के लिए फाइटर A को क्या रणनीति अपनानी चाहिए?</v>
      </c>
      <c r="H288" s="5" t="str">
        <f>IFERROR(__xludf.DUMMYFUNCTION("GOOGLETRANSLATE(C288, ""en"", ""hi"")"),"A) मौके बनाने के लिए छल-कपट का इस्तेमाल करें। B) अपने हमलों की ताकत बढ़ाएँ। C) जवाबी हमलों से बचाव पर ध्यान केंद्रित करें। D) गति बदलने के लिए क्लिंच का इस्तेमाल करें।")</f>
        <v>A) मौके बनाने के लिए छल-कपट का इस्तेमाल करें। B) अपने हमलों की ताकत बढ़ाएँ। C) जवाबी हमलों से बचाव पर ध्यान केंद्रित करें। D) गति बदलने के लिए क्लिंच का इस्तेमाल करें।</v>
      </c>
      <c r="I288" s="5" t="str">
        <f>IFERROR(__xludf.DUMMYFUNCTION("GOOGLETRANSLATE(D288, ""en"", ""hi"")"),"क) अवसरों को खोलने के लिए छल-कपट का प्रयोग करें।")</f>
        <v>क) अवसरों को खोलने के लिए छल-कपट का प्रयोग करें।</v>
      </c>
    </row>
    <row r="289" ht="22.5" customHeight="1">
      <c r="A289" s="2">
        <v>288.0</v>
      </c>
      <c r="B289" s="3" t="s">
        <v>3558</v>
      </c>
      <c r="C289" s="3" t="s">
        <v>3559</v>
      </c>
      <c r="D289" s="3" t="s">
        <v>3560</v>
      </c>
      <c r="F289" s="5" t="str">
        <f>IFERROR(__xludf.DUMMYFUNCTION("GOOGLETRANSLATE(A289, ""en"", ""hi"")"),"288")</f>
        <v>288</v>
      </c>
      <c r="G289" s="5" t="str">
        <f>IFERROR(__xludf.DUMMYFUNCTION("GOOGLETRANSLATE(B289, ""en"", ""hi"")"),"फाइटर A तेज़, हल्के हमलों से गति को नियंत्रित कर रहा है, लेकिन फाइटर B ज़ोरदार जवाबी हमले करने लगता है। फाइटर A को खुद को कैसे ढालना चाहिए?")</f>
        <v>फाइटर A तेज़, हल्के हमलों से गति को नियंत्रित कर रहा है, लेकिन फाइटर B ज़ोरदार जवाबी हमले करने लगता है। फाइटर A को खुद को कैसे ढालना चाहिए?</v>
      </c>
      <c r="H289" s="5" t="str">
        <f>IFERROR(__xludf.DUMMYFUNCTION("GOOGLETRANSLATE(C289, ""en"", ""hi"")"),"A) काउंटरों से बचने और रेंज बनाए रखने के लिए मूवमेंट का इस्तेमाल करें। B) अपने हमलों की गति बढ़ाएँ। C) फाइटर B की ताकत को बेअसर करने के लिए क्लिंच की स्थिति में आएँ। D) फाइटर B को परास्त करने के लिए पूरी ताकत से हमला करें।")</f>
        <v>A) काउंटरों से बचने और रेंज बनाए रखने के लिए मूवमेंट का इस्तेमाल करें। B) अपने हमलों की गति बढ़ाएँ। C) फाइटर B की ताकत को बेअसर करने के लिए क्लिंच की स्थिति में आएँ। D) फाइटर B को परास्त करने के लिए पूरी ताकत से हमला करें।</v>
      </c>
      <c r="I289" s="5" t="str">
        <f>IFERROR(__xludf.DUMMYFUNCTION("GOOGLETRANSLATE(D289, ""en"", ""hi"")"),"ए) काउंटरों से बचने और रेंज बनाए रखने के लिए आंदोलन का उपयोग करें।")</f>
        <v>ए) काउंटरों से बचने और रेंज बनाए रखने के लिए आंदोलन का उपयोग करें।</v>
      </c>
    </row>
    <row r="290" ht="22.5" customHeight="1">
      <c r="A290" s="2">
        <v>289.0</v>
      </c>
      <c r="B290" s="3" t="s">
        <v>3561</v>
      </c>
      <c r="C290" s="3" t="s">
        <v>3562</v>
      </c>
      <c r="D290" s="3" t="s">
        <v>3563</v>
      </c>
      <c r="F290" s="5" t="str">
        <f>IFERROR(__xludf.DUMMYFUNCTION("GOOGLETRANSLATE(A290, ""en"", ""hi"")"),"289")</f>
        <v>289</v>
      </c>
      <c r="G290" s="5" t="str">
        <f>IFERROR(__xludf.DUMMYFUNCTION("GOOGLETRANSLATE(B290, ""en"", ""hi"")"),"एक कड़े मुकाबले के बाद फाइटर A थकने लगा है, लेकिन फाइटर B में भी थकावट के लक्षण दिखाई दे रहे हैं। फाइटर A को अंतिम राउंड में कैसे आगे बढ़ना चाहिए?")</f>
        <v>एक कड़े मुकाबले के बाद फाइटर A थकने लगा है, लेकिन फाइटर B में भी थकावट के लक्षण दिखाई दे रहे हैं। फाइटर A को अंतिम राउंड में कैसे आगे बढ़ना चाहिए?</v>
      </c>
      <c r="H290" s="5" t="str">
        <f>IFERROR(__xludf.DUMMYFUNCTION("GOOGLETRANSLATE(C290, ""en"", ""hi"")"),"A) ऊर्जा बचाएँ और सटीक शॉट लगाएँ। B) फाइटर B को और थका देने के लिए गति बढ़ाएँ। C) पूरी तरह से बचाव पर ध्यान केंद्रित करें। D) आक्रामक हमलों से नॉकआउट की कोशिश करें।")</f>
        <v>A) ऊर्जा बचाएँ और सटीक शॉट लगाएँ। B) फाइटर B को और थका देने के लिए गति बढ़ाएँ। C) पूरी तरह से बचाव पर ध्यान केंद्रित करें। D) आक्रामक हमलों से नॉकआउट की कोशिश करें।</v>
      </c>
      <c r="I290" s="5" t="str">
        <f>IFERROR(__xludf.DUMMYFUNCTION("GOOGLETRANSLATE(D290, ""en"", ""hi"")"),"A) ऊर्जा संरक्षण करें और सटीक शॉट चुनें।")</f>
        <v>A) ऊर्जा संरक्षण करें और सटीक शॉट चुनें।</v>
      </c>
    </row>
    <row r="291" ht="22.5" customHeight="1">
      <c r="A291" s="2">
        <v>290.0</v>
      </c>
      <c r="B291" s="3" t="s">
        <v>3564</v>
      </c>
      <c r="C291" s="3" t="s">
        <v>3565</v>
      </c>
      <c r="D291" s="3" t="s">
        <v>3566</v>
      </c>
      <c r="F291" s="5" t="str">
        <f>IFERROR(__xludf.DUMMYFUNCTION("GOOGLETRANSLATE(A291, ""en"", ""hi"")"),"290")</f>
        <v>290</v>
      </c>
      <c r="G291" s="5" t="str">
        <f>IFERROR(__xludf.DUMMYFUNCTION("GOOGLETRANSLATE(B291, ""en"", ""hi"")"),"फाइटर ए को अक्सर फाइटर बी द्वारा क्लिंच में पकड़ा जाता है। फाइटर ए को बंधे रहने से बचने के लिए क्या करना चाहिए?")</f>
        <v>फाइटर ए को अक्सर फाइटर बी द्वारा क्लिंच में पकड़ा जाता है। फाइटर ए को बंधे रहने से बचने के लिए क्या करना चाहिए?</v>
      </c>
      <c r="H291" s="5" t="str">
        <f>IFERROR(__xludf.DUMMYFUNCTION("GOOGLETRANSLATE(C291, ""en"", ""hi"")"),"A) पार्श्व गति और दूरी नियंत्रण का प्रयोग करें। B) फाइटर B को थकाने के लिए अधिक क्लिंचिंग करें। C) क्लिंचिंग को तोड़ने के लिए शक्तिशाली मुक्कों पर ध्यान केंद्रित करें। D) क्लिंचिंग के दौरान रक्षात्मक रहकर ऊर्जा बचाएँ।")</f>
        <v>A) पार्श्व गति और दूरी नियंत्रण का प्रयोग करें। B) फाइटर B को थकाने के लिए अधिक क्लिंचिंग करें। C) क्लिंचिंग को तोड़ने के लिए शक्तिशाली मुक्कों पर ध्यान केंद्रित करें। D) क्लिंचिंग के दौरान रक्षात्मक रहकर ऊर्जा बचाएँ।</v>
      </c>
      <c r="I291" s="5" t="str">
        <f>IFERROR(__xludf.DUMMYFUNCTION("GOOGLETRANSLATE(D291, ""en"", ""hi"")"),"ए) पार्श्व गति और दूरी नियंत्रण का उपयोग करें।")</f>
        <v>ए) पार्श्व गति और दूरी नियंत्रण का उपयोग करें।</v>
      </c>
    </row>
    <row r="292" ht="22.5" customHeight="1">
      <c r="A292" s="2">
        <v>291.0</v>
      </c>
      <c r="B292" s="3" t="s">
        <v>3567</v>
      </c>
      <c r="C292" s="3" t="s">
        <v>3568</v>
      </c>
      <c r="D292" s="3" t="s">
        <v>3569</v>
      </c>
      <c r="F292" s="5" t="str">
        <f>IFERROR(__xludf.DUMMYFUNCTION("GOOGLETRANSLATE(A292, ""en"", ""hi"")"),"291")</f>
        <v>291</v>
      </c>
      <c r="G292" s="5" t="str">
        <f>IFERROR(__xludf.DUMMYFUNCTION("GOOGLETRANSLATE(B292, ""en"", ""hi"")"),"फाइटर A, फाइटर B पर किक मार रहा है, लेकिन फाइटर B उसकी किक को पकड़कर जवाबी हमला करने लगता है। फाइटर A को क्या करना चाहिए?")</f>
        <v>फाइटर A, फाइटर B पर किक मार रहा है, लेकिन फाइटर B उसकी किक को पकड़कर जवाबी हमला करने लगता है। फाइटर A को क्या करना चाहिए?</v>
      </c>
      <c r="H292" s="5" t="str">
        <f>IFERROR(__xludf.DUMMYFUNCTION("GOOGLETRANSLATE(C292, ""en"", ""hi"")"),"A) फाइटर B को उलझन में रखने के लिए छल और मुक्कों का प्रयोग करें। B) उसकी किक की ताकत बढ़ाएँ। C) बचाव पर ध्यान केंद्रित करें और मौके का इंतज़ार करें। D) जवाबी हमले के बावजूद किक जारी रखें।")</f>
        <v>A) फाइटर B को उलझन में रखने के लिए छल और मुक्कों का प्रयोग करें। B) उसकी किक की ताकत बढ़ाएँ। C) बचाव पर ध्यान केंद्रित करें और मौके का इंतज़ार करें। D) जवाबी हमले के बावजूद किक जारी रखें।</v>
      </c>
      <c r="I292" s="5" t="str">
        <f>IFERROR(__xludf.DUMMYFUNCTION("GOOGLETRANSLATE(D292, ""en"", ""hi"")"),"ए) फाइटर बी को अनुमान लगाने के लिए छल और मुक्कों का प्रयोग करें।")</f>
        <v>ए) फाइटर बी को अनुमान लगाने के लिए छल और मुक्कों का प्रयोग करें।</v>
      </c>
    </row>
    <row r="293" ht="22.5" customHeight="1">
      <c r="A293" s="2">
        <v>292.0</v>
      </c>
      <c r="B293" s="3" t="s">
        <v>3570</v>
      </c>
      <c r="C293" s="3" t="s">
        <v>3571</v>
      </c>
      <c r="D293" s="3" t="s">
        <v>3572</v>
      </c>
      <c r="F293" s="5" t="str">
        <f>IFERROR(__xludf.DUMMYFUNCTION("GOOGLETRANSLATE(A293, ""en"", ""hi"")"),"292")</f>
        <v>292</v>
      </c>
      <c r="G293" s="5" t="str">
        <f>IFERROR(__xludf.DUMMYFUNCTION("GOOGLETRANSLATE(B293, ""en"", ""hi"")"),"फाइटर A के मुख्य पैर को फाइटर B की निचली किक से चोट लगी है। आगे की क्षति कम करने के लिए फाइटर A को क्या करना चाहिए?")</f>
        <v>फाइटर A के मुख्य पैर को फाइटर B की निचली किक से चोट लगी है। आगे की क्षति कम करने के लिए फाइटर A को क्या करना चाहिए?</v>
      </c>
      <c r="H293" s="5" t="str">
        <f>IFERROR(__xludf.DUMMYFUNCTION("GOOGLETRANSLATE(C293, ""en"", ""hi"")"),"A) अग्रणी पैर की रक्षा के लिए रुख बदलें। B) फाइटर B को पीछे धकेलने के लिए आक्रामकता बढ़ाएँ। C) रक्षात्मक गति पर ध्यान केंद्रित करें। D) फाइटर B के किक को पकड़ने का प्रयास करें।")</f>
        <v>A) अग्रणी पैर की रक्षा के लिए रुख बदलें। B) फाइटर B को पीछे धकेलने के लिए आक्रामकता बढ़ाएँ। C) रक्षात्मक गति पर ध्यान केंद्रित करें। D) फाइटर B के किक को पकड़ने का प्रयास करें।</v>
      </c>
      <c r="I293" s="5" t="str">
        <f>IFERROR(__xludf.DUMMYFUNCTION("GOOGLETRANSLATE(D293, ""en"", ""hi"")"),"ए) अग्रणी पैर की रक्षा के लिए रुख बदलें।")</f>
        <v>ए) अग्रणी पैर की रक्षा के लिए रुख बदलें।</v>
      </c>
    </row>
    <row r="294" ht="22.5" customHeight="1">
      <c r="A294" s="2">
        <v>293.0</v>
      </c>
      <c r="B294" s="3" t="s">
        <v>3573</v>
      </c>
      <c r="C294" s="3" t="s">
        <v>3574</v>
      </c>
      <c r="D294" s="3" t="s">
        <v>3575</v>
      </c>
      <c r="F294" s="5" t="str">
        <f>IFERROR(__xludf.DUMMYFUNCTION("GOOGLETRANSLATE(A294, ""en"", ""hi"")"),"293")</f>
        <v>293</v>
      </c>
      <c r="G294" s="5" t="str">
        <f>IFERROR(__xludf.DUMMYFUNCTION("GOOGLETRANSLATE(B294, ""en"", ""hi"")"),"फाइटर A अंकों से पिछड़ रहा है, लेकिन अभी भी एक राउंड बाकी है। फाइटर B थक रहा है, लेकिन रक्षात्मक खेल रहा है। फाइटर A की सबसे अच्छी रणनीति क्या है?")</f>
        <v>फाइटर A अंकों से पिछड़ रहा है, लेकिन अभी भी एक राउंड बाकी है। फाइटर B थक रहा है, लेकिन रक्षात्मक खेल रहा है। फाइटर A की सबसे अच्छी रणनीति क्या है?</v>
      </c>
      <c r="H294" s="5" t="str">
        <f>IFERROR(__xludf.DUMMYFUNCTION("GOOGLETRANSLATE(C294, ""en"", ""hi"")"),"A) आक्रामकता बढ़ाएँ और नॉकआउट की कोशिश करें। B) पॉइंट गैप को कम करने के लिए क्लीन स्ट्राइक पर ध्यान केंद्रित करें। C) ऊर्जा बचाएँ और मौके का इंतज़ार करें। D) रक्षात्मक होकर फाइटर B से ज़्यादा देर तक टिकने की कोशिश करें।")</f>
        <v>A) आक्रामकता बढ़ाएँ और नॉकआउट की कोशिश करें। B) पॉइंट गैप को कम करने के लिए क्लीन स्ट्राइक पर ध्यान केंद्रित करें। C) ऊर्जा बचाएँ और मौके का इंतज़ार करें। D) रक्षात्मक होकर फाइटर B से ज़्यादा देर तक टिकने की कोशिश करें।</v>
      </c>
      <c r="I294" s="5" t="str">
        <f>IFERROR(__xludf.DUMMYFUNCTION("GOOGLETRANSLATE(D294, ""en"", ""hi"")"),"ए) आक्रामकता बढ़ाएँ और नॉकआउट की तलाश करें।")</f>
        <v>ए) आक्रामकता बढ़ाएँ और नॉकआउट की तलाश करें।</v>
      </c>
    </row>
    <row r="295" ht="22.5" customHeight="1">
      <c r="A295" s="2">
        <v>294.0</v>
      </c>
      <c r="B295" s="3" t="s">
        <v>3576</v>
      </c>
      <c r="C295" s="3" t="s">
        <v>3577</v>
      </c>
      <c r="D295" s="3" t="s">
        <v>3578</v>
      </c>
      <c r="F295" s="5" t="str">
        <f>IFERROR(__xludf.DUMMYFUNCTION("GOOGLETRANSLATE(A295, ""en"", ""hi"")"),"294")</f>
        <v>294</v>
      </c>
      <c r="G295" s="5" t="str">
        <f>IFERROR(__xludf.DUMMYFUNCTION("GOOGLETRANSLATE(B295, ""en"", ""hi"")"),"फाइटर A पूरी लड़ाई के दौरान लगातार हेडशॉट्स मार रहा है, लेकिन फाइटर B ने मज़बूत हाई गार्ड के साथ खुद को ढाल लिया है। फाइटर A को अब क्या करना चाहिए?")</f>
        <v>फाइटर A पूरी लड़ाई के दौरान लगातार हेडशॉट्स मार रहा है, लेकिन फाइटर B ने मज़बूत हाई गार्ड के साथ खुद को ढाल लिया है। फाइटर A को अब क्या करना चाहिए?</v>
      </c>
      <c r="H295" s="5" t="str">
        <f>IFERROR(__xludf.DUMMYFUNCTION("GOOGLETRANSLATE(C295, ""en"", ""hi"")"),"A) फाइटर B के गार्ड को गिराने के लिए बॉडी स्ट्राइक पर ध्यान केंद्रित करें। B) आगे निकलने की उम्मीद में हेडशॉट जारी रखें। C) फाइटर B के डिफेंस को बेअसर करने के लिए क्लिंच की स्थिति में आएँ। D) धीमा करें और डिफेंस पर ध्यान केंद्रित करें।")</f>
        <v>A) फाइटर B के गार्ड को गिराने के लिए बॉडी स्ट्राइक पर ध्यान केंद्रित करें। B) आगे निकलने की उम्मीद में हेडशॉट जारी रखें। C) फाइटर B के डिफेंस को बेअसर करने के लिए क्लिंच की स्थिति में आएँ। D) धीमा करें और डिफेंस पर ध्यान केंद्रित करें।</v>
      </c>
      <c r="I295" s="5" t="str">
        <f>IFERROR(__xludf.DUMMYFUNCTION("GOOGLETRANSLATE(D295, ""en"", ""hi"")"),"ए) फाइटर बी के गार्ड को गिराने के लिए बॉडी स्ट्राइक पर ध्यान केंद्रित करें।")</f>
        <v>ए) फाइटर बी के गार्ड को गिराने के लिए बॉडी स्ट्राइक पर ध्यान केंद्रित करें।</v>
      </c>
    </row>
    <row r="296" ht="22.5" customHeight="1">
      <c r="A296" s="2">
        <v>295.0</v>
      </c>
      <c r="B296" s="3" t="s">
        <v>3579</v>
      </c>
      <c r="C296" s="3" t="s">
        <v>3580</v>
      </c>
      <c r="D296" s="3" t="s">
        <v>3581</v>
      </c>
      <c r="F296" s="5" t="str">
        <f>IFERROR(__xludf.DUMMYFUNCTION("GOOGLETRANSLATE(A296, ""en"", ""hi"")"),"295")</f>
        <v>295</v>
      </c>
      <c r="G296" s="5" t="str">
        <f>IFERROR(__xludf.DUMMYFUNCTION("GOOGLETRANSLATE(B296, ""en"", ""hi"")"),"फाइटर A अपनी गति और फुटवर्क से दबदबा बना रहा है, लेकिन फाइटर B रस्सियों के सहारे उस पर दबाव बनाने लगता है। फाइटर A को नियंत्रण पाने के लिए क्या करना चाहिए?")</f>
        <v>फाइटर A अपनी गति और फुटवर्क से दबदबा बना रहा है, लेकिन फाइटर B रस्सियों के सहारे उस पर दबाव बनाने लगता है। फाइटर A को नियंत्रण पाने के लिए क्या करना चाहिए?</v>
      </c>
      <c r="H296" s="5" t="str">
        <f>IFERROR(__xludf.DUMMYFUNCTION("GOOGLETRANSLATE(C296, ""en"", ""hi"")"),"A) दबाव से बचने के लिए कोण और गति का प्रयोग करें। B) लड़ाई को फिर से शुरू करने के लिए क्लिंच की स्थिति में आएँ। C) बचाव पर ध्यान केंद्रित करें और मौके का इंतज़ार करें। D) दबाव का मुकाबला करने के लिए अपने हमलों की गति बढ़ाएँ।")</f>
        <v>A) दबाव से बचने के लिए कोण और गति का प्रयोग करें। B) लड़ाई को फिर से शुरू करने के लिए क्लिंच की स्थिति में आएँ। C) बचाव पर ध्यान केंद्रित करें और मौके का इंतज़ार करें। D) दबाव का मुकाबला करने के लिए अपने हमलों की गति बढ़ाएँ।</v>
      </c>
      <c r="I296" s="5" t="str">
        <f>IFERROR(__xludf.DUMMYFUNCTION("GOOGLETRANSLATE(D296, ""en"", ""hi"")"),"A) दबाव से बचने के लिए कोण और गति का उपयोग करें।")</f>
        <v>A) दबाव से बचने के लिए कोण और गति का उपयोग करें।</v>
      </c>
    </row>
    <row r="297" ht="22.5" customHeight="1">
      <c r="A297" s="2">
        <v>296.0</v>
      </c>
      <c r="B297" s="3" t="s">
        <v>3582</v>
      </c>
      <c r="C297" s="3" t="s">
        <v>3583</v>
      </c>
      <c r="D297" s="3" t="s">
        <v>3521</v>
      </c>
      <c r="F297" s="5" t="str">
        <f>IFERROR(__xludf.DUMMYFUNCTION("GOOGLETRANSLATE(A297, ""en"", ""hi"")"),"296")</f>
        <v>296</v>
      </c>
      <c r="G297" s="5" t="str">
        <f>IFERROR(__xludf.DUMMYFUNCTION("GOOGLETRANSLATE(B297, ""en"", ""hi"")"),"फाइटर A अंकों में आगे है, लेकिन थकान के कारण उसकी गति धीमी हो रही है। फाइटर B को इसका एहसास है और वह अपनी आक्रामकता बढ़ा रहा है। फाइटर A को क्या जवाब देना चाहिए?")</f>
        <v>फाइटर A अंकों में आगे है, लेकिन थकान के कारण उसकी गति धीमी हो रही है। फाइटर B को इसका एहसास है और वह अपनी आक्रामकता बढ़ा रहा है। फाइटर A को क्या जवाब देना चाहिए?</v>
      </c>
      <c r="H297" s="5" t="str">
        <f>IFERROR(__xludf.DUMMYFUNCTION("GOOGLETRANSLATE(C297, ""en"", ""hi"")"),"A) बचाव और जवाबी हमलों पर ध्यान केंद्रित करें। B) अपनी आक्रामकता के साथ आगे बढ़ें। C) नॉकआउट पंच लगाने का प्रयास करें। D) ऊर्जा बचाएँ और टकराव से बचें।")</f>
        <v>A) बचाव और जवाबी हमलों पर ध्यान केंद्रित करें। B) अपनी आक्रामकता के साथ आगे बढ़ें। C) नॉकआउट पंच लगाने का प्रयास करें। D) ऊर्जा बचाएँ और टकराव से बचें।</v>
      </c>
      <c r="I297" s="5" t="str">
        <f>IFERROR(__xludf.DUMMYFUNCTION("GOOGLETRANSLATE(D297, ""en"", ""hi"")"),"ए) रक्षा और जवाबी हमलों पर ध्यान केंद्रित करें।")</f>
        <v>ए) रक्षा और जवाबी हमलों पर ध्यान केंद्रित करें।</v>
      </c>
    </row>
    <row r="298" ht="22.5" customHeight="1">
      <c r="A298" s="2">
        <v>297.0</v>
      </c>
      <c r="B298" s="3" t="s">
        <v>3584</v>
      </c>
      <c r="C298" s="3" t="s">
        <v>3585</v>
      </c>
      <c r="D298" s="3" t="s">
        <v>3586</v>
      </c>
      <c r="F298" s="5" t="str">
        <f>IFERROR(__xludf.DUMMYFUNCTION("GOOGLETRANSLATE(A298, ""en"", ""hi"")"),"297")</f>
        <v>297</v>
      </c>
      <c r="G298" s="5" t="str">
        <f>IFERROR(__xludf.DUMMYFUNCTION("GOOGLETRANSLATE(B298, ""en"", ""hi"")"),"फाइटर A, फाइटर B से पिछड़ रहा है, लेकिन अपनी नॉकआउट पावर के लिए जाना जाता है। अब जब सिर्फ़ एक राउंड बचा है, तो फाइटर A के लिए सबसे अच्छा विकल्प क्या है?")</f>
        <v>फाइटर A, फाइटर B से पिछड़ रहा है, लेकिन अपनी नॉकआउट पावर के लिए जाना जाता है। अब जब सिर्फ़ एक राउंड बचा है, तो फाइटर A के लिए सबसे अच्छा विकल्प क्या है?</v>
      </c>
      <c r="H298" s="5" t="str">
        <f>IFERROR(__xludf.DUMMYFUNCTION("GOOGLETRANSLATE(C298, ""en"", ""hi"")"),"A) आक्रामक प्रहारों से नॉकआउट का प्रयास करें। B) साफ़ मुक्कों से अंक बनाने का प्रयास करें। C) ऊर्जा बचाएँ और बचाव करें। D) फाइटर B को थका देने का प्रयास करें।")</f>
        <v>A) आक्रामक प्रहारों से नॉकआउट का प्रयास करें। B) साफ़ मुक्कों से अंक बनाने का प्रयास करें। C) ऊर्जा बचाएँ और बचाव करें। D) फाइटर B को थका देने का प्रयास करें।</v>
      </c>
      <c r="I298" s="5" t="str">
        <f>IFERROR(__xludf.DUMMYFUNCTION("GOOGLETRANSLATE(D298, ""en"", ""hi"")"),"ए) आक्रामक हमलों के साथ नॉकआउट के लिए जाएं।")</f>
        <v>ए) आक्रामक हमलों के साथ नॉकआउट के लिए जाएं।</v>
      </c>
    </row>
    <row r="299" ht="22.5" customHeight="1">
      <c r="A299" s="2">
        <v>298.0</v>
      </c>
      <c r="B299" s="3" t="s">
        <v>3587</v>
      </c>
      <c r="C299" s="3" t="s">
        <v>3588</v>
      </c>
      <c r="D299" s="3" t="s">
        <v>3589</v>
      </c>
      <c r="F299" s="5" t="str">
        <f>IFERROR(__xludf.DUMMYFUNCTION("GOOGLETRANSLATE(A299, ""en"", ""hi"")"),"298")</f>
        <v>298</v>
      </c>
      <c r="G299" s="5" t="str">
        <f>IFERROR(__xludf.DUMMYFUNCTION("GOOGLETRANSLATE(B299, ""en"", ""hi"")"),"फाइटर A को मुक्के जमाने में दिक्कत हो रही है क्योंकि फाइटर B मज़बूत रक्षात्मक तकनीकें अपना रहा है। फाइटर A को साफ़ मुक्के जमाने के लिए क्या समायोजन करना चाहिए?")</f>
        <v>फाइटर A को मुक्के जमाने में दिक्कत हो रही है क्योंकि फाइटर B मज़बूत रक्षात्मक तकनीकें अपना रहा है। फाइटर A को साफ़ मुक्के जमाने के लिए क्या समायोजन करना चाहिए?</v>
      </c>
      <c r="H299" s="5" t="str">
        <f>IFERROR(__xludf.DUMMYFUNCTION("GOOGLETRANSLATE(C299, ""en"", ""hi"")"),"A) फाइटर B के डिफेंस को तोड़ने के लिए छल और संयोजनों का प्रयोग करें। B) फाइटर B के गार्ड को भेदने के लिए शक्ति पर ध्यान केंद्रित करें। C) लड़ाई को धीमा करने के लिए क्लिंच की स्थिति में आएँ। D) फाइटर B को अपनी चाल से थका देने का प्रयास करें।")</f>
        <v>A) फाइटर B के डिफेंस को तोड़ने के लिए छल और संयोजनों का प्रयोग करें। B) फाइटर B के गार्ड को भेदने के लिए शक्ति पर ध्यान केंद्रित करें। C) लड़ाई को धीमा करने के लिए क्लिंच की स्थिति में आएँ। D) फाइटर B को अपनी चाल से थका देने का प्रयास करें।</v>
      </c>
      <c r="I299" s="5" t="str">
        <f>IFERROR(__xludf.DUMMYFUNCTION("GOOGLETRANSLATE(D299, ""en"", ""hi"")"),"ए) फाइटर बी की रक्षा को बाधित करने के लिए छल और संयोजन का उपयोग करें।")</f>
        <v>ए) फाइटर बी की रक्षा को बाधित करने के लिए छल और संयोजन का उपयोग करें।</v>
      </c>
    </row>
    <row r="300" ht="22.5" customHeight="1">
      <c r="A300" s="2">
        <v>299.0</v>
      </c>
      <c r="B300" s="3" t="s">
        <v>3590</v>
      </c>
      <c r="C300" s="3" t="s">
        <v>3591</v>
      </c>
      <c r="D300" s="3" t="s">
        <v>3592</v>
      </c>
      <c r="F300" s="5" t="str">
        <f>IFERROR(__xludf.DUMMYFUNCTION("GOOGLETRANSLATE(A300, ""en"", ""hi"")"),"299")</f>
        <v>299</v>
      </c>
      <c r="G300" s="5" t="str">
        <f>IFERROR(__xludf.DUMMYFUNCTION("GOOGLETRANSLATE(B300, ""en"", ""hi"")"),"फाइटर A लगातार लो किक लगा रहा है, लेकिन फाइटर B लचीलापन दिखा रहा है। फाइटर A को अपनी रणनीति कैसे बदलनी चाहिए?")</f>
        <v>फाइटर A लगातार लो किक लगा रहा है, लेकिन फाइटर B लचीलापन दिखा रहा है। फाइटर A को अपनी रणनीति कैसे बदलनी चाहिए?</v>
      </c>
      <c r="H300" s="5" t="str">
        <f>IFERROR(__xludf.DUMMYFUNCTION("GOOGLETRANSLATE(C300, ""en"", ""hi"")"),"A) हमले में विविधता लाने के लिए मुक्कों और ऊँची किक का मिश्रण करें। B) अपनी निचली किक की शक्ति बढ़ाएँ। C) जवाबी हमलों से बचने के लिए बचाव पर ध्यान केंद्रित करें। D) ऊर्जा बचाएँ और मौके का इंतज़ार करें।")</f>
        <v>A) हमले में विविधता लाने के लिए मुक्कों और ऊँची किक का मिश्रण करें। B) अपनी निचली किक की शक्ति बढ़ाएँ। C) जवाबी हमलों से बचने के लिए बचाव पर ध्यान केंद्रित करें। D) ऊर्जा बचाएँ और मौके का इंतज़ार करें।</v>
      </c>
      <c r="I300" s="5" t="str">
        <f>IFERROR(__xludf.DUMMYFUNCTION("GOOGLETRANSLATE(D300, ""en"", ""hi"")"),"ए) हमले में विविधता लाने के लिए मुक्कों और ऊंची किक का मिश्रण करें।")</f>
        <v>ए) हमले में विविधता लाने के लिए मुक्कों और ऊंची किक का मिश्रण करें।</v>
      </c>
    </row>
    <row r="301" ht="22.5" customHeight="1">
      <c r="A301" s="2">
        <v>300.0</v>
      </c>
      <c r="B301" s="3" t="s">
        <v>3593</v>
      </c>
      <c r="C301" s="3" t="s">
        <v>3594</v>
      </c>
      <c r="D301" s="3" t="s">
        <v>3595</v>
      </c>
      <c r="F301" s="5" t="str">
        <f>IFERROR(__xludf.DUMMYFUNCTION("GOOGLETRANSLATE(A301, ""en"", ""hi"")"),"300")</f>
        <v>300</v>
      </c>
      <c r="G301" s="5" t="str">
        <f>IFERROR(__xludf.DUMMYFUNCTION("GOOGLETRANSLATE(B301, ""en"", ""hi"")"),"फाइटर A अपने फुटवर्क से मैच की गति को नियंत्रित कर रहा है, लेकिन फाइटर B ज़ोरदार प्रहारों से दबाव बना रहा है। फाइटर A पकड़े जाने से कैसे बच सकता है?")</f>
        <v>फाइटर A अपने फुटवर्क से मैच की गति को नियंत्रित कर रहा है, लेकिन फाइटर B ज़ोरदार प्रहारों से दबाव बना रहा है। फाइटर A पकड़े जाने से कैसे बच सकता है?</v>
      </c>
      <c r="H301" s="5" t="str">
        <f>IFERROR(__xludf.DUMMYFUNCTION("GOOGLETRANSLATE(C301, ""en"", ""hi"")"),"A) बचने के लिए फुटवर्क और कोणों का इस्तेमाल जारी रखें। B) लड़ाई को धीमा करने के लिए क्लिंच की स्थिति में रहें। C) रक्षात्मक ब्लॉक और काउंटर पर ध्यान केंद्रित करें। D) फाइटर B की ताकत से मुकाबला करने की कोशिश करें।")</f>
        <v>A) बचने के लिए फुटवर्क और कोणों का इस्तेमाल जारी रखें। B) लड़ाई को धीमा करने के लिए क्लिंच की स्थिति में रहें। C) रक्षात्मक ब्लॉक और काउंटर पर ध्यान केंद्रित करें। D) फाइटर B की ताकत से मुकाबला करने की कोशिश करें।</v>
      </c>
      <c r="I301" s="5" t="str">
        <f>IFERROR(__xludf.DUMMYFUNCTION("GOOGLETRANSLATE(D301, ""en"", ""hi"")"),"ए) बचने के लिए फुटवर्क और कोण का उपयोग जारी रखें।")</f>
        <v>ए) बचने के लिए फुटवर्क और कोण का उपयोग जारी रखें।</v>
      </c>
    </row>
    <row r="302" ht="22.5" customHeight="1">
      <c r="A302" s="2">
        <v>301.0</v>
      </c>
      <c r="B302" s="3" t="s">
        <v>3596</v>
      </c>
      <c r="C302" s="3" t="s">
        <v>3597</v>
      </c>
      <c r="D302" s="3" t="s">
        <v>3506</v>
      </c>
      <c r="F302" s="5" t="str">
        <f>IFERROR(__xludf.DUMMYFUNCTION("GOOGLETRANSLATE(A302, ""en"", ""hi"")"),"301")</f>
        <v>301</v>
      </c>
      <c r="G302" s="5" t="str">
        <f>IFERROR(__xludf.DUMMYFUNCTION("GOOGLETRANSLATE(B302, ""en"", ""hi"")"),"लड़ाकू A, लड़ाकू B के हर वार के बाद उसके काउंटरों से नुकसान उठा रहा है। इन काउंटरों से बचने के लिए लड़ाकू A को किस पर ध्यान देना चाहिए?")</f>
        <v>लड़ाकू A, लड़ाकू B के हर वार के बाद उसके काउंटरों से नुकसान उठा रहा है। इन काउंटरों से बचने के लिए लड़ाकू A को किस पर ध्यान देना चाहिए?</v>
      </c>
      <c r="H302" s="5" t="str">
        <f>IFERROR(__xludf.DUMMYFUNCTION("GOOGLETRANSLATE(C302, ""en"", ""hi"")"),"A) फाइटर B की टाइमिंग को बिगाड़ने के लिए फ़िंट और कॉम्बिनेशन का इस्तेमाल करें। B) उसके हमलों की ताकत बढ़ाएँ। C) काउंटर्स को रोकने के लिए क्लिंच की स्थिति में आएँ। D) बचाव पर ध्यान केंद्रित करें और आदान-प्रदान से बचें।")</f>
        <v>A) फाइटर B की टाइमिंग को बिगाड़ने के लिए फ़िंट और कॉम्बिनेशन का इस्तेमाल करें। B) उसके हमलों की ताकत बढ़ाएँ। C) काउंटर्स को रोकने के लिए क्लिंच की स्थिति में आएँ। D) बचाव पर ध्यान केंद्रित करें और आदान-प्रदान से बचें।</v>
      </c>
      <c r="I302" s="5" t="str">
        <f>IFERROR(__xludf.DUMMYFUNCTION("GOOGLETRANSLATE(D302, ""en"", ""hi"")"),"ए) फाइटर बी की टाइमिंग को बाधित करने के लिए छल और संयोजन का उपयोग करें।")</f>
        <v>ए) फाइटर बी की टाइमिंग को बाधित करने के लिए छल और संयोजन का उपयोग करें।</v>
      </c>
    </row>
    <row r="303" ht="22.5" customHeight="1">
      <c r="A303" s="2">
        <v>302.0</v>
      </c>
      <c r="B303" s="3" t="s">
        <v>3598</v>
      </c>
      <c r="C303" s="3" t="s">
        <v>3599</v>
      </c>
      <c r="D303" s="3" t="s">
        <v>3600</v>
      </c>
      <c r="F303" s="5" t="str">
        <f>IFERROR(__xludf.DUMMYFUNCTION("GOOGLETRANSLATE(A303, ""en"", ""hi"")"),"302")</f>
        <v>302</v>
      </c>
      <c r="G303" s="5" t="str">
        <f>IFERROR(__xludf.DUMMYFUNCTION("GOOGLETRANSLATE(B303, ""en"", ""hi"")"),"फाइटर A आक्रामक प्रहारों से लड़ाई पर नियंत्रण बनाए हुए है, लेकिन फाइटर B जवाबी हमले पर ध्यान केंद्रित करने लगा है। फाइटर A को कैसे समायोजित करना चाहिए?")</f>
        <v>फाइटर A आक्रामक प्रहारों से लड़ाई पर नियंत्रण बनाए हुए है, लेकिन फाइटर B जवाबी हमले पर ध्यान केंद्रित करने लगा है। फाइटर A को कैसे समायोजित करना चाहिए?</v>
      </c>
      <c r="H303" s="5" t="str">
        <f>IFERROR(__xludf.DUMMYFUNCTION("GOOGLETRANSLATE(C303, ""en"", ""hi"")"),"क) छल-कपट का प्रयोग करें और अपने हमलों के समय में बदलाव करें। ख) आक्रामकता के साथ आगे बढ़ते रहें। ग) रक्षात्मक गतिविधियों पर ध्यान केंद्रित करें। घ) ऊर्जा बचाएँ और आदान-प्रदान से बचें।")</f>
        <v>क) छल-कपट का प्रयोग करें और अपने हमलों के समय में बदलाव करें। ख) आक्रामकता के साथ आगे बढ़ते रहें। ग) रक्षात्मक गतिविधियों पर ध्यान केंद्रित करें। घ) ऊर्जा बचाएँ और आदान-प्रदान से बचें।</v>
      </c>
      <c r="I303" s="5" t="str">
        <f>IFERROR(__xludf.DUMMYFUNCTION("GOOGLETRANSLATE(D303, ""en"", ""hi"")"),"ए) छल-कपट का प्रयोग करें और अपने हमलों के समय में परिवर्तन करें।")</f>
        <v>ए) छल-कपट का प्रयोग करें और अपने हमलों के समय में परिवर्तन करें।</v>
      </c>
    </row>
    <row r="304" ht="22.5" customHeight="1">
      <c r="A304" s="2">
        <v>303.0</v>
      </c>
      <c r="B304" s="3" t="s">
        <v>3601</v>
      </c>
      <c r="C304" s="3" t="s">
        <v>3602</v>
      </c>
      <c r="D304" s="3" t="s">
        <v>3603</v>
      </c>
      <c r="F304" s="5" t="str">
        <f>IFERROR(__xludf.DUMMYFUNCTION("GOOGLETRANSLATE(A304, ""en"", ""hi"")"),"303")</f>
        <v>303</v>
      </c>
      <c r="G304" s="5" t="str">
        <f>IFERROR(__xludf.DUMMYFUNCTION("GOOGLETRANSLATE(B304, ""en"", ""hi"")"),"फाइटर A की आँख के ऊपर चोट लगी है, लेकिन वह अंकों में आगे चल रहा है। फाइटर B अब चोट वाले हिस्से पर निशाना साध रहा है। फाइटर A को क्या करना चाहिए?")</f>
        <v>फाइटर A की आँख के ऊपर चोट लगी है, लेकिन वह अंकों में आगे चल रहा है। फाइटर B अब चोट वाले हिस्से पर निशाना साध रहा है। फाइटर A को क्या करना चाहिए?</v>
      </c>
      <c r="H304" s="5" t="str">
        <f>IFERROR(__xludf.DUMMYFUNCTION("GOOGLETRANSLATE(C304, ""en"", ""hi"")"),"A) बचाव पर ध्यान केंद्रित करें और घायल क्षेत्र की रक्षा करें। B) लड़ाकू B को परास्त करने के लिए आक्रामकता बढ़ाएँ। C) नॉकआउट से लड़ाई समाप्त करने का प्रयास करें। D) ऊर्जा बचाएँ और रेफरी के हस्तक्षेप की प्रतीक्षा करें।")</f>
        <v>A) बचाव पर ध्यान केंद्रित करें और घायल क्षेत्र की रक्षा करें। B) लड़ाकू B को परास्त करने के लिए आक्रामकता बढ़ाएँ। C) नॉकआउट से लड़ाई समाप्त करने का प्रयास करें। D) ऊर्जा बचाएँ और रेफरी के हस्तक्षेप की प्रतीक्षा करें।</v>
      </c>
      <c r="I304" s="5" t="str">
        <f>IFERROR(__xludf.DUMMYFUNCTION("GOOGLETRANSLATE(D304, ""en"", ""hi"")"),"ए) बचाव पर ध्यान केन्द्रित करें और घायल क्षेत्र की रक्षा करें।")</f>
        <v>ए) बचाव पर ध्यान केन्द्रित करें और घायल क्षेत्र की रक्षा करें।</v>
      </c>
    </row>
    <row r="305" ht="22.5" customHeight="1">
      <c r="A305" s="2">
        <v>304.0</v>
      </c>
      <c r="B305" s="3" t="s">
        <v>3604</v>
      </c>
      <c r="C305" s="3" t="s">
        <v>3605</v>
      </c>
      <c r="D305" s="3" t="s">
        <v>3606</v>
      </c>
      <c r="F305" s="5" t="str">
        <f>IFERROR(__xludf.DUMMYFUNCTION("GOOGLETRANSLATE(A305, ""en"", ""hi"")"),"304")</f>
        <v>304</v>
      </c>
      <c r="G305" s="5" t="str">
        <f>IFERROR(__xludf.DUMMYFUNCTION("GOOGLETRANSLATE(B305, ""en"", ""hi"")"),"फाइटर A ने फाइटर B पर कई तेज़ वार सफलतापूर्वक किए हैं, लेकिन फाइटर B का हौसला कम होने का नाम नहीं ले रहा। फाइटर A को अब क्या करना चाहिए?")</f>
        <v>फाइटर A ने फाइटर B पर कई तेज़ वार सफलतापूर्वक किए हैं, लेकिन फाइटर B का हौसला कम होने का नाम नहीं ले रहा। फाइटर A को अब क्या करना चाहिए?</v>
      </c>
      <c r="H305" s="5" t="str">
        <f>IFERROR(__xludf.DUMMYFUNCTION("GOOGLETRANSLATE(C305, ""en"", ""hi"")"),"A) जैब की तीव्रता बढ़ाएँ। B) फाइटर B को कमज़ोर करने के लिए बॉडी शॉट्स पर स्विच करें। C) जवाबी हमलों से बचने के लिए बचाव पर ध्यान केंद्रित करें। D) मैच खत्म करने के लिए नॉकआउट पंच का प्रयास करें।")</f>
        <v>A) जैब की तीव्रता बढ़ाएँ। B) फाइटर B को कमज़ोर करने के लिए बॉडी शॉट्स पर स्विच करें। C) जवाबी हमलों से बचने के लिए बचाव पर ध्यान केंद्रित करें। D) मैच खत्म करने के लिए नॉकआउट पंच का प्रयास करें।</v>
      </c>
      <c r="I305" s="5" t="str">
        <f>IFERROR(__xludf.DUMMYFUNCTION("GOOGLETRANSLATE(D305, ""en"", ""hi"")"),"बी) फाइटर बी को कमजोर करने के लिए बॉडी शॉट्स पर स्विच करें।")</f>
        <v>बी) फाइटर बी को कमजोर करने के लिए बॉडी शॉट्स पर स्विच करें।</v>
      </c>
    </row>
    <row r="306" ht="22.5" customHeight="1">
      <c r="A306" s="2">
        <v>305.0</v>
      </c>
      <c r="B306" s="3" t="s">
        <v>3607</v>
      </c>
      <c r="C306" s="3" t="s">
        <v>3608</v>
      </c>
      <c r="D306" s="3" t="s">
        <v>3572</v>
      </c>
      <c r="F306" s="5" t="str">
        <f>IFERROR(__xludf.DUMMYFUNCTION("GOOGLETRANSLATE(A306, ""en"", ""hi"")"),"305")</f>
        <v>305</v>
      </c>
      <c r="G306" s="5" t="str">
        <f>IFERROR(__xludf.DUMMYFUNCTION("GOOGLETRANSLATE(B306, ""en"", ""hi"")"),"तीसरे राउंड के दौरान, फाइटर B, फाइटर A के अगले पैर पर ध्यान केंद्रित करना शुरू कर देता है और लगातार नीचे की ओर किक मारता है। फाइटर A को कैसे एडजस्ट करना चाहिए?")</f>
        <v>तीसरे राउंड के दौरान, फाइटर B, फाइटर A के अगले पैर पर ध्यान केंद्रित करना शुरू कर देता है और लगातार नीचे की ओर किक मारता है। फाइटर A को कैसे एडजस्ट करना चाहिए?</v>
      </c>
      <c r="H306" s="5" t="str">
        <f>IFERROR(__xludf.DUMMYFUNCTION("GOOGLETRANSLATE(C306, ""en"", ""hi"")"),"A) आगे वाले पैर की रक्षा के लिए रुख बदलें। B) आक्रामकता बढ़ाएँ और फाइटर B को पीछे धकेलें। C) नीचे की किक को रोकने पर ध्यान केंद्रित करें। D) नीचे की किक का जवाब ऊँचे मुक्कों से दें।")</f>
        <v>A) आगे वाले पैर की रक्षा के लिए रुख बदलें। B) आक्रामकता बढ़ाएँ और फाइटर B को पीछे धकेलें। C) नीचे की किक को रोकने पर ध्यान केंद्रित करें। D) नीचे की किक का जवाब ऊँचे मुक्कों से दें।</v>
      </c>
      <c r="I306" s="5" t="str">
        <f>IFERROR(__xludf.DUMMYFUNCTION("GOOGLETRANSLATE(D306, ""en"", ""hi"")"),"ए) अग्रणी पैर की रक्षा के लिए रुख बदलें।")</f>
        <v>ए) अग्रणी पैर की रक्षा के लिए रुख बदलें।</v>
      </c>
    </row>
    <row r="307" ht="22.5" customHeight="1">
      <c r="A307" s="2">
        <v>306.0</v>
      </c>
      <c r="B307" s="3" t="s">
        <v>3609</v>
      </c>
      <c r="C307" s="3" t="s">
        <v>3610</v>
      </c>
      <c r="D307" s="3" t="s">
        <v>3611</v>
      </c>
      <c r="F307" s="5" t="str">
        <f>IFERROR(__xludf.DUMMYFUNCTION("GOOGLETRANSLATE(A307, ""en"", ""hi"")"),"306")</f>
        <v>306</v>
      </c>
      <c r="G307" s="5" t="str">
        <f>IFERROR(__xludf.DUMMYFUNCTION("GOOGLETRANSLATE(B307, ""en"", ""hi"")"),"फाइटर A को फाइटर B के शरीर पर लगे वार से पसलियों में चोट लगी है। आगे और नुकसान से बचने के लिए फाइटर A को क्या करना चाहिए?")</f>
        <v>फाइटर A को फाइटर B के शरीर पर लगे वार से पसलियों में चोट लगी है। आगे और नुकसान से बचने के लिए फाइटर A को क्या करना चाहिए?</v>
      </c>
      <c r="H307" s="5" t="str">
        <f>IFERROR(__xludf.DUMMYFUNCTION("GOOGLETRANSLATE(C307, ""en"", ""hi"")"),"A) शरीर की सुरक्षा के लिए अपनी सुरक्षा कम रखें। B) शरीर पर लगने वाले वार से बचने के लिए ज़्यादा पार्श्व गति का प्रयोग करें। C) लड़ाई को धीमा करने के लिए क्लिंचिंग करें। D) फाइटर B को परास्त करने के लिए गति बढ़ाएँ।")</f>
        <v>A) शरीर की सुरक्षा के लिए अपनी सुरक्षा कम रखें। B) शरीर पर लगने वाले वार से बचने के लिए ज़्यादा पार्श्व गति का प्रयोग करें। C) लड़ाई को धीमा करने के लिए क्लिंचिंग करें। D) फाइटर B को परास्त करने के लिए गति बढ़ाएँ।</v>
      </c>
      <c r="I307" s="5" t="str">
        <f>IFERROR(__xludf.DUMMYFUNCTION("GOOGLETRANSLATE(D307, ""en"", ""hi"")"),"बी) शरीर पर लगने वाले प्रहार से बचने के लिए अधिक पार्श्व गति का प्रयोग करें।")</f>
        <v>बी) शरीर पर लगने वाले प्रहार से बचने के लिए अधिक पार्श्व गति का प्रयोग करें।</v>
      </c>
    </row>
    <row r="308" ht="22.5" customHeight="1">
      <c r="A308" s="2">
        <v>307.0</v>
      </c>
      <c r="B308" s="3" t="s">
        <v>3612</v>
      </c>
      <c r="C308" s="3" t="s">
        <v>3613</v>
      </c>
      <c r="D308" s="3" t="s">
        <v>3614</v>
      </c>
      <c r="F308" s="5" t="str">
        <f>IFERROR(__xludf.DUMMYFUNCTION("GOOGLETRANSLATE(A308, ""en"", ""hi"")"),"307")</f>
        <v>307</v>
      </c>
      <c r="G308" s="5" t="str">
        <f>IFERROR(__xludf.DUMMYFUNCTION("GOOGLETRANSLATE(B308, ""en"", ""hi"")"),"फाइटर बी, फाइटर ए के हर हमले पर लगातार जवाबी मुक्के बरसा रहा है। जवाबी हमले से बचने के लिए फाइटर ए को क्या करना चाहिए?")</f>
        <v>फाइटर बी, फाइटर ए के हर हमले पर लगातार जवाबी मुक्के बरसा रहा है। जवाबी हमले से बचने के लिए फाइटर ए को क्या करना चाहिए?</v>
      </c>
      <c r="H308" s="5" t="str">
        <f>IFERROR(__xludf.DUMMYFUNCTION("GOOGLETRANSLATE(C308, ""en"", ""hi"")"),"A) फाइटर B को गलत समय पर किए गए काउंटरों में फँसाने के लिए छल-कपट का प्रयोग करें। B) उसके हमलों की गति बढ़ाएँ। C) काउंटरों से बचने के लिए रक्षात्मक तकनीकों पर ध्यान केंद्रित करें। D) काउंटरों को बेअसर करने के लिए नज़दीकी लड़ाई में शामिल हों।")</f>
        <v>A) फाइटर B को गलत समय पर किए गए काउंटरों में फँसाने के लिए छल-कपट का प्रयोग करें। B) उसके हमलों की गति बढ़ाएँ। C) काउंटरों से बचने के लिए रक्षात्मक तकनीकों पर ध्यान केंद्रित करें। D) काउंटरों को बेअसर करने के लिए नज़दीकी लड़ाई में शामिल हों।</v>
      </c>
      <c r="I308" s="5" t="str">
        <f>IFERROR(__xludf.DUMMYFUNCTION("GOOGLETRANSLATE(D308, ""en"", ""hi"")"),"ए) फाइटर बी को गलत समय पर काउंटर करने के लिए छल का प्रयोग करें।")</f>
        <v>ए) फाइटर बी को गलत समय पर काउंटर करने के लिए छल का प्रयोग करें।</v>
      </c>
    </row>
    <row r="309" ht="22.5" customHeight="1">
      <c r="A309" s="2">
        <v>308.0</v>
      </c>
      <c r="B309" s="3" t="s">
        <v>3615</v>
      </c>
      <c r="C309" s="3" t="s">
        <v>3616</v>
      </c>
      <c r="D309" s="3" t="s">
        <v>3617</v>
      </c>
      <c r="F309" s="5" t="str">
        <f>IFERROR(__xludf.DUMMYFUNCTION("GOOGLETRANSLATE(A309, ""en"", ""hi"")"),"308")</f>
        <v>308</v>
      </c>
      <c r="G309" s="5" t="str">
        <f>IFERROR(__xludf.DUMMYFUNCTION("GOOGLETRANSLATE(B309, ""en"", ""hi"")"),"फाइटर A, फाइटर B के शरीर पर ज़ोरदार मुक्के मार रहा है, लेकिन फाइटर B का डिफेंस मज़बूत बना हुआ है। फाइटर A को किस पर ध्यान देना चाहिए?")</f>
        <v>फाइटर A, फाइटर B के शरीर पर ज़ोरदार मुक्के मार रहा है, लेकिन फाइटर B का डिफेंस मज़बूत बना हुआ है। फाइटर A को किस पर ध्यान देना चाहिए?</v>
      </c>
      <c r="H309" s="5" t="str">
        <f>IFERROR(__xludf.DUMMYFUNCTION("GOOGLETRANSLATE(C309, ""en"", ""hi"")"),"A) डिफेंस को बाधित करने के लिए बॉडी पंच के साथ हेड पंच भी करें। B) फाइटर B को थका देने के लिए बॉडी पर निशाना लगाना जारी रखें। C) उसकी रक्षात्मक गतिविधियों को बढ़ाएँ। D) पीछे हटें और फाइटर B की गलती का इंतज़ार करें।")</f>
        <v>A) डिफेंस को बाधित करने के लिए बॉडी पंच के साथ हेड पंच भी करें। B) फाइटर B को थका देने के लिए बॉडी पर निशाना लगाना जारी रखें। C) उसकी रक्षात्मक गतिविधियों को बढ़ाएँ। D) पीछे हटें और फाइटर B की गलती का इंतज़ार करें।</v>
      </c>
      <c r="I309" s="5" t="str">
        <f>IFERROR(__xludf.DUMMYFUNCTION("GOOGLETRANSLATE(D309, ""en"", ""hi"")"),"ए) रक्षा को बाधित करने के लिए सिर पर वार के साथ शरीर पर वार करें।")</f>
        <v>ए) रक्षा को बाधित करने के लिए सिर पर वार के साथ शरीर पर वार करें।</v>
      </c>
    </row>
    <row r="310" ht="22.5" customHeight="1">
      <c r="A310" s="2">
        <v>309.0</v>
      </c>
      <c r="B310" s="3" t="s">
        <v>3618</v>
      </c>
      <c r="C310" s="3" t="s">
        <v>3619</v>
      </c>
      <c r="D310" s="3" t="s">
        <v>3620</v>
      </c>
      <c r="F310" s="5" t="str">
        <f>IFERROR(__xludf.DUMMYFUNCTION("GOOGLETRANSLATE(A310, ""en"", ""hi"")"),"309")</f>
        <v>309</v>
      </c>
      <c r="G310" s="5" t="str">
        <f>IFERROR(__xludf.DUMMYFUNCTION("GOOGLETRANSLATE(B310, ""en"", ""hi"")"),"फाइटर A ने देखा कि फाइटर B ज़ोरदार मुक्के मारने के बाद अपनी सुरक्षा खो रहा है। इसका फ़ायदा उठाने के लिए फाइटर A को क्या रणनीति अपनानी चाहिए?")</f>
        <v>फाइटर A ने देखा कि फाइटर B ज़ोरदार मुक्के मारने के बाद अपनी सुरक्षा खो रहा है। इसका फ़ायदा उठाने के लिए फाइटर A को क्या रणनीति अपनानी चाहिए?</v>
      </c>
      <c r="H310" s="5" t="str">
        <f>IFERROR(__xludf.DUMMYFUNCTION("GOOGLETRANSLATE(C310, ""en"", ""hi"")"),"A) फाइटर B के मुक्कों के तुरंत बाद तेज़ वार से जवाब दें। B) फाइटर B की ताकत को बेअसर करने के लिए क्लिंच की स्थिति में आ जाएँ। C) फाइटर B के थकने का इंतज़ार करें और बाद में उसका फ़ायदा उठाएँ। D) ज़ोरदार मुक्कों से बचाव पर ध्यान केंद्रित करें।")</f>
        <v>A) फाइटर B के मुक्कों के तुरंत बाद तेज़ वार से जवाब दें। B) फाइटर B की ताकत को बेअसर करने के लिए क्लिंच की स्थिति में आ जाएँ। C) फाइटर B के थकने का इंतज़ार करें और बाद में उसका फ़ायदा उठाएँ। D) ज़ोरदार मुक्कों से बचाव पर ध्यान केंद्रित करें।</v>
      </c>
      <c r="I310" s="5" t="str">
        <f>IFERROR(__xludf.DUMMYFUNCTION("GOOGLETRANSLATE(D310, ""en"", ""hi"")"),"ए) फाइटर बी के मुक्कों के तुरंत बाद त्वरित हमलों के साथ जवाबी हमला करें।")</f>
        <v>ए) फाइटर बी के मुक्कों के तुरंत बाद त्वरित हमलों के साथ जवाबी हमला करें।</v>
      </c>
    </row>
    <row r="311" ht="22.5" customHeight="1">
      <c r="A311" s="2">
        <v>310.0</v>
      </c>
      <c r="B311" s="3" t="s">
        <v>3621</v>
      </c>
      <c r="C311" s="3" t="s">
        <v>3622</v>
      </c>
      <c r="D311" s="3" t="s">
        <v>3623</v>
      </c>
      <c r="F311" s="5" t="str">
        <f>IFERROR(__xludf.DUMMYFUNCTION("GOOGLETRANSLATE(A311, ""en"", ""hi"")"),"310")</f>
        <v>310</v>
      </c>
      <c r="G311" s="5" t="str">
        <f>IFERROR(__xludf.DUMMYFUNCTION("GOOGLETRANSLATE(B311, ""en"", ""hi"")"),"फाइटर A अंकों के मामले में आगे है, लेकिन आखिरी राउंड में उसे थकान होने लगती है। फाइटर B को इसका एहसास होता है और वह ज़्यादा आक्रामक हो जाता है। फाइटर A को इस स्थिति से कैसे निपटना चाहिए?")</f>
        <v>फाइटर A अंकों के मामले में आगे है, लेकिन आखिरी राउंड में उसे थकान होने लगती है। फाइटर B को इसका एहसास होता है और वह ज़्यादा आक्रामक हो जाता है। फाइटर A को इस स्थिति से कैसे निपटना चाहिए?</v>
      </c>
      <c r="H311" s="5" t="str">
        <f>IFERROR(__xludf.DUMMYFUNCTION("GOOGLETRANSLATE(C311, ""en"", ""hi"")"),"A) बचाव पर ध्यान केंद्रित करें और अनावश्यक आदान-प्रदान से बचें। B) ऊर्जा बचाएँ और फाइटर B के थकने का इंतज़ार करें। C) फाइटर B को दूर रखने के लिए आक्रामकता बढ़ाएँ। D) जीत सुनिश्चित करने के लिए नॉकआउट की कोशिश करें।")</f>
        <v>A) बचाव पर ध्यान केंद्रित करें और अनावश्यक आदान-प्रदान से बचें। B) ऊर्जा बचाएँ और फाइटर B के थकने का इंतज़ार करें। C) फाइटर B को दूर रखने के लिए आक्रामकता बढ़ाएँ। D) जीत सुनिश्चित करने के लिए नॉकआउट की कोशिश करें।</v>
      </c>
      <c r="I311" s="5" t="str">
        <f>IFERROR(__xludf.DUMMYFUNCTION("GOOGLETRANSLATE(D311, ""en"", ""hi"")"),"ए) रक्षा पर ध्यान केन्द्रित करें और अनावश्यक आदान-प्रदान से बचें।")</f>
        <v>ए) रक्षा पर ध्यान केन्द्रित करें और अनावश्यक आदान-प्रदान से बचें।</v>
      </c>
    </row>
    <row r="312" ht="22.5" customHeight="1">
      <c r="A312" s="2">
        <v>311.0</v>
      </c>
      <c r="B312" s="3" t="s">
        <v>3624</v>
      </c>
      <c r="C312" s="3" t="s">
        <v>3625</v>
      </c>
      <c r="D312" s="3" t="s">
        <v>3626</v>
      </c>
      <c r="F312" s="5" t="str">
        <f>IFERROR(__xludf.DUMMYFUNCTION("GOOGLETRANSLATE(A312, ""en"", ""hi"")"),"311")</f>
        <v>311</v>
      </c>
      <c r="G312" s="5" t="str">
        <f>IFERROR(__xludf.DUMMYFUNCTION("GOOGLETRANSLATE(B312, ""en"", ""hi"")"),"फाइटर A अपने पैरों से लड़ाई की गति को नियंत्रित कर रहा है, लेकिन फाइटर B आगे बढ़ने का दबाव बनाने लगता है। फाइटर A को क्या बदलाव करना चाहिए?")</f>
        <v>फाइटर A अपने पैरों से लड़ाई की गति को नियंत्रित कर रहा है, लेकिन फाइटर B आगे बढ़ने का दबाव बनाने लगता है। फाइटर A को क्या बदलाव करना चाहिए?</v>
      </c>
      <c r="H312" s="5" t="str">
        <f>IFERROR(__xludf.DUMMYFUNCTION("GOOGLETRANSLATE(C312, ""en"", ""hi"")"),"A) फाइटर B की बढ़त को बाधित करने के लिए पार्श्व गति और काउंटर का उपयोग करें। B) फाइटर B के दबाव को बेअसर करने के लिए क्लिंच में शामिल हों। C) दबाव को कम करने के लिए रक्षात्मक ब्लॉक पर ध्यान केंद्रित करें। D) फाइटर B को पीछे धकेलने के लिए उसकी आक्रामकता बढ"&amp;"़ाएँ।")</f>
        <v>A) फाइटर B की बढ़त को बाधित करने के लिए पार्श्व गति और काउंटर का उपयोग करें। B) फाइटर B के दबाव को बेअसर करने के लिए क्लिंच में शामिल हों। C) दबाव को कम करने के लिए रक्षात्मक ब्लॉक पर ध्यान केंद्रित करें। D) फाइटर B को पीछे धकेलने के लिए उसकी आक्रामकता बढ़ाएँ।</v>
      </c>
      <c r="I312" s="5" t="str">
        <f>IFERROR(__xludf.DUMMYFUNCTION("GOOGLETRANSLATE(D312, ""en"", ""hi"")"),"ए) फाइटर बी की प्रगति को बाधित करने के लिए पार्श्व आंदोलन और काउंटर का उपयोग करें।")</f>
        <v>ए) फाइटर बी की प्रगति को बाधित करने के लिए पार्श्व आंदोलन और काउंटर का उपयोग करें।</v>
      </c>
    </row>
    <row r="313" ht="22.5" customHeight="1">
      <c r="A313" s="2">
        <v>312.0</v>
      </c>
      <c r="B313" s="3" t="s">
        <v>3627</v>
      </c>
      <c r="C313" s="3" t="s">
        <v>3628</v>
      </c>
      <c r="D313" s="3" t="s">
        <v>3629</v>
      </c>
      <c r="F313" s="5" t="str">
        <f>IFERROR(__xludf.DUMMYFUNCTION("GOOGLETRANSLATE(A313, ""en"", ""hi"")"),"312")</f>
        <v>312</v>
      </c>
      <c r="G313" s="5" t="str">
        <f>IFERROR(__xludf.DUMMYFUNCTION("GOOGLETRANSLATE(B313, ""en"", ""hi"")"),"फाइटर A की आँख के ऊपर चोट लगी है और उसे फाइटर B के हमले साफ़ दिखाई नहीं दे रहे हैं। फाइटर A को अपनी रणनीति में कैसे बदलाव करना चाहिए?")</f>
        <v>फाइटर A की आँख के ऊपर चोट लगी है और उसे फाइटर B के हमले साफ़ दिखाई नहीं दे रहे हैं। फाइटर A को अपनी रणनीति में कैसे बदलाव करना चाहिए?</v>
      </c>
      <c r="H313" s="5" t="str">
        <f>IFERROR(__xludf.DUMMYFUNCTION("GOOGLETRANSLATE(C313, ""en"", ""hi"")"),"क) बचाव पर ध्यान केंद्रित करें और आँख को और अधिक नुकसान से बचाएँ। ख) लड़ाई को जल्दी खत्म करने के लिए आक्रामकता बढ़ाएँ। ग) लड़ाई की गति धीमी करने के लिए क्लिंचिंग करें। घ) जोखिम कम करने के लिए जवाबी हमलों पर भरोसा करें।")</f>
        <v>क) बचाव पर ध्यान केंद्रित करें और आँख को और अधिक नुकसान से बचाएँ। ख) लड़ाई को जल्दी खत्म करने के लिए आक्रामकता बढ़ाएँ। ग) लड़ाई की गति धीमी करने के लिए क्लिंचिंग करें। घ) जोखिम कम करने के लिए जवाबी हमलों पर भरोसा करें।</v>
      </c>
      <c r="I313" s="5" t="str">
        <f>IFERROR(__xludf.DUMMYFUNCTION("GOOGLETRANSLATE(D313, ""en"", ""hi"")"),"ए) बचाव पर ध्यान केंद्रित करें और आंख को और अधिक नुकसान से बचाएं।")</f>
        <v>ए) बचाव पर ध्यान केंद्रित करें और आंख को और अधिक नुकसान से बचाएं।</v>
      </c>
    </row>
    <row r="314" ht="22.5" customHeight="1">
      <c r="A314" s="2">
        <v>313.0</v>
      </c>
      <c r="B314" s="3" t="s">
        <v>3630</v>
      </c>
      <c r="C314" s="3" t="s">
        <v>3631</v>
      </c>
      <c r="D314" s="3" t="s">
        <v>3632</v>
      </c>
      <c r="F314" s="5" t="str">
        <f>IFERROR(__xludf.DUMMYFUNCTION("GOOGLETRANSLATE(A314, ""en"", ""hi"")"),"313")</f>
        <v>313</v>
      </c>
      <c r="G314" s="5" t="str">
        <f>IFERROR(__xludf.DUMMYFUNCTION("GOOGLETRANSLATE(B314, ""en"", ""hi"")"),"फाइटर A अपने जैब्स में कामयाब रहा है, लेकिन फाइटर B उन्हें टाइम करके और प्रभावी ढंग से काउंटर करना शुरू कर देता है। फाइटर A को नियंत्रण बनाए रखने के लिए क्या करना चाहिए?")</f>
        <v>फाइटर A अपने जैब्स में कामयाब रहा है, लेकिन फाइटर B उन्हें टाइम करके और प्रभावी ढंग से काउंटर करना शुरू कर देता है। फाइटर A को नियंत्रण बनाए रखने के लिए क्या करना चाहिए?</v>
      </c>
      <c r="H314" s="5" t="str">
        <f>IFERROR(__xludf.DUMMYFUNCTION("GOOGLETRANSLATE(C314, ""en"", ""hi"")"),"A) फाइटर B की टाइमिंग को बिगाड़ने के लिए फ़िंट्स मिलाएँ। B) तेज़ गति से जैबिंग जारी रखें। C) लक्ष्य बदलने के लिए बॉडी पंच पर स्विच करें। D) गति को रीसेट करने के लिए क्लिंच करें।")</f>
        <v>A) फाइटर B की टाइमिंग को बिगाड़ने के लिए फ़िंट्स मिलाएँ। B) तेज़ गति से जैबिंग जारी रखें। C) लक्ष्य बदलने के लिए बॉडी पंच पर स्विच करें। D) गति को रीसेट करने के लिए क्लिंच करें।</v>
      </c>
      <c r="I314" s="5" t="str">
        <f>IFERROR(__xludf.DUMMYFUNCTION("GOOGLETRANSLATE(D314, ""en"", ""hi"")"),"ए) फाइटर बी की टाइमिंग को बाधित करने के लिए फ़िंट्स को मिलाएं।")</f>
        <v>ए) फाइटर बी की टाइमिंग को बाधित करने के लिए फ़िंट्स को मिलाएं।</v>
      </c>
    </row>
    <row r="315" ht="22.5" customHeight="1">
      <c r="A315" s="2">
        <v>314.0</v>
      </c>
      <c r="B315" s="3" t="s">
        <v>3633</v>
      </c>
      <c r="C315" s="3" t="s">
        <v>3634</v>
      </c>
      <c r="D315" s="3" t="s">
        <v>3635</v>
      </c>
      <c r="F315" s="5" t="str">
        <f>IFERROR(__xludf.DUMMYFUNCTION("GOOGLETRANSLATE(A315, ""en"", ""hi"")"),"314")</f>
        <v>314</v>
      </c>
      <c r="G315" s="5" t="str">
        <f>IFERROR(__xludf.DUMMYFUNCTION("GOOGLETRANSLATE(B315, ""en"", ""hi"")"),"फाइटर बी ज़ोरदार मुक्के मार रहा है, लेकिन फाइटर ए अपनी सुरक्षा बखूबी बनाए हुए है। फाइटर ए को इस रक्षात्मक सफलता का फ़ायदा कैसे उठाना चाहिए?")</f>
        <v>फाइटर बी ज़ोरदार मुक्के मार रहा है, लेकिन फाइटर ए अपनी सुरक्षा बखूबी बनाए हुए है। फाइटर ए को इस रक्षात्मक सफलता का फ़ायदा कैसे उठाना चाहिए?</v>
      </c>
      <c r="H315" s="5" t="str">
        <f>IFERROR(__xludf.DUMMYFUNCTION("GOOGLETRANSLATE(C315, ""en"", ""hi"")"),"A) फाइटर B के हमलों को रोकने के बाद तेज़ काउंटरपंच का इस्तेमाल करें। B) फाइटर B के मुक्कों की ताकत कम करने के लिए क्लिंच की स्थिति में आएँ। C) पूरी तरह से बचाव पर ध्यान केंद्रित करें और मौके का इंतज़ार करें। D) फाइटर B पर हावी होने के लिए अपनी आक्रामकता ब"&amp;"ढ़ाएँ।")</f>
        <v>A) फाइटर B के हमलों को रोकने के बाद तेज़ काउंटरपंच का इस्तेमाल करें। B) फाइटर B के मुक्कों की ताकत कम करने के लिए क्लिंच की स्थिति में आएँ। C) पूरी तरह से बचाव पर ध्यान केंद्रित करें और मौके का इंतज़ार करें। D) फाइटर B पर हावी होने के लिए अपनी आक्रामकता बढ़ाएँ।</v>
      </c>
      <c r="I315" s="5" t="str">
        <f>IFERROR(__xludf.DUMMYFUNCTION("GOOGLETRANSLATE(D315, ""en"", ""hi"")"),"ए) फाइटर बी के हमलों को रोकने के बाद त्वरित काउंटरपंच का उपयोग करें।")</f>
        <v>ए) फाइटर बी के हमलों को रोकने के बाद त्वरित काउंटरपंच का उपयोग करें।</v>
      </c>
    </row>
    <row r="316" ht="22.5" customHeight="1">
      <c r="A316" s="2">
        <v>315.0</v>
      </c>
      <c r="B316" s="3" t="s">
        <v>3636</v>
      </c>
      <c r="C316" s="3" t="s">
        <v>3637</v>
      </c>
      <c r="D316" s="3" t="s">
        <v>3638</v>
      </c>
      <c r="F316" s="5" t="str">
        <f>IFERROR(__xludf.DUMMYFUNCTION("GOOGLETRANSLATE(A316, ""en"", ""hi"")"),"315")</f>
        <v>315</v>
      </c>
      <c r="G316" s="5" t="str">
        <f>IFERROR(__xludf.DUMMYFUNCTION("GOOGLETRANSLATE(B316, ""en"", ""hi"")"),"फाइटर ए शक्ति के मामले में पिछड़ रहा है, लेकिन वह फाइटर बी से तेज है। फाइटर ए को क्या रणनीति अपनानी चाहिए?")</f>
        <v>फाइटर ए शक्ति के मामले में पिछड़ रहा है, लेकिन वह फाइटर बी से तेज है। फाइटर ए को क्या रणनीति अपनानी चाहिए?</v>
      </c>
      <c r="H316" s="5" t="str">
        <f>IFERROR(__xludf.DUMMYFUNCTION("GOOGLETRANSLATE(C316, ""en"", ""hi"")"),"A) बचने और जवाबी हमले के लिए पैरों की गति और गति का इस्तेमाल करें। B) फाइटर B की ताकत को कम करने के लिए नज़दीकी लड़ाई में शामिल हों। C) बचाव पर ध्यान केंद्रित करें और फाइटर B के थकने का इंतज़ार करें। D) फाइटर B की ताकत का मुकाबला उसके अपने मुक्कों से करें"&amp;"।")</f>
        <v>A) बचने और जवाबी हमले के लिए पैरों की गति और गति का इस्तेमाल करें। B) फाइटर B की ताकत को कम करने के लिए नज़दीकी लड़ाई में शामिल हों। C) बचाव पर ध्यान केंद्रित करें और फाइटर B के थकने का इंतज़ार करें। D) फाइटर B की ताकत का मुकाबला उसके अपने मुक्कों से करें।</v>
      </c>
      <c r="I316" s="5" t="str">
        <f>IFERROR(__xludf.DUMMYFUNCTION("GOOGLETRANSLATE(D316, ""en"", ""hi"")"),"ए) बचने और जवाबी हमले के लिए फुटवर्क और गति का उपयोग करें।")</f>
        <v>ए) बचने और जवाबी हमले के लिए फुटवर्क और गति का उपयोग करें।</v>
      </c>
    </row>
    <row r="317" ht="22.5" customHeight="1">
      <c r="A317" s="2">
        <v>316.0</v>
      </c>
      <c r="B317" s="3" t="s">
        <v>3639</v>
      </c>
      <c r="C317" s="3" t="s">
        <v>3640</v>
      </c>
      <c r="D317" s="3" t="s">
        <v>3641</v>
      </c>
      <c r="F317" s="5" t="str">
        <f>IFERROR(__xludf.DUMMYFUNCTION("GOOGLETRANSLATE(A317, ""en"", ""hi"")"),"316")</f>
        <v>316</v>
      </c>
      <c r="G317" s="5" t="str">
        <f>IFERROR(__xludf.DUMMYFUNCTION("GOOGLETRANSLATE(B317, ""en"", ""hi"")"),"फाइटर A अपनी सहनशक्ति के लिए जाना जाता है, लेकिन फाइटर B शक्तिशाली प्रहारों से लड़ाई जल्दी खत्म करने की कोशिश कर रहा है। फाइटर A को लड़ाई का रुख कैसे अपनाना चाहिए?")</f>
        <v>फाइटर A अपनी सहनशक्ति के लिए जाना जाता है, लेकिन फाइटर B शक्तिशाली प्रहारों से लड़ाई जल्दी खत्म करने की कोशिश कर रहा है। फाइटर A को लड़ाई का रुख कैसे अपनाना चाहिए?</v>
      </c>
      <c r="H317" s="5" t="str">
        <f>IFERROR(__xludf.DUMMYFUNCTION("GOOGLETRANSLATE(C317, ""en"", ""hi"")"),"A) ऊर्जा बचाएँ और शुरुआती तूफ़ान का सामना करें। B) फ़ाइटर B की शक्ति का परीक्षण करने के लिए एक लड़ाई में शामिल हों। C) हमलों को रोकने के लिए रक्षात्मक तकनीकों पर ध्यान केंद्रित करें। D) फ़ाइटर B को आश्चर्यचकित करने के लिए उसकी आक्रामकता बढ़ाएँ।")</f>
        <v>A) ऊर्जा बचाएँ और शुरुआती तूफ़ान का सामना करें। B) फ़ाइटर B की शक्ति का परीक्षण करने के लिए एक लड़ाई में शामिल हों। C) हमलों को रोकने के लिए रक्षात्मक तकनीकों पर ध्यान केंद्रित करें। D) फ़ाइटर B को आश्चर्यचकित करने के लिए उसकी आक्रामकता बढ़ाएँ।</v>
      </c>
      <c r="I317" s="5" t="str">
        <f>IFERROR(__xludf.DUMMYFUNCTION("GOOGLETRANSLATE(D317, ""en"", ""hi"")"),"क) ऊर्जा संरक्षण करें और शुरुआती तूफान का सामना करें।")</f>
        <v>क) ऊर्जा संरक्षण करें और शुरुआती तूफान का सामना करें।</v>
      </c>
    </row>
    <row r="318" ht="22.5" customHeight="1">
      <c r="A318" s="2">
        <v>317.0</v>
      </c>
      <c r="B318" s="3" t="s">
        <v>3642</v>
      </c>
      <c r="C318" s="3" t="s">
        <v>3643</v>
      </c>
      <c r="D318" s="3" t="s">
        <v>3644</v>
      </c>
      <c r="F318" s="5" t="str">
        <f>IFERROR(__xludf.DUMMYFUNCTION("GOOGLETRANSLATE(A318, ""en"", ""hi"")"),"317")</f>
        <v>317</v>
      </c>
      <c r="G318" s="5" t="str">
        <f>IFERROR(__xludf.DUMMYFUNCTION("GOOGLETRANSLATE(B318, ""en"", ""hi"")"),"फाइटर A को पता चलता है कि लेग किक मारने के बाद फाइटर B का गार्ड कमज़ोर हो गया है। इस मौके का फ़ायदा उठाने के लिए फाइटर A को क्या करना चाहिए?")</f>
        <v>फाइटर A को पता चलता है कि लेग किक मारने के बाद फाइटर B का गार्ड कमज़ोर हो गया है। इस मौके का फ़ायदा उठाने के लिए फाइटर A को क्या करना चाहिए?</v>
      </c>
      <c r="H318" s="5" t="str">
        <f>IFERROR(__xludf.DUMMYFUNCTION("GOOGLETRANSLATE(C318, ""en"", ""hi"")"),"A) प्रत्येक लेग किक के बाद सिर पर मुक्का मारकर जवाब दें। B) लेग किक से बचाव पर ध्यान केंद्रित करें। C) फाइटर B को धीमा करने के लिए क्लिंच की स्थिति में आएँ। D) खुद एक शक्तिशाली लेग किक लगाने का प्रयास करें।")</f>
        <v>A) प्रत्येक लेग किक के बाद सिर पर मुक्का मारकर जवाब दें। B) लेग किक से बचाव पर ध्यान केंद्रित करें। C) फाइटर B को धीमा करने के लिए क्लिंच की स्थिति में आएँ। D) खुद एक शक्तिशाली लेग किक लगाने का प्रयास करें।</v>
      </c>
      <c r="I318" s="5" t="str">
        <f>IFERROR(__xludf.DUMMYFUNCTION("GOOGLETRANSLATE(D318, ""en"", ""hi"")"),"ए) प्रत्येक पैर की किक के बाद सिर पर मुक्का मारकर जवाब दें।")</f>
        <v>ए) प्रत्येक पैर की किक के बाद सिर पर मुक्का मारकर जवाब दें।</v>
      </c>
    </row>
    <row r="319" ht="22.5" customHeight="1">
      <c r="A319" s="2">
        <v>318.0</v>
      </c>
      <c r="B319" s="3" t="s">
        <v>3645</v>
      </c>
      <c r="C319" s="3" t="s">
        <v>3646</v>
      </c>
      <c r="D319" s="3" t="s">
        <v>3647</v>
      </c>
      <c r="F319" s="5" t="str">
        <f>IFERROR(__xludf.DUMMYFUNCTION("GOOGLETRANSLATE(A319, ""en"", ""hi"")"),"318")</f>
        <v>318</v>
      </c>
      <c r="G319" s="5" t="str">
        <f>IFERROR(__xludf.DUMMYFUNCTION("GOOGLETRANSLATE(B319, ""en"", ""hi"")"),"फाइटर A अंकों के मामले में आगे चल रहा है, लेकिन फाइटर B बाद के राउंड में ज़ोरदार शॉट लगा रहा है। अपनी बढ़त बनाए रखने के लिए फाइटर A को क्या करना चाहिए?")</f>
        <v>फाइटर A अंकों के मामले में आगे चल रहा है, लेकिन फाइटर B बाद के राउंड में ज़ोरदार शॉट लगा रहा है। अपनी बढ़त बनाए रखने के लिए फाइटर A को क्या करना चाहिए?</v>
      </c>
      <c r="H319" s="5" t="str">
        <f>IFERROR(__xludf.DUMMYFUNCTION("GOOGLETRANSLATE(C319, ""en"", ""hi"")"),"A) बचाव पर ध्यान केंद्रित करें और जोखिम भरे आदान-प्रदान से बचें। B) ऊर्जा बचाएँ और मौके का इंतज़ार करें। C) फाइटर B को पीछे धकेलने के लिए अपनी आक्रामकता बढ़ाएँ। D) नॉकआउट पंच से लड़ाई खत्म करने की कोशिश करें।")</f>
        <v>A) बचाव पर ध्यान केंद्रित करें और जोखिम भरे आदान-प्रदान से बचें। B) ऊर्जा बचाएँ और मौके का इंतज़ार करें। C) फाइटर B को पीछे धकेलने के लिए अपनी आक्रामकता बढ़ाएँ। D) नॉकआउट पंच से लड़ाई खत्म करने की कोशिश करें।</v>
      </c>
      <c r="I319" s="5" t="str">
        <f>IFERROR(__xludf.DUMMYFUNCTION("GOOGLETRANSLATE(D319, ""en"", ""hi"")"),"ए) रक्षा पर ध्यान केन्द्रित करें और जोखिमपूर्ण आदान-प्रदान से बचें।")</f>
        <v>ए) रक्षा पर ध्यान केन्द्रित करें और जोखिमपूर्ण आदान-प्रदान से बचें।</v>
      </c>
    </row>
    <row r="320" ht="22.5" customHeight="1">
      <c r="A320" s="2">
        <v>319.0</v>
      </c>
      <c r="B320" s="3" t="s">
        <v>3648</v>
      </c>
      <c r="C320" s="3" t="s">
        <v>3649</v>
      </c>
      <c r="D320" s="3" t="s">
        <v>3650</v>
      </c>
      <c r="F320" s="5" t="str">
        <f>IFERROR(__xludf.DUMMYFUNCTION("GOOGLETRANSLATE(A320, ""en"", ""hi"")"),"319")</f>
        <v>319</v>
      </c>
      <c r="G320" s="5" t="str">
        <f>IFERROR(__xludf.DUMMYFUNCTION("GOOGLETRANSLATE(B320, ""en"", ""hi"")"),"फाइटर A अपनी रेंज से लड़ाई को नियंत्रित कर रहा है, लेकिन फाइटर B प्रभावी ढंग से दूरी कम कर रहा है। फाइटर A को कैसे एडजस्ट करना चाहिए?")</f>
        <v>फाइटर A अपनी रेंज से लड़ाई को नियंत्रित कर रहा है, लेकिन फाइटर B प्रभावी ढंग से दूरी कम कर रहा है। फाइटर A को कैसे एडजस्ट करना चाहिए?</v>
      </c>
      <c r="H320" s="5" t="str">
        <f>IFERROR(__xludf.DUMMYFUNCTION("GOOGLETRANSLATE(C320, ""en"", ""hi"")"),"A) दूरी बनाए रखने के लिए झटके और गति का प्रयोग करें। B) लड़ाकू B को बेअसर करने के लिए निकट-सीमा की लड़ाई में शामिल हों। C) निकट-सीमा के हमलों से बचाव पर ध्यान केंद्रित करें। D) लड़ाकू B को एक शक्तिशाली प्रहार से नॉकआउट करने का प्रयास करें।")</f>
        <v>A) दूरी बनाए रखने के लिए झटके और गति का प्रयोग करें। B) लड़ाकू B को बेअसर करने के लिए निकट-सीमा की लड़ाई में शामिल हों। C) निकट-सीमा के हमलों से बचाव पर ध्यान केंद्रित करें। D) लड़ाकू B को एक शक्तिशाली प्रहार से नॉकआउट करने का प्रयास करें।</v>
      </c>
      <c r="I320" s="5" t="str">
        <f>IFERROR(__xludf.DUMMYFUNCTION("GOOGLETRANSLATE(D320, ""en"", ""hi"")"),"ए) दूरी बनाए रखने के लिए झटके और गति का प्रयोग करें।")</f>
        <v>ए) दूरी बनाए रखने के लिए झटके और गति का प्रयोग करें।</v>
      </c>
    </row>
    <row r="321" ht="22.5" customHeight="1">
      <c r="A321" s="2">
        <v>320.0</v>
      </c>
      <c r="B321" s="3" t="s">
        <v>3651</v>
      </c>
      <c r="C321" s="3" t="s">
        <v>3652</v>
      </c>
      <c r="D321" s="3" t="s">
        <v>3653</v>
      </c>
      <c r="F321" s="5" t="str">
        <f>IFERROR(__xludf.DUMMYFUNCTION("GOOGLETRANSLATE(A321, ""en"", ""hi"")"),"320")</f>
        <v>320</v>
      </c>
      <c r="G321" s="5" t="str">
        <f>IFERROR(__xludf.DUMMYFUNCTION("GOOGLETRANSLATE(B321, ""en"", ""hi"")"),"तेज़-तर्रार मुकाबले के बाद फाइटर A थक रहा है, लेकिन फाइटर B में भी थकान के लक्षण दिख रहे हैं। फ़ाइनल राउंड में फाइटर A को किस पर ध्यान केंद्रित करना चाहिए?")</f>
        <v>तेज़-तर्रार मुकाबले के बाद फाइटर A थक रहा है, लेकिन फाइटर B में भी थकान के लक्षण दिख रहे हैं। फ़ाइनल राउंड में फाइटर A को किस पर ध्यान केंद्रित करना चाहिए?</v>
      </c>
      <c r="H321" s="5" t="str">
        <f>IFERROR(__xludf.DUMMYFUNCTION("GOOGLETRANSLATE(C321, ""en"", ""hi"")"),"A) ऊर्जा बचाएँ और सटीक जवाबी हमलों की तलाश करें। B) फाइटर B को और थका देने के लिए गति बढ़ाएँ। C) उसकी बढ़त बनाए रखने के लिए पूरी तरह से बचाव पर ध्यान केंद्रित करें। D) लड़ाई खत्म करने के लिए नॉकआउट का प्रयास करें।")</f>
        <v>A) ऊर्जा बचाएँ और सटीक जवाबी हमलों की तलाश करें। B) फाइटर B को और थका देने के लिए गति बढ़ाएँ। C) उसकी बढ़त बनाए रखने के लिए पूरी तरह से बचाव पर ध्यान केंद्रित करें। D) लड़ाई खत्म करने के लिए नॉकआउट का प्रयास करें।</v>
      </c>
      <c r="I321" s="5" t="str">
        <f>IFERROR(__xludf.DUMMYFUNCTION("GOOGLETRANSLATE(D321, ""en"", ""hi"")"),"क) ऊर्जा बचाएँ और सटीक जवाबी हमले की तलाश करें।")</f>
        <v>क) ऊर्जा बचाएँ और सटीक जवाबी हमले की तलाश करें।</v>
      </c>
    </row>
    <row r="322" ht="22.5" customHeight="1">
      <c r="A322" s="2">
        <v>321.0</v>
      </c>
      <c r="B322" s="3" t="s">
        <v>3654</v>
      </c>
      <c r="C322" s="3" t="s">
        <v>3655</v>
      </c>
      <c r="D322" s="3" t="s">
        <v>3656</v>
      </c>
      <c r="F322" s="5" t="str">
        <f>IFERROR(__xludf.DUMMYFUNCTION("GOOGLETRANSLATE(A322, ""en"", ""hi"")"),"321")</f>
        <v>321</v>
      </c>
      <c r="G322" s="5" t="str">
        <f>IFERROR(__xludf.DUMMYFUNCTION("GOOGLETRANSLATE(B322, ""en"", ""hi"")"),"फाइटर बी, फाइटर ए पर आक्रामक मुक्कों की बौछार से हावी होने की कोशिश कर रहा है। फाइटर ए को भारी पड़ने से बचने के लिए क्या करना चाहिए?")</f>
        <v>फाइटर बी, फाइटर ए पर आक्रामक मुक्कों की बौछार से हावी होने की कोशिश कर रहा है। फाइटर ए को भारी पड़ने से बचने के लिए क्या करना चाहिए?</v>
      </c>
      <c r="H322" s="5" t="str">
        <f>IFERROR(__xludf.DUMMYFUNCTION("GOOGLETRANSLATE(C322, ""en"", ""hi"")"),"A) झटकों से बचने के लिए रक्षात्मक फुटवर्क का इस्तेमाल करें। B) फाइटर B को धीमा करने के लिए क्लिंच की स्थिति में आएँ। C) फाइटर B की आक्रामकता से मुकाबला करने के लिए अपनी आक्रामकता बढ़ाएँ। D) मुक्कों को रोकने और उन्हें झेलने पर ध्यान केंद्रित करें।")</f>
        <v>A) झटकों से बचने के लिए रक्षात्मक फुटवर्क का इस्तेमाल करें। B) फाइटर B को धीमा करने के लिए क्लिंच की स्थिति में आएँ। C) फाइटर B की आक्रामकता से मुकाबला करने के लिए अपनी आक्रामकता बढ़ाएँ। D) मुक्कों को रोकने और उन्हें झेलने पर ध्यान केंद्रित करें।</v>
      </c>
      <c r="I322" s="5" t="str">
        <f>IFERROR(__xludf.DUMMYFUNCTION("GOOGLETRANSLATE(D322, ""en"", ""hi"")"),"ए) झड़पों से बचने के लिए रक्षात्मक फुटवर्क का उपयोग करें।")</f>
        <v>ए) झड़पों से बचने के लिए रक्षात्मक फुटवर्क का उपयोग करें।</v>
      </c>
    </row>
    <row r="323" ht="22.5" customHeight="1">
      <c r="A323" s="2">
        <v>322.0</v>
      </c>
      <c r="B323" s="3" t="s">
        <v>3657</v>
      </c>
      <c r="C323" s="3" t="s">
        <v>3658</v>
      </c>
      <c r="D323" s="3" t="s">
        <v>3659</v>
      </c>
      <c r="F323" s="5" t="str">
        <f>IFERROR(__xludf.DUMMYFUNCTION("GOOGLETRANSLATE(A323, ""en"", ""hi"")"),"322")</f>
        <v>322</v>
      </c>
      <c r="G323" s="5" t="str">
        <f>IFERROR(__xludf.DUMMYFUNCTION("GOOGLETRANSLATE(B323, ""en"", ""hi"")"),"फाइटर A मैच में हावी है, लेकिन फाइटर B अपने मुक्कों का सही समय पर और प्रभावी ढंग से जवाबी हमला करने लगा है। फाइटर A को अपनी रणनीति में कैसे बदलाव करना चाहिए?")</f>
        <v>फाइटर A मैच में हावी है, लेकिन फाइटर B अपने मुक्कों का सही समय पर और प्रभावी ढंग से जवाबी हमला करने लगा है। फाइटर A को अपनी रणनीति में कैसे बदलाव करना चाहिए?</v>
      </c>
      <c r="H323" s="5" t="str">
        <f>IFERROR(__xludf.DUMMYFUNCTION("GOOGLETRANSLATE(C323, ""en"", ""hi"")"),"A) समान गति और दबाव बनाए रखें। B) फाइटर B के काउंटरों को विफल करने के लिए छल-कपट का प्रयोग करें। C) फाइटर B के थकने तक पीछे हटें और बचाव करें। D) तुरंत नॉकआउट पंच लगाने का प्रयास करें।")</f>
        <v>A) समान गति और दबाव बनाए रखें। B) फाइटर B के काउंटरों को विफल करने के लिए छल-कपट का प्रयोग करें। C) फाइटर B के थकने तक पीछे हटें और बचाव करें। D) तुरंत नॉकआउट पंच लगाने का प्रयास करें।</v>
      </c>
      <c r="I323" s="5" t="str">
        <f>IFERROR(__xludf.DUMMYFUNCTION("GOOGLETRANSLATE(D323, ""en"", ""hi"")"),"बी) फाइटर बी के काउंटरों को विफल करने के लिए छल का प्रयोग करें।")</f>
        <v>बी) फाइटर बी के काउंटरों को विफल करने के लिए छल का प्रयोग करें।</v>
      </c>
    </row>
    <row r="324" ht="22.5" customHeight="1">
      <c r="A324" s="2">
        <v>323.0</v>
      </c>
      <c r="B324" s="3" t="s">
        <v>3660</v>
      </c>
      <c r="C324" s="3" t="s">
        <v>3661</v>
      </c>
      <c r="D324" s="3" t="s">
        <v>3662</v>
      </c>
      <c r="F324" s="5" t="str">
        <f>IFERROR(__xludf.DUMMYFUNCTION("GOOGLETRANSLATE(A324, ""en"", ""hi"")"),"323")</f>
        <v>323</v>
      </c>
      <c r="G324" s="5" t="str">
        <f>IFERROR(__xludf.DUMMYFUNCTION("GOOGLETRANSLATE(B324, ""en"", ""hi"")"),"एक नाज़ुक मोड़ पर, फाइटर A एक शक्तिशाली हुक में फँस जाता है और अपना संतुलन खोने लगता है। फाइटर A के लिए संभलने का सबसे अच्छा उपाय क्या है?")</f>
        <v>एक नाज़ुक मोड़ पर, फाइटर A एक शक्तिशाली हुक में फँस जाता है और अपना संतुलन खोने लगता है। फाइटर A के लिए संभलने का सबसे अच्छा उपाय क्या है?</v>
      </c>
      <c r="H324" s="5" t="str">
        <f>IFERROR(__xludf.DUMMYFUNCTION("GOOGLETRANSLATE(C324, ""en"", ""hi"")"),"A) वापसी के लिए क्लिंच की स्थिति में आएँ। B) आक्रामक तरीके से हमला जारी रखें। C) पीछे हटें और संयम प्राप्त करें। D) प्रतिद्वंद्वी को भ्रमित करने के लिए अपनी रक्षा कम करें।")</f>
        <v>A) वापसी के लिए क्लिंच की स्थिति में आएँ। B) आक्रामक तरीके से हमला जारी रखें। C) पीछे हटें और संयम प्राप्त करें। D) प्रतिद्वंद्वी को भ्रमित करने के लिए अपनी रक्षा कम करें।</v>
      </c>
      <c r="I324" s="5" t="str">
        <f>IFERROR(__xludf.DUMMYFUNCTION("GOOGLETRANSLATE(D324, ""en"", ""hi"")"),"A) उबरने के लिए क्लिंच में संलग्न हों।")</f>
        <v>A) उबरने के लिए क्लिंच में संलग्न हों।</v>
      </c>
    </row>
    <row r="325" ht="22.5" customHeight="1">
      <c r="A325" s="2">
        <v>324.0</v>
      </c>
      <c r="B325" s="3" t="s">
        <v>3663</v>
      </c>
      <c r="C325" s="3" t="s">
        <v>3664</v>
      </c>
      <c r="D325" s="3" t="s">
        <v>3665</v>
      </c>
      <c r="F325" s="5" t="str">
        <f>IFERROR(__xludf.DUMMYFUNCTION("GOOGLETRANSLATE(A325, ""en"", ""hi"")"),"324")</f>
        <v>324</v>
      </c>
      <c r="G325" s="5" t="str">
        <f>IFERROR(__xludf.DUMMYFUNCTION("GOOGLETRANSLATE(B325, ""en"", ""hi"")"),"फाइटर बी अपने ज़बरदस्त काउंटरपंच के लिए जाना जाता है, लेकिन पहले हमला करने में हिचकिचाता है। फाइटर ए को शुरुआत करने के लिए क्या करना चाहिए?")</f>
        <v>फाइटर बी अपने ज़बरदस्त काउंटरपंच के लिए जाना जाता है, लेकिन पहले हमला करने में हिचकिचाता है। फाइटर ए को शुरुआत करने के लिए क्या करना चाहिए?</v>
      </c>
      <c r="H325" s="5" t="str">
        <f>IFERROR(__xludf.DUMMYFUNCTION("GOOGLETRANSLATE(C325, ""en"", ""hi"")"),"A) रक्षात्मक रहें और फाइटर B के हमले का इंतज़ार करें। B) फाइटर B की प्रतिक्रिया जानने के लिए तेज़ घूँसे मारें। C) ज़ोरदार मुक्कों से पूरी ताकत लगाएँ। D) फाइटर B को चौंकाने के लिए टेकडाउन का प्रयास करें।")</f>
        <v>A) रक्षात्मक रहें और फाइटर B के हमले का इंतज़ार करें। B) फाइटर B की प्रतिक्रिया जानने के लिए तेज़ घूँसे मारें। C) ज़ोरदार मुक्कों से पूरी ताकत लगाएँ। D) फाइटर B को चौंकाने के लिए टेकडाउन का प्रयास करें।</v>
      </c>
      <c r="I325" s="5" t="str">
        <f>IFERROR(__xludf.DUMMYFUNCTION("GOOGLETRANSLATE(D325, ""en"", ""hi"")"),"बी) फाइटर बी की प्रतिक्रिया का परीक्षण करने के लिए त्वरित प्रहार का प्रयोग करें।")</f>
        <v>बी) फाइटर बी की प्रतिक्रिया का परीक्षण करने के लिए त्वरित प्रहार का प्रयोग करें।</v>
      </c>
    </row>
    <row r="326" ht="22.5" customHeight="1">
      <c r="A326" s="2">
        <v>325.0</v>
      </c>
      <c r="B326" s="3" t="s">
        <v>3666</v>
      </c>
      <c r="C326" s="3" t="s">
        <v>3667</v>
      </c>
      <c r="D326" s="3" t="s">
        <v>3668</v>
      </c>
      <c r="F326" s="5" t="str">
        <f>IFERROR(__xludf.DUMMYFUNCTION("GOOGLETRANSLATE(A326, ""en"", ""hi"")"),"325")</f>
        <v>325</v>
      </c>
      <c r="G326" s="5" t="str">
        <f>IFERROR(__xludf.DUMMYFUNCTION("GOOGLETRANSLATE(B326, ""en"", ""hi"")"),"फाइटर A का फुटवर्क लगातार अच्छा रहा है, लेकिन फाइटर B उसके निचले शरीर पर किक मार रहा है। फाइटर A को क्या जवाब देना चाहिए?")</f>
        <v>फाइटर A का फुटवर्क लगातार अच्छा रहा है, लेकिन फाइटर B उसके निचले शरीर पर किक मार रहा है। फाइटर A को क्या जवाब देना चाहिए?</v>
      </c>
      <c r="H326" s="5" t="str">
        <f>IFERROR(__xludf.DUMMYFUNCTION("GOOGLETRANSLATE(C326, ""en"", ""hi"")"),"A) किक को रोकने पर ध्यान केंद्रित करें। B) किक लेते समय फाइटर B के ऊपरी शरीर पर हमला करें। C) उसके पैरों की सुरक्षा के लिए रुख बदलें। D) फाइटर B की किकिंग लय को बाधित करने के लिए दबाव बढ़ाएँ।")</f>
        <v>A) किक को रोकने पर ध्यान केंद्रित करें। B) किक लेते समय फाइटर B के ऊपरी शरीर पर हमला करें। C) उसके पैरों की सुरक्षा के लिए रुख बदलें। D) फाइटर B की किकिंग लय को बाधित करने के लिए दबाव बढ़ाएँ।</v>
      </c>
      <c r="I326" s="5" t="str">
        <f>IFERROR(__xludf.DUMMYFUNCTION("GOOGLETRANSLATE(D326, ""en"", ""hi"")"),"C) अपने पैरों की सुरक्षा के लिए रुख बदलें।")</f>
        <v>C) अपने पैरों की सुरक्षा के लिए रुख बदलें।</v>
      </c>
    </row>
    <row r="327" ht="22.5" customHeight="1">
      <c r="A327" s="2">
        <v>326.0</v>
      </c>
      <c r="B327" s="3" t="s">
        <v>3669</v>
      </c>
      <c r="C327" s="3" t="s">
        <v>3670</v>
      </c>
      <c r="D327" s="3" t="s">
        <v>3671</v>
      </c>
      <c r="F327" s="5" t="str">
        <f>IFERROR(__xludf.DUMMYFUNCTION("GOOGLETRANSLATE(A327, ""en"", ""hi"")"),"326")</f>
        <v>326</v>
      </c>
      <c r="G327" s="5" t="str">
        <f>IFERROR(__xludf.DUMMYFUNCTION("GOOGLETRANSLATE(B327, ""en"", ""hi"")"),"फाइटर A अंकों के मामले में दबदबा बनाए हुए है, लेकिन फाइटर B अंतिम राउंड में ज़ोरदार मुक्के लगा रहा है। फाइटर A का सबसे अच्छा तरीका क्या है?")</f>
        <v>फाइटर A अंकों के मामले में दबदबा बनाए हुए है, लेकिन फाइटर B अंतिम राउंड में ज़ोरदार मुक्के लगा रहा है। फाइटर A का सबसे अच्छा तरीका क्या है?</v>
      </c>
      <c r="H327" s="5" t="str">
        <f>IFERROR(__xludf.DUMMYFUNCTION("GOOGLETRANSLATE(C327, ""en"", ""hi"")"),"A) रक्षात्मक रहें और आदान-प्रदान से बचें। B) जीत सुनिश्चित करने के लिए नॉकआउट का प्रयास करें। C) प्रभुत्व बनाए रखने के लिए फाइटर B की आक्रामकता का मुकाबला करें। D) फाइटर B पर भारी पड़कर मैच को जल्दी समाप्त करने का प्रयास करें।")</f>
        <v>A) रक्षात्मक रहें और आदान-प्रदान से बचें। B) जीत सुनिश्चित करने के लिए नॉकआउट का प्रयास करें। C) प्रभुत्व बनाए रखने के लिए फाइटर B की आक्रामकता का मुकाबला करें। D) फाइटर B पर भारी पड़कर मैच को जल्दी समाप्त करने का प्रयास करें।</v>
      </c>
      <c r="I327" s="5" t="str">
        <f>IFERROR(__xludf.DUMMYFUNCTION("GOOGLETRANSLATE(D327, ""en"", ""hi"")"),"ए) रक्षात्मक रहें और आदान-प्रदान से बचें।")</f>
        <v>ए) रक्षात्मक रहें और आदान-प्रदान से बचें।</v>
      </c>
    </row>
    <row r="328" ht="22.5" customHeight="1">
      <c r="A328" s="2">
        <v>327.0</v>
      </c>
      <c r="B328" s="3" t="s">
        <v>3672</v>
      </c>
      <c r="C328" s="3" t="s">
        <v>3673</v>
      </c>
      <c r="D328" s="3" t="s">
        <v>3674</v>
      </c>
      <c r="F328" s="5" t="str">
        <f>IFERROR(__xludf.DUMMYFUNCTION("GOOGLETRANSLATE(A328, ""en"", ""hi"")"),"327")</f>
        <v>327</v>
      </c>
      <c r="G328" s="5" t="str">
        <f>IFERROR(__xludf.DUMMYFUNCTION("GOOGLETRANSLATE(B328, ""en"", ""hi"")"),"फाइटर A का कॉर्नर उसे बॉडी शॉट्स पर ध्यान केंद्रित करने की सलाह देता है, लेकिन फाइटर B के ऊपरी शरीर की सुरक्षा के लिए एक ऊँचा गार्ड लगा हुआ है। फाइटर A को अब क्या करना चाहिए?")</f>
        <v>फाइटर A का कॉर्नर उसे बॉडी शॉट्स पर ध्यान केंद्रित करने की सलाह देता है, लेकिन फाइटर B के ऊपरी शरीर की सुरक्षा के लिए एक ऊँचा गार्ड लगा हुआ है। फाइटर A को अब क्या करना चाहिए?</v>
      </c>
      <c r="H328" s="5" t="str">
        <f>IFERROR(__xludf.DUMMYFUNCTION("GOOGLETRANSLATE(C328, ""en"", ""hi"")"),"A) बॉडी शॉट्स लगाते रहें। B) फाइटर B के पैरों पर निशाना साधें। C) बॉडी शॉट्स को हेड पंच के साथ मिलाएँ। D) स्थिति को संभालने के लिए क्लिंच की स्थिति में आएँ।")</f>
        <v>A) बॉडी शॉट्स लगाते रहें। B) फाइटर B के पैरों पर निशाना साधें। C) बॉडी शॉट्स को हेड पंच के साथ मिलाएँ। D) स्थिति को संभालने के लिए क्लिंच की स्थिति में आएँ।</v>
      </c>
      <c r="I328" s="5" t="str">
        <f>IFERROR(__xludf.DUMMYFUNCTION("GOOGLETRANSLATE(D328, ""en"", ""hi"")"),"सी) शरीर पर प्रहार को सिर पर प्रहार के साथ मिलाएं।")</f>
        <v>सी) शरीर पर प्रहार को सिर पर प्रहार के साथ मिलाएं।</v>
      </c>
    </row>
    <row r="329" ht="22.5" customHeight="1">
      <c r="A329" s="2">
        <v>328.0</v>
      </c>
      <c r="B329" s="3" t="s">
        <v>3675</v>
      </c>
      <c r="C329" s="3" t="s">
        <v>3676</v>
      </c>
      <c r="D329" s="3" t="s">
        <v>3677</v>
      </c>
      <c r="F329" s="5" t="str">
        <f>IFERROR(__xludf.DUMMYFUNCTION("GOOGLETRANSLATE(A329, ""en"", ""hi"")"),"328")</f>
        <v>328</v>
      </c>
      <c r="G329" s="5" t="str">
        <f>IFERROR(__xludf.DUMMYFUNCTION("GOOGLETRANSLATE(B329, ""en"", ""hi"")"),"फाइटर A अपनी गति बनाए रखता है, लेकिन फाइटर B में थकान के लक्षण दिखाई देने लगते हैं। लाभ उठाने के लिए फाइटर A को क्या प्राथमिकता देनी चाहिए?")</f>
        <v>फाइटर A अपनी गति बनाए रखता है, लेकिन फाइटर B में थकान के लक्षण दिखाई देने लगते हैं। लाभ उठाने के लिए फाइटर A को क्या प्राथमिकता देनी चाहिए?</v>
      </c>
      <c r="H329" s="5" t="str">
        <f>IFERROR(__xludf.DUMMYFUNCTION("GOOGLETRANSLATE(C329, ""en"", ""hi"")"),"A) फाइटर B को परास्त करने के लिए उसकी आक्रामकता बढ़ाएँ। B) ऊर्जा बचाएँ और फाइटर B के गिरने का इंतज़ार करें। C) फाइटर B के ठीक होने की स्थिति में बचाव पर ध्यान केंद्रित करें। D) छल और तेज़ हमलों से फाइटर B की सहनशक्ति का परीक्षण करें।")</f>
        <v>A) फाइटर B को परास्त करने के लिए उसकी आक्रामकता बढ़ाएँ। B) ऊर्जा बचाएँ और फाइटर B के गिरने का इंतज़ार करें। C) फाइटर B के ठीक होने की स्थिति में बचाव पर ध्यान केंद्रित करें। D) छल और तेज़ हमलों से फाइटर B की सहनशक्ति का परीक्षण करें।</v>
      </c>
      <c r="I329" s="5" t="str">
        <f>IFERROR(__xludf.DUMMYFUNCTION("GOOGLETRANSLATE(D329, ""en"", ""hi"")"),"ए) लड़ाकू बी को परास्त करने के लिए अपनी आक्रामकता बढ़ाएं।")</f>
        <v>ए) लड़ाकू बी को परास्त करने के लिए अपनी आक्रामकता बढ़ाएं।</v>
      </c>
    </row>
    <row r="330" ht="22.5" customHeight="1">
      <c r="A330" s="2">
        <v>329.0</v>
      </c>
      <c r="B330" s="3" t="s">
        <v>3678</v>
      </c>
      <c r="C330" s="3" t="s">
        <v>3679</v>
      </c>
      <c r="D330" s="3" t="s">
        <v>3680</v>
      </c>
      <c r="F330" s="5" t="str">
        <f>IFERROR(__xludf.DUMMYFUNCTION("GOOGLETRANSLATE(A330, ""en"", ""hi"")"),"329")</f>
        <v>329</v>
      </c>
      <c r="G330" s="5" t="str">
        <f>IFERROR(__xludf.DUMMYFUNCTION("GOOGLETRANSLATE(B330, ""en"", ""hi"")"),"फाइटर A को एहसास होता है कि फाइटर B हर किक के बाद अपना गार्ड गिरा रहा है। फाइटर A के लिए सबसे अच्छा उपाय क्या है?")</f>
        <v>फाइटर A को एहसास होता है कि फाइटर B हर किक के बाद अपना गार्ड गिरा रहा है। फाइटर A के लिए सबसे अच्छा उपाय क्या है?</v>
      </c>
      <c r="H330" s="5" t="str">
        <f>IFERROR(__xludf.DUMMYFUNCTION("GOOGLETRANSLATE(C330, ""en"", ""hi"")"),"A) प्रत्येक किक के बाद सिर पर मुक्का मारकर जवाब दें। B) किक से बचाव पर ध्यान केंद्रित करें। C) फाइटर B की गति को धीमा करने के लिए क्लिंच की स्थिति में आएँ। D) फाइटर B को अस्थिर करने के लिए लेग स्वीप का प्रयास करें।")</f>
        <v>A) प्रत्येक किक के बाद सिर पर मुक्का मारकर जवाब दें। B) किक से बचाव पर ध्यान केंद्रित करें। C) फाइटर B की गति को धीमा करने के लिए क्लिंच की स्थिति में आएँ। D) फाइटर B को अस्थिर करने के लिए लेग स्वीप का प्रयास करें।</v>
      </c>
      <c r="I330" s="5" t="str">
        <f>IFERROR(__xludf.DUMMYFUNCTION("GOOGLETRANSLATE(D330, ""en"", ""hi"")"),"ए) प्रत्येक किक के बाद सिर पर मुक्का मारकर जवाब दें।")</f>
        <v>ए) प्रत्येक किक के बाद सिर पर मुक्का मारकर जवाब दें।</v>
      </c>
    </row>
    <row r="331" ht="22.5" customHeight="1">
      <c r="A331" s="2">
        <v>330.0</v>
      </c>
      <c r="B331" s="3" t="s">
        <v>3681</v>
      </c>
      <c r="C331" s="3" t="s">
        <v>3682</v>
      </c>
      <c r="D331" s="3" t="s">
        <v>3683</v>
      </c>
      <c r="F331" s="5" t="str">
        <f>IFERROR(__xludf.DUMMYFUNCTION("GOOGLETRANSLATE(A331, ""en"", ""hi"")"),"330")</f>
        <v>330</v>
      </c>
      <c r="G331" s="5" t="str">
        <f>IFERROR(__xludf.DUMMYFUNCTION("GOOGLETRANSLATE(B331, ""en"", ""hi"")"),"फाइटर ए एक जोरदार अपरकाट लगाता है जो फाइटर बी को क्षण भर के लिए अचेत कर देता है। फाइटर ए को इसका लाभ उठाने के लिए क्या करना चाहिए?")</f>
        <v>फाइटर ए एक जोरदार अपरकाट लगाता है जो फाइटर बी को क्षण भर के लिए अचेत कर देता है। फाइटर ए को इसका लाभ उठाने के लिए क्या करना चाहिए?</v>
      </c>
      <c r="H331" s="5" t="str">
        <f>IFERROR(__xludf.DUMMYFUNCTION("GOOGLETRANSLATE(C331, ""en"", ""hi"")"),"A) पीछे हटें और दूसरे मौके का इंतज़ार करें। B) तुरंत मुक्कों की बौछार करें। C) पलटवार से बचने के लिए क्लिंच की स्थिति में आ जाएँ। D) फाइटर B के ठीक होने की स्थिति में बचाव पर ध्यान केंद्रित करें।")</f>
        <v>A) पीछे हटें और दूसरे मौके का इंतज़ार करें। B) तुरंत मुक्कों की बौछार करें। C) पलटवार से बचने के लिए क्लिंच की स्थिति में आ जाएँ। D) फाइटर B के ठीक होने की स्थिति में बचाव पर ध्यान केंद्रित करें।</v>
      </c>
      <c r="I331" s="5" t="str">
        <f>IFERROR(__xludf.DUMMYFUNCTION("GOOGLETRANSLATE(D331, ""en"", ""hi"")"),"बी) तुरंत ही मुक्कों की बौछार कर दी।")</f>
        <v>बी) तुरंत ही मुक्कों की बौछार कर दी।</v>
      </c>
    </row>
    <row r="332" ht="22.5" customHeight="1">
      <c r="A332" s="2">
        <v>331.0</v>
      </c>
      <c r="B332" s="3" t="s">
        <v>3684</v>
      </c>
      <c r="C332" s="3" t="s">
        <v>3685</v>
      </c>
      <c r="D332" s="3" t="s">
        <v>3686</v>
      </c>
      <c r="F332" s="5" t="str">
        <f>IFERROR(__xludf.DUMMYFUNCTION("GOOGLETRANSLATE(A332, ""en"", ""hi"")"),"331")</f>
        <v>331</v>
      </c>
      <c r="G332" s="5" t="str">
        <f>IFERROR(__xludf.DUMMYFUNCTION("GOOGLETRANSLATE(B332, ""en"", ""hi"")"),"लड़ाकू A को शरीर पर लगी चोटों से उसके मध्य भाग में भारी क्षति हुई है। उसे और अधिक क्षति से बचने के लिए क्या करना चाहिए?")</f>
        <v>लड़ाकू A को शरीर पर लगी चोटों से उसके मध्य भाग में भारी क्षति हुई है। उसे और अधिक क्षति से बचने के लिए क्या करना चाहिए?</v>
      </c>
      <c r="H332" s="5" t="str">
        <f>IFERROR(__xludf.DUMMYFUNCTION("GOOGLETRANSLATE(C332, ""en"", ""hi"")"),"A) मध्य भाग की सुरक्षा के लिए अपनी सुरक्षा कम करें। B) फाइटर B को पीछे धकेलने के लिए अपनी आक्रामकता बढ़ाएँ। C) चोट से बचने के लिए ज़्यादा फ़ुटवर्क का इस्तेमाल करें। D) लड़ाई को धीमा करने के लिए क्लिंच की स्थिति में आएँ।")</f>
        <v>A) मध्य भाग की सुरक्षा के लिए अपनी सुरक्षा कम करें। B) फाइटर B को पीछे धकेलने के लिए अपनी आक्रामकता बढ़ाएँ। C) चोट से बचने के लिए ज़्यादा फ़ुटवर्क का इस्तेमाल करें। D) लड़ाई को धीमा करने के लिए क्लिंच की स्थिति में आएँ।</v>
      </c>
      <c r="I332" s="5" t="str">
        <f>IFERROR(__xludf.DUMMYFUNCTION("GOOGLETRANSLATE(D332, ""en"", ""hi"")"),"सी) चोट से बचने के लिए अधिक फुटवर्क का उपयोग करें।")</f>
        <v>सी) चोट से बचने के लिए अधिक फुटवर्क का उपयोग करें।</v>
      </c>
    </row>
    <row r="333" ht="22.5" customHeight="1">
      <c r="A333" s="2">
        <v>332.0</v>
      </c>
      <c r="B333" s="3" t="s">
        <v>3687</v>
      </c>
      <c r="C333" s="3" t="s">
        <v>3688</v>
      </c>
      <c r="D333" s="3" t="s">
        <v>3689</v>
      </c>
      <c r="F333" s="5" t="str">
        <f>IFERROR(__xludf.DUMMYFUNCTION("GOOGLETRANSLATE(A333, ""en"", ""hi"")"),"332")</f>
        <v>332</v>
      </c>
      <c r="G333" s="5" t="str">
        <f>IFERROR(__xludf.DUMMYFUNCTION("GOOGLETRANSLATE(B333, ""en"", ""hi"")"),"लड़ाकू बी लड़ाकू ए की तुलना में लंबा है और उसकी पहुंच अधिक है। दूरी कम करने के लिए लड़ाकू ए को किस रणनीति का उपयोग करना चाहिए?")</f>
        <v>लड़ाकू बी लड़ाकू ए की तुलना में लंबा है और उसकी पहुंच अधिक है। दूरी कम करने के लिए लड़ाकू ए को किस रणनीति का उपयोग करना चाहिए?</v>
      </c>
      <c r="H333" s="5" t="str">
        <f>IFERROR(__xludf.DUMMYFUNCTION("GOOGLETRANSLATE(C333, ""en"", ""hi"")"),"A) कॉम्बिनेशन पंचों के साथ तेज़ी से आगे बढ़ें। B) रक्षात्मक रहें और फाइटर B की गलती का इंतज़ार करें। C) फाइटर B की पहुँच कमज़ोर करने के लिए बॉडी शॉट्स पर ध्यान केंद्रित करें। D) फाइटर B की बढ़त को बेअसर करने के लिए क्लिंच की स्थिति में आएँ।")</f>
        <v>A) कॉम्बिनेशन पंचों के साथ तेज़ी से आगे बढ़ें। B) रक्षात्मक रहें और फाइटर B की गलती का इंतज़ार करें। C) फाइटर B की पहुँच कमज़ोर करने के लिए बॉडी शॉट्स पर ध्यान केंद्रित करें। D) फाइटर B की बढ़त को बेअसर करने के लिए क्लिंच की स्थिति में आएँ।</v>
      </c>
      <c r="I333" s="5" t="str">
        <f>IFERROR(__xludf.DUMMYFUNCTION("GOOGLETRANSLATE(D333, ""en"", ""hi"")"),"ए) संयोजन मुक्कों के साथ तेजी से आगे बढ़ें।")</f>
        <v>ए) संयोजन मुक्कों के साथ तेजी से आगे बढ़ें।</v>
      </c>
    </row>
    <row r="334" ht="22.5" customHeight="1">
      <c r="A334" s="2">
        <v>333.0</v>
      </c>
      <c r="B334" s="3" t="s">
        <v>3690</v>
      </c>
      <c r="C334" s="3" t="s">
        <v>3691</v>
      </c>
      <c r="D334" s="3" t="s">
        <v>3692</v>
      </c>
      <c r="F334" s="5" t="str">
        <f>IFERROR(__xludf.DUMMYFUNCTION("GOOGLETRANSLATE(A334, ""en"", ""hi"")"),"333")</f>
        <v>333</v>
      </c>
      <c r="G334" s="5" t="str">
        <f>IFERROR(__xludf.DUMMYFUNCTION("GOOGLETRANSLATE(B334, ""en"", ""hi"")"),"फाइटर A, फाइटर B के सारे मुक्कों को रोक रहा है, लेकिन कोई जवाबी हमला नहीं कर पा रहा है। फाइटर A को अपनी रणनीति कैसे बदलनी चाहिए?")</f>
        <v>फाइटर A, फाइटर B के सारे मुक्कों को रोक रहा है, लेकिन कोई जवाबी हमला नहीं कर पा रहा है। फाइटर A को अपनी रणनीति कैसे बदलनी चाहिए?</v>
      </c>
      <c r="H334" s="5" t="str">
        <f>IFERROR(__xludf.DUMMYFUNCTION("GOOGLETRANSLATE(C334, ""en"", ""hi"")"),"A) फाइटर B के थकने तक ब्लॉक करते रहें। B) हर ब्लॉक के बाद पलटवार शुरू करें। C) मुक्कों से पूरी तरह बचने के लिए अपने पैरों की गति बढ़ाएँ। D) ज़ोरदार मुक्के मारकर ज़्यादा जोखिम उठाएँ।")</f>
        <v>A) फाइटर B के थकने तक ब्लॉक करते रहें। B) हर ब्लॉक के बाद पलटवार शुरू करें। C) मुक्कों से पूरी तरह बचने के लिए अपने पैरों की गति बढ़ाएँ। D) ज़ोरदार मुक्के मारकर ज़्यादा जोखिम उठाएँ।</v>
      </c>
      <c r="I334" s="5" t="str">
        <f>IFERROR(__xludf.DUMMYFUNCTION("GOOGLETRANSLATE(D334, ""en"", ""hi"")"),"बी) प्रत्येक ब्लॉक के बाद जवाबी हमला शुरू करें।")</f>
        <v>बी) प्रत्येक ब्लॉक के बाद जवाबी हमला शुरू करें।</v>
      </c>
    </row>
    <row r="335" ht="22.5" customHeight="1">
      <c r="A335" s="2">
        <v>334.0</v>
      </c>
      <c r="B335" s="3" t="s">
        <v>3693</v>
      </c>
      <c r="C335" s="3" t="s">
        <v>3694</v>
      </c>
      <c r="D335" s="3" t="s">
        <v>3695</v>
      </c>
      <c r="F335" s="5" t="str">
        <f>IFERROR(__xludf.DUMMYFUNCTION("GOOGLETRANSLATE(A335, ""en"", ""hi"")"),"334")</f>
        <v>334</v>
      </c>
      <c r="G335" s="5" t="str">
        <f>IFERROR(__xludf.DUMMYFUNCTION("GOOGLETRANSLATE(B335, ""en"", ""hi"")"),"फाइटर A अंकों में पीछे है, लेकिन वह देखता है कि फाइटर B धीमा पड़ने लगा है। फ़ाइटर A को अंतिम राउंड में किस पर ध्यान केंद्रित करना चाहिए?")</f>
        <v>फाइटर A अंकों में पीछे है, लेकिन वह देखता है कि फाइटर B धीमा पड़ने लगा है। फ़ाइटर A को अंतिम राउंड में किस पर ध्यान केंद्रित करना चाहिए?</v>
      </c>
      <c r="H335" s="5" t="str">
        <f>IFERROR(__xludf.DUMMYFUNCTION("GOOGLETRANSLATE(C335, ""en"", ""hi"")"),"A) ऊर्जा बचाएँ और गलती की उम्मीद करें। B) आक्रमण जारी रखें और गति बढ़ाएँ। C) और अंक गँवाने से बचने के लिए रक्षात्मक खेलें। D) नॉकआउट वार करने का मौका ढूँढ़ें।")</f>
        <v>A) ऊर्जा बचाएँ और गलती की उम्मीद करें। B) आक्रमण जारी रखें और गति बढ़ाएँ। C) और अंक गँवाने से बचने के लिए रक्षात्मक खेलें। D) नॉकआउट वार करने का मौका ढूँढ़ें।</v>
      </c>
      <c r="I335" s="5" t="str">
        <f>IFERROR(__xludf.DUMMYFUNCTION("GOOGLETRANSLATE(D335, ""en"", ""hi"")"),"बी) आक्रमण को तेज करें और गति बढ़ाएँ।")</f>
        <v>बी) आक्रमण को तेज करें और गति बढ़ाएँ।</v>
      </c>
    </row>
    <row r="336" ht="22.5" customHeight="1">
      <c r="A336" s="2">
        <v>335.0</v>
      </c>
      <c r="B336" s="3" t="s">
        <v>3696</v>
      </c>
      <c r="C336" s="3" t="s">
        <v>3697</v>
      </c>
      <c r="D336" s="3" t="s">
        <v>3698</v>
      </c>
      <c r="F336" s="5" t="str">
        <f>IFERROR(__xludf.DUMMYFUNCTION("GOOGLETRANSLATE(A336, ""en"", ""hi"")"),"335")</f>
        <v>335</v>
      </c>
      <c r="G336" s="5" t="str">
        <f>IFERROR(__xludf.DUMMYFUNCTION("GOOGLETRANSLATE(B336, ""en"", ""hi"")"),"फाइटर बी लगातार लो किक्स से फाइटर ए के मुख्य पैर को निशाना बना रहा है। फाइटर ए को इस रणनीति से बचाव के लिए कैसे खुद को ढालना चाहिए?")</f>
        <v>फाइटर बी लगातार लो किक्स से फाइटर ए के मुख्य पैर को निशाना बना रहा है। फाइटर ए को इस रणनीति से बचाव के लिए कैसे खुद को ढालना चाहिए?</v>
      </c>
      <c r="H336" s="5" t="str">
        <f>IFERROR(__xludf.DUMMYFUNCTION("GOOGLETRANSLATE(C336, ""en"", ""hi"")"),"A) अपनी पिंडली से किक को रोकें। B) अपने अगले पैर की रक्षा के लिए रुख बदलें। C) खुद से नीचे की ओर किक मारना शुरू करें। D) फाइटर B को रक्षात्मक बनाए रखने के लिए अपनी आक्रामकता बढ़ाएँ।")</f>
        <v>A) अपनी पिंडली से किक को रोकें। B) अपने अगले पैर की रक्षा के लिए रुख बदलें। C) खुद से नीचे की ओर किक मारना शुरू करें। D) फाइटर B को रक्षात्मक बनाए रखने के लिए अपनी आक्रामकता बढ़ाएँ।</v>
      </c>
      <c r="I336" s="5" t="str">
        <f>IFERROR(__xludf.DUMMYFUNCTION("GOOGLETRANSLATE(D336, ""en"", ""hi"")"),"बी) अपने अगले पैर की रक्षा के लिए रुख बदलें।")</f>
        <v>बी) अपने अगले पैर की रक्षा के लिए रुख बदलें।</v>
      </c>
    </row>
    <row r="337" ht="22.5" customHeight="1">
      <c r="A337" s="2">
        <v>336.0</v>
      </c>
      <c r="B337" s="3" t="s">
        <v>3699</v>
      </c>
      <c r="C337" s="3" t="s">
        <v>3700</v>
      </c>
      <c r="D337" s="3" t="s">
        <v>3701</v>
      </c>
      <c r="F337" s="5" t="str">
        <f>IFERROR(__xludf.DUMMYFUNCTION("GOOGLETRANSLATE(A337, ""en"", ""hi"")"),"336")</f>
        <v>336</v>
      </c>
      <c r="G337" s="5" t="str">
        <f>IFERROR(__xludf.DUMMYFUNCTION("GOOGLETRANSLATE(B337, ""en"", ""hi"")"),"फाइटर A तेज़ी से वार कर रहा है, लेकिन फाइटर B समय पर वार करने और प्रभावी ढंग से जवाबी हमला करने लगा है। फाइटर A को क्या बदलाव करना चाहिए?")</f>
        <v>फाइटर A तेज़ी से वार कर रहा है, लेकिन फाइटर B समय पर वार करने और प्रभावी ढंग से जवाबी हमला करने लगा है। फाइटर A को क्या बदलाव करना चाहिए?</v>
      </c>
      <c r="H337" s="5" t="str">
        <f>IFERROR(__xludf.DUMMYFUNCTION("GOOGLETRANSLATE(C337, ""en"", ""hi"")"),"A) कम जैब लगाएँ और बचाव पर ध्यान केंद्रित करें। B) जैब की गति बढ़ाएँ। C) फाइटर B की टाइमिंग को बिगाड़ने के लिए फ़िंट का इस्तेमाल करें। D) उसके हमलों में विविधता लाने के लिए बॉडी शॉट्स पर ध्यान केंद्रित करें।")</f>
        <v>A) कम जैब लगाएँ और बचाव पर ध्यान केंद्रित करें। B) जैब की गति बढ़ाएँ। C) फाइटर B की टाइमिंग को बिगाड़ने के लिए फ़िंट का इस्तेमाल करें। D) उसके हमलों में विविधता लाने के लिए बॉडी शॉट्स पर ध्यान केंद्रित करें।</v>
      </c>
      <c r="I337" s="5" t="str">
        <f>IFERROR(__xludf.DUMMYFUNCTION("GOOGLETRANSLATE(D337, ""en"", ""hi"")"),"सी) फाइटर बी की टाइमिंग को बाधित करने के लिए छल का प्रयोग करें।")</f>
        <v>सी) फाइटर बी की टाइमिंग को बाधित करने के लिए छल का प्रयोग करें।</v>
      </c>
    </row>
    <row r="338" ht="22.5" customHeight="1">
      <c r="A338" s="2">
        <v>337.0</v>
      </c>
      <c r="B338" s="3" t="s">
        <v>3702</v>
      </c>
      <c r="C338" s="3" t="s">
        <v>3703</v>
      </c>
      <c r="D338" s="3" t="s">
        <v>3704</v>
      </c>
      <c r="F338" s="5" t="str">
        <f>IFERROR(__xludf.DUMMYFUNCTION("GOOGLETRANSLATE(A338, ""en"", ""hi"")"),"337")</f>
        <v>337</v>
      </c>
      <c r="G338" s="5" t="str">
        <f>IFERROR(__xludf.DUMMYFUNCTION("GOOGLETRANSLATE(B338, ""en"", ""hi"")"),"फाइटर A अपनी सहनशक्ति के लिए जाना जाता है, लेकिन फाइटर B उसे थका देने के लिए उसके शरीर पर आक्रामक तरीके से हमला कर रहा है। फाइटर A को क्या करना चाहिए?")</f>
        <v>फाइटर A अपनी सहनशक्ति के लिए जाना जाता है, लेकिन फाइटर B उसे थका देने के लिए उसके शरीर पर आक्रामक तरीके से हमला कर रहा है। फाइटर A को क्या करना चाहिए?</v>
      </c>
      <c r="H338" s="5" t="str">
        <f>IFERROR(__xludf.DUMMYFUNCTION("GOOGLETRANSLATE(C338, ""en"", ""hi"")"),"A) रक्षात्मक रहें और मौके का इंतज़ार करें। B) फाइटर B के शरीर पर भी निशाना लगाना शुरू करें। C) फाइटर B को जल्दी थका देने के लिए उसकी गति बढ़ाएँ। D) बॉडी शॉट्स और काउंटर से बचने के लिए फुटवर्क का इस्तेमाल करें।")</f>
        <v>A) रक्षात्मक रहें और मौके का इंतज़ार करें। B) फाइटर B के शरीर पर भी निशाना लगाना शुरू करें। C) फाइटर B को जल्दी थका देने के लिए उसकी गति बढ़ाएँ। D) बॉडी शॉट्स और काउंटर से बचने के लिए फुटवर्क का इस्तेमाल करें।</v>
      </c>
      <c r="I338" s="5" t="str">
        <f>IFERROR(__xludf.DUMMYFUNCTION("GOOGLETRANSLATE(D338, ""en"", ""hi"")"),"डी) बॉडी शॉट्स और काउंटर से बचने के लिए फुटवर्क का उपयोग करें।")</f>
        <v>डी) बॉडी शॉट्स और काउंटर से बचने के लिए फुटवर्क का उपयोग करें।</v>
      </c>
    </row>
    <row r="339" ht="22.5" customHeight="1">
      <c r="A339" s="2">
        <v>338.0</v>
      </c>
      <c r="B339" s="3" t="s">
        <v>3705</v>
      </c>
      <c r="C339" s="3" t="s">
        <v>3706</v>
      </c>
      <c r="D339" s="3" t="s">
        <v>3707</v>
      </c>
      <c r="F339" s="5" t="str">
        <f>IFERROR(__xludf.DUMMYFUNCTION("GOOGLETRANSLATE(A339, ""en"", ""hi"")"),"338")</f>
        <v>338</v>
      </c>
      <c r="G339" s="5" t="str">
        <f>IFERROR(__xludf.DUMMYFUNCTION("GOOGLETRANSLATE(B339, ""en"", ""hi"")"),"फाइटर A ने देखा कि फाइटर B कॉम्बिनेशन फेंकने के बाद अपने हाथ नीचे गिरा देता है। फाइटर A इस कमज़ोरी का फ़ायदा कैसे उठा सकता है?")</f>
        <v>फाइटर A ने देखा कि फाइटर B कॉम्बिनेशन फेंकने के बाद अपने हाथ नीचे गिरा देता है। फाइटर A इस कमज़ोरी का फ़ायदा कैसे उठा सकता है?</v>
      </c>
      <c r="H339" s="5" t="str">
        <f>IFERROR(__xludf.DUMMYFUNCTION("GOOGLETRANSLATE(C339, ""en"", ""hi"")"),"A) फाइटर B के कॉम्बिनेशन के तुरंत बाद काउंटर करें। B) अपनी आक्रामकता बढ़ाएँ और ज़ोरदार मुक्के मारें। C) कॉम्बिनेशन से बचने के लिए क्लिंच की स्थिति में आएँ। D) फाइटर B के थकने तक बचाव पर ध्यान केंद्रित करें।")</f>
        <v>A) फाइटर B के कॉम्बिनेशन के तुरंत बाद काउंटर करें। B) अपनी आक्रामकता बढ़ाएँ और ज़ोरदार मुक्के मारें। C) कॉम्बिनेशन से बचने के लिए क्लिंच की स्थिति में आएँ। D) फाइटर B के थकने तक बचाव पर ध्यान केंद्रित करें।</v>
      </c>
      <c r="I339" s="5" t="str">
        <f>IFERROR(__xludf.DUMMYFUNCTION("GOOGLETRANSLATE(D339, ""en"", ""hi"")"),"ए) फाइटर बी के संयोजनों के तुरंत बाद काउंटर।")</f>
        <v>ए) फाइटर बी के संयोजनों के तुरंत बाद काउंटर।</v>
      </c>
    </row>
    <row r="340" ht="22.5" customHeight="1">
      <c r="A340" s="2">
        <v>339.0</v>
      </c>
      <c r="B340" s="3" t="s">
        <v>3708</v>
      </c>
      <c r="C340" s="3" t="s">
        <v>3709</v>
      </c>
      <c r="D340" s="3" t="s">
        <v>3710</v>
      </c>
      <c r="F340" s="5" t="str">
        <f>IFERROR(__xludf.DUMMYFUNCTION("GOOGLETRANSLATE(A340, ""en"", ""hi"")"),"339")</f>
        <v>339</v>
      </c>
      <c r="G340" s="5" t="str">
        <f>IFERROR(__xludf.DUMMYFUNCTION("GOOGLETRANSLATE(B340, ""en"", ""hi"")"),"फाइटर A अंकों के मामले में आगे चल रहा है, लेकिन फाइटर B ज़ोरदार हमलों से गति पकड़ रहा है। फाइटर A को किस चीज़ को प्राथमिकता देनी चाहिए?")</f>
        <v>फाइटर A अंकों के मामले में आगे चल रहा है, लेकिन फाइटर B ज़ोरदार हमलों से गति पकड़ रहा है। फाइटर A को किस चीज़ को प्राथमिकता देनी चाहिए?</v>
      </c>
      <c r="H340" s="5" t="str">
        <f>IFERROR(__xludf.DUMMYFUNCTION("GOOGLETRANSLATE(C340, ""en"", ""hi"")"),"A) जोखिम भरे आदान-प्रदान से बचें और बचाव पर ध्यान केंद्रित करें। B) फाइटर B की गति को रोकने के लिए अपनी आक्रामकता बढ़ाएँ। C) लड़ाई की गति को धीमा करने के लिए क्लिंचिंग करें। D) मैच को समाप्त करने के लिए नॉकआउट का प्रयास करें।")</f>
        <v>A) जोखिम भरे आदान-प्रदान से बचें और बचाव पर ध्यान केंद्रित करें। B) फाइटर B की गति को रोकने के लिए अपनी आक्रामकता बढ़ाएँ। C) लड़ाई की गति को धीमा करने के लिए क्लिंचिंग करें। D) मैच को समाप्त करने के लिए नॉकआउट का प्रयास करें।</v>
      </c>
      <c r="I340" s="5" t="str">
        <f>IFERROR(__xludf.DUMMYFUNCTION("GOOGLETRANSLATE(D340, ""en"", ""hi"")"),"ए) जोखिमपूर्ण आदान-प्रदान से बचें और बचाव पर ध्यान केंद्रित करें।")</f>
        <v>ए) जोखिमपूर्ण आदान-प्रदान से बचें और बचाव पर ध्यान केंद्रित करें।</v>
      </c>
    </row>
    <row r="341" ht="22.5" customHeight="1">
      <c r="A341" s="2">
        <v>340.0</v>
      </c>
      <c r="B341" s="3" t="s">
        <v>3711</v>
      </c>
      <c r="C341" s="3" t="s">
        <v>3712</v>
      </c>
      <c r="D341" s="3" t="s">
        <v>3713</v>
      </c>
      <c r="F341" s="5" t="str">
        <f>IFERROR(__xludf.DUMMYFUNCTION("GOOGLETRANSLATE(A341, ""en"", ""hi"")"),"340")</f>
        <v>340</v>
      </c>
      <c r="G341" s="5" t="str">
        <f>IFERROR(__xludf.DUMMYFUNCTION("GOOGLETRANSLATE(B341, ""en"", ""hi"")"),"फाइटर बी नॉकआउट मुक्का मारने की कोशिश कर रहा है, लेकिन फाइटर ए ज़्यादातर ज़ोरदार मुक्कों से सफलतापूर्वक बच रहा है। फाइटर ए को क्या करना चाहिए?")</f>
        <v>फाइटर बी नॉकआउट मुक्का मारने की कोशिश कर रहा है, लेकिन फाइटर ए ज़्यादातर ज़ोरदार मुक्कों से सफलतापूर्वक बच रहा है। फाइटर ए को क्या करना चाहिए?</v>
      </c>
      <c r="H341" s="5" t="str">
        <f>IFERROR(__xludf.DUMMYFUNCTION("GOOGLETRANSLATE(C341, ""en"", ""hi"")"),"A) तब तक बचते रहें जब तक फाइटर B थक न जाए। B) अपने शक्तिशाली प्रहारों से जवाब दें। C) फाइटर B के हमलों को विफल करने के लिए क्लिंच की स्थिति में आएँ। D) लड़ाई खत्म करने के लिए उसकी आक्रामकता बढ़ाएँ।")</f>
        <v>A) तब तक बचते रहें जब तक फाइटर B थक न जाए। B) अपने शक्तिशाली प्रहारों से जवाब दें। C) फाइटर B के हमलों को विफल करने के लिए क्लिंच की स्थिति में आएँ। D) लड़ाई खत्म करने के लिए उसकी आक्रामकता बढ़ाएँ।</v>
      </c>
      <c r="I341" s="5" t="str">
        <f>IFERROR(__xludf.DUMMYFUNCTION("GOOGLETRANSLATE(D341, ""en"", ""hi"")"),"ए) जब तक लड़ाकू बी थक न जाए तब तक बचते रहें।")</f>
        <v>ए) जब तक लड़ाकू बी थक न जाए तब तक बचते रहें।</v>
      </c>
    </row>
    <row r="342" ht="22.5" customHeight="1">
      <c r="A342" s="2">
        <v>341.0</v>
      </c>
      <c r="B342" s="3" t="s">
        <v>3714</v>
      </c>
      <c r="C342" s="3" t="s">
        <v>3715</v>
      </c>
      <c r="D342" s="3" t="s">
        <v>3716</v>
      </c>
      <c r="F342" s="5" t="str">
        <f>IFERROR(__xludf.DUMMYFUNCTION("GOOGLETRANSLATE(A342, ""en"", ""hi"")"),"341")</f>
        <v>341</v>
      </c>
      <c r="G342" s="5" t="str">
        <f>IFERROR(__xludf.DUMMYFUNCTION("GOOGLETRANSLATE(B342, ""en"", ""hi"")"),"फाइटर A को मैच के दौरान हाथ में चोट लग गई है और उसे मुक्के मारने में दिक्कत हो रही है। फाइट में बने रहने के लिए उसे क्या रणनीति अपनानी चाहिए?")</f>
        <v>फाइटर A को मैच के दौरान हाथ में चोट लग गई है और उसे मुक्के मारने में दिक्कत हो रही है। फाइट में बने रहने के लिए उसे क्या रणनीति अपनानी चाहिए?</v>
      </c>
      <c r="H342" s="5" t="str">
        <f>IFERROR(__xludf.DUMMYFUNCTION("GOOGLETRANSLATE(C342, ""en"", ""hi"")"),"A) किक और शरीर के निचले हिस्से पर प्रहार पर ध्यान केंद्रित करें। B) बचाव के लिए घायल हाथ का संयम से इस्तेमाल करें। C) गति धीमी करने के लिए क्लिंच की स्थिति में आएँ। D) चोट बढ़ने से पहले तुरंत नॉकआउट का प्रयास करें।")</f>
        <v>A) किक और शरीर के निचले हिस्से पर प्रहार पर ध्यान केंद्रित करें। B) बचाव के लिए घायल हाथ का संयम से इस्तेमाल करें। C) गति धीमी करने के लिए क्लिंच की स्थिति में आएँ। D) चोट बढ़ने से पहले तुरंत नॉकआउट का प्रयास करें।</v>
      </c>
      <c r="I342" s="5" t="str">
        <f>IFERROR(__xludf.DUMMYFUNCTION("GOOGLETRANSLATE(D342, ""en"", ""hi"")"),"ग) गति को धीमा करने के लिए क्लिंच की स्थिति में रहें।")</f>
        <v>ग) गति को धीमा करने के लिए क्लिंच की स्थिति में रहें।</v>
      </c>
    </row>
    <row r="343" ht="22.5" customHeight="1">
      <c r="A343" s="2">
        <v>342.0</v>
      </c>
      <c r="B343" s="3" t="s">
        <v>3717</v>
      </c>
      <c r="C343" s="3" t="s">
        <v>3718</v>
      </c>
      <c r="D343" s="3" t="s">
        <v>3719</v>
      </c>
      <c r="F343" s="5" t="str">
        <f>IFERROR(__xludf.DUMMYFUNCTION("GOOGLETRANSLATE(A343, ""en"", ""hi"")"),"342")</f>
        <v>342</v>
      </c>
      <c r="G343" s="5" t="str">
        <f>IFERROR(__xludf.DUMMYFUNCTION("GOOGLETRANSLATE(B343, ""en"", ""hi"")"),"फाइटर A अपनी आक्रामक शैली के लिए जाना जाता है, लेकिन फाइटर B लगातार चकमा दे रहा है और पलटवार कर रहा है। फाइटर A, फाइटर B के डिफेंस को कैसे भेद सकता है?")</f>
        <v>फाइटर A अपनी आक्रामक शैली के लिए जाना जाता है, लेकिन फाइटर B लगातार चकमा दे रहा है और पलटवार कर रहा है। फाइटर A, फाइटर B के डिफेंस को कैसे भेद सकता है?</v>
      </c>
      <c r="H343" s="5" t="str">
        <f>IFERROR(__xludf.DUMMYFUNCTION("GOOGLETRANSLATE(C343, ""en"", ""hi"")"),"A) उसके मुक्कों की गति बढ़ाएँ। B) फाइटर B को भ्रमित करने के लिए छल-कपट का प्रयोग करें। C) शरीर पर प्रहार पर ध्यान केंद्रित करें। D) फाइटर B के थकने का इंतज़ार करें।")</f>
        <v>A) उसके मुक्कों की गति बढ़ाएँ। B) फाइटर B को भ्रमित करने के लिए छल-कपट का प्रयोग करें। C) शरीर पर प्रहार पर ध्यान केंद्रित करें। D) फाइटर B के थकने का इंतज़ार करें।</v>
      </c>
      <c r="I343" s="5" t="str">
        <f>IFERROR(__xludf.DUMMYFUNCTION("GOOGLETRANSLATE(D343, ""en"", ""hi"")"),"बी) फाइटर बी को भ्रमित करने के लिए छल का प्रयोग करें।")</f>
        <v>बी) फाइटर बी को भ्रमित करने के लिए छल का प्रयोग करें।</v>
      </c>
    </row>
    <row r="344" ht="22.5" customHeight="1">
      <c r="A344" s="2">
        <v>343.0</v>
      </c>
      <c r="B344" s="3" t="s">
        <v>3720</v>
      </c>
      <c r="C344" s="3" t="s">
        <v>3721</v>
      </c>
      <c r="D344" s="3" t="s">
        <v>3722</v>
      </c>
      <c r="F344" s="5" t="str">
        <f>IFERROR(__xludf.DUMMYFUNCTION("GOOGLETRANSLATE(A344, ""en"", ""hi"")"),"343")</f>
        <v>343</v>
      </c>
      <c r="G344" s="5" t="str">
        <f>IFERROR(__xludf.DUMMYFUNCTION("GOOGLETRANSLATE(B344, ""en"", ""hi"")"),"फाइटर A पूरे मैच में आगे चल रहा था, लेकिन आखिरी राउंड में, फाइटर B अपने कमज़ोर कंधे पर निशाना साधना शुरू कर देता है। फाइटर A को किस चीज़ को प्राथमिकता देनी चाहिए?")</f>
        <v>फाइटर A पूरे मैच में आगे चल रहा था, लेकिन आखिरी राउंड में, फाइटर B अपने कमज़ोर कंधे पर निशाना साधना शुरू कर देता है। फाइटर A को किस चीज़ को प्राथमिकता देनी चाहिए?</v>
      </c>
      <c r="H344" s="5" t="str">
        <f>IFERROR(__xludf.DUMMYFUNCTION("GOOGLETRANSLATE(C344, ""en"", ""hi"")"),"क) कंधे को हर कीमत पर बचाएँ। ख) चोट को नज़रअंदाज़ करते हुए हमला जारी रखें। ग) गति धीमी करने के लिए क्लिंच की स्थिति में रहें। घ) अपने दूसरे हाथ का ज़्यादा बार इस्तेमाल करें।")</f>
        <v>क) कंधे को हर कीमत पर बचाएँ। ख) चोट को नज़रअंदाज़ करते हुए हमला जारी रखें। ग) गति धीमी करने के लिए क्लिंच की स्थिति में रहें। घ) अपने दूसरे हाथ का ज़्यादा बार इस्तेमाल करें।</v>
      </c>
      <c r="I344" s="5" t="str">
        <f>IFERROR(__xludf.DUMMYFUNCTION("GOOGLETRANSLATE(D344, ""en"", ""hi"")"),"ग) गति धीमी करने के लिए क्लिंच की स्थिति में रहें।")</f>
        <v>ग) गति धीमी करने के लिए क्लिंच की स्थिति में रहें।</v>
      </c>
    </row>
    <row r="345" ht="22.5" customHeight="1">
      <c r="A345" s="2">
        <v>344.0</v>
      </c>
      <c r="B345" s="3" t="s">
        <v>3723</v>
      </c>
      <c r="C345" s="3" t="s">
        <v>3724</v>
      </c>
      <c r="D345" s="3" t="s">
        <v>3725</v>
      </c>
      <c r="F345" s="5" t="str">
        <f>IFERROR(__xludf.DUMMYFUNCTION("GOOGLETRANSLATE(A345, ""en"", ""hi"")"),"344")</f>
        <v>344</v>
      </c>
      <c r="G345" s="5" t="str">
        <f>IFERROR(__xludf.DUMMYFUNCTION("GOOGLETRANSLATE(B345, ""en"", ""hi"")"),"फाइटर A, फाइटर B से काफ़ी छोटा है, जिसकी पहुँच ज़्यादा है। दूरी कम करने और मुक्के जमाने के लिए फाइटर A को क्या करना चाहिए?")</f>
        <v>फाइटर A, फाइटर B से काफ़ी छोटा है, जिसकी पहुँच ज़्यादा है। दूरी कम करने और मुक्के जमाने के लिए फाइटर A को क्या करना चाहिए?</v>
      </c>
      <c r="H345" s="5" t="str">
        <f>IFERROR(__xludf.DUMMYFUNCTION("GOOGLETRANSLATE(C345, ""en"", ""hi"")"),"A) ज़ोरदार मुक्कों के साथ आक्रामक तरीके से आगे बढ़ें। B) फाइटर B की पहुँच के अंदर आने के लिए पैरों का इस्तेमाल करें। C) फाइटर B की गलती का इंतज़ार करें। D) बचाव पर ध्यान केंद्रित करें और फाइटर B को थका दें।")</f>
        <v>A) ज़ोरदार मुक्कों के साथ आक्रामक तरीके से आगे बढ़ें। B) फाइटर B की पहुँच के अंदर आने के लिए पैरों का इस्तेमाल करें। C) फाइटर B की गलती का इंतज़ार करें। D) बचाव पर ध्यान केंद्रित करें और फाइटर B को थका दें।</v>
      </c>
      <c r="I345" s="5" t="str">
        <f>IFERROR(__xludf.DUMMYFUNCTION("GOOGLETRANSLATE(D345, ""en"", ""hi"")"),"बी) फाइटर बी की पहुंच के अंदर जाने के लिए फुटवर्क का उपयोग करें।")</f>
        <v>बी) फाइटर बी की पहुंच के अंदर जाने के लिए फुटवर्क का उपयोग करें।</v>
      </c>
    </row>
    <row r="346" ht="22.5" customHeight="1">
      <c r="A346" s="2">
        <v>345.0</v>
      </c>
      <c r="B346" s="3" t="s">
        <v>3726</v>
      </c>
      <c r="C346" s="3" t="s">
        <v>3727</v>
      </c>
      <c r="D346" s="3" t="s">
        <v>3728</v>
      </c>
      <c r="F346" s="5" t="str">
        <f>IFERROR(__xludf.DUMMYFUNCTION("GOOGLETRANSLATE(A346, ""en"", ""hi"")"),"345")</f>
        <v>345</v>
      </c>
      <c r="G346" s="5" t="str">
        <f>IFERROR(__xludf.DUMMYFUNCTION("GOOGLETRANSLATE(B346, ""en"", ""hi"")"),"फाइटर A ने कई बॉडी शॉट लगाए हैं, जिससे फाइटर B को अपनी सुरक्षा कम करनी पड़ी है। फाइटर A को अब क्या करना चाहिए?")</f>
        <v>फाइटर A ने कई बॉडी शॉट लगाए हैं, जिससे फाइटर B को अपनी सुरक्षा कम करनी पड़ी है। फाइटर A को अब क्या करना चाहिए?</v>
      </c>
      <c r="H346" s="5" t="str">
        <f>IFERROR(__xludf.DUMMYFUNCTION("GOOGLETRANSLATE(C346, ""en"", ""hi"")"),"A) शरीर पर निशाना लगाना जारी रखें। B) कमज़ोर सुरक्षा का फ़ायदा उठाने के लिए सिर पर वार करें। C) क्लिंच की स्थिति में रहें। D) जवाबी हमलों से बचने के लिए बचाव पर ध्यान केंद्रित करें।")</f>
        <v>A) शरीर पर निशाना लगाना जारी रखें। B) कमज़ोर सुरक्षा का फ़ायदा उठाने के लिए सिर पर वार करें। C) क्लिंच की स्थिति में रहें। D) जवाबी हमलों से बचने के लिए बचाव पर ध्यान केंद्रित करें।</v>
      </c>
      <c r="I346" s="5" t="str">
        <f>IFERROR(__xludf.DUMMYFUNCTION("GOOGLETRANSLATE(D346, ""en"", ""hi"")"),"बी) कम हुए गार्ड का फायदा उठाने के लिए हेडशॉट पर स्विच करें।")</f>
        <v>बी) कम हुए गार्ड का फायदा उठाने के लिए हेडशॉट पर स्विच करें।</v>
      </c>
    </row>
    <row r="347" ht="22.5" customHeight="1">
      <c r="A347" s="2">
        <v>346.0</v>
      </c>
      <c r="B347" s="3" t="s">
        <v>3729</v>
      </c>
      <c r="C347" s="3" t="s">
        <v>3730</v>
      </c>
      <c r="D347" s="3" t="s">
        <v>3731</v>
      </c>
      <c r="F347" s="5" t="str">
        <f>IFERROR(__xludf.DUMMYFUNCTION("GOOGLETRANSLATE(A347, ""en"", ""hi"")"),"346")</f>
        <v>346</v>
      </c>
      <c r="G347" s="5" t="str">
        <f>IFERROR(__xludf.DUMMYFUNCTION("GOOGLETRANSLATE(B347, ""en"", ""hi"")"),"अंतिम राउंड में, फाइटर B, फाइटर A को हराने के लिए बेतहाशा मुक्के बरसाना शुरू कर देता है। फाइटर A को क्या जवाब देना चाहिए?")</f>
        <v>अंतिम राउंड में, फाइटर B, फाइटर A को हराने के लिए बेतहाशा मुक्के बरसाना शुरू कर देता है। फाइटर A को क्या जवाब देना चाहिए?</v>
      </c>
      <c r="H347" s="5" t="str">
        <f>IFERROR(__xludf.DUMMYFUNCTION("GOOGLETRANSLATE(C347, ""en"", ""hi"")"),"A) फाइटर B की आक्रामकता का मुकाबला करें। B) रक्षात्मक रहें और अनावश्यक आदान-प्रदान से बचें। C) सटीक मुक्कों से पलटवार करें। D) फाइटर B को धीमा करने के लिए क्लिंच की स्थिति में आएँ।")</f>
        <v>A) फाइटर B की आक्रामकता का मुकाबला करें। B) रक्षात्मक रहें और अनावश्यक आदान-प्रदान से बचें। C) सटीक मुक्कों से पलटवार करें। D) फाइटर B को धीमा करने के लिए क्लिंच की स्थिति में आएँ।</v>
      </c>
      <c r="I347" s="5" t="str">
        <f>IFERROR(__xludf.DUMMYFUNCTION("GOOGLETRANSLATE(D347, ""en"", ""hi"")"),"बी) रक्षात्मक रहें और अनावश्यक आदान-प्रदान से बचें।")</f>
        <v>बी) रक्षात्मक रहें और अनावश्यक आदान-प्रदान से बचें।</v>
      </c>
    </row>
    <row r="348" ht="22.5" customHeight="1">
      <c r="A348" s="2">
        <v>347.0</v>
      </c>
      <c r="B348" s="3" t="s">
        <v>3732</v>
      </c>
      <c r="C348" s="3" t="s">
        <v>3733</v>
      </c>
      <c r="D348" s="3" t="s">
        <v>3734</v>
      </c>
      <c r="F348" s="5" t="str">
        <f>IFERROR(__xludf.DUMMYFUNCTION("GOOGLETRANSLATE(A348, ""en"", ""hi"")"),"347")</f>
        <v>347</v>
      </c>
      <c r="G348" s="5" t="str">
        <f>IFERROR(__xludf.DUMMYFUNCTION("GOOGLETRANSLATE(B348, ""en"", ""hi"")"),"फाइटर A की गति ही उसकी ताकत है, लेकिन फाइटर B का डिफेंस मज़बूत है और वो ज़्यादातर मुक्कों को झेल रहा है। फाइटर A को जीतने के लिए क्या करना चाहिए?")</f>
        <v>फाइटर A की गति ही उसकी ताकत है, लेकिन फाइटर B का डिफेंस मज़बूत है और वो ज़्यादातर मुक्कों को झेल रहा है। फाइटर A को जीतने के लिए क्या करना चाहिए?</v>
      </c>
      <c r="H348" s="5" t="str">
        <f>IFERROR(__xludf.DUMMYFUNCTION("GOOGLETRANSLATE(C348, ""en"", ""hi"")"),"A) पावर पंचों से फाइटर B के डिफेंस को भेदने पर ध्यान केंद्रित करें। B) अपनी गति का इस्तेमाल करके फाइटर B को थका दें। C) फाइटर B को भ्रमित करने के लिए कॉम्बिनेशन बनाएँ। D) लड़ाई को धीमा करने के लिए क्लिंच की स्थिति में आएँ।")</f>
        <v>A) पावर पंचों से फाइटर B के डिफेंस को भेदने पर ध्यान केंद्रित करें। B) अपनी गति का इस्तेमाल करके फाइटर B को थका दें। C) फाइटर B को भ्रमित करने के लिए कॉम्बिनेशन बनाएँ। D) लड़ाई को धीमा करने के लिए क्लिंच की स्थिति में आएँ।</v>
      </c>
      <c r="I348" s="5" t="str">
        <f>IFERROR(__xludf.DUMMYFUNCTION("GOOGLETRANSLATE(D348, ""en"", ""hi"")"),"सी) फाइटर बी को भ्रमित करने के लिए संयोजन फेंकें।")</f>
        <v>सी) फाइटर बी को भ्रमित करने के लिए संयोजन फेंकें।</v>
      </c>
    </row>
    <row r="349" ht="22.5" customHeight="1">
      <c r="A349" s="2">
        <v>348.0</v>
      </c>
      <c r="B349" s="3" t="s">
        <v>3735</v>
      </c>
      <c r="C349" s="3" t="s">
        <v>3736</v>
      </c>
      <c r="D349" s="3" t="s">
        <v>3737</v>
      </c>
      <c r="F349" s="5" t="str">
        <f>IFERROR(__xludf.DUMMYFUNCTION("GOOGLETRANSLATE(A349, ""en"", ""hi"")"),"348")</f>
        <v>348</v>
      </c>
      <c r="G349" s="5" t="str">
        <f>IFERROR(__xludf.DUMMYFUNCTION("GOOGLETRANSLATE(B349, ""en"", ""hi"")"),"फाइटर A ने देखा कि फाइटर B हर बार राइट हुक लगाते समय हिचकिचाता है। फाइटर A को इस हिचकिचाहट का फायदा उठाने के लिए क्या करना चाहिए?")</f>
        <v>फाइटर A ने देखा कि फाइटर B हर बार राइट हुक लगाते समय हिचकिचाता है। फाइटर A को इस हिचकिचाहट का फायदा उठाने के लिए क्या करना चाहिए?</v>
      </c>
      <c r="H349" s="5" t="str">
        <f>IFERROR(__xludf.DUMMYFUNCTION("GOOGLETRANSLATE(C349, ""en"", ""hi"")"),"A) ज़्यादा राइट हुक लगाएँ। B) लेफ्ट जैब और राइट हुक का संयोजन इस्तेमाल करें। C) फाइटर B के थकने तक बचाव पर ध्यान केंद्रित करें। D) फाइटर B के हमलों को बेअसर करने के लिए क्लिंच की स्थिति में रहें।")</f>
        <v>A) ज़्यादा राइट हुक लगाएँ। B) लेफ्ट जैब और राइट हुक का संयोजन इस्तेमाल करें। C) फाइटर B के थकने तक बचाव पर ध्यान केंद्रित करें। D) फाइटर B के हमलों को बेअसर करने के लिए क्लिंच की स्थिति में रहें।</v>
      </c>
      <c r="I349" s="5" t="str">
        <f>IFERROR(__xludf.DUMMYFUNCTION("GOOGLETRANSLATE(D349, ""en"", ""hi"")"),"बी) बाएं जैब और दाएं हुक के संयोजन का उपयोग करें।")</f>
        <v>बी) बाएं जैब और दाएं हुक के संयोजन का उपयोग करें।</v>
      </c>
    </row>
    <row r="350" ht="22.5" customHeight="1">
      <c r="A350" s="2">
        <v>349.0</v>
      </c>
      <c r="B350" s="3" t="s">
        <v>3738</v>
      </c>
      <c r="C350" s="3" t="s">
        <v>3739</v>
      </c>
      <c r="D350" s="3" t="s">
        <v>3740</v>
      </c>
      <c r="F350" s="5" t="str">
        <f>IFERROR(__xludf.DUMMYFUNCTION("GOOGLETRANSLATE(A350, ""en"", ""hi"")"),"349")</f>
        <v>349</v>
      </c>
      <c r="G350" s="5" t="str">
        <f>IFERROR(__xludf.DUMMYFUNCTION("GOOGLETRANSLATE(B350, ""en"", ""hi"")"),"फाइटर B लगातार फाइटर A के शरीर पर हमला कर रहा है, लेकिन फाइटर A का फुटवर्क बेहतर है। फाइटर A अपने फुटवर्क का फ़ायदा कैसे उठा सकता है?")</f>
        <v>फाइटर B लगातार फाइटर A के शरीर पर हमला कर रहा है, लेकिन फाइटर A का फुटवर्क बेहतर है। फाइटर A अपने फुटवर्क का फ़ायदा कैसे उठा सकता है?</v>
      </c>
      <c r="H350" s="5" t="str">
        <f>IFERROR(__xludf.DUMMYFUNCTION("GOOGLETRANSLATE(C350, ""en"", ""hi"")"),"A) चलते रहें और फाइटर B के थकने का इंतज़ार करें। B) बॉडी शॉट्स के असर को कम करने के लिए पास आएँ। C) जवाबी हमलों के लिए कोण बनाने के लिए पैरों की गति का इस्तेमाल करें। D) ज़्यादा नुकसान से बचने के लिए बचाव पर ध्यान केंद्रित करें।")</f>
        <v>A) चलते रहें और फाइटर B के थकने का इंतज़ार करें। B) बॉडी शॉट्स के असर को कम करने के लिए पास आएँ। C) जवाबी हमलों के लिए कोण बनाने के लिए पैरों की गति का इस्तेमाल करें। D) ज़्यादा नुकसान से बचने के लिए बचाव पर ध्यान केंद्रित करें।</v>
      </c>
      <c r="I350" s="5" t="str">
        <f>IFERROR(__xludf.DUMMYFUNCTION("GOOGLETRANSLATE(D350, ""en"", ""hi"")"),"सी) जवाबी हमले के लिए कोण बनाने हेतु फुटवर्क का उपयोग करें।")</f>
        <v>सी) जवाबी हमले के लिए कोण बनाने हेतु फुटवर्क का उपयोग करें।</v>
      </c>
    </row>
    <row r="351" ht="22.5" customHeight="1">
      <c r="A351" s="2">
        <v>350.0</v>
      </c>
      <c r="B351" s="3" t="s">
        <v>3741</v>
      </c>
      <c r="C351" s="3" t="s">
        <v>3742</v>
      </c>
      <c r="D351" s="3" t="s">
        <v>3743</v>
      </c>
      <c r="F351" s="5" t="str">
        <f>IFERROR(__xludf.DUMMYFUNCTION("GOOGLETRANSLATE(A351, ""en"", ""hi"")"),"350")</f>
        <v>350</v>
      </c>
      <c r="G351" s="5" t="str">
        <f>IFERROR(__xludf.DUMMYFUNCTION("GOOGLETRANSLATE(B351, ""en"", ""hi"")"),"फाइटर A मैच के ज़्यादातर समय डिफेंसिव रहा है, लेकिन उसे फाइटर B के गार्ड में एक जगह खाली दिख रही है। फाइटर A की सबसे अच्छी चाल क्या है?")</f>
        <v>फाइटर A मैच के ज़्यादातर समय डिफेंसिव रहा है, लेकिन उसे फाइटर B के गार्ड में एक जगह खाली दिख रही है। फाइटर A की सबसे अच्छी चाल क्या है?</v>
      </c>
      <c r="H351" s="5" t="str">
        <f>IFERROR(__xludf.DUMMYFUNCTION("GOOGLETRANSLATE(C351, ""en"", ""hi"")"),"A) आक्रामक तरीके से पलटवार करने का मौका लें। B) रक्षात्मक रहें और फाइटर B को थकने दें। C) मैच को फिर से शुरू करने के लिए क्लिंच की स्थिति में आएँ। D) नॉकआउट पंच का प्रयास करें।")</f>
        <v>A) आक्रामक तरीके से पलटवार करने का मौका लें। B) रक्षात्मक रहें और फाइटर B को थकने दें। C) मैच को फिर से शुरू करने के लिए क्लिंच की स्थिति में आएँ। D) नॉकआउट पंच का प्रयास करें।</v>
      </c>
      <c r="I351" s="5" t="str">
        <f>IFERROR(__xludf.DUMMYFUNCTION("GOOGLETRANSLATE(D351, ""en"", ""hi"")"),"A) आक्रामक तरीके से जवाबी हमला करने का अवसर लें।")</f>
        <v>A) आक्रामक तरीके से जवाबी हमला करने का अवसर लें।</v>
      </c>
    </row>
    <row r="352" ht="22.5" customHeight="1">
      <c r="A352" s="2">
        <v>351.0</v>
      </c>
      <c r="B352" s="3" t="s">
        <v>3744</v>
      </c>
      <c r="C352" s="3" t="s">
        <v>3745</v>
      </c>
      <c r="D352" s="3" t="s">
        <v>3746</v>
      </c>
      <c r="F352" s="5" t="str">
        <f>IFERROR(__xludf.DUMMYFUNCTION("GOOGLETRANSLATE(A352, ""en"", ""hi"")"),"351")</f>
        <v>351</v>
      </c>
      <c r="G352" s="5" t="str">
        <f>IFERROR(__xludf.DUMMYFUNCTION("GOOGLETRANSLATE(B352, ""en"", ""hi"")"),"फाइटर A के मुक्कों को फाइटर B लगातार रोक रहा है, लेकिन फाइटर B की सहनशक्ति कम हो रही है। इसका फ़ायदा उठाने के लिए फाइटर A को क्या करना चाहिए?")</f>
        <v>फाइटर A के मुक्कों को फाइटर B लगातार रोक रहा है, लेकिन फाइटर B की सहनशक्ति कम हो रही है। इसका फ़ायदा उठाने के लिए फाइटर A को क्या करना चाहिए?</v>
      </c>
      <c r="H352" s="5" t="str">
        <f>IFERROR(__xludf.DUMMYFUNCTION("GOOGLETRANSLATE(C352, ""en"", ""hi"")"),"A) मुक्कों की संख्या बढ़ाएँ। B) भारी मुक्के लगाने पर ध्यान केंद्रित करें। C) लड़ाकू B को थका देने के लिए संयोजनों का प्रयोग करें। D) लड़ाई पर नियंत्रण बनाए रखने के लिए क्लिंच की स्थिति में आएँ।")</f>
        <v>A) मुक्कों की संख्या बढ़ाएँ। B) भारी मुक्के लगाने पर ध्यान केंद्रित करें। C) लड़ाकू B को थका देने के लिए संयोजनों का प्रयोग करें। D) लड़ाई पर नियंत्रण बनाए रखने के लिए क्लिंच की स्थिति में आएँ।</v>
      </c>
      <c r="I352" s="5" t="str">
        <f>IFERROR(__xludf.DUMMYFUNCTION("GOOGLETRANSLATE(D352, ""en"", ""hi"")"),"सी) फाइटर बी को कमजोर करने के लिए संयोजनों का उपयोग करें।")</f>
        <v>सी) फाइटर बी को कमजोर करने के लिए संयोजनों का उपयोग करें।</v>
      </c>
    </row>
    <row r="353" ht="22.5" customHeight="1">
      <c r="A353" s="2">
        <v>352.0</v>
      </c>
      <c r="B353" s="3" t="s">
        <v>3747</v>
      </c>
      <c r="C353" s="3" t="s">
        <v>3748</v>
      </c>
      <c r="D353" s="3" t="s">
        <v>3749</v>
      </c>
      <c r="F353" s="5" t="str">
        <f>IFERROR(__xludf.DUMMYFUNCTION("GOOGLETRANSLATE(A353, ""en"", ""hi"")"),"352")</f>
        <v>352</v>
      </c>
      <c r="G353" s="5" t="str">
        <f>IFERROR(__xludf.DUMMYFUNCTION("GOOGLETRANSLATE(B353, ""en"", ""hi"")"),"फाइटर A अपने मज़बूत अपरकट्स के लिए जाना जाता है, लेकिन फाइटर B कड़ा पहरा दे रहा है। फाइटर A को अपनी रणनीति में कैसे बदलाव करना चाहिए?")</f>
        <v>फाइटर A अपने मज़बूत अपरकट्स के लिए जाना जाता है, लेकिन फाइटर B कड़ा पहरा दे रहा है। फाइटर A को अपनी रणनीति में कैसे बदलाव करना चाहिए?</v>
      </c>
      <c r="H353" s="5" t="str">
        <f>IFERROR(__xludf.DUMMYFUNCTION("GOOGLETRANSLATE(C353, ""en"", ""hi"")"),"A) फाइटर B के गार्ड को तोड़ने के लिए अपरकट्स का इस्तेमाल करते रहें। B) फाइटर B के डिफेंस को खोलने के लिए बॉडी शॉट्स पर स्विच करें। C) फुटवर्क और डिफेंस पर ध्यान दें। D) फाइटर B के अटैक और काउंटर करने का इंतज़ार करें।")</f>
        <v>A) फाइटर B के गार्ड को तोड़ने के लिए अपरकट्स का इस्तेमाल करते रहें। B) फाइटर B के डिफेंस को खोलने के लिए बॉडी शॉट्स पर स्विच करें। C) फुटवर्क और डिफेंस पर ध्यान दें। D) फाइटर B के अटैक और काउंटर करने का इंतज़ार करें।</v>
      </c>
      <c r="I353" s="5" t="str">
        <f>IFERROR(__xludf.DUMMYFUNCTION("GOOGLETRANSLATE(D353, ""en"", ""hi"")"),"बी) फाइटर बी की रक्षा को खोलने के लिए बॉडी शॉट्स पर स्विच करें।")</f>
        <v>बी) फाइटर बी की रक्षा को खोलने के लिए बॉडी शॉट्स पर स्विच करें।</v>
      </c>
    </row>
    <row r="354" ht="22.5" customHeight="1">
      <c r="A354" s="2">
        <v>353.0</v>
      </c>
      <c r="B354" s="3" t="s">
        <v>3750</v>
      </c>
      <c r="C354" s="3" t="s">
        <v>3751</v>
      </c>
      <c r="D354" s="3" t="s">
        <v>3752</v>
      </c>
      <c r="F354" s="5" t="str">
        <f>IFERROR(__xludf.DUMMYFUNCTION("GOOGLETRANSLATE(A354, ""en"", ""hi"")"),"353")</f>
        <v>353</v>
      </c>
      <c r="G354" s="5" t="str">
        <f>IFERROR(__xludf.DUMMYFUNCTION("GOOGLETRANSLATE(B354, ""en"", ""hi"")"),"लड़ाकू A की ऊँचाई और पहुँच में बढ़त है, लेकिन लड़ाकू B तेज़ है। लड़ाकू A, लड़ाकू B की गति को कैसे बेअसर कर सकता है?")</f>
        <v>लड़ाकू A की ऊँचाई और पहुँच में बढ़त है, लेकिन लड़ाकू B तेज़ है। लड़ाकू A, लड़ाकू B की गति को कैसे बेअसर कर सकता है?</v>
      </c>
      <c r="H354" s="5" t="str">
        <f>IFERROR(__xludf.DUMMYFUNCTION("GOOGLETRANSLATE(C354, ""en"", ""hi"")"),"A) अपनी पहुँच का इस्तेमाल करके फाइटर B को दूर रखें। B) कम दूरी की लड़ाई में शामिल होने के लिए उसके करीब जाएँ। C) रक्षात्मक रहें और फाइटर B के थकने का इंतज़ार करें। D) फाइटर B को मात देने के लिए अपने पैरों पर ध्यान केंद्रित करें।")</f>
        <v>A) अपनी पहुँच का इस्तेमाल करके फाइटर B को दूर रखें। B) कम दूरी की लड़ाई में शामिल होने के लिए उसके करीब जाएँ। C) रक्षात्मक रहें और फाइटर B के थकने का इंतज़ार करें। D) फाइटर B को मात देने के लिए अपने पैरों पर ध्यान केंद्रित करें।</v>
      </c>
      <c r="I354" s="5" t="str">
        <f>IFERROR(__xludf.DUMMYFUNCTION("GOOGLETRANSLATE(D354, ""en"", ""hi"")"),"ए) फाइटर बी को दूर रखने के लिए अपनी पहुंच का उपयोग करें।")</f>
        <v>ए) फाइटर बी को दूर रखने के लिए अपनी पहुंच का उपयोग करें।</v>
      </c>
    </row>
    <row r="355" ht="22.5" customHeight="1">
      <c r="A355" s="2">
        <v>354.0</v>
      </c>
      <c r="B355" s="3" t="s">
        <v>3753</v>
      </c>
      <c r="C355" s="3" t="s">
        <v>3754</v>
      </c>
      <c r="D355" s="3" t="s">
        <v>3755</v>
      </c>
      <c r="F355" s="5" t="str">
        <f>IFERROR(__xludf.DUMMYFUNCTION("GOOGLETRANSLATE(A355, ""en"", ""hi"")"),"354")</f>
        <v>354</v>
      </c>
      <c r="G355" s="5" t="str">
        <f>IFERROR(__xludf.DUMMYFUNCTION("GOOGLETRANSLATE(B355, ""en"", ""hi"")"),"फाइटर A ने देखा कि जब भी फाइटर B कोई कॉम्बिनेशन फेंकता है, तो वह पीछे हट जाता है। इसका फ़ायदा उठाने के लिए फाइटर A को क्या करना चाहिए?")</f>
        <v>फाइटर A ने देखा कि जब भी फाइटर B कोई कॉम्बिनेशन फेंकता है, तो वह पीछे हट जाता है। इसका फ़ायदा उठाने के लिए फाइटर A को क्या करना चाहिए?</v>
      </c>
      <c r="H355" s="5" t="str">
        <f>IFERROR(__xludf.DUMMYFUNCTION("GOOGLETRANSLATE(C355, ""en"", ""hi"")"),"A) फाइटर B को पीछे धकेलने के लिए लगातार कॉम्बिनेशन लगाते रहें। B) एकल, शक्तिशाली मुक्कों पर ध्यान केंद्रित करें। C) क्लिंच की स्थिति में आएँ। D) गति धीमी करें और ऊर्जा बचाएँ।")</f>
        <v>A) फाइटर B को पीछे धकेलने के लिए लगातार कॉम्बिनेशन लगाते रहें। B) एकल, शक्तिशाली मुक्कों पर ध्यान केंद्रित करें। C) क्लिंच की स्थिति में आएँ। D) गति धीमी करें और ऊर्जा बचाएँ।</v>
      </c>
      <c r="I355" s="5" t="str">
        <f>IFERROR(__xludf.DUMMYFUNCTION("GOOGLETRANSLATE(D355, ""en"", ""hi"")"),"ए) फाइटर बी को पीछे धकेलने के लिए संयोजन फेंकते रहें।")</f>
        <v>ए) फाइटर बी को पीछे धकेलने के लिए संयोजन फेंकते रहें।</v>
      </c>
    </row>
    <row r="356" ht="22.5" customHeight="1">
      <c r="A356" s="2">
        <v>355.0</v>
      </c>
      <c r="B356" s="3" t="s">
        <v>3756</v>
      </c>
      <c r="C356" s="3" t="s">
        <v>3757</v>
      </c>
      <c r="D356" s="3" t="s">
        <v>3722</v>
      </c>
      <c r="F356" s="5" t="str">
        <f>IFERROR(__xludf.DUMMYFUNCTION("GOOGLETRANSLATE(A356, ""en"", ""hi"")"),"355")</f>
        <v>355</v>
      </c>
      <c r="G356" s="5" t="str">
        <f>IFERROR(__xludf.DUMMYFUNCTION("GOOGLETRANSLATE(B356, ""en"", ""hi"")"),"फाइटर बी ज़ोरदार मुक्के मार रहा है, और फाइटर ए थका हुआ महसूस करने लगा है। फाइटर ए को अपनी रणनीति कैसे बदलनी चाहिए?")</f>
        <v>फाइटर बी ज़ोरदार मुक्के मार रहा है, और फाइटर ए थका हुआ महसूस करने लगा है। फाइटर ए को अपनी रणनीति कैसे बदलनी चाहिए?</v>
      </c>
      <c r="H356" s="5" t="str">
        <f>IFERROR(__xludf.DUMMYFUNCTION("GOOGLETRANSLATE(C356, ""en"", ""hi"")"),"A) फाइटर B को चौंकाने के लिए उसकी आक्रामकता बढ़ाएँ। B) रक्षात्मक रहें और आगे की क्षति से बचें। C) गति धीमी करने के लिए क्लिंच की स्थिति में आएँ। D) पलटवार करने का मौका ढूँढ़ें।")</f>
        <v>A) फाइटर B को चौंकाने के लिए उसकी आक्रामकता बढ़ाएँ। B) रक्षात्मक रहें और आगे की क्षति से बचें। C) गति धीमी करने के लिए क्लिंच की स्थिति में आएँ। D) पलटवार करने का मौका ढूँढ़ें।</v>
      </c>
      <c r="I356" s="5" t="str">
        <f>IFERROR(__xludf.DUMMYFUNCTION("GOOGLETRANSLATE(D356, ""en"", ""hi"")"),"ग) गति धीमी करने के लिए क्लिंच की स्थिति में रहें।")</f>
        <v>ग) गति धीमी करने के लिए क्लिंच की स्थिति में रहें।</v>
      </c>
    </row>
    <row r="357" ht="22.5" customHeight="1">
      <c r="A357" s="2">
        <v>356.0</v>
      </c>
      <c r="B357" s="3" t="s">
        <v>3758</v>
      </c>
      <c r="C357" s="3" t="s">
        <v>3759</v>
      </c>
      <c r="D357" s="3" t="s">
        <v>3760</v>
      </c>
      <c r="F357" s="5" t="str">
        <f>IFERROR(__xludf.DUMMYFUNCTION("GOOGLETRANSLATE(A357, ""en"", ""hi"")"),"356")</f>
        <v>356</v>
      </c>
      <c r="G357" s="5" t="str">
        <f>IFERROR(__xludf.DUMMYFUNCTION("GOOGLETRANSLATE(B357, ""en"", ""hi"")"),"फाइटर A की ताकत उसका डिफेंस है, लेकिन फाइटर B आक्रामक कॉम्बिनेशन से उसे मात देने लगा है। फाइटर A को क्या जवाब देना चाहिए?")</f>
        <v>फाइटर A की ताकत उसका डिफेंस है, लेकिन फाइटर B आक्रामक कॉम्बिनेशन से उसे मात देने लगा है। फाइटर A को क्या जवाब देना चाहिए?</v>
      </c>
      <c r="H357" s="5" t="str">
        <f>IFERROR(__xludf.DUMMYFUNCTION("GOOGLETRANSLATE(C357, ""en"", ""hi"")"),"A) रक्षात्मक रहें और फाइटर B के थकने का इंतज़ार करें। B) फाइटर B की लय बिगाड़ने के लिए उसकी आक्रामकता बढ़ाएँ। C) उलझने से बचने के लिए पैरों का इस्तेमाल करें। D) फाइटर B की गति को तोड़ने के लिए क्लिंच की स्थिति में आएँ।")</f>
        <v>A) रक्षात्मक रहें और फाइटर B के थकने का इंतज़ार करें। B) फाइटर B की लय बिगाड़ने के लिए उसकी आक्रामकता बढ़ाएँ। C) उलझने से बचने के लिए पैरों का इस्तेमाल करें। D) फाइटर B की गति को तोड़ने के लिए क्लिंच की स्थिति में आएँ।</v>
      </c>
      <c r="I357" s="5" t="str">
        <f>IFERROR(__xludf.DUMMYFUNCTION("GOOGLETRANSLATE(D357, ""en"", ""hi"")"),"बी) फाइटर बी की लय को बाधित करने के लिए उसकी आक्रामकता बढ़ाएं।")</f>
        <v>बी) फाइटर बी की लय को बाधित करने के लिए उसकी आक्रामकता बढ़ाएं।</v>
      </c>
    </row>
    <row r="358" ht="22.5" customHeight="1">
      <c r="A358" s="2">
        <v>357.0</v>
      </c>
      <c r="B358" s="3" t="s">
        <v>3761</v>
      </c>
      <c r="C358" s="3" t="s">
        <v>3762</v>
      </c>
      <c r="D358" s="3" t="s">
        <v>3763</v>
      </c>
      <c r="F358" s="5" t="str">
        <f>IFERROR(__xludf.DUMMYFUNCTION("GOOGLETRANSLATE(A358, ""en"", ""hi"")"),"357")</f>
        <v>357</v>
      </c>
      <c r="G358" s="5" t="str">
        <f>IFERROR(__xludf.DUMMYFUNCTION("GOOGLETRANSLATE(B358, ""en"", ""hi"")"),"फाइटर A एक ऐसा मुक्का मारता है जिससे फाइटर B अचेत हो जाता है, लेकिन वह आगे वार करने से हिचकिचाता है। इस मौके का फायदा उठाने के लिए फाइटर A को क्या करना चाहिए?")</f>
        <v>फाइटर A एक ऐसा मुक्का मारता है जिससे फाइटर B अचेत हो जाता है, लेकिन वह आगे वार करने से हिचकिचाता है। इस मौके का फायदा उठाने के लिए फाइटर A को क्या करना चाहिए?</v>
      </c>
      <c r="H358" s="5" t="str">
        <f>IFERROR(__xludf.DUMMYFUNCTION("GOOGLETRANSLATE(C358, ""en"", ""hi"")"),"A) पीछे हटें और दूसरे मौके का इंतज़ार करें। B) तुरंत और मुक्के मारें। C) क्लिंच की स्थिति में आएँ। D) अगर फाइटर B जल्दी से ठीक हो जाए तो बचाव पर ध्यान केंद्रित करें।")</f>
        <v>A) पीछे हटें और दूसरे मौके का इंतज़ार करें। B) तुरंत और मुक्के मारें। C) क्लिंच की स्थिति में आएँ। D) अगर फाइटर B जल्दी से ठीक हो जाए तो बचाव पर ध्यान केंद्रित करें।</v>
      </c>
      <c r="I358" s="5" t="str">
        <f>IFERROR(__xludf.DUMMYFUNCTION("GOOGLETRANSLATE(D358, ""en"", ""hi"")"),"बी) तुरंत ही अधिक मुक्के मारना।")</f>
        <v>बी) तुरंत ही अधिक मुक्के मारना।</v>
      </c>
    </row>
    <row r="359" ht="22.5" customHeight="1">
      <c r="A359" s="2">
        <v>358.0</v>
      </c>
      <c r="B359" s="3" t="s">
        <v>3764</v>
      </c>
      <c r="C359" s="3" t="s">
        <v>3765</v>
      </c>
      <c r="D359" s="3" t="s">
        <v>3766</v>
      </c>
      <c r="F359" s="5" t="str">
        <f>IFERROR(__xludf.DUMMYFUNCTION("GOOGLETRANSLATE(A359, ""en"", ""hi"")"),"358")</f>
        <v>358</v>
      </c>
      <c r="G359" s="5" t="str">
        <f>IFERROR(__xludf.DUMMYFUNCTION("GOOGLETRANSLATE(B359, ""en"", ""hi"")"),"लड़ाकू A देखता है कि लड़ाकू B निराश हो रहा है और गलतियाँ करने लगा है। लड़ाकू A को अब क्या करना चाहिए?")</f>
        <v>लड़ाकू A देखता है कि लड़ाकू B निराश हो रहा है और गलतियाँ करने लगा है। लड़ाकू A को अब क्या करना चाहिए?</v>
      </c>
      <c r="H359" s="5" t="str">
        <f>IFERROR(__xludf.DUMMYFUNCTION("GOOGLETRANSLATE(C359, ""en"", ""hi"")"),"A) उस पर दबाव बढ़ाएँ ताकि वह और गलतियाँ कर सके। B) रक्षात्मक रहें और मौके का इंतज़ार करें। C) फाइटर B को और ज़्यादा परेशान करने के लिए क्लिंच की स्थिति में रहें। D) हर गलती के बाद पलटवार करने पर ध्यान केंद्रित करें।")</f>
        <v>A) उस पर दबाव बढ़ाएँ ताकि वह और गलतियाँ कर सके। B) रक्षात्मक रहें और मौके का इंतज़ार करें। C) फाइटर B को और ज़्यादा परेशान करने के लिए क्लिंच की स्थिति में रहें। D) हर गलती के बाद पलटवार करने पर ध्यान केंद्रित करें।</v>
      </c>
      <c r="I359" s="5" t="str">
        <f>IFERROR(__xludf.DUMMYFUNCTION("GOOGLETRANSLATE(D359, ""en"", ""hi"")"),"A) अधिक गलतियाँ करने के लिए उस पर दबाव बढ़ाएँ।")</f>
        <v>A) अधिक गलतियाँ करने के लिए उस पर दबाव बढ़ाएँ।</v>
      </c>
    </row>
    <row r="360" ht="22.5" customHeight="1">
      <c r="A360" s="2">
        <v>359.0</v>
      </c>
      <c r="B360" s="3" t="s">
        <v>3767</v>
      </c>
      <c r="C360" s="3" t="s">
        <v>3768</v>
      </c>
      <c r="D360" s="3" t="s">
        <v>3769</v>
      </c>
      <c r="F360" s="5" t="str">
        <f>IFERROR(__xludf.DUMMYFUNCTION("GOOGLETRANSLATE(A360, ""en"", ""hi"")"),"359")</f>
        <v>359</v>
      </c>
      <c r="G360" s="5" t="str">
        <f>IFERROR(__xludf.DUMMYFUNCTION("GOOGLETRANSLATE(B360, ""en"", ""hi"")"),"फाइटर बी अपनी दमदार किक्स के लिए जाना जाता है, लेकिन फाइटर ए अब तक उनसे बचता रहा है। फाइटर ए को फाइटर बी की किक्स को कैसे बेअसर करना चाहिए?")</f>
        <v>फाइटर बी अपनी दमदार किक्स के लिए जाना जाता है, लेकिन फाइटर ए अब तक उनसे बचता रहा है। फाइटर ए को फाइटर बी की किक्स को कैसे बेअसर करना चाहिए?</v>
      </c>
      <c r="H360" s="5" t="str">
        <f>IFERROR(__xludf.DUMMYFUNCTION("GOOGLETRANSLATE(C360, ""en"", ""hi"")"),"A) किक से बचने के लिए क्लिंच की स्थिति में आएँ। B) किक के तुरंत बाद मुक्कों से जवाब दें। C) किक से बचने के लिए अपने पैरों पर ध्यान केंद्रित करें। D) किक को पकड़ने और पलटवार करने का प्रयास करें।")</f>
        <v>A) किक से बचने के लिए क्लिंच की स्थिति में आएँ। B) किक के तुरंत बाद मुक्कों से जवाब दें। C) किक से बचने के लिए अपने पैरों पर ध्यान केंद्रित करें। D) किक को पकड़ने और पलटवार करने का प्रयास करें।</v>
      </c>
      <c r="I360" s="5" t="str">
        <f>IFERROR(__xludf.DUMMYFUNCTION("GOOGLETRANSLATE(D360, ""en"", ""hi"")"),"बी) किक के तुरंत बाद मुक्कों से जवाब दें।")</f>
        <v>बी) किक के तुरंत बाद मुक्कों से जवाब दें।</v>
      </c>
    </row>
    <row r="361" ht="22.5" customHeight="1">
      <c r="A361" s="2">
        <v>360.0</v>
      </c>
      <c r="B361" s="3" t="s">
        <v>3770</v>
      </c>
      <c r="C361" s="3" t="s">
        <v>3771</v>
      </c>
      <c r="D361" s="3" t="s">
        <v>3772</v>
      </c>
      <c r="F361" s="5" t="str">
        <f>IFERROR(__xludf.DUMMYFUNCTION("GOOGLETRANSLATE(A361, ""en"", ""hi"")"),"360")</f>
        <v>360</v>
      </c>
      <c r="G361" s="5" t="str">
        <f>IFERROR(__xludf.DUMMYFUNCTION("GOOGLETRANSLATE(B361, ""en"", ""hi"")"),"फाइटर A तेज़ी से वार कर रहा है, लेकिन फाइटर B उन्हें काउंटर करने के लिए समय निकाल रहा है। फाइटर A काउंटर से बचने के लिए अपनी रणनीति कैसे बदल सकता है?")</f>
        <v>फाइटर A तेज़ी से वार कर रहा है, लेकिन फाइटर B उन्हें काउंटर करने के लिए समय निकाल रहा है। फाइटर A काउंटर से बचने के लिए अपनी रणनीति कैसे बदल सकता है?</v>
      </c>
      <c r="H361" s="5" t="str">
        <f>IFERROR(__xludf.DUMMYFUNCTION("GOOGLETRANSLATE(C361, ""en"", ""hi"")"),"A) कम जैब फेंकें। B) जैब फेंकने से पहले फ़िंट का इस्तेमाल करें। C) इसके बजाय बॉडी शॉट्स पर ध्यान केंद्रित करें। D) गति धीमी करने के लिए क्लिंच की स्थिति में आएँ।")</f>
        <v>A) कम जैब फेंकें। B) जैब फेंकने से पहले फ़िंट का इस्तेमाल करें। C) इसके बजाय बॉडी शॉट्स पर ध्यान केंद्रित करें। D) गति धीमी करने के लिए क्लिंच की स्थिति में आएँ।</v>
      </c>
      <c r="I361" s="5" t="str">
        <f>IFERROR(__xludf.DUMMYFUNCTION("GOOGLETRANSLATE(D361, ""en"", ""hi"")"),"बी) जैब फेंकने से पहले फाइन्ट का प्रयोग करें।")</f>
        <v>बी) जैब फेंकने से पहले फाइन्ट का प्रयोग करें।</v>
      </c>
    </row>
    <row r="362" ht="22.5" customHeight="1">
      <c r="A362" s="2">
        <v>361.0</v>
      </c>
      <c r="B362" s="3" t="s">
        <v>3773</v>
      </c>
      <c r="C362" s="3" t="s">
        <v>3774</v>
      </c>
      <c r="D362" s="3" t="s">
        <v>3722</v>
      </c>
      <c r="F362" s="5" t="str">
        <f>IFERROR(__xludf.DUMMYFUNCTION("GOOGLETRANSLATE(A362, ""en"", ""hi"")"),"361")</f>
        <v>361</v>
      </c>
      <c r="G362" s="5" t="str">
        <f>IFERROR(__xludf.DUMMYFUNCTION("GOOGLETRANSLATE(B362, ""en"", ""hi"")"),"फाइटर A थकने लगा है, और फाइटर B मैच पर नियंत्रण कर रहा है। फाइटर A को अपनी गति वापस पाने के लिए क्या करना चाहिए?")</f>
        <v>फाइटर A थकने लगा है, और फाइटर B मैच पर नियंत्रण कर रहा है। फाइटर A को अपनी गति वापस पाने के लिए क्या करना चाहिए?</v>
      </c>
      <c r="H362" s="5" t="str">
        <f>IFERROR(__xludf.DUMMYFUNCTION("GOOGLETRANSLATE(C362, ""en"", ""hi"")"),"A) नियंत्रण पाने के लिए उसकी आक्रामकता बढ़ाएँ। B) रक्षात्मक रहें और ऊर्जा बचाएँ। C) गति धीमी करने के लिए क्लिंच की स्थिति बनाएँ। D) नॉकआउट पंच की तलाश करें।")</f>
        <v>A) नियंत्रण पाने के लिए उसकी आक्रामकता बढ़ाएँ। B) रक्षात्मक रहें और ऊर्जा बचाएँ। C) गति धीमी करने के लिए क्लिंच की स्थिति बनाएँ। D) नॉकआउट पंच की तलाश करें।</v>
      </c>
      <c r="I362" s="5" t="str">
        <f>IFERROR(__xludf.DUMMYFUNCTION("GOOGLETRANSLATE(D362, ""en"", ""hi"")"),"ग) गति धीमी करने के लिए क्लिंच की स्थिति में रहें।")</f>
        <v>ग) गति धीमी करने के लिए क्लिंच की स्थिति में रहें।</v>
      </c>
    </row>
    <row r="363" ht="22.5" customHeight="1">
      <c r="A363" s="2">
        <v>362.0</v>
      </c>
      <c r="B363" s="3" t="s">
        <v>3775</v>
      </c>
      <c r="C363" s="3" t="s">
        <v>3776</v>
      </c>
      <c r="D363" s="3" t="s">
        <v>3777</v>
      </c>
      <c r="F363" s="5" t="str">
        <f>IFERROR(__xludf.DUMMYFUNCTION("GOOGLETRANSLATE(A363, ""en"", ""hi"")"),"362")</f>
        <v>362</v>
      </c>
      <c r="G363" s="5" t="str">
        <f>IFERROR(__xludf.DUMMYFUNCTION("GOOGLETRANSLATE(B363, ""en"", ""hi"")"),"फाइटर A ने एक ऐसा मुक्का मारा जिससे फाइटर B के चेहरे पर घाव हो गया। फाइटर A को आगे क्या करना चाहिए?")</f>
        <v>फाइटर A ने एक ऐसा मुक्का मारा जिससे फाइटर B के चेहरे पर घाव हो गया। फाइटर A को आगे क्या करना चाहिए?</v>
      </c>
      <c r="H363" s="5" t="str">
        <f>IFERROR(__xludf.DUMMYFUNCTION("GOOGLETRANSLATE(C363, ""en"", ""hi"")"),"A) कट पर ध्यान केंद्रित करें। B) अपनी मूल रणनीति जारी रखें। C) ऊर्जा बचाने के लिए गति धीमी करें। D) स्थिति का आकलन करने के लिए क्लिंच की स्थिति में आएँ।")</f>
        <v>A) कट पर ध्यान केंद्रित करें। B) अपनी मूल रणनीति जारी रखें। C) ऊर्जा बचाने के लिए गति धीमी करें। D) स्थिति का आकलन करने के लिए क्लिंच की स्थिति में आएँ।</v>
      </c>
      <c r="I363" s="5" t="str">
        <f>IFERROR(__xludf.DUMMYFUNCTION("GOOGLETRANSLATE(D363, ""en"", ""hi"")"),"ए) कट को लक्ष्य करने पर ध्यान केन्द्रित करें।")</f>
        <v>ए) कट को लक्ष्य करने पर ध्यान केन्द्रित करें।</v>
      </c>
    </row>
    <row r="364" ht="22.5" customHeight="1">
      <c r="A364" s="2">
        <v>363.0</v>
      </c>
      <c r="B364" s="3" t="s">
        <v>3778</v>
      </c>
      <c r="C364" s="3" t="s">
        <v>3779</v>
      </c>
      <c r="D364" s="3" t="s">
        <v>3780</v>
      </c>
      <c r="F364" s="5" t="str">
        <f>IFERROR(__xludf.DUMMYFUNCTION("GOOGLETRANSLATE(A364, ""en"", ""hi"")"),"363")</f>
        <v>363</v>
      </c>
      <c r="G364" s="5" t="str">
        <f>IFERROR(__xludf.DUMMYFUNCTION("GOOGLETRANSLATE(B364, ""en"", ""hi"")"),"फाइटर A मैच में हावी है, लेकिन फाइटर B उसे गलतियाँ करने के लिए उकसा रहा है। फाइटर A को क्या जवाब देना चाहिए?")</f>
        <v>फाइटर A मैच में हावी है, लेकिन फाइटर B उसे गलतियाँ करने के लिए उकसा रहा है। फाइटर A को क्या जवाब देना चाहिए?</v>
      </c>
      <c r="H364" s="5" t="str">
        <f>IFERROR(__xludf.DUMMYFUNCTION("GOOGLETRANSLATE(C364, ""en"", ""hi"")"),"A) लड़ाई खत्म करने के लिए उसकी आक्रामकता बढ़ाएँ। B) ध्यान केंद्रित रखें और अनावश्यक जोखिम से बचें। C) फाइटर B को और भी ज़्यादा परेशान करने के लिए क्लिंच की स्थिति में आएँ। D) फाइटर B के थकने का इंतज़ार करें।")</f>
        <v>A) लड़ाई खत्म करने के लिए उसकी आक्रामकता बढ़ाएँ। B) ध्यान केंद्रित रखें और अनावश्यक जोखिम से बचें। C) फाइटर B को और भी ज़्यादा परेशान करने के लिए क्लिंच की स्थिति में आएँ। D) फाइटर B के थकने का इंतज़ार करें।</v>
      </c>
      <c r="I364" s="5" t="str">
        <f>IFERROR(__xludf.DUMMYFUNCTION("GOOGLETRANSLATE(D364, ""en"", ""hi"")"),"बी) ध्यान केंद्रित रखें और अनावश्यक जोखिम से बचें।")</f>
        <v>बी) ध्यान केंद्रित रखें और अनावश्यक जोखिम से बचें।</v>
      </c>
    </row>
    <row r="365" ht="22.5" customHeight="1">
      <c r="A365" s="2">
        <v>364.0</v>
      </c>
      <c r="B365" s="3" t="s">
        <v>3781</v>
      </c>
      <c r="C365" s="3" t="s">
        <v>3782</v>
      </c>
      <c r="D365" s="3" t="s">
        <v>3783</v>
      </c>
      <c r="F365" s="5" t="str">
        <f>IFERROR(__xludf.DUMMYFUNCTION("GOOGLETRANSLATE(A365, ""en"", ""hi"")"),"364")</f>
        <v>364</v>
      </c>
      <c r="G365" s="5" t="str">
        <f>IFERROR(__xludf.DUMMYFUNCTION("GOOGLETRANSLATE(B365, ""en"", ""hi"")"),"फाइटर बी अपने शक्तिशाली ओवरहैंड राइट के लिए जाना जाता है, और फाइटर ए उससे बचने की कोशिश कर रहा है। इस खतरे को बेअसर करने के लिए फाइटर ए को क्या करना चाहिए?")</f>
        <v>फाइटर बी अपने शक्तिशाली ओवरहैंड राइट के लिए जाना जाता है, और फाइटर ए उससे बचने की कोशिश कर रहा है। इस खतरे को बेअसर करने के लिए फाइटर ए को क्या करना चाहिए?</v>
      </c>
      <c r="H365" s="5" t="str">
        <f>IFERROR(__xludf.DUMMYFUNCTION("GOOGLETRANSLATE(C365, ""en"", ""hi"")"),"A) स्थिर लक्ष्य बनने से बचने के लिए आगे बढ़ते रहें। B) ओवरहैंड राइट को रोकने के लिए क्लिंच की स्थिति में रहें। C) फाइटर B को चूकने के लिए फ़िंट का प्रयोग करें। D) प्रत्येक ओवरहैंड राइट के बाद काउंटर करने पर ध्यान केंद्रित करें।")</f>
        <v>A) स्थिर लक्ष्य बनने से बचने के लिए आगे बढ़ते रहें। B) ओवरहैंड राइट को रोकने के लिए क्लिंच की स्थिति में रहें। C) फाइटर B को चूकने के लिए फ़िंट का प्रयोग करें। D) प्रत्येक ओवरहैंड राइट के बाद काउंटर करने पर ध्यान केंद्रित करें।</v>
      </c>
      <c r="I365" s="5" t="str">
        <f>IFERROR(__xludf.DUMMYFUNCTION("GOOGLETRANSLATE(D365, ""en"", ""hi"")"),"A) स्थिर लक्ष्य बनने से बचने के लिए चलते रहें।")</f>
        <v>A) स्थिर लक्ष्य बनने से बचने के लिए चलते रहें।</v>
      </c>
    </row>
    <row r="366" ht="22.5" customHeight="1">
      <c r="A366" s="2">
        <v>365.0</v>
      </c>
      <c r="B366" s="3" t="s">
        <v>3784</v>
      </c>
      <c r="C366" s="3" t="s">
        <v>3785</v>
      </c>
      <c r="D366" s="3" t="s">
        <v>3786</v>
      </c>
      <c r="F366" s="5" t="str">
        <f>IFERROR(__xludf.DUMMYFUNCTION("GOOGLETRANSLATE(A366, ""en"", ""hi"")"),"365")</f>
        <v>365</v>
      </c>
      <c r="G366" s="5" t="str">
        <f>IFERROR(__xludf.DUMMYFUNCTION("GOOGLETRANSLATE(B366, ""en"", ""hi"")"),"फाइटर A को दो बार नॉकडाउन किया जा चुका है, लेकिन वह अभी भी मुकाबले में है। फाइटर A को बाकी मैच में कैसे खेलना चाहिए?")</f>
        <v>फाइटर A को दो बार नॉकडाउन किया जा चुका है, लेकिन वह अभी भी मुकाबले में है। फाइटर A को बाकी मैच में कैसे खेलना चाहिए?</v>
      </c>
      <c r="H366" s="5" t="str">
        <f>IFERROR(__xludf.DUMMYFUNCTION("GOOGLETRANSLATE(C366, ""en"", ""hi"")"),"A) रक्षात्मक रहें और आगे गिरने से बचें। B) लड़ाई का रुख मोड़ने के लिए आक्रामकता बढ़ाएँ। C) गति धीमी करने के लिए क्लिंच की स्थिति बनाएँ। D) नियंत्रण वापस पाने के लिए जवाबी हमलों पर ध्यान केंद्रित करें।")</f>
        <v>A) रक्षात्मक रहें और आगे गिरने से बचें। B) लड़ाई का रुख मोड़ने के लिए आक्रामकता बढ़ाएँ। C) गति धीमी करने के लिए क्लिंच की स्थिति बनाएँ। D) नियंत्रण वापस पाने के लिए जवाबी हमलों पर ध्यान केंद्रित करें।</v>
      </c>
      <c r="I366" s="5" t="str">
        <f>IFERROR(__xludf.DUMMYFUNCTION("GOOGLETRANSLATE(D366, ""en"", ""hi"")"),"ए) रक्षात्मक रहें और आगे गिरने से बचें।")</f>
        <v>ए) रक्षात्मक रहें और आगे गिरने से बचें।</v>
      </c>
    </row>
    <row r="367" ht="22.5" customHeight="1">
      <c r="A367" s="2">
        <v>366.0</v>
      </c>
      <c r="B367" s="3" t="s">
        <v>3787</v>
      </c>
      <c r="C367" s="3" t="s">
        <v>3788</v>
      </c>
      <c r="D367" s="3" t="s">
        <v>3789</v>
      </c>
      <c r="F367" s="5" t="str">
        <f>IFERROR(__xludf.DUMMYFUNCTION("GOOGLETRANSLATE(A367, ""en"", ""hi"")"),"366")</f>
        <v>366</v>
      </c>
      <c r="G367" s="5" t="str">
        <f>IFERROR(__xludf.DUMMYFUNCTION("GOOGLETRANSLATE(B367, ""en"", ""hi"")"),"फाइटर A अपनी गति के लिए जाना जाता है, लेकिन फाइटर B ज़्यादा ताकतवर है। अगर फाइटर A नज़दीकी लड़ाई से बचना चाहता है, तो उसे कौन सी रणनीति अपनानी चाहिए?")</f>
        <v>फाइटर A अपनी गति के लिए जाना जाता है, लेकिन फाइटर B ज़्यादा ताकतवर है। अगर फाइटर A नज़दीकी लड़ाई से बचना चाहता है, तो उसे कौन सी रणनीति अपनानी चाहिए?</v>
      </c>
      <c r="H367" s="5" t="str">
        <f>IFERROR(__xludf.DUMMYFUNCTION("GOOGLETRANSLATE(C367, ""en"", ""hi"")"),"A) फाइटर B को चुनौती देने के लिए नज़दीकी मुक़ाबले में उतरें। B) फाइटर B की पहुँच से बाहर रहने के लिए तेज़ कदमों का इस्तेमाल करें। C) बचाव पर ध्यान केंद्रित करें और फाइटर B के थकने का इंतज़ार करें। D) फाइटर B पर हावी होने के लिए ज़ोरदार मुक्कों का इस्तेमाल"&amp;" करें।")</f>
        <v>A) फाइटर B को चुनौती देने के लिए नज़दीकी मुक़ाबले में उतरें। B) फाइटर B की पहुँच से बाहर रहने के लिए तेज़ कदमों का इस्तेमाल करें। C) बचाव पर ध्यान केंद्रित करें और फाइटर B के थकने का इंतज़ार करें। D) फाइटर B पर हावी होने के लिए ज़ोरदार मुक्कों का इस्तेमाल करें।</v>
      </c>
      <c r="I367" s="5" t="str">
        <f>IFERROR(__xludf.DUMMYFUNCTION("GOOGLETRANSLATE(D367, ""en"", ""hi"")"),"बी) फाइटर बी की रेंज से बाहर रहने के लिए त्वरित फुटवर्क का उपयोग करें।")</f>
        <v>बी) फाइटर बी की रेंज से बाहर रहने के लिए त्वरित फुटवर्क का उपयोग करें।</v>
      </c>
    </row>
    <row r="368" ht="22.5" customHeight="1">
      <c r="A368" s="2">
        <v>367.0</v>
      </c>
      <c r="B368" s="3" t="s">
        <v>3790</v>
      </c>
      <c r="C368" s="3" t="s">
        <v>3791</v>
      </c>
      <c r="D368" s="3" t="s">
        <v>3792</v>
      </c>
      <c r="F368" s="5" t="str">
        <f>IFERROR(__xludf.DUMMYFUNCTION("GOOGLETRANSLATE(A368, ""en"", ""hi"")"),"367")</f>
        <v>367</v>
      </c>
      <c r="G368" s="5" t="str">
        <f>IFERROR(__xludf.DUMMYFUNCTION("GOOGLETRANSLATE(B368, ""en"", ""hi"")"),"एक मुस्ति युद्ध मैच के दौरान, फाइटर A देखता है कि फाइटर B अपने बाएँ पैर का इस्तेमाल कर रहा है। फाइटर A को अपनी रणनीति कैसे बदलनी चाहिए?")</f>
        <v>एक मुस्ति युद्ध मैच के दौरान, फाइटर A देखता है कि फाइटर B अपने बाएँ पैर का इस्तेमाल कर रहा है। फाइटर A को अपनी रणनीति कैसे बदलनी चाहिए?</v>
      </c>
      <c r="H368" s="5" t="str">
        <f>IFERROR(__xludf.DUMMYFUNCTION("GOOGLETRANSLATE(C368, ""en"", ""hi"")"),"A) चोट से बचने के लिए फाइटर B के दाहिने हिस्से को निशाना बनाएँ। B) लड़ाई की गति धीमी करने के लिए क्लिंच की स्थिति बनाएँ। C) फाइटर B को और कमज़ोर करने के लिए बाएँ पैर को निशाना बनाएँ। D) फाइटर B के सिर पर मुक्के मारने पर ध्यान केंद्रित करें।")</f>
        <v>A) चोट से बचने के लिए फाइटर B के दाहिने हिस्से को निशाना बनाएँ। B) लड़ाई की गति धीमी करने के लिए क्लिंच की स्थिति बनाएँ। C) फाइटर B को और कमज़ोर करने के लिए बाएँ पैर को निशाना बनाएँ। D) फाइटर B के सिर पर मुक्के मारने पर ध्यान केंद्रित करें।</v>
      </c>
      <c r="I368" s="5" t="str">
        <f>IFERROR(__xludf.DUMMYFUNCTION("GOOGLETRANSLATE(D368, ""en"", ""hi"")"),"सी) फाइटर बी को और अधिक कमजोर करने के लिए बाएं पैर को निशाना बनाएं।")</f>
        <v>सी) फाइटर बी को और अधिक कमजोर करने के लिए बाएं पैर को निशाना बनाएं।</v>
      </c>
    </row>
    <row r="369" ht="22.5" customHeight="1">
      <c r="A369" s="2">
        <v>368.0</v>
      </c>
      <c r="B369" s="3" t="s">
        <v>3793</v>
      </c>
      <c r="C369" s="3" t="s">
        <v>3794</v>
      </c>
      <c r="D369" s="3" t="s">
        <v>3795</v>
      </c>
      <c r="F369" s="5" t="str">
        <f>IFERROR(__xludf.DUMMYFUNCTION("GOOGLETRANSLATE(A369, ""en"", ""hi"")"),"368")</f>
        <v>368</v>
      </c>
      <c r="G369" s="5" t="str">
        <f>IFERROR(__xludf.DUMMYFUNCTION("GOOGLETRANSLATE(B369, ""en"", ""hi"")"),"फाइटर A अंकों में आगे चल रहा है, लेकिन फाइटर B आक्रामक हमलों से गति पकड़ रहा है। फाइटर A को क्या करना चाहिए?")</f>
        <v>फाइटर A अंकों में आगे चल रहा है, लेकिन फाइटर B आक्रामक हमलों से गति पकड़ रहा है। फाइटर A को क्या करना चाहिए?</v>
      </c>
      <c r="H369" s="5" t="str">
        <f>IFERROR(__xludf.DUMMYFUNCTION("GOOGLETRANSLATE(C369, ""en"", ""hi"")"),"A) फाइटर B की आक्रामकता का मुकाबला करें। B) बढ़त बनाए रखने के लिए बचाव पर ध्यान केंद्रित करें। C) फाइटर B को धीमा करने के लिए क्लिंच की स्थिति में आएँ। D) फाइटर B को मात देने के लिए उसकी गति बढ़ाएँ।")</f>
        <v>A) फाइटर B की आक्रामकता का मुकाबला करें। B) बढ़त बनाए रखने के लिए बचाव पर ध्यान केंद्रित करें। C) फाइटर B को धीमा करने के लिए क्लिंच की स्थिति में आएँ। D) फाइटर B को मात देने के लिए उसकी गति बढ़ाएँ।</v>
      </c>
      <c r="I369" s="5" t="str">
        <f>IFERROR(__xludf.DUMMYFUNCTION("GOOGLETRANSLATE(D369, ""en"", ""hi"")"),"बी) बढ़त बनाए रखने के लिए रक्षा पर ध्यान केंद्रित करें।")</f>
        <v>बी) बढ़त बनाए रखने के लिए रक्षा पर ध्यान केंद्रित करें।</v>
      </c>
    </row>
    <row r="370" ht="22.5" customHeight="1">
      <c r="A370" s="2">
        <v>369.0</v>
      </c>
      <c r="B370" s="3" t="s">
        <v>3796</v>
      </c>
      <c r="C370" s="3" t="s">
        <v>3797</v>
      </c>
      <c r="D370" s="3" t="s">
        <v>3798</v>
      </c>
      <c r="F370" s="5" t="str">
        <f>IFERROR(__xludf.DUMMYFUNCTION("GOOGLETRANSLATE(A370, ""en"", ""hi"")"),"369")</f>
        <v>369</v>
      </c>
      <c r="G370" s="5" t="str">
        <f>IFERROR(__xludf.DUMMYFUNCTION("GOOGLETRANSLATE(B370, ""en"", ""hi"")"),"लड़ाकू A, लड़ाकू B से काफी लंबा है। लड़ाकू B अपनी कम ऊंचाई का लाभ कैसे उठा सकता है?")</f>
        <v>लड़ाकू A, लड़ाकू B से काफी लंबा है। लड़ाकू B अपनी कम ऊंचाई का लाभ कैसे उठा सकता है?</v>
      </c>
      <c r="H370" s="5" t="str">
        <f>IFERROR(__xludf.DUMMYFUNCTION("GOOGLETRANSLATE(C370, ""en"", ""hi"")"),"A) चोट से बचने के लिए लंबी दूरी की लड़ाई में शामिल हों। B) फाइटर A को असंतुलित करने के लिए तेज़, नीचे के वार करें। C) बचाव पर ध्यान केंद्रित करें और जब संभव हो तो जवाबी हमला करें। D) फाइटर A के सिर पर शक्तिशाली मुक्कों से निशाना लगाएँ।")</f>
        <v>A) चोट से बचने के लिए लंबी दूरी की लड़ाई में शामिल हों। B) फाइटर A को असंतुलित करने के लिए तेज़, नीचे के वार करें। C) बचाव पर ध्यान केंद्रित करें और जब संभव हो तो जवाबी हमला करें। D) फाइटर A के सिर पर शक्तिशाली मुक्कों से निशाना लगाएँ।</v>
      </c>
      <c r="I370" s="5" t="str">
        <f>IFERROR(__xludf.DUMMYFUNCTION("GOOGLETRANSLATE(D370, ""en"", ""hi"")"),"बी) लड़ाकू ए को असंतुलित करने के लिए त्वरित, निम्न प्रहार का प्रयोग करें।")</f>
        <v>बी) लड़ाकू ए को असंतुलित करने के लिए त्वरित, निम्न प्रहार का प्रयोग करें।</v>
      </c>
    </row>
    <row r="371" ht="22.5" customHeight="1">
      <c r="A371" s="2">
        <v>370.0</v>
      </c>
      <c r="B371" s="3" t="s">
        <v>3799</v>
      </c>
      <c r="C371" s="3" t="s">
        <v>3800</v>
      </c>
      <c r="D371" s="3" t="s">
        <v>3728</v>
      </c>
      <c r="F371" s="5" t="str">
        <f>IFERROR(__xludf.DUMMYFUNCTION("GOOGLETRANSLATE(A371, ""en"", ""hi"")"),"370")</f>
        <v>370</v>
      </c>
      <c r="G371" s="5" t="str">
        <f>IFERROR(__xludf.DUMMYFUNCTION("GOOGLETRANSLATE(B371, ""en"", ""hi"")"),"एक मुस्तैदी युद्ध मैच में, फाइटर A कई बॉडी शॉट लगाता है, जिससे फाइटर B को अपनी सुरक्षा कम करनी पड़ती है। फाइटर A को अब क्या करना चाहिए?")</f>
        <v>एक मुस्तैदी युद्ध मैच में, फाइटर A कई बॉडी शॉट लगाता है, जिससे फाइटर B को अपनी सुरक्षा कम करनी पड़ती है। फाइटर A को अब क्या करना चाहिए?</v>
      </c>
      <c r="H371" s="5" t="str">
        <f>IFERROR(__xludf.DUMMYFUNCTION("GOOGLETRANSLATE(C371, ""en"", ""hi"")"),"A) शरीर पर निशाना लगाना जारी रखें। B) कमज़ोर सुरक्षा का फ़ायदा उठाने के लिए सिर पर निशाना लगाएँ। C) जवाबी हमलों से बचने के लिए बचाव पर ध्यान केंद्रित करें। D) बाद के राउंड के लिए ऊर्जा बचाने के लिए गति धीमी कर दें।")</f>
        <v>A) शरीर पर निशाना लगाना जारी रखें। B) कमज़ोर सुरक्षा का फ़ायदा उठाने के लिए सिर पर निशाना लगाएँ। C) जवाबी हमलों से बचने के लिए बचाव पर ध्यान केंद्रित करें। D) बाद के राउंड के लिए ऊर्जा बचाने के लिए गति धीमी कर दें।</v>
      </c>
      <c r="I371" s="5" t="str">
        <f>IFERROR(__xludf.DUMMYFUNCTION("GOOGLETRANSLATE(D371, ""en"", ""hi"")"),"बी) कम हुए गार्ड का फायदा उठाने के लिए हेडशॉट पर स्विच करें।")</f>
        <v>बी) कम हुए गार्ड का फायदा उठाने के लिए हेडशॉट पर स्विच करें।</v>
      </c>
    </row>
    <row r="372" ht="22.5" customHeight="1">
      <c r="A372" s="2">
        <v>371.0</v>
      </c>
      <c r="B372" s="3" t="s">
        <v>3801</v>
      </c>
      <c r="C372" s="3" t="s">
        <v>3802</v>
      </c>
      <c r="D372" s="3" t="s">
        <v>3731</v>
      </c>
      <c r="F372" s="5" t="str">
        <f>IFERROR(__xludf.DUMMYFUNCTION("GOOGLETRANSLATE(A372, ""en"", ""hi"")"),"371")</f>
        <v>371</v>
      </c>
      <c r="G372" s="5" t="str">
        <f>IFERROR(__xludf.DUMMYFUNCTION("GOOGLETRANSLATE(B372, ""en"", ""hi"")"),"फाइटर बी नॉकआउट की उम्मीद में बेतहाशा मुक्के मार रहा है। फाइटर ए को क्या जवाब देना चाहिए?")</f>
        <v>फाइटर बी नॉकआउट की उम्मीद में बेतहाशा मुक्के मार रहा है। फाइटर ए को क्या जवाब देना चाहिए?</v>
      </c>
      <c r="H372" s="5" t="str">
        <f>IFERROR(__xludf.DUMMYFUNCTION("GOOGLETRANSLATE(C372, ""en"", ""hi"")"),"A) फाइटर B की आक्रामकता का मुकाबला करें और ताकतवर मुक्के मारें। B) रक्षात्मक रहें और अनावश्यक आदान-प्रदान से बचें। C) मैच समाप्त करने के लिए आक्रामक तरीके से पलटवार करें। D) फाइटर B की गति को रोकने के लिए क्लिंच की स्थिति में आएँ।")</f>
        <v>A) फाइटर B की आक्रामकता का मुकाबला करें और ताकतवर मुक्के मारें। B) रक्षात्मक रहें और अनावश्यक आदान-प्रदान से बचें। C) मैच समाप्त करने के लिए आक्रामक तरीके से पलटवार करें। D) फाइटर B की गति को रोकने के लिए क्लिंच की स्थिति में आएँ।</v>
      </c>
      <c r="I372" s="5" t="str">
        <f>IFERROR(__xludf.DUMMYFUNCTION("GOOGLETRANSLATE(D372, ""en"", ""hi"")"),"बी) रक्षात्मक रहें और अनावश्यक आदान-प्रदान से बचें।")</f>
        <v>बी) रक्षात्मक रहें और अनावश्यक आदान-प्रदान से बचें।</v>
      </c>
    </row>
    <row r="373" ht="22.5" customHeight="1">
      <c r="A373" s="2">
        <v>372.0</v>
      </c>
      <c r="B373" s="3" t="s">
        <v>3803</v>
      </c>
      <c r="C373" s="3" t="s">
        <v>3804</v>
      </c>
      <c r="D373" s="3" t="s">
        <v>3805</v>
      </c>
      <c r="F373" s="5" t="str">
        <f>IFERROR(__xludf.DUMMYFUNCTION("GOOGLETRANSLATE(A373, ""en"", ""hi"")"),"372")</f>
        <v>372</v>
      </c>
      <c r="G373" s="5" t="str">
        <f>IFERROR(__xludf.DUMMYFUNCTION("GOOGLETRANSLATE(B373, ""en"", ""hi"")"),"फाइटर A ने देखा कि फाइटर B हर तेज़ कॉम्बिनेशन के बाद थक जाता है। इसका फ़ायदा उठाने के लिए फाइटर A को किस पर ध्यान केंद्रित करना चाहिए?")</f>
        <v>फाइटर A ने देखा कि फाइटर B हर तेज़ कॉम्बिनेशन के बाद थक जाता है। इसका फ़ायदा उठाने के लिए फाइटर A को किस पर ध्यान केंद्रित करना चाहिए?</v>
      </c>
      <c r="H373" s="5" t="str">
        <f>IFERROR(__xludf.DUMMYFUNCTION("GOOGLETRANSLATE(C373, ""en"", ""hi"")"),"A) फाइटर B को और थका देने के लिए लंबे समय तक मुक्का मारें। B) एक शक्तिशाली मुक्का मारने पर ध्यान केंद्रित करें। C) फाइटर B के थकने का इंतज़ार करें और फिर पलटवार करें। D) मुकाबले को धीमा करने के लिए क्लिंचिंग करें।")</f>
        <v>A) फाइटर B को और थका देने के लिए लंबे समय तक मुक्का मारें। B) एक शक्तिशाली मुक्का मारने पर ध्यान केंद्रित करें। C) फाइटर B के थकने का इंतज़ार करें और फिर पलटवार करें। D) मुकाबले को धीमा करने के लिए क्लिंचिंग करें।</v>
      </c>
      <c r="I373" s="5" t="str">
        <f>IFERROR(__xludf.DUMMYFUNCTION("GOOGLETRANSLATE(D373, ""en"", ""hi"")"),"ए) लड़ाकू बी को और अधिक थका देने के लिए लंबे समय तक आदान-प्रदान में संलग्न रहें।")</f>
        <v>ए) लड़ाकू बी को और अधिक थका देने के लिए लंबे समय तक आदान-प्रदान में संलग्न रहें।</v>
      </c>
    </row>
    <row r="374" ht="22.5" customHeight="1">
      <c r="A374" s="2">
        <v>373.0</v>
      </c>
      <c r="B374" s="3" t="s">
        <v>3806</v>
      </c>
      <c r="C374" s="3" t="s">
        <v>3807</v>
      </c>
      <c r="D374" s="3" t="s">
        <v>3808</v>
      </c>
      <c r="F374" s="5" t="str">
        <f>IFERROR(__xludf.DUMMYFUNCTION("GOOGLETRANSLATE(A374, ""en"", ""hi"")"),"373")</f>
        <v>373</v>
      </c>
      <c r="G374" s="5" t="str">
        <f>IFERROR(__xludf.DUMMYFUNCTION("GOOGLETRANSLATE(B374, ""en"", ""hi"")"),"फाइटर A के मुक्के फाइटर B के डिफेंस पर ज़्यादा असर नहीं डाल रहे हैं। फाइटर A को कैसे तालमेल बिठाना चाहिए?")</f>
        <v>फाइटर A के मुक्के फाइटर B के डिफेंस पर ज़्यादा असर नहीं डाल रहे हैं। फाइटर A को कैसे तालमेल बिठाना चाहिए?</v>
      </c>
      <c r="H374" s="5" t="str">
        <f>IFERROR(__xludf.DUMMYFUNCTION("GOOGLETRANSLATE(C374, ""en"", ""hi"")"),"A) उसके मुक्कों की ताकत बढ़ाएँ। B) फाइटर B के डिफेंस को भेदने के लिए कॉम्बिनेशन का इस्तेमाल करें। C) फाइटर B को कमज़ोर करने के लिए बॉडी शॉट्स पर ध्यान केंद्रित करें। D) फाइटर B के डिफेंस में किसी मौके का इंतज़ार करें।")</f>
        <v>A) उसके मुक्कों की ताकत बढ़ाएँ। B) फाइटर B के डिफेंस को भेदने के लिए कॉम्बिनेशन का इस्तेमाल करें। C) फाइटर B को कमज़ोर करने के लिए बॉडी शॉट्स पर ध्यान केंद्रित करें। D) फाइटर B के डिफेंस में किसी मौके का इंतज़ार करें।</v>
      </c>
      <c r="I374" s="5" t="str">
        <f>IFERROR(__xludf.DUMMYFUNCTION("GOOGLETRANSLATE(D374, ""en"", ""hi"")"),"बी) फाइटर बी की सुरक्षा को भेदने के लिए संयोजनों का उपयोग करें।")</f>
        <v>बी) फाइटर बी की सुरक्षा को भेदने के लिए संयोजनों का उपयोग करें।</v>
      </c>
    </row>
    <row r="375" ht="22.5" customHeight="1">
      <c r="A375" s="2">
        <v>374.0</v>
      </c>
      <c r="B375" s="3" t="s">
        <v>3809</v>
      </c>
      <c r="C375" s="3" t="s">
        <v>3810</v>
      </c>
      <c r="D375" s="3" t="s">
        <v>3811</v>
      </c>
      <c r="F375" s="5" t="str">
        <f>IFERROR(__xludf.DUMMYFUNCTION("GOOGLETRANSLATE(A375, ""en"", ""hi"")"),"374")</f>
        <v>374</v>
      </c>
      <c r="G375" s="5" t="str">
        <f>IFERROR(__xludf.DUMMYFUNCTION("GOOGLETRANSLATE(B375, ""en"", ""hi"")"),"फाइटर बी, फाइटर ए के ज़्यादातर हमलों से बच रहा है, लेकिन जवाबी हमलों में कमज़ोर है। फाइटर ए को जीतने के लिए क्या करना चाहिए?")</f>
        <v>फाइटर बी, फाइटर ए के ज़्यादातर हमलों से बच रहा है, लेकिन जवाबी हमलों में कमज़ोर है। फाइटर ए को जीतने के लिए क्या करना चाहिए?</v>
      </c>
      <c r="H375" s="5" t="str">
        <f>IFERROR(__xludf.DUMMYFUNCTION("GOOGLETRANSLATE(C375, ""en"", ""hi"")"),"A) मौके बनाने के लिए ज़्यादा फ़िंट फेंकें। B) चोट से बचने के लिए बचाव पर ध्यान केंद्रित करें। C) मैच की गति धीमी करें। D) फाइटर B को नियंत्रित करने के लिए क्लिंच की स्थिति में आएँ।")</f>
        <v>A) मौके बनाने के लिए ज़्यादा फ़िंट फेंकें। B) चोट से बचने के लिए बचाव पर ध्यान केंद्रित करें। C) मैच की गति धीमी करें। D) फाइटर B को नियंत्रित करने के लिए क्लिंच की स्थिति में आएँ।</v>
      </c>
      <c r="I375" s="5" t="str">
        <f>IFERROR(__xludf.DUMMYFUNCTION("GOOGLETRANSLATE(D375, ""en"", ""hi"")"),"ए) मौके बनाने के लिए अधिक छल-कपट करना।")</f>
        <v>ए) मौके बनाने के लिए अधिक छल-कपट करना।</v>
      </c>
    </row>
    <row r="376" ht="22.5" customHeight="1">
      <c r="A376" s="2">
        <v>375.0</v>
      </c>
      <c r="B376" s="3" t="s">
        <v>3812</v>
      </c>
      <c r="C376" s="3" t="s">
        <v>3813</v>
      </c>
      <c r="D376" s="3" t="s">
        <v>3814</v>
      </c>
      <c r="F376" s="5" t="str">
        <f>IFERROR(__xludf.DUMMYFUNCTION("GOOGLETRANSLATE(A376, ""en"", ""hi"")"),"375")</f>
        <v>375</v>
      </c>
      <c r="G376" s="5" t="str">
        <f>IFERROR(__xludf.DUMMYFUNCTION("GOOGLETRANSLATE(B376, ""en"", ""hi"")"),"फाइटर A का दमखम ज़्यादा है, लेकिन फाइटर B ज़्यादा ज़ोरदार मुक्के मार रहा है। फाइटर A को किस चीज़ को प्राथमिकता देनी चाहिए?")</f>
        <v>फाइटर A का दमखम ज़्यादा है, लेकिन फाइटर B ज़्यादा ज़ोरदार मुक्के मार रहा है। फाइटर A को किस चीज़ को प्राथमिकता देनी चाहिए?</v>
      </c>
      <c r="H376" s="5" t="str">
        <f>IFERROR(__xludf.DUMMYFUNCTION("GOOGLETRANSLATE(C376, ""en"", ""hi"")"),"A) फाइटर B को थका देने के लिए लंबे समय तक आदान-प्रदान करें। B) मौके का इंतज़ार करते हुए बचाव करें और नुकसान से बचें। C) आक्रामक तरीके से जवाबी हमला करने पर ध्यान केंद्रित करें। D) लड़ाई को धीमा करने के लिए क्लिंच का इस्तेमाल करें।")</f>
        <v>A) फाइटर B को थका देने के लिए लंबे समय तक आदान-प्रदान करें। B) मौके का इंतज़ार करते हुए बचाव करें और नुकसान से बचें। C) आक्रामक तरीके से जवाबी हमला करने पर ध्यान केंद्रित करें। D) लड़ाई को धीमा करने के लिए क्लिंच का इस्तेमाल करें।</v>
      </c>
      <c r="I376" s="5" t="str">
        <f>IFERROR(__xludf.DUMMYFUNCTION("GOOGLETRANSLATE(D376, ""en"", ""hi"")"),"ए) लड़ाकू बी को थका देने के लिए लंबे समय तक आदान-प्रदान में संलग्न रहें।")</f>
        <v>ए) लड़ाकू बी को थका देने के लिए लंबे समय तक आदान-प्रदान में संलग्न रहें।</v>
      </c>
    </row>
    <row r="377" ht="22.5" customHeight="1">
      <c r="A377" s="2">
        <v>376.0</v>
      </c>
      <c r="B377" s="3" t="s">
        <v>3815</v>
      </c>
      <c r="C377" s="3" t="s">
        <v>3816</v>
      </c>
      <c r="D377" s="3" t="s">
        <v>3817</v>
      </c>
      <c r="F377" s="5" t="str">
        <f>IFERROR(__xludf.DUMMYFUNCTION("GOOGLETRANSLATE(A377, ""en"", ""hi"")"),"376")</f>
        <v>376</v>
      </c>
      <c r="G377" s="5" t="str">
        <f>IFERROR(__xludf.DUMMYFUNCTION("GOOGLETRANSLATE(B377, ""en"", ""hi"")"),"अंतिम राउंड में, फाइटर A का प्रतिद्वंदी थका हुआ ज़रूर दिख रहा है, लेकिन फिर भी उसके शक्तिशाली प्रहार खतरनाक हैं। फाइटर A का सबसे अच्छा तरीका क्या है?")</f>
        <v>अंतिम राउंड में, फाइटर A का प्रतिद्वंदी थका हुआ ज़रूर दिख रहा है, लेकिन फिर भी उसके शक्तिशाली प्रहार खतरनाक हैं। फाइटर A का सबसे अच्छा तरीका क्या है?</v>
      </c>
      <c r="H377" s="5" t="str">
        <f>IFERROR(__xludf.DUMMYFUNCTION("GOOGLETRANSLATE(C377, ""en"", ""hi"")"),"A) लड़ाई खत्म करने के लिए पूरी ताकत से हमला करें। B) रक्षात्मक रहें और सही मौके का इंतज़ार करें। C) खतरे को कम करने के लिए क्लिंच की स्थिति में आएँ। D) ज़ोरदार मुक्कों से प्रतिद्वंद्वी की ताकत का मुकाबला करें।")</f>
        <v>A) लड़ाई खत्म करने के लिए पूरी ताकत से हमला करें। B) रक्षात्मक रहें और सही मौके का इंतज़ार करें। C) खतरे को कम करने के लिए क्लिंच की स्थिति में आएँ। D) ज़ोरदार मुक्कों से प्रतिद्वंद्वी की ताकत का मुकाबला करें।</v>
      </c>
      <c r="I377" s="5" t="str">
        <f>IFERROR(__xludf.DUMMYFUNCTION("GOOGLETRANSLATE(D377, ""en"", ""hi"")"),"बी) रक्षात्मक रहें और सही अवसर की प्रतीक्षा करें।")</f>
        <v>बी) रक्षात्मक रहें और सही अवसर की प्रतीक्षा करें।</v>
      </c>
    </row>
    <row r="378" ht="22.5" customHeight="1">
      <c r="A378" s="2">
        <v>377.0</v>
      </c>
      <c r="B378" s="3" t="s">
        <v>3818</v>
      </c>
      <c r="C378" s="3" t="s">
        <v>3819</v>
      </c>
      <c r="D378" s="3" t="s">
        <v>3820</v>
      </c>
      <c r="F378" s="5" t="str">
        <f>IFERROR(__xludf.DUMMYFUNCTION("GOOGLETRANSLATE(A378, ""en"", ""hi"")"),"377")</f>
        <v>377</v>
      </c>
      <c r="G378" s="5" t="str">
        <f>IFERROR(__xludf.DUMMYFUNCTION("GOOGLETRANSLATE(B378, ""en"", ""hi"")"),"पूरे मैच के दौरान फाइटर बी, फाइटर ए के सिर पर ध्यान केंद्रित कर रहा है। फाइटर ए को इसका मुकाबला करने के लिए क्या करना चाहिए?")</f>
        <v>पूरे मैच के दौरान फाइटर बी, फाइटर ए के सिर पर ध्यान केंद्रित कर रहा है। फाइटर ए को इसका मुकाबला करने के लिए क्या करना चाहिए?</v>
      </c>
      <c r="H378" s="5" t="str">
        <f>IFERROR(__xludf.DUMMYFUNCTION("GOOGLETRANSLATE(C378, ""en"", ""hi"")"),"A) उसके सिर की ज़्यादा सुरक्षा करें और शरीर पर पलटवार करें। B) चकमा देने पर ध्यान दें और उलझने से बचें। C) फाइटर B के हमलों को बेअसर करने के लिए क्लिंच की स्थिति में आएँ। D) फाइटर B से मुकाबला करने के लिए सीधे मुक्कों का आदान-प्रदान करें।")</f>
        <v>A) उसके सिर की ज़्यादा सुरक्षा करें और शरीर पर पलटवार करें। B) चकमा देने पर ध्यान दें और उलझने से बचें। C) फाइटर B के हमलों को बेअसर करने के लिए क्लिंच की स्थिति में आएँ। D) फाइटर B से मुकाबला करने के लिए सीधे मुक्कों का आदान-प्रदान करें।</v>
      </c>
      <c r="I378" s="5" t="str">
        <f>IFERROR(__xludf.DUMMYFUNCTION("GOOGLETRANSLATE(D378, ""en"", ""hi"")"),"A) उसके सिर की अधिक रक्षा करें और शरीर पर जवाबी हमला करें।")</f>
        <v>A) उसके सिर की अधिक रक्षा करें और शरीर पर जवाबी हमला करें।</v>
      </c>
    </row>
    <row r="379" ht="22.5" customHeight="1">
      <c r="A379" s="2">
        <v>378.0</v>
      </c>
      <c r="B379" s="3" t="s">
        <v>3821</v>
      </c>
      <c r="C379" s="3" t="s">
        <v>3822</v>
      </c>
      <c r="D379" s="3" t="s">
        <v>3823</v>
      </c>
      <c r="F379" s="5" t="str">
        <f>IFERROR(__xludf.DUMMYFUNCTION("GOOGLETRANSLATE(A379, ""en"", ""hi"")"),"378")</f>
        <v>378</v>
      </c>
      <c r="G379" s="5" t="str">
        <f>IFERROR(__xludf.DUMMYFUNCTION("GOOGLETRANSLATE(B379, ""en"", ""hi"")"),"फाइटर A के हाथ घायल हैं, जिससे उसकी मुक्का मारने की शक्ति कम हो गई है। फिर भी फाइटर A मैच कैसे जीत सकता है?")</f>
        <v>फाइटर A के हाथ घायल हैं, जिससे उसकी मुक्का मारने की शक्ति कम हो गई है। फिर भी फाइटर A मैच कैसे जीत सकता है?</v>
      </c>
      <c r="H379" s="5" t="str">
        <f>IFERROR(__xludf.DUMMYFUNCTION("GOOGLETRANSLATE(C379, ""en"", ""hi"")"),"A) फाइटर B को जकड़ने और थकाने पर ध्यान केंद्रित करें। B) फाइटर B की रेंज को बेअसर करने के लिए करीबी मुकाबले में शामिल हों। C) फाइटर B को मात देने के लिए अपने फुटवर्क और गति का उपयोग करें। D) मुक्के मारना जारी रखें और नॉकआउट की उम्मीद करें।")</f>
        <v>A) फाइटर B को जकड़ने और थकाने पर ध्यान केंद्रित करें। B) फाइटर B की रेंज को बेअसर करने के लिए करीबी मुकाबले में शामिल हों। C) फाइटर B को मात देने के लिए अपने फुटवर्क और गति का उपयोग करें। D) मुक्के मारना जारी रखें और नॉकआउट की उम्मीद करें।</v>
      </c>
      <c r="I379" s="5" t="str">
        <f>IFERROR(__xludf.DUMMYFUNCTION("GOOGLETRANSLATE(D379, ""en"", ""hi"")"),"सी) फाइटर बी को मात देने के लिए अपने फुटवर्क और गति का उपयोग करें।")</f>
        <v>सी) फाइटर बी को मात देने के लिए अपने फुटवर्क और गति का उपयोग करें।</v>
      </c>
    </row>
    <row r="380" ht="22.5" customHeight="1">
      <c r="A380" s="2">
        <v>379.0</v>
      </c>
      <c r="B380" s="3" t="s">
        <v>3824</v>
      </c>
      <c r="C380" s="3" t="s">
        <v>3825</v>
      </c>
      <c r="D380" s="3" t="s">
        <v>3826</v>
      </c>
      <c r="F380" s="5" t="str">
        <f>IFERROR(__xludf.DUMMYFUNCTION("GOOGLETRANSLATE(A380, ""en"", ""hi"")"),"379")</f>
        <v>379</v>
      </c>
      <c r="G380" s="5" t="str">
        <f>IFERROR(__xludf.DUMMYFUNCTION("GOOGLETRANSLATE(B380, ""en"", ""hi"")"),"फाइटर A रक्षात्मक रुख अपना रहा है, लेकिन फाइटर B उस पर हावी होने लगा है। फाइटर A को क्या करना चाहिए?")</f>
        <v>फाइटर A रक्षात्मक रुख अपना रहा है, लेकिन फाइटर B उस पर हावी होने लगा है। फाइटर A को क्या करना चाहिए?</v>
      </c>
      <c r="H380" s="5" t="str">
        <f>IFERROR(__xludf.DUMMYFUNCTION("GOOGLETRANSLATE(C380, ""en"", ""hi"")"),"A) ज़्यादा आक्रामक रुख अपनाएँ। B) रक्षात्मक रुख अपनाएँ और उम्मीद करें कि फाइटर B थक जाए। C) फाइटर B को धीमा करने के लिए क्लिंच की स्थिति में आएँ। D) मौके का इंतज़ार करें और पलटवार करें।")</f>
        <v>A) ज़्यादा आक्रामक रुख अपनाएँ। B) रक्षात्मक रुख अपनाएँ और उम्मीद करें कि फाइटर B थक जाए। C) फाइटर B को धीमा करने के लिए क्लिंच की स्थिति में आएँ। D) मौके का इंतज़ार करें और पलटवार करें।</v>
      </c>
      <c r="I380" s="5" t="str">
        <f>IFERROR(__xludf.DUMMYFUNCTION("GOOGLETRANSLATE(D380, ""en"", ""hi"")"),"क) अधिक आक्रामक दृष्टिकोण अपनाएं।")</f>
        <v>क) अधिक आक्रामक दृष्टिकोण अपनाएं।</v>
      </c>
    </row>
    <row r="381" ht="22.5" customHeight="1">
      <c r="A381" s="2">
        <v>380.0</v>
      </c>
      <c r="B381" s="3" t="s">
        <v>3827</v>
      </c>
      <c r="C381" s="3" t="s">
        <v>3828</v>
      </c>
      <c r="D381" s="3" t="s">
        <v>3829</v>
      </c>
      <c r="F381" s="5" t="str">
        <f>IFERROR(__xludf.DUMMYFUNCTION("GOOGLETRANSLATE(A381, ""en"", ""hi"")"),"380")</f>
        <v>380</v>
      </c>
      <c r="G381" s="5" t="str">
        <f>IFERROR(__xludf.DUMMYFUNCTION("GOOGLETRANSLATE(B381, ""en"", ""hi"")"),"फाइटर A अंकों के मामले में पीछे है और मैच जीतने के लिए उसे एक मज़बूत अंत की ज़रूरत है। फाइटर A के लिए सबसे अच्छी रणनीति क्या है?")</f>
        <v>फाइटर A अंकों के मामले में पीछे है और मैच जीतने के लिए उसे एक मज़बूत अंत की ज़रूरत है। फाइटर A के लिए सबसे अच्छी रणनीति क्या है?</v>
      </c>
      <c r="H381" s="5" t="str">
        <f>IFERROR(__xludf.DUMMYFUNCTION("GOOGLETRANSLATE(C381, ""en"", ""hi"")"),"A) सुरक्षित खेलें और बचाव करें। B) ज़्यादा जोखिम उठाएँ और आक्रामक संयोजन बनाएँ। C) ऊर्जा बचाने के लिए क्लिंच की स्थिति में रहें। D) पलटवार पर ध्यान केंद्रित करें।")</f>
        <v>A) सुरक्षित खेलें और बचाव करें। B) ज़्यादा जोखिम उठाएँ और आक्रामक संयोजन बनाएँ। C) ऊर्जा बचाने के लिए क्लिंच की स्थिति में रहें। D) पलटवार पर ध्यान केंद्रित करें।</v>
      </c>
      <c r="I381" s="5" t="str">
        <f>IFERROR(__xludf.DUMMYFUNCTION("GOOGLETRANSLATE(D381, ""en"", ""hi"")"),"बी) अधिक जोखिम उठाएं और आक्रामक संयोजन अपनाएं।")</f>
        <v>बी) अधिक जोखिम उठाएं और आक्रामक संयोजन अपनाएं।</v>
      </c>
    </row>
    <row r="382" ht="22.5" customHeight="1">
      <c r="A382" s="2">
        <v>381.0</v>
      </c>
      <c r="B382" s="3" t="s">
        <v>3830</v>
      </c>
      <c r="C382" s="3" t="s">
        <v>3831</v>
      </c>
      <c r="D382" s="3" t="s">
        <v>3832</v>
      </c>
      <c r="F382" s="5" t="str">
        <f>IFERROR(__xludf.DUMMYFUNCTION("GOOGLETRANSLATE(A382, ""en"", ""hi"")"),"381")</f>
        <v>381</v>
      </c>
      <c r="G382" s="5" t="str">
        <f>IFERROR(__xludf.DUMMYFUNCTION("GOOGLETRANSLATE(B382, ""en"", ""hi"")"),"फाइटर A तेज़ है, लेकिन फाइटर B की टाइमिंग बेहतर है। फाइटर A को काउंटर से बचने के लिए कैसे एडजस्ट करना चाहिए?")</f>
        <v>फाइटर A तेज़ है, लेकिन फाइटर B की टाइमिंग बेहतर है। फाइटर A को काउंटर से बचने के लिए कैसे एडजस्ट करना चाहिए?</v>
      </c>
      <c r="H382" s="5" t="str">
        <f>IFERROR(__xludf.DUMMYFUNCTION("GOOGLETRANSLATE(C382, ""en"", ""hi"")"),"A) उसके मुक्कों की गति बढ़ाएँ। B) फ़ाइटर B की टाइमिंग बिगाड़ने के लिए फ़िंट का इस्तेमाल करें। C) रक्षात्मक रहें और फ़ाइटर B के थकने का इंतज़ार करें। D) शक्तिशाली प्रहार करने पर ध्यान केंद्रित करें।")</f>
        <v>A) उसके मुक्कों की गति बढ़ाएँ। B) फ़ाइटर B की टाइमिंग बिगाड़ने के लिए फ़िंट का इस्तेमाल करें। C) रक्षात्मक रहें और फ़ाइटर B के थकने का इंतज़ार करें। D) शक्तिशाली प्रहार करने पर ध्यान केंद्रित करें।</v>
      </c>
      <c r="I382" s="5" t="str">
        <f>IFERROR(__xludf.DUMMYFUNCTION("GOOGLETRANSLATE(D382, ""en"", ""hi"")"),"बी) फाइटर बी की टाइमिंग को बिगाड़ने के लिए छल का प्रयोग करें।")</f>
        <v>बी) फाइटर बी की टाइमिंग को बिगाड़ने के लिए छल का प्रयोग करें।</v>
      </c>
    </row>
    <row r="383" ht="22.5" customHeight="1">
      <c r="A383" s="2">
        <v>382.0</v>
      </c>
      <c r="B383" s="3" t="s">
        <v>3833</v>
      </c>
      <c r="C383" s="3" t="s">
        <v>3834</v>
      </c>
      <c r="D383" s="3" t="s">
        <v>3835</v>
      </c>
      <c r="F383" s="5" t="str">
        <f>IFERROR(__xludf.DUMMYFUNCTION("GOOGLETRANSLATE(A383, ""en"", ""hi"")"),"382")</f>
        <v>382</v>
      </c>
      <c r="G383" s="5" t="str">
        <f>IFERROR(__xludf.DUMMYFUNCTION("GOOGLETRANSLATE(B383, ""en"", ""hi"")"),"फाइटर A, फाइटर B के शक्तिशाली मुक्कों से बचने की कोशिश कर रहा है। फाइटर A को किस पर ध्यान केंद्रित करना चाहिए?")</f>
        <v>फाइटर A, फाइटर B के शक्तिशाली मुक्कों से बचने की कोशिश कर रहा है। फाइटर A को किस पर ध्यान केंद्रित करना चाहिए?</v>
      </c>
      <c r="H383" s="5" t="str">
        <f>IFERROR(__xludf.DUMMYFUNCTION("GOOGLETRANSLATE(C383, ""en"", ""hi"")"),"A) सीमा से बाहर रहें और अपने पैरों पर भरोसा करें। B) मुक्कों को रोकें और तुरंत जवाबी हमला करें। C) फाइटर B की ताकत को बेअसर करने के लिए क्लिंच की स्थिति में आएँ। D) फाइटर B को चौंका देने के लिए आक्रामकता बढ़ाएँ।")</f>
        <v>A) सीमा से बाहर रहें और अपने पैरों पर भरोसा करें। B) मुक्कों को रोकें और तुरंत जवाबी हमला करें। C) फाइटर B की ताकत को बेअसर करने के लिए क्लिंच की स्थिति में आएँ। D) फाइटर B को चौंका देने के लिए आक्रामकता बढ़ाएँ।</v>
      </c>
      <c r="I383" s="5" t="str">
        <f>IFERROR(__xludf.DUMMYFUNCTION("GOOGLETRANSLATE(D383, ""en"", ""hi"")"),"ए) सीमा से बाहर रहें और फुटवर्क पर भरोसा करें।")</f>
        <v>ए) सीमा से बाहर रहें और फुटवर्क पर भरोसा करें।</v>
      </c>
    </row>
    <row r="384" ht="22.5" customHeight="1">
      <c r="A384" s="2">
        <v>383.0</v>
      </c>
      <c r="B384" s="3" t="s">
        <v>3836</v>
      </c>
      <c r="C384" s="3" t="s">
        <v>3837</v>
      </c>
      <c r="D384" s="3" t="s">
        <v>3838</v>
      </c>
      <c r="F384" s="5" t="str">
        <f>IFERROR(__xludf.DUMMYFUNCTION("GOOGLETRANSLATE(A384, ""en"", ""hi"")"),"383")</f>
        <v>383</v>
      </c>
      <c r="G384" s="5" t="str">
        <f>IFERROR(__xludf.DUMMYFUNCTION("GOOGLETRANSLATE(B384, ""en"", ""hi"")"),"फाइटर A, फाइटर B की रक्षात्मक शैली से निराश हो रहा है। फाइटर A को क्या करना चाहिए?")</f>
        <v>फाइटर A, फाइटर B की रक्षात्मक शैली से निराश हो रहा है। फाइटर A को क्या करना चाहिए?</v>
      </c>
      <c r="H384" s="5" t="str">
        <f>IFERROR(__xludf.DUMMYFUNCTION("GOOGLETRANSLATE(C384, ""en"", ""hi"")"),"A) फाइटर B पर आक्रामकता और दबाव बढ़ाएँ। B) धैर्य रखें और मौके का इंतज़ार करें। C) फाइटर B को कमज़ोर करने के लिए बॉडी शॉट्स पर ध्यान केंद्रित करें। D) फाइटर B की गति को रोकने के लिए क्लिंच की स्थिति में आएँ।")</f>
        <v>A) फाइटर B पर आक्रामकता और दबाव बढ़ाएँ। B) धैर्य रखें और मौके का इंतज़ार करें। C) फाइटर B को कमज़ोर करने के लिए बॉडी शॉट्स पर ध्यान केंद्रित करें। D) फाइटर B की गति को रोकने के लिए क्लिंच की स्थिति में आएँ।</v>
      </c>
      <c r="I384" s="5" t="str">
        <f>IFERROR(__xludf.DUMMYFUNCTION("GOOGLETRANSLATE(D384, ""en"", ""hi"")"),"सी) फाइटर बी को कमजोर करने के लिए बॉडी शॉट्स पर ध्यान केंद्रित करें।")</f>
        <v>सी) फाइटर बी को कमजोर करने के लिए बॉडी शॉट्स पर ध्यान केंद्रित करें।</v>
      </c>
    </row>
    <row r="385" ht="22.5" customHeight="1">
      <c r="A385" s="2">
        <v>384.0</v>
      </c>
      <c r="B385" s="3" t="s">
        <v>3839</v>
      </c>
      <c r="C385" s="3" t="s">
        <v>3840</v>
      </c>
      <c r="D385" s="3" t="s">
        <v>3841</v>
      </c>
      <c r="F385" s="5" t="str">
        <f>IFERROR(__xludf.DUMMYFUNCTION("GOOGLETRANSLATE(A385, ""en"", ""hi"")"),"384")</f>
        <v>384</v>
      </c>
      <c r="G385" s="5" t="str">
        <f>IFERROR(__xludf.DUMMYFUNCTION("GOOGLETRANSLATE(B385, ""en"", ""hi"")"),"फाइटर A के सबसे अच्छे मुक्कों को फाइटर B रोक रहा है, लेकिन फाइटर B थका हुआ लग रहा है। फाइटर A को क्या करना चाहिए?")</f>
        <v>फाइटर A के सबसे अच्छे मुक्कों को फाइटर B रोक रहा है, लेकिन फाइटर B थका हुआ लग रहा है। फाइटर A को क्या करना चाहिए?</v>
      </c>
      <c r="H385" s="5" t="str">
        <f>IFERROR(__xludf.DUMMYFUNCTION("GOOGLETRANSLATE(C385, ""en"", ""hi"")"),"A) फाइटर B के डिफेंस को भेदने के लिए ज़्यादा मुक्के मारें। B) गति धीमी करें और ऊर्जा बचाएँ। C) फाइटर B की गलती का इंतज़ार करें। D) गति धीमी करने के लिए क्लिंच की स्थिति में आएँ।")</f>
        <v>A) फाइटर B के डिफेंस को भेदने के लिए ज़्यादा मुक्के मारें। B) गति धीमी करें और ऊर्जा बचाएँ। C) फाइटर B की गलती का इंतज़ार करें। D) गति धीमी करने के लिए क्लिंच की स्थिति में आएँ।</v>
      </c>
      <c r="I385" s="5" t="str">
        <f>IFERROR(__xludf.DUMMYFUNCTION("GOOGLETRANSLATE(D385, ""en"", ""hi"")"),"ए) फाइटर बी की रक्षा को भेदने के लिए अधिक मुक्के मारें।")</f>
        <v>ए) फाइटर बी की रक्षा को भेदने के लिए अधिक मुक्के मारें।</v>
      </c>
    </row>
    <row r="386" ht="22.5" customHeight="1">
      <c r="A386" s="2">
        <v>385.0</v>
      </c>
      <c r="B386" s="3" t="s">
        <v>3842</v>
      </c>
      <c r="C386" s="3" t="s">
        <v>3843</v>
      </c>
      <c r="D386" s="3" t="s">
        <v>3844</v>
      </c>
      <c r="F386" s="5" t="str">
        <f>IFERROR(__xludf.DUMMYFUNCTION("GOOGLETRANSLATE(A386, ""en"", ""hi"")"),"385")</f>
        <v>385</v>
      </c>
      <c r="G386" s="5" t="str">
        <f>IFERROR(__xludf.DUMMYFUNCTION("GOOGLETRANSLATE(B386, ""en"", ""hi"")"),"फाइटर A का फुटवर्क तो अच्छा है, लेकिन वह पर्याप्त पंच नहीं लगा पा रहा है। फाइटर A को अपनी रणनीति में कैसे बदलाव करना चाहिए?")</f>
        <v>फाइटर A का फुटवर्क तो अच्छा है, लेकिन वह पर्याप्त पंच नहीं लगा पा रहा है। फाइटर A को अपनी रणनीति में कैसे बदलाव करना चाहिए?</v>
      </c>
      <c r="H386" s="5" t="str">
        <f>IFERROR(__xludf.DUMMYFUNCTION("GOOGLETRANSLATE(C386, ""en"", ""hi"")"),"A) बचाव पर ज़्यादा ध्यान दें। B) मुक्कों की संख्या बढ़ाएँ। C) दूरी बनाए रखें और टकराव से बचें। D) नज़दीकी मुक़ाबला करने के लिए क्लिंच की स्थिति में आएँ।")</f>
        <v>A) बचाव पर ज़्यादा ध्यान दें। B) मुक्कों की संख्या बढ़ाएँ। C) दूरी बनाए रखें और टकराव से बचें। D) नज़दीकी मुक़ाबला करने के लिए क्लिंच की स्थिति में आएँ।</v>
      </c>
      <c r="I386" s="5" t="str">
        <f>IFERROR(__xludf.DUMMYFUNCTION("GOOGLETRANSLATE(D386, ""en"", ""hi"")"),"बी) फेंके गए मुक्कों की मात्रा बढ़ाएँ।")</f>
        <v>बी) फेंके गए मुक्कों की मात्रा बढ़ाएँ।</v>
      </c>
    </row>
    <row r="387" ht="22.5" customHeight="1">
      <c r="A387" s="2">
        <v>386.0</v>
      </c>
      <c r="B387" s="3" t="s">
        <v>3845</v>
      </c>
      <c r="C387" s="3" t="s">
        <v>3846</v>
      </c>
      <c r="D387" s="3" t="s">
        <v>3847</v>
      </c>
      <c r="F387" s="5" t="str">
        <f>IFERROR(__xludf.DUMMYFUNCTION("GOOGLETRANSLATE(A387, ""en"", ""hi"")"),"386")</f>
        <v>386</v>
      </c>
      <c r="G387" s="5" t="str">
        <f>IFERROR(__xludf.DUMMYFUNCTION("GOOGLETRANSLATE(B387, ""en"", ""hi"")"),"फाइटर A, फाइटर B से कहीं ज़्यादा तेज़ है, जो अपनी ताकत पर निर्भर करता है। जीतने के लिए फाइटर A की रणनीति क्या होनी चाहिए?")</f>
        <v>फाइटर A, फाइटर B से कहीं ज़्यादा तेज़ है, जो अपनी ताकत पर निर्भर करता है। जीतने के लिए फाइटर A की रणनीति क्या होनी चाहिए?</v>
      </c>
      <c r="H387" s="5" t="str">
        <f>IFERROR(__xludf.DUMMYFUNCTION("GOOGLETRANSLATE(C387, ""en"", ""hi"")"),"A) नज़दीकी सीमा की लड़ाई में शामिल हों। B) लड़ाकू B को मात देने के लिए पैरों की गति और गति का उपयोग करें। C) रक्षा और जवाबी हमलों पर ध्यान केंद्रित करें। D) लड़ाकू B की शक्ति का मुकाबला भारी हमलों से करें।")</f>
        <v>A) नज़दीकी सीमा की लड़ाई में शामिल हों। B) लड़ाकू B को मात देने के लिए पैरों की गति और गति का उपयोग करें। C) रक्षा और जवाबी हमलों पर ध्यान केंद्रित करें। D) लड़ाकू B की शक्ति का मुकाबला भारी हमलों से करें।</v>
      </c>
      <c r="I387" s="5" t="str">
        <f>IFERROR(__xludf.DUMMYFUNCTION("GOOGLETRANSLATE(D387, ""en"", ""hi"")"),"बी) फाइटर बी को मात देने के लिए फुटवर्क और गति का उपयोग करें।")</f>
        <v>बी) फाइटर बी को मात देने के लिए फुटवर्क और गति का उपयोग करें।</v>
      </c>
    </row>
    <row r="388" ht="22.5" customHeight="1">
      <c r="A388" s="2">
        <v>387.0</v>
      </c>
      <c r="B388" s="3" t="s">
        <v>3848</v>
      </c>
      <c r="C388" s="3" t="s">
        <v>3849</v>
      </c>
      <c r="D388" s="3" t="s">
        <v>3850</v>
      </c>
      <c r="F388" s="5" t="str">
        <f>IFERROR(__xludf.DUMMYFUNCTION("GOOGLETRANSLATE(A388, ""en"", ""hi"")"),"387")</f>
        <v>387</v>
      </c>
      <c r="G388" s="5" t="str">
        <f>IFERROR(__xludf.DUMMYFUNCTION("GOOGLETRANSLATE(B388, ""en"", ""hi"")"),"फाइटर बी हर ज़ोरदार मुक्के के बाद अपनी तुरंत रिकवरी के लिए जाना जाता है। फाइटर ए को अपनी रणनीति कैसे बदलनी चाहिए?")</f>
        <v>फाइटर बी हर ज़ोरदार मुक्के के बाद अपनी तुरंत रिकवरी के लिए जाना जाता है। फाइटर ए को अपनी रणनीति कैसे बदलनी चाहिए?</v>
      </c>
      <c r="H388" s="5" t="str">
        <f>IFERROR(__xludf.DUMMYFUNCTION("GOOGLETRANSLATE(C388, ""en"", ""hi"")"),"A) उसे थका देने के लिए लगातार हमले पर ध्यान केंद्रित करें। B) हमला करने से पहले फाइटर B के थकने का इंतज़ार करें। C) छोटे-छोटे ज़ोरदार वार करें। D) उसके मुक्कों से बचाव करें और जवाबी हमले की कोशिश करें।")</f>
        <v>A) उसे थका देने के लिए लगातार हमले पर ध्यान केंद्रित करें। B) हमला करने से पहले फाइटर B के थकने का इंतज़ार करें। C) छोटे-छोटे ज़ोरदार वार करें। D) उसके मुक्कों से बचाव करें और जवाबी हमले की कोशिश करें।</v>
      </c>
      <c r="I388" s="5" t="str">
        <f>IFERROR(__xludf.DUMMYFUNCTION("GOOGLETRANSLATE(D388, ""en"", ""hi"")"),"क) उसे थका देने के लिए लगातार आक्रमण पर ध्यान केन्द्रित करें।")</f>
        <v>क) उसे थका देने के लिए लगातार आक्रमण पर ध्यान केन्द्रित करें।</v>
      </c>
    </row>
    <row r="389" ht="22.5" customHeight="1">
      <c r="A389" s="2">
        <v>388.0</v>
      </c>
      <c r="B389" s="3" t="s">
        <v>3851</v>
      </c>
      <c r="C389" s="3" t="s">
        <v>3852</v>
      </c>
      <c r="D389" s="3" t="s">
        <v>3853</v>
      </c>
      <c r="F389" s="5" t="str">
        <f>IFERROR(__xludf.DUMMYFUNCTION("GOOGLETRANSLATE(A389, ""en"", ""hi"")"),"388")</f>
        <v>388</v>
      </c>
      <c r="G389" s="5" t="str">
        <f>IFERROR(__xludf.DUMMYFUNCTION("GOOGLETRANSLATE(B389, ""en"", ""hi"")"),"फाइटर ए ने अभी-अभी एक जोरदार मुक्का मारा है जिससे फाइटर बी हिल गया है। फाइटर ए को आगे कैसे बढ़ना चाहिए?")</f>
        <v>फाइटर ए ने अभी-अभी एक जोरदार मुक्का मारा है जिससे फाइटर बी हिल गया है। फाइटर ए को आगे कैसे बढ़ना चाहिए?</v>
      </c>
      <c r="H389" s="5" t="str">
        <f>IFERROR(__xludf.DUMMYFUNCTION("GOOGLETRANSLATE(C389, ""en"", ""hi"")"),"A) आक्रामकता बढ़ाएँ और लड़ाई खत्म करने की कोशिश करें। B) सतर्क रहें और और मौकों का इंतज़ार करें। C) जवाबी हमलों से बचने के लिए बचाव करें। D) ऊर्जा बचाने के लिए लड़ाई की गति धीमी करें।")</f>
        <v>A) आक्रामकता बढ़ाएँ और लड़ाई खत्म करने की कोशिश करें। B) सतर्क रहें और और मौकों का इंतज़ार करें। C) जवाबी हमलों से बचने के लिए बचाव करें। D) ऊर्जा बचाने के लिए लड़ाई की गति धीमी करें।</v>
      </c>
      <c r="I389" s="5" t="str">
        <f>IFERROR(__xludf.DUMMYFUNCTION("GOOGLETRANSLATE(D389, ""en"", ""hi"")"),"ए) आक्रामकता बढ़ाएं और लड़ाई खत्म करने की कोशिश करें।")</f>
        <v>ए) आक्रामकता बढ़ाएं और लड़ाई खत्म करने की कोशिश करें।</v>
      </c>
    </row>
    <row r="390" ht="22.5" customHeight="1">
      <c r="A390" s="2">
        <v>389.0</v>
      </c>
      <c r="B390" s="3" t="s">
        <v>3854</v>
      </c>
      <c r="C390" s="3" t="s">
        <v>3855</v>
      </c>
      <c r="D390" s="3" t="s">
        <v>3856</v>
      </c>
      <c r="F390" s="5" t="str">
        <f>IFERROR(__xludf.DUMMYFUNCTION("GOOGLETRANSLATE(A390, ""en"", ""hi"")"),"389")</f>
        <v>389</v>
      </c>
      <c r="G390" s="5" t="str">
        <f>IFERROR(__xludf.DUMMYFUNCTION("GOOGLETRANSLATE(B390, ""en"", ""hi"")"),"फाइटर ए के मुक्के कम शक्तिशाली हैं, लेकिन वह फाइटर बी से तेज है। फाइटर ए को अपनी रणनीति कैसे समायोजित करनी चाहिए?")</f>
        <v>फाइटर ए के मुक्के कम शक्तिशाली हैं, लेकिन वह फाइटर बी से तेज है। फाइटर ए को अपनी रणनीति कैसे समायोजित करनी चाहिए?</v>
      </c>
      <c r="H390" s="5" t="str">
        <f>IFERROR(__xludf.DUMMYFUNCTION("GOOGLETRANSLATE(C390, ""en"", ""hi"")"),"A) फाइटर B को परास्त करने के लिए त्वरित संयोजनों पर ध्यान केंद्रित करें। B) लड़ाई को जल्दी खत्म करने के लिए शक्तिशाली मुक्के लगाएँ। C) फाइटर B की बढ़त को रोकने के लिए क्लिंच की स्थिति में आएँ। D) बचाव करें और नज़दीकी लड़ाई से बचें।")</f>
        <v>A) फाइटर B को परास्त करने के लिए त्वरित संयोजनों पर ध्यान केंद्रित करें। B) लड़ाई को जल्दी खत्म करने के लिए शक्तिशाली मुक्के लगाएँ। C) फाइटर B की बढ़त को रोकने के लिए क्लिंच की स्थिति में आएँ। D) बचाव करें और नज़दीकी लड़ाई से बचें।</v>
      </c>
      <c r="I390" s="5" t="str">
        <f>IFERROR(__xludf.DUMMYFUNCTION("GOOGLETRANSLATE(D390, ""en"", ""hi"")"),"ए) फाइटर बी को पराजित करने के लिए त्वरित संयोजनों पर ध्यान केंद्रित करें।")</f>
        <v>ए) फाइटर बी को पराजित करने के लिए त्वरित संयोजनों पर ध्यान केंद्रित करें।</v>
      </c>
    </row>
    <row r="391" ht="22.5" customHeight="1">
      <c r="A391" s="2">
        <v>390.0</v>
      </c>
      <c r="B391" s="3" t="s">
        <v>3857</v>
      </c>
      <c r="C391" s="3" t="s">
        <v>3858</v>
      </c>
      <c r="D391" s="3" t="s">
        <v>3859</v>
      </c>
      <c r="F391" s="5" t="str">
        <f>IFERROR(__xludf.DUMMYFUNCTION("GOOGLETRANSLATE(A391, ""en"", ""hi"")"),"390")</f>
        <v>390</v>
      </c>
      <c r="G391" s="5" t="str">
        <f>IFERROR(__xludf.DUMMYFUNCTION("GOOGLETRANSLATE(B391, ""en"", ""hi"")"),"फाइटर B लगातार वही कॉम्बिनेशन इस्तेमाल कर रहा है, और फाइटर A बचाव के लिए संघर्ष कर रहा है। फाइटर A को क्या करना चाहिए?")</f>
        <v>फाइटर B लगातार वही कॉम्बिनेशन इस्तेमाल कर रहा है, और फाइटर A बचाव के लिए संघर्ष कर रहा है। फाइटर A को क्या करना चाहिए?</v>
      </c>
      <c r="H391" s="5" t="str">
        <f>IFERROR(__xludf.DUMMYFUNCTION("GOOGLETRANSLATE(C391, ""en"", ""hi"")"),"A) संयोजन का मुकाबला करने के लिए किसी मौके का इंतज़ार करें। B) फाइटर B की लय बिगाड़ने के लिए क्लिंच की स्थिति में आएँ। C) फाइटर B को रोकने के लिए आक्रामकता बढ़ाएँ। D) बचाव करते रहें और उम्मीद करें कि फाइटर B थक जाए।")</f>
        <v>A) संयोजन का मुकाबला करने के लिए किसी मौके का इंतज़ार करें। B) फाइटर B की लय बिगाड़ने के लिए क्लिंच की स्थिति में आएँ। C) फाइटर B को रोकने के लिए आक्रामकता बढ़ाएँ। D) बचाव करते रहें और उम्मीद करें कि फाइटर B थक जाए।</v>
      </c>
      <c r="I391" s="5" t="str">
        <f>IFERROR(__xludf.DUMMYFUNCTION("GOOGLETRANSLATE(D391, ""en"", ""hi"")"),"बी) फाइटर बी की लय को बाधित करने के लिए क्लिंच में संलग्न हों।")</f>
        <v>बी) फाइटर बी की लय को बाधित करने के लिए क्लिंच में संलग्न हों।</v>
      </c>
    </row>
    <row r="392" ht="22.5" customHeight="1">
      <c r="A392" s="2">
        <v>391.0</v>
      </c>
      <c r="B392" s="3" t="s">
        <v>3860</v>
      </c>
      <c r="C392" s="3" t="s">
        <v>3861</v>
      </c>
      <c r="D392" s="3" t="s">
        <v>3862</v>
      </c>
      <c r="F392" s="5" t="str">
        <f>IFERROR(__xludf.DUMMYFUNCTION("GOOGLETRANSLATE(A392, ""en"", ""hi"")"),"391")</f>
        <v>391</v>
      </c>
      <c r="G392" s="5" t="str">
        <f>IFERROR(__xludf.DUMMYFUNCTION("GOOGLETRANSLATE(B392, ""en"", ""hi"")"),"लड़ाकू A के दाहिने हाथ में चोट लग गई है, जिससे उसकी मुक्का मारने की शक्ति कम हो गई है। उसे क्या करना चाहिए?")</f>
        <v>लड़ाकू A के दाहिने हाथ में चोट लग गई है, जिससे उसकी मुक्का मारने की शक्ति कम हो गई है। उसे क्या करना चाहिए?</v>
      </c>
      <c r="H392" s="5" t="str">
        <f>IFERROR(__xludf.DUMMYFUNCTION("GOOGLETRANSLATE(C392, ""en"", ""hi"")"),"A) बचाव पर ध्यान केंद्रित करें और मौके का इंतज़ार करें। B) अपने बाएँ हाथ का इस्तेमाल जैब और रक्षात्मक हमलों के लिए करें। C) लड़ाई को धीमा करने के लिए क्लिंच की स्थिति में रहें। D) अपने दाएँ हाथ का इस्तेमाल जारी रखें और नॉकआउट की उम्मीद करें।")</f>
        <v>A) बचाव पर ध्यान केंद्रित करें और मौके का इंतज़ार करें। B) अपने बाएँ हाथ का इस्तेमाल जैब और रक्षात्मक हमलों के लिए करें। C) लड़ाई को धीमा करने के लिए क्लिंच की स्थिति में रहें। D) अपने दाएँ हाथ का इस्तेमाल जारी रखें और नॉकआउट की उम्मीद करें।</v>
      </c>
      <c r="I392" s="5" t="str">
        <f>IFERROR(__xludf.DUMMYFUNCTION("GOOGLETRANSLATE(D392, ""en"", ""hi"")"),"बी) जैब और रक्षात्मक हमलों के लिए अपने बाएं हाथ का उपयोग करें।")</f>
        <v>बी) जैब और रक्षात्मक हमलों के लिए अपने बाएं हाथ का उपयोग करें।</v>
      </c>
    </row>
    <row r="393" ht="22.5" customHeight="1">
      <c r="A393" s="2">
        <v>392.0</v>
      </c>
      <c r="B393" s="3" t="s">
        <v>3863</v>
      </c>
      <c r="C393" s="3" t="s">
        <v>3864</v>
      </c>
      <c r="D393" s="3" t="s">
        <v>3865</v>
      </c>
      <c r="F393" s="5" t="str">
        <f>IFERROR(__xludf.DUMMYFUNCTION("GOOGLETRANSLATE(A393, ""en"", ""hi"")"),"392")</f>
        <v>392</v>
      </c>
      <c r="G393" s="5" t="str">
        <f>IFERROR(__xludf.DUMMYFUNCTION("GOOGLETRANSLATE(B393, ""en"", ""hi"")"),"लड़ाकू A लड़ाई पर हावी है, लेकिन लड़ाकू B एक आश्चर्यजनक मुक्का मारता है जिससे लड़ाकू A हिल जाता है। लड़ाकू A को क्या करना चाहिए?")</f>
        <v>लड़ाकू A लड़ाई पर हावी है, लेकिन लड़ाकू B एक आश्चर्यजनक मुक्का मारता है जिससे लड़ाकू A हिल जाता है। लड़ाकू A को क्या करना चाहिए?</v>
      </c>
      <c r="H393" s="5" t="str">
        <f>IFERROR(__xludf.DUMMYFUNCTION("GOOGLETRANSLATE(C393, ""en"", ""hi"")"),"A) नियंत्रण पाने के लिए आक्रामकता बढ़ाएँ। B) रक्षात्मक रहें और वापसी करें। C) गति धीमी करने के लिए क्लिंच की स्थिति बनाएँ। D) पीछे हटें और अपनी रणनीति का पुनर्मूल्यांकन करें।")</f>
        <v>A) नियंत्रण पाने के लिए आक्रामकता बढ़ाएँ। B) रक्षात्मक रहें और वापसी करें। C) गति धीमी करने के लिए क्लिंच की स्थिति बनाएँ। D) पीछे हटें और अपनी रणनीति का पुनर्मूल्यांकन करें।</v>
      </c>
      <c r="I393" s="5" t="str">
        <f>IFERROR(__xludf.DUMMYFUNCTION("GOOGLETRANSLATE(D393, ""en"", ""hi"")"),"बी) रक्षात्मक रहें और स्वस्थ रहें।")</f>
        <v>बी) रक्षात्मक रहें और स्वस्थ रहें।</v>
      </c>
    </row>
    <row r="394" ht="22.5" customHeight="1">
      <c r="A394" s="2">
        <v>393.0</v>
      </c>
      <c r="B394" s="3" t="s">
        <v>3866</v>
      </c>
      <c r="C394" s="3" t="s">
        <v>3867</v>
      </c>
      <c r="D394" s="3" t="s">
        <v>3868</v>
      </c>
      <c r="F394" s="5" t="str">
        <f>IFERROR(__xludf.DUMMYFUNCTION("GOOGLETRANSLATE(A394, ""en"", ""hi"")"),"393")</f>
        <v>393</v>
      </c>
      <c r="G394" s="5" t="str">
        <f>IFERROR(__xludf.DUMMYFUNCTION("GOOGLETRANSLATE(B394, ""en"", ""hi"")"),"लड़ाकू A ज़्यादा लंबा है और उसकी पहुँच ज़्यादा है, लेकिन लड़ाकू B नज़दीकी मुक़ाबले में ज़्यादा मज़बूत है। लड़ाकू A को अपनी बढ़त बनाए रखने के लिए क्या करना चाहिए?")</f>
        <v>लड़ाकू A ज़्यादा लंबा है और उसकी पहुँच ज़्यादा है, लेकिन लड़ाकू B नज़दीकी मुक़ाबले में ज़्यादा मज़बूत है। लड़ाकू A को अपनी बढ़त बनाए रखने के लिए क्या करना चाहिए?</v>
      </c>
      <c r="H394" s="5" t="str">
        <f>IFERROR(__xludf.DUMMYFUNCTION("GOOGLETRANSLATE(C394, ""en"", ""hi"")"),"A) लड़ाई को दूरी पर रखें। B) लड़ाकू B की परीक्षा लेने के लिए नज़दीकी लड़ाई में शामिल हों। C) रक्षात्मक रहें और मौकों का इंतज़ार करें। D) लड़ाई जल्दी खत्म करने के लिए उसकी आक्रामकता बढ़ाएँ।")</f>
        <v>A) लड़ाई को दूरी पर रखें। B) लड़ाकू B की परीक्षा लेने के लिए नज़दीकी लड़ाई में शामिल हों। C) रक्षात्मक रहें और मौकों का इंतज़ार करें। D) लड़ाई जल्दी खत्म करने के लिए उसकी आक्रामकता बढ़ाएँ।</v>
      </c>
      <c r="I394" s="5" t="str">
        <f>IFERROR(__xludf.DUMMYFUNCTION("GOOGLETRANSLATE(D394, ""en"", ""hi"")"),"क) लड़ाई को दूर रखें।")</f>
        <v>क) लड़ाई को दूर रखें।</v>
      </c>
    </row>
    <row r="395" ht="22.5" customHeight="1">
      <c r="A395" s="2">
        <v>394.0</v>
      </c>
      <c r="B395" s="3" t="s">
        <v>3869</v>
      </c>
      <c r="C395" s="3" t="s">
        <v>3870</v>
      </c>
      <c r="D395" s="3" t="s">
        <v>3871</v>
      </c>
      <c r="F395" s="5" t="str">
        <f>IFERROR(__xludf.DUMMYFUNCTION("GOOGLETRANSLATE(A395, ""en"", ""hi"")"),"394")</f>
        <v>394</v>
      </c>
      <c r="G395" s="5" t="str">
        <f>IFERROR(__xludf.DUMMYFUNCTION("GOOGLETRANSLATE(B395, ""en"", ""hi"")"),"लड़ाकू बी शरीर पर वार कर रहा है और लड़ाकू ए को कमजोर कर रहा है। लड़ाकू ए को कैसे जवाब देना चाहिए?")</f>
        <v>लड़ाकू बी शरीर पर वार कर रहा है और लड़ाकू ए को कमजोर कर रहा है। लड़ाकू ए को कैसे जवाब देना चाहिए?</v>
      </c>
      <c r="H395" s="5" t="str">
        <f>IFERROR(__xludf.DUMMYFUNCTION("GOOGLETRANSLATE(C395, ""en"", ""hi"")"),"A) उसके शरीर की रक्षा करें और जवाबी हमले के लिए मौके का इंतज़ार करें। B) उसके सिर की रक्षा पर ध्यान केंद्रित करें। C) शरीर पर वार रोकने के लिए क्लिंच की स्थिति में आएँ। D) फाइटर B के हमलों को रोकने के लिए आक्रामकता बढ़ाएँ।")</f>
        <v>A) उसके शरीर की रक्षा करें और जवाबी हमले के लिए मौके का इंतज़ार करें। B) उसके सिर की रक्षा पर ध्यान केंद्रित करें। C) शरीर पर वार रोकने के लिए क्लिंच की स्थिति में आएँ। D) फाइटर B के हमलों को रोकने के लिए आक्रामकता बढ़ाएँ।</v>
      </c>
      <c r="I395" s="5" t="str">
        <f>IFERROR(__xludf.DUMMYFUNCTION("GOOGLETRANSLATE(D395, ""en"", ""hi"")"),"A) अपने शरीर की रक्षा करें और जवाबी हमले के लिए अवसर की प्रतीक्षा करें।")</f>
        <v>A) अपने शरीर की रक्षा करें और जवाबी हमले के लिए अवसर की प्रतीक्षा करें।</v>
      </c>
    </row>
    <row r="396" ht="22.5" customHeight="1">
      <c r="A396" s="2">
        <v>395.0</v>
      </c>
      <c r="B396" s="3" t="s">
        <v>3872</v>
      </c>
      <c r="C396" s="3" t="s">
        <v>3873</v>
      </c>
      <c r="D396" s="3" t="s">
        <v>3874</v>
      </c>
      <c r="F396" s="5" t="str">
        <f>IFERROR(__xludf.DUMMYFUNCTION("GOOGLETRANSLATE(A396, ""en"", ""hi"")"),"395")</f>
        <v>395</v>
      </c>
      <c r="G396" s="5" t="str">
        <f>IFERROR(__xludf.DUMMYFUNCTION("GOOGLETRANSLATE(B396, ""en"", ""hi"")"),"लड़ाकू A ने देखा कि लड़ाकू B की गति धीमी पड़ने लगी है। लड़ाकू A को इसका फ़ायदा उठाने के लिए क्या करना चाहिए?")</f>
        <v>लड़ाकू A ने देखा कि लड़ाकू B की गति धीमी पड़ने लगी है। लड़ाकू A को इसका फ़ायदा उठाने के लिए क्या करना चाहिए?</v>
      </c>
      <c r="H396" s="5" t="str">
        <f>IFERROR(__xludf.DUMMYFUNCTION("GOOGLETRANSLATE(C396, ""en"", ""hi"")"),"A) लड़ाई और हमले की गति बढ़ाएँ। B) जवाबी हमले से बचने के लिए रक्षात्मक रहें। C) लड़ाकू B को और अधिक थका देने के लिए क्लिंच की स्थिति में आएँ। D) ऊर्जा बचाने के लिए गति धीमी कर दें।")</f>
        <v>A) लड़ाई और हमले की गति बढ़ाएँ। B) जवाबी हमले से बचने के लिए रक्षात्मक रहें। C) लड़ाकू B को और अधिक थका देने के लिए क्लिंच की स्थिति में आएँ। D) ऊर्जा बचाने के लिए गति धीमी कर दें।</v>
      </c>
      <c r="I396" s="5" t="str">
        <f>IFERROR(__xludf.DUMMYFUNCTION("GOOGLETRANSLATE(D396, ""en"", ""hi"")"),"ए) लड़ाई और हमले की गति बढ़ाएँ।")</f>
        <v>ए) लड़ाई और हमले की गति बढ़ाएँ।</v>
      </c>
    </row>
    <row r="397" ht="22.5" customHeight="1">
      <c r="A397" s="2">
        <v>396.0</v>
      </c>
      <c r="B397" s="3" t="s">
        <v>3875</v>
      </c>
      <c r="C397" s="3" t="s">
        <v>3876</v>
      </c>
      <c r="D397" s="3" t="s">
        <v>3877</v>
      </c>
      <c r="F397" s="5" t="str">
        <f>IFERROR(__xludf.DUMMYFUNCTION("GOOGLETRANSLATE(A397, ""en"", ""hi"")"),"396")</f>
        <v>396</v>
      </c>
      <c r="G397" s="5" t="str">
        <f>IFERROR(__xludf.DUMMYFUNCTION("GOOGLETRANSLATE(B397, ""en"", ""hi"")"),"फाइटर A अंकों के मामले में आगे चल रहा है, लेकिन फाइटर B एक ज़ोरदार मुक्का मारता है जिससे वह बेहोश हो जाता है। फाइटर A को क्या करना चाहिए?")</f>
        <v>फाइटर A अंकों के मामले में आगे चल रहा है, लेकिन फाइटर B एक ज़ोरदार मुक्का मारता है जिससे वह बेहोश हो जाता है। फाइटर A को क्या करना चाहिए?</v>
      </c>
      <c r="H397" s="5" t="str">
        <f>IFERROR(__xludf.DUMMYFUNCTION("GOOGLETRANSLATE(C397, ""en"", ""hi"")"),"A) आगे की क्षति से बचने के लिए अपनी सुरक्षा बढ़ाएँ। B) नियंत्रण पाने के लिए पूरी ताकत से हमला करें। C) वापसी के लिए क्लिंच की स्थिति में आएँ। D) पीछे हटें और मौके का इंतज़ार करें।")</f>
        <v>A) आगे की क्षति से बचने के लिए अपनी सुरक्षा बढ़ाएँ। B) नियंत्रण पाने के लिए पूरी ताकत से हमला करें। C) वापसी के लिए क्लिंच की स्थिति में आएँ। D) पीछे हटें और मौके का इंतज़ार करें।</v>
      </c>
      <c r="I397" s="5" t="str">
        <f>IFERROR(__xludf.DUMMYFUNCTION("GOOGLETRANSLATE(D397, ""en"", ""hi"")"),"A) आगे की क्षति से बचने के लिए अपनी सुरक्षा बढ़ाएँ।")</f>
        <v>A) आगे की क्षति से बचने के लिए अपनी सुरक्षा बढ़ाएँ।</v>
      </c>
    </row>
    <row r="398" ht="22.5" customHeight="1">
      <c r="A398" s="2">
        <v>397.0</v>
      </c>
      <c r="B398" s="3" t="s">
        <v>3878</v>
      </c>
      <c r="C398" s="3" t="s">
        <v>3879</v>
      </c>
      <c r="D398" s="3" t="s">
        <v>3880</v>
      </c>
      <c r="F398" s="5" t="str">
        <f>IFERROR(__xludf.DUMMYFUNCTION("GOOGLETRANSLATE(A398, ""en"", ""hi"")"),"397")</f>
        <v>397</v>
      </c>
      <c r="G398" s="5" t="str">
        <f>IFERROR(__xludf.DUMMYFUNCTION("GOOGLETRANSLATE(B398, ""en"", ""hi"")"),"फाइटर बी अपने शक्तिशाली हुक्स के लिए जाना जाता है, और फाइटर ए को उनसे टकराने से बचना होगा। फाइटर ए को क्या करना चाहिए?")</f>
        <v>फाइटर बी अपने शक्तिशाली हुक्स के लिए जाना जाता है, और फाइटर ए को उनसे टकराने से बचना होगा। फाइटर ए को क्या करना चाहिए?</v>
      </c>
      <c r="H398" s="5" t="str">
        <f>IFERROR(__xludf.DUMMYFUNCTION("GOOGLETRANSLATE(C398, ""en"", ""hi"")"),"A) सिर की गति और पैरों की गति पर ध्यान केंद्रित करें। B) फाइटर B के मुक्कों को रोकने के लिए क्लिंच की स्थिति में आएँ। C) बचाव करें और फाइटर B के थकने का इंतज़ार करें। D) फाइटर B को दूर रखने के लिए जैब लगाएँ।")</f>
        <v>A) सिर की गति और पैरों की गति पर ध्यान केंद्रित करें। B) फाइटर B के मुक्कों को रोकने के लिए क्लिंच की स्थिति में आएँ। C) बचाव करें और फाइटर B के थकने का इंतज़ार करें। D) फाइटर B को दूर रखने के लिए जैब लगाएँ।</v>
      </c>
      <c r="I398" s="5" t="str">
        <f>IFERROR(__xludf.DUMMYFUNCTION("GOOGLETRANSLATE(D398, ""en"", ""hi"")"),"ए) सिर की गति और पैरों की गति पर ध्यान केंद्रित करें।")</f>
        <v>ए) सिर की गति और पैरों की गति पर ध्यान केंद्रित करें।</v>
      </c>
    </row>
    <row r="399" ht="22.5" customHeight="1">
      <c r="A399" s="2">
        <v>398.0</v>
      </c>
      <c r="B399" s="3" t="s">
        <v>3881</v>
      </c>
      <c r="C399" s="3" t="s">
        <v>3882</v>
      </c>
      <c r="D399" s="3" t="s">
        <v>3883</v>
      </c>
      <c r="F399" s="5" t="str">
        <f>IFERROR(__xludf.DUMMYFUNCTION("GOOGLETRANSLATE(A399, ""en"", ""hi"")"),"398")</f>
        <v>398</v>
      </c>
      <c r="G399" s="5" t="str">
        <f>IFERROR(__xludf.DUMMYFUNCTION("GOOGLETRANSLATE(B399, ""en"", ""hi"")"),"फाइटर A का सबसे अच्छा हथियार उसका जैब है, लेकिन फाइटर B उसका जवाब ओवरहैंड पंच से दे रहा है। फाइटर A को कैसे एडजस्ट करना चाहिए?")</f>
        <v>फाइटर A का सबसे अच्छा हथियार उसका जैब है, लेकिन फाइटर B उसका जवाब ओवरहैंड पंच से दे रहा है। फाइटर A को कैसे एडजस्ट करना चाहिए?</v>
      </c>
      <c r="H399" s="5" t="str">
        <f>IFERROR(__xludf.DUMMYFUNCTION("GOOGLETRANSLATE(C399, ""en"", ""hi"")"),"A) जैब का इस्तेमाल बंद करें और बचाव पर ध्यान केंद्रित करें। B) फाइटर B को दूर रखने के लिए जैब की आवृत्ति बढ़ाएँ। C) फाइटर B के काउंटर को रोकने के लिए फ़िंट का इस्तेमाल करें। D) फाइटर B के काउंटर अवसरों को कम करने के लिए क्लिंच का इस्तेमाल करें।")</f>
        <v>A) जैब का इस्तेमाल बंद करें और बचाव पर ध्यान केंद्रित करें। B) फाइटर B को दूर रखने के लिए जैब की आवृत्ति बढ़ाएँ। C) फाइटर B के काउंटर को रोकने के लिए फ़िंट का इस्तेमाल करें। D) फाइटर B के काउंटर अवसरों को कम करने के लिए क्लिंच का इस्तेमाल करें।</v>
      </c>
      <c r="I399" s="5" t="str">
        <f>IFERROR(__xludf.DUMMYFUNCTION("GOOGLETRANSLATE(D399, ""en"", ""hi"")"),"सी) फाइटर बी के काउंटरों को बाहर निकालने के लिए फ़िंट का उपयोग करें।")</f>
        <v>सी) फाइटर बी के काउंटरों को बाहर निकालने के लिए फ़िंट का उपयोग करें।</v>
      </c>
    </row>
    <row r="400" ht="22.5" customHeight="1">
      <c r="A400" s="2">
        <v>399.0</v>
      </c>
      <c r="B400" s="3" t="s">
        <v>3884</v>
      </c>
      <c r="C400" s="3" t="s">
        <v>3885</v>
      </c>
      <c r="D400" s="3" t="s">
        <v>3886</v>
      </c>
      <c r="F400" s="5" t="str">
        <f>IFERROR(__xludf.DUMMYFUNCTION("GOOGLETRANSLATE(A400, ""en"", ""hi"")"),"399")</f>
        <v>399</v>
      </c>
      <c r="G400" s="5" t="str">
        <f>IFERROR(__xludf.DUMMYFUNCTION("GOOGLETRANSLATE(B400, ""en"", ""hi"")"),"फाइटर A एक काउंटरपंचर है, लेकिन फाइटर B उसे कोई मौका नहीं दे रहा है। फाइटर A को क्या करना चाहिए?")</f>
        <v>फाइटर A एक काउंटरपंचर है, लेकिन फाइटर B उसे कोई मौका नहीं दे रहा है। फाइटर A को क्या करना चाहिए?</v>
      </c>
      <c r="H400" s="5" t="str">
        <f>IFERROR(__xludf.DUMMYFUNCTION("GOOGLETRANSLATE(C400, ""en"", ""hi"")"),"A) मौके बनाने के लिए आक्रामकता बढ़ाएँ। B) फाइटर B के थकने का इंतज़ार करें और फिर पलटवार करें। C) फाइटर B को हताश करने के लिए क्लिंच की स्थिति में आएँ। D) रक्षात्मक रुख अपनाएँ और गलतियों का इंतज़ार करें।")</f>
        <v>A) मौके बनाने के लिए आक्रामकता बढ़ाएँ। B) फाइटर B के थकने का इंतज़ार करें और फिर पलटवार करें। C) फाइटर B को हताश करने के लिए क्लिंच की स्थिति में आएँ। D) रक्षात्मक रुख अपनाएँ और गलतियों का इंतज़ार करें।</v>
      </c>
      <c r="I400" s="5" t="str">
        <f>IFERROR(__xludf.DUMMYFUNCTION("GOOGLETRANSLATE(D400, ""en"", ""hi"")"),"ए) अवसर पैदा करने के लिए आक्रामकता बढ़ाएँ।")</f>
        <v>ए) अवसर पैदा करने के लिए आक्रामकता बढ़ाएँ।</v>
      </c>
    </row>
    <row r="401" ht="22.5" customHeight="1">
      <c r="A401" s="2">
        <v>400.0</v>
      </c>
      <c r="B401" s="3" t="s">
        <v>3887</v>
      </c>
      <c r="C401" s="3" t="s">
        <v>3888</v>
      </c>
      <c r="D401" s="3" t="s">
        <v>3889</v>
      </c>
      <c r="F401" s="5" t="str">
        <f>IFERROR(__xludf.DUMMYFUNCTION("GOOGLETRANSLATE(A401, ""en"", ""hi"")"),"400")</f>
        <v>400</v>
      </c>
      <c r="G401" s="5" t="str">
        <f>IFERROR(__xludf.DUMMYFUNCTION("GOOGLETRANSLATE(B401, ""en"", ""hi"")"),"फाइटर A अंकों के मामले में आगे चल रहा है, लेकिन फाइटर B के पास नॉकआउट पावर है। फाइटर A को कैसे आगे बढ़ना चाहिए?")</f>
        <v>फाइटर A अंकों के मामले में आगे चल रहा है, लेकिन फाइटर B के पास नॉकआउट पावर है। फाइटर A को कैसे आगे बढ़ना चाहिए?</v>
      </c>
      <c r="H401" s="5" t="str">
        <f>IFERROR(__xludf.DUMMYFUNCTION("GOOGLETRANSLATE(C401, ""en"", ""hi"")"),"A) बचाव करें और ज़ोरदार मुक्के से बचें। B) फाइटर B को परास्त करने के लिए आक्रामकता बढ़ाएँ। C) फाइटर B के हमलों को रोकने के लिए क्लिंच की स्थिति में आएँ। D) गति धीमी करें और ऊर्जा बचाएँ।")</f>
        <v>A) बचाव करें और ज़ोरदार मुक्के से बचें। B) फाइटर B को परास्त करने के लिए आक्रामकता बढ़ाएँ। C) फाइटर B के हमलों को रोकने के लिए क्लिंच की स्थिति में आएँ। D) गति धीमी करें और ऊर्जा बचाएँ।</v>
      </c>
      <c r="I401" s="5" t="str">
        <f>IFERROR(__xludf.DUMMYFUNCTION("GOOGLETRANSLATE(D401, ""en"", ""hi"")"),"क) बचाव करें और बड़े मुक्के से बचें।")</f>
        <v>क) बचाव करें और बड़े मुक्के से बचें।</v>
      </c>
    </row>
    <row r="402" ht="22.5" customHeight="1">
      <c r="A402" s="2">
        <v>401.0</v>
      </c>
      <c r="B402" s="3" t="s">
        <v>3890</v>
      </c>
      <c r="C402" s="3" t="s">
        <v>3891</v>
      </c>
      <c r="D402" s="3" t="s">
        <v>3892</v>
      </c>
      <c r="F402" s="5" t="str">
        <f>IFERROR(__xludf.DUMMYFUNCTION("GOOGLETRANSLATE(A402, ""en"", ""hi"")"),"401")</f>
        <v>401</v>
      </c>
      <c r="G402" s="5" t="str">
        <f>IFERROR(__xludf.DUMMYFUNCTION("GOOGLETRANSLATE(B402, ""en"", ""hi"")"),"फाइटर ए को फाइटर बी द्वारा रस्सियों के खिलाफ दबाया जा रहा है। फाइटर ए को क्या करना चाहिए?")</f>
        <v>फाइटर ए को फाइटर बी द्वारा रस्सियों के खिलाफ दबाया जा रहा है। फाइटर ए को क्या करना चाहिए?</v>
      </c>
      <c r="H402" s="5" t="str">
        <f>IFERROR(__xludf.DUMMYFUNCTION("GOOGLETRANSLATE(C402, ""en"", ""hi"")"),"A) रस्सियों से उतरने के लिए आक्रामकता बढ़ाएँ। B) बचने के लिए सिर और पैरों की गति का इस्तेमाल करें। C) लड़ाई को धीमा करने के लिए क्लिंच की स्थिति में आएँ। D) बचाव करें और रेफरी के ब्रेक की उम्मीद करें।")</f>
        <v>A) रस्सियों से उतरने के लिए आक्रामकता बढ़ाएँ। B) बचने के लिए सिर और पैरों की गति का इस्तेमाल करें। C) लड़ाई को धीमा करने के लिए क्लिंच की स्थिति में आएँ। D) बचाव करें और रेफरी के ब्रेक की उम्मीद करें।</v>
      </c>
      <c r="I402" s="5" t="str">
        <f>IFERROR(__xludf.DUMMYFUNCTION("GOOGLETRANSLATE(D402, ""en"", ""hi"")"),"बी) भागने के लिए सिर की गति और पैरों का प्रयोग करें।")</f>
        <v>बी) भागने के लिए सिर की गति और पैरों का प्रयोग करें।</v>
      </c>
    </row>
    <row r="403" ht="22.5" customHeight="1">
      <c r="A403" s="2">
        <v>402.0</v>
      </c>
      <c r="B403" s="3" t="s">
        <v>3893</v>
      </c>
      <c r="C403" s="3" t="s">
        <v>3894</v>
      </c>
      <c r="D403" s="3" t="s">
        <v>3895</v>
      </c>
      <c r="F403" s="5" t="str">
        <f>IFERROR(__xludf.DUMMYFUNCTION("GOOGLETRANSLATE(A403, ""en"", ""hi"")"),"402")</f>
        <v>402</v>
      </c>
      <c r="G403" s="5" t="str">
        <f>IFERROR(__xludf.DUMMYFUNCTION("GOOGLETRANSLATE(B403, ""en"", ""hi"")"),"फाइटर बी लगातार बॉडी शॉट्स से हमला कर रहा है। फाइटर ए को कैसे बचाव करना चाहिए?")</f>
        <v>फाइटर बी लगातार बॉडी शॉट्स से हमला कर रहा है। फाइटर ए को कैसे बचाव करना चाहिए?</v>
      </c>
      <c r="H403" s="5" t="str">
        <f>IFERROR(__xludf.DUMMYFUNCTION("GOOGLETRANSLATE(C403, ""en"", ""hi"")"),"A) शरीर को रोकें और पलटवार करें। B) शरीर पर वार रोकने के लिए क्लिंच की स्थिति में आएँ। C) मुक्कों से बचने के लिए सिर की गति पर ध्यान केंद्रित करें। D) लड़ाकू B को रोकने के लिए आक्रामकता बढ़ाएँ।")</f>
        <v>A) शरीर को रोकें और पलटवार करें। B) शरीर पर वार रोकने के लिए क्लिंच की स्थिति में आएँ। C) मुक्कों से बचने के लिए सिर की गति पर ध्यान केंद्रित करें। D) लड़ाकू B को रोकने के लिए आक्रामकता बढ़ाएँ।</v>
      </c>
      <c r="I403" s="5" t="str">
        <f>IFERROR(__xludf.DUMMYFUNCTION("GOOGLETRANSLATE(D403, ""en"", ""hi"")"),"ए) शरीर को अवरुद्ध करें और जवाबी हमला करें।")</f>
        <v>ए) शरीर को अवरुद्ध करें और जवाबी हमला करें।</v>
      </c>
    </row>
    <row r="404" ht="22.5" customHeight="1">
      <c r="A404" s="2">
        <v>403.0</v>
      </c>
      <c r="B404" s="3" t="s">
        <v>3896</v>
      </c>
      <c r="C404" s="3" t="s">
        <v>3897</v>
      </c>
      <c r="D404" s="3" t="s">
        <v>3898</v>
      </c>
      <c r="F404" s="5" t="str">
        <f>IFERROR(__xludf.DUMMYFUNCTION("GOOGLETRANSLATE(A404, ""en"", ""hi"")"),"403")</f>
        <v>403</v>
      </c>
      <c r="G404" s="5" t="str">
        <f>IFERROR(__xludf.DUMMYFUNCTION("GOOGLETRANSLATE(B404, ""en"", ""hi"")"),"फाइटर A अंकों से हार रहा है लेकिन अभी भी मुकाबले में है। उसे अंतिम राउंड में क्या करना चाहिए?")</f>
        <v>फाइटर A अंकों से हार रहा है लेकिन अभी भी मुकाबले में है। उसे अंतिम राउंड में क्या करना चाहिए?</v>
      </c>
      <c r="H404" s="5" t="str">
        <f>IFERROR(__xludf.DUMMYFUNCTION("GOOGLETRANSLATE(C404, ""en"", ""hi"")"),"A) ज़्यादा जोखिम उठाएँ और नॉकआउट की कोशिश करें। B) रक्षात्मक रहें और आगे की क्षति से बचें। C) लड़ाई को धीमा करने के लिए क्लिंच की स्थिति में आएँ। D) फाइटर B को थका देने के लिए बॉडी शॉट्स पर ध्यान केंद्रित करें।")</f>
        <v>A) ज़्यादा जोखिम उठाएँ और नॉकआउट की कोशिश करें। B) रक्षात्मक रहें और आगे की क्षति से बचें। C) लड़ाई को धीमा करने के लिए क्लिंच की स्थिति में आएँ। D) फाइटर B को थका देने के लिए बॉडी शॉट्स पर ध्यान केंद्रित करें।</v>
      </c>
      <c r="I404" s="5" t="str">
        <f>IFERROR(__xludf.DUMMYFUNCTION("GOOGLETRANSLATE(D404, ""en"", ""hi"")"),"ए) अधिक जोखिम उठाएं और नॉकआउट के लिए जाएं।")</f>
        <v>ए) अधिक जोखिम उठाएं और नॉकआउट के लिए जाएं।</v>
      </c>
    </row>
    <row r="405" ht="22.5" customHeight="1">
      <c r="A405" s="2">
        <v>404.0</v>
      </c>
      <c r="B405" s="3" t="s">
        <v>3836</v>
      </c>
      <c r="C405" s="3" t="s">
        <v>3899</v>
      </c>
      <c r="D405" s="3" t="s">
        <v>3838</v>
      </c>
      <c r="F405" s="5" t="str">
        <f>IFERROR(__xludf.DUMMYFUNCTION("GOOGLETRANSLATE(A405, ""en"", ""hi"")"),"404")</f>
        <v>404</v>
      </c>
      <c r="G405" s="5" t="str">
        <f>IFERROR(__xludf.DUMMYFUNCTION("GOOGLETRANSLATE(B405, ""en"", ""hi"")"),"फाइटर A, फाइटर B की रक्षात्मक शैली से निराश हो रहा है। फाइटर A को क्या करना चाहिए?")</f>
        <v>फाइटर A, फाइटर B की रक्षात्मक शैली से निराश हो रहा है। फाइटर A को क्या करना चाहिए?</v>
      </c>
      <c r="H405" s="5" t="str">
        <f>IFERROR(__xludf.DUMMYFUNCTION("GOOGLETRANSLATE(C405, ""en"", ""hi"")"),"A) आक्रामकता बढ़ाएँ और ज़्यादा दबाव डालें। B) धैर्य रखें और मौके का इंतज़ार करें। C) फाइटर B को कमज़ोर करने के लिए बॉडी शॉट्स पर ध्यान केंद्रित करें। D) फाइटर B की गति को रोकने के लिए क्लिंच की स्थिति में आएँ।")</f>
        <v>A) आक्रामकता बढ़ाएँ और ज़्यादा दबाव डालें। B) धैर्य रखें और मौके का इंतज़ार करें। C) फाइटर B को कमज़ोर करने के लिए बॉडी शॉट्स पर ध्यान केंद्रित करें। D) फाइटर B की गति को रोकने के लिए क्लिंच की स्थिति में आएँ।</v>
      </c>
      <c r="I405" s="5" t="str">
        <f>IFERROR(__xludf.DUMMYFUNCTION("GOOGLETRANSLATE(D405, ""en"", ""hi"")"),"सी) फाइटर बी को कमजोर करने के लिए बॉडी शॉट्स पर ध्यान केंद्रित करें।")</f>
        <v>सी) फाइटर बी को कमजोर करने के लिए बॉडी शॉट्स पर ध्यान केंद्रित करें।</v>
      </c>
    </row>
    <row r="406" ht="22.5" customHeight="1">
      <c r="A406" s="2">
        <v>405.0</v>
      </c>
      <c r="B406" s="3" t="s">
        <v>3900</v>
      </c>
      <c r="C406" s="3" t="s">
        <v>3901</v>
      </c>
      <c r="D406" s="3" t="s">
        <v>3902</v>
      </c>
      <c r="F406" s="5" t="str">
        <f>IFERROR(__xludf.DUMMYFUNCTION("GOOGLETRANSLATE(A406, ""en"", ""hi"")"),"405")</f>
        <v>405</v>
      </c>
      <c r="G406" s="5" t="str">
        <f>IFERROR(__xludf.DUMMYFUNCTION("GOOGLETRANSLATE(B406, ""en"", ""hi"")"),"फाइटर A तेज़ है, लेकिन फाइटर B के काउंटरपंच में बार-बार फंस जाता है। फाइटर A को क्या करना चाहिए?")</f>
        <v>फाइटर A तेज़ है, लेकिन फाइटर B के काउंटरपंच में बार-बार फंस जाता है। फाइटर A को क्या करना चाहिए?</v>
      </c>
      <c r="H406" s="5" t="str">
        <f>IFERROR(__xludf.DUMMYFUNCTION("GOOGLETRANSLATE(C406, ""en"", ""hi"")"),"A) जवाबी हमलों से बचने के लिए गति धीमी कर दें। B) फाइटर B को परास्त करने के लिए अपने मुक्कों की तीव्रता बढ़ाएँ। C) बचाव पर ध्यान केंद्रित करें और फाइटर B के जवाबी हमलों का मुकाबला करें। D) फाइटर B के जवाबी हमलों को कम करने के लिए क्लिंच की स्थिति में आ जा"&amp;"एँ।")</f>
        <v>A) जवाबी हमलों से बचने के लिए गति धीमी कर दें। B) फाइटर B को परास्त करने के लिए अपने मुक्कों की तीव्रता बढ़ाएँ। C) बचाव पर ध्यान केंद्रित करें और फाइटर B के जवाबी हमलों का मुकाबला करें। D) फाइटर B के जवाबी हमलों को कम करने के लिए क्लिंच की स्थिति में आ जाएँ।</v>
      </c>
      <c r="I406" s="5" t="str">
        <f>IFERROR(__xludf.DUMMYFUNCTION("GOOGLETRANSLATE(D406, ""en"", ""hi"")"),"बी) फाइटर बी को पराजित करने के लिए उसके मुक्कों की मात्रा बढ़ाएँ।")</f>
        <v>बी) फाइटर बी को पराजित करने के लिए उसके मुक्कों की मात्रा बढ़ाएँ।</v>
      </c>
    </row>
    <row r="407" ht="22.5" customHeight="1">
      <c r="A407" s="2">
        <v>406.0</v>
      </c>
      <c r="B407" s="3" t="s">
        <v>3903</v>
      </c>
      <c r="C407" s="3" t="s">
        <v>3904</v>
      </c>
      <c r="D407" s="3" t="s">
        <v>3905</v>
      </c>
      <c r="F407" s="5" t="str">
        <f>IFERROR(__xludf.DUMMYFUNCTION("GOOGLETRANSLATE(A407, ""en"", ""hi"")"),"406")</f>
        <v>406</v>
      </c>
      <c r="G407" s="5" t="str">
        <f>IFERROR(__xludf.DUMMYFUNCTION("GOOGLETRANSLATE(B407, ""en"", ""hi"")"),"फाइटर बी अपनी ताकत का इस्तेमाल फाइटर ए को कोनों में धकेलने के लिए कर रहा है। फाइटर ए को इसका जवाब कैसे देना चाहिए?")</f>
        <v>फाइटर बी अपनी ताकत का इस्तेमाल फाइटर ए को कोनों में धकेलने के लिए कर रहा है। फाइटर ए को इसका जवाब कैसे देना चाहिए?</v>
      </c>
      <c r="H407" s="5" t="str">
        <f>IFERROR(__xludf.DUMMYFUNCTION("GOOGLETRANSLATE(C407, ""en"", ""hi"")"),"A) कोने में फंसने से बचने के लिए क्लिंच की स्थिति में रहें। B) केंद्र में बने रहने के लिए पैरों की गति और तेज़ गति का प्रयोग करें। C) फाइटर B के आक्रमण से बचाव करें और जवाबी हमले का इंतज़ार करें। D) पीछे धकेले जाने से बचने के लिए आक्रामकता बढ़ाएँ।")</f>
        <v>A) कोने में फंसने से बचने के लिए क्लिंच की स्थिति में रहें। B) केंद्र में बने रहने के लिए पैरों की गति और तेज़ गति का प्रयोग करें। C) फाइटर B के आक्रमण से बचाव करें और जवाबी हमले का इंतज़ार करें। D) पीछे धकेले जाने से बचने के लिए आक्रामकता बढ़ाएँ।</v>
      </c>
      <c r="I407" s="5" t="str">
        <f>IFERROR(__xludf.DUMMYFUNCTION("GOOGLETRANSLATE(D407, ""en"", ""hi"")"),"बी) केंद्र में बने रहने के लिए फुटवर्क और त्वरित गति का उपयोग करें।")</f>
        <v>बी) केंद्र में बने रहने के लिए फुटवर्क और त्वरित गति का उपयोग करें।</v>
      </c>
    </row>
    <row r="408" ht="22.5" customHeight="1">
      <c r="A408" s="2">
        <v>407.0</v>
      </c>
      <c r="B408" s="3" t="s">
        <v>3906</v>
      </c>
      <c r="C408" s="3" t="s">
        <v>3907</v>
      </c>
      <c r="D408" s="3" t="s">
        <v>3908</v>
      </c>
      <c r="F408" s="5" t="str">
        <f>IFERROR(__xludf.DUMMYFUNCTION("GOOGLETRANSLATE(A408, ""en"", ""hi"")"),"407")</f>
        <v>407</v>
      </c>
      <c r="G408" s="5" t="str">
        <f>IFERROR(__xludf.DUMMYFUNCTION("GOOGLETRANSLATE(B408, ""en"", ""hi"")"),"फाइटर A सटीक मुक्के मार रहा है, लेकिन फाइटर B में ज़बरदस्त सहनशक्ति है और वह लंबी लड़ाइयाँ झेल सकता है। फाइटर A को किस पर ध्यान देना चाहिए?")</f>
        <v>फाइटर A सटीक मुक्के मार रहा है, लेकिन फाइटर B में ज़बरदस्त सहनशक्ति है और वह लंबी लड़ाइयाँ झेल सकता है। फाइटर A को किस पर ध्यान देना चाहिए?</v>
      </c>
      <c r="H408" s="5" t="str">
        <f>IFERROR(__xludf.DUMMYFUNCTION("GOOGLETRANSLATE(C408, ""en"", ""hi"")"),"A) फाइटर B को कमज़ोर करने के लिए सटीक मुक्के मारना जारी रखें। B) फाइटर B को धीमा करने के लिए क्लिंच की स्थिति में रहें। C) बाद के राउंड के लिए ऊर्जा बचाकर रखें। D) थकने से बचने के लिए ज़्यादा बचाव करें।")</f>
        <v>A) फाइटर B को कमज़ोर करने के लिए सटीक मुक्के मारना जारी रखें। B) फाइटर B को धीमा करने के लिए क्लिंच की स्थिति में रहें। C) बाद के राउंड के लिए ऊर्जा बचाकर रखें। D) थकने से बचने के लिए ज़्यादा बचाव करें।</v>
      </c>
      <c r="I408" s="5" t="str">
        <f>IFERROR(__xludf.DUMMYFUNCTION("GOOGLETRANSLATE(D408, ""en"", ""hi"")"),"ए) फाइटर बी को कमजोर करने के लिए सटीक मुक्के मारना जारी रखें।")</f>
        <v>ए) फाइटर बी को कमजोर करने के लिए सटीक मुक्के मारना जारी रखें।</v>
      </c>
    </row>
    <row r="409" ht="22.5" customHeight="1">
      <c r="A409" s="2">
        <v>408.0</v>
      </c>
      <c r="B409" s="3" t="s">
        <v>3909</v>
      </c>
      <c r="C409" s="3" t="s">
        <v>3910</v>
      </c>
      <c r="D409" s="3" t="s">
        <v>3911</v>
      </c>
      <c r="F409" s="5" t="str">
        <f>IFERROR(__xludf.DUMMYFUNCTION("GOOGLETRANSLATE(A409, ""en"", ""hi"")"),"408")</f>
        <v>408</v>
      </c>
      <c r="G409" s="5" t="str">
        <f>IFERROR(__xludf.DUMMYFUNCTION("GOOGLETRANSLATE(B409, ""en"", ""hi"")"),"फाइटर बी को ऊँचाई का फ़ायदा है, वह लगातार दूर से मुक्के मार रहा है। फाइटर ए को इस अंतर को कैसे कम करना चाहिए?")</f>
        <v>फाइटर बी को ऊँचाई का फ़ायदा है, वह लगातार दूर से मुक्के मार रहा है। फाइटर ए को इस अंतर को कैसे कम करना चाहिए?</v>
      </c>
      <c r="H409" s="5" t="str">
        <f>IFERROR(__xludf.DUMMYFUNCTION("GOOGLETRANSLATE(C409, ""en"", ""hi"")"),"A) सिर हिलाएँ और नज़दीकी मुकाबले के लिए अंदर की ओर दौड़ें। B) पहुँच के लाभ को कम करने के लिए क्लिंच की स्थिति में आएँ। C) तब तक बचाव करें जब तक फाइटर B कोई गलती न कर दे। D) पीछे रहें और जवाबी हमलों पर ध्यान केंद्रित करें।")</f>
        <v>A) सिर हिलाएँ और नज़दीकी मुकाबले के लिए अंदर की ओर दौड़ें। B) पहुँच के लाभ को कम करने के लिए क्लिंच की स्थिति में आएँ। C) तब तक बचाव करें जब तक फाइटर B कोई गलती न कर दे। D) पीछे रहें और जवाबी हमलों पर ध्यान केंद्रित करें।</v>
      </c>
      <c r="I409" s="5" t="str">
        <f>IFERROR(__xludf.DUMMYFUNCTION("GOOGLETRANSLATE(D409, ""en"", ""hi"")"),"ए) सिर हिलाते हुए निकट युद्ध के लिए अंदर की ओर दौड़ें।")</f>
        <v>ए) सिर हिलाते हुए निकट युद्ध के लिए अंदर की ओर दौड़ें।</v>
      </c>
    </row>
    <row r="410" ht="22.5" customHeight="1">
      <c r="A410" s="2">
        <v>409.0</v>
      </c>
      <c r="B410" s="3" t="s">
        <v>3912</v>
      </c>
      <c r="C410" s="3" t="s">
        <v>3913</v>
      </c>
      <c r="D410" s="3" t="s">
        <v>3914</v>
      </c>
      <c r="F410" s="5" t="str">
        <f>IFERROR(__xludf.DUMMYFUNCTION("GOOGLETRANSLATE(A410, ""en"", ""hi"")"),"409")</f>
        <v>409</v>
      </c>
      <c r="G410" s="5" t="str">
        <f>IFERROR(__xludf.DUMMYFUNCTION("GOOGLETRANSLATE(B410, ""en"", ""hi"")"),"फाइटर A बॉडी शॉट्स में माहिर है, लेकिन फाइटर B अच्छा डिफेंस कर रहा है और फाइटर A को थका रहा है। फाइटर A को क्या करना चाहिए?")</f>
        <v>फाइटर A बॉडी शॉट्स में माहिर है, लेकिन फाइटर B अच्छा डिफेंस कर रहा है और फाइटर A को थका रहा है। फाइटर A को क्या करना चाहिए?</v>
      </c>
      <c r="H410" s="5" t="str">
        <f>IFERROR(__xludf.DUMMYFUNCTION("GOOGLETRANSLATE(C410, ""en"", ""hi"")"),"A) लक्ष्य बदलें और सिर पर मुक्के मारें। B) शरीर पर वार की आवृत्ति बढ़ाएँ। C) बचाव पर ध्यान केंद्रित करें और फाइटर B को हमला करने दें। D) लड़ाई को धीमा करने के लिए क्लिंच की स्थिति में आएँ।")</f>
        <v>A) लक्ष्य बदलें और सिर पर मुक्के मारें। B) शरीर पर वार की आवृत्ति बढ़ाएँ। C) बचाव पर ध्यान केंद्रित करें और फाइटर B को हमला करने दें। D) लड़ाई को धीमा करने के लिए क्लिंच की स्थिति में आएँ।</v>
      </c>
      <c r="I410" s="5" t="str">
        <f>IFERROR(__xludf.DUMMYFUNCTION("GOOGLETRANSLATE(D410, ""en"", ""hi"")"),"ए) लक्ष्य बदलें और सिर पर मुक्का मारें।")</f>
        <v>ए) लक्ष्य बदलें और सिर पर मुक्का मारें।</v>
      </c>
    </row>
    <row r="411" ht="22.5" customHeight="1">
      <c r="A411" s="2">
        <v>410.0</v>
      </c>
      <c r="B411" s="3" t="s">
        <v>3915</v>
      </c>
      <c r="C411" s="3" t="s">
        <v>3916</v>
      </c>
      <c r="D411" s="3" t="s">
        <v>3917</v>
      </c>
      <c r="F411" s="5" t="str">
        <f>IFERROR(__xludf.DUMMYFUNCTION("GOOGLETRANSLATE(A411, ""en"", ""hi"")"),"410")</f>
        <v>410</v>
      </c>
      <c r="G411" s="5" t="str">
        <f>IFERROR(__xludf.DUMMYFUNCTION("GOOGLETRANSLATE(B411, ""en"", ""hi"")"),"फाइटर A अंकों के आधार पर जीत रहा है, लेकिन फाइटर B अंतिम राउंड में ज़्यादा आक्रामक हो रहा है। फाइटर A को आगे कैसे बढ़ना चाहिए?")</f>
        <v>फाइटर A अंकों के आधार पर जीत रहा है, लेकिन फाइटर B अंतिम राउंड में ज़्यादा आक्रामक हो रहा है। फाइटर A को आगे कैसे बढ़ना चाहिए?</v>
      </c>
      <c r="H411" s="5" t="str">
        <f>IFERROR(__xludf.DUMMYFUNCTION("GOOGLETRANSLATE(C411, ""en"", ""hi"")"),"A) बचाव करें और बढ़त बनाए रखें। B) फाइटर B से मुकाबला करने के लिए आक्रामकता बढ़ाएँ। C) गति कम करने के लिए क्लिंच की स्थिति में आएँ। D) पीछे रहें और पलटवार करें।")</f>
        <v>A) बचाव करें और बढ़त बनाए रखें। B) फाइटर B से मुकाबला करने के लिए आक्रामकता बढ़ाएँ। C) गति कम करने के लिए क्लिंच की स्थिति में आएँ। D) पीछे रहें और पलटवार करें।</v>
      </c>
      <c r="I411" s="5" t="str">
        <f>IFERROR(__xludf.DUMMYFUNCTION("GOOGLETRANSLATE(D411, ""en"", ""hi"")"),"क) बढ़त बनाए रखना और उसकी रक्षा करना।")</f>
        <v>क) बढ़त बनाए रखना और उसकी रक्षा करना।</v>
      </c>
    </row>
    <row r="412" ht="22.5" customHeight="1">
      <c r="A412" s="2">
        <v>411.0</v>
      </c>
      <c r="B412" s="3" t="s">
        <v>3918</v>
      </c>
      <c r="C412" s="3" t="s">
        <v>3919</v>
      </c>
      <c r="D412" s="3" t="s">
        <v>3920</v>
      </c>
      <c r="F412" s="5" t="str">
        <f>IFERROR(__xludf.DUMMYFUNCTION("GOOGLETRANSLATE(A412, ""en"", ""hi"")"),"411")</f>
        <v>411</v>
      </c>
      <c r="G412" s="5" t="str">
        <f>IFERROR(__xludf.DUMMYFUNCTION("GOOGLETRANSLATE(B412, ""en"", ""hi"")"),"फाइटर बी को विनाशकारी अपरकट्स लगाने के लिए जाना जाता है। फाइटर ए को इस हमले से कैसे बचना चाहिए?")</f>
        <v>फाइटर बी को विनाशकारी अपरकट्स लगाने के लिए जाना जाता है। फाइटर ए को इस हमले से कैसे बचना चाहिए?</v>
      </c>
      <c r="H412" s="5" t="str">
        <f>IFERROR(__xludf.DUMMYFUNCTION("GOOGLETRANSLATE(C412, ""en"", ""hi"")"),"A) बाहर की ओर रहें और नज़दीकी मुक़ाबले से बचें। B) अपरकट्स को रोकने के लिए क्लिंच की स्थिति में आएँ। C) बचाव करें और मौके का इंतज़ार करें। D) फाइटर B की लय बिगाड़ने के लिए आक्रामकता बढ़ाएँ।")</f>
        <v>A) बाहर की ओर रहें और नज़दीकी मुक़ाबले से बचें। B) अपरकट्स को रोकने के लिए क्लिंच की स्थिति में आएँ। C) बचाव करें और मौके का इंतज़ार करें। D) फाइटर B की लय बिगाड़ने के लिए आक्रामकता बढ़ाएँ।</v>
      </c>
      <c r="I412" s="5" t="str">
        <f>IFERROR(__xludf.DUMMYFUNCTION("GOOGLETRANSLATE(D412, ""en"", ""hi"")"),"क) बाहर रहें और नजदीकी लड़ाई से बचें।")</f>
        <v>क) बाहर रहें और नजदीकी लड़ाई से बचें।</v>
      </c>
    </row>
    <row r="413" ht="22.5" customHeight="1">
      <c r="A413" s="2">
        <v>412.0</v>
      </c>
      <c r="B413" s="3" t="s">
        <v>3921</v>
      </c>
      <c r="C413" s="3" t="s">
        <v>3922</v>
      </c>
      <c r="D413" s="3" t="s">
        <v>3923</v>
      </c>
      <c r="F413" s="5" t="str">
        <f>IFERROR(__xludf.DUMMYFUNCTION("GOOGLETRANSLATE(A413, ""en"", ""hi"")"),"412")</f>
        <v>412</v>
      </c>
      <c r="G413" s="5" t="str">
        <f>IFERROR(__xludf.DUMMYFUNCTION("GOOGLETRANSLATE(B413, ""en"", ""hi"")"),"फाइटर A, फाइटर B को भ्रमित करने के लिए कई चालें चल रहा है, लेकिन फाइटर B उनके झांसे में नहीं आ रहा है। फाइटर A को क्या करना चाहिए?")</f>
        <v>फाइटर A, फाइटर B को भ्रमित करने के लिए कई चालें चल रहा है, लेकिन फाइटर B उनके झांसे में नहीं आ रहा है। फाइटर A को क्या करना चाहिए?</v>
      </c>
      <c r="H413" s="5" t="str">
        <f>IFERROR(__xludf.DUMMYFUNCTION("GOOGLETRANSLATE(C413, ""en"", ""hi"")"),"A) मुक्कों की आवृत्ति बढ़ाएँ और संयोजनों को मिलाएँ। B) बचाव पर ध्यान केंद्रित करें और फाइटर B के हमले का इंतज़ार करें। C) छल-कपट का इस्तेमाल बंद करें और सीधे हमला करें। D) फाइटर B को बाधित करने के लिए क्लिंच की स्थिति में आएँ।")</f>
        <v>A) मुक्कों की आवृत्ति बढ़ाएँ और संयोजनों को मिलाएँ। B) बचाव पर ध्यान केंद्रित करें और फाइटर B के हमले का इंतज़ार करें। C) छल-कपट का इस्तेमाल बंद करें और सीधे हमला करें। D) फाइटर B को बाधित करने के लिए क्लिंच की स्थिति में आएँ।</v>
      </c>
      <c r="I413" s="5" t="str">
        <f>IFERROR(__xludf.DUMMYFUNCTION("GOOGLETRANSLATE(D413, ""en"", ""hi"")"),"ए) पंच आवृत्ति बढ़ाएँ और संयोजनों को मिलाएँ।")</f>
        <v>ए) पंच आवृत्ति बढ़ाएँ और संयोजनों को मिलाएँ।</v>
      </c>
    </row>
    <row r="414" ht="22.5" customHeight="1">
      <c r="A414" s="2">
        <v>413.0</v>
      </c>
      <c r="B414" s="3" t="s">
        <v>3924</v>
      </c>
      <c r="C414" s="3" t="s">
        <v>3925</v>
      </c>
      <c r="D414" s="3" t="s">
        <v>3926</v>
      </c>
      <c r="F414" s="5" t="str">
        <f>IFERROR(__xludf.DUMMYFUNCTION("GOOGLETRANSLATE(A414, ""en"", ""hi"")"),"413")</f>
        <v>413</v>
      </c>
      <c r="G414" s="5" t="str">
        <f>IFERROR(__xludf.DUMMYFUNCTION("GOOGLETRANSLATE(B414, ""en"", ""hi"")"),"फाइटर बी ज़्यादातर समय फाइटर ए पर दबाव बनाए हुए है, और फाइटर ए थक रहा है। फाइटर ए को कैसे एडजस्ट करना चाहिए?")</f>
        <v>फाइटर बी ज़्यादातर समय फाइटर ए पर दबाव बनाए हुए है, और फाइटर ए थक रहा है। फाइटर ए को कैसे एडजस्ट करना चाहिए?</v>
      </c>
      <c r="H414" s="5" t="str">
        <f>IFERROR(__xludf.DUMMYFUNCTION("GOOGLETRANSLATE(C414, ""en"", ""hi"")"),"A) जब भी संभव हो, बचाव और पलटवार करें। B) लड़ाई को धीमा करने के लिए क्लिंच की स्थिति में आएँ। C) आक्रामकता बढ़ाएँ और लड़ाई को जल्दी खत्म करने की कोशिश करें। D) मुक्कों से बचने के लिए सिर की गति पर ध्यान केंद्रित करें।")</f>
        <v>A) जब भी संभव हो, बचाव और पलटवार करें। B) लड़ाई को धीमा करने के लिए क्लिंच की स्थिति में आएँ। C) आक्रामकता बढ़ाएँ और लड़ाई को जल्दी खत्म करने की कोशिश करें। D) मुक्कों से बचने के लिए सिर की गति पर ध्यान केंद्रित करें।</v>
      </c>
      <c r="I414" s="5" t="str">
        <f>IFERROR(__xludf.DUMMYFUNCTION("GOOGLETRANSLATE(D414, ""en"", ""hi"")"),"बी) लड़ाई को धीमा करने के लिए क्लिंच की स्थिति में रहें।")</f>
        <v>बी) लड़ाई को धीमा करने के लिए क्लिंच की स्थिति में रहें।</v>
      </c>
    </row>
    <row r="415" ht="22.5" customHeight="1">
      <c r="A415" s="2">
        <v>414.0</v>
      </c>
      <c r="B415" s="3" t="s">
        <v>3927</v>
      </c>
      <c r="C415" s="3" t="s">
        <v>3928</v>
      </c>
      <c r="D415" s="3" t="s">
        <v>3929</v>
      </c>
      <c r="F415" s="5" t="str">
        <f>IFERROR(__xludf.DUMMYFUNCTION("GOOGLETRANSLATE(A415, ""en"", ""hi"")"),"414")</f>
        <v>414</v>
      </c>
      <c r="G415" s="5" t="str">
        <f>IFERROR(__xludf.DUMMYFUNCTION("GOOGLETRANSLATE(B415, ""en"", ""hi"")"),"फाइटर A का डिफेंस बेहतर है, लेकिन फाइटर B आक्रामक रूप से ज़्यादा मज़बूत है। फाइटर A को मैच कैसे जीतना चाहिए?")</f>
        <v>फाइटर A का डिफेंस बेहतर है, लेकिन फाइटर B आक्रामक रूप से ज़्यादा मज़बूत है। फाइटर A को मैच कैसे जीतना चाहिए?</v>
      </c>
      <c r="H415" s="5" t="str">
        <f>IFERROR(__xludf.DUMMYFUNCTION("GOOGLETRANSLATE(C415, ""en"", ""hi"")"),"A) जब फाइटर B मुक्के बरसाए तो जवाबी हमले पर ध्यान केंद्रित करें। B) फाइटर B के आक्रामक दबाव को रोकने के लिए क्लिंच की स्थिति में रहें। C) रक्षात्मक रहें और फाइटर B के थकने का इंतज़ार करें। D) फाइटर B की ताकत के अनुरूप आक्रामकता बढ़ाएँ।")</f>
        <v>A) जब फाइटर B मुक्के बरसाए तो जवाबी हमले पर ध्यान केंद्रित करें। B) फाइटर B के आक्रामक दबाव को रोकने के लिए क्लिंच की स्थिति में रहें। C) रक्षात्मक रहें और फाइटर B के थकने का इंतज़ार करें। D) फाइटर B की ताकत के अनुरूप आक्रामकता बढ़ाएँ।</v>
      </c>
      <c r="I415" s="5" t="str">
        <f>IFERROR(__xludf.DUMMYFUNCTION("GOOGLETRANSLATE(D415, ""en"", ""hi"")"),"ए) जब फाइटर बी मुक्के मारे तो जवाबी हमले पर ध्यान केंद्रित करें।")</f>
        <v>ए) जब फाइटर बी मुक्के मारे तो जवाबी हमले पर ध्यान केंद्रित करें।</v>
      </c>
    </row>
    <row r="416" ht="22.5" customHeight="1">
      <c r="A416" s="2">
        <v>415.0</v>
      </c>
      <c r="B416" s="3" t="s">
        <v>3930</v>
      </c>
      <c r="C416" s="3" t="s">
        <v>3931</v>
      </c>
      <c r="D416" s="3" t="s">
        <v>3932</v>
      </c>
      <c r="F416" s="5" t="str">
        <f>IFERROR(__xludf.DUMMYFUNCTION("GOOGLETRANSLATE(A416, ""en"", ""hi"")"),"415")</f>
        <v>415</v>
      </c>
      <c r="G416" s="5" t="str">
        <f>IFERROR(__xludf.DUMMYFUNCTION("GOOGLETRANSLATE(B416, ""en"", ""hi"")"),"फाइटर A अंकों के मामले में आगे है, लेकिन फाइटर B की ताकत ख़तरनाक है। फ़ाइनल राउंड में फाइटर A को क्या करना चाहिए?")</f>
        <v>फाइटर A अंकों के मामले में आगे है, लेकिन फाइटर B की ताकत ख़तरनाक है। फ़ाइनल राउंड में फाइटर A को क्या करना चाहिए?</v>
      </c>
      <c r="H416" s="5" t="str">
        <f>IFERROR(__xludf.DUMMYFUNCTION("GOOGLETRANSLATE(C416, ""en"", ""hi"")"),"A) सावधानी से बचाव करें और फाइटर B के शक्तिशाली मुक्कों से बचें। B) फाइटर B के हमलों को सीमित करने के लिए क्लिंच की स्थिति में आएँ। C) लड़ाई खत्म करने के लिए आक्रामकता बढ़ाएँ। D) दूरी बनाए रखें और जैब मारें।")</f>
        <v>A) सावधानी से बचाव करें और फाइटर B के शक्तिशाली मुक्कों से बचें। B) फाइटर B के हमलों को सीमित करने के लिए क्लिंच की स्थिति में आएँ। C) लड़ाई खत्म करने के लिए आक्रामकता बढ़ाएँ। D) दूरी बनाए रखें और जैब मारें।</v>
      </c>
      <c r="I416" s="5" t="str">
        <f>IFERROR(__xludf.DUMMYFUNCTION("GOOGLETRANSLATE(D416, ""en"", ""hi"")"),"ए) सावधानी से बचाव करें और फाइटर बी के शक्तिशाली मुक्कों से बचें।")</f>
        <v>ए) सावधानी से बचाव करें और फाइटर बी के शक्तिशाली मुक्कों से बचें।</v>
      </c>
    </row>
    <row r="417" ht="22.5" customHeight="1">
      <c r="A417" s="2">
        <v>416.0</v>
      </c>
      <c r="B417" s="3" t="s">
        <v>3933</v>
      </c>
      <c r="C417" s="3" t="s">
        <v>3934</v>
      </c>
      <c r="D417" s="3" t="s">
        <v>3935</v>
      </c>
      <c r="F417" s="5" t="str">
        <f>IFERROR(__xludf.DUMMYFUNCTION("GOOGLETRANSLATE(A417, ""en"", ""hi"")"),"416")</f>
        <v>416</v>
      </c>
      <c r="G417" s="5" t="str">
        <f>IFERROR(__xludf.DUMMYFUNCTION("GOOGLETRANSLATE(B417, ""en"", ""hi"")"),"फाइटर A के मुक्के तेज़ लेकिन कम शक्तिशाली हैं, जबकि फाइटर B के मुक्के धीमे लेकिन ज़्यादा शक्तिशाली हैं। फाइटर A को लड़ाई का रुख़ कैसे अपनाना चाहिए?")</f>
        <v>फाइटर A के मुक्के तेज़ लेकिन कम शक्तिशाली हैं, जबकि फाइटर B के मुक्के धीमे लेकिन ज़्यादा शक्तिशाली हैं। फाइटर A को लड़ाई का रुख़ कैसे अपनाना चाहिए?</v>
      </c>
      <c r="H417" s="5" t="str">
        <f>IFERROR(__xludf.DUMMYFUNCTION("GOOGLETRANSLATE(C417, ""en"", ""hi"")"),"A) त्वरित संयोजनों पर ध्यान केंद्रित करें और लंबे समय तक आदान-प्रदान से बचें। B) बचाव करें और फाइटर B के थकने का इंतज़ार करें। C) फाइटर B के पावर शॉट्स को रोकने के लिए क्लिंच की स्थिति में आएँ। D) फाइटर B की ताकत का मुकाबला भारी मुक्कों से करें।")</f>
        <v>A) त्वरित संयोजनों पर ध्यान केंद्रित करें और लंबे समय तक आदान-प्रदान से बचें। B) बचाव करें और फाइटर B के थकने का इंतज़ार करें। C) फाइटर B के पावर शॉट्स को रोकने के लिए क्लिंच की स्थिति में आएँ। D) फाइटर B की ताकत का मुकाबला भारी मुक्कों से करें।</v>
      </c>
      <c r="I417" s="5" t="str">
        <f>IFERROR(__xludf.DUMMYFUNCTION("GOOGLETRANSLATE(D417, ""en"", ""hi"")"),"A) त्वरित संयोजनों पर ध्यान केंद्रित करें और लंबे समय तक आदान-प्रदान से बचें।")</f>
        <v>A) त्वरित संयोजनों पर ध्यान केंद्रित करें और लंबे समय तक आदान-प्रदान से बचें।</v>
      </c>
    </row>
    <row r="418" ht="22.5" customHeight="1">
      <c r="A418" s="2">
        <v>417.0</v>
      </c>
      <c r="B418" s="3" t="s">
        <v>3936</v>
      </c>
      <c r="C418" s="3" t="s">
        <v>3937</v>
      </c>
      <c r="D418" s="3" t="s">
        <v>3938</v>
      </c>
      <c r="F418" s="5" t="str">
        <f>IFERROR(__xludf.DUMMYFUNCTION("GOOGLETRANSLATE(A418, ""en"", ""hi"")"),"417")</f>
        <v>417</v>
      </c>
      <c r="G418" s="5" t="str">
        <f>IFERROR(__xludf.DUMMYFUNCTION("GOOGLETRANSLATE(B418, ""en"", ""hi"")"),"फाइटर बी ऐसी रक्षात्मक शैली अपना रहा है जिससे पार पाना मुश्किल है। फाइटर ए को क्या करना चाहिए?")</f>
        <v>फाइटर बी ऐसी रक्षात्मक शैली अपना रहा है जिससे पार पाना मुश्किल है। फाइटर ए को क्या करना चाहिए?</v>
      </c>
      <c r="H418" s="5" t="str">
        <f>IFERROR(__xludf.DUMMYFUNCTION("GOOGLETRANSLATE(C418, ""en"", ""hi"")"),"A) फाइटर B के डिफेंस को तोड़ने के लिए बॉडी शॉट्स पर ध्यान केंद्रित करें। B) धैर्य रखें और मौके का इंतज़ार करें। C) आक्रामकता बढ़ाएँ और फाइटर B पर हावी होने की कोशिश करें। D) फाइटर B की लय को बिगाड़ने के लिए क्लिंच की स्थिति में आएँ।")</f>
        <v>A) फाइटर B के डिफेंस को तोड़ने के लिए बॉडी शॉट्स पर ध्यान केंद्रित करें। B) धैर्य रखें और मौके का इंतज़ार करें। C) आक्रामकता बढ़ाएँ और फाइटर B पर हावी होने की कोशिश करें। D) फाइटर B की लय को बिगाड़ने के लिए क्लिंच की स्थिति में आएँ।</v>
      </c>
      <c r="I418" s="5" t="str">
        <f>IFERROR(__xludf.DUMMYFUNCTION("GOOGLETRANSLATE(D418, ""en"", ""hi"")"),"ए) फाइटर बी की रक्षा को तोड़ने के लिए बॉडी शॉट्स पर ध्यान केंद्रित करें।")</f>
        <v>ए) फाइटर बी की रक्षा को तोड़ने के लिए बॉडी शॉट्स पर ध्यान केंद्रित करें।</v>
      </c>
    </row>
    <row r="419" ht="22.5" customHeight="1">
      <c r="A419" s="2">
        <v>418.0</v>
      </c>
      <c r="B419" s="3" t="s">
        <v>3939</v>
      </c>
      <c r="C419" s="3" t="s">
        <v>3940</v>
      </c>
      <c r="D419" s="3" t="s">
        <v>3941</v>
      </c>
      <c r="F419" s="5" t="str">
        <f>IFERROR(__xludf.DUMMYFUNCTION("GOOGLETRANSLATE(A419, ""en"", ""hi"")"),"418")</f>
        <v>418</v>
      </c>
      <c r="G419" s="5" t="str">
        <f>IFERROR(__xludf.DUMMYFUNCTION("GOOGLETRANSLATE(B419, ""en"", ""hi"")"),"फाइटर A को रस्सियों की ओर धकेला जा रहा है, और फाइटर B दबाव बढ़ा रहा है। फाइटर A को बचने के लिए क्या करना चाहिए?")</f>
        <v>फाइटर A को रस्सियों की ओर धकेला जा रहा है, और फाइटर B दबाव बढ़ा रहा है। फाइटर A को बचने के लिए क्या करना चाहिए?</v>
      </c>
      <c r="H419" s="5" t="str">
        <f>IFERROR(__xludf.DUMMYFUNCTION("GOOGLETRANSLATE(C419, ""en"", ""hi"")"),"A) रस्सियों से दूर जाने के लिए पैरों की गति और गति का प्रयोग करें। B) फाइटर B की बढ़त को रोकने के लिए क्लिंच की स्थिति में आएँ। C) आक्रामकता बढ़ाएँ और तुरंत पलटवार करें। D) बचाव करें और रेफरी के हस्तक्षेप का इंतज़ार करें।")</f>
        <v>A) रस्सियों से दूर जाने के लिए पैरों की गति और गति का प्रयोग करें। B) फाइटर B की बढ़त को रोकने के लिए क्लिंच की स्थिति में आएँ। C) आक्रामकता बढ़ाएँ और तुरंत पलटवार करें। D) बचाव करें और रेफरी के हस्तक्षेप का इंतज़ार करें।</v>
      </c>
      <c r="I419" s="5" t="str">
        <f>IFERROR(__xludf.DUMMYFUNCTION("GOOGLETRANSLATE(D419, ""en"", ""hi"")"),"ए) रस्सियों से दूर जाने के लिए पैरों की गति और गति का प्रयोग करें।")</f>
        <v>ए) रस्सियों से दूर जाने के लिए पैरों की गति और गति का प्रयोग करें।</v>
      </c>
    </row>
    <row r="420" ht="22.5" customHeight="1">
      <c r="A420" s="2">
        <v>419.0</v>
      </c>
      <c r="B420" s="3" t="s">
        <v>3942</v>
      </c>
      <c r="C420" s="3" t="s">
        <v>3943</v>
      </c>
      <c r="D420" s="3" t="s">
        <v>3944</v>
      </c>
      <c r="F420" s="5" t="str">
        <f>IFERROR(__xludf.DUMMYFUNCTION("GOOGLETRANSLATE(A420, ""en"", ""hi"")"),"419")</f>
        <v>419</v>
      </c>
      <c r="G420" s="5" t="str">
        <f>IFERROR(__xludf.DUMMYFUNCTION("GOOGLETRANSLATE(B420, ""en"", ""hi"")"),"फाइटर B लगातार मज़बूत कॉम्बिनेशन फेंक रहा है, लेकिन फाइटर A को बचाव करने में दिक्कत हो रही है। फाइटर A को क्या करना चाहिए?")</f>
        <v>फाइटर B लगातार मज़बूत कॉम्बिनेशन फेंक रहा है, लेकिन फाइटर A को बचाव करने में दिक्कत हो रही है। फाइटर A को क्या करना चाहिए?</v>
      </c>
      <c r="H420" s="5" t="str">
        <f>IFERROR(__xludf.DUMMYFUNCTION("GOOGLETRANSLATE(C420, ""en"", ""hi"")"),"A) फाइटर B के हमलों को कम करने के लिए क्लिंच की स्थिति में आएँ। B) मुक्कों से बचने के लिए सिर की गति पर ध्यान केंद्रित करें। C) जब फाइटर B कोई कॉम्बिनेशन पूरा कर ले, तो बचाव करें और पलटवार करें। D) फाइटर B की लय को बिगाड़ने के लिए आक्रामकता बढ़ाएँ।")</f>
        <v>A) फाइटर B के हमलों को कम करने के लिए क्लिंच की स्थिति में आएँ। B) मुक्कों से बचने के लिए सिर की गति पर ध्यान केंद्रित करें। C) जब फाइटर B कोई कॉम्बिनेशन पूरा कर ले, तो बचाव करें और पलटवार करें। D) फाइटर B की लय को बिगाड़ने के लिए आक्रामकता बढ़ाएँ।</v>
      </c>
      <c r="I420" s="5" t="str">
        <f>IFERROR(__xludf.DUMMYFUNCTION("GOOGLETRANSLATE(D420, ""en"", ""hi"")"),"सी) जब फाइटर बी संयोजन समाप्त कर ले तो बचाव करें और जवाबी हमला करें।")</f>
        <v>सी) जब फाइटर बी संयोजन समाप्त कर ले तो बचाव करें और जवाबी हमला करें।</v>
      </c>
    </row>
    <row r="421" ht="22.5" customHeight="1">
      <c r="A421" s="2">
        <v>420.0</v>
      </c>
      <c r="B421" s="3" t="s">
        <v>3945</v>
      </c>
      <c r="C421" s="3" t="s">
        <v>3946</v>
      </c>
      <c r="D421" s="3" t="s">
        <v>3947</v>
      </c>
      <c r="F421" s="5" t="str">
        <f>IFERROR(__xludf.DUMMYFUNCTION("GOOGLETRANSLATE(A421, ""en"", ""hi"")"),"420")</f>
        <v>420</v>
      </c>
      <c r="G421" s="5" t="str">
        <f>IFERROR(__xludf.DUMMYFUNCTION("GOOGLETRANSLATE(B421, ""en"", ""hi"")"),"फाइटर A का फुटवर्क तेज़ है, लेकिन फाइटर B नज़दीकी मुकाबले में ज़्यादा मज़बूत है। फाइटर A को किस पर ध्यान देना चाहिए?")</f>
        <v>फाइटर A का फुटवर्क तेज़ है, लेकिन फाइटर B नज़दीकी मुकाबले में ज़्यादा मज़बूत है। फाइटर A को किस पर ध्यान देना चाहिए?</v>
      </c>
      <c r="H421" s="5" t="str">
        <f>IFERROR(__xludf.DUMMYFUNCTION("GOOGLETRANSLATE(C421, ""en"", ""hi"")"),"क) नज़दीकी मुक़ाबले से बचने के लिए बाहर की ओर रहें और पैरों का इस्तेमाल करें। ख) फ़ाइटर बी की शक्ति को कम करने के लिए क्लिंच की स्थिति में आएँ। ग) जहाँ तक संभव हो, बचाव और जवाबी हमले पर ध्यान केंद्रित करें। घ) फ़ाइटर बी की शक्ति के बराबर आक्रामकता बढ़ाएँ।")</f>
        <v>क) नज़दीकी मुक़ाबले से बचने के लिए बाहर की ओर रहें और पैरों का इस्तेमाल करें। ख) फ़ाइटर बी की शक्ति को कम करने के लिए क्लिंच की स्थिति में आएँ। ग) जहाँ तक संभव हो, बचाव और जवाबी हमले पर ध्यान केंद्रित करें। घ) फ़ाइटर बी की शक्ति के बराबर आक्रामकता बढ़ाएँ।</v>
      </c>
      <c r="I421" s="5" t="str">
        <f>IFERROR(__xludf.DUMMYFUNCTION("GOOGLETRANSLATE(D421, ""en"", ""hi"")"),"ए) नजदीकी मुकाबले से बचने के लिए बाहर की ओर रहें और फुटवर्क का उपयोग करें।")</f>
        <v>ए) नजदीकी मुकाबले से बचने के लिए बाहर की ओर रहें और फुटवर्क का उपयोग करें।</v>
      </c>
    </row>
    <row r="422" ht="22.5" customHeight="1">
      <c r="A422" s="2">
        <v>421.0</v>
      </c>
      <c r="B422" s="3" t="s">
        <v>3948</v>
      </c>
      <c r="C422" s="3" t="s">
        <v>3949</v>
      </c>
      <c r="D422" s="3" t="s">
        <v>3950</v>
      </c>
      <c r="F422" s="5" t="str">
        <f>IFERROR(__xludf.DUMMYFUNCTION("GOOGLETRANSLATE(A422, ""en"", ""hi"")"),"421")</f>
        <v>421</v>
      </c>
      <c r="G422" s="5" t="str">
        <f>IFERROR(__xludf.DUMMYFUNCTION("GOOGLETRANSLATE(B422, ""en"", ""hi"")"),"फाइटर बी, फाइटर ए के मुक्कों से बचने के लिए सिर हिला रहा है। फाइटर ए को कैसे एडजस्ट करना चाहिए?")</f>
        <v>फाइटर बी, फाइटर ए के मुक्कों से बचने के लिए सिर हिला रहा है। फाइटर ए को कैसे एडजस्ट करना चाहिए?</v>
      </c>
      <c r="H422" s="5" t="str">
        <f>IFERROR(__xludf.DUMMYFUNCTION("GOOGLETRANSLATE(C422, ""en"", ""hi"")"),"A) सिर पर मुक्कों की बजाय शरीर पर वार करने पर ध्यान केंद्रित करें। B) फाइटर B को असंतुलित रखने के लिए ज़्यादा घूंसे मारें। C) फाइटर B की गति को कम करने के लिए क्लिंच की स्थिति में आएँ। D) आक्रामकता बढ़ाएँ और पावर शॉट लगाने का लक्ष्य रखें।")</f>
        <v>A) सिर पर मुक्कों की बजाय शरीर पर वार करने पर ध्यान केंद्रित करें। B) फाइटर B को असंतुलित रखने के लिए ज़्यादा घूंसे मारें। C) फाइटर B की गति को कम करने के लिए क्लिंच की स्थिति में आएँ। D) आक्रामकता बढ़ाएँ और पावर शॉट लगाने का लक्ष्य रखें।</v>
      </c>
      <c r="I422" s="5" t="str">
        <f>IFERROR(__xludf.DUMMYFUNCTION("GOOGLETRANSLATE(D422, ""en"", ""hi"")"),"क) सिर पर मुक्का मारने के बजाय शरीर पर प्रहार करने पर ध्यान केन्द्रित करें।")</f>
        <v>क) सिर पर मुक्का मारने के बजाय शरीर पर प्रहार करने पर ध्यान केन्द्रित करें।</v>
      </c>
    </row>
    <row r="423" ht="22.5" customHeight="1">
      <c r="A423" s="2">
        <v>422.0</v>
      </c>
      <c r="B423" s="3" t="s">
        <v>3951</v>
      </c>
      <c r="C423" s="3" t="s">
        <v>3952</v>
      </c>
      <c r="D423" s="3" t="s">
        <v>3953</v>
      </c>
      <c r="F423" s="5" t="str">
        <f>IFERROR(__xludf.DUMMYFUNCTION("GOOGLETRANSLATE(A423, ""en"", ""hi"")"),"422")</f>
        <v>422</v>
      </c>
      <c r="G423" s="5" t="str">
        <f>IFERROR(__xludf.DUMMYFUNCTION("GOOGLETRANSLATE(B423, ""en"", ""hi"")"),"फाइटर A, फाइटर B की क्लिंचिंग रणनीति से निराश हो रहा है। फाइटर A को क्या करना चाहिए?")</f>
        <v>फाइटर A, फाइटर B की क्लिंचिंग रणनीति से निराश हो रहा है। फाइटर A को क्या करना चाहिए?</v>
      </c>
      <c r="H423" s="5" t="str">
        <f>IFERROR(__xludf.DUMMYFUNCTION("GOOGLETRANSLATE(C423, ""en"", ""hi"")"),"क) आक्रामकता बढ़ाएँ और क्लिंच से मुक्त होने का प्रयास करें। ख) क्लिंच के दौरान बॉडी शॉट्स पर ध्यान केंद्रित करें। ग) धैर्य रखें और अवसर की प्रतीक्षा करें। घ) क्लिंच से बचाव करें और काउंटर की तलाश करें।")</f>
        <v>क) आक्रामकता बढ़ाएँ और क्लिंच से मुक्त होने का प्रयास करें। ख) क्लिंच के दौरान बॉडी शॉट्स पर ध्यान केंद्रित करें। ग) धैर्य रखें और अवसर की प्रतीक्षा करें। घ) क्लिंच से बचाव करें और काउंटर की तलाश करें।</v>
      </c>
      <c r="I423" s="5" t="str">
        <f>IFERROR(__xludf.DUMMYFUNCTION("GOOGLETRANSLATE(D423, ""en"", ""hi"")"),"बी) क्लिंच के दौरान बॉडी शॉट्स पर ध्यान केंद्रित करें।")</f>
        <v>बी) क्लिंच के दौरान बॉडी शॉट्स पर ध्यान केंद्रित करें।</v>
      </c>
    </row>
    <row r="424" ht="22.5" customHeight="1">
      <c r="A424" s="2">
        <v>423.0</v>
      </c>
      <c r="B424" s="3" t="s">
        <v>3954</v>
      </c>
      <c r="C424" s="3" t="s">
        <v>3955</v>
      </c>
      <c r="D424" s="3" t="s">
        <v>3956</v>
      </c>
      <c r="F424" s="5" t="str">
        <f>IFERROR(__xludf.DUMMYFUNCTION("GOOGLETRANSLATE(A424, ""en"", ""hi"")"),"423")</f>
        <v>423</v>
      </c>
      <c r="G424" s="5" t="str">
        <f>IFERROR(__xludf.DUMMYFUNCTION("GOOGLETRANSLATE(B424, ""en"", ""hi"")"),"फाइटर ए अपने पैरों पर तेजी से आगे बढ़ रहा है, लेकिन फाइटर बी द्वारा कोनों में दबाव डाला जा रहा है। फाइटर ए को कैसे बचना चाहिए?")</f>
        <v>फाइटर ए अपने पैरों पर तेजी से आगे बढ़ रहा है, लेकिन फाइटर बी द्वारा कोनों में दबाव डाला जा रहा है। फाइटर ए को कैसे बचना चाहिए?</v>
      </c>
      <c r="H424" s="5" t="str">
        <f>IFERROR(__xludf.DUMMYFUNCTION("GOOGLETRANSLATE(C424, ""en"", ""hi"")"),"A) कोनों से दूर जाने के लिए पैरों का इस्तेमाल करें। B) फाइटर B की बढ़त को रोकने के लिए क्लिंच की स्थिति में आएँ। C) बचाव करें और रेफरी के एक्शन रोकने का इंतज़ार करें। D) फाइटर B को पीछे धकेलने के लिए आक्रामकता बढ़ाएँ।")</f>
        <v>A) कोनों से दूर जाने के लिए पैरों का इस्तेमाल करें। B) फाइटर B की बढ़त को रोकने के लिए क्लिंच की स्थिति में आएँ। C) बचाव करें और रेफरी के एक्शन रोकने का इंतज़ार करें। D) फाइटर B को पीछे धकेलने के लिए आक्रामकता बढ़ाएँ।</v>
      </c>
      <c r="I424" s="5" t="str">
        <f>IFERROR(__xludf.DUMMYFUNCTION("GOOGLETRANSLATE(D424, ""en"", ""hi"")"),"क) कोनों से दूर जाने के लिए फुटवर्क का उपयोग करें।")</f>
        <v>क) कोनों से दूर जाने के लिए फुटवर्क का उपयोग करें।</v>
      </c>
    </row>
    <row r="425" ht="22.5" customHeight="1">
      <c r="A425" s="2">
        <v>424.0</v>
      </c>
      <c r="B425" s="3" t="s">
        <v>3957</v>
      </c>
      <c r="C425" s="3" t="s">
        <v>3958</v>
      </c>
      <c r="D425" s="3" t="s">
        <v>3959</v>
      </c>
      <c r="F425" s="5" t="str">
        <f>IFERROR(__xludf.DUMMYFUNCTION("GOOGLETRANSLATE(A425, ""en"", ""hi"")"),"424")</f>
        <v>424</v>
      </c>
      <c r="G425" s="5" t="str">
        <f>IFERROR(__xludf.DUMMYFUNCTION("GOOGLETRANSLATE(B425, ""en"", ""hi"")"),"फाइटर बी ज़ोरदार हुक लगा रहा है, और फाइटर ए बचाव करने में संघर्ष कर रहा है। फाइटर ए को किस पर ध्यान केंद्रित करना चाहिए?")</f>
        <v>फाइटर बी ज़ोरदार हुक लगा रहा है, और फाइटर ए बचाव करने में संघर्ष कर रहा है। फाइटर ए को किस पर ध्यान केंद्रित करना चाहिए?</v>
      </c>
      <c r="H425" s="5" t="str">
        <f>IFERROR(__xludf.DUMMYFUNCTION("GOOGLETRANSLATE(C425, ""en"", ""hi"")"),"A) हुक को रोकें और पलटवार करें। B) फाइटर B की ताकत कम करने के लिए क्लिंच की स्थिति में आएँ। C) हुक से बचने के लिए सिर की गति बढ़ाएँ। D) फाइटर B को दूर रखने के लिए जैब लगाएँ।")</f>
        <v>A) हुक को रोकें और पलटवार करें। B) फाइटर B की ताकत कम करने के लिए क्लिंच की स्थिति में आएँ। C) हुक से बचने के लिए सिर की गति बढ़ाएँ। D) फाइटर B को दूर रखने के लिए जैब लगाएँ।</v>
      </c>
      <c r="I425" s="5" t="str">
        <f>IFERROR(__xludf.DUMMYFUNCTION("GOOGLETRANSLATE(D425, ""en"", ""hi"")"),"सी) हुक से बचने के लिए सिर की गति बढ़ाएँ।")</f>
        <v>सी) हुक से बचने के लिए सिर की गति बढ़ाएँ।</v>
      </c>
    </row>
    <row r="426" ht="22.5" customHeight="1">
      <c r="A426" s="2">
        <v>425.0</v>
      </c>
      <c r="B426" s="3" t="s">
        <v>3960</v>
      </c>
      <c r="C426" s="3" t="s">
        <v>3961</v>
      </c>
      <c r="D426" s="3" t="s">
        <v>3962</v>
      </c>
      <c r="F426" s="5" t="str">
        <f>IFERROR(__xludf.DUMMYFUNCTION("GOOGLETRANSLATE(A426, ""en"", ""hi"")"),"425")</f>
        <v>425</v>
      </c>
      <c r="G426" s="5" t="str">
        <f>IFERROR(__xludf.DUMMYFUNCTION("GOOGLETRANSLATE(B426, ""en"", ""hi"")"),"फाइटर A अंकों के आधार पर आगे चल रहा है, लेकिन फाइटर B नॉकआउट की कोशिश कर रहा है। फाइटर A को आगे कैसे बढ़ना चाहिए?")</f>
        <v>फाइटर A अंकों के आधार पर आगे चल रहा है, लेकिन फाइटर B नॉकआउट की कोशिश कर रहा है। फाइटर A को आगे कैसे बढ़ना चाहिए?</v>
      </c>
      <c r="H426" s="5" t="str">
        <f>IFERROR(__xludf.DUMMYFUNCTION("GOOGLETRANSLATE(C426, ""en"", ""hi"")"),"A) बचाव करें और जोखिम भरे हमलों से बचें। B) फाइटर B के हमलों को रोकने के लिए आक्रामकता बढ़ाएँ। C) फाइटर B की ताकत कम करने के लिए क्लिंच की स्थिति में आएँ। D) पीछे रहें और जवाबी मुक्के मारें।")</f>
        <v>A) बचाव करें और जोखिम भरे हमलों से बचें। B) फाइटर B के हमलों को रोकने के लिए आक्रामकता बढ़ाएँ। C) फाइटर B की ताकत कम करने के लिए क्लिंच की स्थिति में आएँ। D) पीछे रहें और जवाबी मुक्के मारें।</v>
      </c>
      <c r="I426" s="5" t="str">
        <f>IFERROR(__xludf.DUMMYFUNCTION("GOOGLETRANSLATE(D426, ""en"", ""hi"")"),"क) जोखिमपूर्ण आदान-प्रदान से बचें और उससे बचाव करें।")</f>
        <v>क) जोखिमपूर्ण आदान-प्रदान से बचें और उससे बचाव करें।</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2">
        <v>1.0</v>
      </c>
      <c r="B2" s="3" t="s">
        <v>3963</v>
      </c>
      <c r="C2" s="3" t="s">
        <v>3964</v>
      </c>
      <c r="D2" s="3" t="s">
        <v>3965</v>
      </c>
      <c r="F2" s="5" t="str">
        <f>IFERROR(__xludf.DUMMYFUNCTION("GOOGLETRANSLATE(A2, ""en"", ""hi"")"),"1")</f>
        <v>1</v>
      </c>
      <c r="G2" s="5" t="str">
        <f>IFERROR(__xludf.DUMMYFUNCTION("GOOGLETRANSLATE(B2, ""en"", ""hi"")"),"लागोरी के एक खेल में, खिलाड़ी A गेंद को हिट करता है और गेंद सीमा रेखा के बाहर गिरती है। खिलाड़ी A की टीम के लिए इसका तत्काल परिणाम क्या होगा?")</f>
        <v>लागोरी के एक खेल में, खिलाड़ी A गेंद को हिट करता है और गेंद सीमा रेखा के बाहर गिरती है। खिलाड़ी A की टीम के लिए इसका तत्काल परिणाम क्या होगा?</v>
      </c>
      <c r="H2" s="5" t="str">
        <f>IFERROR(__xludf.DUMMYFUNCTION("GOOGLETRANSLATE(C2, ""en"", ""hi"")"),"A) टीम अपनी बारी खो देती है और दूसरी टीम को एक अंक मिलता है। , B) टीम को एक अंक मिलता है। , C) टीम बिना किसी दंड के खेलना जारी रखती है। , D) गेंद वापस मिलने तक खेल रुका रहता है।")</f>
        <v>A) टीम अपनी बारी खो देती है और दूसरी टीम को एक अंक मिलता है। , B) टीम को एक अंक मिलता है। , C) टीम बिना किसी दंड के खेलना जारी रखती है। , D) गेंद वापस मिलने तक खेल रुका रहता है।</v>
      </c>
      <c r="I2" s="5" t="str">
        <f>IFERROR(__xludf.DUMMYFUNCTION("GOOGLETRANSLATE(D2, ""en"", ""hi"")"),"A) टीम अपनी बारी खो देती है और दूसरी टीम को एक अंक मिलता है।")</f>
        <v>A) टीम अपनी बारी खो देती है और दूसरी टीम को एक अंक मिलता है।</v>
      </c>
    </row>
    <row r="3" ht="22.5" customHeight="1">
      <c r="A3" s="2">
        <v>2.0</v>
      </c>
      <c r="B3" s="3" t="s">
        <v>3966</v>
      </c>
      <c r="C3" s="3" t="s">
        <v>3967</v>
      </c>
      <c r="D3" s="3" t="s">
        <v>3968</v>
      </c>
      <c r="F3" s="5" t="str">
        <f>IFERROR(__xludf.DUMMYFUNCTION("GOOGLETRANSLATE(A3, ""en"", ""hi"")"),"2")</f>
        <v>2</v>
      </c>
      <c r="G3" s="5" t="str">
        <f>IFERROR(__xludf.DUMMYFUNCTION("GOOGLETRANSLATE(B3, ""en"", ""hi"")"),"लागोरी मैच के दौरान, टीम X सभी 7 पत्थरों को सफलतापूर्वक गिरा देती है। गेम जीतने के लिए टीम X को अब क्या करना होगा?")</f>
        <v>लागोरी मैच के दौरान, टीम X सभी 7 पत्थरों को सफलतापूर्वक गिरा देती है। गेम जीतने के लिए टीम X को अब क्या करना होगा?</v>
      </c>
      <c r="H3" s="5" t="str">
        <f>IFERROR(__xludf.DUMMYFUNCTION("GOOGLETRANSLATE(C3, ""en"", ""hi"")"),"ए) टीम एक्स को टीम वाई को पत्थरों को बहाल करने से रोकना होगा।, बी) टीम एक्स को तुरंत पत्थरों को खुद बहाल करना होगा।, सी) टीम एक्स को टाइमआउट के लिए कॉल करना होगा।, डी) टीम एक्स को टीम वाई से अधिक अंक स्कोर करना होगा।")</f>
        <v>ए) टीम एक्स को टीम वाई को पत्थरों को बहाल करने से रोकना होगा।, बी) टीम एक्स को तुरंत पत्थरों को खुद बहाल करना होगा।, सी) टीम एक्स को टाइमआउट के लिए कॉल करना होगा।, डी) टीम एक्स को टीम वाई से अधिक अंक स्कोर करना होगा।</v>
      </c>
      <c r="I3" s="5" t="str">
        <f>IFERROR(__xludf.DUMMYFUNCTION("GOOGLETRANSLATE(D3, ""en"", ""hi"")"),"A) टीम X को टीम Y को पत्थर वापस लाने से रोकना होगा।")</f>
        <v>A) टीम X को टीम Y को पत्थर वापस लाने से रोकना होगा।</v>
      </c>
    </row>
    <row r="4" ht="22.5" customHeight="1">
      <c r="A4" s="2">
        <v>3.0</v>
      </c>
      <c r="B4" s="3" t="s">
        <v>3969</v>
      </c>
      <c r="C4" s="3" t="s">
        <v>3970</v>
      </c>
      <c r="D4" s="3" t="s">
        <v>3971</v>
      </c>
      <c r="F4" s="5" t="str">
        <f>IFERROR(__xludf.DUMMYFUNCTION("GOOGLETRANSLATE(A4, ""en"", ""hi"")"),"3")</f>
        <v>3</v>
      </c>
      <c r="G4" s="5" t="str">
        <f>IFERROR(__xludf.DUMMYFUNCTION("GOOGLETRANSLATE(B4, ""en"", ""hi"")"),"लागोरी खेल में, खिलाड़ी B पत्थरों को गिराने के लिए गेंद फेंकने वाला है। अगर खिलाड़ी B पत्थरों को गिराने से चूक जाता है, लेकिन खिलाड़ी C को लग जाता है, तो आगे क्या होगा?")</f>
        <v>लागोरी खेल में, खिलाड़ी B पत्थरों को गिराने के लिए गेंद फेंकने वाला है। अगर खिलाड़ी B पत्थरों को गिराने से चूक जाता है, लेकिन खिलाड़ी C को लग जाता है, तो आगे क्या होगा?</v>
      </c>
      <c r="H4" s="5" t="str">
        <f>IFERROR(__xludf.DUMMYFUNCTION("GOOGLETRANSLATE(C4, ""en"", ""hi"")"),"A) खिलाड़ी C आउट हो जाता है और उसे मैदान छोड़ना पड़ता है। , B) गेंद दूसरी टीम को दे दी जाती है। , C) खिलाड़ी B को गेंद फेंकने का एक और मौका मिलता है। , D) खेल बिना किसी पेनल्टी के जारी रहता है।")</f>
        <v>A) खिलाड़ी C आउट हो जाता है और उसे मैदान छोड़ना पड़ता है। , B) गेंद दूसरी टीम को दे दी जाती है। , C) खिलाड़ी B को गेंद फेंकने का एक और मौका मिलता है। , D) खेल बिना किसी पेनल्टी के जारी रहता है।</v>
      </c>
      <c r="I4" s="5" t="str">
        <f>IFERROR(__xludf.DUMMYFUNCTION("GOOGLETRANSLATE(D4, ""en"", ""hi"")"),"B) गेंद दूसरी टीम को दे दी जाती है।")</f>
        <v>B) गेंद दूसरी टीम को दे दी जाती है।</v>
      </c>
    </row>
    <row r="5" ht="22.5" customHeight="1">
      <c r="A5" s="2">
        <v>4.0</v>
      </c>
      <c r="B5" s="3" t="s">
        <v>3972</v>
      </c>
      <c r="C5" s="3" t="s">
        <v>3973</v>
      </c>
      <c r="D5" s="3" t="s">
        <v>3974</v>
      </c>
      <c r="F5" s="5" t="str">
        <f>IFERROR(__xludf.DUMMYFUNCTION("GOOGLETRANSLATE(A5, ""en"", ""hi"")"),"4")</f>
        <v>4</v>
      </c>
      <c r="G5" s="5" t="str">
        <f>IFERROR(__xludf.DUMMYFUNCTION("GOOGLETRANSLATE(B5, ""en"", ""hi"")"),"यदि लागोरी खेल दो टीमों के बीच खेला जाता है और टीम ए बिना कोई पत्थर गिराए अपनी बारी समाप्त कर देती है, तो दंड क्या है?")</f>
        <v>यदि लागोरी खेल दो टीमों के बीच खेला जाता है और टीम ए बिना कोई पत्थर गिराए अपनी बारी समाप्त कर देती है, तो दंड क्या है?</v>
      </c>
      <c r="H5" s="5" t="str">
        <f>IFERROR(__xludf.DUMMYFUNCTION("GOOGLETRANSLATE(C5, ""en"", ""hi"")"),"A) टीम A अपनी बारी खो देती है और टीम B को फेंकने का मौका मिलता है। , B) टीम A को सभी पत्थर वापस लाने होंगे। , C) टीम A को एक अतिरिक्त बारी दी जाती है। , D) टीम A एक अंक खो देती है।")</f>
        <v>A) टीम A अपनी बारी खो देती है और टीम B को फेंकने का मौका मिलता है। , B) टीम A को सभी पत्थर वापस लाने होंगे। , C) टीम A को एक अतिरिक्त बारी दी जाती है। , D) टीम A एक अंक खो देती है।</v>
      </c>
      <c r="I5" s="5" t="str">
        <f>IFERROR(__xludf.DUMMYFUNCTION("GOOGLETRANSLATE(D5, ""en"", ""hi"")"),"A) टीम A अपनी बारी खो देती है और टीम B को गेंद फेंकने का मौका मिलता है।")</f>
        <v>A) टीम A अपनी बारी खो देती है और टीम B को गेंद फेंकने का मौका मिलता है।</v>
      </c>
    </row>
    <row r="6" ht="22.5" customHeight="1">
      <c r="A6" s="2">
        <v>5.0</v>
      </c>
      <c r="B6" s="3" t="s">
        <v>3975</v>
      </c>
      <c r="C6" s="3" t="s">
        <v>3976</v>
      </c>
      <c r="D6" s="3" t="s">
        <v>602</v>
      </c>
      <c r="F6" s="5" t="str">
        <f>IFERROR(__xludf.DUMMYFUNCTION("GOOGLETRANSLATE(A6, ""en"", ""hi"")"),"5")</f>
        <v>5</v>
      </c>
      <c r="G6" s="5" t="str">
        <f>IFERROR(__xludf.DUMMYFUNCTION("GOOGLETRANSLATE(B6, ""en"", ""hi"")"),"लागोरी में, एक मानक खेल में पारंपरिक रूप से कितने पत्थरों का उपयोग किया जाता है?")</f>
        <v>लागोरी में, एक मानक खेल में पारंपरिक रूप से कितने पत्थरों का उपयोग किया जाता है?</v>
      </c>
      <c r="H6" s="5" t="str">
        <f>IFERROR(__xludf.DUMMYFUNCTION("GOOGLETRANSLATE(C6, ""en"", ""hi"")"),"ए) 5, बी) 7, सी) 9, डी) 11")</f>
        <v>ए) 5, बी) 7, सी) 9, डी) 11</v>
      </c>
      <c r="I6" s="5" t="str">
        <f>IFERROR(__xludf.DUMMYFUNCTION("GOOGLETRANSLATE(D6, ""en"", ""hi"")"),"बी) 7")</f>
        <v>बी) 7</v>
      </c>
    </row>
    <row r="7" ht="22.5" customHeight="1">
      <c r="A7" s="2">
        <v>6.0</v>
      </c>
      <c r="B7" s="3" t="s">
        <v>3977</v>
      </c>
      <c r="C7" s="3" t="s">
        <v>3978</v>
      </c>
      <c r="D7" s="3" t="s">
        <v>3979</v>
      </c>
      <c r="F7" s="5" t="str">
        <f>IFERROR(__xludf.DUMMYFUNCTION("GOOGLETRANSLATE(A7, ""en"", ""hi"")"),"6")</f>
        <v>6</v>
      </c>
      <c r="G7" s="5" t="str">
        <f>IFERROR(__xludf.DUMMYFUNCTION("GOOGLETRANSLATE(B7, ""en"", ""hi"")"),"यदि लागोरी खेल में दोनों टीमों के अंक समान हों तो मानक प्रक्रिया क्या होगी?")</f>
        <v>यदि लागोरी खेल में दोनों टीमों के अंक समान हों तो मानक प्रक्रिया क्या होगी?</v>
      </c>
      <c r="H7" s="5" t="str">
        <f>IFERROR(__xludf.DUMMYFUNCTION("GOOGLETRANSLATE(C7, ""en"", ""hi"")"),"ए) खेल को ड्रॉ घोषित किया जाता है।, बी) विजेता का निर्धारण करने के लिए एक अतिरिक्त राउंड खेला जाता है।, सी) सबसे अधिक नॉक वाली टीम जीत जाती है।, डी) खेल तब तक जारी रहता है जब तक कि एक टीम अधिक अंक नहीं बना लेती।")</f>
        <v>ए) खेल को ड्रॉ घोषित किया जाता है।, बी) विजेता का निर्धारण करने के लिए एक अतिरिक्त राउंड खेला जाता है।, सी) सबसे अधिक नॉक वाली टीम जीत जाती है।, डी) खेल तब तक जारी रहता है जब तक कि एक टीम अधिक अंक नहीं बना लेती।</v>
      </c>
      <c r="I7" s="5" t="str">
        <f>IFERROR(__xludf.DUMMYFUNCTION("GOOGLETRANSLATE(D7, ""en"", ""hi"")"),"बी) विजेता का निर्धारण करने के लिए एक अतिरिक्त राउंड खेला जाता है।")</f>
        <v>बी) विजेता का निर्धारण करने के लिए एक अतिरिक्त राउंड खेला जाता है।</v>
      </c>
    </row>
    <row r="8" ht="22.5" customHeight="1">
      <c r="A8" s="2">
        <v>7.0</v>
      </c>
      <c r="B8" s="3" t="s">
        <v>3980</v>
      </c>
      <c r="C8" s="3" t="s">
        <v>3981</v>
      </c>
      <c r="D8" s="3" t="s">
        <v>3982</v>
      </c>
      <c r="F8" s="5" t="str">
        <f>IFERROR(__xludf.DUMMYFUNCTION("GOOGLETRANSLATE(A8, ""en"", ""hi"")"),"7")</f>
        <v>7</v>
      </c>
      <c r="G8" s="5" t="str">
        <f>IFERROR(__xludf.DUMMYFUNCTION("GOOGLETRANSLATE(B8, ""en"", ""hi"")"),"लागोरी खेल में यदि किसी खिलाड़ी को गेंद लगती है, लेकिन गेंद किसी पत्थर पर नहीं लगती, तो नियम क्या है?")</f>
        <v>लागोरी खेल में यदि किसी खिलाड़ी को गेंद लगती है, लेकिन गेंद किसी पत्थर पर नहीं लगती, तो नियम क्या है?</v>
      </c>
      <c r="H8" s="5" t="str">
        <f>IFERROR(__xludf.DUMMYFUNCTION("GOOGLETRANSLATE(C8, ""en"", ""hi"")"),"ए) खिलाड़ी आउट हो गया है और उसे मैदान छोड़ना होगा।, बी) खेल बिना किसी दंड के जारी रहता है।, सी) गेंद फेंकने वाला खिलाड़ी आउट हो गया है।, डी) पत्थरों को वापस लाना होगा।")</f>
        <v>ए) खिलाड़ी आउट हो गया है और उसे मैदान छोड़ना होगा।, बी) खेल बिना किसी दंड के जारी रहता है।, सी) गेंद फेंकने वाला खिलाड़ी आउट हो गया है।, डी) पत्थरों को वापस लाना होगा।</v>
      </c>
      <c r="I8" s="5" t="str">
        <f>IFERROR(__xludf.DUMMYFUNCTION("GOOGLETRANSLATE(D8, ""en"", ""hi"")"),"बी) खेल बिना किसी दंड के जारी रहता है।")</f>
        <v>बी) खेल बिना किसी दंड के जारी रहता है।</v>
      </c>
    </row>
    <row r="9" ht="22.5" customHeight="1">
      <c r="A9" s="2">
        <v>8.0</v>
      </c>
      <c r="B9" s="3" t="s">
        <v>3983</v>
      </c>
      <c r="C9" s="3" t="s">
        <v>3984</v>
      </c>
      <c r="D9" s="3" t="s">
        <v>3985</v>
      </c>
      <c r="F9" s="5" t="str">
        <f>IFERROR(__xludf.DUMMYFUNCTION("GOOGLETRANSLATE(A9, ""en"", ""hi"")"),"8")</f>
        <v>8</v>
      </c>
      <c r="G9" s="5" t="str">
        <f>IFERROR(__xludf.DUMMYFUNCTION("GOOGLETRANSLATE(B9, ""en"", ""hi"")"),"लागोरी मैच के दौरान, यदि गेंद पत्थरों से टकराती है, लेकिन उन्हें गिराने में असफल रहती है, तो आगे क्या होगा?")</f>
        <v>लागोरी मैच के दौरान, यदि गेंद पत्थरों से टकराती है, लेकिन उन्हें गिराने में असफल रहती है, तो आगे क्या होगा?</v>
      </c>
      <c r="H9" s="5" t="str">
        <f>IFERROR(__xludf.DUMMYFUNCTION("GOOGLETRANSLATE(C9, ""en"", ""hi"")"),"A) गेंद दूसरी टीम को दे दी जाती है। , B) पत्थर तुरंत वापस कर दिए जाते हैं। , C) गेंद फेंकने वाला खिलाड़ी आउट हो जाता है। , D) खेल रोक दिया जाता है।")</f>
        <v>A) गेंद दूसरी टीम को दे दी जाती है। , B) पत्थर तुरंत वापस कर दिए जाते हैं। , C) गेंद फेंकने वाला खिलाड़ी आउट हो जाता है। , D) खेल रोक दिया जाता है।</v>
      </c>
      <c r="I9" s="5" t="str">
        <f>IFERROR(__xludf.DUMMYFUNCTION("GOOGLETRANSLATE(D9, ""en"", ""hi"")"),"A) गेंद दूसरी टीम को दे दी जाती है।")</f>
        <v>A) गेंद दूसरी टीम को दे दी जाती है।</v>
      </c>
    </row>
    <row r="10" ht="22.5" customHeight="1">
      <c r="A10" s="2">
        <v>9.0</v>
      </c>
      <c r="B10" s="3" t="s">
        <v>3986</v>
      </c>
      <c r="C10" s="3" t="s">
        <v>3987</v>
      </c>
      <c r="D10" s="3" t="s">
        <v>3988</v>
      </c>
      <c r="F10" s="5" t="str">
        <f>IFERROR(__xludf.DUMMYFUNCTION("GOOGLETRANSLATE(A10, ""en"", ""hi"")"),"9")</f>
        <v>9</v>
      </c>
      <c r="G10" s="5" t="str">
        <f>IFERROR(__xludf.DUMMYFUNCTION("GOOGLETRANSLATE(B10, ""en"", ""hi"")"),"लागोरी में, यदि कोई खिलाड़ी जानबूझकर अपनी ही टीम के सदस्यों को गेंद मारकर धोखाधड़ी करते हुए पकड़ा जाता है, तो मानक दंड क्या है?")</f>
        <v>लागोरी में, यदि कोई खिलाड़ी जानबूझकर अपनी ही टीम के सदस्यों को गेंद मारकर धोखाधड़ी करते हुए पकड़ा जाता है, तो मानक दंड क्या है?</v>
      </c>
      <c r="H10" s="5" t="str">
        <f>IFERROR(__xludf.DUMMYFUNCTION("GOOGLETRANSLATE(C10, ""en"", ""hi"")"),"A) टीम अपनी बारी खो देती है। , B) टीम मैच से अयोग्य घोषित कर दी जाती है। , C) खिलाड़ी आउट हो जाता है। , D) खेल पुनः शुरू हो जाता है।")</f>
        <v>A) टीम अपनी बारी खो देती है। , B) टीम मैच से अयोग्य घोषित कर दी जाती है। , C) खिलाड़ी आउट हो जाता है। , D) खेल पुनः शुरू हो जाता है।</v>
      </c>
      <c r="I10" s="5" t="str">
        <f>IFERROR(__xludf.DUMMYFUNCTION("GOOGLETRANSLATE(D10, ""en"", ""hi"")"),"A) टीम अपनी बारी खो देती है।")</f>
        <v>A) टीम अपनी बारी खो देती है।</v>
      </c>
    </row>
    <row r="11" ht="22.5" customHeight="1">
      <c r="A11" s="2">
        <v>10.0</v>
      </c>
      <c r="B11" s="3" t="s">
        <v>3989</v>
      </c>
      <c r="C11" s="3" t="s">
        <v>3990</v>
      </c>
      <c r="D11" s="3" t="s">
        <v>3991</v>
      </c>
      <c r="F11" s="5" t="str">
        <f>IFERROR(__xludf.DUMMYFUNCTION("GOOGLETRANSLATE(A11, ""en"", ""hi"")"),"10")</f>
        <v>10</v>
      </c>
      <c r="G11" s="5" t="str">
        <f>IFERROR(__xludf.DUMMYFUNCTION("GOOGLETRANSLATE(B11, ""en"", ""hi"")"),"लागोरी में आक्रमणकारी टीम का प्राथमिक उद्देश्य क्या है?")</f>
        <v>लागोरी में आक्रमणकारी टीम का प्राथमिक उद्देश्य क्या है?</v>
      </c>
      <c r="H11" s="5" t="str">
        <f>IFERROR(__xludf.DUMMYFUNCTION("GOOGLETRANSLATE(C11, ""en"", ""hi"")"),"ए) सभी पत्थरों को गिराना और विरोधी टीम को उन्हें वापस करने से रोकना।, बी) सभी विरोधी खिलाड़ियों को गेंद से मारना।, सी) गेंद को गोल में मारकर अंक हासिल करना।, डी) गेंद से अपने बेस की रक्षा करना।")</f>
        <v>ए) सभी पत्थरों को गिराना और विरोधी टीम को उन्हें वापस करने से रोकना।, बी) सभी विरोधी खिलाड़ियों को गेंद से मारना।, सी) गेंद को गोल में मारकर अंक हासिल करना।, डी) गेंद से अपने बेस की रक्षा करना।</v>
      </c>
      <c r="I11" s="5" t="str">
        <f>IFERROR(__xludf.DUMMYFUNCTION("GOOGLETRANSLATE(D11, ""en"", ""hi"")"),"क) सभी पत्थरों को गिराना और विरोधी टीम को उन्हें पुनः प्राप्त करने से रोकना।")</f>
        <v>क) सभी पत्थरों को गिराना और विरोधी टीम को उन्हें पुनः प्राप्त करने से रोकना।</v>
      </c>
    </row>
    <row r="12" ht="22.5" customHeight="1">
      <c r="A12" s="2">
        <v>11.0</v>
      </c>
      <c r="B12" s="3" t="s">
        <v>3992</v>
      </c>
      <c r="C12" s="3" t="s">
        <v>3993</v>
      </c>
      <c r="D12" s="3" t="s">
        <v>3994</v>
      </c>
      <c r="F12" s="5" t="str">
        <f>IFERROR(__xludf.DUMMYFUNCTION("GOOGLETRANSLATE(A12, ""en"", ""hi"")"),"11")</f>
        <v>11</v>
      </c>
      <c r="G12" s="5" t="str">
        <f>IFERROR(__xludf.DUMMYFUNCTION("GOOGLETRANSLATE(B12, ""en"", ""hi"")"),"जब बचाव करने वाली टीम का कोई खिलाड़ी सफलतापूर्वक लागोरी के सभी पत्थरों को पुनः स्थापित कर लेता है, तो आक्रमण करने वाली टीम पर इसका तत्काल क्या प्रभाव पड़ता है?")</f>
        <v>जब बचाव करने वाली टीम का कोई खिलाड़ी सफलतापूर्वक लागोरी के सभी पत्थरों को पुनः स्थापित कर लेता है, तो आक्रमण करने वाली टीम पर इसका तत्काल क्या प्रभाव पड़ता है?</v>
      </c>
      <c r="H12" s="5" t="str">
        <f>IFERROR(__xludf.DUMMYFUNCTION("GOOGLETRANSLATE(C12, ""en"", ""hi"")"),"A) आक्रमणकारी टीम को अपनी बारी फिर से शुरू करनी होगी। , B) आक्रमणकारी टीम एक अंक खो देगी। , C) आक्रमणकारी टीम को एक अतिरिक्त बारी मिलेगी। , D) बचाव करने वाली टीम को फिर से गेंद फेंकने का मौका मिलेगा।")</f>
        <v>A) आक्रमणकारी टीम को अपनी बारी फिर से शुरू करनी होगी। , B) आक्रमणकारी टीम एक अंक खो देगी। , C) आक्रमणकारी टीम को एक अतिरिक्त बारी मिलेगी। , D) बचाव करने वाली टीम को फिर से गेंद फेंकने का मौका मिलेगा।</v>
      </c>
      <c r="I12" s="5" t="str">
        <f>IFERROR(__xludf.DUMMYFUNCTION("GOOGLETRANSLATE(D12, ""en"", ""hi"")"),"A) आक्रमणकारी टीम को अपनी बारी पुनः शुरू करनी होगी।")</f>
        <v>A) आक्रमणकारी टीम को अपनी बारी पुनः शुरू करनी होगी।</v>
      </c>
    </row>
    <row r="13" ht="22.5" customHeight="1">
      <c r="A13" s="2">
        <v>12.0</v>
      </c>
      <c r="B13" s="3" t="s">
        <v>3995</v>
      </c>
      <c r="C13" s="3" t="s">
        <v>3996</v>
      </c>
      <c r="D13" s="3" t="s">
        <v>3997</v>
      </c>
      <c r="F13" s="5" t="str">
        <f>IFERROR(__xludf.DUMMYFUNCTION("GOOGLETRANSLATE(A13, ""en"", ""hi"")"),"12")</f>
        <v>12</v>
      </c>
      <c r="G13" s="5" t="str">
        <f>IFERROR(__xludf.DUMMYFUNCTION("GOOGLETRANSLATE(B13, ""en"", ""hi"")"),"लागोरी में, यदि गेंद को वापस लाते समय किसी खिलाड़ी से गलती से पत्थर टकरा जाए, तो क्या होगा?")</f>
        <v>लागोरी में, यदि गेंद को वापस लाते समय किसी खिलाड़ी से गलती से पत्थर टकरा जाए, तो क्या होगा?</v>
      </c>
      <c r="H13" s="5" t="str">
        <f>IFERROR(__xludf.DUMMYFUNCTION("GOOGLETRANSLATE(C13, ""en"", ""hi"")"),"ए) पत्थर को वापस उसकी मूल स्थिति में रख दिया जाता है।, बी) खेल को पुनर्गठन के लिए रोक दिया जाता है।, सी) खिलाड़ी को एक अतिरिक्त बारी के साथ दंडित किया जाता है।, डी) पत्थर को खेल से हटा दिया जाता है।")</f>
        <v>ए) पत्थर को वापस उसकी मूल स्थिति में रख दिया जाता है।, बी) खेल को पुनर्गठन के लिए रोक दिया जाता है।, सी) खिलाड़ी को एक अतिरिक्त बारी के साथ दंडित किया जाता है।, डी) पत्थर को खेल से हटा दिया जाता है।</v>
      </c>
      <c r="I13" s="5" t="str">
        <f>IFERROR(__xludf.DUMMYFUNCTION("GOOGLETRANSLATE(D13, ""en"", ""hi"")"),"A) पत्थर को वापस उसकी मूल स्थिति में रख दिया जाता है।")</f>
        <v>A) पत्थर को वापस उसकी मूल स्थिति में रख दिया जाता है।</v>
      </c>
    </row>
    <row r="14" ht="22.5" customHeight="1">
      <c r="A14" s="2">
        <v>13.0</v>
      </c>
      <c r="B14" s="3" t="s">
        <v>3998</v>
      </c>
      <c r="C14" s="3" t="s">
        <v>3999</v>
      </c>
      <c r="D14" s="3" t="s">
        <v>4000</v>
      </c>
      <c r="F14" s="5" t="str">
        <f>IFERROR(__xludf.DUMMYFUNCTION("GOOGLETRANSLATE(A14, ""en"", ""hi"")"),"13")</f>
        <v>13</v>
      </c>
      <c r="G14" s="5" t="str">
        <f>IFERROR(__xludf.DUMMYFUNCTION("GOOGLETRANSLATE(B14, ""en"", ""hi"")"),"लागोरी खेल में, गेंद से पत्थरों को गिराने की क्रिया के लिए सही शब्द क्या है?")</f>
        <v>लागोरी खेल में, गेंद से पत्थरों को गिराने की क्रिया के लिए सही शब्द क्या है?</v>
      </c>
      <c r="H14" s="5" t="str">
        <f>IFERROR(__xludf.DUMMYFUNCTION("GOOGLETRANSLATE(C14, ""en"", ""hi"")"),"A) स्ट्राइकिंग, B) हिटिंग, C) स्कोरिंग, D) नॉकिंग")</f>
        <v>A) स्ट्राइकिंग, B) हिटिंग, C) स्कोरिंग, D) नॉकिंग</v>
      </c>
      <c r="I14" s="5" t="str">
        <f>IFERROR(__xludf.DUMMYFUNCTION("GOOGLETRANSLATE(D14, ""en"", ""hi"")"),"D) दस्तक")</f>
        <v>D) दस्तक</v>
      </c>
    </row>
    <row r="15" ht="22.5" customHeight="1">
      <c r="A15" s="2">
        <v>14.0</v>
      </c>
      <c r="B15" s="3" t="s">
        <v>4001</v>
      </c>
      <c r="C15" s="3" t="s">
        <v>4002</v>
      </c>
      <c r="D15" s="3" t="s">
        <v>4003</v>
      </c>
      <c r="F15" s="5" t="str">
        <f>IFERROR(__xludf.DUMMYFUNCTION("GOOGLETRANSLATE(A15, ""en"", ""hi"")"),"14")</f>
        <v>14</v>
      </c>
      <c r="G15" s="5" t="str">
        <f>IFERROR(__xludf.DUMMYFUNCTION("GOOGLETRANSLATE(B15, ""en"", ""hi"")"),"लागोरी में, यदि आक्रमणकारी टीम का कोई खिलाड़ी पत्थर पर प्रहार करता है, लेकिन उसे गिराने में असफल रहता है, तो परिणाम क्या होगा?")</f>
        <v>लागोरी में, यदि आक्रमणकारी टीम का कोई खिलाड़ी पत्थर पर प्रहार करता है, लेकिन उसे गिराने में असफल रहता है, तो परिणाम क्या होगा?</v>
      </c>
      <c r="H15" s="5" t="str">
        <f>IFERROR(__xludf.DUMMYFUNCTION("GOOGLETRANSLATE(C15, ""en"", ""hi"")"),"A) आक्रमणकारी टीम अपनी बारी खो देती है। , B) पत्थर को खेल से हटा दिया जाता है। , C) खिलाड़ी को एक और मौका मिलता है। , D) खेल पुनः शुरू हो जाता है।")</f>
        <v>A) आक्रमणकारी टीम अपनी बारी खो देती है। , B) पत्थर को खेल से हटा दिया जाता है। , C) खिलाड़ी को एक और मौका मिलता है। , D) खेल पुनः शुरू हो जाता है।</v>
      </c>
      <c r="I15" s="5" t="str">
        <f>IFERROR(__xludf.DUMMYFUNCTION("GOOGLETRANSLATE(D15, ""en"", ""hi"")"),"A) आक्रमणकारी टीम अपनी बारी खो देती है।")</f>
        <v>A) आक्रमणकारी टीम अपनी बारी खो देती है।</v>
      </c>
    </row>
    <row r="16" ht="22.5" customHeight="1">
      <c r="A16" s="2">
        <v>15.0</v>
      </c>
      <c r="B16" s="3" t="s">
        <v>4004</v>
      </c>
      <c r="C16" s="3" t="s">
        <v>4005</v>
      </c>
      <c r="D16" s="3" t="s">
        <v>4006</v>
      </c>
      <c r="F16" s="5" t="str">
        <f>IFERROR(__xludf.DUMMYFUNCTION("GOOGLETRANSLATE(A16, ""en"", ""hi"")"),"15")</f>
        <v>15</v>
      </c>
      <c r="G16" s="5" t="str">
        <f>IFERROR(__xludf.DUMMYFUNCTION("GOOGLETRANSLATE(B16, ""en"", ""hi"")"),"लागोरी में बचाव दल की भूमिका क्या है?")</f>
        <v>लागोरी में बचाव दल की भूमिका क्या है?</v>
      </c>
      <c r="H16" s="5" t="str">
        <f>IFERROR(__xludf.DUMMYFUNCTION("GOOGLETRANSLATE(C16, ""en"", ""hi"")"),"A) हमलावर टीम द्वारा दोबारा पत्थर फेंकने से पहले गिराए गए पत्थरों को वापस लाना।, B) सभी पत्थरों को गिरा देना।, C) हमलावर टीम द्वारा फेंकी गई गेंद को पकड़ना।, D) गेंद को मारकर अंक अर्जित करना।")</f>
        <v>A) हमलावर टीम द्वारा दोबारा पत्थर फेंकने से पहले गिराए गए पत्थरों को वापस लाना।, B) सभी पत्थरों को गिरा देना।, C) हमलावर टीम द्वारा फेंकी गई गेंद को पकड़ना।, D) गेंद को मारकर अंक अर्जित करना।</v>
      </c>
      <c r="I16" s="5" t="str">
        <f>IFERROR(__xludf.DUMMYFUNCTION("GOOGLETRANSLATE(D16, ""en"", ""hi"")"),"A) हमलावर टीम द्वारा पुनः पत्थर फेंकने से पहले गिराए गए पत्थरों को पुनः स्थापित करना।")</f>
        <v>A) हमलावर टीम द्वारा पुनः पत्थर फेंकने से पहले गिराए गए पत्थरों को पुनः स्थापित करना।</v>
      </c>
    </row>
    <row r="17" ht="22.5" customHeight="1">
      <c r="A17" s="2">
        <v>16.0</v>
      </c>
      <c r="B17" s="3" t="s">
        <v>4007</v>
      </c>
      <c r="C17" s="3" t="s">
        <v>4008</v>
      </c>
      <c r="D17" s="3" t="s">
        <v>4003</v>
      </c>
      <c r="F17" s="5" t="str">
        <f>IFERROR(__xludf.DUMMYFUNCTION("GOOGLETRANSLATE(A17, ""en"", ""hi"")"),"16")</f>
        <v>16</v>
      </c>
      <c r="G17" s="5" t="str">
        <f>IFERROR(__xludf.DUMMYFUNCTION("GOOGLETRANSLATE(B17, ""en"", ""hi"")"),"लागोरी में, यदि गेंद पत्थरों से टकराने से पहले ही बचाव करने वाली टीम द्वारा पकड़ ली जाती है, तो नियम क्या है?")</f>
        <v>लागोरी में, यदि गेंद पत्थरों से टकराने से पहले ही बचाव करने वाली टीम द्वारा पकड़ ली जाती है, तो नियम क्या है?</v>
      </c>
      <c r="H17" s="5" t="str">
        <f>IFERROR(__xludf.DUMMYFUNCTION("GOOGLETRANSLATE(C17, ""en"", ""hi"")"),"A) आक्रमणकारी टीम अपनी बारी खो देती है। , B) बचाव करने वाली टीम को पत्थर वापस करने पड़ते हैं। , C) गेंद आक्रमणकारी टीम को वापस फेंक दी जाती है। , D) खेल रोक दिया जाता है।")</f>
        <v>A) आक्रमणकारी टीम अपनी बारी खो देती है। , B) बचाव करने वाली टीम को पत्थर वापस करने पड़ते हैं। , C) गेंद आक्रमणकारी टीम को वापस फेंक दी जाती है। , D) खेल रोक दिया जाता है।</v>
      </c>
      <c r="I17" s="5" t="str">
        <f>IFERROR(__xludf.DUMMYFUNCTION("GOOGLETRANSLATE(D17, ""en"", ""hi"")"),"A) आक्रमणकारी टीम अपनी बारी खो देती है।")</f>
        <v>A) आक्रमणकारी टीम अपनी बारी खो देती है।</v>
      </c>
    </row>
    <row r="18" ht="22.5" customHeight="1">
      <c r="A18" s="2">
        <v>17.0</v>
      </c>
      <c r="B18" s="3" t="s">
        <v>4009</v>
      </c>
      <c r="C18" s="3" t="s">
        <v>4010</v>
      </c>
      <c r="D18" s="3" t="s">
        <v>4011</v>
      </c>
      <c r="F18" s="5" t="str">
        <f>IFERROR(__xludf.DUMMYFUNCTION("GOOGLETRANSLATE(A18, ""en"", ""hi"")"),"17")</f>
        <v>17</v>
      </c>
      <c r="G18" s="5" t="str">
        <f>IFERROR(__xludf.DUMMYFUNCTION("GOOGLETRANSLATE(B18, ""en"", ""hi"")"),"एक मानक लागोरी मैच में आमतौर पर कितने राउंड खेले जाते हैं?")</f>
        <v>एक मानक लागोरी मैच में आमतौर पर कितने राउंड खेले जाते हैं?</v>
      </c>
      <c r="H18" s="5" t="str">
        <f>IFERROR(__xludf.DUMMYFUNCTION("GOOGLETRANSLATE(C18, ""en"", ""hi"")"),"ए) 3 , बी) 5 , सी) 7 , डी) 9")</f>
        <v>ए) 3 , बी) 5 , सी) 7 , डी) 9</v>
      </c>
      <c r="I18" s="5" t="str">
        <f>IFERROR(__xludf.DUMMYFUNCTION("GOOGLETRANSLATE(D18, ""en"", ""hi"")"),"बी) 5")</f>
        <v>बी) 5</v>
      </c>
    </row>
    <row r="19" ht="22.5" customHeight="1">
      <c r="A19" s="2">
        <v>18.0</v>
      </c>
      <c r="B19" s="3" t="s">
        <v>4012</v>
      </c>
      <c r="C19" s="3" t="s">
        <v>4013</v>
      </c>
      <c r="D19" s="3" t="s">
        <v>4014</v>
      </c>
      <c r="F19" s="5" t="str">
        <f>IFERROR(__xludf.DUMMYFUNCTION("GOOGLETRANSLATE(A19, ""en"", ""hi"")"),"18")</f>
        <v>18</v>
      </c>
      <c r="G19" s="5" t="str">
        <f>IFERROR(__xludf.DUMMYFUNCTION("GOOGLETRANSLATE(B19, ""en"", ""hi"")"),"लागोरी में, यदि गेंद फेंकी जाए और वह किसी खिलाड़ी या पत्थर से न टकराए तो क्या होगा?")</f>
        <v>लागोरी में, यदि गेंद फेंकी जाए और वह किसी खिलाड़ी या पत्थर से न टकराए तो क्या होगा?</v>
      </c>
      <c r="H19" s="5" t="str">
        <f>IFERROR(__xludf.DUMMYFUNCTION("GOOGLETRANSLATE(C19, ""en"", ""hi"")"),"A) बारी जब्त कर ली जाती है। , B) गेंद बचाव करने वाली टीम को दे दी जाती है। , C) खेल रोक दिया जाता है। , D) फेंकने वाले को एक अतिरिक्त मौका मिलता है।")</f>
        <v>A) बारी जब्त कर ली जाती है। , B) गेंद बचाव करने वाली टीम को दे दी जाती है। , C) खेल रोक दिया जाता है। , D) फेंकने वाले को एक अतिरिक्त मौका मिलता है।</v>
      </c>
      <c r="I19" s="5" t="str">
        <f>IFERROR(__xludf.DUMMYFUNCTION("GOOGLETRANSLATE(D19, ""en"", ""hi"")"),"A) बारी जब्त कर ली जाती है।")</f>
        <v>A) बारी जब्त कर ली जाती है।</v>
      </c>
    </row>
    <row r="20" ht="22.5" customHeight="1">
      <c r="A20" s="2">
        <v>19.0</v>
      </c>
      <c r="B20" s="3" t="s">
        <v>4015</v>
      </c>
      <c r="C20" s="3" t="s">
        <v>4016</v>
      </c>
      <c r="D20" s="3" t="s">
        <v>4017</v>
      </c>
      <c r="F20" s="5" t="str">
        <f>IFERROR(__xludf.DUMMYFUNCTION("GOOGLETRANSLATE(A20, ""en"", ""hi"")"),"19")</f>
        <v>19</v>
      </c>
      <c r="G20" s="5" t="str">
        <f>IFERROR(__xludf.DUMMYFUNCTION("GOOGLETRANSLATE(B20, ""en"", ""hi"")"),"यदि मौसम की स्थिति के कारण लागोरी खेल बाधित होता है, तो मानक प्रक्रिया क्या है?")</f>
        <v>यदि मौसम की स्थिति के कारण लागोरी खेल बाधित होता है, तो मानक प्रक्रिया क्या है?</v>
      </c>
      <c r="H20" s="5" t="str">
        <f>IFERROR(__xludf.DUMMYFUNCTION("GOOGLETRANSLATE(C20, ""en"", ""hi"")"),"A) खेल को तब तक रोक दिया जाता है जब तक कि स्थिति में सुधार नहीं हो जाता। , B) खेल रद्द कर दिया जाता है। , C) खेल नई स्थितियों के तहत जारी रहता है। , D) खेल को पुनः शुरू किया जाता है।")</f>
        <v>A) खेल को तब तक रोक दिया जाता है जब तक कि स्थिति में सुधार नहीं हो जाता। , B) खेल रद्द कर दिया जाता है। , C) खेल नई स्थितियों के तहत जारी रहता है। , D) खेल को पुनः शुरू किया जाता है।</v>
      </c>
      <c r="I20" s="5" t="str">
        <f>IFERROR(__xludf.DUMMYFUNCTION("GOOGLETRANSLATE(D20, ""en"", ""hi"")"),"A) खेल को तब तक रोक दिया जाता है जब तक कि स्थिति में सुधार न हो जाए।")</f>
        <v>A) खेल को तब तक रोक दिया जाता है जब तक कि स्थिति में सुधार न हो जाए।</v>
      </c>
    </row>
    <row r="21" ht="22.5" customHeight="1">
      <c r="A21" s="2">
        <v>20.0</v>
      </c>
      <c r="B21" s="3" t="s">
        <v>4018</v>
      </c>
      <c r="C21" s="3" t="s">
        <v>4019</v>
      </c>
      <c r="D21" s="3" t="s">
        <v>4020</v>
      </c>
      <c r="F21" s="5" t="str">
        <f>IFERROR(__xludf.DUMMYFUNCTION("GOOGLETRANSLATE(A21, ""en"", ""hi"")"),"20")</f>
        <v>20</v>
      </c>
      <c r="G21" s="5" t="str">
        <f>IFERROR(__xludf.DUMMYFUNCTION("GOOGLETRANSLATE(B21, ""en"", ""hi"")"),"लागोरी में यदि कोई खिलाड़ी गेंद पर निशाना साधते समय गलती से पत्थर से टकरा जाए तो क्या होगा?")</f>
        <v>लागोरी में यदि कोई खिलाड़ी गेंद पर निशाना साधते समय गलती से पत्थर से टकरा जाए तो क्या होगा?</v>
      </c>
      <c r="H21" s="5" t="str">
        <f>IFERROR(__xludf.DUMMYFUNCTION("GOOGLETRANSLATE(C21, ""en"", ""hi"")"),"ए) पत्थर को बदल दिया जाता है और बारी जब्त कर ली जाती है। , बी) खिलाड़ी बाहर हो जाता है। , सी) बारी बिना दंड के जारी रहती है। , डी) पत्थरों को मैदान से हटा दिया जाता है।")</f>
        <v>ए) पत्थर को बदल दिया जाता है और बारी जब्त कर ली जाती है। , बी) खिलाड़ी बाहर हो जाता है। , सी) बारी बिना दंड के जारी रहती है। , डी) पत्थरों को मैदान से हटा दिया जाता है।</v>
      </c>
      <c r="I21" s="5" t="str">
        <f>IFERROR(__xludf.DUMMYFUNCTION("GOOGLETRANSLATE(D21, ""en"", ""hi"")"),"ए) पत्थर को बदल दिया जाता है और बारी जब्त कर ली जाती है।")</f>
        <v>ए) पत्थर को बदल दिया जाता है और बारी जब्त कर ली जाती है।</v>
      </c>
    </row>
    <row r="22" ht="22.5" customHeight="1">
      <c r="A22" s="2">
        <v>21.0</v>
      </c>
      <c r="B22" s="3" t="s">
        <v>4021</v>
      </c>
      <c r="C22" s="3" t="s">
        <v>4022</v>
      </c>
      <c r="D22" s="3" t="s">
        <v>4023</v>
      </c>
      <c r="F22" s="5" t="str">
        <f>IFERROR(__xludf.DUMMYFUNCTION("GOOGLETRANSLATE(A22, ""en"", ""hi"")"),"21")</f>
        <v>21</v>
      </c>
      <c r="G22" s="5" t="str">
        <f>IFERROR(__xludf.DUMMYFUNCTION("GOOGLETRANSLATE(B22, ""en"", ""hi"")"),"लागोरी मैच के दौरान, आक्रमणकारी टीम की सफलता की कुंजी क्या है?")</f>
        <v>लागोरी मैच के दौरान, आक्रमणकारी टीम की सफलता की कुंजी क्या है?</v>
      </c>
      <c r="H22" s="5" t="str">
        <f>IFERROR(__xludf.DUMMYFUNCTION("GOOGLETRANSLATE(C22, ""en"", ""hi"")"),"ए) पत्थरों को गिराने में सटीकता और पुनर्स्थापना को रोकने के लिए त्वरित प्रतिक्रिया।, बी) गेंद को जोर से मारना।, सी) बचाव दल को मारने से बचना।, डी) पत्थरों को जल्दी से बहाल करना।")</f>
        <v>ए) पत्थरों को गिराने में सटीकता और पुनर्स्थापना को रोकने के लिए त्वरित प्रतिक्रिया।, बी) गेंद को जोर से मारना।, सी) बचाव दल को मारने से बचना।, डी) पत्थरों को जल्दी से बहाल करना।</v>
      </c>
      <c r="I22" s="5" t="str">
        <f>IFERROR(__xludf.DUMMYFUNCTION("GOOGLETRANSLATE(D22, ""en"", ""hi"")"),"क) पत्थरों को गिराने में सटीकता और बहाली को रोकने के लिए त्वरित प्रतिक्रिया।")</f>
        <v>क) पत्थरों को गिराने में सटीकता और बहाली को रोकने के लिए त्वरित प्रतिक्रिया।</v>
      </c>
    </row>
    <row r="23" ht="22.5" customHeight="1">
      <c r="A23" s="2">
        <v>22.0</v>
      </c>
      <c r="B23" s="3" t="s">
        <v>4024</v>
      </c>
      <c r="C23" s="3" t="s">
        <v>4025</v>
      </c>
      <c r="D23" s="3" t="s">
        <v>4026</v>
      </c>
      <c r="F23" s="5" t="str">
        <f>IFERROR(__xludf.DUMMYFUNCTION("GOOGLETRANSLATE(A23, ""en"", ""hi"")"),"22")</f>
        <v>22</v>
      </c>
      <c r="G23" s="5" t="str">
        <f>IFERROR(__xludf.DUMMYFUNCTION("GOOGLETRANSLATE(B23, ""en"", ""hi"")"),"लागोरी में, यदि गेंद फेंकी जाए और पत्थरों से टकराए, लेकिन उन्हें गिराए नहीं, तो तत्काल परिणाम क्या होगा?")</f>
        <v>लागोरी में, यदि गेंद फेंकी जाए और पत्थरों से टकराए, लेकिन उन्हें गिराए नहीं, तो तत्काल परिणाम क्या होगा?</v>
      </c>
      <c r="H23" s="5" t="str">
        <f>IFERROR(__xludf.DUMMYFUNCTION("GOOGLETRANSLATE(C23, ""en"", ""hi"")"),"A) बचाव करने वाली टीम को फेंकने का मौका मिलता है। , B) हमला करने वाली टीम अपनी बारी खो देती है। , C) पत्थर फिर से सेट हो जाते हैं। , D) खेल रोक दिया जाता है।")</f>
        <v>A) बचाव करने वाली टीम को फेंकने का मौका मिलता है। , B) हमला करने वाली टीम अपनी बारी खो देती है। , C) पत्थर फिर से सेट हो जाते हैं। , D) खेल रोक दिया जाता है।</v>
      </c>
      <c r="I23" s="5" t="str">
        <f>IFERROR(__xludf.DUMMYFUNCTION("GOOGLETRANSLATE(D23, ""en"", ""hi"")"),"बी) आक्रमणकारी टीम अपनी बारी खो देती है।")</f>
        <v>बी) आक्रमणकारी टीम अपनी बारी खो देती है।</v>
      </c>
    </row>
    <row r="24" ht="22.5" customHeight="1">
      <c r="A24" s="2">
        <v>23.0</v>
      </c>
      <c r="B24" s="3" t="s">
        <v>4027</v>
      </c>
      <c r="C24" s="3" t="s">
        <v>4028</v>
      </c>
      <c r="D24" s="3" t="s">
        <v>3985</v>
      </c>
      <c r="F24" s="5" t="str">
        <f>IFERROR(__xludf.DUMMYFUNCTION("GOOGLETRANSLATE(A24, ""en"", ""hi"")"),"23")</f>
        <v>23</v>
      </c>
      <c r="G24" s="5" t="str">
        <f>IFERROR(__xludf.DUMMYFUNCTION("GOOGLETRANSLATE(B24, ""en"", ""hi"")"),"एक लागोरी मैच के दौरान, खिलाड़ी A गेंद फेंकता है और वह एक पत्थर से टकराती है, लेकिन पत्थर नहीं गिरता। फिर क्या होता है?")</f>
        <v>एक लागोरी मैच के दौरान, खिलाड़ी A गेंद फेंकता है और वह एक पत्थर से टकराती है, लेकिन पत्थर नहीं गिरता। फिर क्या होता है?</v>
      </c>
      <c r="H24" s="5" t="str">
        <f>IFERROR(__xludf.DUMMYFUNCTION("GOOGLETRANSLATE(C24, ""en"", ""hi"")"),"A) गेंद दूसरी टीम को दे दी जाती है। , B) खिलाड़ी A को गेंद फेंकने का एक और मौका मिलता है। , C) खेल बिना किसी दंड के जारी रहता है। , D) पत्थर को खेल से हटा दिया जाता है।")</f>
        <v>A) गेंद दूसरी टीम को दे दी जाती है। , B) खिलाड़ी A को गेंद फेंकने का एक और मौका मिलता है। , C) खेल बिना किसी दंड के जारी रहता है। , D) पत्थर को खेल से हटा दिया जाता है।</v>
      </c>
      <c r="I24" s="5" t="str">
        <f>IFERROR(__xludf.DUMMYFUNCTION("GOOGLETRANSLATE(D24, ""en"", ""hi"")"),"A) गेंद दूसरी टीम को दे दी जाती है।")</f>
        <v>A) गेंद दूसरी टीम को दे दी जाती है।</v>
      </c>
    </row>
    <row r="25" ht="22.5" customHeight="1">
      <c r="A25" s="2">
        <v>24.0</v>
      </c>
      <c r="B25" s="3" t="s">
        <v>4029</v>
      </c>
      <c r="C25" s="3" t="s">
        <v>4030</v>
      </c>
      <c r="D25" s="3" t="s">
        <v>4031</v>
      </c>
      <c r="F25" s="5" t="str">
        <f>IFERROR(__xludf.DUMMYFUNCTION("GOOGLETRANSLATE(A25, ""en"", ""hi"")"),"24")</f>
        <v>24</v>
      </c>
      <c r="G25" s="5" t="str">
        <f>IFERROR(__xludf.DUMMYFUNCTION("GOOGLETRANSLATE(B25, ""en"", ""hi"")"),"लागोरी में, यदि कोई खिलाड़ी गेंद फेंकता है और वह किसी पत्थर से टकराने से पहले उनकी ही टीम के किसी सदस्य से टकराती है, तो नियम क्या है?")</f>
        <v>लागोरी में, यदि कोई खिलाड़ी गेंद फेंकता है और वह किसी पत्थर से टकराने से पहले उनकी ही टीम के किसी सदस्य से टकराती है, तो नियम क्या है?</v>
      </c>
      <c r="H25" s="5" t="str">
        <f>IFERROR(__xludf.DUMMYFUNCTION("GOOGLETRANSLATE(C25, ""en"", ""hi"")"),"ए) खिलाड़ी आउट हो गया है।, बी) बारी जब्त कर ली गई है।, सी) खेल जारी है।, डी) पत्थर फिर से सेट हो गए हैं।")</f>
        <v>ए) खिलाड़ी आउट हो गया है।, बी) बारी जब्त कर ली गई है।, सी) खेल जारी है।, डी) पत्थर फिर से सेट हो गए हैं।</v>
      </c>
      <c r="I25" s="5" t="str">
        <f>IFERROR(__xludf.DUMMYFUNCTION("GOOGLETRANSLATE(D25, ""en"", ""hi"")"),"बी) बारी जब्त कर ली जाती है।")</f>
        <v>बी) बारी जब्त कर ली जाती है।</v>
      </c>
    </row>
    <row r="26" ht="22.5" customHeight="1">
      <c r="A26" s="2">
        <v>25.0</v>
      </c>
      <c r="B26" s="3" t="s">
        <v>4032</v>
      </c>
      <c r="C26" s="3" t="s">
        <v>4033</v>
      </c>
      <c r="D26" s="3" t="s">
        <v>4003</v>
      </c>
      <c r="F26" s="5" t="str">
        <f>IFERROR(__xludf.DUMMYFUNCTION("GOOGLETRANSLATE(A26, ""en"", ""hi"")"),"25")</f>
        <v>25</v>
      </c>
      <c r="G26" s="5" t="str">
        <f>IFERROR(__xludf.DUMMYFUNCTION("GOOGLETRANSLATE(B26, ""en"", ""hi"")"),"लागोरी खेल में, यदि गेंद को जमीन पर गिरने से पहले ही बचाव करने वाली टीम का कोई सदस्य पकड़ लेता है, तो आगे क्या होता है?")</f>
        <v>लागोरी खेल में, यदि गेंद को जमीन पर गिरने से पहले ही बचाव करने वाली टीम का कोई सदस्य पकड़ लेता है, तो आगे क्या होता है?</v>
      </c>
      <c r="H26" s="5" t="str">
        <f>IFERROR(__xludf.DUMMYFUNCTION("GOOGLETRANSLATE(C26, ""en"", ""hi"")"),"A) आक्रमणकारी टीम अपनी बारी खो देती है। , B) गेंद आक्रमणकारी टीम को वापस फेंक दी जाती है। , C) खेल रोक दिया जाता है। , D) बचाव करने वाली टीम को अगली गेंद फेंकने का मौका मिलता है।")</f>
        <v>A) आक्रमणकारी टीम अपनी बारी खो देती है। , B) गेंद आक्रमणकारी टीम को वापस फेंक दी जाती है। , C) खेल रोक दिया जाता है। , D) बचाव करने वाली टीम को अगली गेंद फेंकने का मौका मिलता है।</v>
      </c>
      <c r="I26" s="5" t="str">
        <f>IFERROR(__xludf.DUMMYFUNCTION("GOOGLETRANSLATE(D26, ""en"", ""hi"")"),"A) आक्रमणकारी टीम अपनी बारी खो देती है।")</f>
        <v>A) आक्रमणकारी टीम अपनी बारी खो देती है।</v>
      </c>
    </row>
    <row r="27" ht="22.5" customHeight="1">
      <c r="A27" s="2">
        <v>26.0</v>
      </c>
      <c r="B27" s="3" t="s">
        <v>4034</v>
      </c>
      <c r="C27" s="3" t="s">
        <v>4035</v>
      </c>
      <c r="D27" s="3" t="s">
        <v>4020</v>
      </c>
      <c r="F27" s="5" t="str">
        <f>IFERROR(__xludf.DUMMYFUNCTION("GOOGLETRANSLATE(A27, ""en"", ""hi"")"),"26")</f>
        <v>26</v>
      </c>
      <c r="G27" s="5" t="str">
        <f>IFERROR(__xludf.DUMMYFUNCTION("GOOGLETRANSLATE(B27, ""en"", ""hi"")"),"लागोरी मैच के दौरान, यदि कोई पत्थर गिर जाता है, लेकिन बचाव करने वाली टीम द्वारा उसे वापस लाने से पहले आक्रमणकारी टीम का कोई खिलाड़ी उसे छू लेता है, तो क्या होगा?")</f>
        <v>लागोरी मैच के दौरान, यदि कोई पत्थर गिर जाता है, लेकिन बचाव करने वाली टीम द्वारा उसे वापस लाने से पहले आक्रमणकारी टीम का कोई खिलाड़ी उसे छू लेता है, तो क्या होगा?</v>
      </c>
      <c r="H27" s="5" t="str">
        <f>IFERROR(__xludf.DUMMYFUNCTION("GOOGLETRANSLATE(C27, ""en"", ""hi"")"),"A) पत्थर को वापस रख दिया जाता है और बारी रद्द हो जाती है। , B) पत्थर नीचे ही रहता है। , C) बचाव करने वाली टीम को एक अंक मिलता है। , D) आक्रमण करने वाली टीम को एक और मौका मिलता है।")</f>
        <v>A) पत्थर को वापस रख दिया जाता है और बारी रद्द हो जाती है। , B) पत्थर नीचे ही रहता है। , C) बचाव करने वाली टीम को एक अंक मिलता है। , D) आक्रमण करने वाली टीम को एक और मौका मिलता है।</v>
      </c>
      <c r="I27" s="5" t="str">
        <f>IFERROR(__xludf.DUMMYFUNCTION("GOOGLETRANSLATE(D27, ""en"", ""hi"")"),"ए) पत्थर को बदल दिया जाता है और बारी जब्त कर ली जाती है।")</f>
        <v>ए) पत्थर को बदल दिया जाता है और बारी जब्त कर ली जाती है।</v>
      </c>
    </row>
    <row r="28" ht="22.5" customHeight="1">
      <c r="A28" s="2">
        <v>27.0</v>
      </c>
      <c r="B28" s="3" t="s">
        <v>4036</v>
      </c>
      <c r="C28" s="3" t="s">
        <v>4037</v>
      </c>
      <c r="D28" s="3" t="s">
        <v>4038</v>
      </c>
      <c r="F28" s="5" t="str">
        <f>IFERROR(__xludf.DUMMYFUNCTION("GOOGLETRANSLATE(A28, ""en"", ""hi"")"),"27")</f>
        <v>27</v>
      </c>
      <c r="G28" s="5" t="str">
        <f>IFERROR(__xludf.DUMMYFUNCTION("GOOGLETRANSLATE(B28, ""en"", ""hi"")"),"लागोरी में, यदि कोई खिलाड़ी सफलतापूर्वक सभी पत्थरों को पुनः प्राप्त कर लेता है और गेंद अभी भी उनकी टीम के पास रहती है, तो अगला कदम क्या होगा?")</f>
        <v>लागोरी में, यदि कोई खिलाड़ी सफलतापूर्वक सभी पत्थरों को पुनः प्राप्त कर लेता है और गेंद अभी भी उनकी टीम के पास रहती है, तो अगला कदम क्या होगा?</v>
      </c>
      <c r="H28" s="5" t="str">
        <f>IFERROR(__xludf.DUMMYFUNCTION("GOOGLETRANSLATE(C28, ""en"", ""hi"")"),"A) आक्रमणकारी टीम अपनी बारी जारी रखती है। , B) बचाव करने वाली टीम को गेंद मिल जाती है। , C) खेल रुक जाता है। , D) आक्रमणकारी टीम अपनी बारी खो देती है।")</f>
        <v>A) आक्रमणकारी टीम अपनी बारी जारी रखती है। , B) बचाव करने वाली टीम को गेंद मिल जाती है। , C) खेल रुक जाता है। , D) आक्रमणकारी टीम अपनी बारी खो देती है।</v>
      </c>
      <c r="I28" s="5" t="str">
        <f>IFERROR(__xludf.DUMMYFUNCTION("GOOGLETRANSLATE(D28, ""en"", ""hi"")"),"A) आक्रमणकारी टीम अपनी बारी जारी रखती है।")</f>
        <v>A) आक्रमणकारी टीम अपनी बारी जारी रखती है।</v>
      </c>
    </row>
    <row r="29" ht="22.5" customHeight="1">
      <c r="A29" s="2">
        <v>28.0</v>
      </c>
      <c r="B29" s="3" t="s">
        <v>4039</v>
      </c>
      <c r="C29" s="3" t="s">
        <v>4040</v>
      </c>
      <c r="D29" s="3" t="s">
        <v>4041</v>
      </c>
      <c r="F29" s="5" t="str">
        <f>IFERROR(__xludf.DUMMYFUNCTION("GOOGLETRANSLATE(A29, ""en"", ""hi"")"),"28")</f>
        <v>28</v>
      </c>
      <c r="G29" s="5" t="str">
        <f>IFERROR(__xludf.DUMMYFUNCTION("GOOGLETRANSLATE(B29, ""en"", ""hi"")"),"यदि लागोरी खेल में पत्थर बिखरे हुए हों तथा कोई भी टीम उन्हें पुनः प्राप्त न कर सके, तो क्या नियम होगा?")</f>
        <v>यदि लागोरी खेल में पत्थर बिखरे हुए हों तथा कोई भी टीम उन्हें पुनः प्राप्त न कर सके, तो क्या नियम होगा?</v>
      </c>
      <c r="H29" s="5" t="str">
        <f>IFERROR(__xludf.DUMMYFUNCTION("GOOGLETRANSLATE(C29, ""en"", ""hi"")"),"A) खेल को ड्रा घोषित कर दिया जाता है। , B) खेल पुनः शुरू कर दिया जाता है। , C) बचाव करने वाली टीम को विजेता घोषित कर दिया जाता है। , D) आक्रमण करने वाली टीम को विजेता घोषित कर दिया जाता है।")</f>
        <v>A) खेल को ड्रा घोषित कर दिया जाता है। , B) खेल पुनः शुरू कर दिया जाता है। , C) बचाव करने वाली टीम को विजेता घोषित कर दिया जाता है। , D) आक्रमण करने वाली टीम को विजेता घोषित कर दिया जाता है।</v>
      </c>
      <c r="I29" s="5" t="str">
        <f>IFERROR(__xludf.DUMMYFUNCTION("GOOGLETRANSLATE(D29, ""en"", ""hi"")"),"ए) खेल को ड्रा घोषित किया जाता है।")</f>
        <v>ए) खेल को ड्रा घोषित किया जाता है।</v>
      </c>
    </row>
    <row r="30" ht="22.5" customHeight="1">
      <c r="A30" s="2">
        <v>29.0</v>
      </c>
      <c r="B30" s="3" t="s">
        <v>4042</v>
      </c>
      <c r="C30" s="3" t="s">
        <v>4043</v>
      </c>
      <c r="D30" s="3" t="s">
        <v>4044</v>
      </c>
      <c r="F30" s="5" t="str">
        <f>IFERROR(__xludf.DUMMYFUNCTION("GOOGLETRANSLATE(A30, ""en"", ""hi"")"),"29")</f>
        <v>29</v>
      </c>
      <c r="G30" s="5" t="str">
        <f>IFERROR(__xludf.DUMMYFUNCTION("GOOGLETRANSLATE(B30, ""en"", ""hi"")"),"लागोरी में, यदि बचाव करने वाली टीम का कोई खिलाड़ी गेंद फेंकता है और गलती से पत्थर से टकरा जाता है, लेकिन पत्थर नीचे नहीं गिरता है, तो क्या होगा?")</f>
        <v>लागोरी में, यदि बचाव करने वाली टीम का कोई खिलाड़ी गेंद फेंकता है और गलती से पत्थर से टकरा जाता है, लेकिन पत्थर नीचे नहीं गिरता है, तो क्या होगा?</v>
      </c>
      <c r="H30" s="5" t="str">
        <f>IFERROR(__xludf.DUMMYFUNCTION("GOOGLETRANSLATE(C30, ""en"", ""hi"")"),"A) आक्रमणकारी टीम अपनी बारी खो देती है। , B) बचाव करने वाली टीम को गेंद फेंकने का एक और मौका मिलता है। , C) खेल बिना पेनल्टी के जारी रहता है। , D) पत्थर को खेल से हटा दिया जाता है।")</f>
        <v>A) आक्रमणकारी टीम अपनी बारी खो देती है। , B) बचाव करने वाली टीम को गेंद फेंकने का एक और मौका मिलता है। , C) खेल बिना पेनल्टी के जारी रहता है। , D) पत्थर को खेल से हटा दिया जाता है।</v>
      </c>
      <c r="I30" s="5" t="str">
        <f>IFERROR(__xludf.DUMMYFUNCTION("GOOGLETRANSLATE(D30, ""en"", ""hi"")"),"C) खेल बिना पेनल्टी के जारी रहता है।")</f>
        <v>C) खेल बिना पेनल्टी के जारी रहता है।</v>
      </c>
    </row>
    <row r="31" ht="22.5" customHeight="1">
      <c r="A31" s="2">
        <v>30.0</v>
      </c>
      <c r="B31" s="3" t="s">
        <v>4045</v>
      </c>
      <c r="C31" s="3" t="s">
        <v>4046</v>
      </c>
      <c r="D31" s="3" t="s">
        <v>4014</v>
      </c>
      <c r="F31" s="5" t="str">
        <f>IFERROR(__xludf.DUMMYFUNCTION("GOOGLETRANSLATE(A31, ""en"", ""hi"")"),"30")</f>
        <v>30</v>
      </c>
      <c r="G31" s="5" t="str">
        <f>IFERROR(__xludf.DUMMYFUNCTION("GOOGLETRANSLATE(B31, ""en"", ""hi"")"),"लागोरी मैच के दौरान यदि गेंद फेंकी जाए और वह बिना किसी पत्थर से टकराए खेल के मैदान के किनारे पर गिर जाए तो क्या किया जाना चाहिए?")</f>
        <v>लागोरी मैच के दौरान यदि गेंद फेंकी जाए और वह बिना किसी पत्थर से टकराए खेल के मैदान के किनारे पर गिर जाए तो क्या किया जाना चाहिए?</v>
      </c>
      <c r="H31" s="5" t="str">
        <f>IFERROR(__xludf.DUMMYFUNCTION("GOOGLETRANSLATE(C31, ""en"", ""hi"")"),"A) बारी जब्त कर ली जाती है। , B) गेंद बचाव करने वाली टीम को दे दी जाती है। , C) गेंद को वापस खेल में डाल दिया जाता है। , D) खेल रोक दिया जाता है।")</f>
        <v>A) बारी जब्त कर ली जाती है। , B) गेंद बचाव करने वाली टीम को दे दी जाती है। , C) गेंद को वापस खेल में डाल दिया जाता है। , D) खेल रोक दिया जाता है।</v>
      </c>
      <c r="I31" s="5" t="str">
        <f>IFERROR(__xludf.DUMMYFUNCTION("GOOGLETRANSLATE(D31, ""en"", ""hi"")"),"A) बारी जब्त कर ली जाती है।")</f>
        <v>A) बारी जब्त कर ली जाती है।</v>
      </c>
    </row>
    <row r="32" ht="22.5" customHeight="1">
      <c r="A32" s="2">
        <v>31.0</v>
      </c>
      <c r="B32" s="3" t="s">
        <v>4047</v>
      </c>
      <c r="C32" s="3" t="s">
        <v>4048</v>
      </c>
      <c r="D32" s="3" t="s">
        <v>4003</v>
      </c>
      <c r="F32" s="5" t="str">
        <f>IFERROR(__xludf.DUMMYFUNCTION("GOOGLETRANSLATE(A32, ""en"", ""hi"")"),"31")</f>
        <v>31</v>
      </c>
      <c r="G32" s="5" t="str">
        <f>IFERROR(__xludf.DUMMYFUNCTION("GOOGLETRANSLATE(B32, ""en"", ""hi"")"),"लागोरी में, यदि बचाव करने वाली टीम का कोई खिलाड़ी हवा में गेंद को सफलतापूर्वक पकड़ लेता है, तो आगे क्या होता है?")</f>
        <v>लागोरी में, यदि बचाव करने वाली टीम का कोई खिलाड़ी हवा में गेंद को सफलतापूर्वक पकड़ लेता है, तो आगे क्या होता है?</v>
      </c>
      <c r="H32" s="5" t="str">
        <f>IFERROR(__xludf.DUMMYFUNCTION("GOOGLETRANSLATE(C32, ""en"", ""hi"")"),"A) आक्रमणकारी टीम अपनी बारी खो देती है। , B) गेंद आक्रमणकारी टीम को दे दी जाती है। , C) खेल रोक दिया जाता है। , D) बचाव करने वाली टीम को अगली गेंद फेंकने का मौका मिलता है।")</f>
        <v>A) आक्रमणकारी टीम अपनी बारी खो देती है। , B) गेंद आक्रमणकारी टीम को दे दी जाती है। , C) खेल रोक दिया जाता है। , D) बचाव करने वाली टीम को अगली गेंद फेंकने का मौका मिलता है।</v>
      </c>
      <c r="I32" s="5" t="str">
        <f>IFERROR(__xludf.DUMMYFUNCTION("GOOGLETRANSLATE(D32, ""en"", ""hi"")"),"A) आक्रमणकारी टीम अपनी बारी खो देती है।")</f>
        <v>A) आक्रमणकारी टीम अपनी बारी खो देती है।</v>
      </c>
    </row>
    <row r="33" ht="22.5" customHeight="1">
      <c r="A33" s="2">
        <v>32.0</v>
      </c>
      <c r="B33" s="3" t="s">
        <v>4049</v>
      </c>
      <c r="C33" s="3" t="s">
        <v>4050</v>
      </c>
      <c r="D33" s="3" t="s">
        <v>4051</v>
      </c>
      <c r="F33" s="5" t="str">
        <f>IFERROR(__xludf.DUMMYFUNCTION("GOOGLETRANSLATE(A33, ""en"", ""hi"")"),"32")</f>
        <v>32</v>
      </c>
      <c r="G33" s="5" t="str">
        <f>IFERROR(__xludf.DUMMYFUNCTION("GOOGLETRANSLATE(B33, ""en"", ""hi"")"),"लागोरी खेल में, यदि गेंद फेंकी जाए और किसी पत्थर से टकराने से पहले उछल जाए, तो नियम क्या है?")</f>
        <v>लागोरी खेल में, यदि गेंद फेंकी जाए और किसी पत्थर से टकराने से पहले उछल जाए, तो नियम क्या है?</v>
      </c>
      <c r="H33" s="5" t="str">
        <f>IFERROR(__xludf.DUMMYFUNCTION("GOOGLETRANSLATE(C33, ""en"", ""hi"")"),"ए) गेंद को खेल से बाहर माना जाता है और बारी जब्त कर ली जाती है।, बी) पत्थर वापस कर दिए जाते हैं।, सी) गेंद को फिर से फेंक दिया जाता है।, डी) खेल बिना दंड के जारी रहता है।")</f>
        <v>ए) गेंद को खेल से बाहर माना जाता है और बारी जब्त कर ली जाती है।, बी) पत्थर वापस कर दिए जाते हैं।, सी) गेंद को फिर से फेंक दिया जाता है।, डी) खेल बिना दंड के जारी रहता है।</v>
      </c>
      <c r="I33" s="5" t="str">
        <f>IFERROR(__xludf.DUMMYFUNCTION("GOOGLETRANSLATE(D33, ""en"", ""hi"")"),"ए) गेंद को खेल से बाहर माना जाता है और पारी जब्त कर ली जाती है।")</f>
        <v>ए) गेंद को खेल से बाहर माना जाता है और पारी जब्त कर ली जाती है।</v>
      </c>
    </row>
    <row r="34" ht="22.5" customHeight="1">
      <c r="A34" s="2">
        <v>33.0</v>
      </c>
      <c r="B34" s="3" t="s">
        <v>4052</v>
      </c>
      <c r="C34" s="3" t="s">
        <v>4053</v>
      </c>
      <c r="D34" s="3" t="s">
        <v>4054</v>
      </c>
      <c r="F34" s="5" t="str">
        <f>IFERROR(__xludf.DUMMYFUNCTION("GOOGLETRANSLATE(A34, ""en"", ""hi"")"),"33")</f>
        <v>33</v>
      </c>
      <c r="G34" s="5" t="str">
        <f>IFERROR(__xludf.DUMMYFUNCTION("GOOGLETRANSLATE(B34, ""en"", ""hi"")"),"यदि लागोरी का खेल बराबरी पर हो तथा दोनों टीमों के अंक समान हों, तो बराबरी को सुलझाने के लिए आमतौर पर क्या किया जाता है?")</f>
        <v>यदि लागोरी का खेल बराबरी पर हो तथा दोनों टीमों के अंक समान हों, तो बराबरी को सुलझाने के लिए आमतौर पर क्या किया जाता है?</v>
      </c>
      <c r="H34" s="5" t="str">
        <f>IFERROR(__xludf.DUMMYFUNCTION("GOOGLETRANSLATE(C34, ""en"", ""hi"")"),"A) एक अतिरिक्त राउंड खेला जाता है। , B) खेल को ड्रॉ घोषित किया जाता है। , C) सबसे सफल थ्रो वाली टीम जीत जाती है। , D) खेल को शुरू से फिर से शुरू किया जाता है।")</f>
        <v>A) एक अतिरिक्त राउंड खेला जाता है। , B) खेल को ड्रॉ घोषित किया जाता है। , C) सबसे सफल थ्रो वाली टीम जीत जाती है। , D) खेल को शुरू से फिर से शुरू किया जाता है।</v>
      </c>
      <c r="I34" s="5" t="str">
        <f>IFERROR(__xludf.DUMMYFUNCTION("GOOGLETRANSLATE(D34, ""en"", ""hi"")"),"A) एक अतिरिक्त राउंड खेला जाता है।")</f>
        <v>A) एक अतिरिक्त राउंड खेला जाता है।</v>
      </c>
    </row>
    <row r="35" ht="22.5" customHeight="1">
      <c r="A35" s="2">
        <v>34.0</v>
      </c>
      <c r="B35" s="3" t="s">
        <v>4055</v>
      </c>
      <c r="C35" s="3" t="s">
        <v>4056</v>
      </c>
      <c r="D35" s="3" t="s">
        <v>4057</v>
      </c>
      <c r="F35" s="5" t="str">
        <f>IFERROR(__xludf.DUMMYFUNCTION("GOOGLETRANSLATE(A35, ""en"", ""hi"")"),"34")</f>
        <v>34</v>
      </c>
      <c r="G35" s="5" t="str">
        <f>IFERROR(__xludf.DUMMYFUNCTION("GOOGLETRANSLATE(B35, ""en"", ""hi"")"),"लागोरी में, यदि कोई खिलाड़ी गेंद फेंकता है और पत्थरों से टकराता है, लेकिन उनमें से कुछ ही गिरते हैं, तो आगे क्या होगा?")</f>
        <v>लागोरी में, यदि कोई खिलाड़ी गेंद फेंकता है और पत्थरों से टकराता है, लेकिन उनमें से कुछ ही गिरते हैं, तो आगे क्या होगा?</v>
      </c>
      <c r="H35" s="5" t="str">
        <f>IFERROR(__xludf.DUMMYFUNCTION("GOOGLETRANSLATE(C35, ""en"", ""hi"")"),"ए) बारी जब्त कर ली जाती है। , बी) बचाव करने वाली टीम को गिरे हुए पत्थरों को वापस लाना होगा। , सी) हमला करने वाली टीम को फेंकने का एक और मौका मिलता है। , डी) खेल रोक दिया जाता है।")</f>
        <v>ए) बारी जब्त कर ली जाती है। , बी) बचाव करने वाली टीम को गिरे हुए पत्थरों को वापस लाना होगा। , सी) हमला करने वाली टीम को फेंकने का एक और मौका मिलता है। , डी) खेल रोक दिया जाता है।</v>
      </c>
      <c r="I35" s="5" t="str">
        <f>IFERROR(__xludf.DUMMYFUNCTION("GOOGLETRANSLATE(D35, ""en"", ""hi"")"),"बी) बचाव दल को गिरे हुए पत्थरों को पुनः स्थापित करना होगा।")</f>
        <v>बी) बचाव दल को गिरे हुए पत्थरों को पुनः स्थापित करना होगा।</v>
      </c>
    </row>
    <row r="36" ht="22.5" customHeight="1">
      <c r="A36" s="2">
        <v>35.0</v>
      </c>
      <c r="B36" s="3" t="s">
        <v>4058</v>
      </c>
      <c r="C36" s="3" t="s">
        <v>4059</v>
      </c>
      <c r="D36" s="3" t="s">
        <v>4060</v>
      </c>
      <c r="F36" s="5" t="str">
        <f>IFERROR(__xludf.DUMMYFUNCTION("GOOGLETRANSLATE(A36, ""en"", ""hi"")"),"35")</f>
        <v>35</v>
      </c>
      <c r="G36" s="5" t="str">
        <f>IFERROR(__xludf.DUMMYFUNCTION("GOOGLETRANSLATE(B36, ""en"", ""hi"")"),"लागोरी मैच के दौरान यदि किसी दर्शक द्वारा गलती से पत्थर हिला दिए जाएं तो सही कार्यवाही क्या होगी?")</f>
        <v>लागोरी मैच के दौरान यदि किसी दर्शक द्वारा गलती से पत्थर हिला दिए जाएं तो सही कार्यवाही क्या होगी?</v>
      </c>
      <c r="H36" s="5" t="str">
        <f>IFERROR(__xludf.DUMMYFUNCTION("GOOGLETRANSLATE(C36, ""en"", ""hi"")"),"A) पत्थरों को उनकी मूल स्थिति में वापस कर दिया जाता है और खेल जारी रहता है। , B) खेल को पुनर्गठन के लिए रोक दिया जाता है। , C) खेल को पुनः शुरू किया जाता है। , D) दर्शक को जाने के लिए कहा जाता है।")</f>
        <v>A) पत्थरों को उनकी मूल स्थिति में वापस कर दिया जाता है और खेल जारी रहता है। , B) खेल को पुनर्गठन के लिए रोक दिया जाता है। , C) खेल को पुनः शुरू किया जाता है। , D) दर्शक को जाने के लिए कहा जाता है।</v>
      </c>
      <c r="I36" s="5" t="str">
        <f>IFERROR(__xludf.DUMMYFUNCTION("GOOGLETRANSLATE(D36, ""en"", ""hi"")"),"A) पत्थरों को उनकी मूल स्थिति में वापस रख दिया जाता है और खेल जारी रहता है।")</f>
        <v>A) पत्थरों को उनकी मूल स्थिति में वापस रख दिया जाता है और खेल जारी रहता है।</v>
      </c>
    </row>
    <row r="37" ht="22.5" customHeight="1">
      <c r="A37" s="2">
        <v>36.0</v>
      </c>
      <c r="B37" s="3" t="s">
        <v>4061</v>
      </c>
      <c r="C37" s="3" t="s">
        <v>4062</v>
      </c>
      <c r="D37" s="3" t="s">
        <v>4063</v>
      </c>
      <c r="F37" s="5" t="str">
        <f>IFERROR(__xludf.DUMMYFUNCTION("GOOGLETRANSLATE(A37, ""en"", ""hi"")"),"36")</f>
        <v>36</v>
      </c>
      <c r="G37" s="5" t="str">
        <f>IFERROR(__xludf.DUMMYFUNCTION("GOOGLETRANSLATE(B37, ""en"", ""hi"")"),"लागोरी में, यदि आक्रमणकारी टीम का कोई खिलाड़ी गेंद प्राप्त करते समय घायल हो जाए, तो क्या किया जाना चाहिए?")</f>
        <v>लागोरी में, यदि आक्रमणकारी टीम का कोई खिलाड़ी गेंद प्राप्त करते समय घायल हो जाए, तो क्या किया जाना चाहिए?</v>
      </c>
      <c r="H37" s="5" t="str">
        <f>IFERROR(__xludf.DUMMYFUNCTION("GOOGLETRANSLATE(C37, ""en"", ""hi"")"),"A) खेल तब तक रुका रहता है जब तक खिलाड़ी खेल जारी रखने में सक्षम नहीं हो जाता। , B) खेल एक स्थानापन्न खिलाड़ी के साथ जारी रहता है। , C) आक्रमणकारी टीम अपनी बारी खो देती है। , D) घायल खिलाड़ी बाहर हो जाता है और वापस नहीं आ सकता।")</f>
        <v>A) खेल तब तक रुका रहता है जब तक खिलाड़ी खेल जारी रखने में सक्षम नहीं हो जाता। , B) खेल एक स्थानापन्न खिलाड़ी के साथ जारी रहता है। , C) आक्रमणकारी टीम अपनी बारी खो देती है। , D) घायल खिलाड़ी बाहर हो जाता है और वापस नहीं आ सकता।</v>
      </c>
      <c r="I37" s="5" t="str">
        <f>IFERROR(__xludf.DUMMYFUNCTION("GOOGLETRANSLATE(D37, ""en"", ""hi"")"),"A) खेल तब तक रुका रहता है जब तक खिलाड़ी खेलना जारी नहीं रख पाता।")</f>
        <v>A) खेल तब तक रुका रहता है जब तक खिलाड़ी खेलना जारी नहीं रख पाता।</v>
      </c>
    </row>
    <row r="38" ht="22.5" customHeight="1">
      <c r="A38" s="2">
        <v>37.0</v>
      </c>
      <c r="B38" s="3" t="s">
        <v>4064</v>
      </c>
      <c r="C38" s="3" t="s">
        <v>4065</v>
      </c>
      <c r="D38" s="3" t="s">
        <v>4066</v>
      </c>
      <c r="F38" s="5" t="str">
        <f>IFERROR(__xludf.DUMMYFUNCTION("GOOGLETRANSLATE(A38, ""en"", ""hi"")"),"37")</f>
        <v>37</v>
      </c>
      <c r="G38" s="5" t="str">
        <f>IFERROR(__xludf.DUMMYFUNCTION("GOOGLETRANSLATE(B38, ""en"", ""hi"")"),"लागोरी में आक्रमणकारी टीम की सफलता के लिए प्राथमिक रणनीति क्या है?")</f>
        <v>लागोरी में आक्रमणकारी टीम की सफलता के लिए प्राथमिक रणनीति क्या है?</v>
      </c>
      <c r="H38" s="5" t="str">
        <f>IFERROR(__xludf.DUMMYFUNCTION("GOOGLETRANSLATE(C38, ""en"", ""hi"")"),"ए) जितना संभव हो सके उतने पत्थरों को गिराना और बचाव करने वाली टीम को उन्हें वापस करने से रोकना।, बी) गेंद को जितना संभव हो सके उतनी जोर से मारना।, सी) बचाव करने वाली टीम का ध्यान भटकाना।, डी) किसी भी खिलाड़ी को मारने से बचना।")</f>
        <v>ए) जितना संभव हो सके उतने पत्थरों को गिराना और बचाव करने वाली टीम को उन्हें वापस करने से रोकना।, बी) गेंद को जितना संभव हो सके उतनी जोर से मारना।, सी) बचाव करने वाली टीम का ध्यान भटकाना।, डी) किसी भी खिलाड़ी को मारने से बचना।</v>
      </c>
      <c r="I38" s="5" t="str">
        <f>IFERROR(__xludf.DUMMYFUNCTION("GOOGLETRANSLATE(D38, ""en"", ""hi"")"),"क) जितना संभव हो सके उतने पत्थरों को गिराना और बचाव करने वाली टीम को उन्हें वापस लाने से रोकना।")</f>
        <v>क) जितना संभव हो सके उतने पत्थरों को गिराना और बचाव करने वाली टीम को उन्हें वापस लाने से रोकना।</v>
      </c>
    </row>
    <row r="39" ht="22.5" customHeight="1">
      <c r="A39" s="2">
        <v>38.0</v>
      </c>
      <c r="B39" s="3" t="s">
        <v>4067</v>
      </c>
      <c r="C39" s="3" t="s">
        <v>4068</v>
      </c>
      <c r="D39" s="3" t="s">
        <v>4003</v>
      </c>
      <c r="F39" s="5" t="str">
        <f>IFERROR(__xludf.DUMMYFUNCTION("GOOGLETRANSLATE(A39, ""en"", ""hi"")"),"38")</f>
        <v>38</v>
      </c>
      <c r="G39" s="5" t="str">
        <f>IFERROR(__xludf.DUMMYFUNCTION("GOOGLETRANSLATE(B39, ""en"", ""hi"")"),"लागोरी में, यदि गेंद को फेंका जाए और वह पत्थर पर गिरे बिना गिर जाए, तो परिणाम क्या होगा?")</f>
        <v>लागोरी में, यदि गेंद को फेंका जाए और वह पत्थर पर गिरे बिना गिर जाए, तो परिणाम क्या होगा?</v>
      </c>
      <c r="H39" s="5" t="str">
        <f>IFERROR(__xludf.DUMMYFUNCTION("GOOGLETRANSLATE(C39, ""en"", ""hi"")"),"A) आक्रमणकारी टीम अपनी बारी खो देती है। , B) गेंद बचाव करने वाली टीम को दे दी जाती है। , C) पत्थर को खेल से हटा दिया जाता है। , D) खेल रोक दिया जाता है।")</f>
        <v>A) आक्रमणकारी टीम अपनी बारी खो देती है। , B) गेंद बचाव करने वाली टीम को दे दी जाती है। , C) पत्थर को खेल से हटा दिया जाता है। , D) खेल रोक दिया जाता है।</v>
      </c>
      <c r="I39" s="5" t="str">
        <f>IFERROR(__xludf.DUMMYFUNCTION("GOOGLETRANSLATE(D39, ""en"", ""hi"")"),"A) आक्रमणकारी टीम अपनी बारी खो देती है।")</f>
        <v>A) आक्रमणकारी टीम अपनी बारी खो देती है।</v>
      </c>
    </row>
    <row r="40" ht="22.5" customHeight="1">
      <c r="A40" s="2">
        <v>39.0</v>
      </c>
      <c r="B40" s="3" t="s">
        <v>4069</v>
      </c>
      <c r="C40" s="3" t="s">
        <v>4070</v>
      </c>
      <c r="D40" s="3" t="s">
        <v>4003</v>
      </c>
      <c r="F40" s="5" t="str">
        <f>IFERROR(__xludf.DUMMYFUNCTION("GOOGLETRANSLATE(A40, ""en"", ""hi"")"),"39")</f>
        <v>39</v>
      </c>
      <c r="G40" s="5" t="str">
        <f>IFERROR(__xludf.DUMMYFUNCTION("GOOGLETRANSLATE(B40, ""en"", ""hi"")"),"यदि बचाव करने वाली टीम का कोई खिलाड़ी आक्रमण करने वाली टीम द्वारा फेंकी गई गेंद को पत्थरों से टकराने से पहले ही पकड़ लेता है, तो आगे क्या होगा?")</f>
        <v>यदि बचाव करने वाली टीम का कोई खिलाड़ी आक्रमण करने वाली टीम द्वारा फेंकी गई गेंद को पत्थरों से टकराने से पहले ही पकड़ लेता है, तो आगे क्या होगा?</v>
      </c>
      <c r="H40" s="5" t="str">
        <f>IFERROR(__xludf.DUMMYFUNCTION("GOOGLETRANSLATE(C40, ""en"", ""hi"")"),"A) आक्रमणकारी टीम अपनी बारी खो देती है। , B) आक्रमणकारी टीम द्वारा गेंद को पुनः फेंका जाता है। , C) बचाव करने वाली टीम को एक अतिरिक्त अंक मिलता है। , D) पत्थरों को पुनः स्थापित कर दिया जाता है।")</f>
        <v>A) आक्रमणकारी टीम अपनी बारी खो देती है। , B) आक्रमणकारी टीम द्वारा गेंद को पुनः फेंका जाता है। , C) बचाव करने वाली टीम को एक अतिरिक्त अंक मिलता है। , D) पत्थरों को पुनः स्थापित कर दिया जाता है।</v>
      </c>
      <c r="I40" s="5" t="str">
        <f>IFERROR(__xludf.DUMMYFUNCTION("GOOGLETRANSLATE(D40, ""en"", ""hi"")"),"A) आक्रमणकारी टीम अपनी बारी खो देती है।")</f>
        <v>A) आक्रमणकारी टीम अपनी बारी खो देती है।</v>
      </c>
    </row>
    <row r="41" ht="22.5" customHeight="1">
      <c r="A41" s="2">
        <v>40.0</v>
      </c>
      <c r="B41" s="3" t="s">
        <v>4071</v>
      </c>
      <c r="C41" s="3" t="s">
        <v>4072</v>
      </c>
      <c r="D41" s="3" t="s">
        <v>4073</v>
      </c>
      <c r="F41" s="5" t="str">
        <f>IFERROR(__xludf.DUMMYFUNCTION("GOOGLETRANSLATE(A41, ""en"", ""hi"")"),"40")</f>
        <v>40</v>
      </c>
      <c r="G41" s="5" t="str">
        <f>IFERROR(__xludf.DUMMYFUNCTION("GOOGLETRANSLATE(B41, ""en"", ""hi"")"),"लागोरी मैच के दौरान यदि गेंद किसी पत्थर से टकराती है और वह हिलती है, लेकिन गिरती नहीं है, तो क्या होगा?")</f>
        <v>लागोरी मैच के दौरान यदि गेंद किसी पत्थर से टकराती है और वह हिलती है, लेकिन गिरती नहीं है, तो क्या होगा?</v>
      </c>
      <c r="H41" s="5" t="str">
        <f>IFERROR(__xludf.DUMMYFUNCTION("GOOGLETRANSLATE(C41, ""en"", ""hi"")"),"A) बारी जब्त कर ली जाती है। , B) पत्थर अपनी स्थिति में रहता है। , C) खेल रोक दिया जाता है। , D) पत्थर को खेल से हटा दिया जाता है।")</f>
        <v>A) बारी जब्त कर ली जाती है। , B) पत्थर अपनी स्थिति में रहता है। , C) खेल रोक दिया जाता है। , D) पत्थर को खेल से हटा दिया जाता है।</v>
      </c>
      <c r="I41" s="5" t="str">
        <f>IFERROR(__xludf.DUMMYFUNCTION("GOOGLETRANSLATE(D41, ""en"", ""hi"")"),"B) पत्थर अपनी स्थिति में बना रहता है।")</f>
        <v>B) पत्थर अपनी स्थिति में बना रहता है।</v>
      </c>
    </row>
    <row r="42" ht="22.5" customHeight="1">
      <c r="A42" s="2">
        <v>41.0</v>
      </c>
      <c r="B42" s="3" t="s">
        <v>4074</v>
      </c>
      <c r="C42" s="3" t="s">
        <v>4075</v>
      </c>
      <c r="D42" s="3" t="s">
        <v>4020</v>
      </c>
      <c r="F42" s="5" t="str">
        <f>IFERROR(__xludf.DUMMYFUNCTION("GOOGLETRANSLATE(A42, ""en"", ""hi"")"),"41")</f>
        <v>41</v>
      </c>
      <c r="G42" s="5" t="str">
        <f>IFERROR(__xludf.DUMMYFUNCTION("GOOGLETRANSLATE(B42, ""en"", ""hi"")"),"लागोरी खेल में, यदि कोई पत्थर नीचे गिर जाता है और फिर गलती से कोई खिलाड़ी उसे लात मार देता है, तो प्रक्रिया क्या है?")</f>
        <v>लागोरी खेल में, यदि कोई पत्थर नीचे गिर जाता है और फिर गलती से कोई खिलाड़ी उसे लात मार देता है, तो प्रक्रिया क्या है?</v>
      </c>
      <c r="H42" s="5" t="str">
        <f>IFERROR(__xludf.DUMMYFUNCTION("GOOGLETRANSLATE(C42, ""en"", ""hi"")"),"ए) पत्थर को वापस रख दिया जाता है और बारी जब्त कर ली जाती है।, बी) पत्थर को वैसे ही छोड़ दिया जाता है।, सी) खिलाड़ी को एक अतिरिक्त बारी के साथ दंडित किया जाता है।, डी) खेल बिना दंड के जारी रहता है।")</f>
        <v>ए) पत्थर को वापस रख दिया जाता है और बारी जब्त कर ली जाती है।, बी) पत्थर को वैसे ही छोड़ दिया जाता है।, सी) खिलाड़ी को एक अतिरिक्त बारी के साथ दंडित किया जाता है।, डी) खेल बिना दंड के जारी रहता है।</v>
      </c>
      <c r="I42" s="5" t="str">
        <f>IFERROR(__xludf.DUMMYFUNCTION("GOOGLETRANSLATE(D42, ""en"", ""hi"")"),"ए) पत्थर को बदल दिया जाता है और बारी जब्त कर ली जाती है।")</f>
        <v>ए) पत्थर को बदल दिया जाता है और बारी जब्त कर ली जाती है।</v>
      </c>
    </row>
    <row r="43" ht="22.5" customHeight="1">
      <c r="A43" s="2">
        <v>42.0</v>
      </c>
      <c r="B43" s="3" t="s">
        <v>4076</v>
      </c>
      <c r="C43" s="3" t="s">
        <v>4077</v>
      </c>
      <c r="D43" s="3" t="s">
        <v>4078</v>
      </c>
      <c r="F43" s="5" t="str">
        <f>IFERROR(__xludf.DUMMYFUNCTION("GOOGLETRANSLATE(A43, ""en"", ""hi"")"),"42")</f>
        <v>42</v>
      </c>
      <c r="G43" s="5" t="str">
        <f>IFERROR(__xludf.DUMMYFUNCTION("GOOGLETRANSLATE(B43, ""en"", ""hi"")"),"लागोरी में, यदि आक्रमणकारी टीम का कोई खिलाड़ी सफलतापूर्वक सभी पत्थरों को गिरा देता है, तो बचाव करने वाली टीम का अगला कदम क्या होगा?")</f>
        <v>लागोरी में, यदि आक्रमणकारी टीम का कोई खिलाड़ी सफलतापूर्वक सभी पत्थरों को गिरा देता है, तो बचाव करने वाली टीम का अगला कदम क्या होगा?</v>
      </c>
      <c r="H43" s="5" t="str">
        <f>IFERROR(__xludf.DUMMYFUNCTION("GOOGLETRANSLATE(C43, ""en"", ""hi"")"),"ए) बचाव करने वाली टीम को आक्रमण करने वाली टीम के दोबारा गेंद फेंकने से पहले सभी पत्थरों को वापस लाना होगा।, बी) बचाव करने वाली टीम बाहर हो गई है।, सी) खेल को पुनः संगठित करने के लिए रोक दिया गया है।, डी) बचाव करने वाली टीम को गेंद फेंकने का मौका मिलता है।")</f>
        <v>ए) बचाव करने वाली टीम को आक्रमण करने वाली टीम के दोबारा गेंद फेंकने से पहले सभी पत्थरों को वापस लाना होगा।, बी) बचाव करने वाली टीम बाहर हो गई है।, सी) खेल को पुनः संगठित करने के लिए रोक दिया गया है।, डी) बचाव करने वाली टीम को गेंद फेंकने का मौका मिलता है।</v>
      </c>
      <c r="I43" s="5" t="str">
        <f>IFERROR(__xludf.DUMMYFUNCTION("GOOGLETRANSLATE(D43, ""en"", ""hi"")"),"A) हमलावर टीम द्वारा पुनः पत्थर फेंकने से पहले बचाव करने वाली टीम को सभी पत्थर वापस लाने होंगे।")</f>
        <v>A) हमलावर टीम द्वारा पुनः पत्थर फेंकने से पहले बचाव करने वाली टीम को सभी पत्थर वापस लाने होंगे।</v>
      </c>
    </row>
    <row r="44" ht="22.5" customHeight="1">
      <c r="A44" s="2">
        <v>43.0</v>
      </c>
      <c r="B44" s="3" t="s">
        <v>4079</v>
      </c>
      <c r="C44" s="3" t="s">
        <v>4080</v>
      </c>
      <c r="D44" s="3" t="s">
        <v>4081</v>
      </c>
      <c r="F44" s="5" t="str">
        <f>IFERROR(__xludf.DUMMYFUNCTION("GOOGLETRANSLATE(A44, ""en"", ""hi"")"),"43")</f>
        <v>43</v>
      </c>
      <c r="G44" s="5" t="str">
        <f>IFERROR(__xludf.DUMMYFUNCTION("GOOGLETRANSLATE(B44, ""en"", ""hi"")"),"यदि लागोरी खेल खेला जा रहा हो और गेंद फेंकी जाए और वह ऐसी जगह गिरे जहां से उसे आसानी से वापस नहीं लाया जा सके, तो क्या होगा?")</f>
        <v>यदि लागोरी खेल खेला जा रहा हो और गेंद फेंकी जाए और वह ऐसी जगह गिरे जहां से उसे आसानी से वापस नहीं लाया जा सके, तो क्या होगा?</v>
      </c>
      <c r="H44" s="5" t="str">
        <f>IFERROR(__xludf.DUMMYFUNCTION("GOOGLETRANSLATE(C44, ""en"", ""hi"")"),"A) खेल रोक दिया जाता है और गेंद वापस ले ली जाती है। , B) गेंद को खेल से बाहर माना जाता है और बारी जब्त कर ली जाती है। , C) गेंद को एक नई गेंद से बदल दिया जाता है। , D) खेल बिना किसी कार्रवाई के जारी रहता है।")</f>
        <v>A) खेल रोक दिया जाता है और गेंद वापस ले ली जाती है। , B) गेंद को खेल से बाहर माना जाता है और बारी जब्त कर ली जाती है। , C) गेंद को एक नई गेंद से बदल दिया जाता है। , D) खेल बिना किसी कार्रवाई के जारी रहता है।</v>
      </c>
      <c r="I44" s="5" t="str">
        <f>IFERROR(__xludf.DUMMYFUNCTION("GOOGLETRANSLATE(D44, ""en"", ""hi"")"),"बी) गेंद को खेल से बाहर माना जाता है और बारी जब्त कर ली जाती है।")</f>
        <v>बी) गेंद को खेल से बाहर माना जाता है और बारी जब्त कर ली जाती है।</v>
      </c>
    </row>
    <row r="45" ht="22.5" customHeight="1">
      <c r="A45" s="2">
        <v>44.0</v>
      </c>
      <c r="B45" s="3" t="s">
        <v>4082</v>
      </c>
      <c r="C45" s="3" t="s">
        <v>4083</v>
      </c>
      <c r="D45" s="3" t="s">
        <v>4084</v>
      </c>
      <c r="F45" s="5" t="str">
        <f>IFERROR(__xludf.DUMMYFUNCTION("GOOGLETRANSLATE(A45, ""en"", ""hi"")"),"44")</f>
        <v>44</v>
      </c>
      <c r="G45" s="5" t="str">
        <f>IFERROR(__xludf.DUMMYFUNCTION("GOOGLETRANSLATE(B45, ""en"", ""hi"")"),"लागोरी मैच में, यदि आक्रमणकारी टीम सभी पत्थरों को गिराने में सफल हो जाती है, लेकिन बचाव करने वाली टीम को उन्हें पुनः प्राप्त करने से नहीं रोक पाती, तो आगे क्या होगा?")</f>
        <v>लागोरी मैच में, यदि आक्रमणकारी टीम सभी पत्थरों को गिराने में सफल हो जाती है, लेकिन बचाव करने वाली टीम को उन्हें पुनः प्राप्त करने से नहीं रोक पाती, तो आगे क्या होगा?</v>
      </c>
      <c r="H45" s="5" t="str">
        <f>IFERROR(__xludf.DUMMYFUNCTION("GOOGLETRANSLATE(C45, ""en"", ""hi"")"),"ए) बचाव करने वाली टीम को थ्रो करने का मौका मिलता है।, बी) आक्रमण करने वाली टीम अपनी बारी जारी रखती है।, सी) खेल को समीक्षा के लिए रोक दिया जाता है।, डी) आक्रमण करने वाली टीम एक अंक खो देती है।")</f>
        <v>ए) बचाव करने वाली टीम को थ्रो करने का मौका मिलता है।, बी) आक्रमण करने वाली टीम अपनी बारी जारी रखती है।, सी) खेल को समीक्षा के लिए रोक दिया जाता है।, डी) आक्रमण करने वाली टीम एक अंक खो देती है।</v>
      </c>
      <c r="I45" s="5" t="str">
        <f>IFERROR(__xludf.DUMMYFUNCTION("GOOGLETRANSLATE(D45, ""en"", ""hi"")"),"अ) बचाव करने वाली टीम को गेंद फेंकने का मौका मिलता है।")</f>
        <v>अ) बचाव करने वाली टीम को गेंद फेंकने का मौका मिलता है।</v>
      </c>
    </row>
    <row r="46" ht="22.5" customHeight="1">
      <c r="A46" s="2">
        <v>45.0</v>
      </c>
      <c r="B46" s="3" t="s">
        <v>4085</v>
      </c>
      <c r="C46" s="3" t="s">
        <v>4086</v>
      </c>
      <c r="D46" s="3" t="s">
        <v>4087</v>
      </c>
      <c r="F46" s="5" t="str">
        <f>IFERROR(__xludf.DUMMYFUNCTION("GOOGLETRANSLATE(A46, ""en"", ""hi"")"),"45")</f>
        <v>45</v>
      </c>
      <c r="G46" s="5" t="str">
        <f>IFERROR(__xludf.DUMMYFUNCTION("GOOGLETRANSLATE(B46, ""en"", ""hi"")"),"यदि लागोरी में कोई पत्थर गिरा दिया जाए और गेंद पुनः उसी पर आ गिरे तो क्या करना चाहिए?")</f>
        <v>यदि लागोरी में कोई पत्थर गिरा दिया जाए और गेंद पुनः उसी पर आ गिरे तो क्या करना चाहिए?</v>
      </c>
      <c r="H46" s="5" t="str">
        <f>IFERROR(__xludf.DUMMYFUNCTION("GOOGLETRANSLATE(C46, ""en"", ""hi"")"),"A) पत्थर नीचे ही रहता है। , B) पत्थर अपनी मूल स्थिति में आ जाता है। , C) गेंद को खेल से बाहर मान लिया जाता है। , D) खेल रोक दिया जाता है।")</f>
        <v>A) पत्थर नीचे ही रहता है। , B) पत्थर अपनी मूल स्थिति में आ जाता है। , C) गेंद को खेल से बाहर मान लिया जाता है। , D) खेल रोक दिया जाता है।</v>
      </c>
      <c r="I46" s="5" t="str">
        <f>IFERROR(__xludf.DUMMYFUNCTION("GOOGLETRANSLATE(D46, ""en"", ""hi"")"),"(ख) पत्थर को उसकी मूल स्थिति में बहाल कर दिया जाता है।")</f>
        <v>(ख) पत्थर को उसकी मूल स्थिति में बहाल कर दिया जाता है।</v>
      </c>
    </row>
    <row r="47" ht="22.5" customHeight="1">
      <c r="A47" s="2">
        <v>46.0</v>
      </c>
      <c r="B47" s="3" t="s">
        <v>4088</v>
      </c>
      <c r="C47" s="3" t="s">
        <v>4089</v>
      </c>
      <c r="D47" s="3" t="s">
        <v>4003</v>
      </c>
      <c r="F47" s="5" t="str">
        <f>IFERROR(__xludf.DUMMYFUNCTION("GOOGLETRANSLATE(A47, ""en"", ""hi"")"),"46")</f>
        <v>46</v>
      </c>
      <c r="G47" s="5" t="str">
        <f>IFERROR(__xludf.DUMMYFUNCTION("GOOGLETRANSLATE(B47, ""en"", ""hi"")"),"लागोरी मैच के दौरान, यदि आक्रमणकारी टीम का कोई खिलाड़ी गेंद फेंकता है और वह किसी पत्थर से टकराए बिना सीमा रेखा के बाहर गिर जाती है, तो परिणाम क्या होगा?")</f>
        <v>लागोरी मैच के दौरान, यदि आक्रमणकारी टीम का कोई खिलाड़ी गेंद फेंकता है और वह किसी पत्थर से टकराए बिना सीमा रेखा के बाहर गिर जाती है, तो परिणाम क्या होगा?</v>
      </c>
      <c r="H47" s="5" t="str">
        <f>IFERROR(__xludf.DUMMYFUNCTION("GOOGLETRANSLATE(C47, ""en"", ""hi"")"),"A) आक्रमणकारी टीम अपनी बारी खो देती है। , B) गेंद बचाव करने वाली टीम को दे दी जाती है। , C) खेल पुनः शुरू हो जाता है। , D) खेल रोक दिया जाता है।")</f>
        <v>A) आक्रमणकारी टीम अपनी बारी खो देती है। , B) गेंद बचाव करने वाली टीम को दे दी जाती है। , C) खेल पुनः शुरू हो जाता है। , D) खेल रोक दिया जाता है।</v>
      </c>
      <c r="I47" s="5" t="str">
        <f>IFERROR(__xludf.DUMMYFUNCTION("GOOGLETRANSLATE(D47, ""en"", ""hi"")"),"A) आक्रमणकारी टीम अपनी बारी खो देती है।")</f>
        <v>A) आक्रमणकारी टीम अपनी बारी खो देती है।</v>
      </c>
    </row>
    <row r="48" ht="22.5" customHeight="1">
      <c r="A48" s="2">
        <v>47.0</v>
      </c>
      <c r="B48" s="3" t="s">
        <v>4090</v>
      </c>
      <c r="C48" s="3" t="s">
        <v>4091</v>
      </c>
      <c r="D48" s="3" t="s">
        <v>4020</v>
      </c>
      <c r="F48" s="5" t="str">
        <f>IFERROR(__xludf.DUMMYFUNCTION("GOOGLETRANSLATE(A48, ""en"", ""hi"")"),"47")</f>
        <v>47</v>
      </c>
      <c r="G48" s="5" t="str">
        <f>IFERROR(__xludf.DUMMYFUNCTION("GOOGLETRANSLATE(B48, ""en"", ""hi"")"),"लागोरी में, यदि बचाव करने वाली टीम का कोई खिलाड़ी किसी पत्थर को पूरी तरह से बहाल होने से पहले छू लेता है, तो क्या नियम होना चाहिए?")</f>
        <v>लागोरी में, यदि बचाव करने वाली टीम का कोई खिलाड़ी किसी पत्थर को पूरी तरह से बहाल होने से पहले छू लेता है, तो क्या नियम होना चाहिए?</v>
      </c>
      <c r="H48" s="5" t="str">
        <f>IFERROR(__xludf.DUMMYFUNCTION("GOOGLETRANSLATE(C48, ""en"", ""hi"")"),"ए) पत्थर को वापस रख दिया जाता है और बारी जब्त कर ली जाती है। , बी) खिलाड़ी बाहर हो जाता है। , सी) खेल बिना दंड के जारी रहता है। , डी) पत्थर को खेल से हटा दिया जाता है।")</f>
        <v>ए) पत्थर को वापस रख दिया जाता है और बारी जब्त कर ली जाती है। , बी) खिलाड़ी बाहर हो जाता है। , सी) खेल बिना दंड के जारी रहता है। , डी) पत्थर को खेल से हटा दिया जाता है।</v>
      </c>
      <c r="I48" s="5" t="str">
        <f>IFERROR(__xludf.DUMMYFUNCTION("GOOGLETRANSLATE(D48, ""en"", ""hi"")"),"ए) पत्थर को बदल दिया जाता है और बारी जब्त कर ली जाती है।")</f>
        <v>ए) पत्थर को बदल दिया जाता है और बारी जब्त कर ली जाती है।</v>
      </c>
    </row>
    <row r="49" ht="22.5" customHeight="1">
      <c r="A49" s="2">
        <v>48.0</v>
      </c>
      <c r="B49" s="3" t="s">
        <v>4092</v>
      </c>
      <c r="C49" s="3" t="s">
        <v>4093</v>
      </c>
      <c r="D49" s="3" t="s">
        <v>4094</v>
      </c>
      <c r="F49" s="5" t="str">
        <f>IFERROR(__xludf.DUMMYFUNCTION("GOOGLETRANSLATE(A49, ""en"", ""hi"")"),"48")</f>
        <v>48</v>
      </c>
      <c r="G49" s="5" t="str">
        <f>IFERROR(__xludf.DUMMYFUNCTION("GOOGLETRANSLATE(B49, ""en"", ""hi"")"),"यदि आक्रमणकारी टीम का कोई खिलाड़ी सभी पत्थरों को गिराने में सफल हो जाता है, लेकिन गेंद खेल क्षेत्र के बाहर गिर जाती है, तो आगे क्या होगा?")</f>
        <v>यदि आक्रमणकारी टीम का कोई खिलाड़ी सभी पत्थरों को गिराने में सफल हो जाता है, लेकिन गेंद खेल क्षेत्र के बाहर गिर जाती है, तो आगे क्या होगा?</v>
      </c>
      <c r="H49" s="5" t="str">
        <f>IFERROR(__xludf.DUMMYFUNCTION("GOOGLETRANSLATE(C49, ""en"", ""hi"")"),"ए) बचाव करने वाली टीम पत्थरों को वापस ले लेती है और अगला पत्थर फेंकने का मौका पाती है। , बी) आक्रमण करने वाली टीम को एक अतिरिक्त बारी मिलती है। , सी) खेल रोक दिया जाता है। , डी) आक्रमण करने वाली टीम अपनी बारी खो देती है।")</f>
        <v>ए) बचाव करने वाली टीम पत्थरों को वापस ले लेती है और अगला पत्थर फेंकने का मौका पाती है। , बी) आक्रमण करने वाली टीम को एक अतिरिक्त बारी मिलती है। , सी) खेल रोक दिया जाता है। , डी) आक्रमण करने वाली टीम अपनी बारी खो देती है।</v>
      </c>
      <c r="I49" s="5" t="str">
        <f>IFERROR(__xludf.DUMMYFUNCTION("GOOGLETRANSLATE(D49, ""en"", ""hi"")"),"ए) बचाव करने वाली टीम पत्थरों को वापस लाती है और अगला पत्थर फेंकने का काम करती है।")</f>
        <v>ए) बचाव करने वाली टीम पत्थरों को वापस लाती है और अगला पत्थर फेंकने का काम करती है।</v>
      </c>
    </row>
    <row r="50" ht="22.5" customHeight="1">
      <c r="A50" s="2">
        <v>49.0</v>
      </c>
      <c r="B50" s="3" t="s">
        <v>4095</v>
      </c>
      <c r="C50" s="3" t="s">
        <v>4096</v>
      </c>
      <c r="D50" s="3" t="s">
        <v>4097</v>
      </c>
      <c r="F50" s="5" t="str">
        <f>IFERROR(__xludf.DUMMYFUNCTION("GOOGLETRANSLATE(A50, ""en"", ""hi"")"),"49")</f>
        <v>49</v>
      </c>
      <c r="G50" s="5" t="str">
        <f>IFERROR(__xludf.DUMMYFUNCTION("GOOGLETRANSLATE(B50, ""en"", ""hi"")"),"लागोरी में, यदि गेंद फेंकी जाती है और पत्थर से टकराती है, लेकिन पत्थर सीमा से बाहर के क्षेत्र में गिरता है, तो क्या किया जाना चाहिए?")</f>
        <v>लागोरी में, यदि गेंद फेंकी जाती है और पत्थर से टकराती है, लेकिन पत्थर सीमा से बाहर के क्षेत्र में गिरता है, तो क्या किया जाना चाहिए?</v>
      </c>
      <c r="H50" s="5" t="str">
        <f>IFERROR(__xludf.DUMMYFUNCTION("GOOGLETRANSLATE(C50, ""en"", ""hi"")"),"A) पत्थर को वापस रख दिया जाता है और खेल जारी रहता है। , B) पत्थर को खेल से हटा दिया जाता है। , C) पत्थर को गिरा हुआ मान लिया जाता है और खेल रोक दिया जाता है। , D) गेंद बचाव करने वाली टीम को दे दी जाती है।")</f>
        <v>A) पत्थर को वापस रख दिया जाता है और खेल जारी रहता है। , B) पत्थर को खेल से हटा दिया जाता है। , C) पत्थर को गिरा हुआ मान लिया जाता है और खेल रोक दिया जाता है। , D) गेंद बचाव करने वाली टीम को दे दी जाती है।</v>
      </c>
      <c r="I50" s="5" t="str">
        <f>IFERROR(__xludf.DUMMYFUNCTION("GOOGLETRANSLATE(D50, ""en"", ""hi"")"),"A) पत्थर को वापस रख दिया जाता है और खेल जारी रहता है।")</f>
        <v>A) पत्थर को वापस रख दिया जाता है और खेल जारी रहता है।</v>
      </c>
    </row>
    <row r="51" ht="22.5" customHeight="1">
      <c r="A51" s="2">
        <v>50.0</v>
      </c>
      <c r="B51" s="3" t="s">
        <v>4098</v>
      </c>
      <c r="C51" s="3" t="s">
        <v>4099</v>
      </c>
      <c r="D51" s="3" t="s">
        <v>4003</v>
      </c>
      <c r="F51" s="5" t="str">
        <f>IFERROR(__xludf.DUMMYFUNCTION("GOOGLETRANSLATE(A51, ""en"", ""hi"")"),"50")</f>
        <v>50</v>
      </c>
      <c r="G51" s="5" t="str">
        <f>IFERROR(__xludf.DUMMYFUNCTION("GOOGLETRANSLATE(B51, ""en"", ""hi"")"),"लागोरी खेल के दौरान, यदि बचाव करने वाली टीम का कोई खिलाड़ी गेंद को सफलतापूर्वक पकड़ लेता है, लेकिन कोई पत्थर नहीं गिरा पाता, तो आगे क्या होता है?")</f>
        <v>लागोरी खेल के दौरान, यदि बचाव करने वाली टीम का कोई खिलाड़ी गेंद को सफलतापूर्वक पकड़ लेता है, लेकिन कोई पत्थर नहीं गिरा पाता, तो आगे क्या होता है?</v>
      </c>
      <c r="H51" s="5" t="str">
        <f>IFERROR(__xludf.DUMMYFUNCTION("GOOGLETRANSLATE(C51, ""en"", ""hi"")"),"A) आक्रमणकारी टीम अपनी बारी खो देती है। , B) बचाव करने वाली टीम को गेंद फेंकने का एक और मौका मिलता है। , C) खेल बिना किसी दंड के जारी रहता है। , D) गेंद आक्रमणकारी टीम को दे दी जाती है।")</f>
        <v>A) आक्रमणकारी टीम अपनी बारी खो देती है। , B) बचाव करने वाली टीम को गेंद फेंकने का एक और मौका मिलता है। , C) खेल बिना किसी दंड के जारी रहता है। , D) गेंद आक्रमणकारी टीम को दे दी जाती है।</v>
      </c>
      <c r="I51" s="5" t="str">
        <f>IFERROR(__xludf.DUMMYFUNCTION("GOOGLETRANSLATE(D51, ""en"", ""hi"")"),"A) आक्रमणकारी टीम अपनी बारी खो देती है।")</f>
        <v>A) आक्रमणकारी टीम अपनी बारी खो देती है।</v>
      </c>
    </row>
    <row r="52" ht="22.5" customHeight="1">
      <c r="A52" s="2">
        <v>51.0</v>
      </c>
      <c r="B52" s="3" t="s">
        <v>4100</v>
      </c>
      <c r="C52" s="3" t="s">
        <v>4101</v>
      </c>
      <c r="D52" s="3" t="s">
        <v>4102</v>
      </c>
      <c r="F52" s="5" t="str">
        <f>IFERROR(__xludf.DUMMYFUNCTION("GOOGLETRANSLATE(A52, ""en"", ""hi"")"),"51")</f>
        <v>51</v>
      </c>
      <c r="G52" s="5" t="str">
        <f>IFERROR(__xludf.DUMMYFUNCTION("GOOGLETRANSLATE(B52, ""en"", ""hi"")"),"लागोरी मैच में, यदि गेंद फेंकी जाए और वह पत्थर पर गिरे बिना ही गिर जाए, तो बचाव करने वाली टीम पर क्या प्रभाव पड़ेगा?")</f>
        <v>लागोरी मैच में, यदि गेंद फेंकी जाए और वह पत्थर पर गिरे बिना ही गिर जाए, तो बचाव करने वाली टीम पर क्या प्रभाव पड़ेगा?</v>
      </c>
      <c r="H52" s="5" t="str">
        <f>IFERROR(__xludf.DUMMYFUNCTION("GOOGLETRANSLATE(C52, ""en"", ""hi"")"),"ए) बचाव करने वाली टीम को पत्थर वापस लाना होगा।, बी) बचाव करने वाली टीम को एक अतिरिक्त अंक मिलेगा।, सी) खेल रोक दिया जाएगा।, डी) पत्थर को खेल से हटा दिया जाएगा।")</f>
        <v>ए) बचाव करने वाली टीम को पत्थर वापस लाना होगा।, बी) बचाव करने वाली टीम को एक अतिरिक्त अंक मिलेगा।, सी) खेल रोक दिया जाएगा।, डी) पत्थर को खेल से हटा दिया जाएगा।</v>
      </c>
      <c r="I52" s="5" t="str">
        <f>IFERROR(__xludf.DUMMYFUNCTION("GOOGLETRANSLATE(D52, ""en"", ""hi"")"),"ए) बचाव करने वाली टीम को पत्थर को पुनः स्थापित करना होगा।")</f>
        <v>ए) बचाव करने वाली टीम को पत्थर को पुनः स्थापित करना होगा।</v>
      </c>
    </row>
    <row r="53" ht="22.5" customHeight="1">
      <c r="A53" s="2">
        <v>52.0</v>
      </c>
      <c r="B53" s="3" t="s">
        <v>4103</v>
      </c>
      <c r="C53" s="3" t="s">
        <v>4104</v>
      </c>
      <c r="D53" s="3" t="s">
        <v>4105</v>
      </c>
      <c r="F53" s="5" t="str">
        <f>IFERROR(__xludf.DUMMYFUNCTION("GOOGLETRANSLATE(A53, ""en"", ""hi"")"),"52")</f>
        <v>52</v>
      </c>
      <c r="G53" s="5" t="str">
        <f>IFERROR(__xludf.DUMMYFUNCTION("GOOGLETRANSLATE(B53, ""en"", ""hi"")"),"यदि लागोरी खेल समाप्त हो जाता है और सभी पत्थर वापस नहीं मिलते, तो सामान्य नियम क्या होगा?")</f>
        <v>यदि लागोरी खेल समाप्त हो जाता है और सभी पत्थर वापस नहीं मिलते, तो सामान्य नियम क्या होगा?</v>
      </c>
      <c r="H53" s="5" t="str">
        <f>IFERROR(__xludf.DUMMYFUNCTION("GOOGLETRANSLATE(C53, ""en"", ""hi"")"),"A) खेल को अपूर्ण घोषित कर दिया जाता है और इसे पुनः खेला जा सकता है। , B) बचाव करने वाली टीम को विजेता घोषित कर दिया जाता है। , C) आक्रमण करने वाली टीम को विजेता घोषित कर दिया जाता है। , D) खेल को शुरू से पुनः शुरू किया जाता है।")</f>
        <v>A) खेल को अपूर्ण घोषित कर दिया जाता है और इसे पुनः खेला जा सकता है। , B) बचाव करने वाली टीम को विजेता घोषित कर दिया जाता है। , C) आक्रमण करने वाली टीम को विजेता घोषित कर दिया जाता है। , D) खेल को शुरू से पुनः शुरू किया जाता है।</v>
      </c>
      <c r="I53" s="5" t="str">
        <f>IFERROR(__xludf.DUMMYFUNCTION("GOOGLETRANSLATE(D53, ""en"", ""hi"")"),"A) खेल को अपूर्ण घोषित किया जाता है तथा उसे पुनः खेला जा सकता है।")</f>
        <v>A) खेल को अपूर्ण घोषित किया जाता है तथा उसे पुनः खेला जा सकता है।</v>
      </c>
    </row>
    <row r="54" ht="22.5" customHeight="1">
      <c r="A54" s="2">
        <v>53.0</v>
      </c>
      <c r="B54" s="3" t="s">
        <v>4106</v>
      </c>
      <c r="C54" s="3" t="s">
        <v>4107</v>
      </c>
      <c r="D54" s="3" t="s">
        <v>4020</v>
      </c>
      <c r="F54" s="5" t="str">
        <f>IFERROR(__xludf.DUMMYFUNCTION("GOOGLETRANSLATE(A54, ""en"", ""hi"")"),"53")</f>
        <v>53</v>
      </c>
      <c r="G54" s="5" t="str">
        <f>IFERROR(__xludf.DUMMYFUNCTION("GOOGLETRANSLATE(B54, ""en"", ""hi"")"),"लागोरी में, यदि कोई पत्थर गिर जाए और आक्रमणकारी टीम का कोई खिलाड़ी गलती से उस पर पैर रख दे, इससे पहले कि वह वापस आ जाए, तो क्या होगा?")</f>
        <v>लागोरी में, यदि कोई पत्थर गिर जाए और आक्रमणकारी टीम का कोई खिलाड़ी गलती से उस पर पैर रख दे, इससे पहले कि वह वापस आ जाए, तो क्या होगा?</v>
      </c>
      <c r="H54" s="5" t="str">
        <f>IFERROR(__xludf.DUMMYFUNCTION("GOOGLETRANSLATE(C54, ""en"", ""hi"")"),"ए) पत्थर को वापस रख दिया जाता है और बारी जब्त कर ली जाती है।, बी) पत्थर को नीचे छोड़ दिया जाता है।, सी) खिलाड़ी आउट हो जाता है।, डी) खेल बिना दंड के जारी रहता है।")</f>
        <v>ए) पत्थर को वापस रख दिया जाता है और बारी जब्त कर ली जाती है।, बी) पत्थर को नीचे छोड़ दिया जाता है।, सी) खिलाड़ी आउट हो जाता है।, डी) खेल बिना दंड के जारी रहता है।</v>
      </c>
      <c r="I54" s="5" t="str">
        <f>IFERROR(__xludf.DUMMYFUNCTION("GOOGLETRANSLATE(D54, ""en"", ""hi"")"),"ए) पत्थर को बदल दिया जाता है और बारी जब्त कर ली जाती है।")</f>
        <v>ए) पत्थर को बदल दिया जाता है और बारी जब्त कर ली जाती है।</v>
      </c>
    </row>
    <row r="55" ht="22.5" customHeight="1">
      <c r="A55" s="2">
        <v>54.0</v>
      </c>
      <c r="B55" s="3" t="s">
        <v>4108</v>
      </c>
      <c r="C55" s="3" t="s">
        <v>4109</v>
      </c>
      <c r="D55" s="3" t="s">
        <v>4014</v>
      </c>
      <c r="F55" s="5" t="str">
        <f>IFERROR(__xludf.DUMMYFUNCTION("GOOGLETRANSLATE(A55, ""en"", ""hi"")"),"54")</f>
        <v>54</v>
      </c>
      <c r="G55" s="5" t="str">
        <f>IFERROR(__xludf.DUMMYFUNCTION("GOOGLETRANSLATE(B55, ""en"", ""hi"")"),"लागोरी मैच के दौरान, यदि कोई खिलाड़ी गेंद फेंकता है और वह किसी पत्थर से टकराने से पहले जमीन पर गिरती है, तो परिणाम क्या होगा?")</f>
        <v>लागोरी मैच के दौरान, यदि कोई खिलाड़ी गेंद फेंकता है और वह किसी पत्थर से टकराने से पहले जमीन पर गिरती है, तो परिणाम क्या होगा?</v>
      </c>
      <c r="H55" s="5" t="str">
        <f>IFERROR(__xludf.DUMMYFUNCTION("GOOGLETRANSLATE(C55, ""en"", ""hi"")"),"A) बारी जब्त कर ली जाती है। , B) गेंद को फिर से फेंका जाता है। , C) खेल रोक दिया जाता है। , D) बचाव करने वाली टीम को फेंकने का मौका मिलता है।")</f>
        <v>A) बारी जब्त कर ली जाती है। , B) गेंद को फिर से फेंका जाता है। , C) खेल रोक दिया जाता है। , D) बचाव करने वाली टीम को फेंकने का मौका मिलता है।</v>
      </c>
      <c r="I55" s="5" t="str">
        <f>IFERROR(__xludf.DUMMYFUNCTION("GOOGLETRANSLATE(D55, ""en"", ""hi"")"),"A) बारी जब्त कर ली जाती है।")</f>
        <v>A) बारी जब्त कर ली जाती है।</v>
      </c>
    </row>
    <row r="56" ht="22.5" customHeight="1">
      <c r="A56" s="2">
        <v>55.0</v>
      </c>
      <c r="B56" s="3" t="s">
        <v>4110</v>
      </c>
      <c r="C56" s="3" t="s">
        <v>4111</v>
      </c>
      <c r="D56" s="3" t="s">
        <v>4112</v>
      </c>
      <c r="F56" s="5" t="str">
        <f>IFERROR(__xludf.DUMMYFUNCTION("GOOGLETRANSLATE(A56, ""en"", ""hi"")"),"55")</f>
        <v>55</v>
      </c>
      <c r="G56" s="5" t="str">
        <f>IFERROR(__xludf.DUMMYFUNCTION("GOOGLETRANSLATE(B56, ""en"", ""hi"")"),"लागोरी में यदि गेंद फेंकी जाए और वह बिना किसी पत्थर से टकराए सीमा रेखा पर गिर जाए तो क्या नियम है?")</f>
        <v>लागोरी में यदि गेंद फेंकी जाए और वह बिना किसी पत्थर से टकराए सीमा रेखा पर गिर जाए तो क्या नियम है?</v>
      </c>
      <c r="H56" s="5" t="str">
        <f>IFERROR(__xludf.DUMMYFUNCTION("GOOGLETRANSLATE(C56, ""en"", ""hi"")"),"ए) बारी को अवैध और जब्त माना जाता है। , बी) गेंद बचाव करने वाली टीम को दी जाती है। , सी) खेल जारी रहता है। , डी) पत्थर वापस कर दिए जाते हैं।")</f>
        <v>ए) बारी को अवैध और जब्त माना जाता है। , बी) गेंद बचाव करने वाली टीम को दी जाती है। , सी) खेल जारी रहता है। , डी) पत्थर वापस कर दिए जाते हैं।</v>
      </c>
      <c r="I56" s="5" t="str">
        <f>IFERROR(__xludf.DUMMYFUNCTION("GOOGLETRANSLATE(D56, ""en"", ""hi"")"),"ए) बारी को अवैध माना जाता है और जब्त कर लिया जाता है।")</f>
        <v>ए) बारी को अवैध माना जाता है और जब्त कर लिया जाता है।</v>
      </c>
    </row>
    <row r="57" ht="22.5" customHeight="1">
      <c r="A57" s="2">
        <v>56.0</v>
      </c>
      <c r="B57" s="3" t="s">
        <v>4113</v>
      </c>
      <c r="C57" s="3" t="s">
        <v>4114</v>
      </c>
      <c r="D57" s="3" t="s">
        <v>4115</v>
      </c>
      <c r="F57" s="5" t="str">
        <f>IFERROR(__xludf.DUMMYFUNCTION("GOOGLETRANSLATE(A57, ""en"", ""hi"")"),"56")</f>
        <v>56</v>
      </c>
      <c r="G57" s="5" t="str">
        <f>IFERROR(__xludf.DUMMYFUNCTION("GOOGLETRANSLATE(B57, ""en"", ""hi"")"),"यदि किसी खिलाड़ी के विवाद के कारण लागोरी खेल बाधित हो जाता है, तो सामान्य समाधान क्या होता है?")</f>
        <v>यदि किसी खिलाड़ी के विवाद के कारण लागोरी खेल बाधित हो जाता है, तो सामान्य समाधान क्या होता है?</v>
      </c>
      <c r="H57" s="5" t="str">
        <f>IFERROR(__xludf.DUMMYFUNCTION("GOOGLETRANSLATE(C57, ""en"", ""hi"")"),"ए) खेल रोक दिया जाता है और विवाद को रेफरी द्वारा सुलझाया जाता है।, बी) खेल रद्द कर दिया जाता है।, सी) विवाद में शामिल टीम को अयोग्य घोषित कर दिया जाता है।, डी) खेल बिना समाधान के जारी रहता है।")</f>
        <v>ए) खेल रोक दिया जाता है और विवाद को रेफरी द्वारा सुलझाया जाता है।, बी) खेल रद्द कर दिया जाता है।, सी) विवाद में शामिल टीम को अयोग्य घोषित कर दिया जाता है।, डी) खेल बिना समाधान के जारी रहता है।</v>
      </c>
      <c r="I57" s="5" t="str">
        <f>IFERROR(__xludf.DUMMYFUNCTION("GOOGLETRANSLATE(D57, ""en"", ""hi"")"),"ए) खेल रोक दिया जाता है और विवाद को रेफरी द्वारा सुलझाया जाता है।")</f>
        <v>ए) खेल रोक दिया जाता है और विवाद को रेफरी द्वारा सुलझाया जाता है।</v>
      </c>
    </row>
    <row r="58" ht="22.5" customHeight="1">
      <c r="A58" s="2">
        <v>57.0</v>
      </c>
      <c r="B58" s="3" t="s">
        <v>4116</v>
      </c>
      <c r="C58" s="3" t="s">
        <v>4117</v>
      </c>
      <c r="D58" s="3" t="s">
        <v>4118</v>
      </c>
      <c r="F58" s="5" t="str">
        <f>IFERROR(__xludf.DUMMYFUNCTION("GOOGLETRANSLATE(A58, ""en"", ""hi"")"),"57")</f>
        <v>57</v>
      </c>
      <c r="G58" s="5" t="str">
        <f>IFERROR(__xludf.DUMMYFUNCTION("GOOGLETRANSLATE(B58, ""en"", ""hi"")"),"लागोरी में, यदि कोई पत्थर गिर जाता है, लेकिन बचाव दल द्वारा उसे वापस लाने से पहले आक्रमणकारी दल का कोई खिलाड़ी उसे छू लेता है, तो आगे क्या होता है?")</f>
        <v>लागोरी में, यदि कोई पत्थर गिर जाता है, लेकिन बचाव दल द्वारा उसे वापस लाने से पहले आक्रमणकारी दल का कोई खिलाड़ी उसे छू लेता है, तो आगे क्या होता है?</v>
      </c>
      <c r="H58" s="5" t="str">
        <f>IFERROR(__xludf.DUMMYFUNCTION("GOOGLETRANSLATE(C58, ""en"", ""hi"")"),"A) पत्थर वापस रख दिया जाता है और आक्रमणकारी टीम अपनी बारी खो देती है। , B) पत्थर नीचे ही रहता है। , C) खिलाड़ी को एक अतिरिक्त बारी का दंड दिया जाता है। , D) खेल बिना दंड के जारी रहता है।")</f>
        <v>A) पत्थर वापस रख दिया जाता है और आक्रमणकारी टीम अपनी बारी खो देती है। , B) पत्थर नीचे ही रहता है। , C) खिलाड़ी को एक अतिरिक्त बारी का दंड दिया जाता है। , D) खेल बिना दंड के जारी रहता है।</v>
      </c>
      <c r="I58" s="5" t="str">
        <f>IFERROR(__xludf.DUMMYFUNCTION("GOOGLETRANSLATE(D58, ""en"", ""hi"")"),"A) पत्थर को पुनः स्थापित कर दिया जाता है और आक्रमणकारी टीम अपनी बारी खो देती है।")</f>
        <v>A) पत्थर को पुनः स्थापित कर दिया जाता है और आक्रमणकारी टीम अपनी बारी खो देती है।</v>
      </c>
    </row>
    <row r="59" ht="22.5" customHeight="1">
      <c r="A59" s="2">
        <v>58.0</v>
      </c>
      <c r="B59" s="3" t="s">
        <v>4119</v>
      </c>
      <c r="C59" s="3" t="s">
        <v>4120</v>
      </c>
      <c r="D59" s="3" t="s">
        <v>4121</v>
      </c>
      <c r="F59" s="5" t="str">
        <f>IFERROR(__xludf.DUMMYFUNCTION("GOOGLETRANSLATE(A59, ""en"", ""hi"")"),"58")</f>
        <v>58</v>
      </c>
      <c r="G59" s="5" t="str">
        <f>IFERROR(__xludf.DUMMYFUNCTION("GOOGLETRANSLATE(B59, ""en"", ""hi"")"),"लागोरी मैच के दौरान, यदि एक राउंड के अंत तक सभी पत्थर पुनः प्राप्त नहीं होते हैं, तो क्या नियम होगा?")</f>
        <v>लागोरी मैच के दौरान, यदि एक राउंड के अंत तक सभी पत्थर पुनः प्राप्त नहीं होते हैं, तो क्या नियम होगा?</v>
      </c>
      <c r="H59" s="5" t="str">
        <f>IFERROR(__xludf.DUMMYFUNCTION("GOOGLETRANSLATE(C59, ""en"", ""hi"")"),"A) खेल जारी रहता है, पत्थर वैसे ही रहते हैं। , B) खेल रोक दिया जाता है और पत्थर वापस रख दिए जाते हैं। , C) खेल को अपूर्ण घोषित कर दिया जाता है। , D) बचाव करने वाली टीम को विजेता घोषित कर दिया जाता है।")</f>
        <v>A) खेल जारी रहता है, पत्थर वैसे ही रहते हैं। , B) खेल रोक दिया जाता है और पत्थर वापस रख दिए जाते हैं। , C) खेल को अपूर्ण घोषित कर दिया जाता है। , D) बचाव करने वाली टीम को विजेता घोषित कर दिया जाता है।</v>
      </c>
      <c r="I59" s="5" t="str">
        <f>IFERROR(__xludf.DUMMYFUNCTION("GOOGLETRANSLATE(D59, ""en"", ""hi"")"),"C) खेल को अपूर्ण घोषित किया जाता है।")</f>
        <v>C) खेल को अपूर्ण घोषित किया जाता है।</v>
      </c>
    </row>
    <row r="60" ht="22.5" customHeight="1">
      <c r="A60" s="2">
        <v>59.0</v>
      </c>
      <c r="B60" s="3" t="s">
        <v>4122</v>
      </c>
      <c r="C60" s="3" t="s">
        <v>4123</v>
      </c>
      <c r="D60" s="3" t="s">
        <v>4014</v>
      </c>
      <c r="F60" s="5" t="str">
        <f>IFERROR(__xludf.DUMMYFUNCTION("GOOGLETRANSLATE(A60, ""en"", ""hi"")"),"59")</f>
        <v>59</v>
      </c>
      <c r="G60" s="5" t="str">
        <f>IFERROR(__xludf.DUMMYFUNCTION("GOOGLETRANSLATE(B60, ""en"", ""hi"")"),"लागोरी में, यदि कोई खिलाड़ी गेंद फेंकता है और वह किसी पत्थर से टकराने से पहले जमीन से उछल जाती है, तो इसका प्रभाव क्या होगा?")</f>
        <v>लागोरी में, यदि कोई खिलाड़ी गेंद फेंकता है और वह किसी पत्थर से टकराने से पहले जमीन से उछल जाती है, तो इसका प्रभाव क्या होगा?</v>
      </c>
      <c r="H60" s="5" t="str">
        <f>IFERROR(__xludf.DUMMYFUNCTION("GOOGLETRANSLATE(C60, ""en"", ""hi"")"),"ए) बारी जब्त कर ली जाती है।, बी) गेंद को खेल से बाहर माना जाता है।, सी) खेल रोक दिया जाता है।, डी) पत्थरों को फिर से सेट किया जाता है।")</f>
        <v>ए) बारी जब्त कर ली जाती है।, बी) गेंद को खेल से बाहर माना जाता है।, सी) खेल रोक दिया जाता है।, डी) पत्थरों को फिर से सेट किया जाता है।</v>
      </c>
      <c r="I60" s="5" t="str">
        <f>IFERROR(__xludf.DUMMYFUNCTION("GOOGLETRANSLATE(D60, ""en"", ""hi"")"),"A) बारी जब्त कर ली जाती है।")</f>
        <v>A) बारी जब्त कर ली जाती है।</v>
      </c>
    </row>
    <row r="61" ht="22.5" customHeight="1">
      <c r="A61" s="2">
        <v>60.0</v>
      </c>
      <c r="B61" s="3" t="s">
        <v>4124</v>
      </c>
      <c r="C61" s="3" t="s">
        <v>4125</v>
      </c>
      <c r="D61" s="3" t="s">
        <v>3988</v>
      </c>
      <c r="F61" s="5" t="str">
        <f>IFERROR(__xludf.DUMMYFUNCTION("GOOGLETRANSLATE(A61, ""en"", ""hi"")"),"60")</f>
        <v>60</v>
      </c>
      <c r="G61" s="5" t="str">
        <f>IFERROR(__xludf.DUMMYFUNCTION("GOOGLETRANSLATE(B61, ""en"", ""hi"")"),"यदि लागोरी खेल खेला जाता है और कोई खिलाड़ी जानबूझकर गेंद से पत्थरों को मारकर धोखाधड़ी करता हुआ पाया जाता है, तो दंड क्या है?")</f>
        <v>यदि लागोरी खेल खेला जाता है और कोई खिलाड़ी जानबूझकर गेंद से पत्थरों को मारकर धोखाधड़ी करता हुआ पाया जाता है, तो दंड क्या है?</v>
      </c>
      <c r="H61" s="5" t="str">
        <f>IFERROR(__xludf.DUMMYFUNCTION("GOOGLETRANSLATE(C61, ""en"", ""hi"")"),"A) टीम अपनी बारी खो देती है। , B) खिलाड़ी को मैच से अयोग्य घोषित कर दिया जाता है। , C) पत्थरों को खेल से हटा दिया जाता है। , D) खेल को पुनः शुरू किया जाता है।")</f>
        <v>A) टीम अपनी बारी खो देती है। , B) खिलाड़ी को मैच से अयोग्य घोषित कर दिया जाता है। , C) पत्थरों को खेल से हटा दिया जाता है। , D) खेल को पुनः शुरू किया जाता है।</v>
      </c>
      <c r="I61" s="5" t="str">
        <f>IFERROR(__xludf.DUMMYFUNCTION("GOOGLETRANSLATE(D61, ""en"", ""hi"")"),"A) टीम अपनी बारी खो देती है।")</f>
        <v>A) टीम अपनी बारी खो देती है।</v>
      </c>
    </row>
    <row r="62" ht="22.5" customHeight="1">
      <c r="A62" s="2">
        <v>61.0</v>
      </c>
      <c r="B62" s="3" t="s">
        <v>4126</v>
      </c>
      <c r="C62" s="3" t="s">
        <v>4127</v>
      </c>
      <c r="D62" s="3" t="s">
        <v>4020</v>
      </c>
      <c r="F62" s="5" t="str">
        <f>IFERROR(__xludf.DUMMYFUNCTION("GOOGLETRANSLATE(A62, ""en"", ""hi"")"),"61")</f>
        <v>61</v>
      </c>
      <c r="G62" s="5" t="str">
        <f>IFERROR(__xludf.DUMMYFUNCTION("GOOGLETRANSLATE(B62, ""en"", ""hi"")"),"लागोरी मैच में, यदि गेंद पत्थरों से टकराती है और पत्थर गिरता है, लेकिन उसे तुरंत ही कोई खिलाड़ी पकड़ लेता है, तो क्या होगा?")</f>
        <v>लागोरी मैच में, यदि गेंद पत्थरों से टकराती है और पत्थर गिरता है, लेकिन उसे तुरंत ही कोई खिलाड़ी पकड़ लेता है, तो क्या होगा?</v>
      </c>
      <c r="H62" s="5" t="str">
        <f>IFERROR(__xludf.DUMMYFUNCTION("GOOGLETRANSLATE(C62, ""en"", ""hi"")"),"A) पत्थर को वापस रख दिया जाता है और बारी रद्द कर दी जाती है। , B) पत्थर नीचे ही रहता है। , C) गेंद को फिर से फेंका जाता है। , D) खेल रोक दिया जाता है।")</f>
        <v>A) पत्थर को वापस रख दिया जाता है और बारी रद्द कर दी जाती है। , B) पत्थर नीचे ही रहता है। , C) गेंद को फिर से फेंका जाता है। , D) खेल रोक दिया जाता है।</v>
      </c>
      <c r="I62" s="5" t="str">
        <f>IFERROR(__xludf.DUMMYFUNCTION("GOOGLETRANSLATE(D62, ""en"", ""hi"")"),"ए) पत्थर को बदल दिया जाता है और बारी जब्त कर ली जाती है।")</f>
        <v>ए) पत्थर को बदल दिया जाता है और बारी जब्त कर ली जाती है।</v>
      </c>
    </row>
    <row r="63" ht="22.5" customHeight="1">
      <c r="A63" s="2">
        <v>62.0</v>
      </c>
      <c r="B63" s="3" t="s">
        <v>4128</v>
      </c>
      <c r="C63" s="3" t="s">
        <v>4129</v>
      </c>
      <c r="D63" s="3" t="s">
        <v>4130</v>
      </c>
      <c r="F63" s="5" t="str">
        <f>IFERROR(__xludf.DUMMYFUNCTION("GOOGLETRANSLATE(A63, ""en"", ""hi"")"),"62")</f>
        <v>62</v>
      </c>
      <c r="G63" s="5" t="str">
        <f>IFERROR(__xludf.DUMMYFUNCTION("GOOGLETRANSLATE(B63, ""en"", ""hi"")"),"लागोरी मैच के दौरान यदि गेंद फेंकी जाए और वह ऐसी जगह गिरे जहां पहुंचना कठिन हो, तो क्या नियम होगा?")</f>
        <v>लागोरी मैच के दौरान यदि गेंद फेंकी जाए और वह ऐसी जगह गिरे जहां पहुंचना कठिन हो, तो क्या नियम होगा?</v>
      </c>
      <c r="H63" s="5" t="str">
        <f>IFERROR(__xludf.DUMMYFUNCTION("GOOGLETRANSLATE(C63,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63" s="5" t="str">
        <f>IFERROR(__xludf.DUMMYFUNCTION("GOOGLETRANSLATE(D63, ""en"", ""hi"")"),"ए) बारी रद्द कर दी जाती है और गेंद वापस ले ली जाती है।")</f>
        <v>ए) बारी रद्द कर दी जाती है और गेंद वापस ले ली जाती है।</v>
      </c>
    </row>
    <row r="64" ht="22.5" customHeight="1">
      <c r="A64" s="2">
        <v>63.0</v>
      </c>
      <c r="B64" s="3" t="s">
        <v>4131</v>
      </c>
      <c r="C64" s="3" t="s">
        <v>4132</v>
      </c>
      <c r="D64" s="3" t="s">
        <v>4133</v>
      </c>
      <c r="F64" s="5" t="str">
        <f>IFERROR(__xludf.DUMMYFUNCTION("GOOGLETRANSLATE(A64, ""en"", ""hi"")"),"63")</f>
        <v>63</v>
      </c>
      <c r="G64" s="5" t="str">
        <f>IFERROR(__xludf.DUMMYFUNCTION("GOOGLETRANSLATE(B64, ""en"", ""hi"")"),"लागोरी में, यदि बचाव करने वाली टीम का कोई खिलाड़ी गेंद को सफलतापूर्वक पकड़ लेता है और पत्थर पूरी तरह से बहाल नहीं होते हैं, तो आगे क्या होता है?")</f>
        <v>लागोरी में, यदि बचाव करने वाली टीम का कोई खिलाड़ी गेंद को सफलतापूर्वक पकड़ लेता है और पत्थर पूरी तरह से बहाल नहीं होते हैं, तो आगे क्या होता है?</v>
      </c>
      <c r="H64" s="5" t="str">
        <f>IFERROR(__xludf.DUMMYFUNCTION("GOOGLETRANSLATE(C64, ""en"", ""hi"")"),"A) आक्रमणकारी टीम अपनी बारी खो देती है और पत्थर वापस कर दिए जाते हैं। , B) बचाव करने वाली टीम को एक अतिरिक्त अंक मिलता है। , C) खेल बिना पेनल्टी के जारी रहता है। , D) आक्रमणकारी टीम को एक और मौका मिलता है।")</f>
        <v>A) आक्रमणकारी टीम अपनी बारी खो देती है और पत्थर वापस कर दिए जाते हैं। , B) बचाव करने वाली टीम को एक अतिरिक्त अंक मिलता है। , C) खेल बिना पेनल्टी के जारी रहता है। , D) आक्रमणकारी टीम को एक और मौका मिलता है।</v>
      </c>
      <c r="I64" s="5" t="str">
        <f>IFERROR(__xludf.DUMMYFUNCTION("GOOGLETRANSLATE(D64, ""en"", ""hi"")"),"A) आक्रमणकारी टीम अपनी बारी खो देती है और पत्थर वापस मिल जाते हैं।")</f>
        <v>A) आक्रमणकारी टीम अपनी बारी खो देती है और पत्थर वापस मिल जाते हैं।</v>
      </c>
    </row>
    <row r="65" ht="22.5" customHeight="1">
      <c r="A65" s="2">
        <v>64.0</v>
      </c>
      <c r="B65" s="3" t="s">
        <v>4134</v>
      </c>
      <c r="C65" s="3" t="s">
        <v>4135</v>
      </c>
      <c r="D65" s="3" t="s">
        <v>4020</v>
      </c>
      <c r="F65" s="5" t="str">
        <f>IFERROR(__xludf.DUMMYFUNCTION("GOOGLETRANSLATE(A65, ""en"", ""hi"")"),"64")</f>
        <v>64</v>
      </c>
      <c r="G65" s="5" t="str">
        <f>IFERROR(__xludf.DUMMYFUNCTION("GOOGLETRANSLATE(B65, ""en"", ""hi"")"),"यदि लागोरी में कोई पत्थर गिर जाए और आक्रमणकारी टीम का कोई खिलाड़ी उसे छू ले, इससे पहले कि बचाव करने वाली टीम उसे वापस ला सके, तो परिणाम क्या होगा?")</f>
        <v>यदि लागोरी में कोई पत्थर गिर जाए और आक्रमणकारी टीम का कोई खिलाड़ी उसे छू ले, इससे पहले कि बचाव करने वाली टीम उसे वापस ला सके, तो परिणाम क्या होगा?</v>
      </c>
      <c r="H65" s="5" t="str">
        <f>IFERROR(__xludf.DUMMYFUNCTION("GOOGLETRANSLATE(C65, ""en"", ""hi"")"),"A) पत्थर को वापस रख दिया जाता है और बारी रद्द कर दी जाती है। , B) पत्थर नीचे ही रहता है। , C) खेल बिना किसी दंड के जारी रहता है। , D) बचाव करने वाली टीम को एक अतिरिक्त बारी मिलती है।")</f>
        <v>A) पत्थर को वापस रख दिया जाता है और बारी रद्द कर दी जाती है। , B) पत्थर नीचे ही रहता है। , C) खेल बिना किसी दंड के जारी रहता है। , D) बचाव करने वाली टीम को एक अतिरिक्त बारी मिलती है।</v>
      </c>
      <c r="I65" s="5" t="str">
        <f>IFERROR(__xludf.DUMMYFUNCTION("GOOGLETRANSLATE(D65, ""en"", ""hi"")"),"ए) पत्थर को बदल दिया जाता है और बारी जब्त कर ली जाती है।")</f>
        <v>ए) पत्थर को बदल दिया जाता है और बारी जब्त कर ली जाती है।</v>
      </c>
    </row>
    <row r="66" ht="22.5" customHeight="1">
      <c r="A66" s="2">
        <v>65.0</v>
      </c>
      <c r="B66" s="3" t="s">
        <v>4136</v>
      </c>
      <c r="C66" s="3" t="s">
        <v>4137</v>
      </c>
      <c r="D66" s="3" t="s">
        <v>4138</v>
      </c>
      <c r="F66" s="5" t="str">
        <f>IFERROR(__xludf.DUMMYFUNCTION("GOOGLETRANSLATE(A66, ""en"", ""hi"")"),"65")</f>
        <v>65</v>
      </c>
      <c r="G66" s="5" t="str">
        <f>IFERROR(__xludf.DUMMYFUNCTION("GOOGLETRANSLATE(B66, ""en"", ""hi"")"),"लागोरी मैच के दौरान यदि गेंद फेंकी जाए और वह पत्थरों से टकराए लेकिन कोई भी पत्थर न गिरे तो क्या करना चाहिए?")</f>
        <v>लागोरी मैच के दौरान यदि गेंद फेंकी जाए और वह पत्थरों से टकराए लेकिन कोई भी पत्थर न गिरे तो क्या करना चाहिए?</v>
      </c>
      <c r="H66" s="5" t="str">
        <f>IFERROR(__xludf.DUMMYFUNCTION("GOOGLETRANSLATE(C66, ""en"", ""hi"")"),"ए) बारी को असफल माना जाता है और जब्त कर लिया जाता है।, बी) पत्थरों को फिर से सेट किया जाता है।, सी) बचाव करने वाली टीम को फेंकने का मौका मिलता है।, डी) खेल रोक दिया जाता है।")</f>
        <v>ए) बारी को असफल माना जाता है और जब्त कर लिया जाता है।, बी) पत्थरों को फिर से सेट किया जाता है।, सी) बचाव करने वाली टीम को फेंकने का मौका मिलता है।, डी) खेल रोक दिया जाता है।</v>
      </c>
      <c r="I66" s="5" t="str">
        <f>IFERROR(__xludf.DUMMYFUNCTION("GOOGLETRANSLATE(D66, ""en"", ""hi"")"),"A) बारी को असफल माना जाता है और उसे जब्त कर लिया जाता है।")</f>
        <v>A) बारी को असफल माना जाता है और उसे जब्त कर लिया जाता है।</v>
      </c>
    </row>
    <row r="67" ht="22.5" customHeight="1">
      <c r="A67" s="2">
        <v>66.0</v>
      </c>
      <c r="B67" s="3" t="s">
        <v>4139</v>
      </c>
      <c r="C67" s="3" t="s">
        <v>4140</v>
      </c>
      <c r="D67" s="3" t="s">
        <v>4020</v>
      </c>
      <c r="F67" s="5" t="str">
        <f>IFERROR(__xludf.DUMMYFUNCTION("GOOGLETRANSLATE(A67, ""en"", ""hi"")"),"66")</f>
        <v>66</v>
      </c>
      <c r="G67" s="5" t="str">
        <f>IFERROR(__xludf.DUMMYFUNCTION("GOOGLETRANSLATE(B67, ""en"", ""hi"")"),"लागोरी में यदि कोई पत्थर नीचे गिरा दिया जाए और आक्रमणकारी टीम का कोई खिलाड़ी गलती से उसे छू ले, तो क्या नियम है?")</f>
        <v>लागोरी में यदि कोई पत्थर नीचे गिरा दिया जाए और आक्रमणकारी टीम का कोई खिलाड़ी गलती से उसे छू ले, तो क्या नियम है?</v>
      </c>
      <c r="H67" s="5" t="str">
        <f>IFERROR(__xludf.DUMMYFUNCTION("GOOGLETRANSLATE(C67, ""en"", ""hi"")"),"ए) पत्थर को वापस रख दिया जाता है और बारी जब्त कर ली जाती है।, बी) पत्थर नीचे ही रहता है।, सी) खिलाड़ी को एक अतिरिक्त बारी के साथ दंडित किया जाता है।, डी) खेल बिना दंड के जारी रहता है।")</f>
        <v>ए) पत्थर को वापस रख दिया जाता है और बारी जब्त कर ली जाती है।, बी) पत्थर नीचे ही रहता है।, सी) खिलाड़ी को एक अतिरिक्त बारी के साथ दंडित किया जाता है।, डी) खेल बिना दंड के जारी रहता है।</v>
      </c>
      <c r="I67" s="5" t="str">
        <f>IFERROR(__xludf.DUMMYFUNCTION("GOOGLETRANSLATE(D67, ""en"", ""hi"")"),"ए) पत्थर को बदल दिया जाता है और बारी जब्त कर ली जाती है।")</f>
        <v>ए) पत्थर को बदल दिया जाता है और बारी जब्त कर ली जाती है।</v>
      </c>
    </row>
    <row r="68" ht="22.5" customHeight="1">
      <c r="A68" s="2">
        <v>67.0</v>
      </c>
      <c r="B68" s="3" t="s">
        <v>4141</v>
      </c>
      <c r="C68" s="3" t="s">
        <v>4142</v>
      </c>
      <c r="D68" s="3" t="s">
        <v>4143</v>
      </c>
      <c r="F68" s="5" t="str">
        <f>IFERROR(__xludf.DUMMYFUNCTION("GOOGLETRANSLATE(A68, ""en"", ""hi"")"),"67")</f>
        <v>67</v>
      </c>
      <c r="G68" s="5" t="str">
        <f>IFERROR(__xludf.DUMMYFUNCTION("GOOGLETRANSLATE(B68, ""en"", ""hi"")"),"यदि लागोरी खेल में दोनों टीमों के अंक बराबर हों, तो विजेता का निर्धारण करने की सामान्य प्रक्रिया क्या है?")</f>
        <v>यदि लागोरी खेल में दोनों टीमों के अंक बराबर हों, तो विजेता का निर्धारण करने की सामान्य प्रक्रिया क्या है?</v>
      </c>
      <c r="H68" s="5" t="str">
        <f>IFERROR(__xludf.DUMMYFUNCTION("GOOGLETRANSLATE(C68, ""en"", ""hi"")"),"ए) बराबरी तोड़ने के लिए एक अतिरिक्त राउंड खेला जाता है।, बी) खेल को ड्रॉ घोषित कर दिया जाता है।, सी) सबसे सफल थ्रो वाली टीम जीत जाती है।, डी) खेल को शुरू से फिर से शुरू किया जाता है।")</f>
        <v>ए) बराबरी तोड़ने के लिए एक अतिरिक्त राउंड खेला जाता है।, बी) खेल को ड्रॉ घोषित कर दिया जाता है।, सी) सबसे सफल थ्रो वाली टीम जीत जाती है।, डी) खेल को शुरू से फिर से शुरू किया जाता है।</v>
      </c>
      <c r="I68" s="5" t="str">
        <f>IFERROR(__xludf.DUMMYFUNCTION("GOOGLETRANSLATE(D68, ""en"", ""hi"")"),"ए) टाई तोड़ने के लिए एक अतिरिक्त राउंड खेला जाता है।")</f>
        <v>ए) टाई तोड़ने के लिए एक अतिरिक्त राउंड खेला जाता है।</v>
      </c>
    </row>
    <row r="69" ht="22.5" customHeight="1">
      <c r="A69" s="2">
        <v>68.0</v>
      </c>
      <c r="B69" s="3" t="s">
        <v>4144</v>
      </c>
      <c r="C69" s="3" t="s">
        <v>4145</v>
      </c>
      <c r="D69" s="3" t="s">
        <v>4003</v>
      </c>
      <c r="F69" s="5" t="str">
        <f>IFERROR(__xludf.DUMMYFUNCTION("GOOGLETRANSLATE(A69, ""en"", ""hi"")"),"68")</f>
        <v>68</v>
      </c>
      <c r="G69" s="5" t="str">
        <f>IFERROR(__xludf.DUMMYFUNCTION("GOOGLETRANSLATE(B69, ""en"", ""hi"")"),"लागोरी में, यदि बचाव करने वाली टीम का कोई खिलाड़ी गेंद को जमीन पर गिरने से पहले ही पकड़ लेता है, तो आगे क्या होता है?")</f>
        <v>लागोरी में, यदि बचाव करने वाली टीम का कोई खिलाड़ी गेंद को जमीन पर गिरने से पहले ही पकड़ लेता है, तो आगे क्या होता है?</v>
      </c>
      <c r="H69" s="5" t="str">
        <f>IFERROR(__xludf.DUMMYFUNCTION("GOOGLETRANSLATE(C69, ""en"", ""hi"")"),"A) आक्रमणकारी टीम अपनी बारी खो देती है। , B) बचाव करने वाली टीम को अगला थ्रो करने का मौका मिलता है। , C) खेल रोक दिया जाता है। , D) आक्रमणकारी टीम को थ्रो करने का एक और मौका मिलता है।")</f>
        <v>A) आक्रमणकारी टीम अपनी बारी खो देती है। , B) बचाव करने वाली टीम को अगला थ्रो करने का मौका मिलता है। , C) खेल रोक दिया जाता है। , D) आक्रमणकारी टीम को थ्रो करने का एक और मौका मिलता है।</v>
      </c>
      <c r="I69" s="5" t="str">
        <f>IFERROR(__xludf.DUMMYFUNCTION("GOOGLETRANSLATE(D69, ""en"", ""hi"")"),"A) आक्रमणकारी टीम अपनी बारी खो देती है।")</f>
        <v>A) आक्रमणकारी टीम अपनी बारी खो देती है।</v>
      </c>
    </row>
    <row r="70" ht="22.5" customHeight="1">
      <c r="A70" s="2">
        <v>69.0</v>
      </c>
      <c r="B70" s="3" t="s">
        <v>4146</v>
      </c>
      <c r="C70" s="3" t="s">
        <v>4147</v>
      </c>
      <c r="D70" s="3" t="s">
        <v>4148</v>
      </c>
      <c r="F70" s="5" t="str">
        <f>IFERROR(__xludf.DUMMYFUNCTION("GOOGLETRANSLATE(A70, ""en"", ""hi"")"),"69")</f>
        <v>69</v>
      </c>
      <c r="G70" s="5" t="str">
        <f>IFERROR(__xludf.DUMMYFUNCTION("GOOGLETRANSLATE(B70, ""en"", ""hi"")"),"यदि लागोरी में पत्थरों को गलती से किसी खिलाड़ी द्वारा स्थानांतरित कर दिया जाता है, तो निष्पक्षता सुनिश्चित करने के लिए क्या किया जाना चाहिए?")</f>
        <v>यदि लागोरी में पत्थरों को गलती से किसी खिलाड़ी द्वारा स्थानांतरित कर दिया जाता है, तो निष्पक्षता सुनिश्चित करने के लिए क्या किया जाना चाहिए?</v>
      </c>
      <c r="H70" s="5" t="str">
        <f>IFERROR(__xludf.DUMMYFUNCTION("GOOGLETRANSLATE(C70, ""en"", ""hi"")"),"ए) पत्थरों को उनकी मूल स्थिति में वापस कर दिया जाना चाहिए और खेल जारी रखा जाना चाहिए।, बी) खेल को रोक दिया जाता है और पत्थरों का एक नया सेट इस्तेमाल किया जाता है।, सी) खेल को पुनः शुरू किया जाता है।, डी) पत्थरों को हिलाने वाले खिलाड़ी को अयोग्य घोषित कर द"&amp;"िया जाता है।")</f>
        <v>ए) पत्थरों को उनकी मूल स्थिति में वापस कर दिया जाना चाहिए और खेल जारी रखा जाना चाहिए।, बी) खेल को रोक दिया जाता है और पत्थरों का एक नया सेट इस्तेमाल किया जाता है।, सी) खेल को पुनः शुरू किया जाता है।, डी) पत्थरों को हिलाने वाले खिलाड़ी को अयोग्य घोषित कर दिया जाता है।</v>
      </c>
      <c r="I70" s="5" t="str">
        <f>IFERROR(__xludf.DUMMYFUNCTION("GOOGLETRANSLATE(D70, ""en"", ""hi"")"),"क) पत्थरों को उनकी मूल स्थिति में वापस रख देना चाहिए और खेल जारी रखना चाहिए।")</f>
        <v>क) पत्थरों को उनकी मूल स्थिति में वापस रख देना चाहिए और खेल जारी रखना चाहिए।</v>
      </c>
    </row>
    <row r="71" ht="22.5" customHeight="1">
      <c r="A71" s="2">
        <v>70.0</v>
      </c>
      <c r="B71" s="3" t="s">
        <v>4149</v>
      </c>
      <c r="C71" s="3" t="s">
        <v>4150</v>
      </c>
      <c r="D71" s="3" t="s">
        <v>4014</v>
      </c>
      <c r="F71" s="5" t="str">
        <f>IFERROR(__xludf.DUMMYFUNCTION("GOOGLETRANSLATE(A71, ""en"", ""hi"")"),"70")</f>
        <v>70</v>
      </c>
      <c r="G71" s="5" t="str">
        <f>IFERROR(__xludf.DUMMYFUNCTION("GOOGLETRANSLATE(B71, ""en"", ""hi"")"),"लागोरी मैच के दौरान, यदि गेंद फेंकी जाए और वह पत्थर पर गिरे, लेकिन उसे गिरा न पाए, तो आक्रमणकारी टीम के लिए क्या परिणाम होगा?")</f>
        <v>लागोरी मैच के दौरान, यदि गेंद फेंकी जाए और वह पत्थर पर गिरे, लेकिन उसे गिरा न पाए, तो आक्रमणकारी टीम के लिए क्या परिणाम होगा?</v>
      </c>
      <c r="H71" s="5" t="str">
        <f>IFERROR(__xludf.DUMMYFUNCTION("GOOGLETRANSLATE(C71, ""en"", ""hi"")"),"ए) बारी जब्त कर ली जाती है।, बी) आक्रमणकारी टीम को फेंकने का एक और मौका मिलता है।, सी) खेल रोक दिया जाता है।, डी) बचाव करने वाली टीम को एक अतिरिक्त बारी मिलती है।")</f>
        <v>ए) बारी जब्त कर ली जाती है।, बी) आक्रमणकारी टीम को फेंकने का एक और मौका मिलता है।, सी) खेल रोक दिया जाता है।, डी) बचाव करने वाली टीम को एक अतिरिक्त बारी मिलती है।</v>
      </c>
      <c r="I71" s="5" t="str">
        <f>IFERROR(__xludf.DUMMYFUNCTION("GOOGLETRANSLATE(D71, ""en"", ""hi"")"),"A) बारी जब्त कर ली जाती है।")</f>
        <v>A) बारी जब्त कर ली जाती है।</v>
      </c>
    </row>
    <row r="72" ht="22.5" customHeight="1">
      <c r="A72" s="2">
        <v>71.0</v>
      </c>
      <c r="B72" s="3" t="s">
        <v>4151</v>
      </c>
      <c r="C72" s="3" t="s">
        <v>4152</v>
      </c>
      <c r="D72" s="3" t="s">
        <v>4130</v>
      </c>
      <c r="F72" s="5" t="str">
        <f>IFERROR(__xludf.DUMMYFUNCTION("GOOGLETRANSLATE(A72, ""en"", ""hi"")"),"71")</f>
        <v>71</v>
      </c>
      <c r="G72" s="5" t="str">
        <f>IFERROR(__xludf.DUMMYFUNCTION("GOOGLETRANSLATE(B72, ""en"", ""hi"")"),"लागोरी में यदि गेंद फेंकी जाए और वह बिना किसी पत्थर से टकराए खेल क्षेत्र के बाहर गिर जाए तो क्या नियम है?")</f>
        <v>लागोरी में यदि गेंद फेंकी जाए और वह बिना किसी पत्थर से टकराए खेल क्षेत्र के बाहर गिर जाए तो क्या नियम है?</v>
      </c>
      <c r="H72" s="5" t="str">
        <f>IFERROR(__xludf.DUMMYFUNCTION("GOOGLETRANSLATE(C72, ""en"", ""hi"")"),"ए) बारी जब्त कर ली जाती है और गेंद वापस ले ली जाती है।, बी) खेल बिना दंड के जारी रहता है।, सी) गेंद को एक नई गेंद से बदल दिया जाता है।, डी) खेल रोक दिया जाता है।")</f>
        <v>ए) बारी जब्त कर ली जाती है और गेंद वापस ले ली जाती है।, बी) खेल बिना दंड के जारी रहता है।, सी) गेंद को एक नई गेंद से बदल दिया जाता है।, डी) खेल रोक दिया जाता है।</v>
      </c>
      <c r="I72" s="5" t="str">
        <f>IFERROR(__xludf.DUMMYFUNCTION("GOOGLETRANSLATE(D72, ""en"", ""hi"")"),"ए) बारी रद्द कर दी जाती है और गेंद वापस ले ली जाती है।")</f>
        <v>ए) बारी रद्द कर दी जाती है और गेंद वापस ले ली जाती है।</v>
      </c>
    </row>
    <row r="73" ht="22.5" customHeight="1">
      <c r="A73" s="2">
        <v>72.0</v>
      </c>
      <c r="B73" s="3" t="s">
        <v>4153</v>
      </c>
      <c r="C73" s="3" t="s">
        <v>4154</v>
      </c>
      <c r="D73" s="3" t="s">
        <v>4003</v>
      </c>
      <c r="F73" s="5" t="str">
        <f>IFERROR(__xludf.DUMMYFUNCTION("GOOGLETRANSLATE(A73, ""en"", ""hi"")"),"72")</f>
        <v>72</v>
      </c>
      <c r="G73" s="5" t="str">
        <f>IFERROR(__xludf.DUMMYFUNCTION("GOOGLETRANSLATE(B73, ""en"", ""hi"")"),"यदि आक्रमणकारी टीम का कोई खिलाड़ी गेंद फेंकता है और पत्थर पर लगता है, लेकिन पत्थर नहीं गिरता, तो परिणाम क्या होगा?")</f>
        <v>यदि आक्रमणकारी टीम का कोई खिलाड़ी गेंद फेंकता है और पत्थर पर लगता है, लेकिन पत्थर नहीं गिरता, तो परिणाम क्या होगा?</v>
      </c>
      <c r="H73" s="5" t="str">
        <f>IFERROR(__xludf.DUMMYFUNCTION("GOOGLETRANSLATE(C73, ""en"", ""hi"")"),"A) आक्रमणकारी टीम अपनी बारी खो देती है। , B) बचाव करने वाली टीम को गेंद फेंकने का मौका मिलता है। , C) खेल रोक दिया जाता है। , D) आक्रमणकारी टीम को एक और मौका मिलता है।")</f>
        <v>A) आक्रमणकारी टीम अपनी बारी खो देती है। , B) बचाव करने वाली टीम को गेंद फेंकने का मौका मिलता है। , C) खेल रोक दिया जाता है। , D) आक्रमणकारी टीम को एक और मौका मिलता है।</v>
      </c>
      <c r="I73" s="5" t="str">
        <f>IFERROR(__xludf.DUMMYFUNCTION("GOOGLETRANSLATE(D73, ""en"", ""hi"")"),"A) आक्रमणकारी टीम अपनी बारी खो देती है।")</f>
        <v>A) आक्रमणकारी टीम अपनी बारी खो देती है।</v>
      </c>
    </row>
    <row r="74" ht="22.5" customHeight="1">
      <c r="A74" s="2">
        <v>73.0</v>
      </c>
      <c r="B74" s="3" t="s">
        <v>4155</v>
      </c>
      <c r="C74" s="3" t="s">
        <v>4156</v>
      </c>
      <c r="D74" s="3" t="s">
        <v>4020</v>
      </c>
      <c r="F74" s="5" t="str">
        <f>IFERROR(__xludf.DUMMYFUNCTION("GOOGLETRANSLATE(A74, ""en"", ""hi"")"),"73")</f>
        <v>73</v>
      </c>
      <c r="G74" s="5" t="str">
        <f>IFERROR(__xludf.DUMMYFUNCTION("GOOGLETRANSLATE(B74, ""en"", ""hi"")"),"लागोरी मैच के दौरान, यदि कोई पत्थर गिरा दिया जाता है लेकिन गेंद पुनः उसी पर लगती है, तो सही प्रक्रिया क्या है?")</f>
        <v>लागोरी मैच के दौरान, यदि कोई पत्थर गिरा दिया जाता है लेकिन गेंद पुनः उसी पर लगती है, तो सही प्रक्रिया क्या है?</v>
      </c>
      <c r="H74" s="5" t="str">
        <f>IFERROR(__xludf.DUMMYFUNCTION("GOOGLETRANSLATE(C74, ""en"", ""hi"")"),"ए) पत्थर को वापस रख दिया जाता है और बारी रद्द हो जाती है।, बी) पत्थर नीचे ही रहता है।, सी) गेंद को खेल से बाहर माना जाता है।, डी) खेल रोक दिया जाता है।")</f>
        <v>ए) पत्थर को वापस रख दिया जाता है और बारी रद्द हो जाती है।, बी) पत्थर नीचे ही रहता है।, सी) गेंद को खेल से बाहर माना जाता है।, डी) खेल रोक दिया जाता है।</v>
      </c>
      <c r="I74" s="5" t="str">
        <f>IFERROR(__xludf.DUMMYFUNCTION("GOOGLETRANSLATE(D74, ""en"", ""hi"")"),"ए) पत्थर को बदल दिया जाता है और बारी जब्त कर ली जाती है।")</f>
        <v>ए) पत्थर को बदल दिया जाता है और बारी जब्त कर ली जाती है।</v>
      </c>
    </row>
    <row r="75" ht="22.5" customHeight="1">
      <c r="A75" s="2">
        <v>74.0</v>
      </c>
      <c r="B75" s="3" t="s">
        <v>4157</v>
      </c>
      <c r="C75" s="3" t="s">
        <v>4158</v>
      </c>
      <c r="D75" s="3" t="s">
        <v>4020</v>
      </c>
      <c r="F75" s="5" t="str">
        <f>IFERROR(__xludf.DUMMYFUNCTION("GOOGLETRANSLATE(A75, ""en"", ""hi"")"),"74")</f>
        <v>74</v>
      </c>
      <c r="G75" s="5" t="str">
        <f>IFERROR(__xludf.DUMMYFUNCTION("GOOGLETRANSLATE(B75, ""en"", ""hi"")"),"लागोरी में, यदि गेंद किसी पत्थर से टकराती है और पत्थर गिर जाता है, लेकिन बचाव करने वाली टीम के किसी खिलाड़ी द्वारा उसे तुरंत पकड़ लिया जाता है, तो नियम क्या है?")</f>
        <v>लागोरी में, यदि गेंद किसी पत्थर से टकराती है और पत्थर गिर जाता है, लेकिन बचाव करने वाली टीम के किसी खिलाड़ी द्वारा उसे तुरंत पकड़ लिया जाता है, तो नियम क्या है?</v>
      </c>
      <c r="H75" s="5" t="str">
        <f>IFERROR(__xludf.DUMMYFUNCTION("GOOGLETRANSLATE(C75, ""en"", ""hi"")"),"ए) पत्थर को वापस रख दिया जाता है और बारी रद्द कर दी जाती है।, बी) पत्थर नीचे ही रहता है।, सी) बचाव करने वाली टीम को एक अतिरिक्त बारी मिलती है।, डी) हमला करने वाली टीम को एक और मौका मिलता है।")</f>
        <v>ए) पत्थर को वापस रख दिया जाता है और बारी रद्द कर दी जाती है।, बी) पत्थर नीचे ही रहता है।, सी) बचाव करने वाली टीम को एक अतिरिक्त बारी मिलती है।, डी) हमला करने वाली टीम को एक और मौका मिलता है।</v>
      </c>
      <c r="I75" s="5" t="str">
        <f>IFERROR(__xludf.DUMMYFUNCTION("GOOGLETRANSLATE(D75, ""en"", ""hi"")"),"ए) पत्थर को बदल दिया जाता है और बारी जब्त कर ली जाती है।")</f>
        <v>ए) पत्थर को बदल दिया जाता है और बारी जब्त कर ली जाती है।</v>
      </c>
    </row>
    <row r="76" ht="22.5" customHeight="1">
      <c r="A76" s="2">
        <v>75.0</v>
      </c>
      <c r="B76" s="3" t="s">
        <v>4159</v>
      </c>
      <c r="C76" s="3" t="s">
        <v>4160</v>
      </c>
      <c r="D76" s="3" t="s">
        <v>4017</v>
      </c>
      <c r="F76" s="5" t="str">
        <f>IFERROR(__xludf.DUMMYFUNCTION("GOOGLETRANSLATE(A76, ""en"", ""hi"")"),"75")</f>
        <v>75</v>
      </c>
      <c r="G76" s="5" t="str">
        <f>IFERROR(__xludf.DUMMYFUNCTION("GOOGLETRANSLATE(B76, ""en"", ""hi"")"),"यदि मौसम की वजह से लागोरी खेल बाधित हो जाए तो सामान्य प्रक्रिया क्या होगी?")</f>
        <v>यदि मौसम की वजह से लागोरी खेल बाधित हो जाए तो सामान्य प्रक्रिया क्या होगी?</v>
      </c>
      <c r="H76" s="5" t="str">
        <f>IFERROR(__xludf.DUMMYFUNCTION("GOOGLETRANSLATE(C76, ""en"", ""hi"")"),"A)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v>
      </c>
      <c r="I76" s="5" t="str">
        <f>IFERROR(__xludf.DUMMYFUNCTION("GOOGLETRANSLATE(D76, ""en"", ""hi"")"),"A) खेल को तब तक रोक दिया जाता है जब तक कि स्थिति में सुधार न हो जाए।")</f>
        <v>A) खेल को तब तक रोक दिया जाता है जब तक कि स्थिति में सुधार न हो जाए।</v>
      </c>
    </row>
    <row r="77" ht="22.5" customHeight="1">
      <c r="A77" s="2">
        <v>76.0</v>
      </c>
      <c r="B77" s="3" t="s">
        <v>4161</v>
      </c>
      <c r="C77" s="3" t="s">
        <v>4162</v>
      </c>
      <c r="D77" s="3" t="s">
        <v>4138</v>
      </c>
      <c r="F77" s="5" t="str">
        <f>IFERROR(__xludf.DUMMYFUNCTION("GOOGLETRANSLATE(A77, ""en"", ""hi"")"),"76")</f>
        <v>76</v>
      </c>
      <c r="G77" s="5" t="str">
        <f>IFERROR(__xludf.DUMMYFUNCTION("GOOGLETRANSLATE(B77, ""en"", ""hi"")"),"लागोरी में यदि गेंद फेंकी जाए और पत्थर से टकराए लेकिन कोई भी पत्थर न गिरे तो क्या करना चाहिए?")</f>
        <v>लागोरी में यदि गेंद फेंकी जाए और पत्थर से टकराए लेकिन कोई भी पत्थर न गिरे तो क्या करना चाहिए?</v>
      </c>
      <c r="H77" s="5" t="str">
        <f>IFERROR(__xludf.DUMMYFUNCTION("GOOGLETRANSLATE(C77, ""en"", ""hi"")"),"ए) बारी को असफल माना जाता है और जब्त कर लिया जाता है।, बी) पत्थरों को बहाल कर दिया जाता है।, सी) गेंद को फिर से फेंक दिया जाता है।, डी) खेल को रोक दिया जाता है।")</f>
        <v>ए) बारी को असफल माना जाता है और जब्त कर लिया जाता है।, बी) पत्थरों को बहाल कर दिया जाता है।, सी) गेंद को फिर से फेंक दिया जाता है।, डी) खेल को रोक दिया जाता है।</v>
      </c>
      <c r="I77" s="5" t="str">
        <f>IFERROR(__xludf.DUMMYFUNCTION("GOOGLETRANSLATE(D77, ""en"", ""hi"")"),"A) बारी को असफल माना जाता है और उसे जब्त कर लिया जाता है।")</f>
        <v>A) बारी को असफल माना जाता है और उसे जब्त कर लिया जाता है।</v>
      </c>
    </row>
    <row r="78" ht="22.5" customHeight="1">
      <c r="A78" s="2">
        <v>77.0</v>
      </c>
      <c r="B78" s="3" t="s">
        <v>4163</v>
      </c>
      <c r="C78" s="3" t="s">
        <v>4156</v>
      </c>
      <c r="D78" s="3" t="s">
        <v>4020</v>
      </c>
      <c r="F78" s="5" t="str">
        <f>IFERROR(__xludf.DUMMYFUNCTION("GOOGLETRANSLATE(A78, ""en"", ""hi"")"),"77")</f>
        <v>77</v>
      </c>
      <c r="G78" s="5" t="str">
        <f>IFERROR(__xludf.DUMMYFUNCTION("GOOGLETRANSLATE(B78, ""en"", ""hi"")"),"लागोरी मैच के दौरान यदि कोई पत्थर गिरा दिया जाए और गेंद पुनः उसी पर लगे, तो क्या प्रक्रिया होगी?")</f>
        <v>लागोरी मैच के दौरान यदि कोई पत्थर गिरा दिया जाए और गेंद पुनः उसी पर लगे, तो क्या प्रक्रिया होगी?</v>
      </c>
      <c r="H78" s="5" t="str">
        <f>IFERROR(__xludf.DUMMYFUNCTION("GOOGLETRANSLATE(C78, ""en"", ""hi"")"),"ए) पत्थर को वापस रख दिया जाता है और बारी रद्द हो जाती है।, बी) पत्थर नीचे ही रहता है।, सी) गेंद को खेल से बाहर माना जाता है।, डी) खेल रोक दिया जाता है।")</f>
        <v>ए) पत्थर को वापस रख दिया जाता है और बारी रद्द हो जाती है।, बी) पत्थर नीचे ही रहता है।, सी) गेंद को खेल से बाहर माना जाता है।, डी) खेल रोक दिया जाता है।</v>
      </c>
      <c r="I78" s="5" t="str">
        <f>IFERROR(__xludf.DUMMYFUNCTION("GOOGLETRANSLATE(D78, ""en"", ""hi"")"),"ए) पत्थर को बदल दिया जाता है और बारी जब्त कर ली जाती है।")</f>
        <v>ए) पत्थर को बदल दिया जाता है और बारी जब्त कर ली जाती है।</v>
      </c>
    </row>
    <row r="79" ht="22.5" customHeight="1">
      <c r="A79" s="2">
        <v>78.0</v>
      </c>
      <c r="B79" s="3" t="s">
        <v>4164</v>
      </c>
      <c r="C79" s="3" t="s">
        <v>4165</v>
      </c>
      <c r="D79" s="3" t="s">
        <v>4014</v>
      </c>
      <c r="F79" s="5" t="str">
        <f>IFERROR(__xludf.DUMMYFUNCTION("GOOGLETRANSLATE(A79, ""en"", ""hi"")"),"78")</f>
        <v>78</v>
      </c>
      <c r="G79" s="5" t="str">
        <f>IFERROR(__xludf.DUMMYFUNCTION("GOOGLETRANSLATE(B79, ""en"", ""hi"")"),"लागोरी में यदि कोई खिलाड़ी गेंद फेंकता है और वह बिना गिराए पत्थर पर गिरती है तो क्या नियम है?")</f>
        <v>लागोरी में यदि कोई खिलाड़ी गेंद फेंकता है और वह बिना गिराए पत्थर पर गिरती है तो क्या नियम है?</v>
      </c>
      <c r="H79" s="5" t="str">
        <f>IFERROR(__xludf.DUMMYFUNCTION("GOOGLETRANSLATE(C79, ""en"", ""hi"")"),"ए) बारी जब्त कर ली जाती है।, बी) पत्थर अपनी स्थिति में रहता है।, सी) खेल रोक दिया जाता है।, डी) पत्थर फिर से स्थापित कर दिए जाते हैं।")</f>
        <v>ए) बारी जब्त कर ली जाती है।, बी) पत्थर अपनी स्थिति में रहता है।, सी) खेल रोक दिया जाता है।, डी) पत्थर फिर से स्थापित कर दिए जाते हैं।</v>
      </c>
      <c r="I79" s="5" t="str">
        <f>IFERROR(__xludf.DUMMYFUNCTION("GOOGLETRANSLATE(D79, ""en"", ""hi"")"),"A) बारी जब्त कर ली जाती है।")</f>
        <v>A) बारी जब्त कर ली जाती है।</v>
      </c>
    </row>
    <row r="80" ht="22.5" customHeight="1">
      <c r="A80" s="2">
        <v>79.0</v>
      </c>
      <c r="B80" s="3" t="s">
        <v>4166</v>
      </c>
      <c r="C80" s="3" t="s">
        <v>4167</v>
      </c>
      <c r="D80" s="3" t="s">
        <v>3988</v>
      </c>
      <c r="F80" s="5" t="str">
        <f>IFERROR(__xludf.DUMMYFUNCTION("GOOGLETRANSLATE(A80, ""en"", ""hi"")"),"79")</f>
        <v>79</v>
      </c>
      <c r="G80" s="5" t="str">
        <f>IFERROR(__xludf.DUMMYFUNCTION("GOOGLETRANSLATE(B80, ""en"", ""hi"")"),"यदि लागोरी खेल खेला जा रहा हो और कोई खिलाड़ी जानबूझकर गेंद से पत्थर मारता हुआ पाया जाए तो क्या निर्णय होगा?")</f>
        <v>यदि लागोरी खेल खेला जा रहा हो और कोई खिलाड़ी जानबूझकर गेंद से पत्थर मारता हुआ पाया जाए तो क्या निर्णय होगा?</v>
      </c>
      <c r="H80" s="5" t="str">
        <f>IFERROR(__xludf.DUMMYFUNCTION("GOOGLETRANSLATE(C80, ""en"", ""hi"")"),"A) टीम अपनी बारी खो देती है। , B) खिलाड़ी को मैच से अयोग्य घोषित कर दिया जाता है। , C) पत्थरों को खेल से हटा दिया जाता है। , D) खेल को पुनः शुरू किया जाता है।")</f>
        <v>A) टीम अपनी बारी खो देती है। , B) खिलाड़ी को मैच से अयोग्य घोषित कर दिया जाता है। , C) पत्थरों को खेल से हटा दिया जाता है। , D) खेल को पुनः शुरू किया जाता है।</v>
      </c>
      <c r="I80" s="5" t="str">
        <f>IFERROR(__xludf.DUMMYFUNCTION("GOOGLETRANSLATE(D80, ""en"", ""hi"")"),"A) टीम अपनी बारी खो देती है।")</f>
        <v>A) टीम अपनी बारी खो देती है।</v>
      </c>
    </row>
    <row r="81" ht="22.5" customHeight="1">
      <c r="A81" s="2">
        <v>80.0</v>
      </c>
      <c r="B81" s="3" t="s">
        <v>4168</v>
      </c>
      <c r="C81" s="3" t="s">
        <v>4169</v>
      </c>
      <c r="D81" s="3" t="s">
        <v>4020</v>
      </c>
      <c r="F81" s="5" t="str">
        <f>IFERROR(__xludf.DUMMYFUNCTION("GOOGLETRANSLATE(A81, ""en"", ""hi"")"),"80")</f>
        <v>80</v>
      </c>
      <c r="G81" s="5" t="str">
        <f>IFERROR(__xludf.DUMMYFUNCTION("GOOGLETRANSLATE(B81, ""en"", ""hi"")"),"लागोरी में, यदि कोई पत्थर गिर जाए और बचाव करने वाली टीम का कोई खिलाड़ी उसे पूरी तरह से बहाल होने से पहले छू ले, तो क्या नियम है?")</f>
        <v>लागोरी में, यदि कोई पत्थर गिर जाए और बचाव करने वाली टीम का कोई खिलाड़ी उसे पूरी तरह से बहाल होने से पहले छू ले, तो क्या नियम है?</v>
      </c>
      <c r="H81" s="5" t="str">
        <f>IFERROR(__xludf.DUMMYFUNCTION("GOOGLETRANSLATE(C81, ""en"", ""hi"")"),"ए) पत्थर को वापस रख दिया जाता है और बारी रद्द कर दी जाती है।, बी) पत्थर नीचे ही रहता है।, सी) खेल बिना पेनल्टी के जारी रहता है।, डी) बचाव करने वाली टीम को एक अतिरिक्त बारी मिलती है।")</f>
        <v>ए) पत्थर को वापस रख दिया जाता है और बारी रद्द कर दी जाती है।, बी) पत्थर नीचे ही रहता है।, सी) खेल बिना पेनल्टी के जारी रहता है।, डी) बचाव करने वाली टीम को एक अतिरिक्त बारी मिलती है।</v>
      </c>
      <c r="I81" s="5" t="str">
        <f>IFERROR(__xludf.DUMMYFUNCTION("GOOGLETRANSLATE(D81, ""en"", ""hi"")"),"ए) पत्थर को बदल दिया जाता है और बारी जब्त कर ली जाती है।")</f>
        <v>ए) पत्थर को बदल दिया जाता है और बारी जब्त कर ली जाती है।</v>
      </c>
    </row>
    <row r="82" ht="22.5" customHeight="1">
      <c r="A82" s="2">
        <v>81.0</v>
      </c>
      <c r="B82" s="3" t="s">
        <v>4170</v>
      </c>
      <c r="C82" s="3" t="s">
        <v>4171</v>
      </c>
      <c r="D82" s="3" t="s">
        <v>4172</v>
      </c>
      <c r="F82" s="5" t="str">
        <f>IFERROR(__xludf.DUMMYFUNCTION("GOOGLETRANSLATE(A82, ""en"", ""hi"")"),"81")</f>
        <v>81</v>
      </c>
      <c r="G82" s="5" t="str">
        <f>IFERROR(__xludf.DUMMYFUNCTION("GOOGLETRANSLATE(B82, ""en"", ""hi"")"),"लागोरी मैच में, यदि आक्रमणकारी टीम सफलतापूर्वक सभी पत्थरों को गिरा देती है और बचाव करने वाली टीम दिए गए समय के भीतर उन्हें पुनः प्राप्त करने में असमर्थ रहती है, तो आगे क्या होता है?")</f>
        <v>लागोरी मैच में, यदि आक्रमणकारी टीम सफलतापूर्वक सभी पत्थरों को गिरा देती है और बचाव करने वाली टीम दिए गए समय के भीतर उन्हें पुनः प्राप्त करने में असमर्थ रहती है, तो आगे क्या होता है?</v>
      </c>
      <c r="H82" s="5" t="str">
        <f>IFERROR(__xludf.DUMMYFUNCTION("GOOGLETRANSLATE(C82, ""en"", ""hi"")"),"A) आक्रमणकारी टीम राउंड जीत जाती है। , B) बचाव करने वाली टीम को एक और मौका मिलता है। , C) खेल पुनः शुरू होता है। , D) आक्रमणकारी टीम को दंडित किया जाता है।")</f>
        <v>A) आक्रमणकारी टीम राउंड जीत जाती है। , B) बचाव करने वाली टीम को एक और मौका मिलता है। , C) खेल पुनः शुरू होता है। , D) आक्रमणकारी टीम को दंडित किया जाता है।</v>
      </c>
      <c r="I82" s="5" t="str">
        <f>IFERROR(__xludf.DUMMYFUNCTION("GOOGLETRANSLATE(D82, ""en"", ""hi"")"),"A) आक्रमणकारी टीम राउंड जीत जाती है।")</f>
        <v>A) आक्रमणकारी टीम राउंड जीत जाती है।</v>
      </c>
    </row>
    <row r="83" ht="22.5" customHeight="1">
      <c r="A83" s="2">
        <v>82.0</v>
      </c>
      <c r="B83" s="3" t="s">
        <v>4173</v>
      </c>
      <c r="C83" s="3" t="s">
        <v>4174</v>
      </c>
      <c r="D83" s="3" t="s">
        <v>4175</v>
      </c>
      <c r="F83" s="5" t="str">
        <f>IFERROR(__xludf.DUMMYFUNCTION("GOOGLETRANSLATE(A83, ""en"", ""hi"")"),"82")</f>
        <v>82</v>
      </c>
      <c r="G83" s="5" t="str">
        <f>IFERROR(__xludf.DUMMYFUNCTION("GOOGLETRANSLATE(B83, ""en"", ""hi"")"),"यदि लागोरी में कोई पत्थर गिरा दिया जाए, लेकिन गेंद खेल क्षेत्र के बाहर गिर जाए, तो क्या किया जाना चाहिए?")</f>
        <v>यदि लागोरी में कोई पत्थर गिरा दिया जाए, लेकिन गेंद खेल क्षेत्र के बाहर गिर जाए, तो क्या किया जाना चाहिए?</v>
      </c>
      <c r="H83" s="5" t="str">
        <f>IFERROR(__xludf.DUMMYFUNCTION("GOOGLETRANSLATE(C83, ""en"", ""hi"")"),"ए) पत्थर वापस कर दिया जाता है और बारी जब्त कर ली जाती है। , बी) गेंद को खेल से बाहर माना जाता है और बारी जब्त कर ली जाती है। , सी) खेल रोक दिया जाता है और पत्थर को बदल दिया जाता है। , डी) बचाव करने वाली टीम को फेंकने का मौका मिलता है।")</f>
        <v>ए) पत्थर वापस कर दिया जाता है और बारी जब्त कर ली जाती है। , बी) गेंद को खेल से बाहर माना जाता है और बारी जब्त कर ली जाती है। , सी) खेल रोक दिया जाता है और पत्थर को बदल दिया जाता है। , डी) बचाव करने वाली टीम को फेंकने का मौका मिलता है।</v>
      </c>
      <c r="I83" s="5" t="str">
        <f>IFERROR(__xludf.DUMMYFUNCTION("GOOGLETRANSLATE(D83, ""en"", ""hi"")"),"A) पत्थर वापस कर दिया जाता है और बारी जब्त कर ली जाती है।")</f>
        <v>A) पत्थर वापस कर दिया जाता है और बारी जब्त कर ली जाती है।</v>
      </c>
    </row>
    <row r="84" ht="22.5" customHeight="1">
      <c r="A84" s="2">
        <v>83.0</v>
      </c>
      <c r="B84" s="3" t="s">
        <v>4176</v>
      </c>
      <c r="C84" s="3" t="s">
        <v>4177</v>
      </c>
      <c r="D84" s="3" t="s">
        <v>4003</v>
      </c>
      <c r="F84" s="5" t="str">
        <f>IFERROR(__xludf.DUMMYFUNCTION("GOOGLETRANSLATE(A84, ""en"", ""hi"")"),"83")</f>
        <v>83</v>
      </c>
      <c r="G84" s="5" t="str">
        <f>IFERROR(__xludf.DUMMYFUNCTION("GOOGLETRANSLATE(B84, ""en"", ""hi"")"),"लागोरी खेल के दौरान, यदि आक्रमणकारी टीम का कोई खिलाड़ी गेंद फेंकता है और वह पत्थर पर गिरती है, लेकिन पत्थर नहीं गिरता है, तो नियम क्या है?")</f>
        <v>लागोरी खेल के दौरान, यदि आक्रमणकारी टीम का कोई खिलाड़ी गेंद फेंकता है और वह पत्थर पर गिरती है, लेकिन पत्थर नहीं गिरता है, तो नियम क्या है?</v>
      </c>
      <c r="H84" s="5" t="str">
        <f>IFERROR(__xludf.DUMMYFUNCTION("GOOGLETRANSLATE(C84, ""en"", ""hi"")"),"A) आक्रमणकारी टीम अपनी बारी खो देती है। , B) पत्थर को पुनः स्थापित कर दिया जाता है। , C) गेंद को पुनः फेंक दिया जाता है। , D) खेल रोक दिया जाता है।")</f>
        <v>A) आक्रमणकारी टीम अपनी बारी खो देती है। , B) पत्थर को पुनः स्थापित कर दिया जाता है। , C) गेंद को पुनः फेंक दिया जाता है। , D) खेल रोक दिया जाता है।</v>
      </c>
      <c r="I84" s="5" t="str">
        <f>IFERROR(__xludf.DUMMYFUNCTION("GOOGLETRANSLATE(D84, ""en"", ""hi"")"),"A) आक्रमणकारी टीम अपनी बारी खो देती है।")</f>
        <v>A) आक्रमणकारी टीम अपनी बारी खो देती है।</v>
      </c>
    </row>
    <row r="85" ht="22.5" customHeight="1">
      <c r="A85" s="2">
        <v>84.0</v>
      </c>
      <c r="B85" s="3" t="s">
        <v>4178</v>
      </c>
      <c r="C85" s="3" t="s">
        <v>4179</v>
      </c>
      <c r="D85" s="3" t="s">
        <v>4180</v>
      </c>
      <c r="F85" s="5" t="str">
        <f>IFERROR(__xludf.DUMMYFUNCTION("GOOGLETRANSLATE(A85, ""en"", ""hi"")"),"84")</f>
        <v>84</v>
      </c>
      <c r="G85" s="5" t="str">
        <f>IFERROR(__xludf.DUMMYFUNCTION("GOOGLETRANSLATE(B85, ""en"", ""hi"")"),"लागोरी में, यदि गेंद किसी पत्थर से टकराती है और पत्थर गिर जाता है, लेकिन बचाव करने वाली टीम का कोई खिलाड़ी उसे तुरंत वापस रख देता है, तो क्या होगा?")</f>
        <v>लागोरी में, यदि गेंद किसी पत्थर से टकराती है और पत्थर गिर जाता है, लेकिन बचाव करने वाली टीम का कोई खिलाड़ी उसे तुरंत वापस रख देता है, तो क्या होगा?</v>
      </c>
      <c r="H85" s="5" t="str">
        <f>IFERROR(__xludf.DUMMYFUNCTION("GOOGLETRANSLATE(C85, ""en"", ""hi"")"),"ए) पत्थर को गिरा हुआ माना जाता है और बारी जब्त कर ली जाती है।, बी) पत्थर को वापस कर दिया जाता है और खेल जारी रहता है।, सी) गेंद को फिर से फेंका जाता है।, डी) बचाव करने वाली टीम को एक अतिरिक्त मौका मिलता है।")</f>
        <v>ए) पत्थर को गिरा हुआ माना जाता है और बारी जब्त कर ली जाती है।, बी) पत्थर को वापस कर दिया जाता है और खेल जारी रहता है।, सी) गेंद को फिर से फेंका जाता है।, डी) बचाव करने वाली टीम को एक अतिरिक्त मौका मिलता है।</v>
      </c>
      <c r="I85" s="5" t="str">
        <f>IFERROR(__xludf.DUMMYFUNCTION("GOOGLETRANSLATE(D85, ""en"", ""hi"")"),"ए) पत्थर को नीचे माना जाता है और बारी जब्त कर ली जाती है।")</f>
        <v>ए) पत्थर को नीचे माना जाता है और बारी जब्त कर ली जाती है।</v>
      </c>
    </row>
    <row r="86" ht="22.5" customHeight="1">
      <c r="A86" s="2">
        <v>85.0</v>
      </c>
      <c r="B86" s="3" t="s">
        <v>4181</v>
      </c>
      <c r="C86" s="3" t="s">
        <v>4182</v>
      </c>
      <c r="D86" s="3" t="s">
        <v>4183</v>
      </c>
      <c r="F86" s="5" t="str">
        <f>IFERROR(__xludf.DUMMYFUNCTION("GOOGLETRANSLATE(A86, ""en"", ""hi"")"),"85")</f>
        <v>85</v>
      </c>
      <c r="G86" s="5" t="str">
        <f>IFERROR(__xludf.DUMMYFUNCTION("GOOGLETRANSLATE(B86, ""en"", ""hi"")"),"यदि लागोरी मैच खेला जा रहा हो और कोई खिलाड़ी गलती से एक साथ कई पत्थर गिरा दे, तो सामान्य नियम क्या होगा?")</f>
        <v>यदि लागोरी मैच खेला जा रहा हो और कोई खिलाड़ी गलती से एक साथ कई पत्थर गिरा दे, तो सामान्य नियम क्या होगा?</v>
      </c>
      <c r="H86" s="5" t="str">
        <f>IFERROR(__xludf.DUMMYFUNCTION("GOOGLETRANSLATE(C86, ""en"", ""hi"")"),"A) सभी गिराए गए पत्थर नीचे ही रहते हैं।, B) पत्थर वापस कर दिए जाते हैं और खिलाड़ी को दंडित किया जाता है।, C) खेल को समीक्षा के लिए रोक दिया जाता है।, D) आक्रमणकारी टीम अपनी बारी खो देती है।")</f>
        <v>A) सभी गिराए गए पत्थर नीचे ही रहते हैं।, B) पत्थर वापस कर दिए जाते हैं और खिलाड़ी को दंडित किया जाता है।, C) खेल को समीक्षा के लिए रोक दिया जाता है।, D) आक्रमणकारी टीम अपनी बारी खो देती है।</v>
      </c>
      <c r="I86" s="5" t="str">
        <f>IFERROR(__xludf.DUMMYFUNCTION("GOOGLETRANSLATE(D86, ""en"", ""hi"")"),"A) सभी गिराए गए पत्थर नीचे ही रहते हैं।")</f>
        <v>A) सभी गिराए गए पत्थर नीचे ही रहते हैं।</v>
      </c>
    </row>
    <row r="87" ht="22.5" customHeight="1">
      <c r="A87" s="2">
        <v>86.0</v>
      </c>
      <c r="B87" s="3" t="s">
        <v>4184</v>
      </c>
      <c r="C87" s="3" t="s">
        <v>4185</v>
      </c>
      <c r="D87" s="3" t="s">
        <v>4003</v>
      </c>
      <c r="F87" s="5" t="str">
        <f>IFERROR(__xludf.DUMMYFUNCTION("GOOGLETRANSLATE(A87, ""en"", ""hi"")"),"86")</f>
        <v>86</v>
      </c>
      <c r="G87" s="5" t="str">
        <f>IFERROR(__xludf.DUMMYFUNCTION("GOOGLETRANSLATE(B87, ""en"", ""hi"")"),"लागोरी मैच के दौरान, यदि गेंद किसी पत्थर पर गिरती है, लेकिन पत्थर सीधा खड़ा रहता है, तो आक्रमणकारी टीम के लिए परिणाम क्या होगा?")</f>
        <v>लागोरी मैच के दौरान, यदि गेंद किसी पत्थर पर गिरती है, लेकिन पत्थर सीधा खड़ा रहता है, तो आक्रमणकारी टीम के लिए परिणाम क्या होगा?</v>
      </c>
      <c r="H87" s="5" t="str">
        <f>IFERROR(__xludf.DUMMYFUNCTION("GOOGLETRANSLATE(C87, ""en"", ""hi"")"),"A) आक्रमणकारी टीम अपनी बारी खो देती है। , B) पत्थर गिरा हुआ माना जाता है। , C) खेल रोक दिया जाता है। , D) आक्रमणकारी टीम को फेंकने का एक और मौका मिलता है।")</f>
        <v>A) आक्रमणकारी टीम अपनी बारी खो देती है। , B) पत्थर गिरा हुआ माना जाता है। , C) खेल रोक दिया जाता है। , D) आक्रमणकारी टीम को फेंकने का एक और मौका मिलता है।</v>
      </c>
      <c r="I87" s="5" t="str">
        <f>IFERROR(__xludf.DUMMYFUNCTION("GOOGLETRANSLATE(D87, ""en"", ""hi"")"),"A) आक्रमणकारी टीम अपनी बारी खो देती है।")</f>
        <v>A) आक्रमणकारी टीम अपनी बारी खो देती है।</v>
      </c>
    </row>
    <row r="88" ht="22.5" customHeight="1">
      <c r="A88" s="2">
        <v>87.0</v>
      </c>
      <c r="B88" s="3" t="s">
        <v>4186</v>
      </c>
      <c r="C88" s="3" t="s">
        <v>4187</v>
      </c>
      <c r="D88" s="3" t="s">
        <v>4003</v>
      </c>
      <c r="F88" s="5" t="str">
        <f>IFERROR(__xludf.DUMMYFUNCTION("GOOGLETRANSLATE(A88, ""en"", ""hi"")"),"87")</f>
        <v>87</v>
      </c>
      <c r="G88" s="5" t="str">
        <f>IFERROR(__xludf.DUMMYFUNCTION("GOOGLETRANSLATE(B88, ""en"", ""hi"")"),"लागोरी में, यदि आक्रमणकारी टीम का कोई खिलाड़ी गेंद फेंकता है और वह सीमा रेखा के बाहर गिरती है, तो क्या किया जाना चाहिए?")</f>
        <v>लागोरी में, यदि आक्रमणकारी टीम का कोई खिलाड़ी गेंद फेंकता है और वह सीमा रेखा के बाहर गिरती है, तो क्या किया जाना चाहिए?</v>
      </c>
      <c r="H88" s="5" t="str">
        <f>IFERROR(__xludf.DUMMYFUNCTION("GOOGLETRANSLATE(C88, ""en"", ""hi"")"),"A) आक्रमणकारी टीम अपनी बारी खो देती है। , B) गेंद वापस ले ली जाती है और खेल जारी रहता है। , C) गेंद को नई गेंद से बदल दिया जाता है। , D) खेल रोक दिया जाता है।")</f>
        <v>A) आक्रमणकारी टीम अपनी बारी खो देती है। , B) गेंद वापस ले ली जाती है और खेल जारी रहता है। , C) गेंद को नई गेंद से बदल दिया जाता है। , D) खेल रोक दिया जाता है।</v>
      </c>
      <c r="I88" s="5" t="str">
        <f>IFERROR(__xludf.DUMMYFUNCTION("GOOGLETRANSLATE(D88, ""en"", ""hi"")"),"A) आक्रमणकारी टीम अपनी बारी खो देती है।")</f>
        <v>A) आक्रमणकारी टीम अपनी बारी खो देती है।</v>
      </c>
    </row>
    <row r="89" ht="22.5" customHeight="1">
      <c r="A89" s="2">
        <v>88.0</v>
      </c>
      <c r="B89" s="3" t="s">
        <v>4188</v>
      </c>
      <c r="C89" s="3" t="s">
        <v>4189</v>
      </c>
      <c r="D89" s="3" t="s">
        <v>4190</v>
      </c>
      <c r="F89" s="5" t="str">
        <f>IFERROR(__xludf.DUMMYFUNCTION("GOOGLETRANSLATE(A89, ""en"", ""hi"")"),"88")</f>
        <v>88</v>
      </c>
      <c r="G89" s="5" t="str">
        <f>IFERROR(__xludf.DUMMYFUNCTION("GOOGLETRANSLATE(B89, ""en"", ""hi"")"),"यदि किसी खिलाड़ी के घायल होने के कारण लागोरी खेल बाधित हो जाता है, तो सामान्य प्रक्रिया क्या होगी?")</f>
        <v>यदि किसी खिलाड़ी के घायल होने के कारण लागोरी खेल बाधित हो जाता है, तो सामान्य प्रक्रिया क्या होगी?</v>
      </c>
      <c r="H89" s="5" t="str">
        <f>IFERROR(__xludf.DUMMYFUNCTION("GOOGLETRANSLATE(C89, ""en"", ""hi"")"),"A) खेल रोक दिया जाता है और चिकित्सा सहायता प्रदान की जाती है। , B) खेल रद्द कर दिया जाता है। , C) घायल खिलाड़ी को बदल दिया जाता है और खेल जारी रहता है। , D) खेल को शुरू से फिर से शुरू किया जाता है।")</f>
        <v>A) खेल रोक दिया जाता है और चिकित्सा सहायता प्रदान की जाती है। , B) खेल रद्द कर दिया जाता है। , C) घायल खिलाड़ी को बदल दिया जाता है और खेल जारी रहता है। , D) खेल को शुरू से फिर से शुरू किया जाता है।</v>
      </c>
      <c r="I89" s="5" t="str">
        <f>IFERROR(__xludf.DUMMYFUNCTION("GOOGLETRANSLATE(D89, ""en"", ""hi"")"),"ए) खेल रोक दिया जाता है और चिकित्सा सहायता प्रदान की जाती है।")</f>
        <v>ए) खेल रोक दिया जाता है और चिकित्सा सहायता प्रदान की जाती है।</v>
      </c>
    </row>
    <row r="90" ht="22.5" customHeight="1">
      <c r="A90" s="2">
        <v>89.0</v>
      </c>
      <c r="B90" s="3" t="s">
        <v>4191</v>
      </c>
      <c r="C90" s="3" t="s">
        <v>4192</v>
      </c>
      <c r="D90" s="3" t="s">
        <v>4193</v>
      </c>
      <c r="F90" s="5" t="str">
        <f>IFERROR(__xludf.DUMMYFUNCTION("GOOGLETRANSLATE(A90, ""en"", ""hi"")"),"89")</f>
        <v>89</v>
      </c>
      <c r="G90" s="5" t="str">
        <f>IFERROR(__xludf.DUMMYFUNCTION("GOOGLETRANSLATE(B90, ""en"", ""hi"")"),"लागोरी में, यदि बचाव करने वाली टीम का कोई खिलाड़ी किसी पत्थर को पूरी तरह से बहाल होने से पहले छू लेता है, तो सामान्य नियम क्या है?")</f>
        <v>लागोरी में, यदि बचाव करने वाली टीम का कोई खिलाड़ी किसी पत्थर को पूरी तरह से बहाल होने से पहले छू लेता है, तो सामान्य नियम क्या है?</v>
      </c>
      <c r="H90" s="5" t="str">
        <f>IFERROR(__xludf.DUMMYFUNCTION("GOOGLETRANSLATE(C90, ""en"", ""hi"")"),"A) पत्थर वापस रख दिया जाता है और बचाव करने वाली टीम अपनी बारी खो देती है। , B) पत्थर नीचे ही रहता है। , C) खेल बिना किसी दंड के जारी रहता है। , D) आक्रमण करने वाली टीम को एक अतिरिक्त मौका मिलता है।")</f>
        <v>A) पत्थर वापस रख दिया जाता है और बचाव करने वाली टीम अपनी बारी खो देती है। , B) पत्थर नीचे ही रहता है। , C) खेल बिना किसी दंड के जारी रहता है। , D) आक्रमण करने वाली टीम को एक अतिरिक्त मौका मिलता है।</v>
      </c>
      <c r="I90" s="5" t="str">
        <f>IFERROR(__xludf.DUMMYFUNCTION("GOOGLETRANSLATE(D90, ""en"", ""hi"")"),"A) पत्थर को पुनः स्थापित कर दिया जाता है और बचाव करने वाली टीम अपनी बारी खो देती है।")</f>
        <v>A) पत्थर को पुनः स्थापित कर दिया जाता है और बचाव करने वाली टीम अपनी बारी खो देती है।</v>
      </c>
    </row>
    <row r="91" ht="22.5" customHeight="1">
      <c r="A91" s="2">
        <v>90.0</v>
      </c>
      <c r="B91" s="3" t="s">
        <v>4194</v>
      </c>
      <c r="C91" s="3" t="s">
        <v>4195</v>
      </c>
      <c r="D91" s="3" t="s">
        <v>4138</v>
      </c>
      <c r="F91" s="5" t="str">
        <f>IFERROR(__xludf.DUMMYFUNCTION("GOOGLETRANSLATE(A91, ""en"", ""hi"")"),"90")</f>
        <v>90</v>
      </c>
      <c r="G91" s="5" t="str">
        <f>IFERROR(__xludf.DUMMYFUNCTION("GOOGLETRANSLATE(B91, ""en"", ""hi"")"),"लागोरी मैच के दौरान, यदि गेंद फेंकी जाती है और वह पत्थरों से टकराती है, लेकिन कोई भी पत्थर नहीं गिरता, तो आगे क्या होगा?")</f>
        <v>लागोरी मैच के दौरान, यदि गेंद फेंकी जाती है और वह पत्थरों से टकराती है, लेकिन कोई भी पत्थर नहीं गिरता, तो आगे क्या होगा?</v>
      </c>
      <c r="H91" s="5" t="str">
        <f>IFERROR(__xludf.DUMMYFUNCTION("GOOGLETRANSLATE(C91, ""en"", ""hi"")"),"ए) बारी को असफल माना जाता है और जब्त कर लिया जाता है।, बी) पत्थरों को फिर से सेट किया जाता है।, सी) खेल को रोक दिया जाता है।, डी) हमलावर टीम को एक और मौका मिलता है।")</f>
        <v>ए) बारी को असफल माना जाता है और जब्त कर लिया जाता है।, बी) पत्थरों को फिर से सेट किया जाता है।, सी) खेल को रोक दिया जाता है।, डी) हमलावर टीम को एक और मौका मिलता है।</v>
      </c>
      <c r="I91" s="5" t="str">
        <f>IFERROR(__xludf.DUMMYFUNCTION("GOOGLETRANSLATE(D91, ""en"", ""hi"")"),"A) बारी को असफल माना जाता है और उसे जब्त कर लिया जाता है।")</f>
        <v>A) बारी को असफल माना जाता है और उसे जब्त कर लिया जाता है।</v>
      </c>
    </row>
    <row r="92" ht="22.5" customHeight="1">
      <c r="A92" s="2">
        <v>91.0</v>
      </c>
      <c r="B92" s="3" t="s">
        <v>4196</v>
      </c>
      <c r="C92" s="3" t="s">
        <v>4197</v>
      </c>
      <c r="D92" s="3" t="s">
        <v>4003</v>
      </c>
      <c r="F92" s="5" t="str">
        <f>IFERROR(__xludf.DUMMYFUNCTION("GOOGLETRANSLATE(A92, ""en"", ""hi"")"),"91")</f>
        <v>91</v>
      </c>
      <c r="G92" s="5" t="str">
        <f>IFERROR(__xludf.DUMMYFUNCTION("GOOGLETRANSLATE(B92, ""en"", ""hi"")"),"लागोरी में, यदि आक्रमणकारी टीम का कोई खिलाड़ी गलती से गेंद को सीमा से बाहर मार देता है, तो परिणाम क्या होगा?")</f>
        <v>लागोरी में, यदि आक्रमणकारी टीम का कोई खिलाड़ी गलती से गेंद को सीमा से बाहर मार देता है, तो परिणाम क्या होगा?</v>
      </c>
      <c r="H92" s="5" t="str">
        <f>IFERROR(__xludf.DUMMYFUNCTION("GOOGLETRANSLATE(C92, ""en"", ""hi"")"),"A) आक्रमणकारी टीम अपनी बारी खो देती है। , B) गेंद वापस ले ली जाती है और खेल जारी रहता है। , C) गेंद वापस ले ली जाती है। , D) खेल रोक दिया जाता है।")</f>
        <v>A) आक्रमणकारी टीम अपनी बारी खो देती है। , B) गेंद वापस ले ली जाती है और खेल जारी रहता है। , C) गेंद वापस ले ली जाती है। , D) खेल रोक दिया जाता है।</v>
      </c>
      <c r="I92" s="5" t="str">
        <f>IFERROR(__xludf.DUMMYFUNCTION("GOOGLETRANSLATE(D92, ""en"", ""hi"")"),"A) आक्रमणकारी टीम अपनी बारी खो देती है।")</f>
        <v>A) आक्रमणकारी टीम अपनी बारी खो देती है।</v>
      </c>
    </row>
    <row r="93" ht="22.5" customHeight="1">
      <c r="A93" s="2">
        <v>92.0</v>
      </c>
      <c r="B93" s="3" t="s">
        <v>4198</v>
      </c>
      <c r="C93" s="3" t="s">
        <v>4199</v>
      </c>
      <c r="D93" s="3" t="s">
        <v>4105</v>
      </c>
      <c r="F93" s="5" t="str">
        <f>IFERROR(__xludf.DUMMYFUNCTION("GOOGLETRANSLATE(A93, ""en"", ""hi"")"),"92")</f>
        <v>92</v>
      </c>
      <c r="G93" s="5" t="str">
        <f>IFERROR(__xludf.DUMMYFUNCTION("GOOGLETRANSLATE(B93, ""en"", ""hi"")"),"यदि लागोरी खेल खेला जाता है और बचाव करने वाली टीम द्वारा सभी पत्थर वापस नहीं लिए जाते हैं, तो सामान्य परिणाम क्या होगा?")</f>
        <v>यदि लागोरी खेल खेला जाता है और बचाव करने वाली टीम द्वारा सभी पत्थर वापस नहीं लिए जाते हैं, तो सामान्य परिणाम क्या होगा?</v>
      </c>
      <c r="H93" s="5" t="str">
        <f>IFERROR(__xludf.DUMMYFUNCTION("GOOGLETRANSLATE(C93, ""en"", ""hi"")"),"A)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f>
        <v>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v>
      </c>
      <c r="I93" s="5" t="str">
        <f>IFERROR(__xludf.DUMMYFUNCTION("GOOGLETRANSLATE(D93, ""en"", ""hi"")"),"A) खेल को अपूर्ण घोषित किया जाता है तथा उसे पुनः खेला जा सकता है।")</f>
        <v>A) खेल को अपूर्ण घोषित किया जाता है तथा उसे पुनः खेला जा सकता है।</v>
      </c>
    </row>
    <row r="94" ht="22.5" customHeight="1">
      <c r="A94" s="2">
        <v>93.0</v>
      </c>
      <c r="B94" s="3" t="s">
        <v>4200</v>
      </c>
      <c r="C94" s="3" t="s">
        <v>4201</v>
      </c>
      <c r="D94" s="3" t="s">
        <v>4020</v>
      </c>
      <c r="F94" s="5" t="str">
        <f>IFERROR(__xludf.DUMMYFUNCTION("GOOGLETRANSLATE(A94, ""en"", ""hi"")"),"93")</f>
        <v>93</v>
      </c>
      <c r="G94" s="5" t="str">
        <f>IFERROR(__xludf.DUMMYFUNCTION("GOOGLETRANSLATE(B94, ""en"", ""hi"")"),"लागोरी में, यदि कोई पत्थर गिर जाता है, लेकिन आक्रमणकारी टीम का कोई खिलाड़ी उसे पुनः प्राप्त करने से पहले छू लेता है, तो क्या होता है?")</f>
        <v>लागोरी में, यदि कोई पत्थर गिर जाता है, लेकिन आक्रमणकारी टीम का कोई खिलाड़ी उसे पुनः प्राप्त करने से पहले छू लेता है, तो क्या होता है?</v>
      </c>
      <c r="H94" s="5" t="str">
        <f>IFERROR(__xludf.DUMMYFUNCTION("GOOGLETRANSLATE(C94, ""en"", ""hi"")"),"ए) पत्थर को वापस रख दिया जाता है और बारी जब्त कर ली जाती है। , बी) पत्थर नीचे ही रहता है। , सी) खिलाड़ी को दंडित किया जाता है। , डी) खेल बिना दंड के जारी रहता है।")</f>
        <v>ए) पत्थर को वापस रख दिया जाता है और बारी जब्त कर ली जाती है। , बी) पत्थर नीचे ही रहता है। , सी) खिलाड़ी को दंडित किया जाता है। , डी) खेल बिना दंड के जारी रहता है।</v>
      </c>
      <c r="I94" s="5" t="str">
        <f>IFERROR(__xludf.DUMMYFUNCTION("GOOGLETRANSLATE(D94, ""en"", ""hi"")"),"ए) पत्थर को बदल दिया जाता है और बारी जब्त कर ली जाती है।")</f>
        <v>ए) पत्थर को बदल दिया जाता है और बारी जब्त कर ली जाती है।</v>
      </c>
    </row>
    <row r="95" ht="22.5" customHeight="1">
      <c r="A95" s="2">
        <v>94.0</v>
      </c>
      <c r="B95" s="3" t="s">
        <v>4202</v>
      </c>
      <c r="C95" s="3" t="s">
        <v>4203</v>
      </c>
      <c r="D95" s="3" t="s">
        <v>4003</v>
      </c>
      <c r="F95" s="5" t="str">
        <f>IFERROR(__xludf.DUMMYFUNCTION("GOOGLETRANSLATE(A95, ""en"", ""hi"")"),"94")</f>
        <v>94</v>
      </c>
      <c r="G95" s="5" t="str">
        <f>IFERROR(__xludf.DUMMYFUNCTION("GOOGLETRANSLATE(B95, ""en"", ""hi"")"),"लागोरी मैच के दौरान, यदि बचाव करने वाली टीम का कोई खिलाड़ी गेंद को जमीन पर गिरने से पहले पकड़ लेता है, तो नियम क्या है?")</f>
        <v>लागोरी मैच के दौरान, यदि बचाव करने वाली टीम का कोई खिलाड़ी गेंद को जमीन पर गिरने से पहले पकड़ लेता है, तो नियम क्या है?</v>
      </c>
      <c r="H95" s="5" t="str">
        <f>IFERROR(__xludf.DUMMYFUNCTION("GOOGLETRANSLATE(C95, ""en"", ""hi"")"),"A) आक्रमणकारी टीम अपनी बारी खो देती है। , B) बचाव करने वाली टीम को गेंद फेंकने का एक और मौका मिलता है। , C) खेल रोक दिया जाता है। , D) आक्रमणकारी टीम को एक अतिरिक्त बारी मिलती है।")</f>
        <v>A) आक्रमणकारी टीम अपनी बारी खो देती है। , B) बचाव करने वाली टीम को गेंद फेंकने का एक और मौका मिलता है। , C) खेल रोक दिया जाता है। , D) आक्रमणकारी टीम को एक अतिरिक्त बारी मिलती है।</v>
      </c>
      <c r="I95" s="5" t="str">
        <f>IFERROR(__xludf.DUMMYFUNCTION("GOOGLETRANSLATE(D95, ""en"", ""hi"")"),"A) आक्रमणकारी टीम अपनी बारी खो देती है।")</f>
        <v>A) आक्रमणकारी टीम अपनी बारी खो देती है।</v>
      </c>
    </row>
    <row r="96" ht="22.5" customHeight="1">
      <c r="A96" s="2">
        <v>95.0</v>
      </c>
      <c r="B96" s="3" t="s">
        <v>4204</v>
      </c>
      <c r="C96" s="3" t="s">
        <v>4205</v>
      </c>
      <c r="D96" s="3" t="s">
        <v>4003</v>
      </c>
      <c r="F96" s="5" t="str">
        <f>IFERROR(__xludf.DUMMYFUNCTION("GOOGLETRANSLATE(A96, ""en"", ""hi"")"),"95")</f>
        <v>95</v>
      </c>
      <c r="G96" s="5" t="str">
        <f>IFERROR(__xludf.DUMMYFUNCTION("GOOGLETRANSLATE(B96, ""en"", ""hi"")"),"यदि लागोरी में गेंद किसी ऐसे क्षेत्र में गिर जाए जिसे वापस लाना बहुत कठिन हो, तो परिणाम क्या होगा?")</f>
        <v>यदि लागोरी में गेंद किसी ऐसे क्षेत्र में गिर जाए जिसे वापस लाना बहुत कठिन हो, तो परिणाम क्या होगा?</v>
      </c>
      <c r="H96" s="5" t="str">
        <f>IFERROR(__xludf.DUMMYFUNCTION("GOOGLETRANSLATE(C96,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96" s="5" t="str">
        <f>IFERROR(__xludf.DUMMYFUNCTION("GOOGLETRANSLATE(D96, ""en"", ""hi"")"),"A) आक्रमणकारी टीम अपनी बारी खो देती है।")</f>
        <v>A) आक्रमणकारी टीम अपनी बारी खो देती है।</v>
      </c>
    </row>
    <row r="97" ht="22.5" customHeight="1">
      <c r="A97" s="2">
        <v>96.0</v>
      </c>
      <c r="B97" s="3" t="s">
        <v>4206</v>
      </c>
      <c r="C97" s="3" t="s">
        <v>4207</v>
      </c>
      <c r="D97" s="3" t="s">
        <v>4014</v>
      </c>
      <c r="F97" s="5" t="str">
        <f>IFERROR(__xludf.DUMMYFUNCTION("GOOGLETRANSLATE(A97, ""en"", ""hi"")"),"96")</f>
        <v>96</v>
      </c>
      <c r="G97" s="5" t="str">
        <f>IFERROR(__xludf.DUMMYFUNCTION("GOOGLETRANSLATE(B97, ""en"", ""hi"")"),"लागोरी में, यदि गेंद पत्थरों से टकराती है लेकिन उनमें से कोई भी गिरता नहीं है और गेंद को किसी खिलाड़ी द्वारा पकड़ लिया जाता है, तो परिणाम क्या होगा?")</f>
        <v>लागोरी में, यदि गेंद पत्थरों से टकराती है लेकिन उनमें से कोई भी गिरता नहीं है और गेंद को किसी खिलाड़ी द्वारा पकड़ लिया जाता है, तो परिणाम क्या होगा?</v>
      </c>
      <c r="H97" s="5" t="str">
        <f>IFERROR(__xludf.DUMMYFUNCTION("GOOGLETRANSLATE(C97, ""en"", ""hi"")"),"A) बारी जब्त कर ली जाती है। , B) पत्थर वापस कर दिए जाते हैं। , C) गेंद को फिर से फेंक दिया जाता है। , D) खेल रोक दिया जाता है।")</f>
        <v>A) बारी जब्त कर ली जाती है। , B) पत्थर वापस कर दिए जाते हैं। , C) गेंद को फिर से फेंक दिया जाता है। , D) खेल रोक दिया जाता है।</v>
      </c>
      <c r="I97" s="5" t="str">
        <f>IFERROR(__xludf.DUMMYFUNCTION("GOOGLETRANSLATE(D97, ""en"", ""hi"")"),"A) बारी जब्त कर ली जाती है।")</f>
        <v>A) बारी जब्त कर ली जाती है।</v>
      </c>
    </row>
    <row r="98" ht="22.5" customHeight="1">
      <c r="A98" s="2">
        <v>97.0</v>
      </c>
      <c r="B98" s="3" t="s">
        <v>4085</v>
      </c>
      <c r="C98" s="3" t="s">
        <v>4156</v>
      </c>
      <c r="D98" s="3" t="s">
        <v>4020</v>
      </c>
      <c r="F98" s="5" t="str">
        <f>IFERROR(__xludf.DUMMYFUNCTION("GOOGLETRANSLATE(A98, ""en"", ""hi"")"),"97")</f>
        <v>97</v>
      </c>
      <c r="G98" s="5" t="str">
        <f>IFERROR(__xludf.DUMMYFUNCTION("GOOGLETRANSLATE(B98, ""en"", ""hi"")"),"यदि लागोरी में कोई पत्थर गिरा दिया जाए और गेंद पुनः उसी पर आ गिरे तो क्या करना चाहिए?")</f>
        <v>यदि लागोरी में कोई पत्थर गिरा दिया जाए और गेंद पुनः उसी पर आ गिरे तो क्या करना चाहिए?</v>
      </c>
      <c r="H98" s="5" t="str">
        <f>IFERROR(__xludf.DUMMYFUNCTION("GOOGLETRANSLATE(C98, ""en"", ""hi"")"),"ए) पत्थर को वापस रख दिया जाता है और बारी रद्द हो जाती है।, बी) पत्थर नीचे ही रहता है।, सी) गेंद को खेल से बाहर माना जाता है।, डी) खेल रोक दिया जाता है।")</f>
        <v>ए) पत्थर को वापस रख दिया जाता है और बारी रद्द हो जाती है।, बी) पत्थर नीचे ही रहता है।, सी) गेंद को खेल से बाहर माना जाता है।, डी) खेल रोक दिया जाता है।</v>
      </c>
      <c r="I98" s="5" t="str">
        <f>IFERROR(__xludf.DUMMYFUNCTION("GOOGLETRANSLATE(D98, ""en"", ""hi"")"),"ए) पत्थर को बदल दिया जाता है और बारी जब्त कर ली जाती है।")</f>
        <v>ए) पत्थर को बदल दिया जाता है और बारी जब्त कर ली जाती है।</v>
      </c>
    </row>
    <row r="99" ht="22.5" customHeight="1">
      <c r="A99" s="2">
        <v>98.0</v>
      </c>
      <c r="B99" s="3" t="s">
        <v>4208</v>
      </c>
      <c r="C99" s="3" t="s">
        <v>4209</v>
      </c>
      <c r="D99" s="3" t="s">
        <v>4094</v>
      </c>
      <c r="F99" s="5" t="str">
        <f>IFERROR(__xludf.DUMMYFUNCTION("GOOGLETRANSLATE(A99, ""en"", ""hi"")"),"98")</f>
        <v>98</v>
      </c>
      <c r="G99" s="5" t="str">
        <f>IFERROR(__xludf.DUMMYFUNCTION("GOOGLETRANSLATE(B99, ""en"", ""hi"")"),"लागोरी मैच के दौरान, यदि आक्रमणकारी टीम का कोई खिलाड़ी सभी पत्थरों को गिरा देता है, लेकिन गेंद सीमा रेखा के बाहर गिरती है, तो आगे क्या होगा?")</f>
        <v>लागोरी मैच के दौरान, यदि आक्रमणकारी टीम का कोई खिलाड़ी सभी पत्थरों को गिरा देता है, लेकिन गेंद सीमा रेखा के बाहर गिरती है, तो आगे क्या होगा?</v>
      </c>
      <c r="H99" s="5" t="str">
        <f>IFERROR(__xludf.DUMMYFUNCTION("GOOGLETRANSLATE(C99, ""en"", ""hi"")"),"ए) बचाव करने वाली टीम पत्थरों को वापस ले लेती है और अगला पत्थर फेंकने का मौका पाती है।, बी) आक्रमण करने वाली टीम को एक और मौका मिलता है।, सी) खेल रोक दिया जाता है।, डी) खेल को अपूर्ण घोषित कर दिया जाता है।")</f>
        <v>ए) बचाव करने वाली टीम पत्थरों को वापस ले लेती है और अगला पत्थर फेंकने का मौका पाती है।, बी) आक्रमण करने वाली टीम को एक और मौका मिलता है।, सी) खेल रोक दिया जाता है।, डी) खेल को अपूर्ण घोषित कर दिया जाता है।</v>
      </c>
      <c r="I99" s="5" t="str">
        <f>IFERROR(__xludf.DUMMYFUNCTION("GOOGLETRANSLATE(D99, ""en"", ""hi"")"),"ए) बचाव करने वाली टीम पत्थरों को वापस लाती है और अगला पत्थर फेंकने का काम करती है।")</f>
        <v>ए) बचाव करने वाली टीम पत्थरों को वापस लाती है और अगला पत्थर फेंकने का काम करती है।</v>
      </c>
    </row>
    <row r="100" ht="22.5" customHeight="1">
      <c r="A100" s="2">
        <v>99.0</v>
      </c>
      <c r="B100" s="3" t="s">
        <v>4210</v>
      </c>
      <c r="C100" s="3" t="s">
        <v>4165</v>
      </c>
      <c r="D100" s="3" t="s">
        <v>4014</v>
      </c>
      <c r="F100" s="5" t="str">
        <f>IFERROR(__xludf.DUMMYFUNCTION("GOOGLETRANSLATE(A100, ""en"", ""hi"")"),"99")</f>
        <v>99</v>
      </c>
      <c r="G100" s="5" t="str">
        <f>IFERROR(__xludf.DUMMYFUNCTION("GOOGLETRANSLATE(B100, ""en"", ""hi"")"),"लागोरी में, यदि गेंद फेंकी जाए और वह पत्थर पर गिरे, परंतु उसे गिरा न पाए, तो परिणाम क्या होगा?")</f>
        <v>लागोरी में, यदि गेंद फेंकी जाए और वह पत्थर पर गिरे, परंतु उसे गिरा न पाए, तो परिणाम क्या होगा?</v>
      </c>
      <c r="H100" s="5" t="str">
        <f>IFERROR(__xludf.DUMMYFUNCTION("GOOGLETRANSLATE(C100, ""en"", ""hi"")"),"ए) बारी जब्त कर ली जाती है।, बी) पत्थर अपनी स्थिति में रहता है।, सी) खेल रोक दिया जाता है।, डी) पत्थर फिर से स्थापित कर दिए जाते हैं।")</f>
        <v>ए) बारी जब्त कर ली जाती है।, बी) पत्थर अपनी स्थिति में रहता है।, सी) खेल रोक दिया जाता है।, डी) पत्थर फिर से स्थापित कर दिए जाते हैं।</v>
      </c>
      <c r="I100" s="5" t="str">
        <f>IFERROR(__xludf.DUMMYFUNCTION("GOOGLETRANSLATE(D100, ""en"", ""hi"")"),"A) बारी जब्त कर ली जाती है।")</f>
        <v>A) बारी जब्त कर ली जाती है।</v>
      </c>
    </row>
    <row r="101" ht="22.5" customHeight="1">
      <c r="A101" s="2">
        <v>100.0</v>
      </c>
      <c r="B101" s="3" t="s">
        <v>4211</v>
      </c>
      <c r="C101" s="3" t="s">
        <v>4129</v>
      </c>
      <c r="D101" s="3" t="s">
        <v>4130</v>
      </c>
      <c r="F101" s="5" t="str">
        <f>IFERROR(__xludf.DUMMYFUNCTION("GOOGLETRANSLATE(A101, ""en"", ""hi"")"),"100")</f>
        <v>100</v>
      </c>
      <c r="G101" s="5" t="str">
        <f>IFERROR(__xludf.DUMMYFUNCTION("GOOGLETRANSLATE(B101, ""en"", ""hi"")"),"यदि लागोरी खेल खेला जा रहा हो और गेंद गलती से सीमा से बाहर फेंक दी जाए तो क्या निर्णय होना चाहिए?")</f>
        <v>यदि लागोरी खेल खेला जा रहा हो और गेंद गलती से सीमा से बाहर फेंक दी जाए तो क्या निर्णय होना चाहिए?</v>
      </c>
      <c r="H101" s="5" t="str">
        <f>IFERROR(__xludf.DUMMYFUNCTION("GOOGLETRANSLATE(C101,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01" s="5" t="str">
        <f>IFERROR(__xludf.DUMMYFUNCTION("GOOGLETRANSLATE(D101, ""en"", ""hi"")"),"ए) बारी रद्द कर दी जाती है और गेंद वापस ले ली जाती है।")</f>
        <v>ए) बारी रद्द कर दी जाती है और गेंद वापस ले ली जाती है।</v>
      </c>
    </row>
    <row r="102" ht="22.5" customHeight="1">
      <c r="A102" s="2">
        <v>101.0</v>
      </c>
      <c r="B102" s="3" t="s">
        <v>4212</v>
      </c>
      <c r="C102" s="3" t="s">
        <v>4213</v>
      </c>
      <c r="D102" s="3" t="s">
        <v>4003</v>
      </c>
      <c r="F102" s="5" t="str">
        <f>IFERROR(__xludf.DUMMYFUNCTION("GOOGLETRANSLATE(A102, ""en"", ""hi"")"),"101")</f>
        <v>101</v>
      </c>
      <c r="G102" s="5" t="str">
        <f>IFERROR(__xludf.DUMMYFUNCTION("GOOGLETRANSLATE(B102, ""en"", ""hi"")"),"लागोरी में यदि गेंद फेंकी जाए और वह पत्थर से टकराए, परंतु पत्थर को नीचे न गिराए, तो आगे क्या होगा?")</f>
        <v>लागोरी में यदि गेंद फेंकी जाए और वह पत्थर से टकराए, परंतु पत्थर को नीचे न गिराए, तो आगे क्या होगा?</v>
      </c>
      <c r="H102" s="5" t="str">
        <f>IFERROR(__xludf.DUMMYFUNCTION("GOOGLETRANSLATE(C102, ""en"", ""hi"")"),"A) आक्रमणकारी टीम अपनी बारी खो देती है। , B) खेल रोक दिया जाता है। , C) बचाव करने वाली टीम को एक अतिरिक्त बारी मिलती है। , D) पत्थर पुनः स्थापित कर दिए जाते हैं।")</f>
        <v>A) आक्रमणकारी टीम अपनी बारी खो देती है। , B) खेल रोक दिया जाता है। , C) बचाव करने वाली टीम को एक अतिरिक्त बारी मिलती है। , D) पत्थर पुनः स्थापित कर दिए जाते हैं।</v>
      </c>
      <c r="I102" s="5" t="str">
        <f>IFERROR(__xludf.DUMMYFUNCTION("GOOGLETRANSLATE(D102, ""en"", ""hi"")"),"A) आक्रमणकारी टीम अपनी बारी खो देती है।")</f>
        <v>A) आक्रमणकारी टीम अपनी बारी खो देती है।</v>
      </c>
    </row>
    <row r="103" ht="22.5" customHeight="1">
      <c r="A103" s="2">
        <v>102.0</v>
      </c>
      <c r="B103" s="3" t="s">
        <v>4214</v>
      </c>
      <c r="C103" s="3" t="s">
        <v>4215</v>
      </c>
      <c r="D103" s="3" t="s">
        <v>4003</v>
      </c>
      <c r="F103" s="5" t="str">
        <f>IFERROR(__xludf.DUMMYFUNCTION("GOOGLETRANSLATE(A103, ""en"", ""hi"")"),"102")</f>
        <v>102</v>
      </c>
      <c r="G103" s="5" t="str">
        <f>IFERROR(__xludf.DUMMYFUNCTION("GOOGLETRANSLATE(B103, ""en"", ""hi"")"),"यदि लागोरी में कोई खिलाड़ी गेंद फेंकता है और पत्थर पर लगता है, लेकिन पत्थर वहीं खड़ा रहता है, तो परिणाम क्या होगा?")</f>
        <v>यदि लागोरी में कोई खिलाड़ी गेंद फेंकता है और पत्थर पर लगता है, लेकिन पत्थर वहीं खड़ा रहता है, तो परिणाम क्या होगा?</v>
      </c>
      <c r="H103" s="5" t="str">
        <f>IFERROR(__xludf.DUMMYFUNCTION("GOOGLETRANSLATE(C103, ""en"", ""hi"")"),"A) आक्रमणकारी टीम अपनी बारी खो देती है। , B) पत्थर गिरा हुआ माना जाता है। , C) खेल रोक दिया जाता है। , D) पत्थर पुनः प्राप्त कर लिए जाते हैं।")</f>
        <v>A) आक्रमणकारी टीम अपनी बारी खो देती है। , B) पत्थर गिरा हुआ माना जाता है। , C) खेल रोक दिया जाता है। , D) पत्थर पुनः प्राप्त कर लिए जाते हैं।</v>
      </c>
      <c r="I103" s="5" t="str">
        <f>IFERROR(__xludf.DUMMYFUNCTION("GOOGLETRANSLATE(D103, ""en"", ""hi"")"),"A) आक्रमणकारी टीम अपनी बारी खो देती है।")</f>
        <v>A) आक्रमणकारी टीम अपनी बारी खो देती है।</v>
      </c>
    </row>
    <row r="104" ht="22.5" customHeight="1">
      <c r="A104" s="2">
        <v>103.0</v>
      </c>
      <c r="B104" s="3" t="s">
        <v>4216</v>
      </c>
      <c r="C104" s="3" t="s">
        <v>4201</v>
      </c>
      <c r="D104" s="3" t="s">
        <v>4020</v>
      </c>
      <c r="F104" s="5" t="str">
        <f>IFERROR(__xludf.DUMMYFUNCTION("GOOGLETRANSLATE(A104, ""en"", ""hi"")"),"103")</f>
        <v>103</v>
      </c>
      <c r="G104" s="5" t="str">
        <f>IFERROR(__xludf.DUMMYFUNCTION("GOOGLETRANSLATE(B104, ""en"", ""hi"")"),"लागोरी मैच के दौरान, यदि कोई पत्थर गिर जाता है और आक्रमणकारी टीम का कोई खिलाड़ी उसे वापस पाने से पहले छू लेता है, तो नियम क्या है?")</f>
        <v>लागोरी मैच के दौरान, यदि कोई पत्थर गिर जाता है और आक्रमणकारी टीम का कोई खिलाड़ी उसे वापस पाने से पहले छू लेता है, तो नियम क्या है?</v>
      </c>
      <c r="H104" s="5" t="str">
        <f>IFERROR(__xludf.DUMMYFUNCTION("GOOGLETRANSLATE(C104, ""en"", ""hi"")"),"ए) पत्थर को वापस रख दिया जाता है और बारी जब्त कर ली जाती है। , बी) पत्थर नीचे ही रहता है। , सी) खिलाड़ी को दंडित किया जाता है। , डी) खेल बिना दंड के जारी रहता है।")</f>
        <v>ए) पत्थर को वापस रख दिया जाता है और बारी जब्त कर ली जाती है। , बी) पत्थर नीचे ही रहता है। , सी) खिलाड़ी को दंडित किया जाता है। , डी) खेल बिना दंड के जारी रहता है।</v>
      </c>
      <c r="I104" s="5" t="str">
        <f>IFERROR(__xludf.DUMMYFUNCTION("GOOGLETRANSLATE(D104, ""en"", ""hi"")"),"ए) पत्थर को बदल दिया जाता है और बारी जब्त कर ली जाती है।")</f>
        <v>ए) पत्थर को बदल दिया जाता है और बारी जब्त कर ली जाती है।</v>
      </c>
    </row>
    <row r="105" ht="22.5" customHeight="1">
      <c r="A105" s="2">
        <v>104.0</v>
      </c>
      <c r="B105" s="3" t="s">
        <v>4151</v>
      </c>
      <c r="C105" s="3" t="s">
        <v>4152</v>
      </c>
      <c r="D105" s="3" t="s">
        <v>4130</v>
      </c>
      <c r="F105" s="5" t="str">
        <f>IFERROR(__xludf.DUMMYFUNCTION("GOOGLETRANSLATE(A105, ""en"", ""hi"")"),"104")</f>
        <v>104</v>
      </c>
      <c r="G105" s="5" t="str">
        <f>IFERROR(__xludf.DUMMYFUNCTION("GOOGLETRANSLATE(B105, ""en"", ""hi"")"),"लागोरी में यदि गेंद फेंकी जाए और वह बिना किसी पत्थर से टकराए खेल क्षेत्र के बाहर गिर जाए तो क्या नियम है?")</f>
        <v>लागोरी में यदि गेंद फेंकी जाए और वह बिना किसी पत्थर से टकराए खेल क्षेत्र के बाहर गिर जाए तो क्या नियम है?</v>
      </c>
      <c r="H105" s="5" t="str">
        <f>IFERROR(__xludf.DUMMYFUNCTION("GOOGLETRANSLATE(C105, ""en"", ""hi"")"),"ए) बारी जब्त कर ली जाती है और गेंद वापस ले ली जाती है।, बी) खेल बिना दंड के जारी रहता है।, सी) गेंद को एक नई गेंद से बदल दिया जाता है।, डी) खेल रोक दिया जाता है।")</f>
        <v>ए) बारी जब्त कर ली जाती है और गेंद वापस ले ली जाती है।, बी) खेल बिना दंड के जारी रहता है।, सी) गेंद को एक नई गेंद से बदल दिया जाता है।, डी) खेल रोक दिया जाता है।</v>
      </c>
      <c r="I105" s="5" t="str">
        <f>IFERROR(__xludf.DUMMYFUNCTION("GOOGLETRANSLATE(D105, ""en"", ""hi"")"),"ए) बारी रद्द कर दी जाती है और गेंद वापस ले ली जाती है।")</f>
        <v>ए) बारी रद्द कर दी जाती है और गेंद वापस ले ली जाती है।</v>
      </c>
    </row>
    <row r="106" ht="22.5" customHeight="1">
      <c r="A106" s="2">
        <v>105.0</v>
      </c>
      <c r="B106" s="3" t="s">
        <v>4217</v>
      </c>
      <c r="C106" s="3" t="s">
        <v>4142</v>
      </c>
      <c r="D106" s="3" t="s">
        <v>4143</v>
      </c>
      <c r="F106" s="5" t="str">
        <f>IFERROR(__xludf.DUMMYFUNCTION("GOOGLETRANSLATE(A106, ""en"", ""hi"")"),"105")</f>
        <v>105</v>
      </c>
      <c r="G106" s="5" t="str">
        <f>IFERROR(__xludf.DUMMYFUNCTION("GOOGLETRANSLATE(B106, ""en"", ""hi"")"),"यदि लागोरी खेल में दोनों टीमों के अंक समान हों, तो विजेता का निर्धारण करने की सामान्य प्रक्रिया क्या है?")</f>
        <v>यदि लागोरी खेल में दोनों टीमों के अंक समान हों, तो विजेता का निर्धारण करने की सामान्य प्रक्रिया क्या है?</v>
      </c>
      <c r="H106" s="5" t="str">
        <f>IFERROR(__xludf.DUMMYFUNCTION("GOOGLETRANSLATE(C106, ""en"", ""hi"")"),"ए) बराबरी तोड़ने के लिए एक अतिरिक्त राउंड खेला जाता है।, बी) खेल को ड्रॉ घोषित कर दिया जाता है।, सी) सबसे सफल थ्रो वाली टीम जीत जाती है।, डी) खेल को शुरू से फिर से शुरू किया जाता है।")</f>
        <v>ए) बराबरी तोड़ने के लिए एक अतिरिक्त राउंड खेला जाता है।, बी) खेल को ड्रॉ घोषित कर दिया जाता है।, सी) सबसे सफल थ्रो वाली टीम जीत जाती है।, डी) खेल को शुरू से फिर से शुरू किया जाता है।</v>
      </c>
      <c r="I106" s="5" t="str">
        <f>IFERROR(__xludf.DUMMYFUNCTION("GOOGLETRANSLATE(D106, ""en"", ""hi"")"),"ए) टाई तोड़ने के लिए एक अतिरिक्त राउंड खेला जाता है।")</f>
        <v>ए) टाई तोड़ने के लिए एक अतिरिक्त राउंड खेला जाता है।</v>
      </c>
    </row>
    <row r="107" ht="22.5" customHeight="1">
      <c r="A107" s="2">
        <v>106.0</v>
      </c>
      <c r="B107" s="3" t="s">
        <v>4218</v>
      </c>
      <c r="C107" s="3" t="s">
        <v>4219</v>
      </c>
      <c r="D107" s="3" t="s">
        <v>4220</v>
      </c>
      <c r="F107" s="5" t="str">
        <f>IFERROR(__xludf.DUMMYFUNCTION("GOOGLETRANSLATE(A107, ""en"", ""hi"")"),"106")</f>
        <v>106</v>
      </c>
      <c r="G107" s="5" t="str">
        <f>IFERROR(__xludf.DUMMYFUNCTION("GOOGLETRANSLATE(B107, ""en"", ""hi"")"),"लागोरी में, यदि पत्थर गिर जाएं और बचाव करने वाली टीम का कोई खिलाड़ी उन्हें पुनः प्राप्त करने से पहले छू ले, तो क्या होगा?")</f>
        <v>लागोरी में, यदि पत्थर गिर जाएं और बचाव करने वाली टीम का कोई खिलाड़ी उन्हें पुनः प्राप्त करने से पहले छू ले, तो क्या होगा?</v>
      </c>
      <c r="H107" s="5" t="str">
        <f>IFERROR(__xludf.DUMMYFUNCTION("GOOGLETRANSLATE(C107, ""en"", ""hi"")"),"A) पत्थर बदल दिए जाते हैं और बचाव करने वाली टीम अपनी बारी खो देती है। , B) पत्थर नीचे ही रह जाते हैं। , C) खेल बिना पेनल्टी के जारी रहता है। , D) आक्रमण करने वाली टीम को एक अतिरिक्त मौका मिलता है।")</f>
        <v>A) पत्थर बदल दिए जाते हैं और बचाव करने वाली टीम अपनी बारी खो देती है। , B) पत्थर नीचे ही रह जाते हैं। , C) खेल बिना पेनल्टी के जारी रहता है। , D) आक्रमण करने वाली टीम को एक अतिरिक्त मौका मिलता है।</v>
      </c>
      <c r="I107" s="5" t="str">
        <f>IFERROR(__xludf.DUMMYFUNCTION("GOOGLETRANSLATE(D107, ""en"", ""hi"")"),"A) पत्थर बदल दिए जाते हैं और बचाव करने वाली टीम अपनी बारी खो देती है।")</f>
        <v>A) पत्थर बदल दिए जाते हैं और बचाव करने वाली टीम अपनी बारी खो देती है।</v>
      </c>
    </row>
    <row r="108" ht="22.5" customHeight="1">
      <c r="A108" s="2">
        <v>107.0</v>
      </c>
      <c r="B108" s="3" t="s">
        <v>4221</v>
      </c>
      <c r="C108" s="3" t="s">
        <v>4177</v>
      </c>
      <c r="D108" s="3" t="s">
        <v>4003</v>
      </c>
      <c r="F108" s="5" t="str">
        <f>IFERROR(__xludf.DUMMYFUNCTION("GOOGLETRANSLATE(A108, ""en"", ""hi"")"),"107")</f>
        <v>107</v>
      </c>
      <c r="G108" s="5" t="str">
        <f>IFERROR(__xludf.DUMMYFUNCTION("GOOGLETRANSLATE(B108, ""en"", ""hi"")"),"लागोरी मैच के दौरान, यदि गेंद फेंकी जाती है और पत्थर पर गिरती है, लेकिन पत्थर नहीं गिरता है, तो आक्रमणकारी टीम के लिए परिणाम क्या होगा?")</f>
        <v>लागोरी मैच के दौरान, यदि गेंद फेंकी जाती है और पत्थर पर गिरती है, लेकिन पत्थर नहीं गिरता है, तो आक्रमणकारी टीम के लिए परिणाम क्या होगा?</v>
      </c>
      <c r="H108" s="5" t="str">
        <f>IFERROR(__xludf.DUMMYFUNCTION("GOOGLETRANSLATE(C108, ""en"", ""hi"")"),"A) आक्रमणकारी टीम अपनी बारी खो देती है। , B) पत्थर को पुनः स्थापित कर दिया जाता है। , C) गेंद को पुनः फेंक दिया जाता है। , D) खेल रोक दिया जाता है।")</f>
        <v>A) आक्रमणकारी टीम अपनी बारी खो देती है। , B) पत्थर को पुनः स्थापित कर दिया जाता है। , C) गेंद को पुनः फेंक दिया जाता है। , D) खेल रोक दिया जाता है।</v>
      </c>
      <c r="I108" s="5" t="str">
        <f>IFERROR(__xludf.DUMMYFUNCTION("GOOGLETRANSLATE(D108, ""en"", ""hi"")"),"A) आक्रमणकारी टीम अपनी बारी खो देती है।")</f>
        <v>A) आक्रमणकारी टीम अपनी बारी खो देती है।</v>
      </c>
    </row>
    <row r="109" ht="22.5" customHeight="1">
      <c r="A109" s="2">
        <v>108.0</v>
      </c>
      <c r="B109" s="3" t="s">
        <v>4222</v>
      </c>
      <c r="C109" s="3" t="s">
        <v>4205</v>
      </c>
      <c r="D109" s="3" t="s">
        <v>4003</v>
      </c>
      <c r="F109" s="5" t="str">
        <f>IFERROR(__xludf.DUMMYFUNCTION("GOOGLETRANSLATE(A109, ""en"", ""hi"")"),"108")</f>
        <v>108</v>
      </c>
      <c r="G109" s="5" t="str">
        <f>IFERROR(__xludf.DUMMYFUNCTION("GOOGLETRANSLATE(B109, ""en"", ""hi"")"),"लागोरी में, यदि आक्रमणकारी टीम का कोई खिलाड़ी गेंद फेंकता है और गेंद ऐसे क्षेत्र में गिरती है, जहां से उसे वापस लाना बहुत कठिन है, तो परिणाम क्या होगा?")</f>
        <v>लागोरी में, यदि आक्रमणकारी टीम का कोई खिलाड़ी गेंद फेंकता है और गेंद ऐसे क्षेत्र में गिरती है, जहां से उसे वापस लाना बहुत कठिन है, तो परिणाम क्या होगा?</v>
      </c>
      <c r="H109" s="5" t="str">
        <f>IFERROR(__xludf.DUMMYFUNCTION("GOOGLETRANSLATE(C109,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09" s="5" t="str">
        <f>IFERROR(__xludf.DUMMYFUNCTION("GOOGLETRANSLATE(D109, ""en"", ""hi"")"),"A) आक्रमणकारी टीम अपनी बारी खो देती है।")</f>
        <v>A) आक्रमणकारी टीम अपनी बारी खो देती है।</v>
      </c>
    </row>
    <row r="110" ht="22.5" customHeight="1">
      <c r="A110" s="2">
        <v>109.0</v>
      </c>
      <c r="B110" s="3" t="s">
        <v>4166</v>
      </c>
      <c r="C110" s="3" t="s">
        <v>4167</v>
      </c>
      <c r="D110" s="3" t="s">
        <v>3988</v>
      </c>
      <c r="F110" s="5" t="str">
        <f>IFERROR(__xludf.DUMMYFUNCTION("GOOGLETRANSLATE(A110, ""en"", ""hi"")"),"109")</f>
        <v>109</v>
      </c>
      <c r="G110" s="5" t="str">
        <f>IFERROR(__xludf.DUMMYFUNCTION("GOOGLETRANSLATE(B110, ""en"", ""hi"")"),"यदि लागोरी खेल खेला जा रहा हो और कोई खिलाड़ी जानबूझकर गेंद से पत्थर मारता हुआ पाया जाए तो क्या निर्णय होगा?")</f>
        <v>यदि लागोरी खेल खेला जा रहा हो और कोई खिलाड़ी जानबूझकर गेंद से पत्थर मारता हुआ पाया जाए तो क्या निर्णय होगा?</v>
      </c>
      <c r="H110" s="5" t="str">
        <f>IFERROR(__xludf.DUMMYFUNCTION("GOOGLETRANSLATE(C110, ""en"", ""hi"")"),"A) टीम अपनी बारी खो देती है। , B) खिलाड़ी को मैच से अयोग्य घोषित कर दिया जाता है। , C) पत्थरों को खेल से हटा दिया जाता है। , D) खेल को पुनः शुरू किया जाता है।")</f>
        <v>A) टीम अपनी बारी खो देती है। , B) खिलाड़ी को मैच से अयोग्य घोषित कर दिया जाता है। , C) पत्थरों को खेल से हटा दिया जाता है। , D) खेल को पुनः शुरू किया जाता है।</v>
      </c>
      <c r="I110" s="5" t="str">
        <f>IFERROR(__xludf.DUMMYFUNCTION("GOOGLETRANSLATE(D110, ""en"", ""hi"")"),"A) टीम अपनी बारी खो देती है।")</f>
        <v>A) टीम अपनी बारी खो देती है।</v>
      </c>
    </row>
    <row r="111" ht="22.5" customHeight="1">
      <c r="A111" s="2">
        <v>110.0</v>
      </c>
      <c r="B111" s="3" t="s">
        <v>4223</v>
      </c>
      <c r="C111" s="3" t="s">
        <v>4224</v>
      </c>
      <c r="D111" s="3" t="s">
        <v>4225</v>
      </c>
      <c r="F111" s="5" t="str">
        <f>IFERROR(__xludf.DUMMYFUNCTION("GOOGLETRANSLATE(A111, ""en"", ""hi"")"),"110")</f>
        <v>110</v>
      </c>
      <c r="G111" s="5" t="str">
        <f>IFERROR(__xludf.DUMMYFUNCTION("GOOGLETRANSLATE(B111, ""en"", ""hi"")"),"लागोरी में, यदि पत्थर गिर जाते हैं और बचाव करने वाली टीम का कोई खिलाड़ी उन्हें पूरी तरह से बहाल होने से पहले छू लेता है, तो नियम क्या है?")</f>
        <v>लागोरी में, यदि पत्थर गिर जाते हैं और बचाव करने वाली टीम का कोई खिलाड़ी उन्हें पूरी तरह से बहाल होने से पहले छू लेता है, तो नियम क्या है?</v>
      </c>
      <c r="H111" s="5" t="str">
        <f>IFERROR(__xludf.DUMMYFUNCTION("GOOGLETRANSLATE(C111, ""en"", ""hi"")"),"ए) पत्थरों को बदल दिया जाता है और बारी जब्त कर ली जाती है।, बी) पत्थर नीचे रहते हैं।, सी) खेल बिना दंड के जारी रहता है।, डी) बचाव करने वाली टीम को एक अतिरिक्त बारी मिलती है।")</f>
        <v>ए) पत्थरों को बदल दिया जाता है और बारी जब्त कर ली जाती है।, बी) पत्थर नीचे रहते हैं।, सी) खेल बिना दंड के जारी रहता है।, डी) बचाव करने वाली टीम को एक अतिरिक्त बारी मिलती है।</v>
      </c>
      <c r="I111" s="5" t="str">
        <f>IFERROR(__xludf.DUMMYFUNCTION("GOOGLETRANSLATE(D111, ""en"", ""hi"")"),"ए) पत्थर बदल दिए जाते हैं और बारी जब्त कर ली जाती है।")</f>
        <v>ए) पत्थर बदल दिए जाते हैं और बारी जब्त कर ली जाती है।</v>
      </c>
    </row>
    <row r="112" ht="22.5" customHeight="1">
      <c r="A112" s="2">
        <v>111.0</v>
      </c>
      <c r="B112" s="3" t="s">
        <v>4226</v>
      </c>
      <c r="C112" s="3" t="s">
        <v>4165</v>
      </c>
      <c r="D112" s="3" t="s">
        <v>4014</v>
      </c>
      <c r="F112" s="5" t="str">
        <f>IFERROR(__xludf.DUMMYFUNCTION("GOOGLETRANSLATE(A112, ""en"", ""hi"")"),"111")</f>
        <v>111</v>
      </c>
      <c r="G112" s="5" t="str">
        <f>IFERROR(__xludf.DUMMYFUNCTION("GOOGLETRANSLATE(B112, ""en"", ""hi"")"),"लागोरी मैच के दौरान, यदि गेंद फेंकी जाती है और वह पत्थर पर गिरती है, लेकिन उसे गिरा नहीं पाती है, तो आक्रमणकारी टीम के लिए क्या प्रक्रिया है?")</f>
        <v>लागोरी मैच के दौरान, यदि गेंद फेंकी जाती है और वह पत्थर पर गिरती है, लेकिन उसे गिरा नहीं पाती है, तो आक्रमणकारी टीम के लिए क्या प्रक्रिया है?</v>
      </c>
      <c r="H112" s="5" t="str">
        <f>IFERROR(__xludf.DUMMYFUNCTION("GOOGLETRANSLATE(C112, ""en"", ""hi"")"),"ए) बारी जब्त कर ली जाती है।, बी) पत्थर अपनी स्थिति में रहता है।, सी) खेल रोक दिया जाता है।, डी) पत्थर फिर से स्थापित कर दिए जाते हैं।")</f>
        <v>ए) बारी जब्त कर ली जाती है।, बी) पत्थर अपनी स्थिति में रहता है।, सी) खेल रोक दिया जाता है।, डी) पत्थर फिर से स्थापित कर दिए जाते हैं।</v>
      </c>
      <c r="I112" s="5" t="str">
        <f>IFERROR(__xludf.DUMMYFUNCTION("GOOGLETRANSLATE(D112, ""en"", ""hi"")"),"A) बारी जब्त कर ली जाती है।")</f>
        <v>A) बारी जब्त कर ली जाती है।</v>
      </c>
    </row>
    <row r="113" ht="22.5" customHeight="1">
      <c r="A113" s="2">
        <v>112.0</v>
      </c>
      <c r="B113" s="3" t="s">
        <v>4227</v>
      </c>
      <c r="C113" s="3" t="s">
        <v>4162</v>
      </c>
      <c r="D113" s="3" t="s">
        <v>4138</v>
      </c>
      <c r="F113" s="5" t="str">
        <f>IFERROR(__xludf.DUMMYFUNCTION("GOOGLETRANSLATE(A113, ""en"", ""hi"")"),"112")</f>
        <v>112</v>
      </c>
      <c r="G113" s="5" t="str">
        <f>IFERROR(__xludf.DUMMYFUNCTION("GOOGLETRANSLATE(B113, ""en"", ""hi"")"),"लागोरी में, यदि गेंद फेंकी जाए और पत्थरों से टकराए, लेकिन कोई भी पत्थर न गिरे, तो आगे क्या होगा?")</f>
        <v>लागोरी में, यदि गेंद फेंकी जाए और पत्थरों से टकराए, लेकिन कोई भी पत्थर न गिरे, तो आगे क्या होगा?</v>
      </c>
      <c r="H113" s="5" t="str">
        <f>IFERROR(__xludf.DUMMYFUNCTION("GOOGLETRANSLATE(C113, ""en"", ""hi"")"),"ए) बारी को असफल माना जाता है और जब्त कर लिया जाता है।, बी) पत्थरों को बहाल कर दिया जाता है।, सी) गेंद को फिर से फेंक दिया जाता है।, डी) खेल को रोक दिया जाता है।")</f>
        <v>ए) बारी को असफल माना जाता है और जब्त कर लिया जाता है।, बी) पत्थरों को बहाल कर दिया जाता है।, सी) गेंद को फिर से फेंक दिया जाता है।, डी) खेल को रोक दिया जाता है।</v>
      </c>
      <c r="I113" s="5" t="str">
        <f>IFERROR(__xludf.DUMMYFUNCTION("GOOGLETRANSLATE(D113, ""en"", ""hi"")"),"A) बारी को असफल माना जाता है और उसे जब्त कर लिया जाता है।")</f>
        <v>A) बारी को असफल माना जाता है और उसे जब्त कर लिया जाता है।</v>
      </c>
    </row>
    <row r="114" ht="22.5" customHeight="1">
      <c r="A114" s="2">
        <v>113.0</v>
      </c>
      <c r="B114" s="3" t="s">
        <v>4228</v>
      </c>
      <c r="C114" s="3" t="s">
        <v>4129</v>
      </c>
      <c r="D114" s="3" t="s">
        <v>4130</v>
      </c>
      <c r="F114" s="5" t="str">
        <f>IFERROR(__xludf.DUMMYFUNCTION("GOOGLETRANSLATE(A114, ""en"", ""hi"")"),"113")</f>
        <v>113</v>
      </c>
      <c r="G114" s="5" t="str">
        <f>IFERROR(__xludf.DUMMYFUNCTION("GOOGLETRANSLATE(B114, ""en"", ""hi"")"),"यदि लागोरी खेल खेला जा रहा हो और गेंद गलती से सीमा से बाहर फेंक दी जाए तो क्या नियम होगा?")</f>
        <v>यदि लागोरी खेल खेला जा रहा हो और गेंद गलती से सीमा से बाहर फेंक दी जाए तो क्या नियम होगा?</v>
      </c>
      <c r="H114" s="5" t="str">
        <f>IFERROR(__xludf.DUMMYFUNCTION("GOOGLETRANSLATE(C114,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14" s="5" t="str">
        <f>IFERROR(__xludf.DUMMYFUNCTION("GOOGLETRANSLATE(D114, ""en"", ""hi"")"),"ए) बारी रद्द कर दी जाती है और गेंद वापस ले ली जाती है।")</f>
        <v>ए) बारी रद्द कर दी जाती है और गेंद वापस ले ली जाती है।</v>
      </c>
    </row>
    <row r="115" ht="22.5" customHeight="1">
      <c r="A115" s="2">
        <v>114.0</v>
      </c>
      <c r="B115" s="3" t="s">
        <v>4229</v>
      </c>
      <c r="C115" s="3" t="s">
        <v>4230</v>
      </c>
      <c r="D115" s="3" t="s">
        <v>4225</v>
      </c>
      <c r="F115" s="5" t="str">
        <f>IFERROR(__xludf.DUMMYFUNCTION("GOOGLETRANSLATE(A115, ""en"", ""hi"")"),"114")</f>
        <v>114</v>
      </c>
      <c r="G115" s="5" t="str">
        <f>IFERROR(__xludf.DUMMYFUNCTION("GOOGLETRANSLATE(B115, ""en"", ""hi"")"),"लागोरी में यदि पत्थर गिर जाएं और गेंद पुनः उन पर लगे तो क्या करना चाहिए?")</f>
        <v>लागोरी में यदि पत्थर गिर जाएं और गेंद पुनः उन पर लगे तो क्या करना चाहिए?</v>
      </c>
      <c r="H115" s="5" t="str">
        <f>IFERROR(__xludf.DUMMYFUNCTION("GOOGLETRANSLATE(C115, ""en"", ""hi"")"),"ए) पत्थरों को बदल दिया जाता है और बारी जब्त कर ली जाती है।, बी) पत्थर नीचे रहते हैं।, सी) गेंद को खेल से बाहर माना जाता है।, डी) खेल रोक दिया जाता है।")</f>
        <v>ए) पत्थरों को बदल दिया जाता है और बारी जब्त कर ली जाती है।, बी) पत्थर नीचे रहते हैं।, सी) गेंद को खेल से बाहर माना जाता है।, डी) खेल रोक दिया जाता है।</v>
      </c>
      <c r="I115" s="5" t="str">
        <f>IFERROR(__xludf.DUMMYFUNCTION("GOOGLETRANSLATE(D115, ""en"", ""hi"")"),"ए) पत्थर बदल दिए जाते हैं और बारी जब्त कर ली जाती है।")</f>
        <v>ए) पत्थर बदल दिए जाते हैं और बारी जब्त कर ली जाती है।</v>
      </c>
    </row>
    <row r="116" ht="22.5" customHeight="1">
      <c r="A116" s="2">
        <v>115.0</v>
      </c>
      <c r="B116" s="3" t="s">
        <v>4231</v>
      </c>
      <c r="C116" s="3" t="s">
        <v>4177</v>
      </c>
      <c r="D116" s="3" t="s">
        <v>4003</v>
      </c>
      <c r="F116" s="5" t="str">
        <f>IFERROR(__xludf.DUMMYFUNCTION("GOOGLETRANSLATE(A116, ""en"", ""hi"")"),"115")</f>
        <v>115</v>
      </c>
      <c r="G116" s="5" t="str">
        <f>IFERROR(__xludf.DUMMYFUNCTION("GOOGLETRANSLATE(B116, ""en"", ""hi"")"),"लागोरी मैच के दौरान, यदि आक्रमणकारी टीम का कोई खिलाड़ी गलती से गेंद से पत्थर पर टकराता है, लेकिन उसे नीचे नहीं गिरा पाता, तो परिणाम क्या होगा?")</f>
        <v>लागोरी मैच के दौरान, यदि आक्रमणकारी टीम का कोई खिलाड़ी गलती से गेंद से पत्थर पर टकराता है, लेकिन उसे नीचे नहीं गिरा पाता, तो परिणाम क्या होगा?</v>
      </c>
      <c r="H116" s="5" t="str">
        <f>IFERROR(__xludf.DUMMYFUNCTION("GOOGLETRANSLATE(C116, ""en"", ""hi"")"),"A) आक्रमणकारी टीम अपनी बारी खो देती है। , B) पत्थर को पुनः स्थापित कर दिया जाता है। , C) गेंद को पुनः फेंक दिया जाता है। , D) खेल रोक दिया जाता है।")</f>
        <v>A) आक्रमणकारी टीम अपनी बारी खो देती है। , B) पत्थर को पुनः स्थापित कर दिया जाता है। , C) गेंद को पुनः फेंक दिया जाता है। , D) खेल रोक दिया जाता है।</v>
      </c>
      <c r="I116" s="5" t="str">
        <f>IFERROR(__xludf.DUMMYFUNCTION("GOOGLETRANSLATE(D116, ""en"", ""hi"")"),"A) आक्रमणकारी टीम अपनी बारी खो देती है।")</f>
        <v>A) आक्रमणकारी टीम अपनी बारी खो देती है।</v>
      </c>
    </row>
    <row r="117" ht="22.5" customHeight="1">
      <c r="A117" s="2">
        <v>116.0</v>
      </c>
      <c r="B117" s="3" t="s">
        <v>4232</v>
      </c>
      <c r="C117" s="3" t="s">
        <v>4199</v>
      </c>
      <c r="D117" s="3" t="s">
        <v>4105</v>
      </c>
      <c r="F117" s="5" t="str">
        <f>IFERROR(__xludf.DUMMYFUNCTION("GOOGLETRANSLATE(A117, ""en"", ""hi"")"),"116")</f>
        <v>116</v>
      </c>
      <c r="G117" s="5" t="str">
        <f>IFERROR(__xludf.DUMMYFUNCTION("GOOGLETRANSLATE(B117, ""en"", ""hi"")"),"यदि लागोरी खेल खेला जाता है और बचाव करने वाली टीम द्वारा समय सीमा के भीतर सभी पत्थरों को पुनः प्राप्त नहीं किया जाता है, तो सामान्य परिणाम क्या होगा?")</f>
        <v>यदि लागोरी खेल खेला जाता है और बचाव करने वाली टीम द्वारा समय सीमा के भीतर सभी पत्थरों को पुनः प्राप्त नहीं किया जाता है, तो सामान्य परिणाम क्या होगा?</v>
      </c>
      <c r="H117" s="5" t="str">
        <f>IFERROR(__xludf.DUMMYFUNCTION("GOOGLETRANSLATE(C117, ""en"", ""hi"")"),"A)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f>
        <v>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v>
      </c>
      <c r="I117" s="5" t="str">
        <f>IFERROR(__xludf.DUMMYFUNCTION("GOOGLETRANSLATE(D117, ""en"", ""hi"")"),"A) खेल को अपूर्ण घोषित किया जाता है तथा उसे पुनः खेला जा सकता है।")</f>
        <v>A) खेल को अपूर्ण घोषित किया जाता है तथा उसे पुनः खेला जा सकता है।</v>
      </c>
    </row>
    <row r="118" ht="22.5" customHeight="1">
      <c r="A118" s="2">
        <v>117.0</v>
      </c>
      <c r="B118" s="3" t="s">
        <v>4233</v>
      </c>
      <c r="C118" s="3" t="s">
        <v>4234</v>
      </c>
      <c r="D118" s="3" t="s">
        <v>4003</v>
      </c>
      <c r="F118" s="5" t="str">
        <f>IFERROR(__xludf.DUMMYFUNCTION("GOOGLETRANSLATE(A118, ""en"", ""hi"")"),"117")</f>
        <v>117</v>
      </c>
      <c r="G118" s="5" t="str">
        <f>IFERROR(__xludf.DUMMYFUNCTION("GOOGLETRANSLATE(B118, ""en"", ""hi"")"),"लागोरी में, यदि गेंद फेंकी जाए और वह पत्थर पर गिरे, लेकिन पत्थर को नीचे न गिराए, तो आगे क्या होगा?")</f>
        <v>लागोरी में, यदि गेंद फेंकी जाए और वह पत्थर पर गिरे, लेकिन पत्थर को नीचे न गिराए, तो आगे क्या होगा?</v>
      </c>
      <c r="H118" s="5" t="str">
        <f>IFERROR(__xludf.DUMMYFUNCTION("GOOGLETRANSLATE(C118, ""en"", ""hi"")"),"A) आक्रमणकारी टीम अपनी बारी खो देती है। , B) पत्थर अपनी स्थिति में बना रहता है। , C) खेल रोक दिया जाता है। , D) पत्थर पुनः स्थापित कर दिए जाते हैं।")</f>
        <v>A) आक्रमणकारी टीम अपनी बारी खो देती है। , B) पत्थर अपनी स्थिति में बना रहता है। , C) खेल रोक दिया जाता है। , D) पत्थर पुनः स्थापित कर दिए जाते हैं।</v>
      </c>
      <c r="I118" s="5" t="str">
        <f>IFERROR(__xludf.DUMMYFUNCTION("GOOGLETRANSLATE(D118, ""en"", ""hi"")"),"A) आक्रमणकारी टीम अपनी बारी खो देती है।")</f>
        <v>A) आक्रमणकारी टीम अपनी बारी खो देती है।</v>
      </c>
    </row>
    <row r="119" ht="22.5" customHeight="1">
      <c r="A119" s="2">
        <v>118.0</v>
      </c>
      <c r="B119" s="3" t="s">
        <v>4159</v>
      </c>
      <c r="C119" s="3" t="s">
        <v>4160</v>
      </c>
      <c r="D119" s="3" t="s">
        <v>4017</v>
      </c>
      <c r="F119" s="5" t="str">
        <f>IFERROR(__xludf.DUMMYFUNCTION("GOOGLETRANSLATE(A119, ""en"", ""hi"")"),"118")</f>
        <v>118</v>
      </c>
      <c r="G119" s="5" t="str">
        <f>IFERROR(__xludf.DUMMYFUNCTION("GOOGLETRANSLATE(B119, ""en"", ""hi"")"),"यदि मौसम की वजह से लागोरी खेल बाधित हो जाए तो सामान्य प्रक्रिया क्या होगी?")</f>
        <v>यदि मौसम की वजह से लागोरी खेल बाधित हो जाए तो सामान्य प्रक्रिया क्या होगी?</v>
      </c>
      <c r="H119" s="5" t="str">
        <f>IFERROR(__xludf.DUMMYFUNCTION("GOOGLETRANSLATE(C119, ""en"", ""hi"")"),"A)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v>
      </c>
      <c r="I119" s="5" t="str">
        <f>IFERROR(__xludf.DUMMYFUNCTION("GOOGLETRANSLATE(D119, ""en"", ""hi"")"),"A) खेल को तब तक रोक दिया जाता है जब तक कि स्थिति में सुधार न हो जाए।")</f>
        <v>A) खेल को तब तक रोक दिया जाता है जब तक कि स्थिति में सुधार न हो जाए।</v>
      </c>
    </row>
    <row r="120" ht="22.5" customHeight="1">
      <c r="A120" s="2">
        <v>119.0</v>
      </c>
      <c r="B120" s="3" t="s">
        <v>4235</v>
      </c>
      <c r="C120" s="3" t="s">
        <v>4152</v>
      </c>
      <c r="D120" s="3" t="s">
        <v>4130</v>
      </c>
      <c r="F120" s="5" t="str">
        <f>IFERROR(__xludf.DUMMYFUNCTION("GOOGLETRANSLATE(A120, ""en"", ""hi"")"),"119")</f>
        <v>119</v>
      </c>
      <c r="G120" s="5" t="str">
        <f>IFERROR(__xludf.DUMMYFUNCTION("GOOGLETRANSLATE(B120, ""en"", ""hi"")"),"लागोरी में यदि कोई खिलाड़ी गेंद फेंकता है और वह किसी पत्थर से टकराए बिना खेल क्षेत्र के बाहर गिर जाती है, तो क्या किया जाना चाहिए?")</f>
        <v>लागोरी में यदि कोई खिलाड़ी गेंद फेंकता है और वह किसी पत्थर से टकराए बिना खेल क्षेत्र के बाहर गिर जाती है, तो क्या किया जाना चाहिए?</v>
      </c>
      <c r="H120" s="5" t="str">
        <f>IFERROR(__xludf.DUMMYFUNCTION("GOOGLETRANSLATE(C120, ""en"", ""hi"")"),"ए) बारी जब्त कर ली जाती है और गेंद वापस ले ली जाती है।, बी) खेल बिना दंड के जारी रहता है।, सी) गेंद को एक नई गेंद से बदल दिया जाता है।, डी) खेल रोक दिया जाता है।")</f>
        <v>ए) बारी जब्त कर ली जाती है और गेंद वापस ले ली जाती है।, बी) खेल बिना दंड के जारी रहता है।, सी) गेंद को एक नई गेंद से बदल दिया जाता है।, डी) खेल रोक दिया जाता है।</v>
      </c>
      <c r="I120" s="5" t="str">
        <f>IFERROR(__xludf.DUMMYFUNCTION("GOOGLETRANSLATE(D120, ""en"", ""hi"")"),"ए) बारी रद्द कर दी जाती है और गेंद वापस ले ली जाती है।")</f>
        <v>ए) बारी रद्द कर दी जाती है और गेंद वापस ले ली जाती है।</v>
      </c>
    </row>
    <row r="121" ht="22.5" customHeight="1">
      <c r="A121" s="2">
        <v>120.0</v>
      </c>
      <c r="B121" s="3" t="s">
        <v>4236</v>
      </c>
      <c r="C121" s="3" t="s">
        <v>4205</v>
      </c>
      <c r="D121" s="3" t="s">
        <v>4003</v>
      </c>
      <c r="F121" s="5" t="str">
        <f>IFERROR(__xludf.DUMMYFUNCTION("GOOGLETRANSLATE(A121, ""en"", ""hi"")"),"120")</f>
        <v>120</v>
      </c>
      <c r="G121" s="5" t="str">
        <f>IFERROR(__xludf.DUMMYFUNCTION("GOOGLETRANSLATE(B121, ""en"", ""hi"")"),"लागोरी मैच के दौरान यदि गेंद फेंकी जाए और वह ऐसी जगह गिरे जहां से उसे वापस लाना मुश्किल हो, तो परिणाम क्या होगा?")</f>
        <v>लागोरी मैच के दौरान यदि गेंद फेंकी जाए और वह ऐसी जगह गिरे जहां से उसे वापस लाना मुश्किल हो, तो परिणाम क्या होगा?</v>
      </c>
      <c r="H121" s="5" t="str">
        <f>IFERROR(__xludf.DUMMYFUNCTION("GOOGLETRANSLATE(C121,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21" s="5" t="str">
        <f>IFERROR(__xludf.DUMMYFUNCTION("GOOGLETRANSLATE(D121, ""en"", ""hi"")"),"A) आक्रमणकारी टीम अपनी बारी खो देती है।")</f>
        <v>A) आक्रमणकारी टीम अपनी बारी खो देती है।</v>
      </c>
    </row>
    <row r="122" ht="22.5" customHeight="1">
      <c r="A122" s="2">
        <v>121.0</v>
      </c>
      <c r="B122" s="3" t="s">
        <v>4166</v>
      </c>
      <c r="C122" s="3" t="s">
        <v>4167</v>
      </c>
      <c r="D122" s="3" t="s">
        <v>3988</v>
      </c>
      <c r="F122" s="5" t="str">
        <f>IFERROR(__xludf.DUMMYFUNCTION("GOOGLETRANSLATE(A122, ""en"", ""hi"")"),"121")</f>
        <v>121</v>
      </c>
      <c r="G122" s="5" t="str">
        <f>IFERROR(__xludf.DUMMYFUNCTION("GOOGLETRANSLATE(B122, ""en"", ""hi"")"),"यदि लागोरी खेल खेला जा रहा हो और कोई खिलाड़ी जानबूझकर गेंद से पत्थर मारता हुआ पाया जाए तो क्या निर्णय होगा?")</f>
        <v>यदि लागोरी खेल खेला जा रहा हो और कोई खिलाड़ी जानबूझकर गेंद से पत्थर मारता हुआ पाया जाए तो क्या निर्णय होगा?</v>
      </c>
      <c r="H122" s="5" t="str">
        <f>IFERROR(__xludf.DUMMYFUNCTION("GOOGLETRANSLATE(C122, ""en"", ""hi"")"),"A) टीम अपनी बारी खो देती है। , B) खिलाड़ी को मैच से अयोग्य घोषित कर दिया जाता है। , C) पत्थरों को खेल से हटा दिया जाता है। , D) खेल को पुनः शुरू किया जाता है।")</f>
        <v>A) टीम अपनी बारी खो देती है। , B) खिलाड़ी को मैच से अयोग्य घोषित कर दिया जाता है। , C) पत्थरों को खेल से हटा दिया जाता है। , D) खेल को पुनः शुरू किया जाता है।</v>
      </c>
      <c r="I122" s="5" t="str">
        <f>IFERROR(__xludf.DUMMYFUNCTION("GOOGLETRANSLATE(D122, ""en"", ""hi"")"),"A) टीम अपनी बारी खो देती है।")</f>
        <v>A) टीम अपनी बारी खो देती है।</v>
      </c>
    </row>
    <row r="123" ht="22.5" customHeight="1">
      <c r="A123" s="2">
        <v>122.0</v>
      </c>
      <c r="B123" s="3" t="s">
        <v>4237</v>
      </c>
      <c r="C123" s="3" t="s">
        <v>4165</v>
      </c>
      <c r="D123" s="3" t="s">
        <v>4014</v>
      </c>
      <c r="F123" s="5" t="str">
        <f>IFERROR(__xludf.DUMMYFUNCTION("GOOGLETRANSLATE(A123, ""en"", ""hi"")"),"122")</f>
        <v>122</v>
      </c>
      <c r="G123" s="5" t="str">
        <f>IFERROR(__xludf.DUMMYFUNCTION("GOOGLETRANSLATE(B123, ""en"", ""hi"")"),"लागोरी में, यदि गेंद फेंकी जाती है और वह पत्थर पर गिरती है लेकिन पत्थर नहीं गिरता है, तो आक्रमणकारी टीम के लिए क्या प्रक्रिया है?")</f>
        <v>लागोरी में, यदि गेंद फेंकी जाती है और वह पत्थर पर गिरती है लेकिन पत्थर नहीं गिरता है, तो आक्रमणकारी टीम के लिए क्या प्रक्रिया है?</v>
      </c>
      <c r="H123" s="5" t="str">
        <f>IFERROR(__xludf.DUMMYFUNCTION("GOOGLETRANSLATE(C123, ""en"", ""hi"")"),"ए) बारी जब्त कर ली जाती है।, बी) पत्थर अपनी स्थिति में रहता है।, सी) खेल रोक दिया जाता है।, डी) पत्थर फिर से स्थापित कर दिए जाते हैं।")</f>
        <v>ए) बारी जब्त कर ली जाती है।, बी) पत्थर अपनी स्थिति में रहता है।, सी) खेल रोक दिया जाता है।, डी) पत्थर फिर से स्थापित कर दिए जाते हैं।</v>
      </c>
      <c r="I123" s="5" t="str">
        <f>IFERROR(__xludf.DUMMYFUNCTION("GOOGLETRANSLATE(D123, ""en"", ""hi"")"),"A) बारी जब्त कर ली जाती है।")</f>
        <v>A) बारी जब्त कर ली जाती है।</v>
      </c>
    </row>
    <row r="124" ht="22.5" customHeight="1">
      <c r="A124" s="2">
        <v>123.0</v>
      </c>
      <c r="B124" s="3" t="s">
        <v>4228</v>
      </c>
      <c r="C124" s="3" t="s">
        <v>4129</v>
      </c>
      <c r="D124" s="3" t="s">
        <v>4130</v>
      </c>
      <c r="F124" s="5" t="str">
        <f>IFERROR(__xludf.DUMMYFUNCTION("GOOGLETRANSLATE(A124, ""en"", ""hi"")"),"123")</f>
        <v>123</v>
      </c>
      <c r="G124" s="5" t="str">
        <f>IFERROR(__xludf.DUMMYFUNCTION("GOOGLETRANSLATE(B124, ""en"", ""hi"")"),"यदि लागोरी खेल खेला जा रहा हो और गेंद गलती से सीमा से बाहर फेंक दी जाए तो क्या नियम होगा?")</f>
        <v>यदि लागोरी खेल खेला जा रहा हो और गेंद गलती से सीमा से बाहर फेंक दी जाए तो क्या नियम होगा?</v>
      </c>
      <c r="H124" s="5" t="str">
        <f>IFERROR(__xludf.DUMMYFUNCTION("GOOGLETRANSLATE(C124,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24" s="5" t="str">
        <f>IFERROR(__xludf.DUMMYFUNCTION("GOOGLETRANSLATE(D124, ""en"", ""hi"")"),"ए) बारी रद्द कर दी जाती है और गेंद वापस ले ली जाती है।")</f>
        <v>ए) बारी रद्द कर दी जाती है और गेंद वापस ले ली जाती है।</v>
      </c>
    </row>
    <row r="125" ht="22.5" customHeight="1">
      <c r="A125" s="2">
        <v>124.0</v>
      </c>
      <c r="B125" s="3" t="s">
        <v>4238</v>
      </c>
      <c r="C125" s="3" t="s">
        <v>4239</v>
      </c>
      <c r="D125" s="3" t="s">
        <v>4240</v>
      </c>
      <c r="F125" s="5" t="str">
        <f>IFERROR(__xludf.DUMMYFUNCTION("GOOGLETRANSLATE(A125, ""en"", ""hi"")"),"124")</f>
        <v>124</v>
      </c>
      <c r="G125" s="5" t="str">
        <f>IFERROR(__xludf.DUMMYFUNCTION("GOOGLETRANSLATE(B125, ""en"", ""hi"")"),"लागोरी मैच के दौरान यदि गेंद किसी पत्थर से टकराती है और पत्थर गिर जाता है, लेकिन गलती से कोई दूसरा पत्थर हट जाता है, तो क्या किया जाना चाहिए?")</f>
        <v>लागोरी मैच के दौरान यदि गेंद किसी पत्थर से टकराती है और पत्थर गिर जाता है, लेकिन गलती से कोई दूसरा पत्थर हट जाता है, तो क्या किया जाना चाहिए?</v>
      </c>
      <c r="H125" s="5" t="str">
        <f>IFERROR(__xludf.DUMMYFUNCTION("GOOGLETRANSLATE(C125, ""en"", ""hi"")"),"A)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f>
        <v>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v>
      </c>
      <c r="I125" s="5" t="str">
        <f>IFERROR(__xludf.DUMMYFUNCTION("GOOGLETRANSLATE(D125, ""en"", ""hi"")"),"A) हटाये गये पत्थर को पुनः स्थापित कर दिया जाता है और खेल जारी रहता है।")</f>
        <v>A) हटाये गये पत्थर को पुनः स्थापित कर दिया जाता है और खेल जारी रहता है।</v>
      </c>
    </row>
    <row r="126" ht="22.5" customHeight="1">
      <c r="A126" s="2">
        <v>125.0</v>
      </c>
      <c r="B126" s="3" t="s">
        <v>4168</v>
      </c>
      <c r="C126" s="3" t="s">
        <v>4241</v>
      </c>
      <c r="D126" s="3" t="s">
        <v>4193</v>
      </c>
      <c r="F126" s="5" t="str">
        <f>IFERROR(__xludf.DUMMYFUNCTION("GOOGLETRANSLATE(A126, ""en"", ""hi"")"),"125")</f>
        <v>125</v>
      </c>
      <c r="G126" s="5" t="str">
        <f>IFERROR(__xludf.DUMMYFUNCTION("GOOGLETRANSLATE(B126, ""en"", ""hi"")"),"लागोरी में, यदि कोई पत्थर गिर जाए और बचाव करने वाली टीम का कोई खिलाड़ी उसे पूरी तरह से बहाल होने से पहले छू ले, तो क्या नियम है?")</f>
        <v>लागोरी में, यदि कोई पत्थर गिर जाए और बचाव करने वाली टीम का कोई खिलाड़ी उसे पूरी तरह से बहाल होने से पहले छू ले, तो क्या नियम है?</v>
      </c>
      <c r="H126" s="5" t="str">
        <f>IFERROR(__xludf.DUMMYFUNCTION("GOOGLETRANSLATE(C126, ""en"", ""hi"")"),"A)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f>
        <v>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v>
      </c>
      <c r="I126" s="5" t="str">
        <f>IFERROR(__xludf.DUMMYFUNCTION("GOOGLETRANSLATE(D126, ""en"", ""hi"")"),"A) पत्थर को पुनः स्थापित कर दिया जाता है और बचाव करने वाली टीम अपनी बारी खो देती है।")</f>
        <v>A) पत्थर को पुनः स्थापित कर दिया जाता है और बचाव करने वाली टीम अपनी बारी खो देती है।</v>
      </c>
    </row>
    <row r="127" ht="22.5" customHeight="1">
      <c r="A127" s="2">
        <v>126.0</v>
      </c>
      <c r="B127" s="3" t="s">
        <v>4232</v>
      </c>
      <c r="C127" s="3" t="s">
        <v>4199</v>
      </c>
      <c r="D127" s="3" t="s">
        <v>4105</v>
      </c>
      <c r="F127" s="5" t="str">
        <f>IFERROR(__xludf.DUMMYFUNCTION("GOOGLETRANSLATE(A127, ""en"", ""hi"")"),"126")</f>
        <v>126</v>
      </c>
      <c r="G127" s="5" t="str">
        <f>IFERROR(__xludf.DUMMYFUNCTION("GOOGLETRANSLATE(B127, ""en"", ""hi"")"),"यदि लागोरी खेल खेला जाता है और बचाव करने वाली टीम द्वारा समय सीमा के भीतर सभी पत्थरों को पुनः प्राप्त नहीं किया जाता है, तो सामान्य परिणाम क्या होगा?")</f>
        <v>यदि लागोरी खेल खेला जाता है और बचाव करने वाली टीम द्वारा समय सीमा के भीतर सभी पत्थरों को पुनः प्राप्त नहीं किया जाता है, तो सामान्य परिणाम क्या होगा?</v>
      </c>
      <c r="H127" s="5" t="str">
        <f>IFERROR(__xludf.DUMMYFUNCTION("GOOGLETRANSLATE(C127, ""en"", ""hi"")"),"A)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f>
        <v>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v>
      </c>
      <c r="I127" s="5" t="str">
        <f>IFERROR(__xludf.DUMMYFUNCTION("GOOGLETRANSLATE(D127, ""en"", ""hi"")"),"A) खेल को अपूर्ण घोषित किया जाता है तथा उसे पुनः खेला जा सकता है।")</f>
        <v>A) खेल को अपूर्ण घोषित किया जाता है तथा उसे पुनः खेला जा सकता है।</v>
      </c>
    </row>
    <row r="128" ht="22.5" customHeight="1">
      <c r="A128" s="2">
        <v>127.0</v>
      </c>
      <c r="B128" s="3" t="s">
        <v>4242</v>
      </c>
      <c r="C128" s="3" t="s">
        <v>4243</v>
      </c>
      <c r="D128" s="3" t="s">
        <v>4244</v>
      </c>
      <c r="F128" s="5" t="str">
        <f>IFERROR(__xludf.DUMMYFUNCTION("GOOGLETRANSLATE(A128, ""en"", ""hi"")"),"127")</f>
        <v>127</v>
      </c>
      <c r="G128" s="5" t="str">
        <f>IFERROR(__xludf.DUMMYFUNCTION("GOOGLETRANSLATE(B128, ""en"", ""hi"")"),"लागोरी मैच के दौरान, यदि पत्थरों को गिरा दिया जाए और गेंद किसी ऐसे पत्थर पर गिरे जो अभी भी नीचे है, तो परिणाम क्या होगा?")</f>
        <v>लागोरी मैच के दौरान, यदि पत्थरों को गिरा दिया जाए और गेंद किसी ऐसे पत्थर पर गिरे जो अभी भी नीचे है, तो परिणाम क्या होगा?</v>
      </c>
      <c r="H128" s="5" t="str">
        <f>IFERROR(__xludf.DUMMYFUNCTION("GOOGLETRANSLATE(C128, ""en"", ""hi"")"),"A)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f>
        <v>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v>
      </c>
      <c r="I128" s="5" t="str">
        <f>IFERROR(__xludf.DUMMYFUNCTION("GOOGLETRANSLATE(D128, ""en"", ""hi"")"),"A) पत्थर नीचे ही रहता है और बारी असफल मानी जाती है।")</f>
        <v>A) पत्थर नीचे ही रहता है और बारी असफल मानी जाती है।</v>
      </c>
    </row>
    <row r="129" ht="22.5" customHeight="1">
      <c r="A129" s="2">
        <v>128.0</v>
      </c>
      <c r="B129" s="3" t="s">
        <v>4245</v>
      </c>
      <c r="C129" s="3" t="s">
        <v>4152</v>
      </c>
      <c r="D129" s="3" t="s">
        <v>4130</v>
      </c>
      <c r="F129" s="5" t="str">
        <f>IFERROR(__xludf.DUMMYFUNCTION("GOOGLETRANSLATE(A129, ""en"", ""hi"")"),"128")</f>
        <v>128</v>
      </c>
      <c r="G129" s="5" t="str">
        <f>IFERROR(__xludf.DUMMYFUNCTION("GOOGLETRANSLATE(B129, ""en"", ""hi"")"),"लागोरी में यदि गेंद फेंकी जाए और वह किसी पत्थर से टकराए बिना खेल क्षेत्र के बाहर गिर जाए तो क्या करना चाहिए?")</f>
        <v>लागोरी में यदि गेंद फेंकी जाए और वह किसी पत्थर से टकराए बिना खेल क्षेत्र के बाहर गिर जाए तो क्या करना चाहिए?</v>
      </c>
      <c r="H129" s="5" t="str">
        <f>IFERROR(__xludf.DUMMYFUNCTION("GOOGLETRANSLATE(C129, ""en"", ""hi"")"),"ए) बारी जब्त कर ली जाती है और गेंद वापस ले ली जाती है।, बी) खेल बिना दंड के जारी रहता है।, सी) गेंद को एक नई गेंद से बदल दिया जाता है।, डी) खेल रोक दिया जाता है।")</f>
        <v>ए) बारी जब्त कर ली जाती है और गेंद वापस ले ली जाती है।, बी) खेल बिना दंड के जारी रहता है।, सी) गेंद को एक नई गेंद से बदल दिया जाता है।, डी) खेल रोक दिया जाता है।</v>
      </c>
      <c r="I129" s="5" t="str">
        <f>IFERROR(__xludf.DUMMYFUNCTION("GOOGLETRANSLATE(D129, ""en"", ""hi"")"),"ए) बारी रद्द कर दी जाती है और गेंद वापस ले ली जाती है।")</f>
        <v>ए) बारी रद्द कर दी जाती है और गेंद वापस ले ली जाती है।</v>
      </c>
    </row>
    <row r="130" ht="22.5" customHeight="1">
      <c r="A130" s="2">
        <v>129.0</v>
      </c>
      <c r="B130" s="3" t="s">
        <v>4228</v>
      </c>
      <c r="C130" s="3" t="s">
        <v>4129</v>
      </c>
      <c r="D130" s="3" t="s">
        <v>4130</v>
      </c>
      <c r="F130" s="5" t="str">
        <f>IFERROR(__xludf.DUMMYFUNCTION("GOOGLETRANSLATE(A130, ""en"", ""hi"")"),"129")</f>
        <v>129</v>
      </c>
      <c r="G130" s="5" t="str">
        <f>IFERROR(__xludf.DUMMYFUNCTION("GOOGLETRANSLATE(B130, ""en"", ""hi"")"),"यदि लागोरी खेल खेला जा रहा हो और गेंद गलती से सीमा से बाहर फेंक दी जाए तो क्या नियम होगा?")</f>
        <v>यदि लागोरी खेल खेला जा रहा हो और गेंद गलती से सीमा से बाहर फेंक दी जाए तो क्या नियम होगा?</v>
      </c>
      <c r="H130" s="5" t="str">
        <f>IFERROR(__xludf.DUMMYFUNCTION("GOOGLETRANSLATE(C130,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30" s="5" t="str">
        <f>IFERROR(__xludf.DUMMYFUNCTION("GOOGLETRANSLATE(D130, ""en"", ""hi"")"),"ए) बारी रद्द कर दी जाती है और गेंद वापस ले ली जाती है।")</f>
        <v>ए) बारी रद्द कर दी जाती है और गेंद वापस ले ली जाती है।</v>
      </c>
    </row>
    <row r="131" ht="22.5" customHeight="1">
      <c r="A131" s="2">
        <v>130.0</v>
      </c>
      <c r="B131" s="3" t="s">
        <v>4246</v>
      </c>
      <c r="C131" s="3" t="s">
        <v>4205</v>
      </c>
      <c r="D131" s="3" t="s">
        <v>4003</v>
      </c>
      <c r="F131" s="5" t="str">
        <f>IFERROR(__xludf.DUMMYFUNCTION("GOOGLETRANSLATE(A131, ""en"", ""hi"")"),"130")</f>
        <v>130</v>
      </c>
      <c r="G131" s="5" t="str">
        <f>IFERROR(__xludf.DUMMYFUNCTION("GOOGLETRANSLATE(B131, ""en"", ""hi"")"),"लागोरी मैच के दौरान, यदि आक्रमणकारी टीम का कोई खिलाड़ी गेंद फेंकता है और वह ऐसे क्षेत्र में गिरती है जहां से उसे वापस लाना कठिन हो, तो परिणाम क्या होगा?")</f>
        <v>लागोरी मैच के दौरान, यदि आक्रमणकारी टीम का कोई खिलाड़ी गेंद फेंकता है और वह ऐसे क्षेत्र में गिरती है जहां से उसे वापस लाना कठिन हो, तो परिणाम क्या होगा?</v>
      </c>
      <c r="H131" s="5" t="str">
        <f>IFERROR(__xludf.DUMMYFUNCTION("GOOGLETRANSLATE(C131,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31" s="5" t="str">
        <f>IFERROR(__xludf.DUMMYFUNCTION("GOOGLETRANSLATE(D131, ""en"", ""hi"")"),"A) आक्रमणकारी टीम अपनी बारी खो देती है।")</f>
        <v>A) आक्रमणकारी टीम अपनी बारी खो देती है।</v>
      </c>
    </row>
    <row r="132" ht="22.5" customHeight="1">
      <c r="A132" s="2">
        <v>131.0</v>
      </c>
      <c r="B132" s="3" t="s">
        <v>4232</v>
      </c>
      <c r="C132" s="3" t="s">
        <v>4199</v>
      </c>
      <c r="D132" s="3" t="s">
        <v>4105</v>
      </c>
      <c r="F132" s="5" t="str">
        <f>IFERROR(__xludf.DUMMYFUNCTION("GOOGLETRANSLATE(A132, ""en"", ""hi"")"),"131")</f>
        <v>131</v>
      </c>
      <c r="G132" s="5" t="str">
        <f>IFERROR(__xludf.DUMMYFUNCTION("GOOGLETRANSLATE(B132, ""en"", ""hi"")"),"यदि लागोरी खेल खेला जाता है और बचाव करने वाली टीम द्वारा समय सीमा के भीतर सभी पत्थरों को पुनः प्राप्त नहीं किया जाता है, तो सामान्य परिणाम क्या होगा?")</f>
        <v>यदि लागोरी खेल खेला जाता है और बचाव करने वाली टीम द्वारा समय सीमा के भीतर सभी पत्थरों को पुनः प्राप्त नहीं किया जाता है, तो सामान्य परिणाम क्या होगा?</v>
      </c>
      <c r="H132" s="5" t="str">
        <f>IFERROR(__xludf.DUMMYFUNCTION("GOOGLETRANSLATE(C132, ""en"", ""hi"")"),"A)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f>
        <v>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v>
      </c>
      <c r="I132" s="5" t="str">
        <f>IFERROR(__xludf.DUMMYFUNCTION("GOOGLETRANSLATE(D132, ""en"", ""hi"")"),"A) खेल को अपूर्ण घोषित किया जाता है तथा उसे पुनः खेला जा सकता है।")</f>
        <v>A) खेल को अपूर्ण घोषित किया जाता है तथा उसे पुनः खेला जा सकता है।</v>
      </c>
    </row>
    <row r="133" ht="22.5" customHeight="1">
      <c r="A133" s="2">
        <v>132.0</v>
      </c>
      <c r="B133" s="3" t="s">
        <v>4247</v>
      </c>
      <c r="C133" s="3" t="s">
        <v>4165</v>
      </c>
      <c r="D133" s="3" t="s">
        <v>4014</v>
      </c>
      <c r="F133" s="5" t="str">
        <f>IFERROR(__xludf.DUMMYFUNCTION("GOOGLETRANSLATE(A133, ""en"", ""hi"")"),"132")</f>
        <v>132</v>
      </c>
      <c r="G133" s="5" t="str">
        <f>IFERROR(__xludf.DUMMYFUNCTION("GOOGLETRANSLATE(B133, ""en"", ""hi"")"),"लागोरी में, यदि गेंद फेंकी जाती है और पत्थर से टकराती है लेकिन पत्थर नहीं गिरता है, तो प्रक्रिया क्या होनी चाहिए?")</f>
        <v>लागोरी में, यदि गेंद फेंकी जाती है और पत्थर से टकराती है लेकिन पत्थर नहीं गिरता है, तो प्रक्रिया क्या होनी चाहिए?</v>
      </c>
      <c r="H133" s="5" t="str">
        <f>IFERROR(__xludf.DUMMYFUNCTION("GOOGLETRANSLATE(C133, ""en"", ""hi"")"),"ए) बारी जब्त कर ली जाती है।, बी) पत्थर अपनी स्थिति में रहता है।, सी) खेल रोक दिया जाता है।, डी) पत्थर फिर से स्थापित कर दिए जाते हैं।")</f>
        <v>ए) बारी जब्त कर ली जाती है।, बी) पत्थर अपनी स्थिति में रहता है।, सी) खेल रोक दिया जाता है।, डी) पत्थर फिर से स्थापित कर दिए जाते हैं।</v>
      </c>
      <c r="I133" s="5" t="str">
        <f>IFERROR(__xludf.DUMMYFUNCTION("GOOGLETRANSLATE(D133, ""en"", ""hi"")"),"A) बारी जब्त कर ली जाती है।")</f>
        <v>A) बारी जब्त कर ली जाती है।</v>
      </c>
    </row>
    <row r="134" ht="22.5" customHeight="1">
      <c r="A134" s="2">
        <v>133.0</v>
      </c>
      <c r="B134" s="3" t="s">
        <v>4248</v>
      </c>
      <c r="C134" s="3" t="s">
        <v>4205</v>
      </c>
      <c r="D134" s="3" t="s">
        <v>4003</v>
      </c>
      <c r="F134" s="5" t="str">
        <f>IFERROR(__xludf.DUMMYFUNCTION("GOOGLETRANSLATE(A134, ""en"", ""hi"")"),"133")</f>
        <v>133</v>
      </c>
      <c r="G134" s="5" t="str">
        <f>IFERROR(__xludf.DUMMYFUNCTION("GOOGLETRANSLATE(B134, ""en"", ""hi"")"),"लागोरी मैच के दौरान, यदि कोई खिलाड़ी गेंद फेंकता है और वह ऐसे क्षेत्र में गिरती है जहां से उसे वापस लाना कठिन हो, तो परिणाम क्या होगा?")</f>
        <v>लागोरी मैच के दौरान, यदि कोई खिलाड़ी गेंद फेंकता है और वह ऐसे क्षेत्र में गिरती है जहां से उसे वापस लाना कठिन हो, तो परिणाम क्या होगा?</v>
      </c>
      <c r="H134" s="5" t="str">
        <f>IFERROR(__xludf.DUMMYFUNCTION("GOOGLETRANSLATE(C134,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34" s="5" t="str">
        <f>IFERROR(__xludf.DUMMYFUNCTION("GOOGLETRANSLATE(D134, ""en"", ""hi"")"),"A) आक्रमणकारी टीम अपनी बारी खो देती है।")</f>
        <v>A) आक्रमणकारी टीम अपनी बारी खो देती है।</v>
      </c>
    </row>
    <row r="135" ht="22.5" customHeight="1">
      <c r="A135" s="2">
        <v>134.0</v>
      </c>
      <c r="B135" s="3" t="s">
        <v>4249</v>
      </c>
      <c r="C135" s="3" t="s">
        <v>4250</v>
      </c>
      <c r="D135" s="3" t="s">
        <v>4251</v>
      </c>
      <c r="F135" s="5" t="str">
        <f>IFERROR(__xludf.DUMMYFUNCTION("GOOGLETRANSLATE(A135, ""en"", ""hi"")"),"134")</f>
        <v>134</v>
      </c>
      <c r="G135" s="5" t="str">
        <f>IFERROR(__xludf.DUMMYFUNCTION("GOOGLETRANSLATE(B135,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135" s="5" t="str">
        <f>IFERROR(__xludf.DUMMYFUNCTION("GOOGLETRANSLATE(C135,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35" s="5" t="str">
        <f>IFERROR(__xludf.DUMMYFUNCTION("GOOGLETRANSLATE(D135,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36" ht="22.5" customHeight="1">
      <c r="A136" s="2">
        <v>135.0</v>
      </c>
      <c r="B136" s="3" t="s">
        <v>4252</v>
      </c>
      <c r="C136" s="3" t="s">
        <v>4253</v>
      </c>
      <c r="D136" s="3" t="s">
        <v>4003</v>
      </c>
      <c r="F136" s="5" t="str">
        <f>IFERROR(__xludf.DUMMYFUNCTION("GOOGLETRANSLATE(A136, ""en"", ""hi"")"),"135")</f>
        <v>135</v>
      </c>
      <c r="G136" s="5" t="str">
        <f>IFERROR(__xludf.DUMMYFUNCTION("GOOGLETRANSLATE(B136, ""en"", ""hi"")"),"लागोरी में यदि कोई खिलाड़ी गेंद फेंकता है और वह पत्थर से टकराती है लेकिन पत्थर नहीं गिरता तो नियम क्या है?")</f>
        <v>लागोरी में यदि कोई खिलाड़ी गेंद फेंकता है और वह पत्थर से टकराती है लेकिन पत्थर नहीं गिरता तो नियम क्या है?</v>
      </c>
      <c r="H136" s="5" t="str">
        <f>IFERROR(__xludf.DUMMYFUNCTION("GOOGLETRANSLATE(C136, ""en"", ""hi"")"),"A) आक्रमणकारी टीम अपनी बारी खो देती है। , B) पत्थर गिरा हुआ माना जाता है। , C) खेल रोक दिया जाता है। , D) गेंद को फिर से फेंका जाता है।")</f>
        <v>A) आक्रमणकारी टीम अपनी बारी खो देती है। , B) पत्थर गिरा हुआ माना जाता है। , C) खेल रोक दिया जाता है। , D) गेंद को फिर से फेंका जाता है।</v>
      </c>
      <c r="I136" s="5" t="str">
        <f>IFERROR(__xludf.DUMMYFUNCTION("GOOGLETRANSLATE(D136, ""en"", ""hi"")"),"A) आक्रमणकारी टीम अपनी बारी खो देती है।")</f>
        <v>A) आक्रमणकारी टीम अपनी बारी खो देती है।</v>
      </c>
    </row>
    <row r="137" ht="22.5" customHeight="1">
      <c r="A137" s="2">
        <v>136.0</v>
      </c>
      <c r="B137" s="3" t="s">
        <v>4159</v>
      </c>
      <c r="C137" s="3" t="s">
        <v>4160</v>
      </c>
      <c r="D137" s="3" t="s">
        <v>4017</v>
      </c>
      <c r="F137" s="5" t="str">
        <f>IFERROR(__xludf.DUMMYFUNCTION("GOOGLETRANSLATE(A137, ""en"", ""hi"")"),"136")</f>
        <v>136</v>
      </c>
      <c r="G137" s="5" t="str">
        <f>IFERROR(__xludf.DUMMYFUNCTION("GOOGLETRANSLATE(B137, ""en"", ""hi"")"),"यदि मौसम की वजह से लागोरी खेल बाधित हो जाए तो सामान्य प्रक्रिया क्या होगी?")</f>
        <v>यदि मौसम की वजह से लागोरी खेल बाधित हो जाए तो सामान्य प्रक्रिया क्या होगी?</v>
      </c>
      <c r="H137" s="5" t="str">
        <f>IFERROR(__xludf.DUMMYFUNCTION("GOOGLETRANSLATE(C137, ""en"", ""hi"")"),"A)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v>
      </c>
      <c r="I137" s="5" t="str">
        <f>IFERROR(__xludf.DUMMYFUNCTION("GOOGLETRANSLATE(D137, ""en"", ""hi"")"),"A) खेल को तब तक रोक दिया जाता है जब तक कि स्थिति में सुधार न हो जाए।")</f>
        <v>A) खेल को तब तक रोक दिया जाता है जब तक कि स्थिति में सुधार न हो जाए।</v>
      </c>
    </row>
    <row r="138" ht="22.5" customHeight="1">
      <c r="A138" s="2">
        <v>137.0</v>
      </c>
      <c r="B138" s="3" t="s">
        <v>4254</v>
      </c>
      <c r="C138" s="3" t="s">
        <v>4201</v>
      </c>
      <c r="D138" s="3" t="s">
        <v>4020</v>
      </c>
      <c r="F138" s="5" t="str">
        <f>IFERROR(__xludf.DUMMYFUNCTION("GOOGLETRANSLATE(A138, ""en"", ""hi"")"),"137")</f>
        <v>137</v>
      </c>
      <c r="G138" s="5" t="str">
        <f>IFERROR(__xludf.DUMMYFUNCTION("GOOGLETRANSLATE(B138, ""en"", ""hi"")"),"लागोरी में, यदि कोई पत्थर गिरा दिया जाता है और आक्रमणकारी टीम का कोई खिलाड़ी उसे वापस पाने से पहले छू लेता है, तो नियम क्या है?")</f>
        <v>लागोरी में, यदि कोई पत्थर गिरा दिया जाता है और आक्रमणकारी टीम का कोई खिलाड़ी उसे वापस पाने से पहले छू लेता है, तो नियम क्या है?</v>
      </c>
      <c r="H138" s="5" t="str">
        <f>IFERROR(__xludf.DUMMYFUNCTION("GOOGLETRANSLATE(C138, ""en"", ""hi"")"),"ए) पत्थर को वापस रख दिया जाता है और बारी जब्त कर ली जाती है। , बी) पत्थर नीचे ही रहता है। , सी) खिलाड़ी को दंडित किया जाता है। , डी) खेल बिना दंड के जारी रहता है।")</f>
        <v>ए) पत्थर को वापस रख दिया जाता है और बारी जब्त कर ली जाती है। , बी) पत्थर नीचे ही रहता है। , सी) खिलाड़ी को दंडित किया जाता है। , डी) खेल बिना दंड के जारी रहता है।</v>
      </c>
      <c r="I138" s="5" t="str">
        <f>IFERROR(__xludf.DUMMYFUNCTION("GOOGLETRANSLATE(D138, ""en"", ""hi"")"),"ए) पत्थर को बदल दिया जाता है और बारी जब्त कर ली जाती है।")</f>
        <v>ए) पत्थर को बदल दिया जाता है और बारी जब्त कर ली जाती है।</v>
      </c>
    </row>
    <row r="139" ht="22.5" customHeight="1">
      <c r="A139" s="2">
        <v>138.0</v>
      </c>
      <c r="B139" s="3" t="s">
        <v>4255</v>
      </c>
      <c r="C139" s="3" t="s">
        <v>4205</v>
      </c>
      <c r="D139" s="3" t="s">
        <v>4003</v>
      </c>
      <c r="F139" s="5" t="str">
        <f>IFERROR(__xludf.DUMMYFUNCTION("GOOGLETRANSLATE(A139, ""en"", ""hi"")"),"138")</f>
        <v>138</v>
      </c>
      <c r="G139" s="5" t="str">
        <f>IFERROR(__xludf.DUMMYFUNCTION("GOOGLETRANSLATE(B139, ""en"", ""hi"")"),"लागोरी मैच के दौरान, यदि आक्रमणकारी टीम का कोई खिलाड़ी गेंद फेंकता है और वह ऐसी जगह गिरती है जहां से उसे वापस लाना कठिन हो, तो परिणाम क्या होगा?")</f>
        <v>लागोरी मैच के दौरान, यदि आक्रमणकारी टीम का कोई खिलाड़ी गेंद फेंकता है और वह ऐसी जगह गिरती है जहां से उसे वापस लाना कठिन हो, तो परिणाम क्या होगा?</v>
      </c>
      <c r="H139" s="5" t="str">
        <f>IFERROR(__xludf.DUMMYFUNCTION("GOOGLETRANSLATE(C139,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39" s="5" t="str">
        <f>IFERROR(__xludf.DUMMYFUNCTION("GOOGLETRANSLATE(D139, ""en"", ""hi"")"),"A) आक्रमणकारी टीम अपनी बारी खो देती है।")</f>
        <v>A) आक्रमणकारी टीम अपनी बारी खो देती है।</v>
      </c>
    </row>
    <row r="140" ht="22.5" customHeight="1">
      <c r="A140" s="2">
        <v>139.0</v>
      </c>
      <c r="B140" s="3" t="s">
        <v>4256</v>
      </c>
      <c r="C140" s="3" t="s">
        <v>4177</v>
      </c>
      <c r="D140" s="3" t="s">
        <v>4003</v>
      </c>
      <c r="F140" s="5" t="str">
        <f>IFERROR(__xludf.DUMMYFUNCTION("GOOGLETRANSLATE(A140, ""en"", ""hi"")"),"139")</f>
        <v>139</v>
      </c>
      <c r="G140" s="5" t="str">
        <f>IFERROR(__xludf.DUMMYFUNCTION("GOOGLETRANSLATE(B140, ""en"", ""hi"")"),"यदि कोई खिलाड़ी गेंद फेंकता है और वह पत्थर पर गिरती है, लेकिन उसे गिरा नहीं पाती, तो आक्रमणकारी टीम का अगला कदम क्या होगा?")</f>
        <v>यदि कोई खिलाड़ी गेंद फेंकता है और वह पत्थर पर गिरती है, लेकिन उसे गिरा नहीं पाती, तो आक्रमणकारी टीम का अगला कदम क्या होगा?</v>
      </c>
      <c r="H140" s="5" t="str">
        <f>IFERROR(__xludf.DUMMYFUNCTION("GOOGLETRANSLATE(C140, ""en"", ""hi"")"),"A) आक्रमणकारी टीम अपनी बारी खो देती है। , B) पत्थर को पुनः स्थापित कर दिया जाता है। , C) गेंद को पुनः फेंक दिया जाता है। , D) खेल रोक दिया जाता है।")</f>
        <v>A) आक्रमणकारी टीम अपनी बारी खो देती है। , B) पत्थर को पुनः स्थापित कर दिया जाता है। , C) गेंद को पुनः फेंक दिया जाता है। , D) खेल रोक दिया जाता है।</v>
      </c>
      <c r="I140" s="5" t="str">
        <f>IFERROR(__xludf.DUMMYFUNCTION("GOOGLETRANSLATE(D140, ""en"", ""hi"")"),"A) आक्रमणकारी टीम अपनी बारी खो देती है।")</f>
        <v>A) आक्रमणकारी टीम अपनी बारी खो देती है।</v>
      </c>
    </row>
    <row r="141" ht="22.5" customHeight="1">
      <c r="A141" s="2">
        <v>140.0</v>
      </c>
      <c r="B141" s="3" t="s">
        <v>4257</v>
      </c>
      <c r="C141" s="3" t="s">
        <v>4258</v>
      </c>
      <c r="D141" s="3" t="s">
        <v>4259</v>
      </c>
      <c r="F141" s="5" t="str">
        <f>IFERROR(__xludf.DUMMYFUNCTION("GOOGLETRANSLATE(A141, ""en"", ""hi"")"),"140")</f>
        <v>140</v>
      </c>
      <c r="G141" s="5" t="str">
        <f>IFERROR(__xludf.DUMMYFUNCTION("GOOGLETRANSLATE(B141, ""en"", ""hi"")"),"लागोरी में यदि कोई पत्थर गिरा दिया जाए और गेंद उस पर गिर जाए तो क्या होगा?")</f>
        <v>लागोरी में यदि कोई पत्थर गिरा दिया जाए और गेंद उस पर गिर जाए तो क्या होगा?</v>
      </c>
      <c r="H141" s="5" t="str">
        <f>IFERROR(__xludf.DUMMYFUNCTION("GOOGLETRANSLATE(C141, ""en"", ""hi"")"),"A) पत्थर नीचे ही रहता है और बारी रद्द हो जाती है। , B) पत्थर वापस आ जाता है और खेल जारी रहता है। , C) गेंद को फिर से फेंका जाता है। , D) खेल रोक दिया जाता है।")</f>
        <v>A) पत्थर नीचे ही रहता है और बारी रद्द हो जाती है। , B) पत्थर वापस आ जाता है और खेल जारी रहता है। , C) गेंद को फिर से फेंका जाता है। , D) खेल रोक दिया जाता है।</v>
      </c>
      <c r="I141" s="5" t="str">
        <f>IFERROR(__xludf.DUMMYFUNCTION("GOOGLETRANSLATE(D141, ""en"", ""hi"")"),"A) पत्थर नीचे ही रहता है और बारी रद्द हो जाती है।")</f>
        <v>A) पत्थर नीचे ही रहता है और बारी रद्द हो जाती है।</v>
      </c>
    </row>
    <row r="142" ht="22.5" customHeight="1">
      <c r="A142" s="2">
        <v>141.0</v>
      </c>
      <c r="B142" s="3" t="s">
        <v>4260</v>
      </c>
      <c r="C142" s="3" t="s">
        <v>4261</v>
      </c>
      <c r="D142" s="3" t="s">
        <v>4193</v>
      </c>
      <c r="F142" s="5" t="str">
        <f>IFERROR(__xludf.DUMMYFUNCTION("GOOGLETRANSLATE(A142, ""en"", ""hi"")"),"141")</f>
        <v>141</v>
      </c>
      <c r="G142" s="5" t="str">
        <f>IFERROR(__xludf.DUMMYFUNCTION("GOOGLETRANSLATE(B142, ""en"", ""hi"")"),"यदि बचाव करने वाली टीम का कोई खिलाड़ी गलती से किसी गिरे हुए पत्थर को छू ले तो क्या नियम होगा?")</f>
        <v>यदि बचाव करने वाली टीम का कोई खिलाड़ी गलती से किसी गिरे हुए पत्थर को छू ले तो क्या नियम होगा?</v>
      </c>
      <c r="H142" s="5" t="str">
        <f>IFERROR(__xludf.DUMMYFUNCTION("GOOGLETRANSLATE(C142, ""en"", ""hi"")"),"A) पत्थर वापस रख दिया जाता है और बचाव करने वाली टीम अपनी बारी खो देती है। , B) पत्थर नीचे ही रहता है। , C) खेल रोक दिया जाता है। , D) आक्रमण करने वाली टीम को एक अतिरिक्त बारी मिलती है।")</f>
        <v>A) पत्थर वापस रख दिया जाता है और बचाव करने वाली टीम अपनी बारी खो देती है। , B) पत्थर नीचे ही रहता है। , C) खेल रोक दिया जाता है। , D) आक्रमण करने वाली टीम को एक अतिरिक्त बारी मिलती है।</v>
      </c>
      <c r="I142" s="5" t="str">
        <f>IFERROR(__xludf.DUMMYFUNCTION("GOOGLETRANSLATE(D142, ""en"", ""hi"")"),"A) पत्थर को पुनः स्थापित कर दिया जाता है और बचाव करने वाली टीम अपनी बारी खो देती है।")</f>
        <v>A) पत्थर को पुनः स्थापित कर दिया जाता है और बचाव करने वाली टीम अपनी बारी खो देती है।</v>
      </c>
    </row>
    <row r="143" ht="22.5" customHeight="1">
      <c r="A143" s="2">
        <v>142.0</v>
      </c>
      <c r="B143" s="3" t="s">
        <v>4262</v>
      </c>
      <c r="C143" s="3" t="s">
        <v>4129</v>
      </c>
      <c r="D143" s="3" t="s">
        <v>4130</v>
      </c>
      <c r="F143" s="5" t="str">
        <f>IFERROR(__xludf.DUMMYFUNCTION("GOOGLETRANSLATE(A143, ""en"", ""hi"")"),"142")</f>
        <v>142</v>
      </c>
      <c r="G143" s="5" t="str">
        <f>IFERROR(__xludf.DUMMYFUNCTION("GOOGLETRANSLATE(B143, ""en"", ""hi"")"),"लागोरी मैच के दौरान यदि गेंद फेंकी जाए और वह बिना किसी पत्थर से टकराए खेल क्षेत्र के बाहर गिर जाए तो क्या करना चाहिए?")</f>
        <v>लागोरी मैच के दौरान यदि गेंद फेंकी जाए और वह बिना किसी पत्थर से टकराए खेल क्षेत्र के बाहर गिर जाए तो क्या करना चाहिए?</v>
      </c>
      <c r="H143" s="5" t="str">
        <f>IFERROR(__xludf.DUMMYFUNCTION("GOOGLETRANSLATE(C143,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43" s="5" t="str">
        <f>IFERROR(__xludf.DUMMYFUNCTION("GOOGLETRANSLATE(D143, ""en"", ""hi"")"),"ए) बारी रद्द कर दी जाती है और गेंद वापस ले ली जाती है।")</f>
        <v>ए) बारी रद्द कर दी जाती है और गेंद वापस ले ली जाती है।</v>
      </c>
    </row>
    <row r="144" ht="22.5" customHeight="1">
      <c r="A144" s="2">
        <v>143.0</v>
      </c>
      <c r="B144" s="3" t="s">
        <v>4263</v>
      </c>
      <c r="C144" s="3" t="s">
        <v>4215</v>
      </c>
      <c r="D144" s="3" t="s">
        <v>4003</v>
      </c>
      <c r="F144" s="5" t="str">
        <f>IFERROR(__xludf.DUMMYFUNCTION("GOOGLETRANSLATE(A144, ""en"", ""hi"")"),"143")</f>
        <v>143</v>
      </c>
      <c r="G144" s="5" t="str">
        <f>IFERROR(__xludf.DUMMYFUNCTION("GOOGLETRANSLATE(B144, ""en"", ""hi"")"),"लागोरी में, यदि आक्रमणकारी टीम का कोई खिलाड़ी गेंद फेंकता है और पत्थर पर टकराता है, लेकिन पत्थर वहीं खड़ा रहता है, तो परिणाम क्या होगा?")</f>
        <v>लागोरी में, यदि आक्रमणकारी टीम का कोई खिलाड़ी गेंद फेंकता है और पत्थर पर टकराता है, लेकिन पत्थर वहीं खड़ा रहता है, तो परिणाम क्या होगा?</v>
      </c>
      <c r="H144" s="5" t="str">
        <f>IFERROR(__xludf.DUMMYFUNCTION("GOOGLETRANSLATE(C144, ""en"", ""hi"")"),"A) आक्रमणकारी टीम अपनी बारी खो देती है। , B) पत्थर गिरा हुआ माना जाता है। , C) खेल रोक दिया जाता है। , D) पत्थर पुनः प्राप्त कर लिए जाते हैं।")</f>
        <v>A) आक्रमणकारी टीम अपनी बारी खो देती है। , B) पत्थर गिरा हुआ माना जाता है। , C) खेल रोक दिया जाता है। , D) पत्थर पुनः प्राप्त कर लिए जाते हैं।</v>
      </c>
      <c r="I144" s="5" t="str">
        <f>IFERROR(__xludf.DUMMYFUNCTION("GOOGLETRANSLATE(D144, ""en"", ""hi"")"),"A) आक्रमणकारी टीम अपनी बारी खो देती है।")</f>
        <v>A) आक्रमणकारी टीम अपनी बारी खो देती है।</v>
      </c>
    </row>
    <row r="145" ht="22.5" customHeight="1">
      <c r="A145" s="2">
        <v>144.0</v>
      </c>
      <c r="B145" s="3" t="s">
        <v>4264</v>
      </c>
      <c r="C145" s="3" t="s">
        <v>4241</v>
      </c>
      <c r="D145" s="3" t="s">
        <v>4193</v>
      </c>
      <c r="F145" s="5" t="str">
        <f>IFERROR(__xludf.DUMMYFUNCTION("GOOGLETRANSLATE(A145, ""en"", ""hi"")"),"144")</f>
        <v>144</v>
      </c>
      <c r="G145" s="5" t="str">
        <f>IFERROR(__xludf.DUMMYFUNCTION("GOOGLETRANSLATE(B145, ""en"", ""hi"")"),"यदि कोई पत्थर गिर जाए और बचाव करने वाली टीम का कोई खिलाड़ी उसे वापस पाने से पहले छू ले, तो नियम क्या है?")</f>
        <v>यदि कोई पत्थर गिर जाए और बचाव करने वाली टीम का कोई खिलाड़ी उसे वापस पाने से पहले छू ले, तो नियम क्या है?</v>
      </c>
      <c r="H145" s="5" t="str">
        <f>IFERROR(__xludf.DUMMYFUNCTION("GOOGLETRANSLATE(C145, ""en"", ""hi"")"),"A)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f>
        <v>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v>
      </c>
      <c r="I145" s="5" t="str">
        <f>IFERROR(__xludf.DUMMYFUNCTION("GOOGLETRANSLATE(D145, ""en"", ""hi"")"),"A) पत्थर को पुनः स्थापित कर दिया जाता है और बचाव करने वाली टीम अपनी बारी खो देती है।")</f>
        <v>A) पत्थर को पुनः स्थापित कर दिया जाता है और बचाव करने वाली टीम अपनी बारी खो देती है।</v>
      </c>
    </row>
    <row r="146" ht="22.5" customHeight="1">
      <c r="A146" s="2">
        <v>145.0</v>
      </c>
      <c r="B146" s="3" t="s">
        <v>4265</v>
      </c>
      <c r="C146" s="3" t="s">
        <v>4266</v>
      </c>
      <c r="D146" s="3" t="s">
        <v>4244</v>
      </c>
      <c r="F146" s="5" t="str">
        <f>IFERROR(__xludf.DUMMYFUNCTION("GOOGLETRANSLATE(A146, ""en"", ""hi"")"),"145")</f>
        <v>145</v>
      </c>
      <c r="G146" s="5" t="str">
        <f>IFERROR(__xludf.DUMMYFUNCTION("GOOGLETRANSLATE(B146, ""en"", ""hi"")"),"लागोरी खेल के दौरान यदि कोई पत्थर गिर जाए और गेंद उस पर गिर जाए तो क्या करना चाहिए?")</f>
        <v>लागोरी खेल के दौरान यदि कोई पत्थर गिर जाए और गेंद उस पर गिर जाए तो क्या करना चाहिए?</v>
      </c>
      <c r="H146" s="5" t="str">
        <f>IFERROR(__xludf.DUMMYFUNCTION("GOOGLETRANSLATE(C146, ""en"", ""hi"")"),"A) पत्थर नीचे रह जाता है और बारी असफल मानी जाती है। , B) पत्थर वापस आ जाता है और खेल जारी रहता है। , C) आक्रमणकारी टीम को एक और बारी मिलती है। , D) खेल रोक दिया जाता है।")</f>
        <v>A) पत्थर नीचे रह जाता है और बारी असफल मानी जाती है। , B) पत्थर वापस आ जाता है और खेल जारी रहता है। , C) आक्रमणकारी टीम को एक और बारी मिलती है। , D) खेल रोक दिया जाता है।</v>
      </c>
      <c r="I146" s="5" t="str">
        <f>IFERROR(__xludf.DUMMYFUNCTION("GOOGLETRANSLATE(D146, ""en"", ""hi"")"),"A) पत्थर नीचे ही रहता है और बारी असफल मानी जाती है।")</f>
        <v>A) पत्थर नीचे ही रहता है और बारी असफल मानी जाती है।</v>
      </c>
    </row>
    <row r="147" ht="22.5" customHeight="1">
      <c r="A147" s="2">
        <v>146.0</v>
      </c>
      <c r="B147" s="3" t="s">
        <v>4212</v>
      </c>
      <c r="C147" s="3" t="s">
        <v>4234</v>
      </c>
      <c r="D147" s="3" t="s">
        <v>4003</v>
      </c>
      <c r="F147" s="5" t="str">
        <f>IFERROR(__xludf.DUMMYFUNCTION("GOOGLETRANSLATE(A147, ""en"", ""hi"")"),"146")</f>
        <v>146</v>
      </c>
      <c r="G147" s="5" t="str">
        <f>IFERROR(__xludf.DUMMYFUNCTION("GOOGLETRANSLATE(B147, ""en"", ""hi"")"),"लागोरी में यदि गेंद फेंकी जाए और वह पत्थर से टकराए, परंतु पत्थर को नीचे न गिराए, तो आगे क्या होगा?")</f>
        <v>लागोरी में यदि गेंद फेंकी जाए और वह पत्थर से टकराए, परंतु पत्थर को नीचे न गिराए, तो आगे क्या होगा?</v>
      </c>
      <c r="H147" s="5" t="str">
        <f>IFERROR(__xludf.DUMMYFUNCTION("GOOGLETRANSLATE(C147, ""en"", ""hi"")"),"A) आक्रमणकारी टीम अपनी बारी खो देती है। , B) पत्थर अपनी स्थिति में बना रहता है। , C) खेल रोक दिया जाता है। , D) पत्थर पुनः स्थापित कर दिए जाते हैं।")</f>
        <v>A) आक्रमणकारी टीम अपनी बारी खो देती है। , B) पत्थर अपनी स्थिति में बना रहता है। , C) खेल रोक दिया जाता है। , D) पत्थर पुनः स्थापित कर दिए जाते हैं।</v>
      </c>
      <c r="I147" s="5" t="str">
        <f>IFERROR(__xludf.DUMMYFUNCTION("GOOGLETRANSLATE(D147, ""en"", ""hi"")"),"A) आक्रमणकारी टीम अपनी बारी खो देती है।")</f>
        <v>A) आक्रमणकारी टीम अपनी बारी खो देती है।</v>
      </c>
    </row>
    <row r="148" ht="22.5" customHeight="1">
      <c r="A148" s="2">
        <v>147.0</v>
      </c>
      <c r="B148" s="3" t="s">
        <v>4228</v>
      </c>
      <c r="C148" s="3" t="s">
        <v>4129</v>
      </c>
      <c r="D148" s="3" t="s">
        <v>4130</v>
      </c>
      <c r="F148" s="5" t="str">
        <f>IFERROR(__xludf.DUMMYFUNCTION("GOOGLETRANSLATE(A148, ""en"", ""hi"")"),"147")</f>
        <v>147</v>
      </c>
      <c r="G148" s="5" t="str">
        <f>IFERROR(__xludf.DUMMYFUNCTION("GOOGLETRANSLATE(B148, ""en"", ""hi"")"),"यदि लागोरी खेल खेला जा रहा हो और गेंद गलती से सीमा से बाहर फेंक दी जाए तो क्या नियम होगा?")</f>
        <v>यदि लागोरी खेल खेला जा रहा हो और गेंद गलती से सीमा से बाहर फेंक दी जाए तो क्या नियम होगा?</v>
      </c>
      <c r="H148" s="5" t="str">
        <f>IFERROR(__xludf.DUMMYFUNCTION("GOOGLETRANSLATE(C148,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48" s="5" t="str">
        <f>IFERROR(__xludf.DUMMYFUNCTION("GOOGLETRANSLATE(D148, ""en"", ""hi"")"),"ए) बारी रद्द कर दी जाती है और गेंद वापस ले ली जाती है।")</f>
        <v>ए) बारी रद्द कर दी जाती है और गेंद वापस ले ली जाती है।</v>
      </c>
    </row>
    <row r="149" ht="22.5" customHeight="1">
      <c r="A149" s="2">
        <v>148.0</v>
      </c>
      <c r="B149" s="3" t="s">
        <v>4267</v>
      </c>
      <c r="C149" s="3" t="s">
        <v>4219</v>
      </c>
      <c r="D149" s="3" t="s">
        <v>4220</v>
      </c>
      <c r="F149" s="5" t="str">
        <f>IFERROR(__xludf.DUMMYFUNCTION("GOOGLETRANSLATE(A149, ""en"", ""hi"")"),"148")</f>
        <v>148</v>
      </c>
      <c r="G149" s="5" t="str">
        <f>IFERROR(__xludf.DUMMYFUNCTION("GOOGLETRANSLATE(B149, ""en"", ""hi"")"),"लागोरी मैच के दौरान, यदि पत्थर गिर जाते हैं और बचाव करने वाली टीम का कोई खिलाड़ी उन्हें पूरी तरह से बहाल होने से पहले छू लेता है, तो नियम क्या है?")</f>
        <v>लागोरी मैच के दौरान, यदि पत्थर गिर जाते हैं और बचाव करने वाली टीम का कोई खिलाड़ी उन्हें पूरी तरह से बहाल होने से पहले छू लेता है, तो नियम क्या है?</v>
      </c>
      <c r="H149" s="5" t="str">
        <f>IFERROR(__xludf.DUMMYFUNCTION("GOOGLETRANSLATE(C149, ""en"", ""hi"")"),"A) पत्थर बदल दिए जाते हैं और बचाव करने वाली टीम अपनी बारी खो देती है। , B) पत्थर नीचे ही रह जाते हैं। , C) खेल बिना पेनल्टी के जारी रहता है। , D) आक्रमण करने वाली टीम को एक अतिरिक्त मौका मिलता है।")</f>
        <v>A) पत्थर बदल दिए जाते हैं और बचाव करने वाली टीम अपनी बारी खो देती है। , B) पत्थर नीचे ही रह जाते हैं। , C) खेल बिना पेनल्टी के जारी रहता है। , D) आक्रमण करने वाली टीम को एक अतिरिक्त मौका मिलता है।</v>
      </c>
      <c r="I149" s="5" t="str">
        <f>IFERROR(__xludf.DUMMYFUNCTION("GOOGLETRANSLATE(D149, ""en"", ""hi"")"),"A) पत्थर बदल दिए जाते हैं और बचाव करने वाली टीम अपनी बारी खो देती है।")</f>
        <v>A) पत्थर बदल दिए जाते हैं और बचाव करने वाली टीम अपनी बारी खो देती है।</v>
      </c>
    </row>
    <row r="150" ht="22.5" customHeight="1">
      <c r="A150" s="2">
        <v>149.0</v>
      </c>
      <c r="B150" s="3" t="s">
        <v>4268</v>
      </c>
      <c r="C150" s="3" t="s">
        <v>4243</v>
      </c>
      <c r="D150" s="3" t="s">
        <v>4244</v>
      </c>
      <c r="F150" s="5" t="str">
        <f>IFERROR(__xludf.DUMMYFUNCTION("GOOGLETRANSLATE(A150, ""en"", ""hi"")"),"149")</f>
        <v>149</v>
      </c>
      <c r="G150" s="5" t="str">
        <f>IFERROR(__xludf.DUMMYFUNCTION("GOOGLETRANSLATE(B150, ""en"", ""hi"")"),"लागोरी में, यदि गेंद किसी ऐसे पत्थर पर गिरती है जो अभी भी नीचे है, तो क्या प्रक्रिया अपनाई जानी चाहिए?")</f>
        <v>लागोरी में, यदि गेंद किसी ऐसे पत्थर पर गिरती है जो अभी भी नीचे है, तो क्या प्रक्रिया अपनाई जानी चाहिए?</v>
      </c>
      <c r="H150" s="5" t="str">
        <f>IFERROR(__xludf.DUMMYFUNCTION("GOOGLETRANSLATE(C150, ""en"", ""hi"")"),"A)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f>
        <v>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v>
      </c>
      <c r="I150" s="5" t="str">
        <f>IFERROR(__xludf.DUMMYFUNCTION("GOOGLETRANSLATE(D150, ""en"", ""hi"")"),"A) पत्थर नीचे ही रहता है और बारी असफल मानी जाती है।")</f>
        <v>A) पत्थर नीचे ही रहता है और बारी असफल मानी जाती है।</v>
      </c>
    </row>
    <row r="151" ht="22.5" customHeight="1">
      <c r="A151" s="2">
        <v>150.0</v>
      </c>
      <c r="B151" s="3" t="s">
        <v>4269</v>
      </c>
      <c r="C151" s="3" t="s">
        <v>4205</v>
      </c>
      <c r="D151" s="3" t="s">
        <v>4003</v>
      </c>
      <c r="F151" s="5" t="str">
        <f>IFERROR(__xludf.DUMMYFUNCTION("GOOGLETRANSLATE(A151, ""en"", ""hi"")"),"150")</f>
        <v>150</v>
      </c>
      <c r="G151" s="5" t="str">
        <f>IFERROR(__xludf.DUMMYFUNCTION("GOOGLETRANSLATE(B151, ""en"", ""hi"")"),"यदि गेंद फेंकी जाए और वह ऐसे क्षेत्र में गिरे जहां से उसे वापस लाना कठिन हो, तो लागोरी में इसका क्या परिणाम होगा?")</f>
        <v>यदि गेंद फेंकी जाए और वह ऐसे क्षेत्र में गिरे जहां से उसे वापस लाना कठिन हो, तो लागोरी में इसका क्या परिणाम होगा?</v>
      </c>
      <c r="H151" s="5" t="str">
        <f>IFERROR(__xludf.DUMMYFUNCTION("GOOGLETRANSLATE(C151,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51" s="5" t="str">
        <f>IFERROR(__xludf.DUMMYFUNCTION("GOOGLETRANSLATE(D151, ""en"", ""hi"")"),"A) आक्रमणकारी टीम अपनी बारी खो देती है।")</f>
        <v>A) आक्रमणकारी टीम अपनी बारी खो देती है।</v>
      </c>
    </row>
    <row r="152" ht="22.5" customHeight="1">
      <c r="A152" s="2">
        <v>151.0</v>
      </c>
      <c r="B152" s="3" t="s">
        <v>4270</v>
      </c>
      <c r="C152" s="3" t="s">
        <v>4234</v>
      </c>
      <c r="D152" s="3" t="s">
        <v>4003</v>
      </c>
      <c r="F152" s="5" t="str">
        <f>IFERROR(__xludf.DUMMYFUNCTION("GOOGLETRANSLATE(A152, ""en"", ""hi"")"),"151")</f>
        <v>151</v>
      </c>
      <c r="G152" s="5" t="str">
        <f>IFERROR(__xludf.DUMMYFUNCTION("GOOGLETRANSLATE(B152, ""en"", ""hi"")"),"लागोरी मैच के दौरान, यदि कोई खिलाड़ी गेंद फेंकता है और वह पत्थर पर गिरती है, लेकिन पत्थर नहीं गिरता है, तो परिणाम क्या होगा?")</f>
        <v>लागोरी मैच के दौरान, यदि कोई खिलाड़ी गेंद फेंकता है और वह पत्थर पर गिरती है, लेकिन पत्थर नहीं गिरता है, तो परिणाम क्या होगा?</v>
      </c>
      <c r="H152" s="5" t="str">
        <f>IFERROR(__xludf.DUMMYFUNCTION("GOOGLETRANSLATE(C152, ""en"", ""hi"")"),"A) आक्रमणकारी टीम अपनी बारी खो देती है। , B) पत्थर अपनी स्थिति में बना रहता है। , C) खेल रोक दिया जाता है। , D) पत्थर पुनः स्थापित कर दिए जाते हैं।")</f>
        <v>A) आक्रमणकारी टीम अपनी बारी खो देती है। , B) पत्थर अपनी स्थिति में बना रहता है। , C) खेल रोक दिया जाता है। , D) पत्थर पुनः स्थापित कर दिए जाते हैं।</v>
      </c>
      <c r="I152" s="5" t="str">
        <f>IFERROR(__xludf.DUMMYFUNCTION("GOOGLETRANSLATE(D152, ""en"", ""hi"")"),"A) आक्रमणकारी टीम अपनी बारी खो देती है।")</f>
        <v>A) आक्रमणकारी टीम अपनी बारी खो देती है।</v>
      </c>
    </row>
    <row r="153" ht="22.5" customHeight="1">
      <c r="A153" s="2">
        <v>152.0</v>
      </c>
      <c r="B153" s="3" t="s">
        <v>4159</v>
      </c>
      <c r="C153" s="3" t="s">
        <v>4160</v>
      </c>
      <c r="D153" s="3" t="s">
        <v>4017</v>
      </c>
      <c r="F153" s="5" t="str">
        <f>IFERROR(__xludf.DUMMYFUNCTION("GOOGLETRANSLATE(A153, ""en"", ""hi"")"),"152")</f>
        <v>152</v>
      </c>
      <c r="G153" s="5" t="str">
        <f>IFERROR(__xludf.DUMMYFUNCTION("GOOGLETRANSLATE(B153, ""en"", ""hi"")"),"यदि मौसम की वजह से लागोरी खेल बाधित हो जाए तो सामान्य प्रक्रिया क्या होगी?")</f>
        <v>यदि मौसम की वजह से लागोरी खेल बाधित हो जाए तो सामान्य प्रक्रिया क्या होगी?</v>
      </c>
      <c r="H153" s="5" t="str">
        <f>IFERROR(__xludf.DUMMYFUNCTION("GOOGLETRANSLATE(C153, ""en"", ""hi"")"),"A)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v>
      </c>
      <c r="I153" s="5" t="str">
        <f>IFERROR(__xludf.DUMMYFUNCTION("GOOGLETRANSLATE(D153, ""en"", ""hi"")"),"A) खेल को तब तक रोक दिया जाता है जब तक कि स्थिति में सुधार न हो जाए।")</f>
        <v>A) खेल को तब तक रोक दिया जाता है जब तक कि स्थिति में सुधार न हो जाए।</v>
      </c>
    </row>
    <row r="154" ht="22.5" customHeight="1">
      <c r="A154" s="2">
        <v>153.0</v>
      </c>
      <c r="B154" s="3" t="s">
        <v>4271</v>
      </c>
      <c r="C154" s="3" t="s">
        <v>4253</v>
      </c>
      <c r="D154" s="3" t="s">
        <v>4003</v>
      </c>
      <c r="F154" s="5" t="str">
        <f>IFERROR(__xludf.DUMMYFUNCTION("GOOGLETRANSLATE(A154, ""en"", ""hi"")"),"153")</f>
        <v>153</v>
      </c>
      <c r="G154" s="5" t="str">
        <f>IFERROR(__xludf.DUMMYFUNCTION("GOOGLETRANSLATE(B154, ""en"", ""hi"")"),"लागोरी में, यदि आक्रमणकारी टीम का कोई खिलाड़ी गेंद फेंकता है और पत्थर पर मारता है, लेकिन पत्थर नहीं गिरता है, तो नियम क्या है?")</f>
        <v>लागोरी में, यदि आक्रमणकारी टीम का कोई खिलाड़ी गेंद फेंकता है और पत्थर पर मारता है, लेकिन पत्थर नहीं गिरता है, तो नियम क्या है?</v>
      </c>
      <c r="H154" s="5" t="str">
        <f>IFERROR(__xludf.DUMMYFUNCTION("GOOGLETRANSLATE(C154, ""en"", ""hi"")"),"A) आक्रमणकारी टीम अपनी बारी खो देती है। , B) पत्थर गिरा हुआ माना जाता है। , C) खेल रोक दिया जाता है। , D) गेंद को फिर से फेंका जाता है।")</f>
        <v>A) आक्रमणकारी टीम अपनी बारी खो देती है। , B) पत्थर गिरा हुआ माना जाता है। , C) खेल रोक दिया जाता है। , D) गेंद को फिर से फेंका जाता है।</v>
      </c>
      <c r="I154" s="5" t="str">
        <f>IFERROR(__xludf.DUMMYFUNCTION("GOOGLETRANSLATE(D154, ""en"", ""hi"")"),"A) आक्रमणकारी टीम अपनी बारी खो देती है।")</f>
        <v>A) आक्रमणकारी टीम अपनी बारी खो देती है।</v>
      </c>
    </row>
    <row r="155" ht="22.5" customHeight="1">
      <c r="A155" s="2">
        <v>154.0</v>
      </c>
      <c r="B155" s="3" t="s">
        <v>4272</v>
      </c>
      <c r="C155" s="3" t="s">
        <v>4239</v>
      </c>
      <c r="D155" s="3" t="s">
        <v>4240</v>
      </c>
      <c r="F155" s="5" t="str">
        <f>IFERROR(__xludf.DUMMYFUNCTION("GOOGLETRANSLATE(A155, ""en"", ""hi"")"),"154")</f>
        <v>154</v>
      </c>
      <c r="G155" s="5" t="str">
        <f>IFERROR(__xludf.DUMMYFUNCTION("GOOGLETRANSLATE(B155, ""en"", ""hi"")"),"लागोरी मैच के दौरान यदि गेंद किसी पत्थर पर गिरती है और पत्थर गिर जाता है, लेकिन गलती से कोई दूसरा पत्थर हट जाता है, तो क्या किया जाना चाहिए?")</f>
        <v>लागोरी मैच के दौरान यदि गेंद किसी पत्थर पर गिरती है और पत्थर गिर जाता है, लेकिन गलती से कोई दूसरा पत्थर हट जाता है, तो क्या किया जाना चाहिए?</v>
      </c>
      <c r="H155" s="5" t="str">
        <f>IFERROR(__xludf.DUMMYFUNCTION("GOOGLETRANSLATE(C155, ""en"", ""hi"")"),"A)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f>
        <v>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v>
      </c>
      <c r="I155" s="5" t="str">
        <f>IFERROR(__xludf.DUMMYFUNCTION("GOOGLETRANSLATE(D155, ""en"", ""hi"")"),"A) हटाये गये पत्थर को पुनः स्थापित कर दिया जाता है और खेल जारी रहता है।")</f>
        <v>A) हटाये गये पत्थर को पुनः स्थापित कर दिया जाता है और खेल जारी रहता है।</v>
      </c>
    </row>
    <row r="156" ht="22.5" customHeight="1">
      <c r="A156" s="2">
        <v>155.0</v>
      </c>
      <c r="B156" s="3" t="s">
        <v>4249</v>
      </c>
      <c r="C156" s="3" t="s">
        <v>4250</v>
      </c>
      <c r="D156" s="3" t="s">
        <v>4251</v>
      </c>
      <c r="F156" s="5" t="str">
        <f>IFERROR(__xludf.DUMMYFUNCTION("GOOGLETRANSLATE(A156, ""en"", ""hi"")"),"155")</f>
        <v>155</v>
      </c>
      <c r="G156" s="5" t="str">
        <f>IFERROR(__xludf.DUMMYFUNCTION("GOOGLETRANSLATE(B156,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156" s="5" t="str">
        <f>IFERROR(__xludf.DUMMYFUNCTION("GOOGLETRANSLATE(C156,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56" s="5" t="str">
        <f>IFERROR(__xludf.DUMMYFUNCTION("GOOGLETRANSLATE(D156,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57" ht="22.5" customHeight="1">
      <c r="A157" s="2">
        <v>156.0</v>
      </c>
      <c r="B157" s="3" t="s">
        <v>4235</v>
      </c>
      <c r="C157" s="3" t="s">
        <v>4152</v>
      </c>
      <c r="D157" s="3" t="s">
        <v>4130</v>
      </c>
      <c r="F157" s="5" t="str">
        <f>IFERROR(__xludf.DUMMYFUNCTION("GOOGLETRANSLATE(A157, ""en"", ""hi"")"),"156")</f>
        <v>156</v>
      </c>
      <c r="G157" s="5" t="str">
        <f>IFERROR(__xludf.DUMMYFUNCTION("GOOGLETRANSLATE(B157, ""en"", ""hi"")"),"लागोरी में यदि कोई खिलाड़ी गेंद फेंकता है और वह किसी पत्थर से टकराए बिना खेल क्षेत्र के बाहर गिर जाती है, तो क्या किया जाना चाहिए?")</f>
        <v>लागोरी में यदि कोई खिलाड़ी गेंद फेंकता है और वह किसी पत्थर से टकराए बिना खेल क्षेत्र के बाहर गिर जाती है, तो क्या किया जाना चाहिए?</v>
      </c>
      <c r="H157" s="5" t="str">
        <f>IFERROR(__xludf.DUMMYFUNCTION("GOOGLETRANSLATE(C157, ""en"", ""hi"")"),"ए) बारी जब्त कर ली जाती है और गेंद वापस ले ली जाती है।, बी) खेल बिना दंड के जारी रहता है।, सी) गेंद को एक नई गेंद से बदल दिया जाता है।, डी) खेल रोक दिया जाता है।")</f>
        <v>ए) बारी जब्त कर ली जाती है और गेंद वापस ले ली जाती है।, बी) खेल बिना दंड के जारी रहता है।, सी) गेंद को एक नई गेंद से बदल दिया जाता है।, डी) खेल रोक दिया जाता है।</v>
      </c>
      <c r="I157" s="5" t="str">
        <f>IFERROR(__xludf.DUMMYFUNCTION("GOOGLETRANSLATE(D157, ""en"", ""hi"")"),"ए) बारी रद्द कर दी जाती है और गेंद वापस ले ली जाती है।")</f>
        <v>ए) बारी रद्द कर दी जाती है और गेंद वापस ले ली जाती है।</v>
      </c>
    </row>
    <row r="158" ht="22.5" customHeight="1">
      <c r="A158" s="2">
        <v>157.0</v>
      </c>
      <c r="B158" s="3" t="s">
        <v>4273</v>
      </c>
      <c r="C158" s="3" t="s">
        <v>4199</v>
      </c>
      <c r="D158" s="3" t="s">
        <v>4105</v>
      </c>
      <c r="F158" s="5" t="str">
        <f>IFERROR(__xludf.DUMMYFUNCTION("GOOGLETRANSLATE(A158, ""en"", ""hi"")"),"157")</f>
        <v>157</v>
      </c>
      <c r="G158" s="5" t="str">
        <f>IFERROR(__xludf.DUMMYFUNCTION("GOOGLETRANSLATE(B158, ""en"", ""hi"")"),"लागोरी खेल के दौरान, यदि बचाव दल द्वारा समय सीमा के भीतर सभी पत्थरों को पुनः प्राप्त नहीं किया जाता है, तो सामान्य परिणाम क्या होगा?")</f>
        <v>लागोरी खेल के दौरान, यदि बचाव दल द्वारा समय सीमा के भीतर सभी पत्थरों को पुनः प्राप्त नहीं किया जाता है, तो सामान्य परिणाम क्या होगा?</v>
      </c>
      <c r="H158" s="5" t="str">
        <f>IFERROR(__xludf.DUMMYFUNCTION("GOOGLETRANSLATE(C158, ""en"", ""hi"")"),"A)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f>
        <v>A) खेल को अपूर्ण घोषित कर दिया जाता है और उसे पुनः खेला जा सकता है। , B) आक्रमण करने वाली टीम को विजेता घोषित कर दिया जाता है। , C) बचाव करने वाली टीम को दण्डित किया जाता है। , D) खेल पुनः प्रारम्भ किया जाता है।</v>
      </c>
      <c r="I158" s="5" t="str">
        <f>IFERROR(__xludf.DUMMYFUNCTION("GOOGLETRANSLATE(D158, ""en"", ""hi"")"),"A) खेल को अपूर्ण घोषित किया जाता है तथा उसे पुनः खेला जा सकता है।")</f>
        <v>A) खेल को अपूर्ण घोषित किया जाता है तथा उसे पुनः खेला जा सकता है।</v>
      </c>
    </row>
    <row r="159" ht="22.5" customHeight="1">
      <c r="A159" s="2">
        <v>158.0</v>
      </c>
      <c r="B159" s="3" t="s">
        <v>4228</v>
      </c>
      <c r="C159" s="3" t="s">
        <v>4129</v>
      </c>
      <c r="D159" s="3" t="s">
        <v>4130</v>
      </c>
      <c r="F159" s="5" t="str">
        <f>IFERROR(__xludf.DUMMYFUNCTION("GOOGLETRANSLATE(A159, ""en"", ""hi"")"),"158")</f>
        <v>158</v>
      </c>
      <c r="G159" s="5" t="str">
        <f>IFERROR(__xludf.DUMMYFUNCTION("GOOGLETRANSLATE(B159, ""en"", ""hi"")"),"यदि लागोरी खेल खेला जा रहा हो और गेंद गलती से सीमा से बाहर फेंक दी जाए तो क्या नियम होगा?")</f>
        <v>यदि लागोरी खेल खेला जा रहा हो और गेंद गलती से सीमा से बाहर फेंक दी जाए तो क्या नियम होगा?</v>
      </c>
      <c r="H159" s="5" t="str">
        <f>IFERROR(__xludf.DUMMYFUNCTION("GOOGLETRANSLATE(C159,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59" s="5" t="str">
        <f>IFERROR(__xludf.DUMMYFUNCTION("GOOGLETRANSLATE(D159, ""en"", ""hi"")"),"ए) बारी रद्द कर दी जाती है और गेंद वापस ले ली जाती है।")</f>
        <v>ए) बारी रद्द कर दी जाती है और गेंद वापस ले ली जाती है।</v>
      </c>
    </row>
    <row r="160" ht="22.5" customHeight="1">
      <c r="A160" s="2">
        <v>159.0</v>
      </c>
      <c r="B160" s="3" t="s">
        <v>4238</v>
      </c>
      <c r="C160" s="3" t="s">
        <v>4239</v>
      </c>
      <c r="D160" s="3" t="s">
        <v>4240</v>
      </c>
      <c r="F160" s="5" t="str">
        <f>IFERROR(__xludf.DUMMYFUNCTION("GOOGLETRANSLATE(A160, ""en"", ""hi"")"),"159")</f>
        <v>159</v>
      </c>
      <c r="G160" s="5" t="str">
        <f>IFERROR(__xludf.DUMMYFUNCTION("GOOGLETRANSLATE(B160, ""en"", ""hi"")"),"लागोरी मैच के दौरान यदि गेंद किसी पत्थर से टकराती है और पत्थर गिर जाता है, लेकिन गलती से कोई दूसरा पत्थर हट जाता है, तो क्या किया जाना चाहिए?")</f>
        <v>लागोरी मैच के दौरान यदि गेंद किसी पत्थर से टकराती है और पत्थर गिर जाता है, लेकिन गलती से कोई दूसरा पत्थर हट जाता है, तो क्या किया जाना चाहिए?</v>
      </c>
      <c r="H160" s="5" t="str">
        <f>IFERROR(__xludf.DUMMYFUNCTION("GOOGLETRANSLATE(C160, ""en"", ""hi"")"),"A)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f>
        <v>A) स्थानांतरित पत्थर को पुनः स्थापित कर दिया जाता है और खेल जारी रहता है। , B) पत्थर अपनी स्थिति में बना रहता है और खेल रुक जाता है। , C) खेल पुनः शुरू हो जाता है। , D) आक्रमणकारी टीम अपनी बारी खो देती है।</v>
      </c>
      <c r="I160" s="5" t="str">
        <f>IFERROR(__xludf.DUMMYFUNCTION("GOOGLETRANSLATE(D160, ""en"", ""hi"")"),"A) हटाये गये पत्थर को पुनः स्थापित कर दिया जाता है और खेल जारी रहता है।")</f>
        <v>A) हटाये गये पत्थर को पुनः स्थापित कर दिया जाता है और खेल जारी रहता है।</v>
      </c>
    </row>
    <row r="161" ht="22.5" customHeight="1">
      <c r="A161" s="2">
        <v>160.0</v>
      </c>
      <c r="B161" s="3" t="s">
        <v>4269</v>
      </c>
      <c r="C161" s="3" t="s">
        <v>4205</v>
      </c>
      <c r="D161" s="3" t="s">
        <v>4003</v>
      </c>
      <c r="F161" s="5" t="str">
        <f>IFERROR(__xludf.DUMMYFUNCTION("GOOGLETRANSLATE(A161, ""en"", ""hi"")"),"160")</f>
        <v>160</v>
      </c>
      <c r="G161" s="5" t="str">
        <f>IFERROR(__xludf.DUMMYFUNCTION("GOOGLETRANSLATE(B161, ""en"", ""hi"")"),"यदि गेंद फेंकी जाए और वह ऐसे क्षेत्र में गिरे जहां से उसे वापस लाना कठिन हो, तो लागोरी में इसका क्या परिणाम होगा?")</f>
        <v>यदि गेंद फेंकी जाए और वह ऐसे क्षेत्र में गिरे जहां से उसे वापस लाना कठिन हो, तो लागोरी में इसका क्या परिणाम होगा?</v>
      </c>
      <c r="H161" s="5" t="str">
        <f>IFERROR(__xludf.DUMMYFUNCTION("GOOGLETRANSLATE(C161,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61" s="5" t="str">
        <f>IFERROR(__xludf.DUMMYFUNCTION("GOOGLETRANSLATE(D161, ""en"", ""hi"")"),"A) आक्रमणकारी टीम अपनी बारी खो देती है।")</f>
        <v>A) आक्रमणकारी टीम अपनी बारी खो देती है।</v>
      </c>
    </row>
    <row r="162" ht="22.5" customHeight="1">
      <c r="A162" s="2">
        <v>161.0</v>
      </c>
      <c r="B162" s="3" t="s">
        <v>4257</v>
      </c>
      <c r="C162" s="3" t="s">
        <v>4274</v>
      </c>
      <c r="D162" s="3" t="s">
        <v>4259</v>
      </c>
      <c r="F162" s="5" t="str">
        <f>IFERROR(__xludf.DUMMYFUNCTION("GOOGLETRANSLATE(A162, ""en"", ""hi"")"),"161")</f>
        <v>161</v>
      </c>
      <c r="G162" s="5" t="str">
        <f>IFERROR(__xludf.DUMMYFUNCTION("GOOGLETRANSLATE(B162, ""en"", ""hi"")"),"लागोरी में यदि कोई पत्थर गिरा दिया जाए और गेंद उस पर गिर जाए तो क्या होगा?")</f>
        <v>लागोरी में यदि कोई पत्थर गिरा दिया जाए और गेंद उस पर गिर जाए तो क्या होगा?</v>
      </c>
      <c r="H162" s="5" t="str">
        <f>IFERROR(__xludf.DUMMYFUNCTION("GOOGLETRANSLATE(C162, ""en"", ""hi"")"),"A) पत्थर नीचे ही रहता है और बारी रद्द हो जाती है। , B) पत्थर वापस मिल जाता है और खेल जारी रहता है। , C) आक्रमणकारी टीम को एक और मौका मिलता है। , D) खेल रोक दिया जाता है।")</f>
        <v>A) पत्थर नीचे ही रहता है और बारी रद्द हो जाती है। , B) पत्थर वापस मिल जाता है और खेल जारी रहता है। , C) आक्रमणकारी टीम को एक और मौका मिलता है। , D) खेल रोक दिया जाता है।</v>
      </c>
      <c r="I162" s="5" t="str">
        <f>IFERROR(__xludf.DUMMYFUNCTION("GOOGLETRANSLATE(D162, ""en"", ""hi"")"),"A) पत्थर नीचे ही रहता है और बारी रद्द हो जाती है।")</f>
        <v>A) पत्थर नीचे ही रहता है और बारी रद्द हो जाती है।</v>
      </c>
    </row>
    <row r="163" ht="22.5" customHeight="1">
      <c r="A163" s="2">
        <v>162.0</v>
      </c>
      <c r="B163" s="3" t="s">
        <v>4270</v>
      </c>
      <c r="C163" s="3" t="s">
        <v>4234</v>
      </c>
      <c r="D163" s="3" t="s">
        <v>4003</v>
      </c>
      <c r="F163" s="5" t="str">
        <f>IFERROR(__xludf.DUMMYFUNCTION("GOOGLETRANSLATE(A163, ""en"", ""hi"")"),"162")</f>
        <v>162</v>
      </c>
      <c r="G163" s="5" t="str">
        <f>IFERROR(__xludf.DUMMYFUNCTION("GOOGLETRANSLATE(B163, ""en"", ""hi"")"),"लागोरी मैच के दौरान, यदि कोई खिलाड़ी गेंद फेंकता है और वह पत्थर पर गिरती है, लेकिन पत्थर नहीं गिरता है, तो परिणाम क्या होगा?")</f>
        <v>लागोरी मैच के दौरान, यदि कोई खिलाड़ी गेंद फेंकता है और वह पत्थर पर गिरती है, लेकिन पत्थर नहीं गिरता है, तो परिणाम क्या होगा?</v>
      </c>
      <c r="H163" s="5" t="str">
        <f>IFERROR(__xludf.DUMMYFUNCTION("GOOGLETRANSLATE(C163, ""en"", ""hi"")"),"A) आक्रमणकारी टीम अपनी बारी खो देती है। , B) पत्थर अपनी स्थिति में बना रहता है। , C) खेल रोक दिया जाता है। , D) पत्थर पुनः स्थापित कर दिए जाते हैं।")</f>
        <v>A) आक्रमणकारी टीम अपनी बारी खो देती है। , B) पत्थर अपनी स्थिति में बना रहता है। , C) खेल रोक दिया जाता है। , D) पत्थर पुनः स्थापित कर दिए जाते हैं।</v>
      </c>
      <c r="I163" s="5" t="str">
        <f>IFERROR(__xludf.DUMMYFUNCTION("GOOGLETRANSLATE(D163, ""en"", ""hi"")"),"A) आक्रमणकारी टीम अपनी बारी खो देती है।")</f>
        <v>A) आक्रमणकारी टीम अपनी बारी खो देती है।</v>
      </c>
    </row>
    <row r="164" ht="22.5" customHeight="1">
      <c r="A164" s="2">
        <v>163.0</v>
      </c>
      <c r="B164" s="3" t="s">
        <v>4249</v>
      </c>
      <c r="C164" s="3" t="s">
        <v>4250</v>
      </c>
      <c r="D164" s="3" t="s">
        <v>4251</v>
      </c>
      <c r="F164" s="5" t="str">
        <f>IFERROR(__xludf.DUMMYFUNCTION("GOOGLETRANSLATE(A164, ""en"", ""hi"")"),"163")</f>
        <v>163</v>
      </c>
      <c r="G164" s="5" t="str">
        <f>IFERROR(__xludf.DUMMYFUNCTION("GOOGLETRANSLATE(B164,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164" s="5" t="str">
        <f>IFERROR(__xludf.DUMMYFUNCTION("GOOGLETRANSLATE(C164,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64" s="5" t="str">
        <f>IFERROR(__xludf.DUMMYFUNCTION("GOOGLETRANSLATE(D164,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65" ht="22.5" customHeight="1">
      <c r="A165" s="2">
        <v>164.0</v>
      </c>
      <c r="B165" s="3" t="s">
        <v>4275</v>
      </c>
      <c r="C165" s="3" t="s">
        <v>4205</v>
      </c>
      <c r="D165" s="3" t="s">
        <v>4003</v>
      </c>
      <c r="F165" s="5" t="str">
        <f>IFERROR(__xludf.DUMMYFUNCTION("GOOGLETRANSLATE(A165, ""en"", ""hi"")"),"164")</f>
        <v>164</v>
      </c>
      <c r="G165" s="5" t="str">
        <f>IFERROR(__xludf.DUMMYFUNCTION("GOOGLETRANSLATE(B165, ""en"", ""hi"")"),"लागोरी में यदि गेंद फेंकी जाए और वह ऐसे क्षेत्र में गिरे जहां से उसे वापस लाना कठिन हो, तो परिणाम क्या होगा?")</f>
        <v>लागोरी में यदि गेंद फेंकी जाए और वह ऐसे क्षेत्र में गिरे जहां से उसे वापस लाना कठिन हो, तो परिणाम क्या होगा?</v>
      </c>
      <c r="H165" s="5" t="str">
        <f>IFERROR(__xludf.DUMMYFUNCTION("GOOGLETRANSLATE(C165,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65" s="5" t="str">
        <f>IFERROR(__xludf.DUMMYFUNCTION("GOOGLETRANSLATE(D165, ""en"", ""hi"")"),"A) आक्रमणकारी टीम अपनी बारी खो देती है।")</f>
        <v>A) आक्रमणकारी टीम अपनी बारी खो देती है।</v>
      </c>
    </row>
    <row r="166" ht="22.5" customHeight="1">
      <c r="A166" s="2">
        <v>165.0</v>
      </c>
      <c r="B166" s="3" t="s">
        <v>4276</v>
      </c>
      <c r="C166" s="3" t="s">
        <v>4241</v>
      </c>
      <c r="D166" s="3" t="s">
        <v>4193</v>
      </c>
      <c r="F166" s="5" t="str">
        <f>IFERROR(__xludf.DUMMYFUNCTION("GOOGLETRANSLATE(A166, ""en"", ""hi"")"),"165")</f>
        <v>165</v>
      </c>
      <c r="G166" s="5" t="str">
        <f>IFERROR(__xludf.DUMMYFUNCTION("GOOGLETRANSLATE(B166, ""en"", ""hi"")"),"लागोरी मैच के दौरान, यदि कोई पत्थर गिर जाता है और बचाव करने वाली टीम का कोई खिलाड़ी उसे पूरी तरह से बहाल होने से पहले छू लेता है, तो नियम क्या है?")</f>
        <v>लागोरी मैच के दौरान, यदि कोई पत्थर गिर जाता है और बचाव करने वाली टीम का कोई खिलाड़ी उसे पूरी तरह से बहाल होने से पहले छू लेता है, तो नियम क्या है?</v>
      </c>
      <c r="H166" s="5" t="str">
        <f>IFERROR(__xludf.DUMMYFUNCTION("GOOGLETRANSLATE(C166, ""en"", ""hi"")"),"A)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f>
        <v>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v>
      </c>
      <c r="I166" s="5" t="str">
        <f>IFERROR(__xludf.DUMMYFUNCTION("GOOGLETRANSLATE(D166, ""en"", ""hi"")"),"A) पत्थर को पुनः स्थापित कर दिया जाता है और बचाव करने वाली टीम अपनी बारी खो देती है।")</f>
        <v>A) पत्थर को पुनः स्थापित कर दिया जाता है और बचाव करने वाली टीम अपनी बारी खो देती है।</v>
      </c>
    </row>
    <row r="167" ht="22.5" customHeight="1">
      <c r="A167" s="2">
        <v>166.0</v>
      </c>
      <c r="B167" s="3" t="s">
        <v>4249</v>
      </c>
      <c r="C167" s="3" t="s">
        <v>4250</v>
      </c>
      <c r="D167" s="3" t="s">
        <v>4251</v>
      </c>
      <c r="F167" s="5" t="str">
        <f>IFERROR(__xludf.DUMMYFUNCTION("GOOGLETRANSLATE(A167, ""en"", ""hi"")"),"166")</f>
        <v>166</v>
      </c>
      <c r="G167" s="5" t="str">
        <f>IFERROR(__xludf.DUMMYFUNCTION("GOOGLETRANSLATE(B167,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167" s="5" t="str">
        <f>IFERROR(__xludf.DUMMYFUNCTION("GOOGLETRANSLATE(C167,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67" s="5" t="str">
        <f>IFERROR(__xludf.DUMMYFUNCTION("GOOGLETRANSLATE(D167,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68" ht="22.5" customHeight="1">
      <c r="A168" s="2">
        <v>167.0</v>
      </c>
      <c r="B168" s="3" t="s">
        <v>4277</v>
      </c>
      <c r="C168" s="3" t="s">
        <v>4253</v>
      </c>
      <c r="D168" s="3" t="s">
        <v>4003</v>
      </c>
      <c r="F168" s="5" t="str">
        <f>IFERROR(__xludf.DUMMYFUNCTION("GOOGLETRANSLATE(A168, ""en"", ""hi"")"),"167")</f>
        <v>167</v>
      </c>
      <c r="G168" s="5" t="str">
        <f>IFERROR(__xludf.DUMMYFUNCTION("GOOGLETRANSLATE(B168, ""en"", ""hi"")"),"लागोरी में, यदि आक्रमणकारी टीम का कोई खिलाड़ी गेंद फेंकता है और वह पत्थर पर गिरती है, लेकिन उसे गिरा नहीं पाती, तो नियम क्या है?")</f>
        <v>लागोरी में, यदि आक्रमणकारी टीम का कोई खिलाड़ी गेंद फेंकता है और वह पत्थर पर गिरती है, लेकिन उसे गिरा नहीं पाती, तो नियम क्या है?</v>
      </c>
      <c r="H168" s="5" t="str">
        <f>IFERROR(__xludf.DUMMYFUNCTION("GOOGLETRANSLATE(C168, ""en"", ""hi"")"),"A) आक्रमणकारी टीम अपनी बारी खो देती है। , B) पत्थर गिरा हुआ माना जाता है। , C) खेल रोक दिया जाता है। , D) गेंद को फिर से फेंका जाता है।")</f>
        <v>A) आक्रमणकारी टीम अपनी बारी खो देती है। , B) पत्थर गिरा हुआ माना जाता है। , C) खेल रोक दिया जाता है। , D) गेंद को फिर से फेंका जाता है।</v>
      </c>
      <c r="I168" s="5" t="str">
        <f>IFERROR(__xludf.DUMMYFUNCTION("GOOGLETRANSLATE(D168, ""en"", ""hi"")"),"A) आक्रमणकारी टीम अपनी बारी खो देती है।")</f>
        <v>A) आक्रमणकारी टीम अपनी बारी खो देती है।</v>
      </c>
    </row>
    <row r="169" ht="22.5" customHeight="1">
      <c r="A169" s="2">
        <v>168.0</v>
      </c>
      <c r="B169" s="3" t="s">
        <v>4278</v>
      </c>
      <c r="C169" s="3" t="s">
        <v>4205</v>
      </c>
      <c r="D169" s="3" t="s">
        <v>4003</v>
      </c>
      <c r="F169" s="5" t="str">
        <f>IFERROR(__xludf.DUMMYFUNCTION("GOOGLETRANSLATE(A169, ""en"", ""hi"")"),"168")</f>
        <v>168</v>
      </c>
      <c r="G169" s="5" t="str">
        <f>IFERROR(__xludf.DUMMYFUNCTION("GOOGLETRANSLATE(B169, ""en"", ""hi"")"),"लागोरी खेल के दौरान यदि गेंद किसी ऐसे क्षेत्र में गिर जाए जहां से उसे वापस लाना कठिन हो तो क्या किया जाना चाहिए?")</f>
        <v>लागोरी खेल के दौरान यदि गेंद किसी ऐसे क्षेत्र में गिर जाए जहां से उसे वापस लाना कठिन हो तो क्या किया जाना चाहिए?</v>
      </c>
      <c r="H169" s="5" t="str">
        <f>IFERROR(__xludf.DUMMYFUNCTION("GOOGLETRANSLATE(C169,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69" s="5" t="str">
        <f>IFERROR(__xludf.DUMMYFUNCTION("GOOGLETRANSLATE(D169, ""en"", ""hi"")"),"A) आक्रमणकारी टीम अपनी बारी खो देती है।")</f>
        <v>A) आक्रमणकारी टीम अपनी बारी खो देती है।</v>
      </c>
    </row>
    <row r="170" ht="22.5" customHeight="1">
      <c r="A170" s="2">
        <v>169.0</v>
      </c>
      <c r="B170" s="3" t="s">
        <v>4279</v>
      </c>
      <c r="C170" s="3" t="s">
        <v>4274</v>
      </c>
      <c r="D170" s="3" t="s">
        <v>4259</v>
      </c>
      <c r="F170" s="5" t="str">
        <f>IFERROR(__xludf.DUMMYFUNCTION("GOOGLETRANSLATE(A170, ""en"", ""hi"")"),"169")</f>
        <v>169</v>
      </c>
      <c r="G170" s="5" t="str">
        <f>IFERROR(__xludf.DUMMYFUNCTION("GOOGLETRANSLATE(B170, ""en"", ""hi"")"),"यदि कोई पत्थर गिरा दिया जाए और गेंद उस पर गिर जाए तो लागोरी में क्या करना चाहिए?")</f>
        <v>यदि कोई पत्थर गिरा दिया जाए और गेंद उस पर गिर जाए तो लागोरी में क्या करना चाहिए?</v>
      </c>
      <c r="H170" s="5" t="str">
        <f>IFERROR(__xludf.DUMMYFUNCTION("GOOGLETRANSLATE(C170, ""en"", ""hi"")"),"A) पत्थर नीचे ही रहता है और बारी रद्द हो जाती है। , B) पत्थर वापस मिल जाता है और खेल जारी रहता है। , C) आक्रमणकारी टीम को एक और मौका मिलता है। , D) खेल रोक दिया जाता है।")</f>
        <v>A) पत्थर नीचे ही रहता है और बारी रद्द हो जाती है। , B) पत्थर वापस मिल जाता है और खेल जारी रहता है। , C) आक्रमणकारी टीम को एक और मौका मिलता है। , D) खेल रोक दिया जाता है।</v>
      </c>
      <c r="I170" s="5" t="str">
        <f>IFERROR(__xludf.DUMMYFUNCTION("GOOGLETRANSLATE(D170, ""en"", ""hi"")"),"A) पत्थर नीचे ही रहता है और बारी रद्द हो जाती है।")</f>
        <v>A) पत्थर नीचे ही रहता है और बारी रद्द हो जाती है।</v>
      </c>
    </row>
    <row r="171" ht="22.5" customHeight="1">
      <c r="A171" s="2">
        <v>170.0</v>
      </c>
      <c r="B171" s="3" t="s">
        <v>4280</v>
      </c>
      <c r="C171" s="3" t="s">
        <v>4250</v>
      </c>
      <c r="D171" s="3" t="s">
        <v>4251</v>
      </c>
      <c r="F171" s="5" t="str">
        <f>IFERROR(__xludf.DUMMYFUNCTION("GOOGLETRANSLATE(A171, ""en"", ""hi"")"),"170")</f>
        <v>170</v>
      </c>
      <c r="G171" s="5" t="str">
        <f>IFERROR(__xludf.DUMMYFUNCTION("GOOGLETRANSLATE(B171, ""en"", ""hi"")"),"लागोरी में, यदि कोई पत्थर गिरा दिया जाए, लेकिन गेंद खेल क्षेत्र के बाहर गिर जाए, तो आगे क्या होगा?")</f>
        <v>लागोरी में, यदि कोई पत्थर गिरा दिया जाए, लेकिन गेंद खेल क्षेत्र के बाहर गिर जाए, तो आगे क्या होगा?</v>
      </c>
      <c r="H171" s="5" t="str">
        <f>IFERROR(__xludf.DUMMYFUNCTION("GOOGLETRANSLATE(C171,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71" s="5" t="str">
        <f>IFERROR(__xludf.DUMMYFUNCTION("GOOGLETRANSLATE(D171,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72" ht="22.5" customHeight="1">
      <c r="A172" s="2">
        <v>171.0</v>
      </c>
      <c r="B172" s="3" t="s">
        <v>4159</v>
      </c>
      <c r="C172" s="3" t="s">
        <v>4160</v>
      </c>
      <c r="D172" s="3" t="s">
        <v>4017</v>
      </c>
      <c r="F172" s="5" t="str">
        <f>IFERROR(__xludf.DUMMYFUNCTION("GOOGLETRANSLATE(A172, ""en"", ""hi"")"),"171")</f>
        <v>171</v>
      </c>
      <c r="G172" s="5" t="str">
        <f>IFERROR(__xludf.DUMMYFUNCTION("GOOGLETRANSLATE(B172, ""en"", ""hi"")"),"यदि मौसम की वजह से लागोरी खेल बाधित हो जाए तो सामान्य प्रक्रिया क्या होगी?")</f>
        <v>यदि मौसम की वजह से लागोरी खेल बाधित हो जाए तो सामान्य प्रक्रिया क्या होगी?</v>
      </c>
      <c r="H172" s="5" t="str">
        <f>IFERROR(__xludf.DUMMYFUNCTION("GOOGLETRANSLATE(C172, ""en"", ""hi"")"),"A)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v>
      </c>
      <c r="I172" s="5" t="str">
        <f>IFERROR(__xludf.DUMMYFUNCTION("GOOGLETRANSLATE(D172, ""en"", ""hi"")"),"A) खेल को तब तक रोक दिया जाता है जब तक कि स्थिति में सुधार न हो जाए।")</f>
        <v>A) खेल को तब तक रोक दिया जाता है जब तक कि स्थिति में सुधार न हो जाए।</v>
      </c>
    </row>
    <row r="173" ht="22.5" customHeight="1">
      <c r="A173" s="2">
        <v>172.0</v>
      </c>
      <c r="B173" s="3" t="s">
        <v>4281</v>
      </c>
      <c r="C173" s="3" t="s">
        <v>4282</v>
      </c>
      <c r="D173" s="3" t="s">
        <v>4244</v>
      </c>
      <c r="F173" s="5" t="str">
        <f>IFERROR(__xludf.DUMMYFUNCTION("GOOGLETRANSLATE(A173, ""en"", ""hi"")"),"172")</f>
        <v>172</v>
      </c>
      <c r="G173" s="5" t="str">
        <f>IFERROR(__xludf.DUMMYFUNCTION("GOOGLETRANSLATE(B173, ""en"", ""hi"")"),"लागोरी मैच के दौरान यदि गेंद फेंकी जाए और वह किसी ऐसे पत्थर पर गिरे जो अभी भी नीचे है, तो क्या किया जाना चाहिए?")</f>
        <v>लागोरी मैच के दौरान यदि गेंद फेंकी जाए और वह किसी ऐसे पत्थर पर गिरे जो अभी भी नीचे है, तो क्या किया जाना चाहिए?</v>
      </c>
      <c r="H173" s="5" t="str">
        <f>IFERROR(__xludf.DUMMYFUNCTION("GOOGLETRANSLATE(C173,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173" s="5" t="str">
        <f>IFERROR(__xludf.DUMMYFUNCTION("GOOGLETRANSLATE(D173, ""en"", ""hi"")"),"A) पत्थर नीचे ही रहता है और बारी असफल मानी जाती है।")</f>
        <v>A) पत्थर नीचे ही रहता है और बारी असफल मानी जाती है।</v>
      </c>
    </row>
    <row r="174" ht="22.5" customHeight="1">
      <c r="A174" s="2">
        <v>173.0</v>
      </c>
      <c r="B174" s="3" t="s">
        <v>4257</v>
      </c>
      <c r="C174" s="3" t="s">
        <v>4274</v>
      </c>
      <c r="D174" s="3" t="s">
        <v>4259</v>
      </c>
      <c r="F174" s="5" t="str">
        <f>IFERROR(__xludf.DUMMYFUNCTION("GOOGLETRANSLATE(A174, ""en"", ""hi"")"),"173")</f>
        <v>173</v>
      </c>
      <c r="G174" s="5" t="str">
        <f>IFERROR(__xludf.DUMMYFUNCTION("GOOGLETRANSLATE(B174, ""en"", ""hi"")"),"लागोरी में यदि कोई पत्थर गिरा दिया जाए और गेंद उस पर गिर जाए तो क्या होगा?")</f>
        <v>लागोरी में यदि कोई पत्थर गिरा दिया जाए और गेंद उस पर गिर जाए तो क्या होगा?</v>
      </c>
      <c r="H174" s="5" t="str">
        <f>IFERROR(__xludf.DUMMYFUNCTION("GOOGLETRANSLATE(C174, ""en"", ""hi"")"),"A) पत्थर नीचे ही रहता है और बारी रद्द हो जाती है। , B) पत्थर वापस मिल जाता है और खेल जारी रहता है। , C) आक्रमणकारी टीम को एक और मौका मिलता है। , D) खेल रोक दिया जाता है।")</f>
        <v>A) पत्थर नीचे ही रहता है और बारी रद्द हो जाती है। , B) पत्थर वापस मिल जाता है और खेल जारी रहता है। , C) आक्रमणकारी टीम को एक और मौका मिलता है। , D) खेल रोक दिया जाता है।</v>
      </c>
      <c r="I174" s="5" t="str">
        <f>IFERROR(__xludf.DUMMYFUNCTION("GOOGLETRANSLATE(D174, ""en"", ""hi"")"),"A) पत्थर नीचे ही रहता है और बारी रद्द हो जाती है।")</f>
        <v>A) पत्थर नीचे ही रहता है और बारी रद्द हो जाती है।</v>
      </c>
    </row>
    <row r="175" ht="22.5" customHeight="1">
      <c r="A175" s="2">
        <v>174.0</v>
      </c>
      <c r="B175" s="3" t="s">
        <v>4283</v>
      </c>
      <c r="C175" s="3" t="s">
        <v>4205</v>
      </c>
      <c r="D175" s="3" t="s">
        <v>4003</v>
      </c>
      <c r="F175" s="5" t="str">
        <f>IFERROR(__xludf.DUMMYFUNCTION("GOOGLETRANSLATE(A175, ""en"", ""hi"")"),"174")</f>
        <v>174</v>
      </c>
      <c r="G175" s="5" t="str">
        <f>IFERROR(__xludf.DUMMYFUNCTION("GOOGLETRANSLATE(B175, ""en"", ""hi"")"),"यदि लागोरी खेल के दौरान गेंद किसी ऐसे क्षेत्र में गिरती है जहां से उसे वापस लाना कठिन हो, तो क्या नियम होगा?")</f>
        <v>यदि लागोरी खेल के दौरान गेंद किसी ऐसे क्षेत्र में गिरती है जहां से उसे वापस लाना कठिन हो, तो क्या नियम होगा?</v>
      </c>
      <c r="H175" s="5" t="str">
        <f>IFERROR(__xludf.DUMMYFUNCTION("GOOGLETRANSLATE(C175,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75" s="5" t="str">
        <f>IFERROR(__xludf.DUMMYFUNCTION("GOOGLETRANSLATE(D175, ""en"", ""hi"")"),"A) आक्रमणकारी टीम अपनी बारी खो देती है।")</f>
        <v>A) आक्रमणकारी टीम अपनी बारी खो देती है।</v>
      </c>
    </row>
    <row r="176" ht="22.5" customHeight="1">
      <c r="A176" s="2">
        <v>175.0</v>
      </c>
      <c r="B176" s="3" t="s">
        <v>4284</v>
      </c>
      <c r="C176" s="3" t="s">
        <v>4129</v>
      </c>
      <c r="D176" s="3" t="s">
        <v>4130</v>
      </c>
      <c r="F176" s="5" t="str">
        <f>IFERROR(__xludf.DUMMYFUNCTION("GOOGLETRANSLATE(A176, ""en"", ""hi"")"),"175")</f>
        <v>175</v>
      </c>
      <c r="G176" s="5" t="str">
        <f>IFERROR(__xludf.DUMMYFUNCTION("GOOGLETRANSLATE(B176, ""en"", ""hi"")"),"लागोरी मैच के दौरान यदि गेंद फेंकी जाए और वह किसी पत्थर से टकराए बिना खेल क्षेत्र के बाहर गिर जाए तो क्या किया जाना चाहिए?")</f>
        <v>लागोरी मैच के दौरान यदि गेंद फेंकी जाए और वह किसी पत्थर से टकराए बिना खेल क्षेत्र के बाहर गिर जाए तो क्या किया जाना चाहिए?</v>
      </c>
      <c r="H176" s="5" t="str">
        <f>IFERROR(__xludf.DUMMYFUNCTION("GOOGLETRANSLATE(C176,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76" s="5" t="str">
        <f>IFERROR(__xludf.DUMMYFUNCTION("GOOGLETRANSLATE(D176, ""en"", ""hi"")"),"ए) बारी रद्द कर दी जाती है और गेंद वापस ले ली जाती है।")</f>
        <v>ए) बारी रद्द कर दी जाती है और गेंद वापस ले ली जाती है।</v>
      </c>
    </row>
    <row r="177" ht="22.5" customHeight="1">
      <c r="A177" s="2">
        <v>176.0</v>
      </c>
      <c r="B177" s="3" t="s">
        <v>4285</v>
      </c>
      <c r="C177" s="3" t="s">
        <v>4243</v>
      </c>
      <c r="D177" s="3" t="s">
        <v>4244</v>
      </c>
      <c r="F177" s="5" t="str">
        <f>IFERROR(__xludf.DUMMYFUNCTION("GOOGLETRANSLATE(A177, ""en"", ""hi"")"),"176")</f>
        <v>176</v>
      </c>
      <c r="G177" s="5" t="str">
        <f>IFERROR(__xludf.DUMMYFUNCTION("GOOGLETRANSLATE(B177, ""en"", ""hi"")"),"लागोरी में यदि कोई पत्थर गिराया जाए और गेंद उस पर गिरे तो क्या प्रक्रिया अपनाई जानी चाहिए?")</f>
        <v>लागोरी में यदि कोई पत्थर गिराया जाए और गेंद उस पर गिरे तो क्या प्रक्रिया अपनाई जानी चाहिए?</v>
      </c>
      <c r="H177" s="5" t="str">
        <f>IFERROR(__xludf.DUMMYFUNCTION("GOOGLETRANSLATE(C177, ""en"", ""hi"")"),"A)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f>
        <v>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v>
      </c>
      <c r="I177" s="5" t="str">
        <f>IFERROR(__xludf.DUMMYFUNCTION("GOOGLETRANSLATE(D177, ""en"", ""hi"")"),"A) पत्थर नीचे ही रहता है और बारी असफल मानी जाती है।")</f>
        <v>A) पत्थर नीचे ही रहता है और बारी असफल मानी जाती है।</v>
      </c>
    </row>
    <row r="178" ht="22.5" customHeight="1">
      <c r="A178" s="2">
        <v>177.0</v>
      </c>
      <c r="B178" s="3" t="s">
        <v>4286</v>
      </c>
      <c r="C178" s="3" t="s">
        <v>4250</v>
      </c>
      <c r="D178" s="3" t="s">
        <v>4251</v>
      </c>
      <c r="F178" s="5" t="str">
        <f>IFERROR(__xludf.DUMMYFUNCTION("GOOGLETRANSLATE(A178, ""en"", ""hi"")"),"177")</f>
        <v>177</v>
      </c>
      <c r="G178" s="5" t="str">
        <f>IFERROR(__xludf.DUMMYFUNCTION("GOOGLETRANSLATE(B178, ""en"", ""hi"")"),"यदि लागोरी खेल खेला जाता है और पत्थर गिरा दिए जाते हैं लेकिन गेंद खेल क्षेत्र के बाहर गिरती है, तो परिणाम क्या होगा?")</f>
        <v>यदि लागोरी खेल खेला जाता है और पत्थर गिरा दिए जाते हैं लेकिन गेंद खेल क्षेत्र के बाहर गिरती है, तो परिणाम क्या होगा?</v>
      </c>
      <c r="H178" s="5" t="str">
        <f>IFERROR(__xludf.DUMMYFUNCTION("GOOGLETRANSLATE(C178,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78" s="5" t="str">
        <f>IFERROR(__xludf.DUMMYFUNCTION("GOOGLETRANSLATE(D178,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79" ht="22.5" customHeight="1">
      <c r="A179" s="2">
        <v>178.0</v>
      </c>
      <c r="B179" s="3" t="s">
        <v>4287</v>
      </c>
      <c r="C179" s="3" t="s">
        <v>4205</v>
      </c>
      <c r="D179" s="3" t="s">
        <v>4003</v>
      </c>
      <c r="F179" s="5" t="str">
        <f>IFERROR(__xludf.DUMMYFUNCTION("GOOGLETRANSLATE(A179, ""en"", ""hi"")"),"178")</f>
        <v>178</v>
      </c>
      <c r="G179" s="5" t="str">
        <f>IFERROR(__xludf.DUMMYFUNCTION("GOOGLETRANSLATE(B179, ""en"", ""hi"")"),"लागोरी मैच के दौरान यदि गेंद फेंकी जाए और वह ऐसे क्षेत्र में गिरे जहां से उसे वापस लाना कठिन हो, तो परिणाम क्या होगा?")</f>
        <v>लागोरी मैच के दौरान यदि गेंद फेंकी जाए और वह ऐसे क्षेत्र में गिरे जहां से उसे वापस लाना कठिन हो, तो परिणाम क्या होगा?</v>
      </c>
      <c r="H179" s="5" t="str">
        <f>IFERROR(__xludf.DUMMYFUNCTION("GOOGLETRANSLATE(C179,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79" s="5" t="str">
        <f>IFERROR(__xludf.DUMMYFUNCTION("GOOGLETRANSLATE(D179, ""en"", ""hi"")"),"A) आक्रमणकारी टीम अपनी बारी खो देती है।")</f>
        <v>A) आक्रमणकारी टीम अपनी बारी खो देती है।</v>
      </c>
    </row>
    <row r="180" ht="22.5" customHeight="1">
      <c r="A180" s="2">
        <v>179.0</v>
      </c>
      <c r="B180" s="3" t="s">
        <v>4288</v>
      </c>
      <c r="C180" s="3" t="s">
        <v>4253</v>
      </c>
      <c r="D180" s="3" t="s">
        <v>4003</v>
      </c>
      <c r="F180" s="5" t="str">
        <f>IFERROR(__xludf.DUMMYFUNCTION("GOOGLETRANSLATE(A180, ""en"", ""hi"")"),"179")</f>
        <v>179</v>
      </c>
      <c r="G180" s="5" t="str">
        <f>IFERROR(__xludf.DUMMYFUNCTION("GOOGLETRANSLATE(B180, ""en"", ""hi"")"),"लागोरी में, यदि आक्रमणकारी टीम का कोई खिलाड़ी गेंद फेंकता है और वह पत्थर पर गिरती है, लेकिन उसे नीचे नहीं गिराती है, तो क्या किया जाना चाहिए?")</f>
        <v>लागोरी में, यदि आक्रमणकारी टीम का कोई खिलाड़ी गेंद फेंकता है और वह पत्थर पर गिरती है, लेकिन उसे नीचे नहीं गिराती है, तो क्या किया जाना चाहिए?</v>
      </c>
      <c r="H180" s="5" t="str">
        <f>IFERROR(__xludf.DUMMYFUNCTION("GOOGLETRANSLATE(C180, ""en"", ""hi"")"),"A) आक्रमणकारी टीम अपनी बारी खो देती है। , B) पत्थर गिरा हुआ माना जाता है। , C) खेल रोक दिया जाता है। , D) गेंद को फिर से फेंका जाता है।")</f>
        <v>A) आक्रमणकारी टीम अपनी बारी खो देती है। , B) पत्थर गिरा हुआ माना जाता है। , C) खेल रोक दिया जाता है। , D) गेंद को फिर से फेंका जाता है।</v>
      </c>
      <c r="I180" s="5" t="str">
        <f>IFERROR(__xludf.DUMMYFUNCTION("GOOGLETRANSLATE(D180, ""en"", ""hi"")"),"A) आक्रमणकारी टीम अपनी बारी खो देती है।")</f>
        <v>A) आक्रमणकारी टीम अपनी बारी खो देती है।</v>
      </c>
    </row>
    <row r="181" ht="22.5" customHeight="1">
      <c r="A181" s="2">
        <v>180.0</v>
      </c>
      <c r="B181" s="3" t="s">
        <v>4289</v>
      </c>
      <c r="C181" s="3" t="s">
        <v>4290</v>
      </c>
      <c r="D181" s="3" t="s">
        <v>4291</v>
      </c>
      <c r="F181" s="5" t="str">
        <f>IFERROR(__xludf.DUMMYFUNCTION("GOOGLETRANSLATE(A181, ""en"", ""hi"")"),"180")</f>
        <v>180</v>
      </c>
      <c r="G181" s="5" t="str">
        <f>IFERROR(__xludf.DUMMYFUNCTION("GOOGLETRANSLATE(B181, ""en"", ""hi"")"),"यदि बारिश के कारण लागोरी खेल बाधित हो जाए तो सामान्य प्रक्रिया क्या होगी?")</f>
        <v>यदि बारिश के कारण लागोरी खेल बाधित हो जाए तो सामान्य प्रक्रिया क्या होगी?</v>
      </c>
      <c r="H181" s="5" t="str">
        <f>IFERROR(__xludf.DUMMYFUNCTION("GOOGLETRANSLATE(C181, ""en"", ""hi"")"),"A) मौसम की स्थिति में सुधार होने तक खेल को रोक दिया जाता है। , B) खेल रद्द कर दिया जाता है। , C) खेल को शुरू से फिर से शुरू किया जाता है। , D) रुकावट के समय सबसे अधिक अंक वाली टीम को विजेता घोषित किया जाता है।")</f>
        <v>A) मौसम की स्थिति में सुधार होने तक खेल को रोक दिया जाता है। , B) खेल रद्द कर दिया जाता है। , C) खेल को शुरू से फिर से शुरू किया जाता है। , D) रुकावट के समय सबसे अधिक अंक वाली टीम को विजेता घोषित किया जाता है।</v>
      </c>
      <c r="I181" s="5" t="str">
        <f>IFERROR(__xludf.DUMMYFUNCTION("GOOGLETRANSLATE(D181, ""en"", ""hi"")"),"A) मौसम की स्थिति में सुधार होने तक खेल को रोक दिया जाता है।")</f>
        <v>A) मौसम की स्थिति में सुधार होने तक खेल को रोक दिया जाता है।</v>
      </c>
    </row>
    <row r="182" ht="22.5" customHeight="1">
      <c r="A182" s="2">
        <v>181.0</v>
      </c>
      <c r="B182" s="3" t="s">
        <v>4292</v>
      </c>
      <c r="C182" s="3" t="s">
        <v>4243</v>
      </c>
      <c r="D182" s="3" t="s">
        <v>4244</v>
      </c>
      <c r="F182" s="5" t="str">
        <f>IFERROR(__xludf.DUMMYFUNCTION("GOOGLETRANSLATE(A182, ""en"", ""hi"")"),"181")</f>
        <v>181</v>
      </c>
      <c r="G182" s="5" t="str">
        <f>IFERROR(__xludf.DUMMYFUNCTION("GOOGLETRANSLATE(B182, ""en"", ""hi"")"),"लागोरी मैच के दौरान यदि गेंद किसी ऐसे पत्थर पर गिरती है जो अभी भी नीचे है, तो क्या नियम है?")</f>
        <v>लागोरी मैच के दौरान यदि गेंद किसी ऐसे पत्थर पर गिरती है जो अभी भी नीचे है, तो क्या नियम है?</v>
      </c>
      <c r="H182" s="5" t="str">
        <f>IFERROR(__xludf.DUMMYFUNCTION("GOOGLETRANSLATE(C182, ""en"", ""hi"")"),"A)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f>
        <v>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v>
      </c>
      <c r="I182" s="5" t="str">
        <f>IFERROR(__xludf.DUMMYFUNCTION("GOOGLETRANSLATE(D182, ""en"", ""hi"")"),"A) पत्थर नीचे ही रहता है और बारी असफल मानी जाती है।")</f>
        <v>A) पत्थर नीचे ही रहता है और बारी असफल मानी जाती है।</v>
      </c>
    </row>
    <row r="183" ht="22.5" customHeight="1">
      <c r="A183" s="2">
        <v>182.0</v>
      </c>
      <c r="B183" s="3" t="s">
        <v>4293</v>
      </c>
      <c r="C183" s="3" t="s">
        <v>4241</v>
      </c>
      <c r="D183" s="3" t="s">
        <v>4193</v>
      </c>
      <c r="F183" s="5" t="str">
        <f>IFERROR(__xludf.DUMMYFUNCTION("GOOGLETRANSLATE(A183, ""en"", ""hi"")"),"182")</f>
        <v>182</v>
      </c>
      <c r="G183" s="5" t="str">
        <f>IFERROR(__xludf.DUMMYFUNCTION("GOOGLETRANSLATE(B183, ""en"", ""hi"")"),"लागोरी में यदि कोई खिलाड़ी गलती से किसी गिरे हुए पत्थर को छू ले तो क्या करना चाहिए?")</f>
        <v>लागोरी में यदि कोई खिलाड़ी गलती से किसी गिरे हुए पत्थर को छू ले तो क्या करना चाहिए?</v>
      </c>
      <c r="H183" s="5" t="str">
        <f>IFERROR(__xludf.DUMMYFUNCTION("GOOGLETRANSLATE(C183, ""en"", ""hi"")"),"A)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f>
        <v>A) पत्थर वापस रख दिया जाता है और बचाव करने वाली टीम अपनी बारी खो देती है। , B) पत्थर नीचे ही रहता है। , C) खेल बिना पेनल्टी के जारी रहता है। , D) आक्रमण करने वाली टीम को एक अतिरिक्त मौका मिलता है।</v>
      </c>
      <c r="I183" s="5" t="str">
        <f>IFERROR(__xludf.DUMMYFUNCTION("GOOGLETRANSLATE(D183, ""en"", ""hi"")"),"A) पत्थर को पुनः स्थापित कर दिया जाता है और बचाव करने वाली टीम अपनी बारी खो देती है।")</f>
        <v>A) पत्थर को पुनः स्थापित कर दिया जाता है और बचाव करने वाली टीम अपनी बारी खो देती है।</v>
      </c>
    </row>
    <row r="184" ht="22.5" customHeight="1">
      <c r="A184" s="2">
        <v>183.0</v>
      </c>
      <c r="B184" s="3" t="s">
        <v>4294</v>
      </c>
      <c r="C184" s="3" t="s">
        <v>4205</v>
      </c>
      <c r="D184" s="3" t="s">
        <v>4003</v>
      </c>
      <c r="F184" s="5" t="str">
        <f>IFERROR(__xludf.DUMMYFUNCTION("GOOGLETRANSLATE(A184, ""en"", ""hi"")"),"183")</f>
        <v>183</v>
      </c>
      <c r="G184" s="5" t="str">
        <f>IFERROR(__xludf.DUMMYFUNCTION("GOOGLETRANSLATE(B184, ""en"", ""hi"")"),"यदि गेंद को फेंका जाए और वह ऐसे क्षेत्र में गिरे जहां लागोरी खेल के दौरान उसे वापस लाना कठिन हो, तो परिणाम क्या होगा?")</f>
        <v>यदि गेंद को फेंका जाए और वह ऐसे क्षेत्र में गिरे जहां लागोरी खेल के दौरान उसे वापस लाना कठिन हो, तो परिणाम क्या होगा?</v>
      </c>
      <c r="H184" s="5" t="str">
        <f>IFERROR(__xludf.DUMMYFUNCTION("GOOGLETRANSLATE(C184,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84" s="5" t="str">
        <f>IFERROR(__xludf.DUMMYFUNCTION("GOOGLETRANSLATE(D184, ""en"", ""hi"")"),"A) आक्रमणकारी टीम अपनी बारी खो देती है।")</f>
        <v>A) आक्रमणकारी टीम अपनी बारी खो देती है।</v>
      </c>
    </row>
    <row r="185" ht="22.5" customHeight="1">
      <c r="A185" s="2">
        <v>184.0</v>
      </c>
      <c r="B185" s="3" t="s">
        <v>4295</v>
      </c>
      <c r="C185" s="3" t="s">
        <v>4282</v>
      </c>
      <c r="D185" s="3" t="s">
        <v>4244</v>
      </c>
      <c r="F185" s="5" t="str">
        <f>IFERROR(__xludf.DUMMYFUNCTION("GOOGLETRANSLATE(A185, ""en"", ""hi"")"),"184")</f>
        <v>184</v>
      </c>
      <c r="G185" s="5" t="str">
        <f>IFERROR(__xludf.DUMMYFUNCTION("GOOGLETRANSLATE(B185, ""en"", ""hi"")"),"लागोरी मैच के दौरान यदि कोई पत्थर गिरा दिया जाए और गेंद उस पर गिर जाए तो क्या प्रक्रिया अपनाई जानी चाहिए?")</f>
        <v>लागोरी मैच के दौरान यदि कोई पत्थर गिरा दिया जाए और गेंद उस पर गिर जाए तो क्या प्रक्रिया अपनाई जानी चाहिए?</v>
      </c>
      <c r="H185" s="5" t="str">
        <f>IFERROR(__xludf.DUMMYFUNCTION("GOOGLETRANSLATE(C185,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185" s="5" t="str">
        <f>IFERROR(__xludf.DUMMYFUNCTION("GOOGLETRANSLATE(D185, ""en"", ""hi"")"),"A) पत्थर नीचे ही रहता है और बारी असफल मानी जाती है।")</f>
        <v>A) पत्थर नीचे ही रहता है और बारी असफल मानी जाती है।</v>
      </c>
    </row>
    <row r="186" ht="22.5" customHeight="1">
      <c r="A186" s="2">
        <v>185.0</v>
      </c>
      <c r="B186" s="3" t="s">
        <v>4159</v>
      </c>
      <c r="C186" s="3" t="s">
        <v>4160</v>
      </c>
      <c r="D186" s="3" t="s">
        <v>4017</v>
      </c>
      <c r="F186" s="5" t="str">
        <f>IFERROR(__xludf.DUMMYFUNCTION("GOOGLETRANSLATE(A186, ""en"", ""hi"")"),"185")</f>
        <v>185</v>
      </c>
      <c r="G186" s="5" t="str">
        <f>IFERROR(__xludf.DUMMYFUNCTION("GOOGLETRANSLATE(B186, ""en"", ""hi"")"),"यदि मौसम की वजह से लागोरी खेल बाधित हो जाए तो सामान्य प्रक्रिया क्या होगी?")</f>
        <v>यदि मौसम की वजह से लागोरी खेल बाधित हो जाए तो सामान्य प्रक्रिया क्या होगी?</v>
      </c>
      <c r="H186" s="5" t="str">
        <f>IFERROR(__xludf.DUMMYFUNCTION("GOOGLETRANSLATE(C186, ""en"", ""hi"")"),"A)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v>
      </c>
      <c r="I186" s="5" t="str">
        <f>IFERROR(__xludf.DUMMYFUNCTION("GOOGLETRANSLATE(D186, ""en"", ""hi"")"),"A) खेल को तब तक रोक दिया जाता है जब तक कि स्थिति में सुधार न हो जाए।")</f>
        <v>A) खेल को तब तक रोक दिया जाता है जब तक कि स्थिति में सुधार न हो जाए।</v>
      </c>
    </row>
    <row r="187" ht="22.5" customHeight="1">
      <c r="A187" s="2">
        <v>186.0</v>
      </c>
      <c r="B187" s="3" t="s">
        <v>4296</v>
      </c>
      <c r="C187" s="3" t="s">
        <v>4129</v>
      </c>
      <c r="D187" s="3" t="s">
        <v>4130</v>
      </c>
      <c r="F187" s="5" t="str">
        <f>IFERROR(__xludf.DUMMYFUNCTION("GOOGLETRANSLATE(A187, ""en"", ""hi"")"),"186")</f>
        <v>186</v>
      </c>
      <c r="G187" s="5" t="str">
        <f>IFERROR(__xludf.DUMMYFUNCTION("GOOGLETRANSLATE(B187, ""en"", ""hi"")"),"लागोरी मैच के दौरान यदि गेंद किसी पत्थर से टकराए बिना खेल क्षेत्र के बाहर गिर जाए तो क्या करना चाहिए?")</f>
        <v>लागोरी मैच के दौरान यदि गेंद किसी पत्थर से टकराए बिना खेल क्षेत्र के बाहर गिर जाए तो क्या करना चाहिए?</v>
      </c>
      <c r="H187" s="5" t="str">
        <f>IFERROR(__xludf.DUMMYFUNCTION("GOOGLETRANSLATE(C187,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87" s="5" t="str">
        <f>IFERROR(__xludf.DUMMYFUNCTION("GOOGLETRANSLATE(D187, ""en"", ""hi"")"),"ए) बारी रद्द कर दी जाती है और गेंद वापस ले ली जाती है।")</f>
        <v>ए) बारी रद्द कर दी जाती है और गेंद वापस ले ली जाती है।</v>
      </c>
    </row>
    <row r="188" ht="22.5" customHeight="1">
      <c r="A188" s="2">
        <v>187.0</v>
      </c>
      <c r="B188" s="3" t="s">
        <v>4297</v>
      </c>
      <c r="C188" s="3" t="s">
        <v>4243</v>
      </c>
      <c r="D188" s="3" t="s">
        <v>4244</v>
      </c>
      <c r="F188" s="5" t="str">
        <f>IFERROR(__xludf.DUMMYFUNCTION("GOOGLETRANSLATE(A188, ""en"", ""hi"")"),"187")</f>
        <v>187</v>
      </c>
      <c r="G188" s="5" t="str">
        <f>IFERROR(__xludf.DUMMYFUNCTION("GOOGLETRANSLATE(B188, ""en"", ""hi"")"),"लागोरी में, यदि गेंद किसी ऐसे पत्थर पर गिरती है जो अभी भी नीचे है, तो परिणाम क्या होगा?")</f>
        <v>लागोरी में, यदि गेंद किसी ऐसे पत्थर पर गिरती है जो अभी भी नीचे है, तो परिणाम क्या होगा?</v>
      </c>
      <c r="H188" s="5" t="str">
        <f>IFERROR(__xludf.DUMMYFUNCTION("GOOGLETRANSLATE(C188, ""en"", ""hi"")"),"A)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f>
        <v>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v>
      </c>
      <c r="I188" s="5" t="str">
        <f>IFERROR(__xludf.DUMMYFUNCTION("GOOGLETRANSLATE(D188, ""en"", ""hi"")"),"A) पत्थर नीचे ही रहता है और बारी असफल मानी जाती है।")</f>
        <v>A) पत्थर नीचे ही रहता है और बारी असफल मानी जाती है।</v>
      </c>
    </row>
    <row r="189" ht="22.5" customHeight="1">
      <c r="A189" s="2">
        <v>188.0</v>
      </c>
      <c r="B189" s="3" t="s">
        <v>4249</v>
      </c>
      <c r="C189" s="3" t="s">
        <v>4250</v>
      </c>
      <c r="D189" s="3" t="s">
        <v>4251</v>
      </c>
      <c r="F189" s="5" t="str">
        <f>IFERROR(__xludf.DUMMYFUNCTION("GOOGLETRANSLATE(A189, ""en"", ""hi"")"),"188")</f>
        <v>188</v>
      </c>
      <c r="G189" s="5" t="str">
        <f>IFERROR(__xludf.DUMMYFUNCTION("GOOGLETRANSLATE(B189,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189" s="5" t="str">
        <f>IFERROR(__xludf.DUMMYFUNCTION("GOOGLETRANSLATE(C189,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89" s="5" t="str">
        <f>IFERROR(__xludf.DUMMYFUNCTION("GOOGLETRANSLATE(D189,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90" ht="22.5" customHeight="1">
      <c r="A190" s="2">
        <v>189.0</v>
      </c>
      <c r="B190" s="3" t="s">
        <v>4298</v>
      </c>
      <c r="C190" s="3" t="s">
        <v>4205</v>
      </c>
      <c r="D190" s="3" t="s">
        <v>4003</v>
      </c>
      <c r="F190" s="5" t="str">
        <f>IFERROR(__xludf.DUMMYFUNCTION("GOOGLETRANSLATE(A190, ""en"", ""hi"")"),"189")</f>
        <v>189</v>
      </c>
      <c r="G190" s="5" t="str">
        <f>IFERROR(__xludf.DUMMYFUNCTION("GOOGLETRANSLATE(B190, ""en"", ""hi"")"),"लागोरी मैच के दौरान यदि गेंद किसी ऐसे क्षेत्र में गिरती है जहां से उसे वापस लाना कठिन हो, तो क्या नियम होगा?")</f>
        <v>लागोरी मैच के दौरान यदि गेंद किसी ऐसे क्षेत्र में गिरती है जहां से उसे वापस लाना कठिन हो, तो क्या नियम होगा?</v>
      </c>
      <c r="H190" s="5" t="str">
        <f>IFERROR(__xludf.DUMMYFUNCTION("GOOGLETRANSLATE(C190,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90" s="5" t="str">
        <f>IFERROR(__xludf.DUMMYFUNCTION("GOOGLETRANSLATE(D190, ""en"", ""hi"")"),"A) आक्रमणकारी टीम अपनी बारी खो देती है।")</f>
        <v>A) आक्रमणकारी टीम अपनी बारी खो देती है।</v>
      </c>
    </row>
    <row r="191" ht="22.5" customHeight="1">
      <c r="A191" s="2">
        <v>190.0</v>
      </c>
      <c r="B191" s="3" t="s">
        <v>4288</v>
      </c>
      <c r="C191" s="3" t="s">
        <v>4253</v>
      </c>
      <c r="D191" s="3" t="s">
        <v>4003</v>
      </c>
      <c r="F191" s="5" t="str">
        <f>IFERROR(__xludf.DUMMYFUNCTION("GOOGLETRANSLATE(A191, ""en"", ""hi"")"),"190")</f>
        <v>190</v>
      </c>
      <c r="G191" s="5" t="str">
        <f>IFERROR(__xludf.DUMMYFUNCTION("GOOGLETRANSLATE(B191, ""en"", ""hi"")"),"लागोरी में, यदि आक्रमणकारी टीम का कोई खिलाड़ी गेंद फेंकता है और वह पत्थर पर गिरती है, लेकिन उसे नीचे नहीं गिराती है, तो क्या किया जाना चाहिए?")</f>
        <v>लागोरी में, यदि आक्रमणकारी टीम का कोई खिलाड़ी गेंद फेंकता है और वह पत्थर पर गिरती है, लेकिन उसे नीचे नहीं गिराती है, तो क्या किया जाना चाहिए?</v>
      </c>
      <c r="H191" s="5" t="str">
        <f>IFERROR(__xludf.DUMMYFUNCTION("GOOGLETRANSLATE(C191, ""en"", ""hi"")"),"A) आक्रमणकारी टीम अपनी बारी खो देती है। , B) पत्थर गिरा हुआ माना जाता है। , C) खेल रोक दिया जाता है। , D) गेंद को फिर से फेंका जाता है।")</f>
        <v>A) आक्रमणकारी टीम अपनी बारी खो देती है। , B) पत्थर गिरा हुआ माना जाता है। , C) खेल रोक दिया जाता है। , D) गेंद को फिर से फेंका जाता है।</v>
      </c>
      <c r="I191" s="5" t="str">
        <f>IFERROR(__xludf.DUMMYFUNCTION("GOOGLETRANSLATE(D191, ""en"", ""hi"")"),"A) आक्रमणकारी टीम अपनी बारी खो देती है।")</f>
        <v>A) आक्रमणकारी टीम अपनी बारी खो देती है।</v>
      </c>
    </row>
    <row r="192" ht="22.5" customHeight="1">
      <c r="A192" s="2">
        <v>191.0</v>
      </c>
      <c r="B192" s="3" t="s">
        <v>4289</v>
      </c>
      <c r="C192" s="3" t="s">
        <v>4290</v>
      </c>
      <c r="D192" s="3" t="s">
        <v>4291</v>
      </c>
      <c r="F192" s="5" t="str">
        <f>IFERROR(__xludf.DUMMYFUNCTION("GOOGLETRANSLATE(A192, ""en"", ""hi"")"),"191")</f>
        <v>191</v>
      </c>
      <c r="G192" s="5" t="str">
        <f>IFERROR(__xludf.DUMMYFUNCTION("GOOGLETRANSLATE(B192, ""en"", ""hi"")"),"यदि बारिश के कारण लागोरी खेल बाधित हो जाए तो सामान्य प्रक्रिया क्या होगी?")</f>
        <v>यदि बारिश के कारण लागोरी खेल बाधित हो जाए तो सामान्य प्रक्रिया क्या होगी?</v>
      </c>
      <c r="H192" s="5" t="str">
        <f>IFERROR(__xludf.DUMMYFUNCTION("GOOGLETRANSLATE(C192, ""en"", ""hi"")"),"A) मौसम की स्थिति में सुधार होने तक खेल को रोक दिया जाता है। , B) खेल रद्द कर दिया जाता है। , C) खेल को शुरू से फिर से शुरू किया जाता है। , D) रुकावट के समय सबसे अधिक अंक वाली टीम को विजेता घोषित किया जाता है।")</f>
        <v>A) मौसम की स्थिति में सुधार होने तक खेल को रोक दिया जाता है। , B) खेल रद्द कर दिया जाता है। , C) खेल को शुरू से फिर से शुरू किया जाता है। , D) रुकावट के समय सबसे अधिक अंक वाली टीम को विजेता घोषित किया जाता है।</v>
      </c>
      <c r="I192" s="5" t="str">
        <f>IFERROR(__xludf.DUMMYFUNCTION("GOOGLETRANSLATE(D192, ""en"", ""hi"")"),"A) मौसम की स्थिति में सुधार होने तक खेल को रोक दिया जाता है।")</f>
        <v>A) मौसम की स्थिति में सुधार होने तक खेल को रोक दिया जाता है।</v>
      </c>
    </row>
    <row r="193" ht="22.5" customHeight="1">
      <c r="A193" s="2">
        <v>192.0</v>
      </c>
      <c r="B193" s="3" t="s">
        <v>4292</v>
      </c>
      <c r="C193" s="3" t="s">
        <v>4243</v>
      </c>
      <c r="D193" s="3" t="s">
        <v>4244</v>
      </c>
      <c r="F193" s="5" t="str">
        <f>IFERROR(__xludf.DUMMYFUNCTION("GOOGLETRANSLATE(A193, ""en"", ""hi"")"),"192")</f>
        <v>192</v>
      </c>
      <c r="G193" s="5" t="str">
        <f>IFERROR(__xludf.DUMMYFUNCTION("GOOGLETRANSLATE(B193, ""en"", ""hi"")"),"लागोरी मैच के दौरान यदि गेंद किसी ऐसे पत्थर पर गिरती है जो अभी भी नीचे है, तो क्या नियम है?")</f>
        <v>लागोरी मैच के दौरान यदि गेंद किसी ऐसे पत्थर पर गिरती है जो अभी भी नीचे है, तो क्या नियम है?</v>
      </c>
      <c r="H193" s="5" t="str">
        <f>IFERROR(__xludf.DUMMYFUNCTION("GOOGLETRANSLATE(C193, ""en"", ""hi"")"),"A)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f>
        <v>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v>
      </c>
      <c r="I193" s="5" t="str">
        <f>IFERROR(__xludf.DUMMYFUNCTION("GOOGLETRANSLATE(D193, ""en"", ""hi"")"),"A) पत्थर नीचे ही रहता है और बारी असफल मानी जाती है।")</f>
        <v>A) पत्थर नीचे ही रहता है और बारी असफल मानी जाती है।</v>
      </c>
    </row>
    <row r="194" ht="22.5" customHeight="1">
      <c r="A194" s="2">
        <v>193.0</v>
      </c>
      <c r="B194" s="3" t="s">
        <v>4257</v>
      </c>
      <c r="C194" s="3" t="s">
        <v>4274</v>
      </c>
      <c r="D194" s="3" t="s">
        <v>4259</v>
      </c>
      <c r="F194" s="5" t="str">
        <f>IFERROR(__xludf.DUMMYFUNCTION("GOOGLETRANSLATE(A194, ""en"", ""hi"")"),"193")</f>
        <v>193</v>
      </c>
      <c r="G194" s="5" t="str">
        <f>IFERROR(__xludf.DUMMYFUNCTION("GOOGLETRANSLATE(B194, ""en"", ""hi"")"),"लागोरी में यदि कोई पत्थर गिरा दिया जाए और गेंद उस पर गिर जाए तो क्या होगा?")</f>
        <v>लागोरी में यदि कोई पत्थर गिरा दिया जाए और गेंद उस पर गिर जाए तो क्या होगा?</v>
      </c>
      <c r="H194" s="5" t="str">
        <f>IFERROR(__xludf.DUMMYFUNCTION("GOOGLETRANSLATE(C194, ""en"", ""hi"")"),"A) पत्थर नीचे ही रहता है और बारी रद्द हो जाती है। , B) पत्थर वापस मिल जाता है और खेल जारी रहता है। , C) आक्रमणकारी टीम को एक और मौका मिलता है। , D) खेल रोक दिया जाता है।")</f>
        <v>A) पत्थर नीचे ही रहता है और बारी रद्द हो जाती है। , B) पत्थर वापस मिल जाता है और खेल जारी रहता है। , C) आक्रमणकारी टीम को एक और मौका मिलता है। , D) खेल रोक दिया जाता है।</v>
      </c>
      <c r="I194" s="5" t="str">
        <f>IFERROR(__xludf.DUMMYFUNCTION("GOOGLETRANSLATE(D194, ""en"", ""hi"")"),"A) पत्थर नीचे ही रहता है और बारी रद्द हो जाती है।")</f>
        <v>A) पत्थर नीचे ही रहता है और बारी रद्द हो जाती है।</v>
      </c>
    </row>
    <row r="195" ht="22.5" customHeight="1">
      <c r="A195" s="2">
        <v>194.0</v>
      </c>
      <c r="B195" s="3" t="s">
        <v>4283</v>
      </c>
      <c r="C195" s="3" t="s">
        <v>4205</v>
      </c>
      <c r="D195" s="3" t="s">
        <v>4003</v>
      </c>
      <c r="F195" s="5" t="str">
        <f>IFERROR(__xludf.DUMMYFUNCTION("GOOGLETRANSLATE(A195, ""en"", ""hi"")"),"194")</f>
        <v>194</v>
      </c>
      <c r="G195" s="5" t="str">
        <f>IFERROR(__xludf.DUMMYFUNCTION("GOOGLETRANSLATE(B195, ""en"", ""hi"")"),"यदि लागोरी खेल के दौरान गेंद किसी ऐसे क्षेत्र में गिरती है जहां से उसे वापस लाना कठिन हो, तो क्या नियम होगा?")</f>
        <v>यदि लागोरी खेल के दौरान गेंद किसी ऐसे क्षेत्र में गिरती है जहां से उसे वापस लाना कठिन हो, तो क्या नियम होगा?</v>
      </c>
      <c r="H195" s="5" t="str">
        <f>IFERROR(__xludf.DUMMYFUNCTION("GOOGLETRANSLATE(C195,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95" s="5" t="str">
        <f>IFERROR(__xludf.DUMMYFUNCTION("GOOGLETRANSLATE(D195, ""en"", ""hi"")"),"A) आक्रमणकारी टीम अपनी बारी खो देती है।")</f>
        <v>A) आक्रमणकारी टीम अपनी बारी खो देती है।</v>
      </c>
    </row>
    <row r="196" ht="22.5" customHeight="1">
      <c r="A196" s="2">
        <v>195.0</v>
      </c>
      <c r="B196" s="3" t="s">
        <v>4299</v>
      </c>
      <c r="C196" s="3" t="s">
        <v>4129</v>
      </c>
      <c r="D196" s="3" t="s">
        <v>4130</v>
      </c>
      <c r="F196" s="5" t="str">
        <f>IFERROR(__xludf.DUMMYFUNCTION("GOOGLETRANSLATE(A196, ""en"", ""hi"")"),"195")</f>
        <v>195</v>
      </c>
      <c r="G196" s="5" t="str">
        <f>IFERROR(__xludf.DUMMYFUNCTION("GOOGLETRANSLATE(B196, ""en"", ""hi"")"),"लागोरी मैच के दौरान यदि गेंद फेंकी जाए और वह बिना किसी पत्थर से टकराए खेल क्षेत्र के बाहर गिर जाए तो क्या करना चाहिए?")</f>
        <v>लागोरी मैच के दौरान यदि गेंद फेंकी जाए और वह बिना किसी पत्थर से टकराए खेल क्षेत्र के बाहर गिर जाए तो क्या करना चाहिए?</v>
      </c>
      <c r="H196" s="5" t="str">
        <f>IFERROR(__xludf.DUMMYFUNCTION("GOOGLETRANSLATE(C196,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196" s="5" t="str">
        <f>IFERROR(__xludf.DUMMYFUNCTION("GOOGLETRANSLATE(D196, ""en"", ""hi"")"),"ए) बारी रद्द कर दी जाती है और गेंद वापस ले ली जाती है।")</f>
        <v>ए) बारी रद्द कर दी जाती है और गेंद वापस ले ली जाती है।</v>
      </c>
    </row>
    <row r="197" ht="22.5" customHeight="1">
      <c r="A197" s="2">
        <v>196.0</v>
      </c>
      <c r="B197" s="3" t="s">
        <v>4285</v>
      </c>
      <c r="C197" s="3" t="s">
        <v>4243</v>
      </c>
      <c r="D197" s="3" t="s">
        <v>4244</v>
      </c>
      <c r="F197" s="5" t="str">
        <f>IFERROR(__xludf.DUMMYFUNCTION("GOOGLETRANSLATE(A197, ""en"", ""hi"")"),"196")</f>
        <v>196</v>
      </c>
      <c r="G197" s="5" t="str">
        <f>IFERROR(__xludf.DUMMYFUNCTION("GOOGLETRANSLATE(B197, ""en"", ""hi"")"),"लागोरी में यदि कोई पत्थर गिराया जाए और गेंद उस पर गिरे तो क्या प्रक्रिया अपनाई जानी चाहिए?")</f>
        <v>लागोरी में यदि कोई पत्थर गिराया जाए और गेंद उस पर गिरे तो क्या प्रक्रिया अपनाई जानी चाहिए?</v>
      </c>
      <c r="H197" s="5" t="str">
        <f>IFERROR(__xludf.DUMMYFUNCTION("GOOGLETRANSLATE(C197, ""en"", ""hi"")"),"A)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f>
        <v>A) पत्थर नीचे रह जाता है और बारी असफल मानी जाती है। , B) पत्थर वापस आ जाता है और खेल जारी रहता है। , C) आक्रमणकारी टीम को फेंकने का एक और मौका मिलता है। , D) खेल रोक दिया जाता है।</v>
      </c>
      <c r="I197" s="5" t="str">
        <f>IFERROR(__xludf.DUMMYFUNCTION("GOOGLETRANSLATE(D197, ""en"", ""hi"")"),"A) पत्थर नीचे ही रहता है और बारी असफल मानी जाती है।")</f>
        <v>A) पत्थर नीचे ही रहता है और बारी असफल मानी जाती है।</v>
      </c>
    </row>
    <row r="198" ht="22.5" customHeight="1">
      <c r="A198" s="2">
        <v>197.0</v>
      </c>
      <c r="B198" s="3" t="s">
        <v>4249</v>
      </c>
      <c r="C198" s="3" t="s">
        <v>4250</v>
      </c>
      <c r="D198" s="3" t="s">
        <v>4251</v>
      </c>
      <c r="F198" s="5" t="str">
        <f>IFERROR(__xludf.DUMMYFUNCTION("GOOGLETRANSLATE(A198, ""en"", ""hi"")"),"197")</f>
        <v>197</v>
      </c>
      <c r="G198" s="5" t="str">
        <f>IFERROR(__xludf.DUMMYFUNCTION("GOOGLETRANSLATE(B198,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198" s="5" t="str">
        <f>IFERROR(__xludf.DUMMYFUNCTION("GOOGLETRANSLATE(C198,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198" s="5" t="str">
        <f>IFERROR(__xludf.DUMMYFUNCTION("GOOGLETRANSLATE(D198,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199" ht="22.5" customHeight="1">
      <c r="A199" s="2">
        <v>198.0</v>
      </c>
      <c r="B199" s="3" t="s">
        <v>4300</v>
      </c>
      <c r="C199" s="3" t="s">
        <v>4205</v>
      </c>
      <c r="D199" s="3" t="s">
        <v>4003</v>
      </c>
      <c r="F199" s="5" t="str">
        <f>IFERROR(__xludf.DUMMYFUNCTION("GOOGLETRANSLATE(A199, ""en"", ""hi"")"),"198")</f>
        <v>198</v>
      </c>
      <c r="G199" s="5" t="str">
        <f>IFERROR(__xludf.DUMMYFUNCTION("GOOGLETRANSLATE(B199, ""en"", ""hi"")"),"लागोरी मैच के दौरान यदि गेंद किसी ऐसे क्षेत्र में गिरती है जहां से उसे वापस लाना कठिन हो, तो परिणाम क्या होगा?")</f>
        <v>लागोरी मैच के दौरान यदि गेंद किसी ऐसे क्षेत्र में गिरती है जहां से उसे वापस लाना कठिन हो, तो परिणाम क्या होगा?</v>
      </c>
      <c r="H199" s="5" t="str">
        <f>IFERROR(__xludf.DUMMYFUNCTION("GOOGLETRANSLATE(C199,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199" s="5" t="str">
        <f>IFERROR(__xludf.DUMMYFUNCTION("GOOGLETRANSLATE(D199, ""en"", ""hi"")"),"A) आक्रमणकारी टीम अपनी बारी खो देती है।")</f>
        <v>A) आक्रमणकारी टीम अपनी बारी खो देती है।</v>
      </c>
    </row>
    <row r="200" ht="22.5" customHeight="1">
      <c r="A200" s="2">
        <v>199.0</v>
      </c>
      <c r="B200" s="3" t="s">
        <v>4301</v>
      </c>
      <c r="C200" s="3" t="s">
        <v>4302</v>
      </c>
      <c r="D200" s="3" t="s">
        <v>4303</v>
      </c>
      <c r="F200" s="5" t="str">
        <f>IFERROR(__xludf.DUMMYFUNCTION("GOOGLETRANSLATE(A200, ""en"", ""hi"")"),"199")</f>
        <v>199</v>
      </c>
      <c r="G200" s="5" t="str">
        <f>IFERROR(__xludf.DUMMYFUNCTION("GOOGLETRANSLATE(B200, ""en"", ""hi"")"),"लागोरी खेल में, यदि गेंद फेंकी जाए और वह एक पत्थर पर गिरे, लेकिन पत्थर हिले नहीं, तो क्या होगा?")</f>
        <v>लागोरी खेल में, यदि गेंद फेंकी जाए और वह एक पत्थर पर गिरे, लेकिन पत्थर हिले नहीं, तो क्या होगा?</v>
      </c>
      <c r="H200" s="5" t="str">
        <f>IFERROR(__xludf.DUMMYFUNCTION("GOOGLETRANSLATE(C200, ""en"", ""hi"")"),"A) पत्थर गिरा हुआ माना जाता है। , B) पत्थर वापस आ जाता है और खेल जारी रहता है। , C) आक्रमणकारी टीम अपनी बारी खो देती है। , D) खेल रोक दिया जाता है।")</f>
        <v>A) पत्थर गिरा हुआ माना जाता है। , B) पत्थर वापस आ जाता है और खेल जारी रहता है। , C) आक्रमणकारी टीम अपनी बारी खो देती है। , D) खेल रोक दिया जाता है।</v>
      </c>
      <c r="I200" s="5" t="str">
        <f>IFERROR(__xludf.DUMMYFUNCTION("GOOGLETRANSLATE(D200, ""en"", ""hi"")"),"C) आक्रमणकारी टीम अपनी बारी खो देती है।")</f>
        <v>C) आक्रमणकारी टीम अपनी बारी खो देती है।</v>
      </c>
    </row>
    <row r="201" ht="22.5" customHeight="1">
      <c r="A201" s="2">
        <v>200.0</v>
      </c>
      <c r="B201" s="3" t="s">
        <v>4304</v>
      </c>
      <c r="C201" s="3" t="s">
        <v>4305</v>
      </c>
      <c r="D201" s="3" t="s">
        <v>4306</v>
      </c>
      <c r="F201" s="5" t="str">
        <f>IFERROR(__xludf.DUMMYFUNCTION("GOOGLETRANSLATE(A201, ""en"", ""hi"")"),"200")</f>
        <v>200</v>
      </c>
      <c r="G201" s="5" t="str">
        <f>IFERROR(__xludf.DUMMYFUNCTION("GOOGLETRANSLATE(B201, ""en"", ""hi"")"),"लागोरी मैच के दौरान, यदि गेंद किसी पत्थर से टकराती है और पत्थर गिर जाता है, लेकिन बचाव करने वाले खिलाड़ी द्वारा उसे तुरंत उसकी मूल स्थिति में वापस लौटा दिया जाता है, तो नियम क्या है?")</f>
        <v>लागोरी मैच के दौरान, यदि गेंद किसी पत्थर से टकराती है और पत्थर गिर जाता है, लेकिन बचाव करने वाले खिलाड़ी द्वारा उसे तुरंत उसकी मूल स्थिति में वापस लौटा दिया जाता है, तो नियम क्या है?</v>
      </c>
      <c r="H201" s="5" t="str">
        <f>IFERROR(__xludf.DUMMYFUNCTION("GOOGLETRANSLATE(C201, ""en"", ""hi"")"),"A) पत्थर नीचे ही रहता है और बारी सफल मानी जाती है। , B) पत्थर वापस मिल जाता है और खेल जारी रहता है। , C) आक्रमणकारी टीम को एक और बारी मिलती है। , D) बचाव करने वाली टीम अपनी बारी खो देती है।")</f>
        <v>A) पत्थर नीचे ही रहता है और बारी सफल मानी जाती है। , B) पत्थर वापस मिल जाता है और खेल जारी रहता है। , C) आक्रमणकारी टीम को एक और बारी मिलती है। , D) बचाव करने वाली टीम अपनी बारी खो देती है।</v>
      </c>
      <c r="I201" s="5" t="str">
        <f>IFERROR(__xludf.DUMMYFUNCTION("GOOGLETRANSLATE(D201, ""en"", ""hi"")"),"बी) पत्थर पुनः स्थापित हो जाता है और खेल जारी रहता है।")</f>
        <v>बी) पत्थर पुनः स्थापित हो जाता है और खेल जारी रहता है।</v>
      </c>
    </row>
    <row r="202" ht="22.5" customHeight="1">
      <c r="A202" s="2">
        <v>201.0</v>
      </c>
      <c r="B202" s="3" t="s">
        <v>4307</v>
      </c>
      <c r="C202" s="3" t="s">
        <v>4308</v>
      </c>
      <c r="D202" s="3" t="s">
        <v>4003</v>
      </c>
      <c r="F202" s="5" t="str">
        <f>IFERROR(__xludf.DUMMYFUNCTION("GOOGLETRANSLATE(A202, ""en"", ""hi"")"),"201")</f>
        <v>201</v>
      </c>
      <c r="G202" s="5" t="str">
        <f>IFERROR(__xludf.DUMMYFUNCTION("GOOGLETRANSLATE(B202, ""en"", ""hi"")"),"यदि गेंद फेंकी जाए और वह ऐसे क्षेत्र में गिरे जिसे सीमा से बाहर माना जाता है, तो लागोरी में क्या होगा?")</f>
        <v>यदि गेंद फेंकी जाए और वह ऐसे क्षेत्र में गिरे जिसे सीमा से बाहर माना जाता है, तो लागोरी में क्या होगा?</v>
      </c>
      <c r="H202" s="5" t="str">
        <f>IFERROR(__xludf.DUMMYFUNCTION("GOOGLETRANSLATE(C202, ""en"", ""hi"")"),"A) आक्रमणकारी टीम अपनी बारी खो देती है। , B) खेल रोक दिया जाता है और गेंद वापस ले ली जाती है। , C) खेल बिना किसी रुकावट के जारी रहता है। , D) आक्रमणकारी टीम को एक और मौका मिलता है।")</f>
        <v>A) आक्रमणकारी टीम अपनी बारी खो देती है। , B) खेल रोक दिया जाता है और गेंद वापस ले ली जाती है। , C) खेल बिना किसी रुकावट के जारी रहता है। , D) आक्रमणकारी टीम को एक और मौका मिलता है।</v>
      </c>
      <c r="I202" s="5" t="str">
        <f>IFERROR(__xludf.DUMMYFUNCTION("GOOGLETRANSLATE(D202, ""en"", ""hi"")"),"A) आक्रमणकारी टीम अपनी बारी खो देती है।")</f>
        <v>A) आक्रमणकारी टीम अपनी बारी खो देती है।</v>
      </c>
    </row>
    <row r="203" ht="22.5" customHeight="1">
      <c r="A203" s="2">
        <v>202.0</v>
      </c>
      <c r="B203" s="3" t="s">
        <v>4309</v>
      </c>
      <c r="C203" s="3" t="s">
        <v>4310</v>
      </c>
      <c r="D203" s="3" t="s">
        <v>4259</v>
      </c>
      <c r="F203" s="5" t="str">
        <f>IFERROR(__xludf.DUMMYFUNCTION("GOOGLETRANSLATE(A203, ""en"", ""hi"")"),"202")</f>
        <v>202</v>
      </c>
      <c r="G203" s="5" t="str">
        <f>IFERROR(__xludf.DUMMYFUNCTION("GOOGLETRANSLATE(B203, ""en"", ""hi"")"),"लागोरी में यदि कोई खिलाड़ी गलती से किसी गिरे हुए पत्थर पर पैर रख दे तो क्या नियम है?")</f>
        <v>लागोरी में यदि कोई खिलाड़ी गलती से किसी गिरे हुए पत्थर पर पैर रख दे तो क्या नियम है?</v>
      </c>
      <c r="H203" s="5" t="str">
        <f>IFERROR(__xludf.DUMMYFUNCTION("GOOGLETRANSLATE(C203, ""en"", ""hi"")"),"A) पत्थर नीचे ही रहता है और बारी रद्द हो जाती है। , B) पत्थर वापस मिल जाता है। , C) खेल रोक दिया जाता है। , D) आक्रमणकारी टीम को एक और मौका मिलता है।")</f>
        <v>A) पत्थर नीचे ही रहता है और बारी रद्द हो जाती है। , B) पत्थर वापस मिल जाता है। , C) खेल रोक दिया जाता है। , D) आक्रमणकारी टीम को एक और मौका मिलता है।</v>
      </c>
      <c r="I203" s="5" t="str">
        <f>IFERROR(__xludf.DUMMYFUNCTION("GOOGLETRANSLATE(D203, ""en"", ""hi"")"),"A) पत्थर नीचे ही रहता है और बारी रद्द हो जाती है।")</f>
        <v>A) पत्थर नीचे ही रहता है और बारी रद्द हो जाती है।</v>
      </c>
    </row>
    <row r="204" ht="22.5" customHeight="1">
      <c r="A204" s="2">
        <v>203.0</v>
      </c>
      <c r="B204" s="3" t="s">
        <v>4311</v>
      </c>
      <c r="C204" s="3" t="s">
        <v>4253</v>
      </c>
      <c r="D204" s="3" t="s">
        <v>4003</v>
      </c>
      <c r="F204" s="5" t="str">
        <f>IFERROR(__xludf.DUMMYFUNCTION("GOOGLETRANSLATE(A204, ""en"", ""hi"")"),"203")</f>
        <v>203</v>
      </c>
      <c r="G204" s="5" t="str">
        <f>IFERROR(__xludf.DUMMYFUNCTION("GOOGLETRANSLATE(B204, ""en"", ""hi"")"),"लागोरी मैच के दौरान, यदि गेंद फेंकी जाए और पत्थर पर गिरे, लेकिन वह पत्थर को नीचे न गिराए, तो परिणाम क्या होगा?")</f>
        <v>लागोरी मैच के दौरान, यदि गेंद फेंकी जाए और पत्थर पर गिरे, लेकिन वह पत्थर को नीचे न गिराए, तो परिणाम क्या होगा?</v>
      </c>
      <c r="H204" s="5" t="str">
        <f>IFERROR(__xludf.DUMMYFUNCTION("GOOGLETRANSLATE(C204, ""en"", ""hi"")"),"A) आक्रमणकारी टीम अपनी बारी खो देती है। , B) पत्थर गिरा हुआ माना जाता है। , C) खेल रोक दिया जाता है। , D) गेंद को फिर से फेंका जाता है।")</f>
        <v>A) आक्रमणकारी टीम अपनी बारी खो देती है। , B) पत्थर गिरा हुआ माना जाता है। , C) खेल रोक दिया जाता है। , D) गेंद को फिर से फेंका जाता है।</v>
      </c>
      <c r="I204" s="5" t="str">
        <f>IFERROR(__xludf.DUMMYFUNCTION("GOOGLETRANSLATE(D204, ""en"", ""hi"")"),"A) आक्रमणकारी टीम अपनी बारी खो देती है।")</f>
        <v>A) आक्रमणकारी टीम अपनी बारी खो देती है।</v>
      </c>
    </row>
    <row r="205" ht="22.5" customHeight="1">
      <c r="A205" s="2">
        <v>204.0</v>
      </c>
      <c r="B205" s="3" t="s">
        <v>4312</v>
      </c>
      <c r="C205" s="3" t="s">
        <v>4250</v>
      </c>
      <c r="D205" s="3" t="s">
        <v>4251</v>
      </c>
      <c r="F205" s="5" t="str">
        <f>IFERROR(__xludf.DUMMYFUNCTION("GOOGLETRANSLATE(A205, ""en"", ""hi"")"),"204")</f>
        <v>204</v>
      </c>
      <c r="G205" s="5" t="str">
        <f>IFERROR(__xludf.DUMMYFUNCTION("GOOGLETRANSLATE(B205, ""en"", ""hi"")"),"यदि लागोरी खेल खेला जा रहा हो और गेंद कुछ पत्थरों को गिराने के बाद खेल क्षेत्र के बाहर गिर जाए, तो आगे क्या होगा?")</f>
        <v>यदि लागोरी खेल खेला जा रहा हो और गेंद कुछ पत्थरों को गिराने के बाद खेल क्षेत्र के बाहर गिर जाए, तो आगे क्या होगा?</v>
      </c>
      <c r="H205" s="5" t="str">
        <f>IFERROR(__xludf.DUMMYFUNCTION("GOOGLETRANSLATE(C205,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05" s="5" t="str">
        <f>IFERROR(__xludf.DUMMYFUNCTION("GOOGLETRANSLATE(D205,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06" ht="22.5" customHeight="1">
      <c r="A206" s="2">
        <v>205.0</v>
      </c>
      <c r="B206" s="3" t="s">
        <v>4313</v>
      </c>
      <c r="C206" s="3" t="s">
        <v>4314</v>
      </c>
      <c r="D206" s="3" t="s">
        <v>4303</v>
      </c>
      <c r="F206" s="5" t="str">
        <f>IFERROR(__xludf.DUMMYFUNCTION("GOOGLETRANSLATE(A206, ""en"", ""hi"")"),"205")</f>
        <v>205</v>
      </c>
      <c r="G206" s="5" t="str">
        <f>IFERROR(__xludf.DUMMYFUNCTION("GOOGLETRANSLATE(B206, ""en"", ""hi"")"),"लागोरी में, यदि गेंद किसी ऐसे पत्थर पर गिरती है जो आंशिक रूप से गिरा हुआ है लेकिन पूरी तरह से नहीं गिरा है, तो क्या किया जाना चाहिए?")</f>
        <v>लागोरी में, यदि गेंद किसी ऐसे पत्थर पर गिरती है जो आंशिक रूप से गिरा हुआ है लेकिन पूरी तरह से नहीं गिरा है, तो क्या किया जाना चाहिए?</v>
      </c>
      <c r="H206" s="5" t="str">
        <f>IFERROR(__xludf.DUMMYFUNCTION("GOOGLETRANSLATE(C206, ""en"", ""hi"")"),"A) पत्थर गिरा हुआ माना जाता है। , B) पत्थर अपनी स्थिति में बना रहता है। , C) आक्रमणकारी टीम अपनी बारी खो देती है। , D) खेल रोक दिया जाता है।")</f>
        <v>A) पत्थर गिरा हुआ माना जाता है। , B) पत्थर अपनी स्थिति में बना रहता है। , C) आक्रमणकारी टीम अपनी बारी खो देती है। , D) खेल रोक दिया जाता है।</v>
      </c>
      <c r="I206" s="5" t="str">
        <f>IFERROR(__xludf.DUMMYFUNCTION("GOOGLETRANSLATE(D206, ""en"", ""hi"")"),"C) आक्रमणकारी टीम अपनी बारी खो देती है।")</f>
        <v>C) आक्रमणकारी टीम अपनी बारी खो देती है।</v>
      </c>
    </row>
    <row r="207" ht="22.5" customHeight="1">
      <c r="A207" s="2">
        <v>206.0</v>
      </c>
      <c r="B207" s="3" t="s">
        <v>4315</v>
      </c>
      <c r="C207" s="3" t="s">
        <v>4316</v>
      </c>
      <c r="D207" s="3" t="s">
        <v>4317</v>
      </c>
      <c r="F207" s="5" t="str">
        <f>IFERROR(__xludf.DUMMYFUNCTION("GOOGLETRANSLATE(A207, ""en"", ""hi"")"),"206")</f>
        <v>206</v>
      </c>
      <c r="G207" s="5" t="str">
        <f>IFERROR(__xludf.DUMMYFUNCTION("GOOGLETRANSLATE(B207, ""en"", ""hi"")"),"यदि किसी चोट के कारण लागोरी मैच बाधित होता है, तो सामान्य प्रक्रिया क्या होती है?")</f>
        <v>यदि किसी चोट के कारण लागोरी मैच बाधित होता है, तो सामान्य प्रक्रिया क्या होती है?</v>
      </c>
      <c r="H207" s="5" t="str">
        <f>IFERROR(__xludf.DUMMYFUNCTION("GOOGLETRANSLATE(C207, ""en"", ""hi"")"),"A) खेल तब तक रुका रहता है जब तक खिलाड़ी की देखभाल नहीं हो जाती। , B) खेल रद्द कर दिया जाता है। , C) खेल एक स्थानापन्न खिलाड़ी के साथ जारी रहता है। , D) सबसे अधिक अंक वाली टीम को विजेता घोषित किया जाता है।")</f>
        <v>A) खेल तब तक रुका रहता है जब तक खिलाड़ी की देखभाल नहीं हो जाती। , B) खेल रद्द कर दिया जाता है। , C) खेल एक स्थानापन्न खिलाड़ी के साथ जारी रहता है। , D) सबसे अधिक अंक वाली टीम को विजेता घोषित किया जाता है।</v>
      </c>
      <c r="I207" s="5" t="str">
        <f>IFERROR(__xludf.DUMMYFUNCTION("GOOGLETRANSLATE(D207, ""en"", ""hi"")"),"A) खेल तब तक रुका रहता है जब तक खिलाड़ी की देखभाल नहीं हो जाती।")</f>
        <v>A) खेल तब तक रुका रहता है जब तक खिलाड़ी की देखभाल नहीं हो जाती।</v>
      </c>
    </row>
    <row r="208" ht="22.5" customHeight="1">
      <c r="A208" s="2">
        <v>207.0</v>
      </c>
      <c r="B208" s="3" t="s">
        <v>4318</v>
      </c>
      <c r="C208" s="3" t="s">
        <v>4319</v>
      </c>
      <c r="D208" s="3" t="s">
        <v>4244</v>
      </c>
      <c r="F208" s="5" t="str">
        <f>IFERROR(__xludf.DUMMYFUNCTION("GOOGLETRANSLATE(A208, ""en"", ""hi"")"),"207")</f>
        <v>207</v>
      </c>
      <c r="G208" s="5" t="str">
        <f>IFERROR(__xludf.DUMMYFUNCTION("GOOGLETRANSLATE(B208, ""en"", ""hi"")"),"लागोरी खेल के दौरान यदि गेंद किसी ऐसे पत्थर पर गिरती है जो पहले से ही गिरा हुआ है, तो क्या नियम होगा?")</f>
        <v>लागोरी खेल के दौरान यदि गेंद किसी ऐसे पत्थर पर गिरती है जो पहले से ही गिरा हुआ है, तो क्या नियम होगा?</v>
      </c>
      <c r="H208" s="5" t="str">
        <f>IFERROR(__xludf.DUMMYFUNCTION("GOOGLETRANSLATE(C208, ""en"", ""hi"")"),"A) पत्थर नीचे रह जाता है और बारी असफल मानी जाती है। , B) पत्थर वापस मिल जाता है। , C) आक्रमणकारी टीम को एक और मौका मिलता है। , D) खेल रोक दिया जाता है।")</f>
        <v>A) पत्थर नीचे रह जाता है और बारी असफल मानी जाती है। , B) पत्थर वापस मिल जाता है। , C) आक्रमणकारी टीम को एक और मौका मिलता है। , D) खेल रोक दिया जाता है।</v>
      </c>
      <c r="I208" s="5" t="str">
        <f>IFERROR(__xludf.DUMMYFUNCTION("GOOGLETRANSLATE(D208, ""en"", ""hi"")"),"A) पत्थर नीचे ही रहता है और बारी असफल मानी जाती है।")</f>
        <v>A) पत्थर नीचे ही रहता है और बारी असफल मानी जाती है।</v>
      </c>
    </row>
    <row r="209" ht="22.5" customHeight="1">
      <c r="A209" s="2">
        <v>208.0</v>
      </c>
      <c r="B209" s="3" t="s">
        <v>4320</v>
      </c>
      <c r="C209" s="3" t="s">
        <v>4250</v>
      </c>
      <c r="D209" s="3" t="s">
        <v>4251</v>
      </c>
      <c r="F209" s="5" t="str">
        <f>IFERROR(__xludf.DUMMYFUNCTION("GOOGLETRANSLATE(A209, ""en"", ""hi"")"),"208")</f>
        <v>208</v>
      </c>
      <c r="G209" s="5" t="str">
        <f>IFERROR(__xludf.DUMMYFUNCTION("GOOGLETRANSLATE(B209, ""en"", ""hi"")"),"यदि लागोरी खेल खेला जाता है और पत्थर गिरा दिए जाते हैं लेकिन गेंद खेल क्षेत्र के बाहर गिरती है, तो आगे क्या किया जाना चाहिए?")</f>
        <v>यदि लागोरी खेल खेला जाता है और पत्थर गिरा दिए जाते हैं लेकिन गेंद खेल क्षेत्र के बाहर गिरती है, तो आगे क्या किया जाना चाहिए?</v>
      </c>
      <c r="H209" s="5" t="str">
        <f>IFERROR(__xludf.DUMMYFUNCTION("GOOGLETRANSLATE(C209,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09" s="5" t="str">
        <f>IFERROR(__xludf.DUMMYFUNCTION("GOOGLETRANSLATE(D209,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10" ht="22.5" customHeight="1">
      <c r="A210" s="2">
        <v>209.0</v>
      </c>
      <c r="B210" s="3" t="s">
        <v>4321</v>
      </c>
      <c r="C210" s="3" t="s">
        <v>4282</v>
      </c>
      <c r="D210" s="3" t="s">
        <v>4244</v>
      </c>
      <c r="F210" s="5" t="str">
        <f>IFERROR(__xludf.DUMMYFUNCTION("GOOGLETRANSLATE(A210, ""en"", ""hi"")"),"209")</f>
        <v>209</v>
      </c>
      <c r="G210" s="5" t="str">
        <f>IFERROR(__xludf.DUMMYFUNCTION("GOOGLETRANSLATE(B210, ""en"", ""hi"")"),"लागोरी में, यदि कोई खिलाड़ी गेंद फेंकता है और वह किसी पत्थर पर गिरती है, जो नीचे गिर जाता है, लेकिन हिलता नहीं है, तो नियम क्या है?")</f>
        <v>लागोरी में, यदि कोई खिलाड़ी गेंद फेंकता है और वह किसी पत्थर पर गिरती है, जो नीचे गिर जाता है, लेकिन हिलता नहीं है, तो नियम क्या है?</v>
      </c>
      <c r="H210" s="5" t="str">
        <f>IFERROR(__xludf.DUMMYFUNCTION("GOOGLETRANSLATE(C210,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10" s="5" t="str">
        <f>IFERROR(__xludf.DUMMYFUNCTION("GOOGLETRANSLATE(D210, ""en"", ""hi"")"),"A) पत्थर नीचे ही रहता है और बारी असफल मानी जाती है।")</f>
        <v>A) पत्थर नीचे ही रहता है और बारी असफल मानी जाती है।</v>
      </c>
    </row>
    <row r="211" ht="22.5" customHeight="1">
      <c r="A211" s="2">
        <v>210.0</v>
      </c>
      <c r="B211" s="3" t="s">
        <v>4322</v>
      </c>
      <c r="C211" s="3" t="s">
        <v>4308</v>
      </c>
      <c r="D211" s="3" t="s">
        <v>4003</v>
      </c>
      <c r="F211" s="5" t="str">
        <f>IFERROR(__xludf.DUMMYFUNCTION("GOOGLETRANSLATE(A211, ""en"", ""hi"")"),"210")</f>
        <v>210</v>
      </c>
      <c r="G211" s="5" t="str">
        <f>IFERROR(__xludf.DUMMYFUNCTION("GOOGLETRANSLATE(B211, ""en"", ""hi"")"),"लागोरी मैच के दौरान, यदि गेंद किसी ऐसे क्षेत्र में गिर जाए, जहां से गेंद को वापस पाना कठिन हो और आक्रमणकारी टीम उसे वापस न ले सके, तो परिणाम क्या होगा?")</f>
        <v>लागोरी मैच के दौरान, यदि गेंद किसी ऐसे क्षेत्र में गिर जाए, जहां से गेंद को वापस पाना कठिन हो और आक्रमणकारी टीम उसे वापस न ले सके, तो परिणाम क्या होगा?</v>
      </c>
      <c r="H211" s="5" t="str">
        <f>IFERROR(__xludf.DUMMYFUNCTION("GOOGLETRANSLATE(C211, ""en"", ""hi"")"),"A) आक्रमणकारी टीम अपनी बारी खो देती है। , B) खेल रोक दिया जाता है और गेंद वापस ले ली जाती है। , C) खेल बिना किसी रुकावट के जारी रहता है। , D) आक्रमणकारी टीम को एक और मौका मिलता है।")</f>
        <v>A) आक्रमणकारी टीम अपनी बारी खो देती है। , B) खेल रोक दिया जाता है और गेंद वापस ले ली जाती है। , C) खेल बिना किसी रुकावट के जारी रहता है। , D) आक्रमणकारी टीम को एक और मौका मिलता है।</v>
      </c>
      <c r="I211" s="5" t="str">
        <f>IFERROR(__xludf.DUMMYFUNCTION("GOOGLETRANSLATE(D211, ""en"", ""hi"")"),"A) आक्रमणकारी टीम अपनी बारी खो देती है।")</f>
        <v>A) आक्रमणकारी टीम अपनी बारी खो देती है।</v>
      </c>
    </row>
    <row r="212" ht="22.5" customHeight="1">
      <c r="A212" s="2">
        <v>211.0</v>
      </c>
      <c r="B212" s="3" t="s">
        <v>4323</v>
      </c>
      <c r="C212" s="3" t="s">
        <v>4324</v>
      </c>
      <c r="D212" s="3" t="s">
        <v>4325</v>
      </c>
      <c r="F212" s="5" t="str">
        <f>IFERROR(__xludf.DUMMYFUNCTION("GOOGLETRANSLATE(A212, ""en"", ""hi"")"),"211")</f>
        <v>211</v>
      </c>
      <c r="G212" s="5" t="str">
        <f>IFERROR(__xludf.DUMMYFUNCTION("GOOGLETRANSLATE(B212, ""en"", ""hi"")"),"यदि बिजली गुल होने के कारण लागोरी खेल बाधित हो जाए तो सामान्य प्रक्रिया क्या होगी?")</f>
        <v>यदि बिजली गुल होने के कारण लागोरी खेल बाधित हो जाए तो सामान्य प्रक्रिया क्या होगी?</v>
      </c>
      <c r="H212" s="5" t="str">
        <f>IFERROR(__xludf.DUMMYFUNCTION("GOOGLETRANSLATE(C212, ""en"", ""hi"")"),"A) बिजली बहाल होने तक खेल को रोक दिया जाता है। , B) खेल रद्द कर दिया जाता है। , C) खेल को शुरू से फिर से शुरू किया जाता है। , D) रुकावट के समय सबसे अधिक अंक वाली टीम को विजेता घोषित किया जाता है।")</f>
        <v>A) बिजली बहाल होने तक खेल को रोक दिया जाता है। , B) खेल रद्द कर दिया जाता है। , C) खेल को शुरू से फिर से शुरू किया जाता है। , D) रुकावट के समय सबसे अधिक अंक वाली टीम को विजेता घोषित किया जाता है।</v>
      </c>
      <c r="I212" s="5" t="str">
        <f>IFERROR(__xludf.DUMMYFUNCTION("GOOGLETRANSLATE(D212, ""en"", ""hi"")"),"A) बिजली बहाल होने तक खेल को रोक दिया जाता है।")</f>
        <v>A) बिजली बहाल होने तक खेल को रोक दिया जाता है।</v>
      </c>
    </row>
    <row r="213" ht="22.5" customHeight="1">
      <c r="A213" s="2">
        <v>212.0</v>
      </c>
      <c r="B213" s="3" t="s">
        <v>4326</v>
      </c>
      <c r="C213" s="3" t="s">
        <v>4282</v>
      </c>
      <c r="D213" s="3" t="s">
        <v>4244</v>
      </c>
      <c r="F213" s="5" t="str">
        <f>IFERROR(__xludf.DUMMYFUNCTION("GOOGLETRANSLATE(A213, ""en"", ""hi"")"),"212")</f>
        <v>212</v>
      </c>
      <c r="G213" s="5" t="str">
        <f>IFERROR(__xludf.DUMMYFUNCTION("GOOGLETRANSLATE(B213, ""en"", ""hi"")"),"लागोरी में, यदि कोई पत्थर गिरा दिया जाए और गेंद उस पर गिर जाए, लेकिन आक्रमणकारी टीम द्वारा गेंद को पुनः प्राप्त कर लिया जाए, तो क्या होगा?")</f>
        <v>लागोरी में, यदि कोई पत्थर गिरा दिया जाए और गेंद उस पर गिर जाए, लेकिन आक्रमणकारी टीम द्वारा गेंद को पुनः प्राप्त कर लिया जाए, तो क्या होगा?</v>
      </c>
      <c r="H213" s="5" t="str">
        <f>IFERROR(__xludf.DUMMYFUNCTION("GOOGLETRANSLATE(C213,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13" s="5" t="str">
        <f>IFERROR(__xludf.DUMMYFUNCTION("GOOGLETRANSLATE(D213, ""en"", ""hi"")"),"A) पत्थर नीचे ही रहता है और बारी असफल मानी जाती है।")</f>
        <v>A) पत्थर नीचे ही रहता है और बारी असफल मानी जाती है।</v>
      </c>
    </row>
    <row r="214" ht="22.5" customHeight="1">
      <c r="A214" s="2">
        <v>213.0</v>
      </c>
      <c r="B214" s="3" t="s">
        <v>4327</v>
      </c>
      <c r="C214" s="3" t="s">
        <v>4129</v>
      </c>
      <c r="D214" s="3" t="s">
        <v>4130</v>
      </c>
      <c r="F214" s="5" t="str">
        <f>IFERROR(__xludf.DUMMYFUNCTION("GOOGLETRANSLATE(A214, ""en"", ""hi"")"),"213")</f>
        <v>213</v>
      </c>
      <c r="G214" s="5" t="str">
        <f>IFERROR(__xludf.DUMMYFUNCTION("GOOGLETRANSLATE(B214, ""en"", ""hi"")"),"लागोरी मैच के दौरान यदि गेंद फेंकी जाए और वह बिना किसी पत्थर से टकराए खेल क्षेत्र के बाहर गिर जाए तो क्या नियम है?")</f>
        <v>लागोरी मैच के दौरान यदि गेंद फेंकी जाए और वह बिना किसी पत्थर से टकराए खेल क्षेत्र के बाहर गिर जाए तो क्या नियम है?</v>
      </c>
      <c r="H214" s="5" t="str">
        <f>IFERROR(__xludf.DUMMYFUNCTION("GOOGLETRANSLATE(C214,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214" s="5" t="str">
        <f>IFERROR(__xludf.DUMMYFUNCTION("GOOGLETRANSLATE(D214, ""en"", ""hi"")"),"ए) बारी रद्द कर दी जाती है और गेंद वापस ले ली जाती है।")</f>
        <v>ए) बारी रद्द कर दी जाती है और गेंद वापस ले ली जाती है।</v>
      </c>
    </row>
    <row r="215" ht="22.5" customHeight="1">
      <c r="A215" s="2">
        <v>214.0</v>
      </c>
      <c r="B215" s="3" t="s">
        <v>4328</v>
      </c>
      <c r="C215" s="3" t="s">
        <v>4282</v>
      </c>
      <c r="D215" s="3" t="s">
        <v>4244</v>
      </c>
      <c r="F215" s="5" t="str">
        <f>IFERROR(__xludf.DUMMYFUNCTION("GOOGLETRANSLATE(A215, ""en"", ""hi"")"),"214")</f>
        <v>214</v>
      </c>
      <c r="G215" s="5" t="str">
        <f>IFERROR(__xludf.DUMMYFUNCTION("GOOGLETRANSLATE(B215, ""en"", ""hi"")"),"लागोरी में यदि कोई पत्थर गिरा दिया जाए और गेंद उस पर आकर गिरे, लेकिन सीधे उस पर न लगे, तो क्या करना चाहिए?")</f>
        <v>लागोरी में यदि कोई पत्थर गिरा दिया जाए और गेंद उस पर आकर गिरे, लेकिन सीधे उस पर न लगे, तो क्या करना चाहिए?</v>
      </c>
      <c r="H215" s="5" t="str">
        <f>IFERROR(__xludf.DUMMYFUNCTION("GOOGLETRANSLATE(C215,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15" s="5" t="str">
        <f>IFERROR(__xludf.DUMMYFUNCTION("GOOGLETRANSLATE(D215, ""en"", ""hi"")"),"A) पत्थर नीचे ही रहता है और बारी असफल मानी जाती है।")</f>
        <v>A) पत्थर नीचे ही रहता है और बारी असफल मानी जाती है।</v>
      </c>
    </row>
    <row r="216" ht="22.5" customHeight="1">
      <c r="A216" s="2">
        <v>215.0</v>
      </c>
      <c r="B216" s="3" t="s">
        <v>4329</v>
      </c>
      <c r="C216" s="3" t="s">
        <v>4250</v>
      </c>
      <c r="D216" s="3" t="s">
        <v>4251</v>
      </c>
      <c r="F216" s="5" t="str">
        <f>IFERROR(__xludf.DUMMYFUNCTION("GOOGLETRANSLATE(A216, ""en"", ""hi"")"),"215")</f>
        <v>215</v>
      </c>
      <c r="G216" s="5" t="str">
        <f>IFERROR(__xludf.DUMMYFUNCTION("GOOGLETRANSLATE(B216, ""en"", ""hi"")"),"यदि लागोरी खेल खेला जाता है और पत्थर गिरा दिए जाते हैं, लेकिन गेंद खेल क्षेत्र के बाहर गिरती है, तो अगला कदम क्या होगा?")</f>
        <v>यदि लागोरी खेल खेला जाता है और पत्थर गिरा दिए जाते हैं, लेकिन गेंद खेल क्षेत्र के बाहर गिरती है, तो अगला कदम क्या होगा?</v>
      </c>
      <c r="H216" s="5" t="str">
        <f>IFERROR(__xludf.DUMMYFUNCTION("GOOGLETRANSLATE(C216,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16" s="5" t="str">
        <f>IFERROR(__xludf.DUMMYFUNCTION("GOOGLETRANSLATE(D216,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17" ht="22.5" customHeight="1">
      <c r="A217" s="2">
        <v>216.0</v>
      </c>
      <c r="B217" s="3" t="s">
        <v>4330</v>
      </c>
      <c r="C217" s="3" t="s">
        <v>4205</v>
      </c>
      <c r="D217" s="3" t="s">
        <v>4003</v>
      </c>
      <c r="F217" s="5" t="str">
        <f>IFERROR(__xludf.DUMMYFUNCTION("GOOGLETRANSLATE(A217, ""en"", ""hi"")"),"216")</f>
        <v>216</v>
      </c>
      <c r="G217" s="5" t="str">
        <f>IFERROR(__xludf.DUMMYFUNCTION("GOOGLETRANSLATE(B217, ""en"", ""hi"")"),"लागोरी मैच के दौरान यदि गेंद किसी ऐसे क्षेत्र में गिरती है जिसे वापस पाना कठिन हो, तो क्या नियम होगा?")</f>
        <v>लागोरी मैच के दौरान यदि गेंद किसी ऐसे क्षेत्र में गिरती है जिसे वापस पाना कठिन हो, तो क्या नियम होगा?</v>
      </c>
      <c r="H217" s="5" t="str">
        <f>IFERROR(__xludf.DUMMYFUNCTION("GOOGLETRANSLATE(C217,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17" s="5" t="str">
        <f>IFERROR(__xludf.DUMMYFUNCTION("GOOGLETRANSLATE(D217, ""en"", ""hi"")"),"A) आक्रमणकारी टीम अपनी बारी खो देती है।")</f>
        <v>A) आक्रमणकारी टीम अपनी बारी खो देती है।</v>
      </c>
    </row>
    <row r="218" ht="22.5" customHeight="1">
      <c r="A218" s="2">
        <v>217.0</v>
      </c>
      <c r="B218" s="3" t="s">
        <v>4331</v>
      </c>
      <c r="C218" s="3" t="s">
        <v>4282</v>
      </c>
      <c r="D218" s="3" t="s">
        <v>4244</v>
      </c>
      <c r="F218" s="5" t="str">
        <f>IFERROR(__xludf.DUMMYFUNCTION("GOOGLETRANSLATE(A218, ""en"", ""hi"")"),"217")</f>
        <v>217</v>
      </c>
      <c r="G218" s="5" t="str">
        <f>IFERROR(__xludf.DUMMYFUNCTION("GOOGLETRANSLATE(B218, ""en"", ""hi"")"),"लागोरी में, यदि कोई खिलाड़ी गेंद फेंकता है और वह पत्थर पर गिरती है, तो वह पत्थर नीचे गिर जाता है, लेकिन आगे नहीं गिरता, तो नियम क्या है?")</f>
        <v>लागोरी में, यदि कोई खिलाड़ी गेंद फेंकता है और वह पत्थर पर गिरती है, तो वह पत्थर नीचे गिर जाता है, लेकिन आगे नहीं गिरता, तो नियम क्या है?</v>
      </c>
      <c r="H218" s="5" t="str">
        <f>IFERROR(__xludf.DUMMYFUNCTION("GOOGLETRANSLATE(C218,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18" s="5" t="str">
        <f>IFERROR(__xludf.DUMMYFUNCTION("GOOGLETRANSLATE(D218, ""en"", ""hi"")"),"A) पत्थर नीचे ही रहता है और बारी असफल मानी जाती है।")</f>
        <v>A) पत्थर नीचे ही रहता है और बारी असफल मानी जाती है।</v>
      </c>
    </row>
    <row r="219" ht="22.5" customHeight="1">
      <c r="A219" s="2">
        <v>218.0</v>
      </c>
      <c r="B219" s="3" t="s">
        <v>4332</v>
      </c>
      <c r="C219" s="3" t="s">
        <v>4333</v>
      </c>
      <c r="D219" s="3" t="s">
        <v>4334</v>
      </c>
      <c r="F219" s="5" t="str">
        <f>IFERROR(__xludf.DUMMYFUNCTION("GOOGLETRANSLATE(A219, ""en"", ""hi"")"),"218")</f>
        <v>218</v>
      </c>
      <c r="G219" s="5" t="str">
        <f>IFERROR(__xludf.DUMMYFUNCTION("GOOGLETRANSLATE(B219, ""en"", ""hi"")"),"यदि किसी चिकित्सीय आपातस्थिति के कारण लागोरी खेल बाधित हो जाए तो क्या किया जाना चाहिए?")</f>
        <v>यदि किसी चिकित्सीय आपातस्थिति के कारण लागोरी खेल बाधित हो जाए तो क्या किया जाना चाहिए?</v>
      </c>
      <c r="H219" s="5" t="str">
        <f>IFERROR(__xludf.DUMMYFUNCTION("GOOGLETRANSLATE(C219, ""en"", ""hi"")"),"A) आपातस्थिति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आपातस्थिति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219" s="5" t="str">
        <f>IFERROR(__xludf.DUMMYFUNCTION("GOOGLETRANSLATE(D219, ""en"", ""hi"")"),"A) जब तक आपातस्थिति का समाधान नहीं हो जाता तब तक खेल को रोक दिया जाता है।")</f>
        <v>A) जब तक आपातस्थिति का समाधान नहीं हो जाता तब तक खेल को रोक दिया जाता है।</v>
      </c>
    </row>
    <row r="220" ht="22.5" customHeight="1">
      <c r="A220" s="2">
        <v>219.0</v>
      </c>
      <c r="B220" s="3" t="s">
        <v>4335</v>
      </c>
      <c r="C220" s="3" t="s">
        <v>4129</v>
      </c>
      <c r="D220" s="3" t="s">
        <v>4130</v>
      </c>
      <c r="F220" s="5" t="str">
        <f>IFERROR(__xludf.DUMMYFUNCTION("GOOGLETRANSLATE(A220, ""en"", ""hi"")"),"219")</f>
        <v>219</v>
      </c>
      <c r="G220" s="5" t="str">
        <f>IFERROR(__xludf.DUMMYFUNCTION("GOOGLETRANSLATE(B220, ""en"", ""hi"")"),"लागोरी मैच के दौरान यदि गेंद किसी पत्थर से टकराए बिना खेल क्षेत्र के बाहर गिर जाए तो क्या नियम होगा?")</f>
        <v>लागोरी मैच के दौरान यदि गेंद किसी पत्थर से टकराए बिना खेल क्षेत्र के बाहर गिर जाए तो क्या नियम होगा?</v>
      </c>
      <c r="H220" s="5" t="str">
        <f>IFERROR(__xludf.DUMMYFUNCTION("GOOGLETRANSLATE(C220,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220" s="5" t="str">
        <f>IFERROR(__xludf.DUMMYFUNCTION("GOOGLETRANSLATE(D220, ""en"", ""hi"")"),"ए) बारी रद्द कर दी जाती है और गेंद वापस ले ली जाती है।")</f>
        <v>ए) बारी रद्द कर दी जाती है और गेंद वापस ले ली जाती है।</v>
      </c>
    </row>
    <row r="221" ht="22.5" customHeight="1">
      <c r="A221" s="2">
        <v>220.0</v>
      </c>
      <c r="B221" s="3" t="s">
        <v>4336</v>
      </c>
      <c r="C221" s="3" t="s">
        <v>4337</v>
      </c>
      <c r="D221" s="3" t="s">
        <v>4338</v>
      </c>
      <c r="F221" s="5" t="str">
        <f>IFERROR(__xludf.DUMMYFUNCTION("GOOGLETRANSLATE(A221, ""en"", ""hi"")"),"220")</f>
        <v>220</v>
      </c>
      <c r="G221" s="5" t="str">
        <f>IFERROR(__xludf.DUMMYFUNCTION("GOOGLETRANSLATE(B221, ""en"", ""hi"")"),"लागोरी में यदि गेंद किसी ऐसे पत्थर पर गिरे जो आंशिक रूप से गिरा हुआ हो, तो क्या किया जाना चाहिए?")</f>
        <v>लागोरी में यदि गेंद किसी ऐसे पत्थर पर गिरे जो आंशिक रूप से गिरा हुआ हो, तो क्या किया जाना चाहिए?</v>
      </c>
      <c r="H221" s="5" t="str">
        <f>IFERROR(__xludf.DUMMYFUNCTION("GOOGLETRANSLATE(C221, ""en"", ""hi"")"),"A) पत्थर आंशिक रूप से नीचे रहता है और बारी असफल मानी जाती है। , B) पत्थर को बहाल कर दिया जाता है और खेल जारी रहता है। , C) हमलावर टीम को एक और मौका मिलता है। , D) खेल रोक दिया जाता है।")</f>
        <v>A) पत्थर आंशिक रूप से नीचे रहता है और बारी असफल मानी जाती है। , B) पत्थर को बहाल कर दिया जाता है और खेल जारी रहता है। , C) हमलावर टीम को एक और मौका मिलता है। , D) खेल रोक दिया जाता है।</v>
      </c>
      <c r="I221" s="5" t="str">
        <f>IFERROR(__xludf.DUMMYFUNCTION("GOOGLETRANSLATE(D221, ""en"", ""hi"")"),"A) पत्थर आंशिक रूप से नीचे रहता है और मोड़ असफल माना जाता है।")</f>
        <v>A) पत्थर आंशिक रूप से नीचे रहता है और मोड़ असफल माना जाता है।</v>
      </c>
    </row>
    <row r="222" ht="22.5" customHeight="1">
      <c r="A222" s="2">
        <v>221.0</v>
      </c>
      <c r="B222" s="3" t="s">
        <v>4249</v>
      </c>
      <c r="C222" s="3" t="s">
        <v>4250</v>
      </c>
      <c r="D222" s="3" t="s">
        <v>4251</v>
      </c>
      <c r="F222" s="5" t="str">
        <f>IFERROR(__xludf.DUMMYFUNCTION("GOOGLETRANSLATE(A222, ""en"", ""hi"")"),"221")</f>
        <v>221</v>
      </c>
      <c r="G222" s="5" t="str">
        <f>IFERROR(__xludf.DUMMYFUNCTION("GOOGLETRANSLATE(B222,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222" s="5" t="str">
        <f>IFERROR(__xludf.DUMMYFUNCTION("GOOGLETRANSLATE(C222,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22" s="5" t="str">
        <f>IFERROR(__xludf.DUMMYFUNCTION("GOOGLETRANSLATE(D222,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23" ht="22.5" customHeight="1">
      <c r="A223" s="2">
        <v>222.0</v>
      </c>
      <c r="B223" s="3" t="s">
        <v>4339</v>
      </c>
      <c r="C223" s="3" t="s">
        <v>4205</v>
      </c>
      <c r="D223" s="3" t="s">
        <v>4003</v>
      </c>
      <c r="F223" s="5" t="str">
        <f>IFERROR(__xludf.DUMMYFUNCTION("GOOGLETRANSLATE(A223, ""en"", ""hi"")"),"222")</f>
        <v>222</v>
      </c>
      <c r="G223" s="5" t="str">
        <f>IFERROR(__xludf.DUMMYFUNCTION("GOOGLETRANSLATE(B223, ""en"", ""hi"")"),"लागोरी में यदि गेंद किसी ऐसे क्षेत्र में गिर जाए जहां से उसे वापस लाना कठिन हो, तो क्या होगा?")</f>
        <v>लागोरी में यदि गेंद किसी ऐसे क्षेत्र में गिर जाए जहां से उसे वापस लाना कठिन हो, तो क्या होगा?</v>
      </c>
      <c r="H223" s="5" t="str">
        <f>IFERROR(__xludf.DUMMYFUNCTION("GOOGLETRANSLATE(C223,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23" s="5" t="str">
        <f>IFERROR(__xludf.DUMMYFUNCTION("GOOGLETRANSLATE(D223, ""en"", ""hi"")"),"A) आक्रमणकारी टीम अपनी बारी खो देती है।")</f>
        <v>A) आक्रमणकारी टीम अपनी बारी खो देती है।</v>
      </c>
    </row>
    <row r="224" ht="22.5" customHeight="1">
      <c r="A224" s="2">
        <v>223.0</v>
      </c>
      <c r="B224" s="3" t="s">
        <v>4340</v>
      </c>
      <c r="C224" s="3" t="s">
        <v>4341</v>
      </c>
      <c r="D224" s="3" t="s">
        <v>4342</v>
      </c>
      <c r="F224" s="5" t="str">
        <f>IFERROR(__xludf.DUMMYFUNCTION("GOOGLETRANSLATE(A224, ""en"", ""hi"")"),"223")</f>
        <v>223</v>
      </c>
      <c r="G224" s="5" t="str">
        <f>IFERROR(__xludf.DUMMYFUNCTION("GOOGLETRANSLATE(B224, ""en"", ""hi"")"),"लागोरी मैच के दौरान यदि कोई पत्थर गिरा दिया जाए लेकिन गेंद खेल क्षेत्र के बाहर गिर जाए तो क्या करना चाहिए?")</f>
        <v>लागोरी मैच के दौरान यदि कोई पत्थर गिरा दिया जाए लेकिन गेंद खेल क्षेत्र के बाहर गिर जाए तो क्या करना चाहिए?</v>
      </c>
      <c r="H224" s="5" t="str">
        <f>IFERROR(__xludf.DUMMYFUNCTION("GOOGLETRANSLATE(C224, ""en"", ""hi"")"),"A)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24" s="5" t="str">
        <f>IFERROR(__xludf.DUMMYFUNCTION("GOOGLETRANSLATE(D224,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25" ht="22.5" customHeight="1">
      <c r="A225" s="2">
        <v>224.0</v>
      </c>
      <c r="B225" s="3" t="s">
        <v>4343</v>
      </c>
      <c r="C225" s="3" t="s">
        <v>4282</v>
      </c>
      <c r="D225" s="3" t="s">
        <v>4244</v>
      </c>
      <c r="F225" s="5" t="str">
        <f>IFERROR(__xludf.DUMMYFUNCTION("GOOGLETRANSLATE(A225, ""en"", ""hi"")"),"224")</f>
        <v>224</v>
      </c>
      <c r="G225" s="5" t="str">
        <f>IFERROR(__xludf.DUMMYFUNCTION("GOOGLETRANSLATE(B225, ""en"", ""hi"")"),"लागोरी में यदि गेंद किसी पत्थर पर गिरती है, जिसे गिरा दिया जाता है, लेकिन वह आगे नहीं गिरता, तो क्या नियम है?")</f>
        <v>लागोरी में यदि गेंद किसी पत्थर पर गिरती है, जिसे गिरा दिया जाता है, लेकिन वह आगे नहीं गिरता, तो क्या नियम है?</v>
      </c>
      <c r="H225" s="5" t="str">
        <f>IFERROR(__xludf.DUMMYFUNCTION("GOOGLETRANSLATE(C225,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25" s="5" t="str">
        <f>IFERROR(__xludf.DUMMYFUNCTION("GOOGLETRANSLATE(D225, ""en"", ""hi"")"),"A) पत्थर नीचे ही रहता है और बारी असफल मानी जाती है।")</f>
        <v>A) पत्थर नीचे ही रहता है और बारी असफल मानी जाती है।</v>
      </c>
    </row>
    <row r="226" ht="22.5" customHeight="1">
      <c r="A226" s="2">
        <v>225.0</v>
      </c>
      <c r="B226" s="3" t="s">
        <v>4344</v>
      </c>
      <c r="C226" s="3" t="s">
        <v>4345</v>
      </c>
      <c r="D226" s="3" t="s">
        <v>4346</v>
      </c>
      <c r="F226" s="5" t="str">
        <f>IFERROR(__xludf.DUMMYFUNCTION("GOOGLETRANSLATE(A226, ""en"", ""hi"")"),"225")</f>
        <v>225</v>
      </c>
      <c r="G226" s="5" t="str">
        <f>IFERROR(__xludf.DUMMYFUNCTION("GOOGLETRANSLATE(B226, ""en"", ""hi"")"),"यदि बिजली गुल होने के कारण लागोरी खेल बाधित हो जाए तो क्या प्रक्रिया अपनाई जाएगी?")</f>
        <v>यदि बिजली गुल होने के कारण लागोरी खेल बाधित हो जाए तो क्या प्रक्रिया अपनाई जाएगी?</v>
      </c>
      <c r="H226" s="5" t="str">
        <f>IFERROR(__xludf.DUMMYFUNCTION("GOOGLETRANSLATE(C226, ""en"", ""hi"")"),"A) बिजली बहाल होने तक खेल को रोक दिया जाता है। , B) खेल रद्द कर दिया जाता है। , C) खेल को शुरू से फिर से शुरू किया जाता है। , D) सबसे अधिक अंक वाली टीम को विजेता घोषित किया जाता है।")</f>
        <v>A) बिजली बहाल होने तक खेल को रोक दिया जाता है। , B) खेल रद्द कर दिया जाता है। , C) खेल को शुरू से फिर से शुरू किया जाता है। , D) सबसे अधिक अंक वाली टीम को विजेता घोषित किया जाता है।</v>
      </c>
      <c r="I226" s="5" t="str">
        <f>IFERROR(__xludf.DUMMYFUNCTION("GOOGLETRANSLATE(D226, ""en"", ""hi"")"),"A) बिजली बहाल होने तक खेल को रोक दिया जाता है।")</f>
        <v>A) बिजली बहाल होने तक खेल को रोक दिया जाता है।</v>
      </c>
    </row>
    <row r="227" ht="22.5" customHeight="1">
      <c r="A227" s="2">
        <v>226.0</v>
      </c>
      <c r="B227" s="3" t="s">
        <v>4347</v>
      </c>
      <c r="C227" s="3" t="s">
        <v>4129</v>
      </c>
      <c r="D227" s="3" t="s">
        <v>4130</v>
      </c>
      <c r="F227" s="5" t="str">
        <f>IFERROR(__xludf.DUMMYFUNCTION("GOOGLETRANSLATE(A227, ""en"", ""hi"")"),"226")</f>
        <v>226</v>
      </c>
      <c r="G227" s="5" t="str">
        <f>IFERROR(__xludf.DUMMYFUNCTION("GOOGLETRANSLATE(B227, ""en"", ""hi"")"),"लागोरी मैच के दौरान यदि गेंद खेल क्षेत्र के बाहर गिरती है और किसी पत्थर से नहीं टकराती है, तो क्या नियम होगा?")</f>
        <v>लागोरी मैच के दौरान यदि गेंद खेल क्षेत्र के बाहर गिरती है और किसी पत्थर से नहीं टकराती है, तो क्या नियम होगा?</v>
      </c>
      <c r="H227" s="5" t="str">
        <f>IFERROR(__xludf.DUMMYFUNCTION("GOOGLETRANSLATE(C227,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227" s="5" t="str">
        <f>IFERROR(__xludf.DUMMYFUNCTION("GOOGLETRANSLATE(D227, ""en"", ""hi"")"),"ए) बारी रद्द कर दी जाती है और गेंद वापस ले ली जाती है।")</f>
        <v>ए) बारी रद्द कर दी जाती है और गेंद वापस ले ली जाती है।</v>
      </c>
    </row>
    <row r="228" ht="22.5" customHeight="1">
      <c r="A228" s="2">
        <v>227.0</v>
      </c>
      <c r="B228" s="3" t="s">
        <v>4348</v>
      </c>
      <c r="C228" s="3" t="s">
        <v>4349</v>
      </c>
      <c r="D228" s="3" t="s">
        <v>4350</v>
      </c>
      <c r="F228" s="5" t="str">
        <f>IFERROR(__xludf.DUMMYFUNCTION("GOOGLETRANSLATE(A228, ""en"", ""hi"")"),"227")</f>
        <v>227</v>
      </c>
      <c r="G228" s="5" t="str">
        <f>IFERROR(__xludf.DUMMYFUNCTION("GOOGLETRANSLATE(B228, ""en"", ""hi"")"),"लागोरी में यदि गेंद किसी ऐसे पत्थर पर गिरती है जो आंशिक रूप से गिरा हुआ है, तो क्या नियम है?")</f>
        <v>लागोरी में यदि गेंद किसी ऐसे पत्थर पर गिरती है जो आंशिक रूप से गिरा हुआ है, तो क्या नियम है?</v>
      </c>
      <c r="H228" s="5" t="str">
        <f>IFERROR(__xludf.DUMMYFUNCTION("GOOGLETRANSLATE(C228, ""en"", ""hi"")"),"A) पत्थर आंशिक रूप से गिरा रहता है और बारी असफल मानी जाती है। , B) पत्थर को पुनः स्थापित कर दिया जाता है और खेल जारी रहता है। , C) आक्रमणकारी टीम को एक और मौका मिलता है। , D) खेल रोक दिया जाता है।")</f>
        <v>A) पत्थर आंशिक रूप से गिरा रहता है और बारी असफल मानी जाती है। , B) पत्थर को पुनः स्थापित कर दिया जाता है और खेल जारी रहता है। , C) आक्रमणकारी टीम को एक और मौका मिलता है। , D) खेल रोक दिया जाता है।</v>
      </c>
      <c r="I228" s="5" t="str">
        <f>IFERROR(__xludf.DUMMYFUNCTION("GOOGLETRANSLATE(D228, ""en"", ""hi"")"),"A) पत्थर आंशिक रूप से गिरा हुआ रहता है और चाल असफल मानी जाती है।")</f>
        <v>A) पत्थर आंशिक रूप से गिरा हुआ रहता है और चाल असफल मानी जाती है।</v>
      </c>
    </row>
    <row r="229" ht="22.5" customHeight="1">
      <c r="A229" s="2">
        <v>228.0</v>
      </c>
      <c r="B229" s="3" t="s">
        <v>4249</v>
      </c>
      <c r="C229" s="3" t="s">
        <v>4250</v>
      </c>
      <c r="D229" s="3" t="s">
        <v>4251</v>
      </c>
      <c r="F229" s="5" t="str">
        <f>IFERROR(__xludf.DUMMYFUNCTION("GOOGLETRANSLATE(A229, ""en"", ""hi"")"),"228")</f>
        <v>228</v>
      </c>
      <c r="G229" s="5" t="str">
        <f>IFERROR(__xludf.DUMMYFUNCTION("GOOGLETRANSLATE(B229,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229" s="5" t="str">
        <f>IFERROR(__xludf.DUMMYFUNCTION("GOOGLETRANSLATE(C229,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29" s="5" t="str">
        <f>IFERROR(__xludf.DUMMYFUNCTION("GOOGLETRANSLATE(D229,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30" ht="22.5" customHeight="1">
      <c r="A230" s="2">
        <v>229.0</v>
      </c>
      <c r="B230" s="3" t="s">
        <v>4351</v>
      </c>
      <c r="C230" s="3" t="s">
        <v>4205</v>
      </c>
      <c r="D230" s="3" t="s">
        <v>4003</v>
      </c>
      <c r="F230" s="5" t="str">
        <f>IFERROR(__xludf.DUMMYFUNCTION("GOOGLETRANSLATE(A230, ""en"", ""hi"")"),"229")</f>
        <v>229</v>
      </c>
      <c r="G230" s="5" t="str">
        <f>IFERROR(__xludf.DUMMYFUNCTION("GOOGLETRANSLATE(B230, ""en"", ""hi"")"),"लागोरी मैच के दौरान, यदि गेंद किसी ऐसे क्षेत्र में गिर जाए जिसे वापस पाना कठिन हो और आक्रमणकारी टीम उसे वापस न ले सके, तो नियम क्या है?")</f>
        <v>लागोरी मैच के दौरान, यदि गेंद किसी ऐसे क्षेत्र में गिर जाए जिसे वापस पाना कठिन हो और आक्रमणकारी टीम उसे वापस न ले सके, तो नियम क्या है?</v>
      </c>
      <c r="H230" s="5" t="str">
        <f>IFERROR(__xludf.DUMMYFUNCTION("GOOGLETRANSLATE(C230,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30" s="5" t="str">
        <f>IFERROR(__xludf.DUMMYFUNCTION("GOOGLETRANSLATE(D230, ""en"", ""hi"")"),"A) आक्रमणकारी टीम अपनी बारी खो देती है।")</f>
        <v>A) आक्रमणकारी टीम अपनी बारी खो देती है।</v>
      </c>
    </row>
    <row r="231" ht="22.5" customHeight="1">
      <c r="A231" s="2">
        <v>230.0</v>
      </c>
      <c r="B231" s="3" t="s">
        <v>4328</v>
      </c>
      <c r="C231" s="3" t="s">
        <v>4282</v>
      </c>
      <c r="D231" s="3" t="s">
        <v>4244</v>
      </c>
      <c r="F231" s="5" t="str">
        <f>IFERROR(__xludf.DUMMYFUNCTION("GOOGLETRANSLATE(A231, ""en"", ""hi"")"),"230")</f>
        <v>230</v>
      </c>
      <c r="G231" s="5" t="str">
        <f>IFERROR(__xludf.DUMMYFUNCTION("GOOGLETRANSLATE(B231, ""en"", ""hi"")"),"लागोरी में यदि कोई पत्थर गिरा दिया जाए और गेंद उस पर आकर गिरे, लेकिन सीधे उस पर न लगे, तो क्या करना चाहिए?")</f>
        <v>लागोरी में यदि कोई पत्थर गिरा दिया जाए और गेंद उस पर आकर गिरे, लेकिन सीधे उस पर न लगे, तो क्या करना चाहिए?</v>
      </c>
      <c r="H231" s="5" t="str">
        <f>IFERROR(__xludf.DUMMYFUNCTION("GOOGLETRANSLATE(C231,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31" s="5" t="str">
        <f>IFERROR(__xludf.DUMMYFUNCTION("GOOGLETRANSLATE(D231, ""en"", ""hi"")"),"A) पत्थर नीचे ही रहता है और बारी असफल मानी जाती है।")</f>
        <v>A) पत्थर नीचे ही रहता है और बारी असफल मानी जाती है।</v>
      </c>
    </row>
    <row r="232" ht="22.5" customHeight="1">
      <c r="A232" s="2">
        <v>231.0</v>
      </c>
      <c r="B232" s="3" t="s">
        <v>4352</v>
      </c>
      <c r="C232" s="3" t="s">
        <v>4333</v>
      </c>
      <c r="D232" s="3" t="s">
        <v>4334</v>
      </c>
      <c r="F232" s="5" t="str">
        <f>IFERROR(__xludf.DUMMYFUNCTION("GOOGLETRANSLATE(A232, ""en"", ""hi"")"),"231")</f>
        <v>231</v>
      </c>
      <c r="G232" s="5" t="str">
        <f>IFERROR(__xludf.DUMMYFUNCTION("GOOGLETRANSLATE(B232, ""en"", ""hi"")"),"यदि किसी चिकित्सा आपातस्थिति के कारण लागोरी खेल बाधित हो जाए तो सामान्य प्रक्रिया क्या होगी?")</f>
        <v>यदि किसी चिकित्सा आपातस्थिति के कारण लागोरी खेल बाधित हो जाए तो सामान्य प्रक्रिया क्या होगी?</v>
      </c>
      <c r="H232" s="5" t="str">
        <f>IFERROR(__xludf.DUMMYFUNCTION("GOOGLETRANSLATE(C232, ""en"", ""hi"")"),"A) आपातस्थिति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आपातस्थिति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232" s="5" t="str">
        <f>IFERROR(__xludf.DUMMYFUNCTION("GOOGLETRANSLATE(D232, ""en"", ""hi"")"),"A) जब तक आपातस्थिति का समाधान नहीं हो जाता तब तक खेल को रोक दिया जाता है।")</f>
        <v>A) जब तक आपातस्थिति का समाधान नहीं हो जाता तब तक खेल को रोक दिया जाता है।</v>
      </c>
    </row>
    <row r="233" ht="22.5" customHeight="1">
      <c r="A233" s="2">
        <v>232.0</v>
      </c>
      <c r="B233" s="3" t="s">
        <v>4335</v>
      </c>
      <c r="C233" s="3" t="s">
        <v>4129</v>
      </c>
      <c r="D233" s="3" t="s">
        <v>4130</v>
      </c>
      <c r="F233" s="5" t="str">
        <f>IFERROR(__xludf.DUMMYFUNCTION("GOOGLETRANSLATE(A233, ""en"", ""hi"")"),"232")</f>
        <v>232</v>
      </c>
      <c r="G233" s="5" t="str">
        <f>IFERROR(__xludf.DUMMYFUNCTION("GOOGLETRANSLATE(B233, ""en"", ""hi"")"),"लागोरी मैच के दौरान यदि गेंद किसी पत्थर से टकराए बिना खेल क्षेत्र के बाहर गिर जाए तो क्या नियम होगा?")</f>
        <v>लागोरी मैच के दौरान यदि गेंद किसी पत्थर से टकराए बिना खेल क्षेत्र के बाहर गिर जाए तो क्या नियम होगा?</v>
      </c>
      <c r="H233" s="5" t="str">
        <f>IFERROR(__xludf.DUMMYFUNCTION("GOOGLETRANSLATE(C233,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233" s="5" t="str">
        <f>IFERROR(__xludf.DUMMYFUNCTION("GOOGLETRANSLATE(D233, ""en"", ""hi"")"),"ए) बारी रद्द कर दी जाती है और गेंद वापस ले ली जाती है।")</f>
        <v>ए) बारी रद्द कर दी जाती है और गेंद वापस ले ली जाती है।</v>
      </c>
    </row>
    <row r="234" ht="22.5" customHeight="1">
      <c r="A234" s="2">
        <v>233.0</v>
      </c>
      <c r="B234" s="3" t="s">
        <v>4348</v>
      </c>
      <c r="C234" s="3" t="s">
        <v>4349</v>
      </c>
      <c r="D234" s="3" t="s">
        <v>4350</v>
      </c>
      <c r="F234" s="5" t="str">
        <f>IFERROR(__xludf.DUMMYFUNCTION("GOOGLETRANSLATE(A234, ""en"", ""hi"")"),"233")</f>
        <v>233</v>
      </c>
      <c r="G234" s="5" t="str">
        <f>IFERROR(__xludf.DUMMYFUNCTION("GOOGLETRANSLATE(B234, ""en"", ""hi"")"),"लागोरी में यदि गेंद किसी ऐसे पत्थर पर गिरती है जो आंशिक रूप से गिरा हुआ है, तो क्या नियम है?")</f>
        <v>लागोरी में यदि गेंद किसी ऐसे पत्थर पर गिरती है जो आंशिक रूप से गिरा हुआ है, तो क्या नियम है?</v>
      </c>
      <c r="H234" s="5" t="str">
        <f>IFERROR(__xludf.DUMMYFUNCTION("GOOGLETRANSLATE(C234, ""en"", ""hi"")"),"A) पत्थर आंशिक रूप से गिरा रहता है और बारी असफल मानी जाती है। , B) पत्थर को पुनः स्थापित कर दिया जाता है और खेल जारी रहता है। , C) आक्रमणकारी टीम को एक और मौका मिलता है। , D) खेल रोक दिया जाता है।")</f>
        <v>A) पत्थर आंशिक रूप से गिरा रहता है और बारी असफल मानी जाती है। , B) पत्थर को पुनः स्थापित कर दिया जाता है और खेल जारी रहता है। , C) आक्रमणकारी टीम को एक और मौका मिलता है। , D) खेल रोक दिया जाता है।</v>
      </c>
      <c r="I234" s="5" t="str">
        <f>IFERROR(__xludf.DUMMYFUNCTION("GOOGLETRANSLATE(D234, ""en"", ""hi"")"),"A) पत्थर आंशिक रूप से गिरा हुआ रहता है और चाल असफल मानी जाती है।")</f>
        <v>A) पत्थर आंशिक रूप से गिरा हुआ रहता है और चाल असफल मानी जाती है।</v>
      </c>
    </row>
    <row r="235" ht="22.5" customHeight="1">
      <c r="A235" s="2">
        <v>234.0</v>
      </c>
      <c r="B235" s="3" t="s">
        <v>4249</v>
      </c>
      <c r="C235" s="3" t="s">
        <v>4250</v>
      </c>
      <c r="D235" s="3" t="s">
        <v>4251</v>
      </c>
      <c r="F235" s="5" t="str">
        <f>IFERROR(__xludf.DUMMYFUNCTION("GOOGLETRANSLATE(A235, ""en"", ""hi"")"),"234")</f>
        <v>234</v>
      </c>
      <c r="G235" s="5" t="str">
        <f>IFERROR(__xludf.DUMMYFUNCTION("GOOGLETRANSLATE(B235,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235" s="5" t="str">
        <f>IFERROR(__xludf.DUMMYFUNCTION("GOOGLETRANSLATE(C235,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35" s="5" t="str">
        <f>IFERROR(__xludf.DUMMYFUNCTION("GOOGLETRANSLATE(D235,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36" ht="22.5" customHeight="1">
      <c r="A236" s="2">
        <v>235.0</v>
      </c>
      <c r="B236" s="3" t="s">
        <v>4353</v>
      </c>
      <c r="C236" s="3" t="s">
        <v>4205</v>
      </c>
      <c r="D236" s="3" t="s">
        <v>4003</v>
      </c>
      <c r="F236" s="5" t="str">
        <f>IFERROR(__xludf.DUMMYFUNCTION("GOOGLETRANSLATE(A236, ""en"", ""hi"")"),"235")</f>
        <v>235</v>
      </c>
      <c r="G236" s="5" t="str">
        <f>IFERROR(__xludf.DUMMYFUNCTION("GOOGLETRANSLATE(B236, ""en"", ""hi"")"),"लागोरी में यदि गेंद किसी ऐसे क्षेत्र में गिरती है, जहां से उसे वापस लाना कठिन हो, तो क्या नियम है?")</f>
        <v>लागोरी में यदि गेंद किसी ऐसे क्षेत्र में गिरती है, जहां से उसे वापस लाना कठिन हो, तो क्या नियम है?</v>
      </c>
      <c r="H236" s="5" t="str">
        <f>IFERROR(__xludf.DUMMYFUNCTION("GOOGLETRANSLATE(C236,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36" s="5" t="str">
        <f>IFERROR(__xludf.DUMMYFUNCTION("GOOGLETRANSLATE(D236, ""en"", ""hi"")"),"A) आक्रमणकारी टीम अपनी बारी खो देती है।")</f>
        <v>A) आक्रमणकारी टीम अपनी बारी खो देती है।</v>
      </c>
    </row>
    <row r="237" ht="22.5" customHeight="1">
      <c r="A237" s="2">
        <v>236.0</v>
      </c>
      <c r="B237" s="3" t="s">
        <v>4340</v>
      </c>
      <c r="C237" s="3" t="s">
        <v>4341</v>
      </c>
      <c r="D237" s="3" t="s">
        <v>4342</v>
      </c>
      <c r="F237" s="5" t="str">
        <f>IFERROR(__xludf.DUMMYFUNCTION("GOOGLETRANSLATE(A237, ""en"", ""hi"")"),"236")</f>
        <v>236</v>
      </c>
      <c r="G237" s="5" t="str">
        <f>IFERROR(__xludf.DUMMYFUNCTION("GOOGLETRANSLATE(B237, ""en"", ""hi"")"),"लागोरी मैच के दौरान यदि कोई पत्थर गिरा दिया जाए लेकिन गेंद खेल क्षेत्र के बाहर गिर जाए तो क्या करना चाहिए?")</f>
        <v>लागोरी मैच के दौरान यदि कोई पत्थर गिरा दिया जाए लेकिन गेंद खेल क्षेत्र के बाहर गिर जाए तो क्या करना चाहिए?</v>
      </c>
      <c r="H237" s="5" t="str">
        <f>IFERROR(__xludf.DUMMYFUNCTION("GOOGLETRANSLATE(C237, ""en"", ""hi"")"),"A)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37" s="5" t="str">
        <f>IFERROR(__xludf.DUMMYFUNCTION("GOOGLETRANSLATE(D237,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38" ht="22.5" customHeight="1">
      <c r="A238" s="2">
        <v>237.0</v>
      </c>
      <c r="B238" s="3" t="s">
        <v>4354</v>
      </c>
      <c r="C238" s="3" t="s">
        <v>4282</v>
      </c>
      <c r="D238" s="3" t="s">
        <v>4244</v>
      </c>
      <c r="F238" s="5" t="str">
        <f>IFERROR(__xludf.DUMMYFUNCTION("GOOGLETRANSLATE(A238, ""en"", ""hi"")"),"237")</f>
        <v>237</v>
      </c>
      <c r="G238" s="5" t="str">
        <f>IFERROR(__xludf.DUMMYFUNCTION("GOOGLETRANSLATE(B238, ""en"", ""hi"")"),"लागोरी में यदि गेंद किसी पत्थर पर गिरती है, लेकिन वह आगे नहीं बढ़ता, तो क्या नियम है?")</f>
        <v>लागोरी में यदि गेंद किसी पत्थर पर गिरती है, लेकिन वह आगे नहीं बढ़ता, तो क्या नियम है?</v>
      </c>
      <c r="H238" s="5" t="str">
        <f>IFERROR(__xludf.DUMMYFUNCTION("GOOGLETRANSLATE(C238,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38" s="5" t="str">
        <f>IFERROR(__xludf.DUMMYFUNCTION("GOOGLETRANSLATE(D238, ""en"", ""hi"")"),"A) पत्थर नीचे ही रहता है और बारी असफल मानी जाती है।")</f>
        <v>A) पत्थर नीचे ही रहता है और बारी असफल मानी जाती है।</v>
      </c>
    </row>
    <row r="239" ht="22.5" customHeight="1">
      <c r="A239" s="2">
        <v>238.0</v>
      </c>
      <c r="B239" s="3" t="s">
        <v>4355</v>
      </c>
      <c r="C239" s="3" t="s">
        <v>4345</v>
      </c>
      <c r="D239" s="3" t="s">
        <v>4346</v>
      </c>
      <c r="F239" s="5" t="str">
        <f>IFERROR(__xludf.DUMMYFUNCTION("GOOGLETRANSLATE(A239, ""en"", ""hi"")"),"238")</f>
        <v>238</v>
      </c>
      <c r="G239" s="5" t="str">
        <f>IFERROR(__xludf.DUMMYFUNCTION("GOOGLETRANSLATE(B239, ""en"", ""hi"")"),"यदि बिजली गुल होने के कारण लागोरी खेल बाधित हो जाए तो क्या किया जाना चाहिए?")</f>
        <v>यदि बिजली गुल होने के कारण लागोरी खेल बाधित हो जाए तो क्या किया जाना चाहिए?</v>
      </c>
      <c r="H239" s="5" t="str">
        <f>IFERROR(__xludf.DUMMYFUNCTION("GOOGLETRANSLATE(C239, ""en"", ""hi"")"),"A) बिजली बहाल होने तक खेल को रोक दिया जाता है। , B) खेल रद्द कर दिया जाता है। , C) खेल को शुरू से फिर से शुरू किया जाता है। , D) सबसे अधिक अंक वाली टीम को विजेता घोषित किया जाता है।")</f>
        <v>A) बिजली बहाल होने तक खेल को रोक दिया जाता है। , B) खेल रद्द कर दिया जाता है। , C) खेल को शुरू से फिर से शुरू किया जाता है। , D) सबसे अधिक अंक वाली टीम को विजेता घोषित किया जाता है।</v>
      </c>
      <c r="I239" s="5" t="str">
        <f>IFERROR(__xludf.DUMMYFUNCTION("GOOGLETRANSLATE(D239, ""en"", ""hi"")"),"A) बिजली बहाल होने तक खेल को रोक दिया जाता है।")</f>
        <v>A) बिजली बहाल होने तक खेल को रोक दिया जाता है।</v>
      </c>
    </row>
    <row r="240" ht="22.5" customHeight="1">
      <c r="A240" s="2">
        <v>239.0</v>
      </c>
      <c r="B240" s="3" t="s">
        <v>4347</v>
      </c>
      <c r="C240" s="3" t="s">
        <v>4129</v>
      </c>
      <c r="D240" s="3" t="s">
        <v>4130</v>
      </c>
      <c r="F240" s="5" t="str">
        <f>IFERROR(__xludf.DUMMYFUNCTION("GOOGLETRANSLATE(A240, ""en"", ""hi"")"),"239")</f>
        <v>239</v>
      </c>
      <c r="G240" s="5" t="str">
        <f>IFERROR(__xludf.DUMMYFUNCTION("GOOGLETRANSLATE(B240, ""en"", ""hi"")"),"लागोरी मैच के दौरान यदि गेंद खेल क्षेत्र के बाहर गिरती है और किसी पत्थर से नहीं टकराती है, तो क्या नियम होगा?")</f>
        <v>लागोरी मैच के दौरान यदि गेंद खेल क्षेत्र के बाहर गिरती है और किसी पत्थर से नहीं टकराती है, तो क्या नियम होगा?</v>
      </c>
      <c r="H240" s="5" t="str">
        <f>IFERROR(__xludf.DUMMYFUNCTION("GOOGLETRANSLATE(C240,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240" s="5" t="str">
        <f>IFERROR(__xludf.DUMMYFUNCTION("GOOGLETRANSLATE(D240, ""en"", ""hi"")"),"ए) बारी रद्द कर दी जाती है और गेंद वापस ले ली जाती है।")</f>
        <v>ए) बारी रद्द कर दी जाती है और गेंद वापस ले ली जाती है।</v>
      </c>
    </row>
    <row r="241" ht="22.5" customHeight="1">
      <c r="A241" s="2">
        <v>240.0</v>
      </c>
      <c r="B241" s="3" t="s">
        <v>4336</v>
      </c>
      <c r="C241" s="3" t="s">
        <v>4349</v>
      </c>
      <c r="D241" s="3" t="s">
        <v>4350</v>
      </c>
      <c r="F241" s="5" t="str">
        <f>IFERROR(__xludf.DUMMYFUNCTION("GOOGLETRANSLATE(A241, ""en"", ""hi"")"),"240")</f>
        <v>240</v>
      </c>
      <c r="G241" s="5" t="str">
        <f>IFERROR(__xludf.DUMMYFUNCTION("GOOGLETRANSLATE(B241, ""en"", ""hi"")"),"लागोरी में यदि गेंद किसी ऐसे पत्थर पर गिरे जो आंशिक रूप से गिरा हुआ हो, तो क्या किया जाना चाहिए?")</f>
        <v>लागोरी में यदि गेंद किसी ऐसे पत्थर पर गिरे जो आंशिक रूप से गिरा हुआ हो, तो क्या किया जाना चाहिए?</v>
      </c>
      <c r="H241" s="5" t="str">
        <f>IFERROR(__xludf.DUMMYFUNCTION("GOOGLETRANSLATE(C241, ""en"", ""hi"")"),"A) पत्थर आंशिक रूप से गिरा रहता है और बारी असफल मानी जाती है। , B) पत्थर को पुनः स्थापित कर दिया जाता है और खेल जारी रहता है। , C) आक्रमणकारी टीम को एक और मौका मिलता है। , D) खेल रोक दिया जाता है।")</f>
        <v>A) पत्थर आंशिक रूप से गिरा रहता है और बारी असफल मानी जाती है। , B) पत्थर को पुनः स्थापित कर दिया जाता है और खेल जारी रहता है। , C) आक्रमणकारी टीम को एक और मौका मिलता है। , D) खेल रोक दिया जाता है।</v>
      </c>
      <c r="I241" s="5" t="str">
        <f>IFERROR(__xludf.DUMMYFUNCTION("GOOGLETRANSLATE(D241, ""en"", ""hi"")"),"A) पत्थर आंशिक रूप से गिरा हुआ रहता है और चाल असफल मानी जाती है।")</f>
        <v>A) पत्थर आंशिक रूप से गिरा हुआ रहता है और चाल असफल मानी जाती है।</v>
      </c>
    </row>
    <row r="242" ht="22.5" customHeight="1">
      <c r="A242" s="2">
        <v>241.0</v>
      </c>
      <c r="B242" s="3" t="s">
        <v>4249</v>
      </c>
      <c r="C242" s="3" t="s">
        <v>4250</v>
      </c>
      <c r="D242" s="3" t="s">
        <v>4251</v>
      </c>
      <c r="F242" s="5" t="str">
        <f>IFERROR(__xludf.DUMMYFUNCTION("GOOGLETRANSLATE(A242, ""en"", ""hi"")"),"241")</f>
        <v>241</v>
      </c>
      <c r="G242" s="5" t="str">
        <f>IFERROR(__xludf.DUMMYFUNCTION("GOOGLETRANSLATE(B242, ""en"", ""hi"")"),"यदि लागोरी खेल खेला जाता है और पत्थर गिरा दिए जाते हैं, लेकिन गेंद खेल क्षेत्र के बाहर गिरती है, तो आगे क्या होगा?")</f>
        <v>यदि लागोरी खेल खेला जाता है और पत्थर गिरा दिए जाते हैं, लेकिन गेंद खेल क्षेत्र के बाहर गिरती है, तो आगे क्या होगा?</v>
      </c>
      <c r="H242" s="5" t="str">
        <f>IFERROR(__xludf.DUMMYFUNCTION("GOOGLETRANSLATE(C242,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42" s="5" t="str">
        <f>IFERROR(__xludf.DUMMYFUNCTION("GOOGLETRANSLATE(D242,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43" ht="22.5" customHeight="1">
      <c r="A243" s="2">
        <v>242.0</v>
      </c>
      <c r="B243" s="3" t="s">
        <v>4353</v>
      </c>
      <c r="C243" s="3" t="s">
        <v>4205</v>
      </c>
      <c r="D243" s="3" t="s">
        <v>4003</v>
      </c>
      <c r="F243" s="5" t="str">
        <f>IFERROR(__xludf.DUMMYFUNCTION("GOOGLETRANSLATE(A243, ""en"", ""hi"")"),"242")</f>
        <v>242</v>
      </c>
      <c r="G243" s="5" t="str">
        <f>IFERROR(__xludf.DUMMYFUNCTION("GOOGLETRANSLATE(B243, ""en"", ""hi"")"),"लागोरी में यदि गेंद किसी ऐसे क्षेत्र में गिरती है, जहां से उसे वापस लाना कठिन हो, तो क्या नियम है?")</f>
        <v>लागोरी में यदि गेंद किसी ऐसे क्षेत्र में गिरती है, जहां से उसे वापस लाना कठिन हो, तो क्या नियम है?</v>
      </c>
      <c r="H243" s="5" t="str">
        <f>IFERROR(__xludf.DUMMYFUNCTION("GOOGLETRANSLATE(C243,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43" s="5" t="str">
        <f>IFERROR(__xludf.DUMMYFUNCTION("GOOGLETRANSLATE(D243, ""en"", ""hi"")"),"A) आक्रमणकारी टीम अपनी बारी खो देती है।")</f>
        <v>A) आक्रमणकारी टीम अपनी बारी खो देती है।</v>
      </c>
    </row>
    <row r="244" ht="22.5" customHeight="1">
      <c r="A244" s="2">
        <v>243.0</v>
      </c>
      <c r="B244" s="3" t="s">
        <v>4340</v>
      </c>
      <c r="C244" s="3" t="s">
        <v>4341</v>
      </c>
      <c r="D244" s="3" t="s">
        <v>4342</v>
      </c>
      <c r="F244" s="5" t="str">
        <f>IFERROR(__xludf.DUMMYFUNCTION("GOOGLETRANSLATE(A244, ""en"", ""hi"")"),"243")</f>
        <v>243</v>
      </c>
      <c r="G244" s="5" t="str">
        <f>IFERROR(__xludf.DUMMYFUNCTION("GOOGLETRANSLATE(B244, ""en"", ""hi"")"),"लागोरी मैच के दौरान यदि कोई पत्थर गिरा दिया जाए लेकिन गेंद खेल क्षेत्र के बाहर गिर जाए तो क्या करना चाहिए?")</f>
        <v>लागोरी मैच के दौरान यदि कोई पत्थर गिरा दिया जाए लेकिन गेंद खेल क्षेत्र के बाहर गिर जाए तो क्या करना चाहिए?</v>
      </c>
      <c r="H244" s="5" t="str">
        <f>IFERROR(__xludf.DUMMYFUNCTION("GOOGLETRANSLATE(C244, ""en"", ""hi"")"),"A)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44" s="5" t="str">
        <f>IFERROR(__xludf.DUMMYFUNCTION("GOOGLETRANSLATE(D244,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45" ht="22.5" customHeight="1">
      <c r="A245" s="2">
        <v>244.0</v>
      </c>
      <c r="B245" s="3" t="s">
        <v>4343</v>
      </c>
      <c r="C245" s="3" t="s">
        <v>4282</v>
      </c>
      <c r="D245" s="3" t="s">
        <v>4244</v>
      </c>
      <c r="F245" s="5" t="str">
        <f>IFERROR(__xludf.DUMMYFUNCTION("GOOGLETRANSLATE(A245, ""en"", ""hi"")"),"244")</f>
        <v>244</v>
      </c>
      <c r="G245" s="5" t="str">
        <f>IFERROR(__xludf.DUMMYFUNCTION("GOOGLETRANSLATE(B245, ""en"", ""hi"")"),"लागोरी में यदि गेंद किसी पत्थर पर गिरती है, जिसे गिरा दिया जाता है, लेकिन वह आगे नहीं गिरता, तो क्या नियम है?")</f>
        <v>लागोरी में यदि गेंद किसी पत्थर पर गिरती है, जिसे गिरा दिया जाता है, लेकिन वह आगे नहीं गिरता, तो क्या नियम है?</v>
      </c>
      <c r="H245" s="5" t="str">
        <f>IFERROR(__xludf.DUMMYFUNCTION("GOOGLETRANSLATE(C245,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45" s="5" t="str">
        <f>IFERROR(__xludf.DUMMYFUNCTION("GOOGLETRANSLATE(D245, ""en"", ""hi"")"),"A) पत्थर नीचे ही रहता है और बारी असफल मानी जाती है।")</f>
        <v>A) पत्थर नीचे ही रहता है और बारी असफल मानी जाती है।</v>
      </c>
    </row>
    <row r="246" ht="22.5" customHeight="1">
      <c r="A246" s="2">
        <v>245.0</v>
      </c>
      <c r="B246" s="3" t="s">
        <v>4356</v>
      </c>
      <c r="C246" s="3" t="s">
        <v>4341</v>
      </c>
      <c r="D246" s="3" t="s">
        <v>4342</v>
      </c>
      <c r="F246" s="5" t="str">
        <f>IFERROR(__xludf.DUMMYFUNCTION("GOOGLETRANSLATE(A246, ""en"", ""hi"")"),"245")</f>
        <v>245</v>
      </c>
      <c r="G246" s="5" t="str">
        <f>IFERROR(__xludf.DUMMYFUNCTION("GOOGLETRANSLATE(B246, ""en"", ""hi"")"),"लागोरी खेल में यदि गेंद किसी पत्थर से टकराकर खेल क्षेत्र के बाहर गिर जाए तो क्या करना चाहिए?")</f>
        <v>लागोरी खेल में यदि गेंद किसी पत्थर से टकराकर खेल क्षेत्र के बाहर गिर जाए तो क्या करना चाहिए?</v>
      </c>
      <c r="H246" s="5" t="str">
        <f>IFERROR(__xludf.DUMMYFUNCTION("GOOGLETRANSLATE(C246, ""en"", ""hi"")"),"A)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46" s="5" t="str">
        <f>IFERROR(__xludf.DUMMYFUNCTION("GOOGLETRANSLATE(D246,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47" ht="22.5" customHeight="1">
      <c r="A247" s="2">
        <v>246.0</v>
      </c>
      <c r="B247" s="3" t="s">
        <v>4357</v>
      </c>
      <c r="C247" s="3" t="s">
        <v>4358</v>
      </c>
      <c r="D247" s="3" t="s">
        <v>4359</v>
      </c>
      <c r="F247" s="5" t="str">
        <f>IFERROR(__xludf.DUMMYFUNCTION("GOOGLETRANSLATE(A247, ""en"", ""hi"")"),"246")</f>
        <v>246</v>
      </c>
      <c r="G247" s="5" t="str">
        <f>IFERROR(__xludf.DUMMYFUNCTION("GOOGLETRANSLATE(B247, ""en"", ""hi"")"),"यदि लागोरी मैच के दौरान गेंद किसी ऐसे पत्थर से टकराती है जो ठीक से नहीं रखा गया है, तो क्या नियम होगा?")</f>
        <v>यदि लागोरी मैच के दौरान गेंद किसी ऐसे पत्थर से टकराती है जो ठीक से नहीं रखा गया है, तो क्या नियम होगा?</v>
      </c>
      <c r="H247" s="5" t="str">
        <f>IFERROR(__xludf.DUMMYFUNCTION("GOOGLETRANSLATE(C247, ""en"", ""hi"")"),"ए) पत्थर को समायोजित किया जाता है और बारी जारी रहती है। , बी) पत्थर को हटा दिया जाता है और खेल जारी रहता है। , सी) बारी को असफल माना जाता है। , डी) पत्थर को ठीक करने तक खेल को रोक दिया जाता है।")</f>
        <v>ए) पत्थर को समायोजित किया जाता है और बारी जारी रहती है। , बी) पत्थर को हटा दिया जाता है और खेल जारी रहता है। , सी) बारी को असफल माना जाता है। , डी) पत्थर को ठीक करने तक खेल को रोक दिया जाता है।</v>
      </c>
      <c r="I247" s="5" t="str">
        <f>IFERROR(__xludf.DUMMYFUNCTION("GOOGLETRANSLATE(D247, ""en"", ""hi"")"),"C) बारी असफल मानी जाती है।")</f>
        <v>C) बारी असफल मानी जाती है।</v>
      </c>
    </row>
    <row r="248" ht="22.5" customHeight="1">
      <c r="A248" s="2">
        <v>247.0</v>
      </c>
      <c r="B248" s="3" t="s">
        <v>4360</v>
      </c>
      <c r="C248" s="3" t="s">
        <v>4361</v>
      </c>
      <c r="D248" s="3" t="s">
        <v>4362</v>
      </c>
      <c r="F248" s="5" t="str">
        <f>IFERROR(__xludf.DUMMYFUNCTION("GOOGLETRANSLATE(A248, ""en"", ""hi"")"),"247")</f>
        <v>247</v>
      </c>
      <c r="G248" s="5" t="str">
        <f>IFERROR(__xludf.DUMMYFUNCTION("GOOGLETRANSLATE(B248, ""en"", ""hi"")"),"लागोरी खेल में, यदि गेंद पत्थर पर गिरती है, लेकिन उसे गिरा नहीं पाती, तो अगला कदम क्या होगा?")</f>
        <v>लागोरी खेल में, यदि गेंद पत्थर पर गिरती है, लेकिन उसे गिरा नहीं पाती, तो अगला कदम क्या होगा?</v>
      </c>
      <c r="H248" s="5" t="str">
        <f>IFERROR(__xludf.DUMMYFUNCTION("GOOGLETRANSLATE(C248, ""en"", ""hi"")"),"A) पत्थर वैसे ही रहता है और बारी असफल मानी जाती है। , B) पत्थर वापस मिल जाता है और खेल जारी रहता है। , C) आक्रमणकारी टीम को एक और मौका मिलता है। , D) खेल रोक दिया जाता है।")</f>
        <v>A) पत्थर वैसे ही रहता है और बारी असफल मानी जाती है। , B) पत्थर वापस मिल जाता है और खेल जारी रहता है। , C) आक्रमणकारी टीम को एक और मौका मिलता है। , D) खेल रोक दिया जाता है।</v>
      </c>
      <c r="I248" s="5" t="str">
        <f>IFERROR(__xludf.DUMMYFUNCTION("GOOGLETRANSLATE(D248, ""en"", ""hi"")"),"A) पत्थर वैसे ही रहता है और चाल असफल मानी जाती है।")</f>
        <v>A) पत्थर वैसे ही रहता है और चाल असफल मानी जाती है।</v>
      </c>
    </row>
    <row r="249" ht="22.5" customHeight="1">
      <c r="A249" s="2">
        <v>248.0</v>
      </c>
      <c r="B249" s="3" t="s">
        <v>4363</v>
      </c>
      <c r="C249" s="3" t="s">
        <v>4364</v>
      </c>
      <c r="D249" s="3" t="s">
        <v>4365</v>
      </c>
      <c r="F249" s="5" t="str">
        <f>IFERROR(__xludf.DUMMYFUNCTION("GOOGLETRANSLATE(A249, ""en"", ""hi"")"),"248")</f>
        <v>248</v>
      </c>
      <c r="G249" s="5" t="str">
        <f>IFERROR(__xludf.DUMMYFUNCTION("GOOGLETRANSLATE(B249, ""en"", ""hi"")"),"लागोरी मैच के दौरान, यदि आक्रमणकारी टीम गलती से गेंद को खेल क्षेत्र से बाहर फेंक दे, तो क्या होगा?")</f>
        <v>लागोरी मैच के दौरान, यदि आक्रमणकारी टीम गलती से गेंद को खेल क्षेत्र से बाहर फेंक दे, तो क्या होगा?</v>
      </c>
      <c r="H249" s="5" t="str">
        <f>IFERROR(__xludf.DUMMYFUNCTION("GOOGLETRANSLATE(C249, ""en"", ""hi"")"),"A) बारी रद्द कर दी जाती है और बचाव करने वाली टीम को अगली गेंद फेंकने का मौका मिलता है। , B) आक्रमण करने वाली टीम को एक और मौका मिलता है। , C) खेल रोक दिया जाता है। , D) खेल को अपूर्ण घोषित कर दिया जाता है।")</f>
        <v>A) बारी रद्द कर दी जाती है और बचाव करने वाली टीम को अगली गेंद फेंकने का मौका मिलता है। , B) आक्रमण करने वाली टीम को एक और मौका मिलता है। , C) खेल रोक दिया जाता है। , D) खेल को अपूर्ण घोषित कर दिया जाता है।</v>
      </c>
      <c r="I249" s="5" t="str">
        <f>IFERROR(__xludf.DUMMYFUNCTION("GOOGLETRANSLATE(D249, ""en"", ""hi"")"),"A) बारी रद्द कर दी जाती है और बचाव करने वाली टीम को अगली गेंद फेंकने का मौका मिलता है।")</f>
        <v>A) बारी रद्द कर दी जाती है और बचाव करने वाली टीम को अगली गेंद फेंकने का मौका मिलता है।</v>
      </c>
    </row>
    <row r="250" ht="22.5" customHeight="1">
      <c r="A250" s="2">
        <v>249.0</v>
      </c>
      <c r="B250" s="3" t="s">
        <v>4366</v>
      </c>
      <c r="C250" s="3" t="s">
        <v>4367</v>
      </c>
      <c r="D250" s="3" t="s">
        <v>4368</v>
      </c>
      <c r="F250" s="5" t="str">
        <f>IFERROR(__xludf.DUMMYFUNCTION("GOOGLETRANSLATE(A250, ""en"", ""hi"")"),"249")</f>
        <v>249</v>
      </c>
      <c r="G250" s="5" t="str">
        <f>IFERROR(__xludf.DUMMYFUNCTION("GOOGLETRANSLATE(B250, ""en"", ""hi"")"),"यदि गेंद किसी पत्थर पर गिरती है और पत्थर आंशिक रूप से हिलता है लेकिन गिरता नहीं है, तो नियम क्या है?")</f>
        <v>यदि गेंद किसी पत्थर पर गिरती है और पत्थर आंशिक रूप से हिलता है लेकिन गिरता नहीं है, तो नियम क्या है?</v>
      </c>
      <c r="H250" s="5" t="str">
        <f>IFERROR(__xludf.DUMMYFUNCTION("GOOGLETRANSLATE(C250, ""en"", ""hi"")"),"A) पत्थर आंशिक रूप से हिला रहता है और बारी असफल मानी जाती है। , B) पत्थर को पुनः स्थापित कर दिया जाता है और खेल जारी रहता है। , C) आक्रमणकारी टीम को एक और मौका मिलता है। , D) खेल रोक दिया जाता है।")</f>
        <v>A) पत्थर आंशिक रूप से हिला रहता है और बारी असफल मानी जाती है। , B) पत्थर को पुनः स्थापित कर दिया जाता है और खेल जारी रहता है। , C) आक्रमणकारी टीम को एक और मौका मिलता है। , D) खेल रोक दिया जाता है।</v>
      </c>
      <c r="I250" s="5" t="str">
        <f>IFERROR(__xludf.DUMMYFUNCTION("GOOGLETRANSLATE(D250, ""en"", ""hi"")"),"A) पत्थर आंशिक रूप से हिला रहता है और चाल असफल मानी जाती है।")</f>
        <v>A) पत्थर आंशिक रूप से हिला रहता है और चाल असफल मानी जाती है।</v>
      </c>
    </row>
    <row r="251" ht="22.5" customHeight="1">
      <c r="A251" s="2">
        <v>250.0</v>
      </c>
      <c r="B251" s="3" t="s">
        <v>4369</v>
      </c>
      <c r="C251" s="3" t="s">
        <v>4205</v>
      </c>
      <c r="D251" s="3" t="s">
        <v>4003</v>
      </c>
      <c r="F251" s="5" t="str">
        <f>IFERROR(__xludf.DUMMYFUNCTION("GOOGLETRANSLATE(A251, ""en"", ""hi"")"),"250")</f>
        <v>250</v>
      </c>
      <c r="G251" s="5" t="str">
        <f>IFERROR(__xludf.DUMMYFUNCTION("GOOGLETRANSLATE(B251, ""en"", ""hi"")"),"लागोरी में, यदि गेंद ऐसी स्थिति में गिरती है कि उसे वापस पाना कठिन हो जाता है और बचाव करने वाली टीम उसे वापस नहीं ले सकती, तो नियम क्या है?")</f>
        <v>लागोरी में, यदि गेंद ऐसी स्थिति में गिरती है कि उसे वापस पाना कठिन हो जाता है और बचाव करने वाली टीम उसे वापस नहीं ले सकती, तो नियम क्या है?</v>
      </c>
      <c r="H251" s="5" t="str">
        <f>IFERROR(__xludf.DUMMYFUNCTION("GOOGLETRANSLATE(C251,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51" s="5" t="str">
        <f>IFERROR(__xludf.DUMMYFUNCTION("GOOGLETRANSLATE(D251, ""en"", ""hi"")"),"A) आक्रमणकारी टीम अपनी बारी खो देती है।")</f>
        <v>A) आक्रमणकारी टीम अपनी बारी खो देती है।</v>
      </c>
    </row>
    <row r="252" ht="22.5" customHeight="1">
      <c r="A252" s="2">
        <v>251.0</v>
      </c>
      <c r="B252" s="3" t="s">
        <v>4370</v>
      </c>
      <c r="C252" s="3" t="s">
        <v>4250</v>
      </c>
      <c r="D252" s="3" t="s">
        <v>4251</v>
      </c>
      <c r="F252" s="5" t="str">
        <f>IFERROR(__xludf.DUMMYFUNCTION("GOOGLETRANSLATE(A252, ""en"", ""hi"")"),"251")</f>
        <v>251</v>
      </c>
      <c r="G252" s="5" t="str">
        <f>IFERROR(__xludf.DUMMYFUNCTION("GOOGLETRANSLATE(B252, ""en"", ""hi"")"),"यदि लागोरी खेल खेला जा रहा है और पत्थर गिरा दिए गए हैं लेकिन गेंद खेल क्षेत्र के बाहर गिरती है, तो क्या किया जाना चाहिए?")</f>
        <v>यदि लागोरी खेल खेला जा रहा है और पत्थर गिरा दिए गए हैं लेकिन गेंद खेल क्षेत्र के बाहर गिरती है, तो क्या किया जाना चाहिए?</v>
      </c>
      <c r="H252" s="5" t="str">
        <f>IFERROR(__xludf.DUMMYFUNCTION("GOOGLETRANSLATE(C252, ""en"", ""hi"")"),"ए)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f>
        <v>ए) पत्थर वापस रख दिए जाते हैं और बचाव करने वाली टीम को अगला पत्थर फेंकने का मौका मिलता है।, बी) हमला करने वाली टीम को एक और बारी मिलती है।, सी) खेल रोक दिया जाता है।, डी) खेल को अपूर्ण घोषित कर दिया जाता है।</v>
      </c>
      <c r="I252" s="5" t="str">
        <f>IFERROR(__xludf.DUMMYFUNCTION("GOOGLETRANSLATE(D252,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53" ht="22.5" customHeight="1">
      <c r="A253" s="2">
        <v>252.0</v>
      </c>
      <c r="B253" s="3" t="s">
        <v>4371</v>
      </c>
      <c r="C253" s="3" t="s">
        <v>4282</v>
      </c>
      <c r="D253" s="3" t="s">
        <v>4244</v>
      </c>
      <c r="F253" s="5" t="str">
        <f>IFERROR(__xludf.DUMMYFUNCTION("GOOGLETRANSLATE(A253, ""en"", ""hi"")"),"252")</f>
        <v>252</v>
      </c>
      <c r="G253" s="5" t="str">
        <f>IFERROR(__xludf.DUMMYFUNCTION("GOOGLETRANSLATE(B253, ""en"", ""hi"")"),"लागोरी मैच के दौरान यदि कोई पत्थर गिरा दिया जाए और गेंद उस पर गिरे, लेकिन आगे न बढ़े, तो क्या किया जाना चाहिए?")</f>
        <v>लागोरी मैच के दौरान यदि कोई पत्थर गिरा दिया जाए और गेंद उस पर गिरे, लेकिन आगे न बढ़े, तो क्या किया जाना चाहिए?</v>
      </c>
      <c r="H253" s="5" t="str">
        <f>IFERROR(__xludf.DUMMYFUNCTION("GOOGLETRANSLATE(C253,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53" s="5" t="str">
        <f>IFERROR(__xludf.DUMMYFUNCTION("GOOGLETRANSLATE(D253, ""en"", ""hi"")"),"A) पत्थर नीचे ही रहता है और बारी असफल मानी जाती है।")</f>
        <v>A) पत्थर नीचे ही रहता है और बारी असफल मानी जाती है।</v>
      </c>
    </row>
    <row r="254" ht="22.5" customHeight="1">
      <c r="A254" s="2">
        <v>253.0</v>
      </c>
      <c r="B254" s="3" t="s">
        <v>4372</v>
      </c>
      <c r="C254" s="3" t="s">
        <v>4129</v>
      </c>
      <c r="D254" s="3" t="s">
        <v>4130</v>
      </c>
      <c r="F254" s="5" t="str">
        <f>IFERROR(__xludf.DUMMYFUNCTION("GOOGLETRANSLATE(A254, ""en"", ""hi"")"),"253")</f>
        <v>253</v>
      </c>
      <c r="G254" s="5" t="str">
        <f>IFERROR(__xludf.DUMMYFUNCTION("GOOGLETRANSLATE(B254, ""en"", ""hi"")"),"लागोरी खेल में, यदि गेंद खेल क्षेत्र के बाहर गिरती है और किसी पत्थर से नहीं टकराती है, तो आगे क्या किया जाना चाहिए?")</f>
        <v>लागोरी खेल में, यदि गेंद खेल क्षेत्र के बाहर गिरती है और किसी पत्थर से नहीं टकराती है, तो आगे क्या किया जाना चाहिए?</v>
      </c>
      <c r="H254" s="5" t="str">
        <f>IFERROR(__xludf.DUMMYFUNCTION("GOOGLETRANSLATE(C254,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254" s="5" t="str">
        <f>IFERROR(__xludf.DUMMYFUNCTION("GOOGLETRANSLATE(D254, ""en"", ""hi"")"),"ए) बारी रद्द कर दी जाती है और गेंद वापस ले ली जाती है।")</f>
        <v>ए) बारी रद्द कर दी जाती है और गेंद वापस ले ली जाती है।</v>
      </c>
    </row>
    <row r="255" ht="22.5" customHeight="1">
      <c r="A255" s="2">
        <v>254.0</v>
      </c>
      <c r="B255" s="3" t="s">
        <v>4373</v>
      </c>
      <c r="C255" s="3" t="s">
        <v>4374</v>
      </c>
      <c r="D255" s="3" t="s">
        <v>4375</v>
      </c>
      <c r="F255" s="5" t="str">
        <f>IFERROR(__xludf.DUMMYFUNCTION("GOOGLETRANSLATE(A255, ""en"", ""hi"")"),"254")</f>
        <v>254</v>
      </c>
      <c r="G255" s="5" t="str">
        <f>IFERROR(__xludf.DUMMYFUNCTION("GOOGLETRANSLATE(B255, ""en"", ""hi"")"),"यदि खराब मौसम के कारण लागोरी खेल बाधित हो जाए तो सामान्य प्रक्रिया क्या होगी?")</f>
        <v>यदि खराब मौसम के कारण लागोरी खेल बाधित हो जाए तो सामान्य प्रक्रिया क्या होगी?</v>
      </c>
      <c r="H255" s="5" t="str">
        <f>IFERROR(__xludf.DUMMYFUNCTION("GOOGLETRANSLATE(C255, ""en"", ""hi"")"),"A) मौसम ठीक होने तक खेल रोक दिया जाता है। , B) खेल रद्द कर दिया जाता है। , C) खेल शुरू से फिर से शुरू किया जाता है। , D) सबसे अधिक अंक वाली टीम को विजेता घोषित किया जाता है।")</f>
        <v>A) मौसम ठीक होने तक खेल रोक दिया जाता है। , B) खेल रद्द कर दिया जाता है। , C) खेल शुरू से फिर से शुरू किया जाता है। , D) सबसे अधिक अंक वाली टीम को विजेता घोषित किया जाता है।</v>
      </c>
      <c r="I255" s="5" t="str">
        <f>IFERROR(__xludf.DUMMYFUNCTION("GOOGLETRANSLATE(D255, ""en"", ""hi"")"),"A) मौसम ठीक होने तक खेल रोक दिया जाता है।")</f>
        <v>A) मौसम ठीक होने तक खेल रोक दिया जाता है।</v>
      </c>
    </row>
    <row r="256" ht="22.5" customHeight="1">
      <c r="A256" s="2">
        <v>255.0</v>
      </c>
      <c r="B256" s="3" t="s">
        <v>4376</v>
      </c>
      <c r="C256" s="3" t="s">
        <v>4377</v>
      </c>
      <c r="D256" s="3" t="s">
        <v>4378</v>
      </c>
      <c r="F256" s="5" t="str">
        <f>IFERROR(__xludf.DUMMYFUNCTION("GOOGLETRANSLATE(A256, ""en"", ""hi"")"),"255")</f>
        <v>255</v>
      </c>
      <c r="G256" s="5" t="str">
        <f>IFERROR(__xludf.DUMMYFUNCTION("GOOGLETRANSLATE(B256, ""en"", ""hi"")"),"लागोरी मैच के दौरान यदि कोई खिलाड़ी गेंद फेंकते समय खेल क्षेत्र से बाहर चला जाए तो क्या होगा?")</f>
        <v>लागोरी मैच के दौरान यदि कोई खिलाड़ी गेंद फेंकते समय खेल क्षेत्र से बाहर चला जाए तो क्या होगा?</v>
      </c>
      <c r="H256" s="5" t="str">
        <f>IFERROR(__xludf.DUMMYFUNCTION("GOOGLETRANSLATE(C256, ""en"", ""hi"")"),"A) बारी को असफल माना जाता है और गेंद को वापस ले लिया जाता है। , B) खिलाड़ी को एक और मौका मिलता है। , C) खेल रोक दिया जाता है। , D) खेल बिना किसी रुकावट के जारी रहता है।")</f>
        <v>A) बारी को असफल माना जाता है और गेंद को वापस ले लिया जाता है। , B) खिलाड़ी को एक और मौका मिलता है। , C) खेल रोक दिया जाता है। , D) खेल बिना किसी रुकावट के जारी रहता है।</v>
      </c>
      <c r="I256" s="5" t="str">
        <f>IFERROR(__xludf.DUMMYFUNCTION("GOOGLETRANSLATE(D256, ""en"", ""hi"")"),"A) टर्न को असफल माना जाता है और गेंद को पुनः प्राप्त कर लिया जाता है।")</f>
        <v>A) टर्न को असफल माना जाता है और गेंद को पुनः प्राप्त कर लिया जाता है।</v>
      </c>
    </row>
    <row r="257" ht="22.5" customHeight="1">
      <c r="A257" s="2">
        <v>256.0</v>
      </c>
      <c r="B257" s="3" t="s">
        <v>4379</v>
      </c>
      <c r="C257" s="3" t="s">
        <v>4380</v>
      </c>
      <c r="D257" s="3" t="s">
        <v>4381</v>
      </c>
      <c r="F257" s="5" t="str">
        <f>IFERROR(__xludf.DUMMYFUNCTION("GOOGLETRANSLATE(A257, ""en"", ""hi"")"),"256")</f>
        <v>256</v>
      </c>
      <c r="G257" s="5" t="str">
        <f>IFERROR(__xludf.DUMMYFUNCTION("GOOGLETRANSLATE(B257, ""en"", ""hi"")"),"लागोरी में, यदि गेंद पत्थर पर गिरती है, लेकिन उसे गिराती नहीं है और पत्थर थोड़ा सा हिल जाता है, तो क्या किया जाना चाहिए?")</f>
        <v>लागोरी में, यदि गेंद पत्थर पर गिरती है, लेकिन उसे गिराती नहीं है और पत्थर थोड़ा सा हिल जाता है, तो क्या किया जाना चाहिए?</v>
      </c>
      <c r="H257" s="5" t="str">
        <f>IFERROR(__xludf.DUMMYFUNCTION("GOOGLETRANSLATE(C257, ""en"", ""hi"")"),"A) पत्थर अपनी नई स्थिति में रहता है और बारी को असफल माना जाता है। , B) पत्थर को बहाल कर दिया जाता है और खेल जारी रहता है। , C) हमला करने वाली टीम को एक और मौका मिलता है। , D) खेल रोक दिया जाता है।")</f>
        <v>A) पत्थर अपनी नई स्थिति में रहता है और बारी को असफल माना जाता है। , B) पत्थर को बहाल कर दिया जाता है और खेल जारी रहता है। , C) हमला करने वाली टीम को एक और मौका मिलता है। , D) खेल रोक दिया जाता है।</v>
      </c>
      <c r="I257" s="5" t="str">
        <f>IFERROR(__xludf.DUMMYFUNCTION("GOOGLETRANSLATE(D257, ""en"", ""hi"")"),"A) पत्थर अपनी नई स्थिति में ही रहता है और घुमाव असफल माना जाता है।")</f>
        <v>A) पत्थर अपनी नई स्थिति में ही रहता है और घुमाव असफल माना जाता है।</v>
      </c>
    </row>
    <row r="258" ht="22.5" customHeight="1">
      <c r="A258" s="2">
        <v>257.0</v>
      </c>
      <c r="B258" s="3" t="s">
        <v>4382</v>
      </c>
      <c r="C258" s="3" t="s">
        <v>4383</v>
      </c>
      <c r="D258" s="3" t="s">
        <v>4384</v>
      </c>
      <c r="F258" s="5" t="str">
        <f>IFERROR(__xludf.DUMMYFUNCTION("GOOGLETRANSLATE(A258, ""en"", ""hi"")"),"257")</f>
        <v>257</v>
      </c>
      <c r="G258" s="5" t="str">
        <f>IFERROR(__xludf.DUMMYFUNCTION("GOOGLETRANSLATE(B258, ""en"", ""hi"")"),"यदि लागोरी मैच के दौरान गेंद किसी पत्थर पर गिरती है और पत्थर गिर जाता है, लेकिन गेंद खेल क्षेत्र के बाहर गिरती है, तो नियम क्या है?")</f>
        <v>यदि लागोरी मैच के दौरान गेंद किसी पत्थर पर गिरती है और पत्थर गिर जाता है, लेकिन गेंद खेल क्षेत्र के बाहर गिरती है, तो नियम क्या है?</v>
      </c>
      <c r="H258" s="5" t="str">
        <f>IFERROR(__xludf.DUMMYFUNCTION("GOOGLETRANSLATE(C258,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58" s="5" t="str">
        <f>IFERROR(__xludf.DUMMYFUNCTION("GOOGLETRANSLATE(D258,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59" ht="22.5" customHeight="1">
      <c r="A259" s="2">
        <v>258.0</v>
      </c>
      <c r="B259" s="3" t="s">
        <v>4385</v>
      </c>
      <c r="C259" s="3" t="s">
        <v>4361</v>
      </c>
      <c r="D259" s="3" t="s">
        <v>4362</v>
      </c>
      <c r="F259" s="5" t="str">
        <f>IFERROR(__xludf.DUMMYFUNCTION("GOOGLETRANSLATE(A259, ""en"", ""hi"")"),"258")</f>
        <v>258</v>
      </c>
      <c r="G259" s="5" t="str">
        <f>IFERROR(__xludf.DUMMYFUNCTION("GOOGLETRANSLATE(B259, ""en"", ""hi"")"),"लागोरी में यदि गेंद पत्थर पर गिरती है लेकिन उसकी स्थिति पर कोई प्रभाव नहीं पड़ता है तो क्या किया जाना चाहिए?")</f>
        <v>लागोरी में यदि गेंद पत्थर पर गिरती है लेकिन उसकी स्थिति पर कोई प्रभाव नहीं पड़ता है तो क्या किया जाना चाहिए?</v>
      </c>
      <c r="H259" s="5" t="str">
        <f>IFERROR(__xludf.DUMMYFUNCTION("GOOGLETRANSLATE(C259, ""en"", ""hi"")"),"A) पत्थर वैसे ही रहता है और बारी असफल मानी जाती है। , B) पत्थर वापस मिल जाता है और खेल जारी रहता है। , C) आक्रमणकारी टीम को एक और मौका मिलता है। , D) खेल रोक दिया जाता है।")</f>
        <v>A) पत्थर वैसे ही रहता है और बारी असफल मानी जाती है। , B) पत्थर वापस मिल जाता है और खेल जारी रहता है। , C) आक्रमणकारी टीम को एक और मौका मिलता है। , D) खेल रोक दिया जाता है।</v>
      </c>
      <c r="I259" s="5" t="str">
        <f>IFERROR(__xludf.DUMMYFUNCTION("GOOGLETRANSLATE(D259, ""en"", ""hi"")"),"A) पत्थर वैसे ही रहता है और चाल असफल मानी जाती है।")</f>
        <v>A) पत्थर वैसे ही रहता है और चाल असफल मानी जाती है।</v>
      </c>
    </row>
    <row r="260" ht="22.5" customHeight="1">
      <c r="A260" s="2">
        <v>259.0</v>
      </c>
      <c r="B260" s="3" t="s">
        <v>4386</v>
      </c>
      <c r="C260" s="3" t="s">
        <v>4205</v>
      </c>
      <c r="D260" s="3" t="s">
        <v>4003</v>
      </c>
      <c r="F260" s="5" t="str">
        <f>IFERROR(__xludf.DUMMYFUNCTION("GOOGLETRANSLATE(A260, ""en"", ""hi"")"),"259")</f>
        <v>259</v>
      </c>
      <c r="G260" s="5" t="str">
        <f>IFERROR(__xludf.DUMMYFUNCTION("GOOGLETRANSLATE(B260, ""en"", ""hi"")"),"लागोरी मैच के दौरान, यदि आक्रमणकारी टीम गेंद को कठिन स्थिति में पहुंचने के बाद वापस पाने में असमर्थ रहती है, तो आगे क्या होता है?")</f>
        <v>लागोरी मैच के दौरान, यदि आक्रमणकारी टीम गेंद को कठिन स्थिति में पहुंचने के बाद वापस पाने में असमर्थ रहती है, तो आगे क्या होता है?</v>
      </c>
      <c r="H260" s="5" t="str">
        <f>IFERROR(__xludf.DUMMYFUNCTION("GOOGLETRANSLATE(C260,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60" s="5" t="str">
        <f>IFERROR(__xludf.DUMMYFUNCTION("GOOGLETRANSLATE(D260, ""en"", ""hi"")"),"A) आक्रमणकारी टीम अपनी बारी खो देती है।")</f>
        <v>A) आक्रमणकारी टीम अपनी बारी खो देती है।</v>
      </c>
    </row>
    <row r="261" ht="22.5" customHeight="1">
      <c r="A261" s="2">
        <v>260.0</v>
      </c>
      <c r="B261" s="3" t="s">
        <v>4387</v>
      </c>
      <c r="C261" s="3" t="s">
        <v>4388</v>
      </c>
      <c r="D261" s="3" t="s">
        <v>4389</v>
      </c>
      <c r="F261" s="5" t="str">
        <f>IFERROR(__xludf.DUMMYFUNCTION("GOOGLETRANSLATE(A261, ""en"", ""hi"")"),"260")</f>
        <v>260</v>
      </c>
      <c r="G261" s="5" t="str">
        <f>IFERROR(__xludf.DUMMYFUNCTION("GOOGLETRANSLATE(B261, ""en"", ""hi"")"),"यदि अचानक नियम परिवर्तन के कारण लागोरी खेल बाधित हो जाए तो क्या किया जाना चाहिए?")</f>
        <v>यदि अचानक नियम परिवर्तन के कारण लागोरी खेल बाधित हो जाए तो क्या किया जाना चाहिए?</v>
      </c>
      <c r="H261" s="5" t="str">
        <f>IFERROR(__xludf.DUMMYFUNCTION("GOOGLETRANSLATE(C261, ""en"", ""hi"")"),"A) नए नियमों की व्याख्या होने तक खेल को रोक दिया जाता है। , B) खेल रद्द कर दिया जाता है। , C) खेल को शुरू से फिर से शुरू किया जाता है। , D) सबसे अधिक अंक वाली टीम को विजेता घोषित किया जाता है।")</f>
        <v>A) नए नियमों की व्याख्या होने तक खेल को रोक दिया जाता है। , B) खेल रद्द कर दिया जाता है। , C) खेल को शुरू से फिर से शुरू किया जाता है। , D) सबसे अधिक अंक वाली टीम को विजेता घोषित किया जाता है।</v>
      </c>
      <c r="I261" s="5" t="str">
        <f>IFERROR(__xludf.DUMMYFUNCTION("GOOGLETRANSLATE(D261, ""en"", ""hi"")"),"A) नये नियमों की व्याख्या होने तक खेल को रोक दिया जाता है।")</f>
        <v>A) नये नियमों की व्याख्या होने तक खेल को रोक दिया जाता है।</v>
      </c>
    </row>
    <row r="262" ht="22.5" customHeight="1">
      <c r="A262" s="2">
        <v>261.0</v>
      </c>
      <c r="B262" s="3" t="s">
        <v>4390</v>
      </c>
      <c r="C262" s="3" t="s">
        <v>4391</v>
      </c>
      <c r="D262" s="3" t="s">
        <v>4392</v>
      </c>
      <c r="F262" s="5" t="str">
        <f>IFERROR(__xludf.DUMMYFUNCTION("GOOGLETRANSLATE(A262, ""en"", ""hi"")"),"261")</f>
        <v>261</v>
      </c>
      <c r="G262" s="5" t="str">
        <f>IFERROR(__xludf.DUMMYFUNCTION("GOOGLETRANSLATE(B262, ""en"", ""hi"")"),"लागोरी में, यदि गेंद किसी पत्थर पर गिरती है और पत्थर गिर जाता है, लेकिन गेंद फिर खेल क्षेत्र के बाहर गिरती है, तो क्या किया जाना चाहिए?")</f>
        <v>लागोरी में, यदि गेंद किसी पत्थर पर गिरती है और पत्थर गिर जाता है, लेकिन गेंद फिर खेल क्षेत्र के बाहर गिरती है, तो क्या किया जाना चाहिए?</v>
      </c>
      <c r="H262" s="5" t="str">
        <f>IFERROR(__xludf.DUMMYFUNCTION("GOOGLETRANSLATE(C262, ""en"", ""hi"")"),"A) पत्थर नीचे ही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नीचे ही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62" s="5" t="str">
        <f>IFERROR(__xludf.DUMMYFUNCTION("GOOGLETRANSLATE(D262, ""en"", ""hi"")"),"A) पत्थर नीचे ही रहता है और बचाव करने वाली टीम को अगला पत्थर फेंकने का मौका मिलता है।")</f>
        <v>A) पत्थर नीचे ही रहता है और बचाव करने वाली टीम को अगला पत्थर फेंकने का मौका मिलता है।</v>
      </c>
    </row>
    <row r="263" ht="22.5" customHeight="1">
      <c r="A263" s="2">
        <v>262.0</v>
      </c>
      <c r="B263" s="3" t="s">
        <v>4393</v>
      </c>
      <c r="C263" s="3" t="s">
        <v>4394</v>
      </c>
      <c r="D263" s="3" t="s">
        <v>4378</v>
      </c>
      <c r="F263" s="5" t="str">
        <f>IFERROR(__xludf.DUMMYFUNCTION("GOOGLETRANSLATE(A263, ""en"", ""hi"")"),"262")</f>
        <v>262</v>
      </c>
      <c r="G263" s="5" t="str">
        <f>IFERROR(__xludf.DUMMYFUNCTION("GOOGLETRANSLATE(B263, ""en"", ""hi"")"),"लागोरी मैच के दौरान यदि गेंद पत्थर पर गिरती है लेकिन पत्थर अपनी मूल स्थिति में रहता है, तो नियम क्या है?")</f>
        <v>लागोरी मैच के दौरान यदि गेंद पत्थर पर गिरती है लेकिन पत्थर अपनी मूल स्थिति में रहता है, तो नियम क्या है?</v>
      </c>
      <c r="H263" s="5" t="str">
        <f>IFERROR(__xludf.DUMMYFUNCTION("GOOGLETRANSLATE(C263, ""en"", ""hi"")"),"A) बारी को असफल माना जाता है और गेंद को वापस ले लिया जाता है। , B) पत्थर को वापस कर दिया जाता है और खेल जारी रहता है। , C) आक्रमणकारी टीम को एक और मौका मिलता है। , D) खेल रोक दिया जाता है।")</f>
        <v>A) बारी को असफल माना जाता है और गेंद को वापस ले लिया जाता है। , B) पत्थर को वापस कर दिया जाता है और खेल जारी रहता है। , C) आक्रमणकारी टीम को एक और मौका मिलता है। , D) खेल रोक दिया जाता है।</v>
      </c>
      <c r="I263" s="5" t="str">
        <f>IFERROR(__xludf.DUMMYFUNCTION("GOOGLETRANSLATE(D263, ""en"", ""hi"")"),"A) टर्न को असफल माना जाता है और गेंद को पुनः प्राप्त कर लिया जाता है।")</f>
        <v>A) टर्न को असफल माना जाता है और गेंद को पुनः प्राप्त कर लिया जाता है।</v>
      </c>
    </row>
    <row r="264" ht="22.5" customHeight="1">
      <c r="A264" s="2">
        <v>263.0</v>
      </c>
      <c r="B264" s="3" t="s">
        <v>4395</v>
      </c>
      <c r="C264" s="3" t="s">
        <v>4396</v>
      </c>
      <c r="D264" s="3" t="s">
        <v>4397</v>
      </c>
      <c r="F264" s="5" t="str">
        <f>IFERROR(__xludf.DUMMYFUNCTION("GOOGLETRANSLATE(A264, ""en"", ""hi"")"),"263")</f>
        <v>263</v>
      </c>
      <c r="G264" s="5" t="str">
        <f>IFERROR(__xludf.DUMMYFUNCTION("GOOGLETRANSLATE(B264, ""en"", ""hi"")"),"यदि किसी मामूली चोट के कारण लागोरी खेल बाधित हो जाए तो सामान्य प्रक्रिया क्या होगी?")</f>
        <v>यदि किसी मामूली चोट के कारण लागोरी खेल बाधित हो जाए तो सामान्य प्रक्रिया क्या होगी?</v>
      </c>
      <c r="H264" s="5" t="str">
        <f>IFERROR(__xludf.DUMMYFUNCTION("GOOGLETRANSLATE(C264, ""en"", ""hi"")"),"A) चोट का उपचार होने तक खेल रोक दिया जाता है। , B) खेल रद्द कर दिया जाता है। , C) खेल शुरू से पुनः शुरू किया जाता है। , D) रुकावट के समय सबसे अधिक अंक वाली टीम को विजेता घोषित किया जाता है।")</f>
        <v>A) चोट का उपचार होने तक खेल रोक दिया जाता है। , B) खेल रद्द कर दिया जाता है। , C) खेल शुरू से पुनः शुरू किया जाता है। , D) रुकावट के समय सबसे अधिक अंक वाली टीम को विजेता घोषित किया जाता है।</v>
      </c>
      <c r="I264" s="5" t="str">
        <f>IFERROR(__xludf.DUMMYFUNCTION("GOOGLETRANSLATE(D264, ""en"", ""hi"")"),"A) चोट का उपचार होने तक खेल रोक दिया जाता है।")</f>
        <v>A) चोट का उपचार होने तक खेल रोक दिया जाता है।</v>
      </c>
    </row>
    <row r="265" ht="22.5" customHeight="1">
      <c r="A265" s="2">
        <v>264.0</v>
      </c>
      <c r="B265" s="3" t="s">
        <v>4398</v>
      </c>
      <c r="C265" s="3" t="s">
        <v>4129</v>
      </c>
      <c r="D265" s="3" t="s">
        <v>4130</v>
      </c>
      <c r="F265" s="5" t="str">
        <f>IFERROR(__xludf.DUMMYFUNCTION("GOOGLETRANSLATE(A265, ""en"", ""hi"")"),"264")</f>
        <v>264</v>
      </c>
      <c r="G265" s="5" t="str">
        <f>IFERROR(__xludf.DUMMYFUNCTION("GOOGLETRANSLATE(B265, ""en"", ""hi"")"),"लागोरी में, यदि गेंद खेल क्षेत्र के बाहर गिरती है और किसी पत्थर से नहीं टकराती है, तो आगे क्या होगा?")</f>
        <v>लागोरी में, यदि गेंद खेल क्षेत्र के बाहर गिरती है और किसी पत्थर से नहीं टकराती है, तो आगे क्या होगा?</v>
      </c>
      <c r="H265" s="5" t="str">
        <f>IFERROR(__xludf.DUMMYFUNCTION("GOOGLETRANSLATE(C265, ""en"", ""hi"")"),"ए) बारी रद्द कर दी जाती है और गेंद वापस ले ली जाती है।, बी) खेल बिना किसी रुकावट के जारी रहता है।, सी) गेंद को एक नई गेंद से बदल दिया जाता है।, डी) खेल रोक दिया जाता है।")</f>
        <v>ए) बारी रद्द कर दी जाती है और गेंद वापस ले ली जाती है।, बी) खेल बिना किसी रुकावट के जारी रहता है।, सी) गेंद को एक नई गेंद से बदल दिया जाता है।, डी) खेल रोक दिया जाता है।</v>
      </c>
      <c r="I265" s="5" t="str">
        <f>IFERROR(__xludf.DUMMYFUNCTION("GOOGLETRANSLATE(D265, ""en"", ""hi"")"),"ए) बारी रद्द कर दी जाती है और गेंद वापस ले ली जाती है।")</f>
        <v>ए) बारी रद्द कर दी जाती है और गेंद वापस ले ली जाती है।</v>
      </c>
    </row>
    <row r="266" ht="22.5" customHeight="1">
      <c r="A266" s="2">
        <v>265.0</v>
      </c>
      <c r="B266" s="3" t="s">
        <v>4399</v>
      </c>
      <c r="C266" s="3" t="s">
        <v>4383</v>
      </c>
      <c r="D266" s="3" t="s">
        <v>4384</v>
      </c>
      <c r="F266" s="5" t="str">
        <f>IFERROR(__xludf.DUMMYFUNCTION("GOOGLETRANSLATE(A266, ""en"", ""hi"")"),"265")</f>
        <v>265</v>
      </c>
      <c r="G266" s="5" t="str">
        <f>IFERROR(__xludf.DUMMYFUNCTION("GOOGLETRANSLATE(B266, ""en"", ""hi"")"),"लागोरी मैच के दौरान, यदि गेंद किसी पत्थर पर गिरती है और पत्थर गिर जाता है, लेकिन गेंद खेल क्षेत्र के बाहर गिरती है, तो क्या किया जाना चाहिए?")</f>
        <v>लागोरी मैच के दौरान, यदि गेंद किसी पत्थर पर गिरती है और पत्थर गिर जाता है, लेकिन गेंद खेल क्षेत्र के बाहर गिरती है, तो क्या किया जाना चाहिए?</v>
      </c>
      <c r="H266" s="5" t="str">
        <f>IFERROR(__xludf.DUMMYFUNCTION("GOOGLETRANSLATE(C266,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66" s="5" t="str">
        <f>IFERROR(__xludf.DUMMYFUNCTION("GOOGLETRANSLATE(D266,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67" ht="22.5" customHeight="1">
      <c r="A267" s="2">
        <v>266.0</v>
      </c>
      <c r="B267" s="3" t="s">
        <v>4400</v>
      </c>
      <c r="C267" s="3" t="s">
        <v>4401</v>
      </c>
      <c r="D267" s="3" t="s">
        <v>4402</v>
      </c>
      <c r="F267" s="5" t="str">
        <f>IFERROR(__xludf.DUMMYFUNCTION("GOOGLETRANSLATE(A267, ""en"", ""hi"")"),"266")</f>
        <v>266</v>
      </c>
      <c r="G267" s="5" t="str">
        <f>IFERROR(__xludf.DUMMYFUNCTION("GOOGLETRANSLATE(B267, ""en"", ""hi"")"),"यदि टीमों के बीच विवाद के कारण लागोरी खेल रोक दिया जाता है, तो सामान्य समाधान क्या होता है?")</f>
        <v>यदि टीमों के बीच विवाद के कारण लागोरी खेल रोक दिया जाता है, तो सामान्य समाधान क्या होता है?</v>
      </c>
      <c r="H267" s="5" t="str">
        <f>IFERROR(__xludf.DUMMYFUNCTION("GOOGLETRANSLATE(C267, ""en"", ""hi"")"),"A) विवाद सुलझ जाता है और खेल पुनः शुरू हो जाता है। , B) खेल रद्द हो जाता है। , C) खेल शुरू से पुनः शुरू हो जाता है। , D) सबसे अधिक अंक वाली टीम को विजेता घोषित किया जाता है।")</f>
        <v>A) विवाद सुलझ जाता है और खेल पुनः शुरू हो जाता है। , B) खेल रद्द हो जाता है। , C) खेल शुरू से पुनः शुरू हो जाता है। , D) सबसे अधिक अंक वाली टीम को विजेता घोषित किया जाता है।</v>
      </c>
      <c r="I267" s="5" t="str">
        <f>IFERROR(__xludf.DUMMYFUNCTION("GOOGLETRANSLATE(D267, ""en"", ""hi"")"),"A) विवाद सुलझ गया और खेल पुनः शुरू हो गया।")</f>
        <v>A) विवाद सुलझ गया और खेल पुनः शुरू हो गया।</v>
      </c>
    </row>
    <row r="268" ht="22.5" customHeight="1">
      <c r="A268" s="2">
        <v>267.0</v>
      </c>
      <c r="B268" s="3" t="s">
        <v>4403</v>
      </c>
      <c r="C268" s="3" t="s">
        <v>4391</v>
      </c>
      <c r="D268" s="3" t="s">
        <v>4392</v>
      </c>
      <c r="F268" s="5" t="str">
        <f>IFERROR(__xludf.DUMMYFUNCTION("GOOGLETRANSLATE(A268, ""en"", ""hi"")"),"267")</f>
        <v>267</v>
      </c>
      <c r="G268" s="5" t="str">
        <f>IFERROR(__xludf.DUMMYFUNCTION("GOOGLETRANSLATE(B268, ""en"", ""hi"")"),"लागोरी में, यदि गेंद किसी पत्थर पर गिरती है और पत्थर गिर जाता है, लेकिन फिर गेंद को खेल क्षेत्र के बाहर फेंक दिया जाता है, तो आगे क्या होता है?")</f>
        <v>लागोरी में, यदि गेंद किसी पत्थर पर गिरती है और पत्थर गिर जाता है, लेकिन फिर गेंद को खेल क्षेत्र के बाहर फेंक दिया जाता है, तो आगे क्या होता है?</v>
      </c>
      <c r="H268" s="5" t="str">
        <f>IFERROR(__xludf.DUMMYFUNCTION("GOOGLETRANSLATE(C268, ""en"", ""hi"")"),"A) पत्थर नीचे ही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नीचे ही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68" s="5" t="str">
        <f>IFERROR(__xludf.DUMMYFUNCTION("GOOGLETRANSLATE(D268, ""en"", ""hi"")"),"A) पत्थर नीचे ही रहता है और बचाव करने वाली टीम को अगला पत्थर फेंकने का मौका मिलता है।")</f>
        <v>A) पत्थर नीचे ही रहता है और बचाव करने वाली टीम को अगला पत्थर फेंकने का मौका मिलता है।</v>
      </c>
    </row>
    <row r="269" ht="22.5" customHeight="1">
      <c r="A269" s="2">
        <v>268.0</v>
      </c>
      <c r="B269" s="3" t="s">
        <v>4404</v>
      </c>
      <c r="C269" s="3" t="s">
        <v>4205</v>
      </c>
      <c r="D269" s="3" t="s">
        <v>4003</v>
      </c>
      <c r="F269" s="5" t="str">
        <f>IFERROR(__xludf.DUMMYFUNCTION("GOOGLETRANSLATE(A269, ""en"", ""hi"")"),"268")</f>
        <v>268</v>
      </c>
      <c r="G269" s="5" t="str">
        <f>IFERROR(__xludf.DUMMYFUNCTION("GOOGLETRANSLATE(B269, ""en"", ""hi"")"),"लागोरी मैच के दौरान यदि गेंद किसी कठिन स्थिति में गिर जाए और उसे आसानी से प्राप्त न किया जा सके, तो आगे क्या होगा?")</f>
        <v>लागोरी मैच के दौरान यदि गेंद किसी कठिन स्थिति में गिर जाए और उसे आसानी से प्राप्त न किया जा सके, तो आगे क्या होगा?</v>
      </c>
      <c r="H269" s="5" t="str">
        <f>IFERROR(__xludf.DUMMYFUNCTION("GOOGLETRANSLATE(C269,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69" s="5" t="str">
        <f>IFERROR(__xludf.DUMMYFUNCTION("GOOGLETRANSLATE(D269, ""en"", ""hi"")"),"A) आक्रमणकारी टीम अपनी बारी खो देती है।")</f>
        <v>A) आक्रमणकारी टीम अपनी बारी खो देती है।</v>
      </c>
    </row>
    <row r="270" ht="22.5" customHeight="1">
      <c r="A270" s="2">
        <v>269.0</v>
      </c>
      <c r="B270" s="3" t="s">
        <v>4405</v>
      </c>
      <c r="C270" s="3" t="s">
        <v>4383</v>
      </c>
      <c r="D270" s="3" t="s">
        <v>4384</v>
      </c>
      <c r="F270" s="5" t="str">
        <f>IFERROR(__xludf.DUMMYFUNCTION("GOOGLETRANSLATE(A270, ""en"", ""hi"")"),"269")</f>
        <v>269</v>
      </c>
      <c r="G270" s="5" t="str">
        <f>IFERROR(__xludf.DUMMYFUNCTION("GOOGLETRANSLATE(B270, ""en"", ""hi"")"),"लागोरी में, यदि गेंद किसी पत्थर पर गिरती है और पत्थर नीचे गिर जाता है, लेकिन गेंद फिर खेल क्षेत्र के बाहर गिरती है, तो नियम क्या है?")</f>
        <v>लागोरी में, यदि गेंद किसी पत्थर पर गिरती है और पत्थर नीचे गिर जाता है, लेकिन गेंद फिर खेल क्षेत्र के बाहर गिरती है, तो नियम क्या है?</v>
      </c>
      <c r="H270" s="5" t="str">
        <f>IFERROR(__xludf.DUMMYFUNCTION("GOOGLETRANSLATE(C270,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70" s="5" t="str">
        <f>IFERROR(__xludf.DUMMYFUNCTION("GOOGLETRANSLATE(D270,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71" ht="22.5" customHeight="1">
      <c r="A271" s="2">
        <v>270.0</v>
      </c>
      <c r="B271" s="3" t="s">
        <v>4406</v>
      </c>
      <c r="C271" s="3" t="s">
        <v>4367</v>
      </c>
      <c r="D271" s="3" t="s">
        <v>4368</v>
      </c>
      <c r="F271" s="5" t="str">
        <f>IFERROR(__xludf.DUMMYFUNCTION("GOOGLETRANSLATE(A271, ""en"", ""hi"")"),"270")</f>
        <v>270</v>
      </c>
      <c r="G271" s="5" t="str">
        <f>IFERROR(__xludf.DUMMYFUNCTION("GOOGLETRANSLATE(B271, ""en"", ""hi"")"),"यदि गेंद किसी पत्थर पर गिरती है और उसे गिरा देती है, लेकिन पत्थर आंशिक रूप से हिल जाता है, तो नियम क्या है?")</f>
        <v>यदि गेंद किसी पत्थर पर गिरती है और उसे गिरा देती है, लेकिन पत्थर आंशिक रूप से हिल जाता है, तो नियम क्या है?</v>
      </c>
      <c r="H271" s="5" t="str">
        <f>IFERROR(__xludf.DUMMYFUNCTION("GOOGLETRANSLATE(C271, ""en"", ""hi"")"),"A) पत्थर आंशिक रूप से हिला रहता है और बारी असफल मानी जाती है। , B) पत्थर को पुनः स्थापित कर दिया जाता है और खेल जारी रहता है। , C) आक्रमणकारी टीम को एक और मौका मिलता है। , D) खेल रोक दिया जाता है।")</f>
        <v>A) पत्थर आंशिक रूप से हिला रहता है और बारी असफल मानी जाती है। , B) पत्थर को पुनः स्थापित कर दिया जाता है और खेल जारी रहता है। , C) आक्रमणकारी टीम को एक और मौका मिलता है। , D) खेल रोक दिया जाता है।</v>
      </c>
      <c r="I271" s="5" t="str">
        <f>IFERROR(__xludf.DUMMYFUNCTION("GOOGLETRANSLATE(D271, ""en"", ""hi"")"),"A) पत्थर आंशिक रूप से हिला रहता है और चाल असफल मानी जाती है।")</f>
        <v>A) पत्थर आंशिक रूप से हिला रहता है और चाल असफल मानी जाती है।</v>
      </c>
    </row>
    <row r="272" ht="22.5" customHeight="1">
      <c r="A272" s="2">
        <v>271.0</v>
      </c>
      <c r="B272" s="3" t="s">
        <v>4407</v>
      </c>
      <c r="C272" s="3" t="s">
        <v>4205</v>
      </c>
      <c r="D272" s="3" t="s">
        <v>4003</v>
      </c>
      <c r="F272" s="5" t="str">
        <f>IFERROR(__xludf.DUMMYFUNCTION("GOOGLETRANSLATE(A272, ""en"", ""hi"")"),"271")</f>
        <v>271</v>
      </c>
      <c r="G272" s="5" t="str">
        <f>IFERROR(__xludf.DUMMYFUNCTION("GOOGLETRANSLATE(B272, ""en"", ""hi"")"),"लागोरी में यदि गेंद ऐसी स्थिति में गिरती है कि उसे वापस लाना कठिन हो जाता है, तो नियम क्या है?")</f>
        <v>लागोरी में यदि गेंद ऐसी स्थिति में गिरती है कि उसे वापस लाना कठिन हो जाता है, तो नियम क्या है?</v>
      </c>
      <c r="H272" s="5" t="str">
        <f>IFERROR(__xludf.DUMMYFUNCTION("GOOGLETRANSLATE(C272,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72" s="5" t="str">
        <f>IFERROR(__xludf.DUMMYFUNCTION("GOOGLETRANSLATE(D272, ""en"", ""hi"")"),"A) आक्रमणकारी टीम अपनी बारी खो देती है।")</f>
        <v>A) आक्रमणकारी टीम अपनी बारी खो देती है।</v>
      </c>
    </row>
    <row r="273" ht="22.5" customHeight="1">
      <c r="A273" s="2">
        <v>272.0</v>
      </c>
      <c r="B273" s="3" t="s">
        <v>4408</v>
      </c>
      <c r="C273" s="3" t="s">
        <v>4341</v>
      </c>
      <c r="D273" s="3" t="s">
        <v>4342</v>
      </c>
      <c r="F273" s="5" t="str">
        <f>IFERROR(__xludf.DUMMYFUNCTION("GOOGLETRANSLATE(A273, ""en"", ""hi"")"),"272")</f>
        <v>272</v>
      </c>
      <c r="G273" s="5" t="str">
        <f>IFERROR(__xludf.DUMMYFUNCTION("GOOGLETRANSLATE(B273, ""en"", ""hi"")"),"लागोरी मैच के दौरान यदि गेंद पत्थर से टकराकर खेल क्षेत्र के बाहर गिर जाए तो क्या करना चाहिए?")</f>
        <v>लागोरी मैच के दौरान यदि गेंद पत्थर से टकराकर खेल क्षेत्र के बाहर गिर जाए तो क्या करना चाहिए?</v>
      </c>
      <c r="H273" s="5" t="str">
        <f>IFERROR(__xludf.DUMMYFUNCTION("GOOGLETRANSLATE(C273, ""en"", ""hi"")"),"A)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वापस रख दिया जाता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73" s="5" t="str">
        <f>IFERROR(__xludf.DUMMYFUNCTION("GOOGLETRANSLATE(D273, ""en"", ""hi"")"),"A) पत्थर को पुनः स्थापित कर दिया जाता है और बचाव करने वाली टीम को अगला पत्थर फेंकने का मौका मिलता है।")</f>
        <v>A) पत्थर को पुनः स्थापित कर दिया जाता है और बचाव करने वाली टीम को अगला पत्थर फेंकने का मौका मिलता है।</v>
      </c>
    </row>
    <row r="274" ht="22.5" customHeight="1">
      <c r="A274" s="2">
        <v>273.0</v>
      </c>
      <c r="B274" s="3" t="s">
        <v>4409</v>
      </c>
      <c r="C274" s="3" t="s">
        <v>4410</v>
      </c>
      <c r="D274" s="3" t="s">
        <v>4411</v>
      </c>
      <c r="F274" s="5" t="str">
        <f>IFERROR(__xludf.DUMMYFUNCTION("GOOGLETRANSLATE(A274, ""en"", ""hi"")"),"273")</f>
        <v>273</v>
      </c>
      <c r="G274" s="5" t="str">
        <f>IFERROR(__xludf.DUMMYFUNCTION("GOOGLETRANSLATE(B274, ""en"", ""hi"")"),"यदि किसी बाहरी कारक, जैसे कि गड़बड़ी या व्यवधान के कारण लागोरी खेल बाधित होता है, तो सामान्य प्रक्रिया क्या होती है?")</f>
        <v>यदि किसी बाहरी कारक, जैसे कि गड़बड़ी या व्यवधान के कारण लागोरी खेल बाधित होता है, तो सामान्य प्रक्रिया क्या होती है?</v>
      </c>
      <c r="H274" s="5" t="str">
        <f>IFERROR(__xludf.DUMMYFUNCTION("GOOGLETRANSLATE(C274, ""en"", ""hi"")"),"A) खेल को तब तक रोक दिया जाता है जब तक रुकावट हल नहीं हो जाती। , B) खेल रद्द कर दिया जाता है। , C) खेल को शुरू से फिर से शुरू किया जाता है। , D) सबसे अधिक अंक वाली टीम को विजेता घोषित किया जाता है।")</f>
        <v>A) खेल को तब तक रोक दिया जाता है जब तक रुकावट हल नहीं हो जाती। , B) खेल रद्द कर दिया जाता है। , C) खेल को शुरू से फिर से शुरू किया जाता है। , D) सबसे अधिक अंक वाली टीम को विजेता घोषित किया जाता है।</v>
      </c>
      <c r="I274" s="5" t="str">
        <f>IFERROR(__xludf.DUMMYFUNCTION("GOOGLETRANSLATE(D274, ""en"", ""hi"")"),"A) खेल तब तक रुका रहता है जब तक व्यवधान का समाधान नहीं हो जाता।")</f>
        <v>A) खेल तब तक रुका रहता है जब तक व्यवधान का समाधान नहीं हो जाता।</v>
      </c>
    </row>
    <row r="275" ht="22.5" customHeight="1">
      <c r="A275" s="2">
        <v>274.0</v>
      </c>
      <c r="B275" s="3" t="s">
        <v>4412</v>
      </c>
      <c r="C275" s="3" t="s">
        <v>4383</v>
      </c>
      <c r="D275" s="3" t="s">
        <v>4384</v>
      </c>
      <c r="F275" s="5" t="str">
        <f>IFERROR(__xludf.DUMMYFUNCTION("GOOGLETRANSLATE(A275, ""en"", ""hi"")"),"274")</f>
        <v>274</v>
      </c>
      <c r="G275" s="5" t="str">
        <f>IFERROR(__xludf.DUMMYFUNCTION("GOOGLETRANSLATE(B275, ""en"", ""hi"")"),"लागोरी में, यदि गेंद किसी पत्थर पर गिरती है और पत्थर नीचे गिर जाता है, लेकिन गेंद फिर खेल क्षेत्र के बाहर गिरती है, तो क्या किया जाना चाहिए?")</f>
        <v>लागोरी में, यदि गेंद किसी पत्थर पर गिरती है और पत्थर नीचे गिर जाता है, लेकिन गेंद फिर खेल क्षेत्र के बाहर गिरती है, तो क्या किया जाना चाहिए?</v>
      </c>
      <c r="H275" s="5" t="str">
        <f>IFERROR(__xludf.DUMMYFUNCTION("GOOGLETRANSLATE(C275,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75" s="5" t="str">
        <f>IFERROR(__xludf.DUMMYFUNCTION("GOOGLETRANSLATE(D275,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76" ht="22.5" customHeight="1">
      <c r="A276" s="2">
        <v>275.0</v>
      </c>
      <c r="B276" s="3" t="s">
        <v>4413</v>
      </c>
      <c r="C276" s="3" t="s">
        <v>4205</v>
      </c>
      <c r="D276" s="3" t="s">
        <v>4003</v>
      </c>
      <c r="F276" s="5" t="str">
        <f>IFERROR(__xludf.DUMMYFUNCTION("GOOGLETRANSLATE(A276, ""en"", ""hi"")"),"275")</f>
        <v>275</v>
      </c>
      <c r="G276" s="5" t="str">
        <f>IFERROR(__xludf.DUMMYFUNCTION("GOOGLETRANSLATE(B276, ""en"", ""hi"")"),"लागोरी मैच के दौरान, यदि गेंद किसी ऐसी जगह गिर जाए जहां पहुंचना मुश्किल हो और बचाव करने वाली टीम उसे वापस न ले सके, तो नियम क्या होगा?")</f>
        <v>लागोरी मैच के दौरान, यदि गेंद किसी ऐसी जगह गिर जाए जहां पहुंचना मुश्किल हो और बचाव करने वाली टीम उसे वापस न ले सके, तो नियम क्या होगा?</v>
      </c>
      <c r="H276" s="5" t="str">
        <f>IFERROR(__xludf.DUMMYFUNCTION("GOOGLETRANSLATE(C276,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76" s="5" t="str">
        <f>IFERROR(__xludf.DUMMYFUNCTION("GOOGLETRANSLATE(D276, ""en"", ""hi"")"),"A) आक्रमणकारी टीम अपनी बारी खो देती है।")</f>
        <v>A) आक्रमणकारी टीम अपनी बारी खो देती है।</v>
      </c>
    </row>
    <row r="277" ht="22.5" customHeight="1">
      <c r="A277" s="2">
        <v>276.0</v>
      </c>
      <c r="B277" s="3" t="s">
        <v>4414</v>
      </c>
      <c r="C277" s="3" t="s">
        <v>4383</v>
      </c>
      <c r="D277" s="3" t="s">
        <v>4384</v>
      </c>
      <c r="F277" s="5" t="str">
        <f>IFERROR(__xludf.DUMMYFUNCTION("GOOGLETRANSLATE(A277, ""en"", ""hi"")"),"276")</f>
        <v>276</v>
      </c>
      <c r="G277" s="5" t="str">
        <f>IFERROR(__xludf.DUMMYFUNCTION("GOOGLETRANSLATE(B277, ""en"", ""hi"")"),"यदि गेंद किसी पत्थर पर गिरती है और पत्थर नीचे गिर जाता है, लेकिन फिर खेल क्षेत्र के बाहर गिरता है, तो नियम क्या है?")</f>
        <v>यदि गेंद किसी पत्थर पर गिरती है और पत्थर नीचे गिर जाता है, लेकिन फिर खेल क्षेत्र के बाहर गिरता है, तो नियम क्या है?</v>
      </c>
      <c r="H277" s="5" t="str">
        <f>IFERROR(__xludf.DUMMYFUNCTION("GOOGLETRANSLATE(C277,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77" s="5" t="str">
        <f>IFERROR(__xludf.DUMMYFUNCTION("GOOGLETRANSLATE(D277,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78" ht="22.5" customHeight="1">
      <c r="A278" s="2">
        <v>277.0</v>
      </c>
      <c r="B278" s="3" t="s">
        <v>4415</v>
      </c>
      <c r="C278" s="3" t="s">
        <v>4416</v>
      </c>
      <c r="D278" s="3" t="s">
        <v>4365</v>
      </c>
      <c r="F278" s="5" t="str">
        <f>IFERROR(__xludf.DUMMYFUNCTION("GOOGLETRANSLATE(A278, ""en"", ""hi"")"),"277")</f>
        <v>277</v>
      </c>
      <c r="G278" s="5" t="str">
        <f>IFERROR(__xludf.DUMMYFUNCTION("GOOGLETRANSLATE(B278, ""en"", ""hi"")"),"लागोरी में यदि कोई खिलाड़ी गलती से गेंद को खेल क्षेत्र से बाहर फेंक देता है, तो आगे क्या होता है?")</f>
        <v>लागोरी में यदि कोई खिलाड़ी गलती से गेंद को खेल क्षेत्र से बाहर फेंक देता है, तो आगे क्या होता है?</v>
      </c>
      <c r="H278" s="5" t="str">
        <f>IFERROR(__xludf.DUMMYFUNCTION("GOOGLETRANSLATE(C278, ""en"", ""hi"")"),"ए)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f>
        <v>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v>
      </c>
      <c r="I278" s="5" t="str">
        <f>IFERROR(__xludf.DUMMYFUNCTION("GOOGLETRANSLATE(D278, ""en"", ""hi"")"),"A) बारी रद्द कर दी जाती है और बचाव करने वाली टीम को अगली गेंद फेंकने का मौका मिलता है।")</f>
        <v>A) बारी रद्द कर दी जाती है और बचाव करने वाली टीम को अगली गेंद फेंकने का मौका मिलता है।</v>
      </c>
    </row>
    <row r="279" ht="22.5" customHeight="1">
      <c r="A279" s="2">
        <v>278.0</v>
      </c>
      <c r="B279" s="3" t="s">
        <v>4417</v>
      </c>
      <c r="C279" s="3" t="s">
        <v>4282</v>
      </c>
      <c r="D279" s="3" t="s">
        <v>4244</v>
      </c>
      <c r="F279" s="5" t="str">
        <f>IFERROR(__xludf.DUMMYFUNCTION("GOOGLETRANSLATE(A279, ""en"", ""hi"")"),"278")</f>
        <v>278</v>
      </c>
      <c r="G279" s="5" t="str">
        <f>IFERROR(__xludf.DUMMYFUNCTION("GOOGLETRANSLATE(B279, ""en"", ""hi"")"),"लागोरी मैच के दौरान, यदि कोई पत्थर गिरा दिया जाता है, लेकिन गेंद ऐसी स्थिति में गिरती है कि उसे वापस पाना मुश्किल हो जाता है, तो नियम क्या है?")</f>
        <v>लागोरी मैच के दौरान, यदि कोई पत्थर गिरा दिया जाता है, लेकिन गेंद ऐसी स्थिति में गिरती है कि उसे वापस पाना मुश्किल हो जाता है, तो नियम क्या है?</v>
      </c>
      <c r="H279" s="5" t="str">
        <f>IFERROR(__xludf.DUMMYFUNCTION("GOOGLETRANSLATE(C279, ""en"", ""hi"")"),"A) पत्थर नीचे रह जाता है और बारी असफल मानी जाती है। , B) पत्थर वापस आ जाता है और खेल जारी रहता है। , C) आक्रमणकारी टीम को एक और मौका मिलता है। , D) खेल रोक दिया जाता है।")</f>
        <v>A) पत्थर नीचे रह जाता है और बारी असफल मानी जाती है। , B) पत्थर वापस आ जाता है और खेल जारी रहता है। , C) आक्रमणकारी टीम को एक और मौका मिलता है। , D) खेल रोक दिया जाता है।</v>
      </c>
      <c r="I279" s="5" t="str">
        <f>IFERROR(__xludf.DUMMYFUNCTION("GOOGLETRANSLATE(D279, ""en"", ""hi"")"),"A) पत्थर नीचे ही रहता है और बारी असफल मानी जाती है।")</f>
        <v>A) पत्थर नीचे ही रहता है और बारी असफल मानी जाती है।</v>
      </c>
    </row>
    <row r="280" ht="22.5" customHeight="1">
      <c r="A280" s="2">
        <v>279.0</v>
      </c>
      <c r="B280" s="3" t="s">
        <v>4418</v>
      </c>
      <c r="C280" s="3" t="s">
        <v>4419</v>
      </c>
      <c r="D280" s="3" t="s">
        <v>4420</v>
      </c>
      <c r="F280" s="5" t="str">
        <f>IFERROR(__xludf.DUMMYFUNCTION("GOOGLETRANSLATE(A280, ""en"", ""hi"")"),"279")</f>
        <v>279</v>
      </c>
      <c r="G280" s="5" t="str">
        <f>IFERROR(__xludf.DUMMYFUNCTION("GOOGLETRANSLATE(B280, ""en"", ""hi"")"),"यदि लागोरी खेल में किसी छोटी सी समस्या के कारण बाधा उत्पन्न होती है, जैसे कि किसी खिलाड़ी को लघु विश्राम की आवश्यकता हो, तो सामान्य प्रक्रिया क्या होगी?")</f>
        <v>यदि लागोरी खेल में किसी छोटी सी समस्या के कारण बाधा उत्पन्न होती है, जैसे कि किसी खिलाड़ी को लघु विश्राम की आवश्यकता हो, तो सामान्य प्रक्रिया क्या होगी?</v>
      </c>
      <c r="H280" s="5" t="str">
        <f>IFERROR(__xludf.DUMMYFUNCTION("GOOGLETRANSLATE(C280,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280" s="5" t="str">
        <f>IFERROR(__xludf.DUMMYFUNCTION("GOOGLETRANSLATE(D280, ""en"", ""hi"")"),"A) समस्या का समाधान होने तक खेल को रोक दिया जाता है।")</f>
        <v>A) समस्या का समाधान होने तक खेल को रोक दिया जाता है।</v>
      </c>
    </row>
    <row r="281" ht="22.5" customHeight="1">
      <c r="A281" s="2">
        <v>280.0</v>
      </c>
      <c r="B281" s="3" t="s">
        <v>4421</v>
      </c>
      <c r="C281" s="3" t="s">
        <v>4383</v>
      </c>
      <c r="D281" s="3" t="s">
        <v>4384</v>
      </c>
      <c r="F281" s="5" t="str">
        <f>IFERROR(__xludf.DUMMYFUNCTION("GOOGLETRANSLATE(A281, ""en"", ""hi"")"),"280")</f>
        <v>280</v>
      </c>
      <c r="G281" s="5" t="str">
        <f>IFERROR(__xludf.DUMMYFUNCTION("GOOGLETRANSLATE(B281, ""en"", ""hi"")"),"लागोरी में, यदि गेंद किसी पत्थर पर गिरती है और पत्थर गिर जाता है, लेकिन गेंद खेल क्षेत्र के बाहर गिरती है, तो क्या किया जाना चाहिए?")</f>
        <v>लागोरी में, यदि गेंद किसी पत्थर पर गिरती है और पत्थर गिर जाता है, लेकिन गेंद खेल क्षेत्र के बाहर गिरती है, तो क्या किया जाना चाहिए?</v>
      </c>
      <c r="H281" s="5" t="str">
        <f>IFERROR(__xludf.DUMMYFUNCTION("GOOGLETRANSLATE(C281,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81" s="5" t="str">
        <f>IFERROR(__xludf.DUMMYFUNCTION("GOOGLETRANSLATE(D281,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82" ht="22.5" customHeight="1">
      <c r="A282" s="2">
        <v>281.0</v>
      </c>
      <c r="B282" s="3" t="s">
        <v>4422</v>
      </c>
      <c r="C282" s="3" t="s">
        <v>4205</v>
      </c>
      <c r="D282" s="3" t="s">
        <v>4003</v>
      </c>
      <c r="F282" s="5" t="str">
        <f>IFERROR(__xludf.DUMMYFUNCTION("GOOGLETRANSLATE(A282, ""en"", ""hi"")"),"281")</f>
        <v>281</v>
      </c>
      <c r="G282" s="5" t="str">
        <f>IFERROR(__xludf.DUMMYFUNCTION("GOOGLETRANSLATE(B282, ""en"", ""hi"")"),"लागोरी मैच के दौरान यदि गेंद ऐसी स्थिति में गिर जाए कि उसे वापस लाना मुश्किल हो जाए, तो आगे क्या होगा?")</f>
        <v>लागोरी मैच के दौरान यदि गेंद ऐसी स्थिति में गिर जाए कि उसे वापस लाना मुश्किल हो जाए, तो आगे क्या होगा?</v>
      </c>
      <c r="H282" s="5" t="str">
        <f>IFERROR(__xludf.DUMMYFUNCTION("GOOGLETRANSLATE(C282,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82" s="5" t="str">
        <f>IFERROR(__xludf.DUMMYFUNCTION("GOOGLETRANSLATE(D282, ""en"", ""hi"")"),"A) आक्रमणकारी टीम अपनी बारी खो देती है।")</f>
        <v>A) आक्रमणकारी टीम अपनी बारी खो देती है।</v>
      </c>
    </row>
    <row r="283" ht="22.5" customHeight="1">
      <c r="A283" s="2">
        <v>282.0</v>
      </c>
      <c r="B283" s="3" t="s">
        <v>4423</v>
      </c>
      <c r="C283" s="3" t="s">
        <v>4383</v>
      </c>
      <c r="D283" s="3" t="s">
        <v>4384</v>
      </c>
      <c r="F283" s="5" t="str">
        <f>IFERROR(__xludf.DUMMYFUNCTION("GOOGLETRANSLATE(A283, ""en"", ""hi"")"),"282")</f>
        <v>282</v>
      </c>
      <c r="G283" s="5" t="str">
        <f>IFERROR(__xludf.DUMMYFUNCTION("GOOGLETRANSLATE(B283, ""en"", ""hi"")"),"यदि गेंद किसी पत्थर पर गिरती है और पत्थर गिर जाता है, लेकिन गेंद फिर खेल क्षेत्र के बाहर गिरती है, तो नियम क्या है?")</f>
        <v>यदि गेंद किसी पत्थर पर गिरती है और पत्थर गिर जाता है, लेकिन गेंद फिर खेल क्षेत्र के बाहर गिरती है, तो नियम क्या है?</v>
      </c>
      <c r="H283" s="5" t="str">
        <f>IFERROR(__xludf.DUMMYFUNCTION("GOOGLETRANSLATE(C283,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83" s="5" t="str">
        <f>IFERROR(__xludf.DUMMYFUNCTION("GOOGLETRANSLATE(D283,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84" ht="22.5" customHeight="1">
      <c r="A284" s="2">
        <v>283.0</v>
      </c>
      <c r="B284" s="3" t="s">
        <v>4424</v>
      </c>
      <c r="C284" s="3" t="s">
        <v>4383</v>
      </c>
      <c r="D284" s="3" t="s">
        <v>4384</v>
      </c>
      <c r="F284" s="5" t="str">
        <f>IFERROR(__xludf.DUMMYFUNCTION("GOOGLETRANSLATE(A284, ""en"", ""hi"")"),"283")</f>
        <v>283</v>
      </c>
      <c r="G284" s="5" t="str">
        <f>IFERROR(__xludf.DUMMYFUNCTION("GOOGLETRANSLATE(B284, ""en"", ""hi"")"),"लागोरी में, यदि गेंद किसी पत्थर पर गिरती है और पत्थर गिर जाता है, लेकिन गेंद खेल क्षेत्र के बाहर गिरती है, तो नियम क्या है?")</f>
        <v>लागोरी में, यदि गेंद किसी पत्थर पर गिरती है और पत्थर गिर जाता है, लेकिन गेंद खेल क्षेत्र के बाहर गिरती है, तो नियम क्या है?</v>
      </c>
      <c r="H284" s="5" t="str">
        <f>IFERROR(__xludf.DUMMYFUNCTION("GOOGLETRANSLATE(C284,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84" s="5" t="str">
        <f>IFERROR(__xludf.DUMMYFUNCTION("GOOGLETRANSLATE(D284,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85" ht="22.5" customHeight="1">
      <c r="A285" s="2">
        <v>284.0</v>
      </c>
      <c r="B285" s="3" t="s">
        <v>4376</v>
      </c>
      <c r="C285" s="3" t="s">
        <v>4377</v>
      </c>
      <c r="D285" s="3" t="s">
        <v>4378</v>
      </c>
      <c r="F285" s="5" t="str">
        <f>IFERROR(__xludf.DUMMYFUNCTION("GOOGLETRANSLATE(A285, ""en"", ""hi"")"),"284")</f>
        <v>284</v>
      </c>
      <c r="G285" s="5" t="str">
        <f>IFERROR(__xludf.DUMMYFUNCTION("GOOGLETRANSLATE(B285, ""en"", ""hi"")"),"लागोरी मैच के दौरान यदि कोई खिलाड़ी गेंद फेंकते समय खेल क्षेत्र से बाहर चला जाए तो क्या होगा?")</f>
        <v>लागोरी मैच के दौरान यदि कोई खिलाड़ी गेंद फेंकते समय खेल क्षेत्र से बाहर चला जाए तो क्या होगा?</v>
      </c>
      <c r="H285" s="5" t="str">
        <f>IFERROR(__xludf.DUMMYFUNCTION("GOOGLETRANSLATE(C285, ""en"", ""hi"")"),"A) बारी को असफल माना जाता है और गेंद को वापस ले लिया जाता है। , B) खिलाड़ी को एक और मौका मिलता है। , C) खेल रोक दिया जाता है। , D) खेल बिना किसी रुकावट के जारी रहता है।")</f>
        <v>A) बारी को असफल माना जाता है और गेंद को वापस ले लिया जाता है। , B) खिलाड़ी को एक और मौका मिलता है। , C) खेल रोक दिया जाता है। , D) खेल बिना किसी रुकावट के जारी रहता है।</v>
      </c>
      <c r="I285" s="5" t="str">
        <f>IFERROR(__xludf.DUMMYFUNCTION("GOOGLETRANSLATE(D285, ""en"", ""hi"")"),"A) टर्न को असफल माना जाता है और गेंद को पुनः प्राप्त कर लिया जाता है।")</f>
        <v>A) टर्न को असफल माना जाता है और गेंद को पुनः प्राप्त कर लिया जाता है।</v>
      </c>
    </row>
    <row r="286" ht="22.5" customHeight="1">
      <c r="A286" s="2">
        <v>285.0</v>
      </c>
      <c r="B286" s="3" t="s">
        <v>4425</v>
      </c>
      <c r="C286" s="3" t="s">
        <v>4383</v>
      </c>
      <c r="D286" s="3" t="s">
        <v>4384</v>
      </c>
      <c r="F286" s="5" t="str">
        <f>IFERROR(__xludf.DUMMYFUNCTION("GOOGLETRANSLATE(A286, ""en"", ""hi"")"),"285")</f>
        <v>285</v>
      </c>
      <c r="G286" s="5" t="str">
        <f>IFERROR(__xludf.DUMMYFUNCTION("GOOGLETRANSLATE(B286, ""en"", ""hi"")"),"लागोरी में, यदि गेंद किसी पत्थर पर गिरती है और पत्थर गिर जाता है, लेकिन गेंद खेल क्षेत्र के बाहर गिरती है, तो क्या किया जाना चाहिए?")</f>
        <v>लागोरी में, यदि गेंद किसी पत्थर पर गिरती है और पत्थर गिर जाता है, लेकिन गेंद खेल क्षेत्र के बाहर गिरती है, तो क्या किया जाना चाहिए?</v>
      </c>
      <c r="H286" s="5" t="str">
        <f>IFERROR(__xludf.DUMMYFUNCTION("GOOGLETRANSLATE(C286,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86" s="5" t="str">
        <f>IFERROR(__xludf.DUMMYFUNCTION("GOOGLETRANSLATE(D286,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87" ht="22.5" customHeight="1">
      <c r="A287" s="2">
        <v>286.0</v>
      </c>
      <c r="B287" s="3" t="s">
        <v>4387</v>
      </c>
      <c r="C287" s="3" t="s">
        <v>4388</v>
      </c>
      <c r="D287" s="3" t="s">
        <v>4389</v>
      </c>
      <c r="F287" s="5" t="str">
        <f>IFERROR(__xludf.DUMMYFUNCTION("GOOGLETRANSLATE(A287, ""en"", ""hi"")"),"286")</f>
        <v>286</v>
      </c>
      <c r="G287" s="5" t="str">
        <f>IFERROR(__xludf.DUMMYFUNCTION("GOOGLETRANSLATE(B287, ""en"", ""hi"")"),"यदि अचानक नियम परिवर्तन के कारण लागोरी खेल बाधित हो जाए तो क्या किया जाना चाहिए?")</f>
        <v>यदि अचानक नियम परिवर्तन के कारण लागोरी खेल बाधित हो जाए तो क्या किया जाना चाहिए?</v>
      </c>
      <c r="H287" s="5" t="str">
        <f>IFERROR(__xludf.DUMMYFUNCTION("GOOGLETRANSLATE(C287, ""en"", ""hi"")"),"A) नए नियमों की व्याख्या होने तक खेल को रोक दिया जाता है। , B) खेल रद्द कर दिया जाता है। , C) खेल को शुरू से फिर से शुरू किया जाता है। , D) सबसे अधिक अंक वाली टीम को विजेता घोषित किया जाता है।")</f>
        <v>A) नए नियमों की व्याख्या होने तक खेल को रोक दिया जाता है। , B) खेल रद्द कर दिया जाता है। , C) खेल को शुरू से फिर से शुरू किया जाता है। , D) सबसे अधिक अंक वाली टीम को विजेता घोषित किया जाता है।</v>
      </c>
      <c r="I287" s="5" t="str">
        <f>IFERROR(__xludf.DUMMYFUNCTION("GOOGLETRANSLATE(D287, ""en"", ""hi"")"),"A) नये नियमों की व्याख्या होने तक खेल को रोक दिया जाता है।")</f>
        <v>A) नये नियमों की व्याख्या होने तक खेल को रोक दिया जाता है।</v>
      </c>
    </row>
    <row r="288" ht="22.5" customHeight="1">
      <c r="A288" s="2">
        <v>287.0</v>
      </c>
      <c r="B288" s="3" t="s">
        <v>4426</v>
      </c>
      <c r="C288" s="3" t="s">
        <v>4383</v>
      </c>
      <c r="D288" s="3" t="s">
        <v>4384</v>
      </c>
      <c r="F288" s="5" t="str">
        <f>IFERROR(__xludf.DUMMYFUNCTION("GOOGLETRANSLATE(A288, ""en"", ""hi"")"),"287")</f>
        <v>287</v>
      </c>
      <c r="G288" s="5" t="str">
        <f>IFERROR(__xludf.DUMMYFUNCTION("GOOGLETRANSLATE(B288, ""en"", ""hi"")"),"लागोरी में, यदि गेंद किसी पत्थर पर गिरती है और पत्थर गिर जाता है, लेकिन गेंद फिर खेल क्षेत्र के बाहर गिरती है, तो आगे क्या होता है?")</f>
        <v>लागोरी में, यदि गेंद किसी पत्थर पर गिरती है और पत्थर गिर जाता है, लेकिन गेंद फिर खेल क्षेत्र के बाहर गिरती है, तो आगे क्या होता है?</v>
      </c>
      <c r="H288" s="5" t="str">
        <f>IFERROR(__xludf.DUMMYFUNCTION("GOOGLETRANSLATE(C288,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88" s="5" t="str">
        <f>IFERROR(__xludf.DUMMYFUNCTION("GOOGLETRANSLATE(D288,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89" ht="22.5" customHeight="1">
      <c r="A289" s="2">
        <v>288.0</v>
      </c>
      <c r="B289" s="3" t="s">
        <v>4413</v>
      </c>
      <c r="C289" s="3" t="s">
        <v>4205</v>
      </c>
      <c r="D289" s="3" t="s">
        <v>4003</v>
      </c>
      <c r="F289" s="5" t="str">
        <f>IFERROR(__xludf.DUMMYFUNCTION("GOOGLETRANSLATE(A289, ""en"", ""hi"")"),"288")</f>
        <v>288</v>
      </c>
      <c r="G289" s="5" t="str">
        <f>IFERROR(__xludf.DUMMYFUNCTION("GOOGLETRANSLATE(B289, ""en"", ""hi"")"),"लागोरी मैच के दौरान, यदि गेंद किसी ऐसी जगह गिर जाए जहां पहुंचना मुश्किल हो और बचाव करने वाली टीम उसे वापस न ले सके, तो नियम क्या होगा?")</f>
        <v>लागोरी मैच के दौरान, यदि गेंद किसी ऐसी जगह गिर जाए जहां पहुंचना मुश्किल हो और बचाव करने वाली टीम उसे वापस न ले सके, तो नियम क्या होगा?</v>
      </c>
      <c r="H289" s="5" t="str">
        <f>IFERROR(__xludf.DUMMYFUNCTION("GOOGLETRANSLATE(C289,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89" s="5" t="str">
        <f>IFERROR(__xludf.DUMMYFUNCTION("GOOGLETRANSLATE(D289, ""en"", ""hi"")"),"A) आक्रमणकारी टीम अपनी बारी खो देती है।")</f>
        <v>A) आक्रमणकारी टीम अपनी बारी खो देती है।</v>
      </c>
    </row>
    <row r="290" ht="22.5" customHeight="1">
      <c r="A290" s="2">
        <v>289.0</v>
      </c>
      <c r="B290" s="3" t="s">
        <v>4414</v>
      </c>
      <c r="C290" s="3" t="s">
        <v>4383</v>
      </c>
      <c r="D290" s="3" t="s">
        <v>4384</v>
      </c>
      <c r="F290" s="5" t="str">
        <f>IFERROR(__xludf.DUMMYFUNCTION("GOOGLETRANSLATE(A290, ""en"", ""hi"")"),"289")</f>
        <v>289</v>
      </c>
      <c r="G290" s="5" t="str">
        <f>IFERROR(__xludf.DUMMYFUNCTION("GOOGLETRANSLATE(B290, ""en"", ""hi"")"),"यदि गेंद किसी पत्थर पर गिरती है और पत्थर नीचे गिर जाता है, लेकिन फिर खेल क्षेत्र के बाहर गिरता है, तो नियम क्या है?")</f>
        <v>यदि गेंद किसी पत्थर पर गिरती है और पत्थर नीचे गिर जाता है, लेकिन फिर खेल क्षेत्र के बाहर गिरता है, तो नियम क्या है?</v>
      </c>
      <c r="H290" s="5" t="str">
        <f>IFERROR(__xludf.DUMMYFUNCTION("GOOGLETRANSLATE(C290,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90" s="5" t="str">
        <f>IFERROR(__xludf.DUMMYFUNCTION("GOOGLETRANSLATE(D290,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91" ht="22.5" customHeight="1">
      <c r="A291" s="2">
        <v>290.0</v>
      </c>
      <c r="B291" s="3" t="s">
        <v>4415</v>
      </c>
      <c r="C291" s="3" t="s">
        <v>4416</v>
      </c>
      <c r="D291" s="3" t="s">
        <v>4365</v>
      </c>
      <c r="F291" s="5" t="str">
        <f>IFERROR(__xludf.DUMMYFUNCTION("GOOGLETRANSLATE(A291, ""en"", ""hi"")"),"290")</f>
        <v>290</v>
      </c>
      <c r="G291" s="5" t="str">
        <f>IFERROR(__xludf.DUMMYFUNCTION("GOOGLETRANSLATE(B291, ""en"", ""hi"")"),"लागोरी में यदि कोई खिलाड़ी गलती से गेंद को खेल क्षेत्र से बाहर फेंक देता है, तो आगे क्या होता है?")</f>
        <v>लागोरी में यदि कोई खिलाड़ी गलती से गेंद को खेल क्षेत्र से बाहर फेंक देता है, तो आगे क्या होता है?</v>
      </c>
      <c r="H291" s="5" t="str">
        <f>IFERROR(__xludf.DUMMYFUNCTION("GOOGLETRANSLATE(C291, ""en"", ""hi"")"),"ए)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f>
        <v>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v>
      </c>
      <c r="I291" s="5" t="str">
        <f>IFERROR(__xludf.DUMMYFUNCTION("GOOGLETRANSLATE(D291, ""en"", ""hi"")"),"A) बारी रद्द कर दी जाती है और बचाव करने वाली टीम को अगली गेंद फेंकने का मौका मिलता है।")</f>
        <v>A) बारी रद्द कर दी जाती है और बचाव करने वाली टीम को अगली गेंद फेंकने का मौका मिलता है।</v>
      </c>
    </row>
    <row r="292" ht="22.5" customHeight="1">
      <c r="A292" s="2">
        <v>291.0</v>
      </c>
      <c r="B292" s="3" t="s">
        <v>4427</v>
      </c>
      <c r="C292" s="3" t="s">
        <v>4428</v>
      </c>
      <c r="D292" s="3" t="s">
        <v>4429</v>
      </c>
      <c r="F292" s="5" t="str">
        <f>IFERROR(__xludf.DUMMYFUNCTION("GOOGLETRANSLATE(A292, ""en"", ""hi"")"),"291")</f>
        <v>291</v>
      </c>
      <c r="G292" s="5" t="str">
        <f>IFERROR(__xludf.DUMMYFUNCTION("GOOGLETRANSLATE(B292, ""en"", ""hi"")"),"लागोरी मैच के दौरान, यदि गेंद किसी पत्थर पर गिरती है और पत्थर नीचे गिर जाता है, लेकिन गेंद ऐसी जगह पर गिरती है जहां पहुंचना कठिन होता है, तो क्या किया जाना चाहिए?")</f>
        <v>लागोरी मैच के दौरान, यदि गेंद किसी पत्थर पर गिरती है और पत्थर नीचे गिर जाता है, लेकिन गेंद ऐसी जगह पर गिरती है जहां पहुंचना कठिन होता है, तो क्या किया जाना चाहिए?</v>
      </c>
      <c r="H292" s="5" t="str">
        <f>IFERROR(__xludf.DUMMYFUNCTION("GOOGLETRANSLATE(C292, ""en"", ""hi"")"),"A) पत्थर गिरा रहता है और बारी असफल मानी जाती है। , B) पत्थर वापस आ जाता है और खेल जारी रहता है। , C) आक्रमणकारी टीम को एक और मौका मिलता है। , D) खेल रोक दिया जाता है।")</f>
        <v>A) पत्थर गिरा रहता है और बारी असफल मानी जाती है। , B) पत्थर वापस आ जाता है और खेल जारी रहता है। , C) आक्रमणकारी टीम को एक और मौका मिलता है। , D) खेल रोक दिया जाता है।</v>
      </c>
      <c r="I292" s="5" t="str">
        <f>IFERROR(__xludf.DUMMYFUNCTION("GOOGLETRANSLATE(D292, ""en"", ""hi"")"),"A) पत्थर नीचे गिरा रहता है और चाल असफल मानी जाती है।")</f>
        <v>A) पत्थर नीचे गिरा रहता है और चाल असफल मानी जाती है।</v>
      </c>
    </row>
    <row r="293" ht="22.5" customHeight="1">
      <c r="A293" s="2">
        <v>292.0</v>
      </c>
      <c r="B293" s="3" t="s">
        <v>4430</v>
      </c>
      <c r="C293" s="3" t="s">
        <v>4419</v>
      </c>
      <c r="D293" s="3" t="s">
        <v>4420</v>
      </c>
      <c r="F293" s="5" t="str">
        <f>IFERROR(__xludf.DUMMYFUNCTION("GOOGLETRANSLATE(A293, ""en"", ""hi"")"),"292")</f>
        <v>292</v>
      </c>
      <c r="G293" s="5" t="str">
        <f>IFERROR(__xludf.DUMMYFUNCTION("GOOGLETRANSLATE(B293, ""en"", ""hi"")"),"यदि किसी छोटी सी समस्या के कारण लागोरी खेल बाधित हो जाता है, जैसे कि किसी खिलाड़ी को लघु विश्राम की आवश्यकता हो, तो सामान्य प्रक्रिया क्या होगी?")</f>
        <v>यदि किसी छोटी सी समस्या के कारण लागोरी खेल बाधित हो जाता है, जैसे कि किसी खिलाड़ी को लघु विश्राम की आवश्यकता हो, तो सामान्य प्रक्रिया क्या होगी?</v>
      </c>
      <c r="H293" s="5" t="str">
        <f>IFERROR(__xludf.DUMMYFUNCTION("GOOGLETRANSLATE(C293,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293" s="5" t="str">
        <f>IFERROR(__xludf.DUMMYFUNCTION("GOOGLETRANSLATE(D293, ""en"", ""hi"")"),"A) समस्या का समाधान होने तक खेल को रोक दिया जाता है।")</f>
        <v>A) समस्या का समाधान होने तक खेल को रोक दिया जाता है।</v>
      </c>
    </row>
    <row r="294" ht="22.5" customHeight="1">
      <c r="A294" s="2">
        <v>293.0</v>
      </c>
      <c r="B294" s="3" t="s">
        <v>4425</v>
      </c>
      <c r="C294" s="3" t="s">
        <v>4383</v>
      </c>
      <c r="D294" s="3" t="s">
        <v>4384</v>
      </c>
      <c r="F294" s="5" t="str">
        <f>IFERROR(__xludf.DUMMYFUNCTION("GOOGLETRANSLATE(A294, ""en"", ""hi"")"),"293")</f>
        <v>293</v>
      </c>
      <c r="G294" s="5" t="str">
        <f>IFERROR(__xludf.DUMMYFUNCTION("GOOGLETRANSLATE(B294, ""en"", ""hi"")"),"लागोरी में, यदि गेंद किसी पत्थर पर गिरती है और पत्थर गिर जाता है, लेकिन गेंद खेल क्षेत्र के बाहर गिरती है, तो क्या किया जाना चाहिए?")</f>
        <v>लागोरी में, यदि गेंद किसी पत्थर पर गिरती है और पत्थर गिर जाता है, लेकिन गेंद खेल क्षेत्र के बाहर गिरती है, तो क्या किया जाना चाहिए?</v>
      </c>
      <c r="H294" s="5" t="str">
        <f>IFERROR(__xludf.DUMMYFUNCTION("GOOGLETRANSLATE(C294,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94" s="5" t="str">
        <f>IFERROR(__xludf.DUMMYFUNCTION("GOOGLETRANSLATE(D294,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95" ht="22.5" customHeight="1">
      <c r="A295" s="2">
        <v>294.0</v>
      </c>
      <c r="B295" s="3" t="s">
        <v>4422</v>
      </c>
      <c r="C295" s="3" t="s">
        <v>4205</v>
      </c>
      <c r="D295" s="3" t="s">
        <v>4003</v>
      </c>
      <c r="F295" s="5" t="str">
        <f>IFERROR(__xludf.DUMMYFUNCTION("GOOGLETRANSLATE(A295, ""en"", ""hi"")"),"294")</f>
        <v>294</v>
      </c>
      <c r="G295" s="5" t="str">
        <f>IFERROR(__xludf.DUMMYFUNCTION("GOOGLETRANSLATE(B295, ""en"", ""hi"")"),"लागोरी मैच के दौरान यदि गेंद ऐसी स्थिति में गिर जाए कि उसे वापस लाना मुश्किल हो जाए, तो आगे क्या होगा?")</f>
        <v>लागोरी मैच के दौरान यदि गेंद ऐसी स्थिति में गिर जाए कि उसे वापस लाना मुश्किल हो जाए, तो आगे क्या होगा?</v>
      </c>
      <c r="H295" s="5" t="str">
        <f>IFERROR(__xludf.DUMMYFUNCTION("GOOGLETRANSLATE(C295,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295" s="5" t="str">
        <f>IFERROR(__xludf.DUMMYFUNCTION("GOOGLETRANSLATE(D295, ""en"", ""hi"")"),"A) आक्रमणकारी टीम अपनी बारी खो देती है।")</f>
        <v>A) आक्रमणकारी टीम अपनी बारी खो देती है।</v>
      </c>
    </row>
    <row r="296" ht="22.5" customHeight="1">
      <c r="A296" s="2">
        <v>295.0</v>
      </c>
      <c r="B296" s="3" t="s">
        <v>4431</v>
      </c>
      <c r="C296" s="3" t="s">
        <v>4383</v>
      </c>
      <c r="D296" s="3" t="s">
        <v>4384</v>
      </c>
      <c r="F296" s="5" t="str">
        <f>IFERROR(__xludf.DUMMYFUNCTION("GOOGLETRANSLATE(A296, ""en"", ""hi"")"),"295")</f>
        <v>295</v>
      </c>
      <c r="G296" s="5" t="str">
        <f>IFERROR(__xludf.DUMMYFUNCTION("GOOGLETRANSLATE(B296, ""en"", ""hi"")"),"यदि गेंद किसी पत्थर पर गिरती है और पत्थर गिर जाता है, लेकिन गेंद खेल क्षेत्र के बाहर गिरती है, तो नियम क्या है?")</f>
        <v>यदि गेंद किसी पत्थर पर गिरती है और पत्थर गिर जाता है, लेकिन गेंद खेल क्षेत्र के बाहर गिरती है, तो नियम क्या है?</v>
      </c>
      <c r="H296" s="5" t="str">
        <f>IFERROR(__xludf.DUMMYFUNCTION("GOOGLETRANSLATE(C296,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296" s="5" t="str">
        <f>IFERROR(__xludf.DUMMYFUNCTION("GOOGLETRANSLATE(D296,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297" ht="22.5" customHeight="1">
      <c r="A297" s="2">
        <v>296.0</v>
      </c>
      <c r="B297" s="3" t="s">
        <v>4415</v>
      </c>
      <c r="C297" s="3" t="s">
        <v>4416</v>
      </c>
      <c r="D297" s="3" t="s">
        <v>4365</v>
      </c>
      <c r="F297" s="5" t="str">
        <f>IFERROR(__xludf.DUMMYFUNCTION("GOOGLETRANSLATE(A297, ""en"", ""hi"")"),"296")</f>
        <v>296</v>
      </c>
      <c r="G297" s="5" t="str">
        <f>IFERROR(__xludf.DUMMYFUNCTION("GOOGLETRANSLATE(B297, ""en"", ""hi"")"),"लागोरी में यदि कोई खिलाड़ी गलती से गेंद को खेल क्षेत्र से बाहर फेंक देता है, तो आगे क्या होता है?")</f>
        <v>लागोरी में यदि कोई खिलाड़ी गलती से गेंद को खेल क्षेत्र से बाहर फेंक देता है, तो आगे क्या होता है?</v>
      </c>
      <c r="H297" s="5" t="str">
        <f>IFERROR(__xludf.DUMMYFUNCTION("GOOGLETRANSLATE(C297, ""en"", ""hi"")"),"ए)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f>
        <v>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v>
      </c>
      <c r="I297" s="5" t="str">
        <f>IFERROR(__xludf.DUMMYFUNCTION("GOOGLETRANSLATE(D297, ""en"", ""hi"")"),"A) बारी रद्द कर दी जाती है और बचाव करने वाली टीम को अगली गेंद फेंकने का मौका मिलता है।")</f>
        <v>A) बारी रद्द कर दी जाती है और बचाव करने वाली टीम को अगली गेंद फेंकने का मौका मिलता है।</v>
      </c>
    </row>
    <row r="298" ht="22.5" customHeight="1">
      <c r="A298" s="2">
        <v>297.0</v>
      </c>
      <c r="B298" s="3" t="s">
        <v>4432</v>
      </c>
      <c r="C298" s="3" t="s">
        <v>4428</v>
      </c>
      <c r="D298" s="3" t="s">
        <v>4429</v>
      </c>
      <c r="F298" s="5" t="str">
        <f>IFERROR(__xludf.DUMMYFUNCTION("GOOGLETRANSLATE(A298, ""en"", ""hi"")"),"297")</f>
        <v>297</v>
      </c>
      <c r="G298" s="5" t="str">
        <f>IFERROR(__xludf.DUMMYFUNCTION("GOOGLETRANSLATE(B298, ""en"", ""hi"")"),"लागोरी मैच के दौरान, यदि गेंद किसी पत्थर पर गिरती है और पत्थर गिर जाता है, लेकिन गेंद किसी ऐसी जगह पर गिरती है जहां पहुंचना मुश्किल है, तो क्या किया जाना चाहिए?")</f>
        <v>लागोरी मैच के दौरान, यदि गेंद किसी पत्थर पर गिरती है और पत्थर गिर जाता है, लेकिन गेंद किसी ऐसी जगह पर गिरती है जहां पहुंचना मुश्किल है, तो क्या किया जाना चाहिए?</v>
      </c>
      <c r="H298" s="5" t="str">
        <f>IFERROR(__xludf.DUMMYFUNCTION("GOOGLETRANSLATE(C298, ""en"", ""hi"")"),"A) पत्थर गिरा रहता है और बारी असफल मानी जाती है। , B) पत्थर वापस आ जाता है और खेल जारी रहता है। , C) आक्रमणकारी टीम को एक और मौका मिलता है। , D) खेल रोक दिया जाता है।")</f>
        <v>A) पत्थर गिरा रहता है और बारी असफल मानी जाती है। , B) पत्थर वापस आ जाता है और खेल जारी रहता है। , C) आक्रमणकारी टीम को एक और मौका मिलता है। , D) खेल रोक दिया जाता है।</v>
      </c>
      <c r="I298" s="5" t="str">
        <f>IFERROR(__xludf.DUMMYFUNCTION("GOOGLETRANSLATE(D298, ""en"", ""hi"")"),"A) पत्थर नीचे गिरा रहता है और चाल असफल मानी जाती है।")</f>
        <v>A) पत्थर नीचे गिरा रहता है और चाल असफल मानी जाती है।</v>
      </c>
    </row>
    <row r="299" ht="22.5" customHeight="1">
      <c r="A299" s="2">
        <v>298.0</v>
      </c>
      <c r="B299" s="3" t="s">
        <v>4430</v>
      </c>
      <c r="C299" s="3" t="s">
        <v>4419</v>
      </c>
      <c r="D299" s="3" t="s">
        <v>4420</v>
      </c>
      <c r="F299" s="5" t="str">
        <f>IFERROR(__xludf.DUMMYFUNCTION("GOOGLETRANSLATE(A299, ""en"", ""hi"")"),"298")</f>
        <v>298</v>
      </c>
      <c r="G299" s="5" t="str">
        <f>IFERROR(__xludf.DUMMYFUNCTION("GOOGLETRANSLATE(B299, ""en"", ""hi"")"),"यदि किसी छोटी सी समस्या के कारण लागोरी खेल बाधित हो जाता है, जैसे कि किसी खिलाड़ी को लघु विश्राम की आवश्यकता हो, तो सामान्य प्रक्रिया क्या होगी?")</f>
        <v>यदि किसी छोटी सी समस्या के कारण लागोरी खेल बाधित हो जाता है, जैसे कि किसी खिलाड़ी को लघु विश्राम की आवश्यकता हो, तो सामान्य प्रक्रिया क्या होगी?</v>
      </c>
      <c r="H299" s="5" t="str">
        <f>IFERROR(__xludf.DUMMYFUNCTION("GOOGLETRANSLATE(C299,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299" s="5" t="str">
        <f>IFERROR(__xludf.DUMMYFUNCTION("GOOGLETRANSLATE(D299, ""en"", ""hi"")"),"A) समस्या का समाधान होने तक खेल को रोक दिया जाता है।")</f>
        <v>A) समस्या का समाधान होने तक खेल को रोक दिया जाता है।</v>
      </c>
    </row>
    <row r="300" ht="22.5" customHeight="1">
      <c r="A300" s="2">
        <v>299.0</v>
      </c>
      <c r="B300" s="3" t="s">
        <v>4425</v>
      </c>
      <c r="C300" s="3" t="s">
        <v>4383</v>
      </c>
      <c r="D300" s="3" t="s">
        <v>4384</v>
      </c>
      <c r="F300" s="5" t="str">
        <f>IFERROR(__xludf.DUMMYFUNCTION("GOOGLETRANSLATE(A300, ""en"", ""hi"")"),"299")</f>
        <v>299</v>
      </c>
      <c r="G300" s="5" t="str">
        <f>IFERROR(__xludf.DUMMYFUNCTION("GOOGLETRANSLATE(B300, ""en"", ""hi"")"),"लागोरी में, यदि गेंद किसी पत्थर पर गिरती है और पत्थर गिर जाता है, लेकिन गेंद खेल क्षेत्र के बाहर गिरती है, तो क्या किया जाना चाहिए?")</f>
        <v>लागोरी में, यदि गेंद किसी पत्थर पर गिरती है और पत्थर गिर जाता है, लेकिन गेंद खेल क्षेत्र के बाहर गिरती है, तो क्या किया जाना चाहिए?</v>
      </c>
      <c r="H300" s="5" t="str">
        <f>IFERROR(__xludf.DUMMYFUNCTION("GOOGLETRANSLATE(C300,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00" s="5" t="str">
        <f>IFERROR(__xludf.DUMMYFUNCTION("GOOGLETRANSLATE(D300,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01" ht="22.5" customHeight="1">
      <c r="A301" s="2">
        <v>300.0</v>
      </c>
      <c r="B301" s="3" t="s">
        <v>4422</v>
      </c>
      <c r="C301" s="3" t="s">
        <v>4205</v>
      </c>
      <c r="D301" s="3" t="s">
        <v>4003</v>
      </c>
      <c r="F301" s="5" t="str">
        <f>IFERROR(__xludf.DUMMYFUNCTION("GOOGLETRANSLATE(A301, ""en"", ""hi"")"),"300")</f>
        <v>300</v>
      </c>
      <c r="G301" s="5" t="str">
        <f>IFERROR(__xludf.DUMMYFUNCTION("GOOGLETRANSLATE(B301, ""en"", ""hi"")"),"लागोरी मैच के दौरान यदि गेंद ऐसी स्थिति में गिर जाए कि उसे वापस लाना मुश्किल हो जाए, तो आगे क्या होगा?")</f>
        <v>लागोरी मैच के दौरान यदि गेंद ऐसी स्थिति में गिर जाए कि उसे वापस लाना मुश्किल हो जाए, तो आगे क्या होगा?</v>
      </c>
      <c r="H301" s="5" t="str">
        <f>IFERROR(__xludf.DUMMYFUNCTION("GOOGLETRANSLATE(C301,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301" s="5" t="str">
        <f>IFERROR(__xludf.DUMMYFUNCTION("GOOGLETRANSLATE(D301, ""en"", ""hi"")"),"A) आक्रमणकारी टीम अपनी बारी खो देती है।")</f>
        <v>A) आक्रमणकारी टीम अपनी बारी खो देती है।</v>
      </c>
    </row>
    <row r="302" ht="22.5" customHeight="1">
      <c r="A302" s="2">
        <v>301.0</v>
      </c>
      <c r="B302" s="3" t="s">
        <v>4431</v>
      </c>
      <c r="C302" s="3" t="s">
        <v>4383</v>
      </c>
      <c r="D302" s="3" t="s">
        <v>4384</v>
      </c>
      <c r="F302" s="5" t="str">
        <f>IFERROR(__xludf.DUMMYFUNCTION("GOOGLETRANSLATE(A302, ""en"", ""hi"")"),"301")</f>
        <v>301</v>
      </c>
      <c r="G302" s="5" t="str">
        <f>IFERROR(__xludf.DUMMYFUNCTION("GOOGLETRANSLATE(B302, ""en"", ""hi"")"),"यदि गेंद किसी पत्थर पर गिरती है और पत्थर गिर जाता है, लेकिन गेंद खेल क्षेत्र के बाहर गिरती है, तो नियम क्या है?")</f>
        <v>यदि गेंद किसी पत्थर पर गिरती है और पत्थर गिर जाता है, लेकिन गेंद खेल क्षेत्र के बाहर गिरती है, तो नियम क्या है?</v>
      </c>
      <c r="H302" s="5" t="str">
        <f>IFERROR(__xludf.DUMMYFUNCTION("GOOGLETRANSLATE(C302,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02" s="5" t="str">
        <f>IFERROR(__xludf.DUMMYFUNCTION("GOOGLETRANSLATE(D302,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03" ht="22.5" customHeight="1">
      <c r="A303" s="2">
        <v>302.0</v>
      </c>
      <c r="B303" s="3" t="s">
        <v>4415</v>
      </c>
      <c r="C303" s="3" t="s">
        <v>4416</v>
      </c>
      <c r="D303" s="3" t="s">
        <v>4365</v>
      </c>
      <c r="F303" s="5" t="str">
        <f>IFERROR(__xludf.DUMMYFUNCTION("GOOGLETRANSLATE(A303, ""en"", ""hi"")"),"302")</f>
        <v>302</v>
      </c>
      <c r="G303" s="5" t="str">
        <f>IFERROR(__xludf.DUMMYFUNCTION("GOOGLETRANSLATE(B303, ""en"", ""hi"")"),"लागोरी में यदि कोई खिलाड़ी गलती से गेंद को खेल क्षेत्र से बाहर फेंक देता है, तो आगे क्या होता है?")</f>
        <v>लागोरी में यदि कोई खिलाड़ी गलती से गेंद को खेल क्षेत्र से बाहर फेंक देता है, तो आगे क्या होता है?</v>
      </c>
      <c r="H303" s="5" t="str">
        <f>IFERROR(__xludf.DUMMYFUNCTION("GOOGLETRANSLATE(C303, ""en"", ""hi"")"),"ए)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f>
        <v>ए) बारी जब्त कर ली जाती है और बचाव करने वाली टीम को अगली गेंद फेंकने का मौका मिलता है।, बी) खिलाड़ी को एक और मौका मिलता है।, सी) खेल रोक दिया जाता है।, डी) खेल बिना किसी रुकावट के जारी रहता है।</v>
      </c>
      <c r="I303" s="5" t="str">
        <f>IFERROR(__xludf.DUMMYFUNCTION("GOOGLETRANSLATE(D303, ""en"", ""hi"")"),"A) बारी रद्द कर दी जाती है और बचाव करने वाली टीम को अगली गेंद फेंकने का मौका मिलता है।")</f>
        <v>A) बारी रद्द कर दी जाती है और बचाव करने वाली टीम को अगली गेंद फेंकने का मौका मिलता है।</v>
      </c>
    </row>
    <row r="304" ht="22.5" customHeight="1">
      <c r="A304" s="2">
        <v>303.0</v>
      </c>
      <c r="B304" s="3" t="s">
        <v>4432</v>
      </c>
      <c r="C304" s="3" t="s">
        <v>4428</v>
      </c>
      <c r="D304" s="3" t="s">
        <v>4429</v>
      </c>
      <c r="F304" s="5" t="str">
        <f>IFERROR(__xludf.DUMMYFUNCTION("GOOGLETRANSLATE(A304, ""en"", ""hi"")"),"303")</f>
        <v>303</v>
      </c>
      <c r="G304" s="5" t="str">
        <f>IFERROR(__xludf.DUMMYFUNCTION("GOOGLETRANSLATE(B304, ""en"", ""hi"")"),"लागोरी मैच के दौरान, यदि गेंद किसी पत्थर पर गिरती है और पत्थर गिर जाता है, लेकिन गेंद किसी ऐसी जगह पर गिरती है जहां पहुंचना मुश्किल है, तो क्या किया जाना चाहिए?")</f>
        <v>लागोरी मैच के दौरान, यदि गेंद किसी पत्थर पर गिरती है और पत्थर गिर जाता है, लेकिन गेंद किसी ऐसी जगह पर गिरती है जहां पहुंचना मुश्किल है, तो क्या किया जाना चाहिए?</v>
      </c>
      <c r="H304" s="5" t="str">
        <f>IFERROR(__xludf.DUMMYFUNCTION("GOOGLETRANSLATE(C304, ""en"", ""hi"")"),"A) पत्थर गिरा रहता है और बारी असफल मानी जाती है। , B) पत्थर वापस आ जाता है और खेल जारी रहता है। , C) आक्रमणकारी टीम को एक और मौका मिलता है। , D) खेल रोक दिया जाता है।")</f>
        <v>A) पत्थर गिरा रहता है और बारी असफल मानी जाती है। , B) पत्थर वापस आ जाता है और खेल जारी रहता है। , C) आक्रमणकारी टीम को एक और मौका मिलता है। , D) खेल रोक दिया जाता है।</v>
      </c>
      <c r="I304" s="5" t="str">
        <f>IFERROR(__xludf.DUMMYFUNCTION("GOOGLETRANSLATE(D304, ""en"", ""hi"")"),"A) पत्थर नीचे गिरा रहता है और चाल असफल मानी जाती है।")</f>
        <v>A) पत्थर नीचे गिरा रहता है और चाल असफल मानी जाती है।</v>
      </c>
    </row>
    <row r="305" ht="22.5" customHeight="1">
      <c r="A305" s="2">
        <v>304.0</v>
      </c>
      <c r="B305" s="3" t="s">
        <v>4430</v>
      </c>
      <c r="C305" s="3" t="s">
        <v>4419</v>
      </c>
      <c r="D305" s="3" t="s">
        <v>4420</v>
      </c>
      <c r="F305" s="5" t="str">
        <f>IFERROR(__xludf.DUMMYFUNCTION("GOOGLETRANSLATE(A305, ""en"", ""hi"")"),"304")</f>
        <v>304</v>
      </c>
      <c r="G305" s="5" t="str">
        <f>IFERROR(__xludf.DUMMYFUNCTION("GOOGLETRANSLATE(B305, ""en"", ""hi"")"),"यदि किसी छोटी सी समस्या के कारण लागोरी खेल बाधित हो जाता है, जैसे कि किसी खिलाड़ी को लघु विश्राम की आवश्यकता हो, तो सामान्य प्रक्रिया क्या होगी?")</f>
        <v>यदि किसी छोटी सी समस्या के कारण लागोरी खेल बाधित हो जाता है, जैसे कि किसी खिलाड़ी को लघु विश्राम की आवश्यकता हो, तो सामान्य प्रक्रिया क्या होगी?</v>
      </c>
      <c r="H305" s="5" t="str">
        <f>IFERROR(__xludf.DUMMYFUNCTION("GOOGLETRANSLATE(C305,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305" s="5" t="str">
        <f>IFERROR(__xludf.DUMMYFUNCTION("GOOGLETRANSLATE(D305, ""en"", ""hi"")"),"A) समस्या का समाधान होने तक खेल को रोक दिया जाता है।")</f>
        <v>A) समस्या का समाधान होने तक खेल को रोक दिया जाता है।</v>
      </c>
    </row>
    <row r="306" ht="22.5" customHeight="1">
      <c r="A306" s="2">
        <v>305.0</v>
      </c>
      <c r="B306" s="3" t="s">
        <v>4425</v>
      </c>
      <c r="C306" s="3" t="s">
        <v>4383</v>
      </c>
      <c r="D306" s="3" t="s">
        <v>4384</v>
      </c>
      <c r="F306" s="5" t="str">
        <f>IFERROR(__xludf.DUMMYFUNCTION("GOOGLETRANSLATE(A306, ""en"", ""hi"")"),"305")</f>
        <v>305</v>
      </c>
      <c r="G306" s="5" t="str">
        <f>IFERROR(__xludf.DUMMYFUNCTION("GOOGLETRANSLATE(B306, ""en"", ""hi"")"),"लागोरी में, यदि गेंद किसी पत्थर पर गिरती है और पत्थर गिर जाता है, लेकिन गेंद खेल क्षेत्र के बाहर गिरती है, तो क्या किया जाना चाहिए?")</f>
        <v>लागोरी में, यदि गेंद किसी पत्थर पर गिरती है और पत्थर गिर जाता है, लेकिन गेंद खेल क्षेत्र के बाहर गिरती है, तो क्या किया जाना चाहिए?</v>
      </c>
      <c r="H306" s="5" t="str">
        <f>IFERROR(__xludf.DUMMYFUNCTION("GOOGLETRANSLATE(C306,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06" s="5" t="str">
        <f>IFERROR(__xludf.DUMMYFUNCTION("GOOGLETRANSLATE(D306,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07" ht="22.5" customHeight="1">
      <c r="A307" s="2">
        <v>306.0</v>
      </c>
      <c r="B307" s="3" t="s">
        <v>4422</v>
      </c>
      <c r="C307" s="3" t="s">
        <v>4205</v>
      </c>
      <c r="D307" s="3" t="s">
        <v>4003</v>
      </c>
      <c r="F307" s="5" t="str">
        <f>IFERROR(__xludf.DUMMYFUNCTION("GOOGLETRANSLATE(A307, ""en"", ""hi"")"),"306")</f>
        <v>306</v>
      </c>
      <c r="G307" s="5" t="str">
        <f>IFERROR(__xludf.DUMMYFUNCTION("GOOGLETRANSLATE(B307, ""en"", ""hi"")"),"लागोरी मैच के दौरान यदि गेंद ऐसी स्थिति में गिर जाए कि उसे वापस लाना मुश्किल हो जाए, तो आगे क्या होगा?")</f>
        <v>लागोरी मैच के दौरान यदि गेंद ऐसी स्थिति में गिर जाए कि उसे वापस लाना मुश्किल हो जाए, तो आगे क्या होगा?</v>
      </c>
      <c r="H307" s="5" t="str">
        <f>IFERROR(__xludf.DUMMYFUNCTION("GOOGLETRANSLATE(C307,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307" s="5" t="str">
        <f>IFERROR(__xludf.DUMMYFUNCTION("GOOGLETRANSLATE(D307, ""en"", ""hi"")"),"A) आक्रमणकारी टीम अपनी बारी खो देती है।")</f>
        <v>A) आक्रमणकारी टीम अपनी बारी खो देती है।</v>
      </c>
    </row>
    <row r="308" ht="22.5" customHeight="1">
      <c r="A308" s="2">
        <v>307.0</v>
      </c>
      <c r="B308" s="3" t="s">
        <v>4433</v>
      </c>
      <c r="C308" s="3" t="s">
        <v>4434</v>
      </c>
      <c r="D308" s="3" t="s">
        <v>4435</v>
      </c>
      <c r="F308" s="5" t="str">
        <f>IFERROR(__xludf.DUMMYFUNCTION("GOOGLETRANSLATE(A308, ""en"", ""hi"")"),"307")</f>
        <v>307</v>
      </c>
      <c r="G308" s="5" t="str">
        <f>IFERROR(__xludf.DUMMYFUNCTION("GOOGLETRANSLATE(B308, ""en"", ""hi"")"),"लागोरी खेल में, यदि आक्रमणकारी टीम सभी पत्थरों को गिरा देती है, लेकिन गेंद खेल क्षेत्र के बाहर गिरती है, तो नियम क्या है?")</f>
        <v>लागोरी खेल में, यदि आक्रमणकारी टीम सभी पत्थरों को गिरा देती है, लेकिन गेंद खेल क्षेत्र के बाहर गिरती है, तो नियम क्या है?</v>
      </c>
      <c r="H308" s="5" t="str">
        <f>IFERROR(__xludf.DUMMYFUNCTION("GOOGLETRANSLATE(C308, ""en"", ""hi"")"),"A) आक्रमणकारी टीम खेल जीत जाती है। , B) बचाव करने वाली टीम को एक और बारी मिलती है। , C) आक्रमणकारी टीम को एक और बारी मिलती है। , D) गेंद वापस मिलने तक खेल रुका रहता है।")</f>
        <v>A) आक्रमणकारी टीम खेल जीत जाती है। , B) बचाव करने वाली टीम को एक और बारी मिलती है। , C) आक्रमणकारी टीम को एक और बारी मिलती है। , D) गेंद वापस मिलने तक खेल रुका रहता है।</v>
      </c>
      <c r="I308" s="5" t="str">
        <f>IFERROR(__xludf.DUMMYFUNCTION("GOOGLETRANSLATE(D308, ""en"", ""hi"")"),"बी) बचाव करने वाली टीम को एक और बारी मिलती है।")</f>
        <v>बी) बचाव करने वाली टीम को एक और बारी मिलती है।</v>
      </c>
    </row>
    <row r="309" ht="22.5" customHeight="1">
      <c r="A309" s="2">
        <v>308.0</v>
      </c>
      <c r="B309" s="3" t="s">
        <v>4436</v>
      </c>
      <c r="C309" s="3" t="s">
        <v>4437</v>
      </c>
      <c r="D309" s="3" t="s">
        <v>4038</v>
      </c>
      <c r="F309" s="5" t="str">
        <f>IFERROR(__xludf.DUMMYFUNCTION("GOOGLETRANSLATE(A309, ""en"", ""hi"")"),"308")</f>
        <v>308</v>
      </c>
      <c r="G309" s="5" t="str">
        <f>IFERROR(__xludf.DUMMYFUNCTION("GOOGLETRANSLATE(B309, ""en"", ""hi"")"),"यदि बचाव करने वाली टीम गेंद को वापस ले लेती है और उसे फेंकती है, तथा वह पत्थर से टकराती है, लेकिन लक्ष्य से चूक जाती है, तो आगे क्या होगा?")</f>
        <v>यदि बचाव करने वाली टीम गेंद को वापस ले लेती है और उसे फेंकती है, तथा वह पत्थर से टकराती है, लेकिन लक्ष्य से चूक जाती है, तो आगे क्या होगा?</v>
      </c>
      <c r="H309" s="5" t="str">
        <f>IFERROR(__xludf.DUMMYFUNCTION("GOOGLETRANSLATE(C309, ""en"", ""hi"")"),"A) आक्रमणकारी टीम अपनी बारी जारी रखती है। , B) बचाव करने वाली टीम को एक और बारी मिलती है। , C) खेल रोक दिया जाता है। , D) गेंद को बदल दिया जाता है।")</f>
        <v>A) आक्रमणकारी टीम अपनी बारी जारी रखती है। , B) बचाव करने वाली टीम को एक और बारी मिलती है। , C) खेल रोक दिया जाता है। , D) गेंद को बदल दिया जाता है।</v>
      </c>
      <c r="I309" s="5" t="str">
        <f>IFERROR(__xludf.DUMMYFUNCTION("GOOGLETRANSLATE(D309, ""en"", ""hi"")"),"A) आक्रमणकारी टीम अपनी बारी जारी रखती है।")</f>
        <v>A) आक्रमणकारी टीम अपनी बारी जारी रखती है।</v>
      </c>
    </row>
    <row r="310" ht="22.5" customHeight="1">
      <c r="A310" s="2">
        <v>309.0</v>
      </c>
      <c r="B310" s="3" t="s">
        <v>4438</v>
      </c>
      <c r="C310" s="3" t="s">
        <v>4439</v>
      </c>
      <c r="D310" s="3" t="s">
        <v>4003</v>
      </c>
      <c r="F310" s="5" t="str">
        <f>IFERROR(__xludf.DUMMYFUNCTION("GOOGLETRANSLATE(A310, ""en"", ""hi"")"),"309")</f>
        <v>309</v>
      </c>
      <c r="G310" s="5" t="str">
        <f>IFERROR(__xludf.DUMMYFUNCTION("GOOGLETRANSLATE(B310, ""en"", ""hi"")"),"लागोरी मैच के दौरान, यदि कोई खिलाड़ी गेंद फेंकता है और गलती से प्रतिद्वंद्वी को गेंद लग जाती है, तो सही कार्रवाई क्या होगी?")</f>
        <v>लागोरी मैच के दौरान, यदि कोई खिलाड़ी गेंद फेंकता है और गलती से प्रतिद्वंद्वी को गेंद लग जाती है, तो सही कार्रवाई क्या होगी?</v>
      </c>
      <c r="H310" s="5" t="str">
        <f>IFERROR(__xludf.DUMMYFUNCTION("GOOGLETRANSLATE(C310, ""en"", ""hi"")"),"A) आक्रमणकारी टीम अपनी बारी खो देती है। , B) बचाव करने वाली टीम को पेनल्टी थ्रो मिलता है। , C) खेल रोक दिया जाता है। , D) थ्रो को अमान्य माना जाता है और खेल जारी रहता है।")</f>
        <v>A) आक्रमणकारी टीम अपनी बारी खो देती है। , B) बचाव करने वाली टीम को पेनल्टी थ्रो मिलता है। , C) खेल रोक दिया जाता है। , D) थ्रो को अमान्य माना जाता है और खेल जारी रहता है।</v>
      </c>
      <c r="I310" s="5" t="str">
        <f>IFERROR(__xludf.DUMMYFUNCTION("GOOGLETRANSLATE(D310, ""en"", ""hi"")"),"A) आक्रमणकारी टीम अपनी बारी खो देती है।")</f>
        <v>A) आक्रमणकारी टीम अपनी बारी खो देती है।</v>
      </c>
    </row>
    <row r="311" ht="22.5" customHeight="1">
      <c r="A311" s="2">
        <v>310.0</v>
      </c>
      <c r="B311" s="3" t="s">
        <v>4440</v>
      </c>
      <c r="C311" s="3" t="s">
        <v>4383</v>
      </c>
      <c r="D311" s="3" t="s">
        <v>4384</v>
      </c>
      <c r="F311" s="5" t="str">
        <f>IFERROR(__xludf.DUMMYFUNCTION("GOOGLETRANSLATE(A311, ""en"", ""hi"")"),"310")</f>
        <v>310</v>
      </c>
      <c r="G311" s="5" t="str">
        <f>IFERROR(__xludf.DUMMYFUNCTION("GOOGLETRANSLATE(B311, ""en"", ""hi"")"),"लागोरी में, यदि गेंद फेंकी जाए और पत्थर से टकराकर वह गिर जाए, लेकिन गेंद फिर सीमा से बाहर चली जाए, तो क्या किया जाना चाहिए?")</f>
        <v>लागोरी में, यदि गेंद फेंकी जाए और पत्थर से टकराकर वह गिर जाए, लेकिन गेंद फिर सीमा से बाहर चली जाए, तो क्या किया जाना चाहिए?</v>
      </c>
      <c r="H311" s="5" t="str">
        <f>IFERROR(__xludf.DUMMYFUNCTION("GOOGLETRANSLATE(C311,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11" s="5" t="str">
        <f>IFERROR(__xludf.DUMMYFUNCTION("GOOGLETRANSLATE(D311,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12" ht="22.5" customHeight="1">
      <c r="A312" s="2">
        <v>311.0</v>
      </c>
      <c r="B312" s="3" t="s">
        <v>4441</v>
      </c>
      <c r="C312" s="3" t="s">
        <v>4442</v>
      </c>
      <c r="D312" s="3" t="s">
        <v>4443</v>
      </c>
      <c r="F312" s="5" t="str">
        <f>IFERROR(__xludf.DUMMYFUNCTION("GOOGLETRANSLATE(A312, ""en"", ""hi"")"),"311")</f>
        <v>311</v>
      </c>
      <c r="G312" s="5" t="str">
        <f>IFERROR(__xludf.DUMMYFUNCTION("GOOGLETRANSLATE(B312, ""en"", ""hi"")"),"यदि गेंद किसी पत्थर पर गिरती है और पत्थर गिर जाता है, लेकिन गेंद ऐसी जगह गिरती है जहां से उसे वापस लाना कठिन है, तो क्या होगा?")</f>
        <v>यदि गेंद किसी पत्थर पर गिरती है और पत्थर गिर जाता है, लेकिन गेंद ऐसी जगह गिरती है जहां से उसे वापस लाना कठिन है, तो क्या होगा?</v>
      </c>
      <c r="H312" s="5" t="str">
        <f>IFERROR(__xludf.DUMMYFUNCTION("GOOGLETRANSLATE(C312,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12" s="5" t="str">
        <f>IFERROR(__xludf.DUMMYFUNCTION("GOOGLETRANSLATE(D312, ""en"", ""hi"")"),"A) पत्थर नीचे गिर जाता है और आक्रमणकारी टीम अपनी बारी खो देती है।")</f>
        <v>A) पत्थर नीचे गिर जाता है और आक्रमणकारी टीम अपनी बारी खो देती है।</v>
      </c>
    </row>
    <row r="313" ht="22.5" customHeight="1">
      <c r="A313" s="2">
        <v>312.0</v>
      </c>
      <c r="B313" s="3" t="s">
        <v>4444</v>
      </c>
      <c r="C313" s="3" t="s">
        <v>4445</v>
      </c>
      <c r="D313" s="3" t="s">
        <v>4446</v>
      </c>
      <c r="F313" s="5" t="str">
        <f>IFERROR(__xludf.DUMMYFUNCTION("GOOGLETRANSLATE(A313, ""en"", ""hi"")"),"312")</f>
        <v>312</v>
      </c>
      <c r="G313" s="5" t="str">
        <f>IFERROR(__xludf.DUMMYFUNCTION("GOOGLETRANSLATE(B313, ""en"", ""hi"")"),"लागोरी मैच के दौरान, यदि आक्रमणकारी टीम का कोई खिलाड़ी वैध थ्रो करता है, लेकिन गेंद खेल क्षेत्र के बाहर गिरती है, तो आगे क्या होगा?")</f>
        <v>लागोरी मैच के दौरान, यदि आक्रमणकारी टीम का कोई खिलाड़ी वैध थ्रो करता है, लेकिन गेंद खेल क्षेत्र के बाहर गिरती है, तो आगे क्या होगा?</v>
      </c>
      <c r="H313" s="5" t="str">
        <f>IFERROR(__xludf.DUMMYFUNCTION("GOOGLETRANSLATE(C313, ""en"", ""hi"")"),"A) बचाव करने वाली टीम को एक बारी मिलती है। , B) आक्रमण करने वाली टीम अपनी बारी जारी रखती है। , C) खेल रोक दिया जाता है। , D) खेल को अपूर्ण घोषित कर दिया जाता है।")</f>
        <v>A) बचाव करने वाली टीम को एक बारी मिलती है। , B) आक्रमण करने वाली टीम अपनी बारी जारी रखती है। , C) खेल रोक दिया जाता है। , D) खेल को अपूर्ण घोषित कर दिया जाता है।</v>
      </c>
      <c r="I313" s="5" t="str">
        <f>IFERROR(__xludf.DUMMYFUNCTION("GOOGLETRANSLATE(D313, ""en"", ""hi"")"),"अ) बचाव करने वाली टीम को बारी मिलती है।")</f>
        <v>अ) बचाव करने वाली टीम को बारी मिलती है।</v>
      </c>
    </row>
    <row r="314" ht="22.5" customHeight="1">
      <c r="A314" s="2">
        <v>313.0</v>
      </c>
      <c r="B314" s="3" t="s">
        <v>4447</v>
      </c>
      <c r="C314" s="3" t="s">
        <v>4383</v>
      </c>
      <c r="D314" s="3" t="s">
        <v>4384</v>
      </c>
      <c r="F314" s="5" t="str">
        <f>IFERROR(__xludf.DUMMYFUNCTION("GOOGLETRANSLATE(A314, ""en"", ""hi"")"),"313")</f>
        <v>313</v>
      </c>
      <c r="G314" s="5" t="str">
        <f>IFERROR(__xludf.DUMMYFUNCTION("GOOGLETRANSLATE(B314, ""en"", ""hi"")"),"लागोरी में, यदि गेंद किसी पत्थर से टकराती है और पत्थर नीचे गिर जाता है, लेकिन गेंद किसी ऐसी जगह पर गिरती है जिसे वापस पाना मुश्किल है, तो नियम क्या है?")</f>
        <v>लागोरी में, यदि गेंद किसी पत्थर से टकराती है और पत्थर नीचे गिर जाता है, लेकिन गेंद किसी ऐसी जगह पर गिरती है जिसे वापस पाना मुश्किल है, तो नियम क्या है?</v>
      </c>
      <c r="H314" s="5" t="str">
        <f>IFERROR(__xludf.DUMMYFUNCTION("GOOGLETRANSLATE(C314,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14" s="5" t="str">
        <f>IFERROR(__xludf.DUMMYFUNCTION("GOOGLETRANSLATE(D314,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15" ht="22.5" customHeight="1">
      <c r="A315" s="2">
        <v>314.0</v>
      </c>
      <c r="B315" s="3" t="s">
        <v>4448</v>
      </c>
      <c r="C315" s="3" t="s">
        <v>4419</v>
      </c>
      <c r="D315" s="3" t="s">
        <v>4420</v>
      </c>
      <c r="F315" s="5" t="str">
        <f>IFERROR(__xludf.DUMMYFUNCTION("GOOGLETRANSLATE(A315, ""en"", ""hi"")"),"314")</f>
        <v>314</v>
      </c>
      <c r="G315" s="5" t="str">
        <f>IFERROR(__xludf.DUMMYFUNCTION("GOOGLETRANSLATE(B315, ""en"", ""hi"")"),"यदि किसी छोटी सी समस्या के कारण लागोरी खेल बाधित हो जाता है, जैसे कि किसी खिलाड़ी को चिकित्सा सहायता की आवश्यकता हो, तो सामान्य प्रक्रिया क्या होती है?")</f>
        <v>यदि किसी छोटी सी समस्या के कारण लागोरी खेल बाधित हो जाता है, जैसे कि किसी खिलाड़ी को चिकित्सा सहायता की आवश्यकता हो, तो सामान्य प्रक्रिया क्या होती है?</v>
      </c>
      <c r="H315" s="5" t="str">
        <f>IFERROR(__xludf.DUMMYFUNCTION("GOOGLETRANSLATE(C315,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315" s="5" t="str">
        <f>IFERROR(__xludf.DUMMYFUNCTION("GOOGLETRANSLATE(D315, ""en"", ""hi"")"),"A) समस्या का समाधान होने तक खेल को रोक दिया जाता है।")</f>
        <v>A) समस्या का समाधान होने तक खेल को रोक दिया जाता है।</v>
      </c>
    </row>
    <row r="316" ht="22.5" customHeight="1">
      <c r="A316" s="2">
        <v>315.0</v>
      </c>
      <c r="B316" s="3" t="s">
        <v>4449</v>
      </c>
      <c r="C316" s="3" t="s">
        <v>4383</v>
      </c>
      <c r="D316" s="3" t="s">
        <v>4384</v>
      </c>
      <c r="F316" s="5" t="str">
        <f>IFERROR(__xludf.DUMMYFUNCTION("GOOGLETRANSLATE(A316, ""en"", ""hi"")"),"315")</f>
        <v>315</v>
      </c>
      <c r="G316" s="5" t="str">
        <f>IFERROR(__xludf.DUMMYFUNCTION("GOOGLETRANSLATE(B316, ""en"", ""hi"")"),"लागोरी में, यदि आक्रमणकारी टीम गेंद फेंकती है और वह पत्थर पर गिरती है, लेकिन फिर खेल क्षेत्र के बाहर गिरती है, तो क्या किया जाना चाहिए?")</f>
        <v>लागोरी में, यदि आक्रमणकारी टीम गेंद फेंकती है और वह पत्थर पर गिरती है, लेकिन फिर खेल क्षेत्र के बाहर गिरती है, तो क्या किया जाना चाहिए?</v>
      </c>
      <c r="H316" s="5" t="str">
        <f>IFERROR(__xludf.DUMMYFUNCTION("GOOGLETRANSLATE(C316,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16" s="5" t="str">
        <f>IFERROR(__xludf.DUMMYFUNCTION("GOOGLETRANSLATE(D316,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17" ht="22.5" customHeight="1">
      <c r="A317" s="2">
        <v>316.0</v>
      </c>
      <c r="B317" s="3" t="s">
        <v>4422</v>
      </c>
      <c r="C317" s="3" t="s">
        <v>4205</v>
      </c>
      <c r="D317" s="3" t="s">
        <v>4003</v>
      </c>
      <c r="F317" s="5" t="str">
        <f>IFERROR(__xludf.DUMMYFUNCTION("GOOGLETRANSLATE(A317, ""en"", ""hi"")"),"316")</f>
        <v>316</v>
      </c>
      <c r="G317" s="5" t="str">
        <f>IFERROR(__xludf.DUMMYFUNCTION("GOOGLETRANSLATE(B317, ""en"", ""hi"")"),"लागोरी मैच के दौरान यदि गेंद ऐसी स्थिति में गिर जाए कि उसे वापस लाना मुश्किल हो जाए, तो आगे क्या होगा?")</f>
        <v>लागोरी मैच के दौरान यदि गेंद ऐसी स्थिति में गिर जाए कि उसे वापस लाना मुश्किल हो जाए, तो आगे क्या होगा?</v>
      </c>
      <c r="H317" s="5" t="str">
        <f>IFERROR(__xludf.DUMMYFUNCTION("GOOGLETRANSLATE(C317,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317" s="5" t="str">
        <f>IFERROR(__xludf.DUMMYFUNCTION("GOOGLETRANSLATE(D317, ""en"", ""hi"")"),"A) आक्रमणकारी टीम अपनी बारी खो देती है।")</f>
        <v>A) आक्रमणकारी टीम अपनी बारी खो देती है।</v>
      </c>
    </row>
    <row r="318" ht="22.5" customHeight="1">
      <c r="A318" s="2">
        <v>317.0</v>
      </c>
      <c r="B318" s="3" t="s">
        <v>4450</v>
      </c>
      <c r="C318" s="3" t="s">
        <v>4451</v>
      </c>
      <c r="D318" s="3" t="s">
        <v>4452</v>
      </c>
      <c r="F318" s="5" t="str">
        <f>IFERROR(__xludf.DUMMYFUNCTION("GOOGLETRANSLATE(A318, ""en"", ""hi"")"),"317")</f>
        <v>317</v>
      </c>
      <c r="G318" s="5" t="str">
        <f>IFERROR(__xludf.DUMMYFUNCTION("GOOGLETRANSLATE(B318, ""en"", ""hi"")"),"यदि बचाव करने वाली टीम का कोई खिलाड़ी गेंद को जमीन पर गिरने से पहले ही पकड़ लेता है, तो क्या होगा?")</f>
        <v>यदि बचाव करने वाली टीम का कोई खिलाड़ी गेंद को जमीन पर गिरने से पहले ही पकड़ लेता है, तो क्या होगा?</v>
      </c>
      <c r="H318" s="5" t="str">
        <f>IFERROR(__xludf.DUMMYFUNCTION("GOOGLETRANSLATE(C318,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318" s="5" t="str">
        <f>IFERROR(__xludf.DUMMYFUNCTION("GOOGLETRANSLATE(D318, ""en"", ""hi"")"),"A) बचाव करने वाली टीम को अगला थ्रो करने का मौका मिलता है।")</f>
        <v>A) बचाव करने वाली टीम को अगला थ्रो करने का मौका मिलता है।</v>
      </c>
    </row>
    <row r="319" ht="22.5" customHeight="1">
      <c r="A319" s="2">
        <v>318.0</v>
      </c>
      <c r="B319" s="3" t="s">
        <v>4453</v>
      </c>
      <c r="C319" s="3" t="s">
        <v>4454</v>
      </c>
      <c r="D319" s="3" t="s">
        <v>4384</v>
      </c>
      <c r="F319" s="5" t="str">
        <f>IFERROR(__xludf.DUMMYFUNCTION("GOOGLETRANSLATE(A319, ""en"", ""hi"")"),"318")</f>
        <v>318</v>
      </c>
      <c r="G319" s="5" t="str">
        <f>IFERROR(__xludf.DUMMYFUNCTION("GOOGLETRANSLATE(B319, ""en"", ""hi"")"),"लागोरी में, यदि कोई पत्थर गिरा दिया जाए और गेंद ऐसी स्थिति में गिरे जहां से उसे आसानी से वापस नहीं लाया जा सके, तो क्या होगा?")</f>
        <v>लागोरी में, यदि कोई पत्थर गिरा दिया जाए और गेंद ऐसी स्थिति में गिरे जहां से उसे आसानी से वापस नहीं लाया जा सके, तो क्या होगा?</v>
      </c>
      <c r="H319" s="5" t="str">
        <f>IFERROR(__xludf.DUMMYFUNCTION("GOOGLETRANSLATE(C319, ""en"", ""hi"")"),"A)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f>
        <v>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v>
      </c>
      <c r="I319" s="5" t="str">
        <f>IFERROR(__xludf.DUMMYFUNCTION("GOOGLETRANSLATE(D319,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20" ht="22.5" customHeight="1">
      <c r="A320" s="2">
        <v>319.0</v>
      </c>
      <c r="B320" s="3" t="s">
        <v>4455</v>
      </c>
      <c r="C320" s="3" t="s">
        <v>4383</v>
      </c>
      <c r="D320" s="3" t="s">
        <v>4384</v>
      </c>
      <c r="F320" s="5" t="str">
        <f>IFERROR(__xludf.DUMMYFUNCTION("GOOGLETRANSLATE(A320, ""en"", ""hi"")"),"319")</f>
        <v>319</v>
      </c>
      <c r="G320" s="5" t="str">
        <f>IFERROR(__xludf.DUMMYFUNCTION("GOOGLETRANSLATE(B320, ""en"", ""hi"")"),"लागोरी मैच के दौरान यदि गेंद पत्थर से टकराकर खेल क्षेत्र के बाहर गिरती है तो क्या नियम है?")</f>
        <v>लागोरी मैच के दौरान यदि गेंद पत्थर से टकराकर खेल क्षेत्र के बाहर गिरती है तो क्या नियम है?</v>
      </c>
      <c r="H320" s="5" t="str">
        <f>IFERROR(__xludf.DUMMYFUNCTION("GOOGLETRANSLATE(C320,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20" s="5" t="str">
        <f>IFERROR(__xludf.DUMMYFUNCTION("GOOGLETRANSLATE(D320,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21" ht="22.5" customHeight="1">
      <c r="A321" s="2">
        <v>320.0</v>
      </c>
      <c r="B321" s="3" t="s">
        <v>4456</v>
      </c>
      <c r="C321" s="3" t="s">
        <v>4383</v>
      </c>
      <c r="D321" s="3" t="s">
        <v>4384</v>
      </c>
      <c r="F321" s="5" t="str">
        <f>IFERROR(__xludf.DUMMYFUNCTION("GOOGLETRANSLATE(A321, ""en"", ""hi"")"),"320")</f>
        <v>320</v>
      </c>
      <c r="G321" s="5" t="str">
        <f>IFERROR(__xludf.DUMMYFUNCTION("GOOGLETRANSLATE(B321, ""en"", ""hi"")"),"लागोरी में, यदि कोई खिलाड़ी गेंद फेंकता है और वह पत्थर से टकराती है, जिससे वह नीचे गिर जाता है, लेकिन फिर सीमा से बाहर चला जाता है, तो क्या किया जाना चाहिए?")</f>
        <v>लागोरी में, यदि कोई खिलाड़ी गेंद फेंकता है और वह पत्थर से टकराती है, जिससे वह नीचे गिर जाता है, लेकिन फिर सीमा से बाहर चला जाता है, तो क्या किया जाना चाहिए?</v>
      </c>
      <c r="H321" s="5" t="str">
        <f>IFERROR(__xludf.DUMMYFUNCTION("GOOGLETRANSLATE(C321,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21" s="5" t="str">
        <f>IFERROR(__xludf.DUMMYFUNCTION("GOOGLETRANSLATE(D321,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22" ht="22.5" customHeight="1">
      <c r="A322" s="2">
        <v>321.0</v>
      </c>
      <c r="B322" s="3" t="s">
        <v>4457</v>
      </c>
      <c r="C322" s="3" t="s">
        <v>4442</v>
      </c>
      <c r="D322" s="3" t="s">
        <v>4443</v>
      </c>
      <c r="F322" s="5" t="str">
        <f>IFERROR(__xludf.DUMMYFUNCTION("GOOGLETRANSLATE(A322, ""en"", ""hi"")"),"321")</f>
        <v>321</v>
      </c>
      <c r="G322" s="5" t="str">
        <f>IFERROR(__xludf.DUMMYFUNCTION("GOOGLETRANSLATE(B322, ""en"", ""hi"")"),"यदि गेंद किसी पत्थर पर गिरती है और पत्थर गिर जाता है, लेकिन गेंद ऐसी जगह गिरती है जहां से उसे वापस लाना कठिन है, तो नियम क्या है?")</f>
        <v>यदि गेंद किसी पत्थर पर गिरती है और पत्थर गिर जाता है, लेकिन गेंद ऐसी जगह गिरती है जहां से उसे वापस लाना कठिन है, तो नियम क्या है?</v>
      </c>
      <c r="H322" s="5" t="str">
        <f>IFERROR(__xludf.DUMMYFUNCTION("GOOGLETRANSLATE(C322,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22" s="5" t="str">
        <f>IFERROR(__xludf.DUMMYFUNCTION("GOOGLETRANSLATE(D322, ""en"", ""hi"")"),"A) पत्थर नीचे गिर जाता है और आक्रमणकारी टीम अपनी बारी खो देती है।")</f>
        <v>A) पत्थर नीचे गिर जाता है और आक्रमणकारी टीम अपनी बारी खो देती है।</v>
      </c>
    </row>
    <row r="323" ht="22.5" customHeight="1">
      <c r="A323" s="2">
        <v>322.0</v>
      </c>
      <c r="B323" s="3" t="s">
        <v>4458</v>
      </c>
      <c r="C323" s="3" t="s">
        <v>4459</v>
      </c>
      <c r="D323" s="3" t="s">
        <v>4038</v>
      </c>
      <c r="F323" s="5" t="str">
        <f>IFERROR(__xludf.DUMMYFUNCTION("GOOGLETRANSLATE(A323, ""en"", ""hi"")"),"322")</f>
        <v>322</v>
      </c>
      <c r="G323" s="5" t="str">
        <f>IFERROR(__xludf.DUMMYFUNCTION("GOOGLETRANSLATE(B323, ""en"", ""hi"")"),"लागोरी मैच के दौरान यदि गेंद फेंकी जाए और वह पत्थर से टकराए, लेकिन पत्थर नीचे न गिरे, तो आगे क्या होगा?")</f>
        <v>लागोरी मैच के दौरान यदि गेंद फेंकी जाए और वह पत्थर से टकराए, लेकिन पत्थर नीचे न गिरे, तो आगे क्या होगा?</v>
      </c>
      <c r="H323" s="5" t="str">
        <f>IFERROR(__xludf.DUMMYFUNCTION("GOOGLETRANSLATE(C323,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23" s="5" t="str">
        <f>IFERROR(__xludf.DUMMYFUNCTION("GOOGLETRANSLATE(D323, ""en"", ""hi"")"),"A) आक्रमणकारी टीम अपनी बारी जारी रखती है।")</f>
        <v>A) आक्रमणकारी टीम अपनी बारी जारी रखती है।</v>
      </c>
    </row>
    <row r="324" ht="22.5" customHeight="1">
      <c r="A324" s="2">
        <v>323.0</v>
      </c>
      <c r="B324" s="3" t="s">
        <v>4460</v>
      </c>
      <c r="C324" s="3" t="s">
        <v>4383</v>
      </c>
      <c r="D324" s="3" t="s">
        <v>4384</v>
      </c>
      <c r="F324" s="5" t="str">
        <f>IFERROR(__xludf.DUMMYFUNCTION("GOOGLETRANSLATE(A324, ""en"", ""hi"")"),"323")</f>
        <v>323</v>
      </c>
      <c r="G324" s="5" t="str">
        <f>IFERROR(__xludf.DUMMYFUNCTION("GOOGLETRANSLATE(B324, ""en"", ""hi"")"),"लागोरी में, यदि गेंद पत्थर से टकराती है और पत्थर नीचे गिर जाता है, लेकिन गेंद खेल क्षेत्र के बाहर गिरती है, तो आगे क्या होता है?")</f>
        <v>लागोरी में, यदि गेंद पत्थर से टकराती है और पत्थर नीचे गिर जाता है, लेकिन गेंद खेल क्षेत्र के बाहर गिरती है, तो आगे क्या होता है?</v>
      </c>
      <c r="H324" s="5" t="str">
        <f>IFERROR(__xludf.DUMMYFUNCTION("GOOGLETRANSLATE(C324,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24" s="5" t="str">
        <f>IFERROR(__xludf.DUMMYFUNCTION("GOOGLETRANSLATE(D324,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25" ht="22.5" customHeight="1">
      <c r="A325" s="2">
        <v>324.0</v>
      </c>
      <c r="B325" s="3" t="s">
        <v>4461</v>
      </c>
      <c r="C325" s="3" t="s">
        <v>4437</v>
      </c>
      <c r="D325" s="3" t="s">
        <v>4038</v>
      </c>
      <c r="F325" s="5" t="str">
        <f>IFERROR(__xludf.DUMMYFUNCTION("GOOGLETRANSLATE(A325, ""en"", ""hi"")"),"324")</f>
        <v>324</v>
      </c>
      <c r="G325" s="5" t="str">
        <f>IFERROR(__xludf.DUMMYFUNCTION("GOOGLETRANSLATE(B325, ""en"", ""hi"")"),"यदि बचाव करने वाली टीम का कोई खिलाड़ी गेंद लेकर फेंकता है और वह पत्थर पर लगती है, लेकिन लक्ष्य से चूक जाती है, तो क्या होगा?")</f>
        <v>यदि बचाव करने वाली टीम का कोई खिलाड़ी गेंद लेकर फेंकता है और वह पत्थर पर लगती है, लेकिन लक्ष्य से चूक जाती है, तो क्या होगा?</v>
      </c>
      <c r="H325" s="5" t="str">
        <f>IFERROR(__xludf.DUMMYFUNCTION("GOOGLETRANSLATE(C325, ""en"", ""hi"")"),"A) आक्रमणकारी टीम अपनी बारी जारी रखती है। , B) बचाव करने वाली टीम को एक और बारी मिलती है। , C) खेल रोक दिया जाता है। , D) गेंद को बदल दिया जाता है।")</f>
        <v>A) आक्रमणकारी टीम अपनी बारी जारी रखती है। , B) बचाव करने वाली टीम को एक और बारी मिलती है। , C) खेल रोक दिया जाता है। , D) गेंद को बदल दिया जाता है।</v>
      </c>
      <c r="I325" s="5" t="str">
        <f>IFERROR(__xludf.DUMMYFUNCTION("GOOGLETRANSLATE(D325, ""en"", ""hi"")"),"A) आक्रमणकारी टीम अपनी बारी जारी रखती है।")</f>
        <v>A) आक्रमणकारी टीम अपनी बारी जारी रखती है।</v>
      </c>
    </row>
    <row r="326" ht="22.5" customHeight="1">
      <c r="A326" s="2">
        <v>325.0</v>
      </c>
      <c r="B326" s="3" t="s">
        <v>4462</v>
      </c>
      <c r="C326" s="3" t="s">
        <v>4205</v>
      </c>
      <c r="D326" s="3" t="s">
        <v>4003</v>
      </c>
      <c r="F326" s="5" t="str">
        <f>IFERROR(__xludf.DUMMYFUNCTION("GOOGLETRANSLATE(A326, ""en"", ""hi"")"),"325")</f>
        <v>325</v>
      </c>
      <c r="G326" s="5" t="str">
        <f>IFERROR(__xludf.DUMMYFUNCTION("GOOGLETRANSLATE(B326, ""en"", ""hi"")"),"लागोरी में यदि गेंद फेंकी जाए और वह ऐसी स्थिति में गिरे जहां से उसे वापस लाना कठिन हो तो क्या किया जाना चाहिए?")</f>
        <v>लागोरी में यदि गेंद फेंकी जाए और वह ऐसी स्थिति में गिरे जहां से उसे वापस लाना कठिन हो तो क्या किया जाना चाहिए?</v>
      </c>
      <c r="H326" s="5" t="str">
        <f>IFERROR(__xludf.DUMMYFUNCTION("GOOGLETRANSLATE(C326, ""en"", ""hi"")"),"A) आक्रमणकारी टीम अपनी बारी खो देती है। , B) खेल रोक दिया जाता है और गेंद वापस ले ली जाती है। , C) गेंद को बदल दिया जाता है। , D) खेल बिना किसी रुकावट के जारी रहता है।")</f>
        <v>A) आक्रमणकारी टीम अपनी बारी खो देती है। , B) खेल रोक दिया जाता है और गेंद वापस ले ली जाती है। , C) गेंद को बदल दिया जाता है। , D) खेल बिना किसी रुकावट के जारी रहता है।</v>
      </c>
      <c r="I326" s="5" t="str">
        <f>IFERROR(__xludf.DUMMYFUNCTION("GOOGLETRANSLATE(D326, ""en"", ""hi"")"),"A) आक्रमणकारी टीम अपनी बारी खो देती है।")</f>
        <v>A) आक्रमणकारी टीम अपनी बारी खो देती है।</v>
      </c>
    </row>
    <row r="327" ht="22.5" customHeight="1">
      <c r="A327" s="2">
        <v>326.0</v>
      </c>
      <c r="B327" s="3" t="s">
        <v>4463</v>
      </c>
      <c r="C327" s="3" t="s">
        <v>4454</v>
      </c>
      <c r="D327" s="3" t="s">
        <v>4384</v>
      </c>
      <c r="F327" s="5" t="str">
        <f>IFERROR(__xludf.DUMMYFUNCTION("GOOGLETRANSLATE(A327, ""en"", ""hi"")"),"326")</f>
        <v>326</v>
      </c>
      <c r="G327" s="5" t="str">
        <f>IFERROR(__xludf.DUMMYFUNCTION("GOOGLETRANSLATE(B327, ""en"", ""hi"")"),"लागोरी मैच के दौरान, यदि गेंद किसी पत्थर पर गिरती है और पत्थर गिर जाता है, लेकिन गेंद ऐसी जगह गिरती है, जहां से उसे वापस लाना कठिन है, तो क्या होगा?")</f>
        <v>लागोरी मैच के दौरान, यदि गेंद किसी पत्थर पर गिरती है और पत्थर गिर जाता है, लेकिन गेंद ऐसी जगह गिरती है, जहां से उसे वापस लाना कठिन है, तो क्या होगा?</v>
      </c>
      <c r="H327" s="5" t="str">
        <f>IFERROR(__xludf.DUMMYFUNCTION("GOOGLETRANSLATE(C327, ""en"", ""hi"")"),"A)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f>
        <v>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v>
      </c>
      <c r="I327" s="5" t="str">
        <f>IFERROR(__xludf.DUMMYFUNCTION("GOOGLETRANSLATE(D327,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28" ht="22.5" customHeight="1">
      <c r="A328" s="2">
        <v>327.0</v>
      </c>
      <c r="B328" s="3" t="s">
        <v>4464</v>
      </c>
      <c r="C328" s="3" t="s">
        <v>4445</v>
      </c>
      <c r="D328" s="3" t="s">
        <v>4446</v>
      </c>
      <c r="F328" s="5" t="str">
        <f>IFERROR(__xludf.DUMMYFUNCTION("GOOGLETRANSLATE(A328, ""en"", ""hi"")"),"327")</f>
        <v>327</v>
      </c>
      <c r="G328" s="5" t="str">
        <f>IFERROR(__xludf.DUMMYFUNCTION("GOOGLETRANSLATE(B328, ""en"", ""hi"")"),"यदि आक्रमणकारी टीम का कोई खिलाड़ी वैध थ्रो करता है, लेकिन गेंद खेल क्षेत्र के बाहर गिरती है, तो आगे क्या होगा?")</f>
        <v>यदि आक्रमणकारी टीम का कोई खिलाड़ी वैध थ्रो करता है, लेकिन गेंद खेल क्षेत्र के बाहर गिरती है, तो आगे क्या होगा?</v>
      </c>
      <c r="H328" s="5" t="str">
        <f>IFERROR(__xludf.DUMMYFUNCTION("GOOGLETRANSLATE(C328, ""en"", ""hi"")"),"A) बचाव करने वाली टीम को एक बारी मिलती है। , B) आक्रमण करने वाली टीम अपनी बारी जारी रखती है। , C) खेल रोक दिया जाता है। , D) खेल को अपूर्ण घोषित कर दिया जाता है।")</f>
        <v>A) बचाव करने वाली टीम को एक बारी मिलती है। , B) आक्रमण करने वाली टीम अपनी बारी जारी रखती है। , C) खेल रोक दिया जाता है। , D) खेल को अपूर्ण घोषित कर दिया जाता है।</v>
      </c>
      <c r="I328" s="5" t="str">
        <f>IFERROR(__xludf.DUMMYFUNCTION("GOOGLETRANSLATE(D328, ""en"", ""hi"")"),"अ) बचाव करने वाली टीम को बारी मिलती है।")</f>
        <v>अ) बचाव करने वाली टीम को बारी मिलती है।</v>
      </c>
    </row>
    <row r="329" ht="22.5" customHeight="1">
      <c r="A329" s="2">
        <v>328.0</v>
      </c>
      <c r="B329" s="3" t="s">
        <v>4465</v>
      </c>
      <c r="C329" s="3" t="s">
        <v>4442</v>
      </c>
      <c r="D329" s="3" t="s">
        <v>4443</v>
      </c>
      <c r="F329" s="5" t="str">
        <f>IFERROR(__xludf.DUMMYFUNCTION("GOOGLETRANSLATE(A329, ""en"", ""hi"")"),"328")</f>
        <v>328</v>
      </c>
      <c r="G329" s="5" t="str">
        <f>IFERROR(__xludf.DUMMYFUNCTION("GOOGLETRANSLATE(B329, ""en"", ""hi"")"),"लागोरी में यदि कोई पत्थर गिर जाए और गेंद ऐसी जगह गिरे जहां से उसे वापस निकालना मुश्किल हो जाए तो क्या किया जाना चाहिए?")</f>
        <v>लागोरी में यदि कोई पत्थर गिर जाए और गेंद ऐसी जगह गिरे जहां से उसे वापस निकालना मुश्किल हो जाए तो क्या किया जाना चाहिए?</v>
      </c>
      <c r="H329" s="5" t="str">
        <f>IFERROR(__xludf.DUMMYFUNCTION("GOOGLETRANSLATE(C329,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29" s="5" t="str">
        <f>IFERROR(__xludf.DUMMYFUNCTION("GOOGLETRANSLATE(D329, ""en"", ""hi"")"),"A) पत्थर नीचे गिर जाता है और आक्रमणकारी टीम अपनी बारी खो देती है।")</f>
        <v>A) पत्थर नीचे गिर जाता है और आक्रमणकारी टीम अपनी बारी खो देती है।</v>
      </c>
    </row>
    <row r="330" ht="22.5" customHeight="1">
      <c r="A330" s="2">
        <v>329.0</v>
      </c>
      <c r="B330" s="3" t="s">
        <v>4466</v>
      </c>
      <c r="C330" s="3" t="s">
        <v>4459</v>
      </c>
      <c r="D330" s="3" t="s">
        <v>4038</v>
      </c>
      <c r="F330" s="5" t="str">
        <f>IFERROR(__xludf.DUMMYFUNCTION("GOOGLETRANSLATE(A330, ""en"", ""hi"")"),"329")</f>
        <v>329</v>
      </c>
      <c r="G330" s="5" t="str">
        <f>IFERROR(__xludf.DUMMYFUNCTION("GOOGLETRANSLATE(B330, ""en"", ""hi"")"),"यदि गेंद फेंकी जाए और वह पत्थर पर गिरे, लेकिन पत्थर नीचे न गिरे, तो क्या करना चाहिए?")</f>
        <v>यदि गेंद फेंकी जाए और वह पत्थर पर गिरे, लेकिन पत्थर नीचे न गिरे, तो क्या करना चाहिए?</v>
      </c>
      <c r="H330" s="5" t="str">
        <f>IFERROR(__xludf.DUMMYFUNCTION("GOOGLETRANSLATE(C330,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30" s="5" t="str">
        <f>IFERROR(__xludf.DUMMYFUNCTION("GOOGLETRANSLATE(D330, ""en"", ""hi"")"),"A) आक्रमणकारी टीम अपनी बारी जारी रखती है।")</f>
        <v>A) आक्रमणकारी टीम अपनी बारी जारी रखती है।</v>
      </c>
    </row>
    <row r="331" ht="22.5" customHeight="1">
      <c r="A331" s="2">
        <v>330.0</v>
      </c>
      <c r="B331" s="3" t="s">
        <v>4467</v>
      </c>
      <c r="C331" s="3" t="s">
        <v>4451</v>
      </c>
      <c r="D331" s="3" t="s">
        <v>4452</v>
      </c>
      <c r="F331" s="5" t="str">
        <f>IFERROR(__xludf.DUMMYFUNCTION("GOOGLETRANSLATE(A331, ""en"", ""hi"")"),"330")</f>
        <v>330</v>
      </c>
      <c r="G331" s="5" t="str">
        <f>IFERROR(__xludf.DUMMYFUNCTION("GOOGLETRANSLATE(B331, ""en"", ""hi"")"),"लागोरी मैच के दौरान, यदि बचाव करने वाली टीम का कोई खिलाड़ी गेंद को जमीन पर गिरने से पहले ही पकड़ लेता है, तो सही नियम क्या है?")</f>
        <v>लागोरी मैच के दौरान, यदि बचाव करने वाली टीम का कोई खिलाड़ी गेंद को जमीन पर गिरने से पहले ही पकड़ लेता है, तो सही नियम क्या है?</v>
      </c>
      <c r="H331" s="5" t="str">
        <f>IFERROR(__xludf.DUMMYFUNCTION("GOOGLETRANSLATE(C331,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331" s="5" t="str">
        <f>IFERROR(__xludf.DUMMYFUNCTION("GOOGLETRANSLATE(D331, ""en"", ""hi"")"),"A) बचाव करने वाली टीम को अगला थ्रो करने का मौका मिलता है।")</f>
        <v>A) बचाव करने वाली टीम को अगला थ्रो करने का मौका मिलता है।</v>
      </c>
    </row>
    <row r="332" ht="22.5" customHeight="1">
      <c r="A332" s="2">
        <v>331.0</v>
      </c>
      <c r="B332" s="3" t="s">
        <v>4468</v>
      </c>
      <c r="C332" s="3" t="s">
        <v>4383</v>
      </c>
      <c r="D332" s="3" t="s">
        <v>4384</v>
      </c>
      <c r="F332" s="5" t="str">
        <f>IFERROR(__xludf.DUMMYFUNCTION("GOOGLETRANSLATE(A332, ""en"", ""hi"")"),"331")</f>
        <v>331</v>
      </c>
      <c r="G332" s="5" t="str">
        <f>IFERROR(__xludf.DUMMYFUNCTION("GOOGLETRANSLATE(B332, ""en"", ""hi"")"),"लागोरी में यदि गेंद पत्थर से टकराकर खेल क्षेत्र के बाहर गिर जाए तो क्या करना चाहिए?")</f>
        <v>लागोरी में यदि गेंद पत्थर से टकराकर खेल क्षेत्र के बाहर गिर जाए तो क्या करना चाहिए?</v>
      </c>
      <c r="H332" s="5" t="str">
        <f>IFERROR(__xludf.DUMMYFUNCTION("GOOGLETRANSLATE(C332,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32" s="5" t="str">
        <f>IFERROR(__xludf.DUMMYFUNCTION("GOOGLETRANSLATE(D332,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33" ht="22.5" customHeight="1">
      <c r="A333" s="2">
        <v>332.0</v>
      </c>
      <c r="B333" s="3" t="s">
        <v>4469</v>
      </c>
      <c r="C333" s="3" t="s">
        <v>4160</v>
      </c>
      <c r="D333" s="3" t="s">
        <v>4017</v>
      </c>
      <c r="F333" s="5" t="str">
        <f>IFERROR(__xludf.DUMMYFUNCTION("GOOGLETRANSLATE(A333, ""en"", ""hi"")"),"332")</f>
        <v>332</v>
      </c>
      <c r="G333" s="5" t="str">
        <f>IFERROR(__xludf.DUMMYFUNCTION("GOOGLETRANSLATE(B333, ""en"", ""hi"")"),"यदि मौसम की स्थिति के कारण लागोरी खेल बाधित होता है, तो सामान्य प्रक्रिया क्या होती है?")</f>
        <v>यदि मौसम की स्थिति के कारण लागोरी खेल बाधित होता है, तो सामान्य प्रक्रिया क्या होती है?</v>
      </c>
      <c r="H333" s="5" t="str">
        <f>IFERROR(__xludf.DUMMYFUNCTION("GOOGLETRANSLATE(C333, ""en"", ""hi"")"),"A)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कि स्थिति में सुधार न हो जाए। , B) खेल रद्द कर दिया जाता है। , C) खेल को शुरू से फिर से शुरू किया जाता है। , D) रुकावट के समय सबसे अधिक अंक वाली टीम को विजेता घोषित किया जाता है।</v>
      </c>
      <c r="I333" s="5" t="str">
        <f>IFERROR(__xludf.DUMMYFUNCTION("GOOGLETRANSLATE(D333, ""en"", ""hi"")"),"A) खेल को तब तक रोक दिया जाता है जब तक कि स्थिति में सुधार न हो जाए।")</f>
        <v>A) खेल को तब तक रोक दिया जाता है जब तक कि स्थिति में सुधार न हो जाए।</v>
      </c>
    </row>
    <row r="334" ht="22.5" customHeight="1">
      <c r="A334" s="2">
        <v>333.0</v>
      </c>
      <c r="B334" s="3" t="s">
        <v>4470</v>
      </c>
      <c r="C334" s="3" t="s">
        <v>4459</v>
      </c>
      <c r="D334" s="3" t="s">
        <v>4038</v>
      </c>
      <c r="F334" s="5" t="str">
        <f>IFERROR(__xludf.DUMMYFUNCTION("GOOGLETRANSLATE(A334, ""en"", ""hi"")"),"333")</f>
        <v>333</v>
      </c>
      <c r="G334" s="5" t="str">
        <f>IFERROR(__xludf.DUMMYFUNCTION("GOOGLETRANSLATE(B334, ""en"", ""hi"")"),"लागोरी मैच के दौरान यदि कोई खिलाड़ी गेंद फेंकता है और वह पत्थर से टकराती है, लेकिन पत्थर नहीं गिरता, तो आगे क्या होगा?")</f>
        <v>लागोरी मैच के दौरान यदि कोई खिलाड़ी गेंद फेंकता है और वह पत्थर से टकराती है, लेकिन पत्थर नहीं गिरता, तो आगे क्या होगा?</v>
      </c>
      <c r="H334" s="5" t="str">
        <f>IFERROR(__xludf.DUMMYFUNCTION("GOOGLETRANSLATE(C334,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34" s="5" t="str">
        <f>IFERROR(__xludf.DUMMYFUNCTION("GOOGLETRANSLATE(D334, ""en"", ""hi"")"),"A) आक्रमणकारी टीम अपनी बारी जारी रखती है।")</f>
        <v>A) आक्रमणकारी टीम अपनी बारी जारी रखती है।</v>
      </c>
    </row>
    <row r="335" ht="22.5" customHeight="1">
      <c r="A335" s="2">
        <v>334.0</v>
      </c>
      <c r="B335" s="3" t="s">
        <v>4471</v>
      </c>
      <c r="C335" s="3" t="s">
        <v>4442</v>
      </c>
      <c r="D335" s="3" t="s">
        <v>4443</v>
      </c>
      <c r="F335" s="5" t="str">
        <f>IFERROR(__xludf.DUMMYFUNCTION("GOOGLETRANSLATE(A335, ""en"", ""hi"")"),"334")</f>
        <v>334</v>
      </c>
      <c r="G335" s="5" t="str">
        <f>IFERROR(__xludf.DUMMYFUNCTION("GOOGLETRANSLATE(B335, ""en"", ""hi"")"),"लागोरी में, यदि गेंद किसी पत्थर पर गिरती है और पत्थर गिर जाता है, लेकिन गेंद किसी ऐसे स्थान पर गिरती है जिसे वापस पाना कठिन है, तो क्या किया जाना चाहिए?")</f>
        <v>लागोरी में, यदि गेंद किसी पत्थर पर गिरती है और पत्थर गिर जाता है, लेकिन गेंद किसी ऐसे स्थान पर गिरती है जिसे वापस पाना कठिन है, तो क्या किया जाना चाहिए?</v>
      </c>
      <c r="H335" s="5" t="str">
        <f>IFERROR(__xludf.DUMMYFUNCTION("GOOGLETRANSLATE(C335,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35" s="5" t="str">
        <f>IFERROR(__xludf.DUMMYFUNCTION("GOOGLETRANSLATE(D335, ""en"", ""hi"")"),"A) पत्थर नीचे गिर जाता है और आक्रमणकारी टीम अपनी बारी खो देती है।")</f>
        <v>A) पत्थर नीचे गिर जाता है और आक्रमणकारी टीम अपनी बारी खो देती है।</v>
      </c>
    </row>
    <row r="336" ht="22.5" customHeight="1">
      <c r="A336" s="2">
        <v>335.0</v>
      </c>
      <c r="B336" s="3" t="s">
        <v>4472</v>
      </c>
      <c r="C336" s="3" t="s">
        <v>4383</v>
      </c>
      <c r="D336" s="3" t="s">
        <v>4384</v>
      </c>
      <c r="F336" s="5" t="str">
        <f>IFERROR(__xludf.DUMMYFUNCTION("GOOGLETRANSLATE(A336, ""en"", ""hi"")"),"335")</f>
        <v>335</v>
      </c>
      <c r="G336" s="5" t="str">
        <f>IFERROR(__xludf.DUMMYFUNCTION("GOOGLETRANSLATE(B336, ""en"", ""hi"")"),"यदि आक्रमणकारी टीम का कोई खिलाड़ी गेंद फेंकता है और वह पत्थर पर गिरती है, जिससे वह गिर जाता है, लेकिन गेंद खेल क्षेत्र के बाहर गिरती है, तो आगे क्या होगा?")</f>
        <v>यदि आक्रमणकारी टीम का कोई खिलाड़ी गेंद फेंकता है और वह पत्थर पर गिरती है, जिससे वह गिर जाता है, लेकिन गेंद खेल क्षेत्र के बाहर गिरती है, तो आगे क्या होगा?</v>
      </c>
      <c r="H336" s="5" t="str">
        <f>IFERROR(__xludf.DUMMYFUNCTION("GOOGLETRANSLATE(C336,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36" s="5" t="str">
        <f>IFERROR(__xludf.DUMMYFUNCTION("GOOGLETRANSLATE(D336,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37" ht="22.5" customHeight="1">
      <c r="A337" s="2">
        <v>336.0</v>
      </c>
      <c r="B337" s="3" t="s">
        <v>4473</v>
      </c>
      <c r="C337" s="3" t="s">
        <v>4459</v>
      </c>
      <c r="D337" s="3" t="s">
        <v>4038</v>
      </c>
      <c r="F337" s="5" t="str">
        <f>IFERROR(__xludf.DUMMYFUNCTION("GOOGLETRANSLATE(A337, ""en"", ""hi"")"),"336")</f>
        <v>336</v>
      </c>
      <c r="G337" s="5" t="str">
        <f>IFERROR(__xludf.DUMMYFUNCTION("GOOGLETRANSLATE(B337, ""en"", ""hi"")"),"लागोरी मैच के दौरान यदि गेंद फेंकी जाए और वह पत्थर से टकराए, लेकिन पत्थर नीचे न गिरे, तो क्या करना चाहिए?")</f>
        <v>लागोरी मैच के दौरान यदि गेंद फेंकी जाए और वह पत्थर से टकराए, लेकिन पत्थर नीचे न गिरे, तो क्या करना चाहिए?</v>
      </c>
      <c r="H337" s="5" t="str">
        <f>IFERROR(__xludf.DUMMYFUNCTION("GOOGLETRANSLATE(C337,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37" s="5" t="str">
        <f>IFERROR(__xludf.DUMMYFUNCTION("GOOGLETRANSLATE(D337, ""en"", ""hi"")"),"A) आक्रमणकारी टीम अपनी बारी जारी रखती है।")</f>
        <v>A) आक्रमणकारी टीम अपनी बारी जारी रखती है।</v>
      </c>
    </row>
    <row r="338" ht="22.5" customHeight="1">
      <c r="A338" s="2">
        <v>337.0</v>
      </c>
      <c r="B338" s="3" t="s">
        <v>4474</v>
      </c>
      <c r="C338" s="3" t="s">
        <v>4459</v>
      </c>
      <c r="D338" s="3" t="s">
        <v>4038</v>
      </c>
      <c r="F338" s="5" t="str">
        <f>IFERROR(__xludf.DUMMYFUNCTION("GOOGLETRANSLATE(A338, ""en"", ""hi"")"),"337")</f>
        <v>337</v>
      </c>
      <c r="G338" s="5" t="str">
        <f>IFERROR(__xludf.DUMMYFUNCTION("GOOGLETRANSLATE(B338, ""en"", ""hi"")"),"लागोरी में, यदि गेंद फेंकी जाए और वह पत्थर पर गिरे, लेकिन पत्थर नीचे न गिरे, तो आगे क्या होगा?")</f>
        <v>लागोरी में, यदि गेंद फेंकी जाए और वह पत्थर पर गिरे, लेकिन पत्थर नीचे न गिरे, तो आगे क्या होगा?</v>
      </c>
      <c r="H338" s="5" t="str">
        <f>IFERROR(__xludf.DUMMYFUNCTION("GOOGLETRANSLATE(C338,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38" s="5" t="str">
        <f>IFERROR(__xludf.DUMMYFUNCTION("GOOGLETRANSLATE(D338, ""en"", ""hi"")"),"A) आक्रमणकारी टीम अपनी बारी जारी रखती है।")</f>
        <v>A) आक्रमणकारी टीम अपनी बारी जारी रखती है।</v>
      </c>
    </row>
    <row r="339" ht="22.5" customHeight="1">
      <c r="A339" s="2">
        <v>338.0</v>
      </c>
      <c r="B339" s="3" t="s">
        <v>4475</v>
      </c>
      <c r="C339" s="3" t="s">
        <v>4476</v>
      </c>
      <c r="D339" s="3" t="s">
        <v>4477</v>
      </c>
      <c r="F339" s="5" t="str">
        <f>IFERROR(__xludf.DUMMYFUNCTION("GOOGLETRANSLATE(A339, ""en"", ""hi"")"),"338")</f>
        <v>338</v>
      </c>
      <c r="G339" s="5" t="str">
        <f>IFERROR(__xludf.DUMMYFUNCTION("GOOGLETRANSLATE(B339, ""en"", ""hi"")"),"यदि किसी खिलाड़ी की चोट के कारण लागोरी मैच बाधित होता है, तो सामान्य प्रक्रिया क्या होती है?")</f>
        <v>यदि किसी खिलाड़ी की चोट के कारण लागोरी मैच बाधित होता है, तो सामान्य प्रक्रिया क्या होती है?</v>
      </c>
      <c r="H339" s="5" t="str">
        <f>IFERROR(__xludf.DUMMYFUNCTION("GOOGLETRANSLATE(C339,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339" s="5" t="str">
        <f>IFERROR(__xludf.DUMMYFUNCTION("GOOGLETRANSLATE(D339, ""en"", ""hi"")"),"A) जब तक खिलाड़ी को चिकित्सा सहायता नहीं मिल जाती, तब तक खेल रोक दिया जाता है।")</f>
        <v>A) जब तक खिलाड़ी को चिकित्सा सहायता नहीं मिल जाती, तब तक खेल रोक दिया जाता है।</v>
      </c>
    </row>
    <row r="340" ht="22.5" customHeight="1">
      <c r="A340" s="2">
        <v>339.0</v>
      </c>
      <c r="B340" s="3" t="s">
        <v>4478</v>
      </c>
      <c r="C340" s="3" t="s">
        <v>4454</v>
      </c>
      <c r="D340" s="3" t="s">
        <v>4384</v>
      </c>
      <c r="F340" s="5" t="str">
        <f>IFERROR(__xludf.DUMMYFUNCTION("GOOGLETRANSLATE(A340, ""en"", ""hi"")"),"339")</f>
        <v>339</v>
      </c>
      <c r="G340" s="5" t="str">
        <f>IFERROR(__xludf.DUMMYFUNCTION("GOOGLETRANSLATE(B340, ""en"", ""hi"")"),"लागोरी मैच के दौरान, यदि गेंद किसी पत्थर पर गिरती है और पत्थर गिर जाता है, लेकिन गेंद ऐसी जगह गिरती है, जहां से उसे वापस लाना मुश्किल है, तो क्या होगा?")</f>
        <v>लागोरी मैच के दौरान, यदि गेंद किसी पत्थर पर गिरती है और पत्थर गिर जाता है, लेकिन गेंद ऐसी जगह गिरती है, जहां से उसे वापस लाना मुश्किल है, तो क्या होगा?</v>
      </c>
      <c r="H340" s="5" t="str">
        <f>IFERROR(__xludf.DUMMYFUNCTION("GOOGLETRANSLATE(C340, ""en"", ""hi"")"),"A)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f>
        <v>A) पत्थर गिरा रहता है और बचाव करने वाली टीम को अगला पत्थर फेंकने का मौका मिलता है। , B) पत्थर वापस आ जाता है और खेल जारी रहता है। , C) हमला करने वाली टीम को एक और मौका मिलता है। , D) खेल रोक दिया जाता है।</v>
      </c>
      <c r="I340" s="5" t="str">
        <f>IFERROR(__xludf.DUMMYFUNCTION("GOOGLETRANSLATE(D340,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41" ht="22.5" customHeight="1">
      <c r="A341" s="2">
        <v>340.0</v>
      </c>
      <c r="B341" s="3" t="s">
        <v>4479</v>
      </c>
      <c r="C341" s="3" t="s">
        <v>4442</v>
      </c>
      <c r="D341" s="3" t="s">
        <v>4443</v>
      </c>
      <c r="F341" s="5" t="str">
        <f>IFERROR(__xludf.DUMMYFUNCTION("GOOGLETRANSLATE(A341, ""en"", ""hi"")"),"340")</f>
        <v>340</v>
      </c>
      <c r="G341" s="5" t="str">
        <f>IFERROR(__xludf.DUMMYFUNCTION("GOOGLETRANSLATE(B341, ""en"", ""hi"")"),"यदि गेंद किसी पत्थर पर गिरती है और पत्थर गिर जाता है, लेकिन गेंद ऐसी स्थिति में गिरती है जहां से उसे आसानी से वापस नहीं लाया जा सकता, तो क्या किया जाना चाहिए?")</f>
        <v>यदि गेंद किसी पत्थर पर गिरती है और पत्थर गिर जाता है, लेकिन गेंद ऐसी स्थिति में गिरती है जहां से उसे आसानी से वापस नहीं लाया जा सकता, तो क्या किया जाना चाहिए?</v>
      </c>
      <c r="H341" s="5" t="str">
        <f>IFERROR(__xludf.DUMMYFUNCTION("GOOGLETRANSLATE(C341,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41" s="5" t="str">
        <f>IFERROR(__xludf.DUMMYFUNCTION("GOOGLETRANSLATE(D341, ""en"", ""hi"")"),"A) पत्थर नीचे गिर जाता है और आक्रमणकारी टीम अपनी बारी खो देती है।")</f>
        <v>A) पत्थर नीचे गिर जाता है और आक्रमणकारी टीम अपनी बारी खो देती है।</v>
      </c>
    </row>
    <row r="342" ht="22.5" customHeight="1">
      <c r="A342" s="2">
        <v>341.0</v>
      </c>
      <c r="B342" s="3" t="s">
        <v>4480</v>
      </c>
      <c r="C342" s="3" t="s">
        <v>4459</v>
      </c>
      <c r="D342" s="3" t="s">
        <v>4038</v>
      </c>
      <c r="F342" s="5" t="str">
        <f>IFERROR(__xludf.DUMMYFUNCTION("GOOGLETRANSLATE(A342, ""en"", ""hi"")"),"341")</f>
        <v>341</v>
      </c>
      <c r="G342" s="5" t="str">
        <f>IFERROR(__xludf.DUMMYFUNCTION("GOOGLETRANSLATE(B342, ""en"", ""hi"")"),"लागोरी में यदि गेंद पत्थर पर गिरती है, लेकिन पत्थर नीचे नहीं गिरता, तो क्या करना चाहिए?")</f>
        <v>लागोरी में यदि गेंद पत्थर पर गिरती है, लेकिन पत्थर नीचे नहीं गिरता, तो क्या करना चाहिए?</v>
      </c>
      <c r="H342" s="5" t="str">
        <f>IFERROR(__xludf.DUMMYFUNCTION("GOOGLETRANSLATE(C342,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42" s="5" t="str">
        <f>IFERROR(__xludf.DUMMYFUNCTION("GOOGLETRANSLATE(D342, ""en"", ""hi"")"),"A) आक्रमणकारी टीम अपनी बारी जारी रखती है।")</f>
        <v>A) आक्रमणकारी टीम अपनी बारी जारी रखती है।</v>
      </c>
    </row>
    <row r="343" ht="22.5" customHeight="1">
      <c r="A343" s="2">
        <v>342.0</v>
      </c>
      <c r="B343" s="3" t="s">
        <v>4481</v>
      </c>
      <c r="C343" s="3" t="s">
        <v>4383</v>
      </c>
      <c r="D343" s="3" t="s">
        <v>4384</v>
      </c>
      <c r="F343" s="5" t="str">
        <f>IFERROR(__xludf.DUMMYFUNCTION("GOOGLETRANSLATE(A343, ""en"", ""hi"")"),"342")</f>
        <v>342</v>
      </c>
      <c r="G343" s="5" t="str">
        <f>IFERROR(__xludf.DUMMYFUNCTION("GOOGLETRANSLATE(B343, ""en"", ""hi"")"),"लागोरी मैच के दौरान, यदि गेंद पत्थर से टकराकर खेल क्षेत्र के बाहर गिर जाए, तो आगे क्या होगा?")</f>
        <v>लागोरी मैच के दौरान, यदि गेंद पत्थर से टकराकर खेल क्षेत्र के बाहर गिर जाए, तो आगे क्या होगा?</v>
      </c>
      <c r="H343" s="5" t="str">
        <f>IFERROR(__xludf.DUMMYFUNCTION("GOOGLETRANSLATE(C343,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43" s="5" t="str">
        <f>IFERROR(__xludf.DUMMYFUNCTION("GOOGLETRANSLATE(D343,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44" ht="22.5" customHeight="1">
      <c r="A344" s="2">
        <v>343.0</v>
      </c>
      <c r="B344" s="3" t="s">
        <v>4482</v>
      </c>
      <c r="C344" s="3" t="s">
        <v>4459</v>
      </c>
      <c r="D344" s="3" t="s">
        <v>4038</v>
      </c>
      <c r="F344" s="5" t="str">
        <f>IFERROR(__xludf.DUMMYFUNCTION("GOOGLETRANSLATE(A344, ""en"", ""hi"")"),"343")</f>
        <v>343</v>
      </c>
      <c r="G344" s="5" t="str">
        <f>IFERROR(__xludf.DUMMYFUNCTION("GOOGLETRANSLATE(B344, ""en"", ""hi"")"),"यदि गेंद फेंकी जाए और वह पत्थर पर गिरे, लेकिन पत्थर नीचे न गिरे, तो आगे क्या होगा?")</f>
        <v>यदि गेंद फेंकी जाए और वह पत्थर पर गिरे, लेकिन पत्थर नीचे न गिरे, तो आगे क्या होगा?</v>
      </c>
      <c r="H344" s="5" t="str">
        <f>IFERROR(__xludf.DUMMYFUNCTION("GOOGLETRANSLATE(C344,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44" s="5" t="str">
        <f>IFERROR(__xludf.DUMMYFUNCTION("GOOGLETRANSLATE(D344, ""en"", ""hi"")"),"A) आक्रमणकारी टीम अपनी बारी जारी रखती है।")</f>
        <v>A) आक्रमणकारी टीम अपनी बारी जारी रखती है।</v>
      </c>
    </row>
    <row r="345" ht="22.5" customHeight="1">
      <c r="A345" s="2">
        <v>344.0</v>
      </c>
      <c r="B345" s="3" t="s">
        <v>4483</v>
      </c>
      <c r="C345" s="3" t="s">
        <v>4383</v>
      </c>
      <c r="D345" s="3" t="s">
        <v>4384</v>
      </c>
      <c r="F345" s="5" t="str">
        <f>IFERROR(__xludf.DUMMYFUNCTION("GOOGLETRANSLATE(A345, ""en"", ""hi"")"),"344")</f>
        <v>344</v>
      </c>
      <c r="G345" s="5" t="str">
        <f>IFERROR(__xludf.DUMMYFUNCTION("GOOGLETRANSLATE(B345, ""en"", ""hi"")"),"लागोरी में, यदि गेंद किसी पत्थर से टकराती है और पत्थर नीचे गिर जाता है, लेकिन गेंद खेल क्षेत्र के बाहर गिरती है, तो क्या किया जाना चाहिए?")</f>
        <v>लागोरी में, यदि गेंद किसी पत्थर से टकराती है और पत्थर नीचे गिर जाता है, लेकिन गेंद खेल क्षेत्र के बाहर गिरती है, तो क्या किया जाना चाहिए?</v>
      </c>
      <c r="H345" s="5" t="str">
        <f>IFERROR(__xludf.DUMMYFUNCTION("GOOGLETRANSLATE(C345,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45" s="5" t="str">
        <f>IFERROR(__xludf.DUMMYFUNCTION("GOOGLETRANSLATE(D345,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46" ht="22.5" customHeight="1">
      <c r="A346" s="2">
        <v>345.0</v>
      </c>
      <c r="B346" s="3" t="s">
        <v>4484</v>
      </c>
      <c r="C346" s="3" t="s">
        <v>4437</v>
      </c>
      <c r="D346" s="3" t="s">
        <v>4038</v>
      </c>
      <c r="F346" s="5" t="str">
        <f>IFERROR(__xludf.DUMMYFUNCTION("GOOGLETRANSLATE(A346, ""en"", ""hi"")"),"345")</f>
        <v>345</v>
      </c>
      <c r="G346" s="5" t="str">
        <f>IFERROR(__xludf.DUMMYFUNCTION("GOOGLETRANSLATE(B346, ""en"", ""hi"")"),"यदि बचाव करने वाली टीम का कोई खिलाड़ी गेंद लेकर फेंकता है और वह पत्थर पर लगती है, लेकिन लक्ष्य से चूक जाती है, तो आगे क्या होगा?")</f>
        <v>यदि बचाव करने वाली टीम का कोई खिलाड़ी गेंद लेकर फेंकता है और वह पत्थर पर लगती है, लेकिन लक्ष्य से चूक जाती है, तो आगे क्या होगा?</v>
      </c>
      <c r="H346" s="5" t="str">
        <f>IFERROR(__xludf.DUMMYFUNCTION("GOOGLETRANSLATE(C346, ""en"", ""hi"")"),"A) आक्रमणकारी टीम अपनी बारी जारी रखती है। , B) बचाव करने वाली टीम को एक और बारी मिलती है। , C) खेल रोक दिया जाता है। , D) गेंद को बदल दिया जाता है।")</f>
        <v>A) आक्रमणकारी टीम अपनी बारी जारी रखती है। , B) बचाव करने वाली टीम को एक और बारी मिलती है। , C) खेल रोक दिया जाता है। , D) गेंद को बदल दिया जाता है।</v>
      </c>
      <c r="I346" s="5" t="str">
        <f>IFERROR(__xludf.DUMMYFUNCTION("GOOGLETRANSLATE(D346, ""en"", ""hi"")"),"A) आक्रमणकारी टीम अपनी बारी जारी रखती है।")</f>
        <v>A) आक्रमणकारी टीम अपनी बारी जारी रखती है।</v>
      </c>
    </row>
    <row r="347" ht="22.5" customHeight="1">
      <c r="A347" s="2">
        <v>346.0</v>
      </c>
      <c r="B347" s="3" t="s">
        <v>4485</v>
      </c>
      <c r="C347" s="3" t="s">
        <v>4459</v>
      </c>
      <c r="D347" s="3" t="s">
        <v>4038</v>
      </c>
      <c r="F347" s="5" t="str">
        <f>IFERROR(__xludf.DUMMYFUNCTION("GOOGLETRANSLATE(A347, ""en"", ""hi"")"),"346")</f>
        <v>346</v>
      </c>
      <c r="G347" s="5" t="str">
        <f>IFERROR(__xludf.DUMMYFUNCTION("GOOGLETRANSLATE(B347, ""en"", ""hi"")"),"लागोरी मैच के दौरान यदि गेंद पत्थर पर गिरती है, लेकिन पत्थर नीचे नहीं गिरता, तो क्या करना चाहिए?")</f>
        <v>लागोरी मैच के दौरान यदि गेंद पत्थर पर गिरती है, लेकिन पत्थर नीचे नहीं गिरता, तो क्या करना चाहिए?</v>
      </c>
      <c r="H347" s="5" t="str">
        <f>IFERROR(__xludf.DUMMYFUNCTION("GOOGLETRANSLATE(C347,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47" s="5" t="str">
        <f>IFERROR(__xludf.DUMMYFUNCTION("GOOGLETRANSLATE(D347, ""en"", ""hi"")"),"A) आक्रमणकारी टीम अपनी बारी जारी रखती है।")</f>
        <v>A) आक्रमणकारी टीम अपनी बारी जारी रखती है।</v>
      </c>
    </row>
    <row r="348" ht="22.5" customHeight="1">
      <c r="A348" s="2">
        <v>347.0</v>
      </c>
      <c r="B348" s="3" t="s">
        <v>4486</v>
      </c>
      <c r="C348" s="3" t="s">
        <v>4442</v>
      </c>
      <c r="D348" s="3" t="s">
        <v>4443</v>
      </c>
      <c r="F348" s="5" t="str">
        <f>IFERROR(__xludf.DUMMYFUNCTION("GOOGLETRANSLATE(A348, ""en"", ""hi"")"),"347")</f>
        <v>347</v>
      </c>
      <c r="G348" s="5" t="str">
        <f>IFERROR(__xludf.DUMMYFUNCTION("GOOGLETRANSLATE(B348, ""en"", ""hi"")"),"लागोरी में यदि कोई पत्थर गिरा दिया जाए और गेंद ऐसी जगह गिरे जहां से उसे वापस लाना मुश्किल हो जाए तो क्या नियम है?")</f>
        <v>लागोरी में यदि कोई पत्थर गिरा दिया जाए और गेंद ऐसी जगह गिरे जहां से उसे वापस लाना मुश्किल हो जाए तो क्या नियम है?</v>
      </c>
      <c r="H348" s="5" t="str">
        <f>IFERROR(__xludf.DUMMYFUNCTION("GOOGLETRANSLATE(C348,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48" s="5" t="str">
        <f>IFERROR(__xludf.DUMMYFUNCTION("GOOGLETRANSLATE(D348, ""en"", ""hi"")"),"A) पत्थर नीचे गिर जाता है और आक्रमणकारी टीम अपनी बारी खो देती है।")</f>
        <v>A) पत्थर नीचे गिर जाता है और आक्रमणकारी टीम अपनी बारी खो देती है।</v>
      </c>
    </row>
    <row r="349" ht="22.5" customHeight="1">
      <c r="A349" s="2">
        <v>348.0</v>
      </c>
      <c r="B349" s="3" t="s">
        <v>4487</v>
      </c>
      <c r="C349" s="3" t="s">
        <v>4383</v>
      </c>
      <c r="D349" s="3" t="s">
        <v>4384</v>
      </c>
      <c r="F349" s="5" t="str">
        <f>IFERROR(__xludf.DUMMYFUNCTION("GOOGLETRANSLATE(A349, ""en"", ""hi"")"),"348")</f>
        <v>348</v>
      </c>
      <c r="G349" s="5" t="str">
        <f>IFERROR(__xludf.DUMMYFUNCTION("GOOGLETRANSLATE(B349, ""en"", ""hi"")"),"यदि आक्रमणकारी टीम का कोई खिलाड़ी गेंद फेंकता है और वह पत्थर पर गिरती है, जिससे वह गिर जाता है, लेकिन गेंद खेल क्षेत्र के बाहर गिरती है, तो आगे क्या होगा?")</f>
        <v>यदि आक्रमणकारी टीम का कोई खिलाड़ी गेंद फेंकता है और वह पत्थर पर गिरती है, जिससे वह गिर जाता है, लेकिन गेंद खेल क्षेत्र के बाहर गिरती है, तो आगे क्या होगा?</v>
      </c>
      <c r="H349" s="5" t="str">
        <f>IFERROR(__xludf.DUMMYFUNCTION("GOOGLETRANSLATE(C349,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49" s="5" t="str">
        <f>IFERROR(__xludf.DUMMYFUNCTION("GOOGLETRANSLATE(D349,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50" ht="22.5" customHeight="1">
      <c r="A350" s="2">
        <v>349.0</v>
      </c>
      <c r="B350" s="3" t="s">
        <v>4488</v>
      </c>
      <c r="C350" s="3" t="s">
        <v>4459</v>
      </c>
      <c r="D350" s="3" t="s">
        <v>4038</v>
      </c>
      <c r="F350" s="5" t="str">
        <f>IFERROR(__xludf.DUMMYFUNCTION("GOOGLETRANSLATE(A350, ""en"", ""hi"")"),"349")</f>
        <v>349</v>
      </c>
      <c r="G350" s="5" t="str">
        <f>IFERROR(__xludf.DUMMYFUNCTION("GOOGLETRANSLATE(B350, ""en"", ""hi"")"),"लागोरी मैच के दौरान यदि कोई खिलाड़ी गेंद फेंकता है और वह पत्थर पर गिरती है, लेकिन पत्थर नीचे नहीं गिरता, तो क्या किया जाना चाहिए?")</f>
        <v>लागोरी मैच के दौरान यदि कोई खिलाड़ी गेंद फेंकता है और वह पत्थर पर गिरती है, लेकिन पत्थर नीचे नहीं गिरता, तो क्या किया जाना चाहिए?</v>
      </c>
      <c r="H350" s="5" t="str">
        <f>IFERROR(__xludf.DUMMYFUNCTION("GOOGLETRANSLATE(C350,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50" s="5" t="str">
        <f>IFERROR(__xludf.DUMMYFUNCTION("GOOGLETRANSLATE(D350, ""en"", ""hi"")"),"A) आक्रमणकारी टीम अपनी बारी जारी रखती है।")</f>
        <v>A) आक्रमणकारी टीम अपनी बारी जारी रखती है।</v>
      </c>
    </row>
    <row r="351" ht="22.5" customHeight="1">
      <c r="A351" s="2">
        <v>350.0</v>
      </c>
      <c r="B351" s="3" t="s">
        <v>4489</v>
      </c>
      <c r="C351" s="3" t="s">
        <v>4459</v>
      </c>
      <c r="D351" s="3" t="s">
        <v>4038</v>
      </c>
      <c r="F351" s="5" t="str">
        <f>IFERROR(__xludf.DUMMYFUNCTION("GOOGLETRANSLATE(A351, ""en"", ""hi"")"),"350")</f>
        <v>350</v>
      </c>
      <c r="G351" s="5" t="str">
        <f>IFERROR(__xludf.DUMMYFUNCTION("GOOGLETRANSLATE(B351, ""en"", ""hi"")"),"लागोरी में, यदि गेंद पत्थर पर गिरती है, लेकिन पत्थर नीचे नहीं गिरता है, तो सही क्रिया क्या होगी?")</f>
        <v>लागोरी में, यदि गेंद पत्थर पर गिरती है, लेकिन पत्थर नीचे नहीं गिरता है, तो सही क्रिया क्या होगी?</v>
      </c>
      <c r="H351" s="5" t="str">
        <f>IFERROR(__xludf.DUMMYFUNCTION("GOOGLETRANSLATE(C351,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51" s="5" t="str">
        <f>IFERROR(__xludf.DUMMYFUNCTION("GOOGLETRANSLATE(D351, ""en"", ""hi"")"),"A) आक्रमणकारी टीम अपनी बारी जारी रखती है।")</f>
        <v>A) आक्रमणकारी टीम अपनी बारी जारी रखती है।</v>
      </c>
    </row>
    <row r="352" ht="22.5" customHeight="1">
      <c r="A352" s="2">
        <v>351.0</v>
      </c>
      <c r="B352" s="3" t="s">
        <v>4475</v>
      </c>
      <c r="C352" s="3" t="s">
        <v>4476</v>
      </c>
      <c r="D352" s="3" t="s">
        <v>4477</v>
      </c>
      <c r="F352" s="5" t="str">
        <f>IFERROR(__xludf.DUMMYFUNCTION("GOOGLETRANSLATE(A352, ""en"", ""hi"")"),"351")</f>
        <v>351</v>
      </c>
      <c r="G352" s="5" t="str">
        <f>IFERROR(__xludf.DUMMYFUNCTION("GOOGLETRANSLATE(B352, ""en"", ""hi"")"),"यदि किसी खिलाड़ी की चोट के कारण लागोरी मैच बाधित होता है, तो सामान्य प्रक्रिया क्या होती है?")</f>
        <v>यदि किसी खिलाड़ी की चोट के कारण लागोरी मैच बाधित होता है, तो सामान्य प्रक्रिया क्या होती है?</v>
      </c>
      <c r="H352" s="5" t="str">
        <f>IFERROR(__xludf.DUMMYFUNCTION("GOOGLETRANSLATE(C352,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352" s="5" t="str">
        <f>IFERROR(__xludf.DUMMYFUNCTION("GOOGLETRANSLATE(D352, ""en"", ""hi"")"),"A) जब तक खिलाड़ी को चिकित्सा सहायता नहीं मिल जाती, तब तक खेल रोक दिया जाता है।")</f>
        <v>A) जब तक खिलाड़ी को चिकित्सा सहायता नहीं मिल जाती, तब तक खेल रोक दिया जाता है।</v>
      </c>
    </row>
    <row r="353" ht="22.5" customHeight="1">
      <c r="A353" s="2">
        <v>352.0</v>
      </c>
      <c r="B353" s="3" t="s">
        <v>4485</v>
      </c>
      <c r="C353" s="3" t="s">
        <v>4459</v>
      </c>
      <c r="D353" s="3" t="s">
        <v>4038</v>
      </c>
      <c r="F353" s="5" t="str">
        <f>IFERROR(__xludf.DUMMYFUNCTION("GOOGLETRANSLATE(A353, ""en"", ""hi"")"),"352")</f>
        <v>352</v>
      </c>
      <c r="G353" s="5" t="str">
        <f>IFERROR(__xludf.DUMMYFUNCTION("GOOGLETRANSLATE(B353, ""en"", ""hi"")"),"लागोरी मैच के दौरान यदि गेंद पत्थर पर गिरती है, लेकिन पत्थर नीचे नहीं गिरता, तो क्या करना चाहिए?")</f>
        <v>लागोरी मैच के दौरान यदि गेंद पत्थर पर गिरती है, लेकिन पत्थर नीचे नहीं गिरता, तो क्या करना चाहिए?</v>
      </c>
      <c r="H353" s="5" t="str">
        <f>IFERROR(__xludf.DUMMYFUNCTION("GOOGLETRANSLATE(C353,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53" s="5" t="str">
        <f>IFERROR(__xludf.DUMMYFUNCTION("GOOGLETRANSLATE(D353, ""en"", ""hi"")"),"A) आक्रमणकारी टीम अपनी बारी जारी रखती है।")</f>
        <v>A) आक्रमणकारी टीम अपनी बारी जारी रखती है।</v>
      </c>
    </row>
    <row r="354" ht="22.5" customHeight="1">
      <c r="A354" s="2">
        <v>353.0</v>
      </c>
      <c r="B354" s="3" t="s">
        <v>4483</v>
      </c>
      <c r="C354" s="3" t="s">
        <v>4383</v>
      </c>
      <c r="D354" s="3" t="s">
        <v>4384</v>
      </c>
      <c r="F354" s="5" t="str">
        <f>IFERROR(__xludf.DUMMYFUNCTION("GOOGLETRANSLATE(A354, ""en"", ""hi"")"),"353")</f>
        <v>353</v>
      </c>
      <c r="G354" s="5" t="str">
        <f>IFERROR(__xludf.DUMMYFUNCTION("GOOGLETRANSLATE(B354, ""en"", ""hi"")"),"लागोरी में, यदि गेंद किसी पत्थर से टकराती है और पत्थर नीचे गिर जाता है, लेकिन गेंद खेल क्षेत्र के बाहर गिरती है, तो क्या किया जाना चाहिए?")</f>
        <v>लागोरी में, यदि गेंद किसी पत्थर से टकराती है और पत्थर नीचे गिर जाता है, लेकिन गेंद खेल क्षेत्र के बाहर गिरती है, तो क्या किया जाना चाहिए?</v>
      </c>
      <c r="H354" s="5" t="str">
        <f>IFERROR(__xludf.DUMMYFUNCTION("GOOGLETRANSLATE(C354,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54" s="5" t="str">
        <f>IFERROR(__xludf.DUMMYFUNCTION("GOOGLETRANSLATE(D354,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55" ht="22.5" customHeight="1">
      <c r="A355" s="2">
        <v>354.0</v>
      </c>
      <c r="B355" s="3" t="s">
        <v>4490</v>
      </c>
      <c r="C355" s="3" t="s">
        <v>4383</v>
      </c>
      <c r="D355" s="3" t="s">
        <v>4384</v>
      </c>
      <c r="F355" s="5" t="str">
        <f>IFERROR(__xludf.DUMMYFUNCTION("GOOGLETRANSLATE(A355, ""en"", ""hi"")"),"354")</f>
        <v>354</v>
      </c>
      <c r="G355" s="5" t="str">
        <f>IFERROR(__xludf.DUMMYFUNCTION("GOOGLETRANSLATE(B355, ""en"", ""hi"")"),"यदि गेंद पत्थर से टकराकर खेल क्षेत्र के बाहर गिर जाए तो आगे क्या होगा?")</f>
        <v>यदि गेंद पत्थर से टकराकर खेल क्षेत्र के बाहर गिर जाए तो आगे क्या होगा?</v>
      </c>
      <c r="H355" s="5" t="str">
        <f>IFERROR(__xludf.DUMMYFUNCTION("GOOGLETRANSLATE(C355,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55" s="5" t="str">
        <f>IFERROR(__xludf.DUMMYFUNCTION("GOOGLETRANSLATE(D355,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56" ht="22.5" customHeight="1">
      <c r="A356" s="2">
        <v>355.0</v>
      </c>
      <c r="B356" s="3" t="s">
        <v>4491</v>
      </c>
      <c r="C356" s="3" t="s">
        <v>4442</v>
      </c>
      <c r="D356" s="3" t="s">
        <v>4443</v>
      </c>
      <c r="F356" s="5" t="str">
        <f>IFERROR(__xludf.DUMMYFUNCTION("GOOGLETRANSLATE(A356, ""en"", ""hi"")"),"355")</f>
        <v>355</v>
      </c>
      <c r="G356" s="5" t="str">
        <f>IFERROR(__xludf.DUMMYFUNCTION("GOOGLETRANSLATE(B356, ""en"", ""hi"")"),"लागोरी मैच के दौरान, यदि गेंद किसी पत्थर पर गिरती है और पत्थर गिर जाता है, लेकिन गेंद किसी ऐसे स्थान पर गिरती है जिसे वापस पाना कठिन है, तो क्या किया जाना चाहिए?")</f>
        <v>लागोरी मैच के दौरान, यदि गेंद किसी पत्थर पर गिरती है और पत्थर गिर जाता है, लेकिन गेंद किसी ऐसे स्थान पर गिरती है जिसे वापस पाना कठिन है, तो क्या किया जाना चाहिए?</v>
      </c>
      <c r="H356" s="5" t="str">
        <f>IFERROR(__xludf.DUMMYFUNCTION("GOOGLETRANSLATE(C356,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56" s="5" t="str">
        <f>IFERROR(__xludf.DUMMYFUNCTION("GOOGLETRANSLATE(D356, ""en"", ""hi"")"),"A) पत्थर नीचे गिर जाता है और आक्रमणकारी टीम अपनी बारी खो देती है।")</f>
        <v>A) पत्थर नीचे गिर जाता है और आक्रमणकारी टीम अपनी बारी खो देती है।</v>
      </c>
    </row>
    <row r="357" ht="22.5" customHeight="1">
      <c r="A357" s="2">
        <v>356.0</v>
      </c>
      <c r="B357" s="3" t="s">
        <v>4492</v>
      </c>
      <c r="C357" s="3" t="s">
        <v>4459</v>
      </c>
      <c r="D357" s="3" t="s">
        <v>4038</v>
      </c>
      <c r="F357" s="5" t="str">
        <f>IFERROR(__xludf.DUMMYFUNCTION("GOOGLETRANSLATE(A357, ""en"", ""hi"")"),"356")</f>
        <v>356</v>
      </c>
      <c r="G357" s="5" t="str">
        <f>IFERROR(__xludf.DUMMYFUNCTION("GOOGLETRANSLATE(B357, ""en"", ""hi"")"),"यदि आक्रमणकारी टीम का कोई खिलाड़ी गेंद फेंकता है और वह पत्थर पर गिरती है, लेकिन पत्थर उसे गिराता नहीं है, तो आगे क्या होगा?")</f>
        <v>यदि आक्रमणकारी टीम का कोई खिलाड़ी गेंद फेंकता है और वह पत्थर पर गिरती है, लेकिन पत्थर उसे गिराता नहीं है, तो आगे क्या होगा?</v>
      </c>
      <c r="H357" s="5" t="str">
        <f>IFERROR(__xludf.DUMMYFUNCTION("GOOGLETRANSLATE(C357,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57" s="5" t="str">
        <f>IFERROR(__xludf.DUMMYFUNCTION("GOOGLETRANSLATE(D357, ""en"", ""hi"")"),"A) आक्रमणकारी टीम अपनी बारी जारी रखती है।")</f>
        <v>A) आक्रमणकारी टीम अपनी बारी जारी रखती है।</v>
      </c>
    </row>
    <row r="358" ht="22.5" customHeight="1">
      <c r="A358" s="2">
        <v>357.0</v>
      </c>
      <c r="B358" s="3" t="s">
        <v>4493</v>
      </c>
      <c r="C358" s="3" t="s">
        <v>4442</v>
      </c>
      <c r="D358" s="3" t="s">
        <v>4443</v>
      </c>
      <c r="F358" s="5" t="str">
        <f>IFERROR(__xludf.DUMMYFUNCTION("GOOGLETRANSLATE(A358, ""en"", ""hi"")"),"357")</f>
        <v>357</v>
      </c>
      <c r="G358" s="5" t="str">
        <f>IFERROR(__xludf.DUMMYFUNCTION("GOOGLETRANSLATE(B358, ""en"", ""hi"")"),"लागोरी में, यदि गेंद किसी पत्थर पर गिरती है और पत्थर गिर जाता है, लेकिन गेंद ऐसी स्थिति में गिरती है जहां से उसे वापस लाना कठिन हो, तो क्या किया जाना चाहिए?")</f>
        <v>लागोरी में, यदि गेंद किसी पत्थर पर गिरती है और पत्थर गिर जाता है, लेकिन गेंद ऐसी स्थिति में गिरती है जहां से उसे वापस लाना कठिन हो, तो क्या किया जाना चाहिए?</v>
      </c>
      <c r="H358" s="5" t="str">
        <f>IFERROR(__xludf.DUMMYFUNCTION("GOOGLETRANSLATE(C358,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58" s="5" t="str">
        <f>IFERROR(__xludf.DUMMYFUNCTION("GOOGLETRANSLATE(D358, ""en"", ""hi"")"),"A) पत्थर नीचे गिर जाता है और आक्रमणकारी टीम अपनी बारी खो देती है।")</f>
        <v>A) पत्थर नीचे गिर जाता है और आक्रमणकारी टीम अपनी बारी खो देती है।</v>
      </c>
    </row>
    <row r="359" ht="22.5" customHeight="1">
      <c r="A359" s="2">
        <v>358.0</v>
      </c>
      <c r="B359" s="3" t="s">
        <v>4455</v>
      </c>
      <c r="C359" s="3" t="s">
        <v>4383</v>
      </c>
      <c r="D359" s="3" t="s">
        <v>4384</v>
      </c>
      <c r="F359" s="5" t="str">
        <f>IFERROR(__xludf.DUMMYFUNCTION("GOOGLETRANSLATE(A359, ""en"", ""hi"")"),"358")</f>
        <v>358</v>
      </c>
      <c r="G359" s="5" t="str">
        <f>IFERROR(__xludf.DUMMYFUNCTION("GOOGLETRANSLATE(B359, ""en"", ""hi"")"),"लागोरी मैच के दौरान यदि गेंद पत्थर से टकराकर खेल क्षेत्र के बाहर गिरती है तो क्या नियम है?")</f>
        <v>लागोरी मैच के दौरान यदि गेंद पत्थर से टकराकर खेल क्षेत्र के बाहर गिरती है तो क्या नियम है?</v>
      </c>
      <c r="H359" s="5" t="str">
        <f>IFERROR(__xludf.DUMMYFUNCTION("GOOGLETRANSLATE(C359,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59" s="5" t="str">
        <f>IFERROR(__xludf.DUMMYFUNCTION("GOOGLETRANSLATE(D359,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60" ht="22.5" customHeight="1">
      <c r="A360" s="2">
        <v>359.0</v>
      </c>
      <c r="B360" s="3" t="s">
        <v>4494</v>
      </c>
      <c r="C360" s="3" t="s">
        <v>4383</v>
      </c>
      <c r="D360" s="3" t="s">
        <v>4384</v>
      </c>
      <c r="F360" s="5" t="str">
        <f>IFERROR(__xludf.DUMMYFUNCTION("GOOGLETRANSLATE(A360, ""en"", ""hi"")"),"359")</f>
        <v>359</v>
      </c>
      <c r="G360" s="5" t="str">
        <f>IFERROR(__xludf.DUMMYFUNCTION("GOOGLETRANSLATE(B360, ""en"", ""hi"")"),"यदि गेंद को फेंका जाए और वह पत्थर पर गिर जाए, जिससे वह गिर जाए, लेकिन गेंद खेल क्षेत्र के बाहर गिरे, तो आगे क्या होगा?")</f>
        <v>यदि गेंद को फेंका जाए और वह पत्थर पर गिर जाए, जिससे वह गिर जाए, लेकिन गेंद खेल क्षेत्र के बाहर गिरे, तो आगे क्या होगा?</v>
      </c>
      <c r="H360" s="5" t="str">
        <f>IFERROR(__xludf.DUMMYFUNCTION("GOOGLETRANSLATE(C360,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60" s="5" t="str">
        <f>IFERROR(__xludf.DUMMYFUNCTION("GOOGLETRANSLATE(D360,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61" ht="22.5" customHeight="1">
      <c r="A361" s="2">
        <v>360.0</v>
      </c>
      <c r="B361" s="3" t="s">
        <v>4495</v>
      </c>
      <c r="C361" s="3" t="s">
        <v>4442</v>
      </c>
      <c r="D361" s="3" t="s">
        <v>4443</v>
      </c>
      <c r="F361" s="5" t="str">
        <f>IFERROR(__xludf.DUMMYFUNCTION("GOOGLETRANSLATE(A361, ""en"", ""hi"")"),"360")</f>
        <v>360</v>
      </c>
      <c r="G361" s="5" t="str">
        <f>IFERROR(__xludf.DUMMYFUNCTION("GOOGLETRANSLATE(B361, ""en"", ""hi"")"),"लागोरी में, यदि कोई पत्थर गिरा दिया जाए और गेंद ऐसी जगह गिरे जहां से उसे वापस लाना कठिन हो जाए, तो सही कार्रवाई क्या होगी?")</f>
        <v>लागोरी में, यदि कोई पत्थर गिरा दिया जाए और गेंद ऐसी जगह गिरे जहां से उसे वापस लाना कठिन हो जाए, तो सही कार्रवाई क्या होगी?</v>
      </c>
      <c r="H361" s="5" t="str">
        <f>IFERROR(__xludf.DUMMYFUNCTION("GOOGLETRANSLATE(C361,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61" s="5" t="str">
        <f>IFERROR(__xludf.DUMMYFUNCTION("GOOGLETRANSLATE(D361, ""en"", ""hi"")"),"A) पत्थर नीचे गिर जाता है और आक्रमणकारी टीम अपनी बारी खो देती है।")</f>
        <v>A) पत्थर नीचे गिर जाता है और आक्रमणकारी टीम अपनी बारी खो देती है।</v>
      </c>
    </row>
    <row r="362" ht="22.5" customHeight="1">
      <c r="A362" s="2">
        <v>361.0</v>
      </c>
      <c r="B362" s="3" t="s">
        <v>4202</v>
      </c>
      <c r="C362" s="3" t="s">
        <v>4451</v>
      </c>
      <c r="D362" s="3" t="s">
        <v>4452</v>
      </c>
      <c r="F362" s="5" t="str">
        <f>IFERROR(__xludf.DUMMYFUNCTION("GOOGLETRANSLATE(A362, ""en"", ""hi"")"),"361")</f>
        <v>361</v>
      </c>
      <c r="G362" s="5" t="str">
        <f>IFERROR(__xludf.DUMMYFUNCTION("GOOGLETRANSLATE(B362, ""en"", ""hi"")"),"लागोरी मैच के दौरान, यदि बचाव करने वाली टीम का कोई खिलाड़ी गेंद को जमीन पर गिरने से पहले पकड़ लेता है, तो नियम क्या है?")</f>
        <v>लागोरी मैच के दौरान, यदि बचाव करने वाली टीम का कोई खिलाड़ी गेंद को जमीन पर गिरने से पहले पकड़ लेता है, तो नियम क्या है?</v>
      </c>
      <c r="H362" s="5" t="str">
        <f>IFERROR(__xludf.DUMMYFUNCTION("GOOGLETRANSLATE(C362,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362" s="5" t="str">
        <f>IFERROR(__xludf.DUMMYFUNCTION("GOOGLETRANSLATE(D362, ""en"", ""hi"")"),"A) बचाव करने वाली टीम को अगला थ्रो करने का मौका मिलता है।")</f>
        <v>A) बचाव करने वाली टीम को अगला थ्रो करने का मौका मिलता है।</v>
      </c>
    </row>
    <row r="363" ht="22.5" customHeight="1">
      <c r="A363" s="2">
        <v>362.0</v>
      </c>
      <c r="B363" s="3" t="s">
        <v>4468</v>
      </c>
      <c r="C363" s="3" t="s">
        <v>4383</v>
      </c>
      <c r="D363" s="3" t="s">
        <v>4384</v>
      </c>
      <c r="F363" s="5" t="str">
        <f>IFERROR(__xludf.DUMMYFUNCTION("GOOGLETRANSLATE(A363, ""en"", ""hi"")"),"362")</f>
        <v>362</v>
      </c>
      <c r="G363" s="5" t="str">
        <f>IFERROR(__xludf.DUMMYFUNCTION("GOOGLETRANSLATE(B363, ""en"", ""hi"")"),"लागोरी में यदि गेंद पत्थर से टकराकर खेल क्षेत्र के बाहर गिर जाए तो क्या करना चाहिए?")</f>
        <v>लागोरी में यदि गेंद पत्थर से टकराकर खेल क्षेत्र के बाहर गिर जाए तो क्या करना चाहिए?</v>
      </c>
      <c r="H363" s="5" t="str">
        <f>IFERROR(__xludf.DUMMYFUNCTION("GOOGLETRANSLATE(C363,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63" s="5" t="str">
        <f>IFERROR(__xludf.DUMMYFUNCTION("GOOGLETRANSLATE(D363,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64" ht="22.5" customHeight="1">
      <c r="A364" s="2">
        <v>363.0</v>
      </c>
      <c r="B364" s="3" t="s">
        <v>4496</v>
      </c>
      <c r="C364" s="3" t="s">
        <v>4419</v>
      </c>
      <c r="D364" s="3" t="s">
        <v>4420</v>
      </c>
      <c r="F364" s="5" t="str">
        <f>IFERROR(__xludf.DUMMYFUNCTION("GOOGLETRANSLATE(A364, ""en"", ""hi"")"),"363")</f>
        <v>363</v>
      </c>
      <c r="G364" s="5" t="str">
        <f>IFERROR(__xludf.DUMMYFUNCTION("GOOGLETRANSLATE(B364, ""en"", ""hi"")"),"यदि किसी छोटी सी समस्या के कारण लागोरी खेल में बाधा उत्पन्न हो, जैसे कि किसी खिलाड़ी को चिकित्सा सहायता की आवश्यकता हो, तो क्या किया जाना चाहिए?")</f>
        <v>यदि किसी छोटी सी समस्या के कारण लागोरी खेल में बाधा उत्पन्न हो, जैसे कि किसी खिलाड़ी को चिकित्सा सहायता की आवश्यकता हो, तो क्या किया जाना चाहिए?</v>
      </c>
      <c r="H364" s="5" t="str">
        <f>IFERROR(__xludf.DUMMYFUNCTION("GOOGLETRANSLATE(C364,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364" s="5" t="str">
        <f>IFERROR(__xludf.DUMMYFUNCTION("GOOGLETRANSLATE(D364, ""en"", ""hi"")"),"A) समस्या का समाधान होने तक खेल को रोक दिया जाता है।")</f>
        <v>A) समस्या का समाधान होने तक खेल को रोक दिया जाता है।</v>
      </c>
    </row>
    <row r="365" ht="22.5" customHeight="1">
      <c r="A365" s="2">
        <v>364.0</v>
      </c>
      <c r="B365" s="3" t="s">
        <v>4497</v>
      </c>
      <c r="C365" s="3" t="s">
        <v>4459</v>
      </c>
      <c r="D365" s="3" t="s">
        <v>4038</v>
      </c>
      <c r="F365" s="5" t="str">
        <f>IFERROR(__xludf.DUMMYFUNCTION("GOOGLETRANSLATE(A365, ""en"", ""hi"")"),"364")</f>
        <v>364</v>
      </c>
      <c r="G365" s="5" t="str">
        <f>IFERROR(__xludf.DUMMYFUNCTION("GOOGLETRANSLATE(B365, ""en"", ""hi"")"),"लागोरी मैच के दौरान यदि गेंद फेंकी जाए और वह पत्थर पर गिरे, लेकिन पत्थर नीचे न गिरे, तो क्या होगा?")</f>
        <v>लागोरी मैच के दौरान यदि गेंद फेंकी जाए और वह पत्थर पर गिरे, लेकिन पत्थर नीचे न गिरे, तो क्या होगा?</v>
      </c>
      <c r="H365" s="5" t="str">
        <f>IFERROR(__xludf.DUMMYFUNCTION("GOOGLETRANSLATE(C365,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65" s="5" t="str">
        <f>IFERROR(__xludf.DUMMYFUNCTION("GOOGLETRANSLATE(D365, ""en"", ""hi"")"),"A) आक्रमणकारी टीम अपनी बारी जारी रखती है।")</f>
        <v>A) आक्रमणकारी टीम अपनी बारी जारी रखती है।</v>
      </c>
    </row>
    <row r="366" ht="22.5" customHeight="1">
      <c r="A366" s="2">
        <v>365.0</v>
      </c>
      <c r="B366" s="3" t="s">
        <v>4493</v>
      </c>
      <c r="C366" s="3" t="s">
        <v>4442</v>
      </c>
      <c r="D366" s="3" t="s">
        <v>4443</v>
      </c>
      <c r="F366" s="5" t="str">
        <f>IFERROR(__xludf.DUMMYFUNCTION("GOOGLETRANSLATE(A366, ""en"", ""hi"")"),"365")</f>
        <v>365</v>
      </c>
      <c r="G366" s="5" t="str">
        <f>IFERROR(__xludf.DUMMYFUNCTION("GOOGLETRANSLATE(B366, ""en"", ""hi"")"),"लागोरी में, यदि गेंद किसी पत्थर पर गिरती है और पत्थर गिर जाता है, लेकिन गेंद ऐसी स्थिति में गिरती है जहां से उसे वापस लाना कठिन हो, तो क्या किया जाना चाहिए?")</f>
        <v>लागोरी में, यदि गेंद किसी पत्थर पर गिरती है और पत्थर गिर जाता है, लेकिन गेंद ऐसी स्थिति में गिरती है जहां से उसे वापस लाना कठिन हो, तो क्या किया जाना चाहिए?</v>
      </c>
      <c r="H366" s="5" t="str">
        <f>IFERROR(__xludf.DUMMYFUNCTION("GOOGLETRANSLATE(C366,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66" s="5" t="str">
        <f>IFERROR(__xludf.DUMMYFUNCTION("GOOGLETRANSLATE(D366, ""en"", ""hi"")"),"A) पत्थर नीचे गिर जाता है और आक्रमणकारी टीम अपनी बारी खो देती है।")</f>
        <v>A) पत्थर नीचे गिर जाता है और आक्रमणकारी टीम अपनी बारी खो देती है।</v>
      </c>
    </row>
    <row r="367" ht="22.5" customHeight="1">
      <c r="A367" s="2">
        <v>366.0</v>
      </c>
      <c r="B367" s="3" t="s">
        <v>4466</v>
      </c>
      <c r="C367" s="3" t="s">
        <v>4459</v>
      </c>
      <c r="D367" s="3" t="s">
        <v>4038</v>
      </c>
      <c r="F367" s="5" t="str">
        <f>IFERROR(__xludf.DUMMYFUNCTION("GOOGLETRANSLATE(A367, ""en"", ""hi"")"),"366")</f>
        <v>366</v>
      </c>
      <c r="G367" s="5" t="str">
        <f>IFERROR(__xludf.DUMMYFUNCTION("GOOGLETRANSLATE(B367, ""en"", ""hi"")"),"यदि गेंद फेंकी जाए और वह पत्थर पर गिरे, लेकिन पत्थर नीचे न गिरे, तो क्या करना चाहिए?")</f>
        <v>यदि गेंद फेंकी जाए और वह पत्थर पर गिरे, लेकिन पत्थर नीचे न गिरे, तो क्या करना चाहिए?</v>
      </c>
      <c r="H367" s="5" t="str">
        <f>IFERROR(__xludf.DUMMYFUNCTION("GOOGLETRANSLATE(C367,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67" s="5" t="str">
        <f>IFERROR(__xludf.DUMMYFUNCTION("GOOGLETRANSLATE(D367, ""en"", ""hi"")"),"A) आक्रमणकारी टीम अपनी बारी जारी रखती है।")</f>
        <v>A) आक्रमणकारी टीम अपनी बारी जारी रखती है।</v>
      </c>
    </row>
    <row r="368" ht="22.5" customHeight="1">
      <c r="A368" s="2">
        <v>367.0</v>
      </c>
      <c r="B368" s="3" t="s">
        <v>4498</v>
      </c>
      <c r="C368" s="3" t="s">
        <v>4459</v>
      </c>
      <c r="D368" s="3" t="s">
        <v>4038</v>
      </c>
      <c r="F368" s="5" t="str">
        <f>IFERROR(__xludf.DUMMYFUNCTION("GOOGLETRANSLATE(A368, ""en"", ""hi"")"),"367")</f>
        <v>367</v>
      </c>
      <c r="G368" s="5" t="str">
        <f>IFERROR(__xludf.DUMMYFUNCTION("GOOGLETRANSLATE(B368, ""en"", ""hi"")"),"लागोरी मैच के दौरान यदि गेंद पत्थर पर गिरती है, लेकिन पत्थर उसे गिराता नहीं है, तो क्या नियम है?")</f>
        <v>लागोरी मैच के दौरान यदि गेंद पत्थर पर गिरती है, लेकिन पत्थर उसे गिराता नहीं है, तो क्या नियम है?</v>
      </c>
      <c r="H368" s="5" t="str">
        <f>IFERROR(__xludf.DUMMYFUNCTION("GOOGLETRANSLATE(C368,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68" s="5" t="str">
        <f>IFERROR(__xludf.DUMMYFUNCTION("GOOGLETRANSLATE(D368, ""en"", ""hi"")"),"A) आक्रमणकारी टीम अपनी बारी जारी रखती है।")</f>
        <v>A) आक्रमणकारी टीम अपनी बारी जारी रखती है।</v>
      </c>
    </row>
    <row r="369" ht="22.5" customHeight="1">
      <c r="A369" s="2">
        <v>368.0</v>
      </c>
      <c r="B369" s="3" t="s">
        <v>4499</v>
      </c>
      <c r="C369" s="3" t="s">
        <v>4476</v>
      </c>
      <c r="D369" s="3" t="s">
        <v>4477</v>
      </c>
      <c r="F369" s="5" t="str">
        <f>IFERROR(__xludf.DUMMYFUNCTION("GOOGLETRANSLATE(A369, ""en"", ""hi"")"),"368")</f>
        <v>368</v>
      </c>
      <c r="G369" s="5" t="str">
        <f>IFERROR(__xludf.DUMMYFUNCTION("GOOGLETRANSLATE(B369, ""en"", ""hi"")"),"यदि किसी खिलाड़ी की चोट के कारण लागोरी खेल बाधित होता है, तो सामान्य प्रक्रिया क्या है?")</f>
        <v>यदि किसी खिलाड़ी की चोट के कारण लागोरी खेल बाधित होता है, तो सामान्य प्रक्रिया क्या है?</v>
      </c>
      <c r="H369" s="5" t="str">
        <f>IFERROR(__xludf.DUMMYFUNCTION("GOOGLETRANSLATE(C369,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369" s="5" t="str">
        <f>IFERROR(__xludf.DUMMYFUNCTION("GOOGLETRANSLATE(D369, ""en"", ""hi"")"),"A) जब तक खिलाड़ी को चिकित्सा सहायता नहीं मिल जाती, तब तक खेल रोक दिया जाता है।")</f>
        <v>A) जब तक खिलाड़ी को चिकित्सा सहायता नहीं मिल जाती, तब तक खेल रोक दिया जाता है।</v>
      </c>
    </row>
    <row r="370" ht="22.5" customHeight="1">
      <c r="A370" s="2">
        <v>369.0</v>
      </c>
      <c r="B370" s="3" t="s">
        <v>4468</v>
      </c>
      <c r="C370" s="3" t="s">
        <v>4383</v>
      </c>
      <c r="D370" s="3" t="s">
        <v>4384</v>
      </c>
      <c r="F370" s="5" t="str">
        <f>IFERROR(__xludf.DUMMYFUNCTION("GOOGLETRANSLATE(A370, ""en"", ""hi"")"),"369")</f>
        <v>369</v>
      </c>
      <c r="G370" s="5" t="str">
        <f>IFERROR(__xludf.DUMMYFUNCTION("GOOGLETRANSLATE(B370, ""en"", ""hi"")"),"लागोरी में यदि गेंद पत्थर से टकराकर खेल क्षेत्र के बाहर गिर जाए तो क्या करना चाहिए?")</f>
        <v>लागोरी में यदि गेंद पत्थर से टकराकर खेल क्षेत्र के बाहर गिर जाए तो क्या करना चाहिए?</v>
      </c>
      <c r="H370" s="5" t="str">
        <f>IFERROR(__xludf.DUMMYFUNCTION("GOOGLETRANSLATE(C370,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70" s="5" t="str">
        <f>IFERROR(__xludf.DUMMYFUNCTION("GOOGLETRANSLATE(D370,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71" ht="22.5" customHeight="1">
      <c r="A371" s="2">
        <v>370.0</v>
      </c>
      <c r="B371" s="3" t="s">
        <v>4500</v>
      </c>
      <c r="C371" s="3" t="s">
        <v>4459</v>
      </c>
      <c r="D371" s="3" t="s">
        <v>4038</v>
      </c>
      <c r="F371" s="5" t="str">
        <f>IFERROR(__xludf.DUMMYFUNCTION("GOOGLETRANSLATE(A371, ""en"", ""hi"")"),"370")</f>
        <v>370</v>
      </c>
      <c r="G371" s="5" t="str">
        <f>IFERROR(__xludf.DUMMYFUNCTION("GOOGLETRANSLATE(B371, ""en"", ""hi"")"),"लागोरी मैच के दौरान, यदि आक्रमणकारी टीम का कोई खिलाड़ी गेंद फेंकता है और वह पत्थर पर गिरती है, लेकिन पत्थर उसे गिराता नहीं है, तो क्या किया जाना चाहिए?")</f>
        <v>लागोरी मैच के दौरान, यदि आक्रमणकारी टीम का कोई खिलाड़ी गेंद फेंकता है और वह पत्थर पर गिरती है, लेकिन पत्थर उसे गिराता नहीं है, तो क्या किया जाना चाहिए?</v>
      </c>
      <c r="H371" s="5" t="str">
        <f>IFERROR(__xludf.DUMMYFUNCTION("GOOGLETRANSLATE(C371,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71" s="5" t="str">
        <f>IFERROR(__xludf.DUMMYFUNCTION("GOOGLETRANSLATE(D371, ""en"", ""hi"")"),"A) आक्रमणकारी टीम अपनी बारी जारी रखती है।")</f>
        <v>A) आक्रमणकारी टीम अपनी बारी जारी रखती है।</v>
      </c>
    </row>
    <row r="372" ht="22.5" customHeight="1">
      <c r="A372" s="2">
        <v>371.0</v>
      </c>
      <c r="B372" s="3" t="s">
        <v>4501</v>
      </c>
      <c r="C372" s="3" t="s">
        <v>4459</v>
      </c>
      <c r="D372" s="3" t="s">
        <v>4038</v>
      </c>
      <c r="F372" s="5" t="str">
        <f>IFERROR(__xludf.DUMMYFUNCTION("GOOGLETRANSLATE(A372, ""en"", ""hi"")"),"371")</f>
        <v>371</v>
      </c>
      <c r="G372" s="5" t="str">
        <f>IFERROR(__xludf.DUMMYFUNCTION("GOOGLETRANSLATE(B372, ""en"", ""hi"")"),"लागोरी में यदि गेंद पत्थर पर गिरती है, लेकिन पत्थर उसे गिराता नहीं है, तो क्या नियम है?")</f>
        <v>लागोरी में यदि गेंद पत्थर पर गिरती है, लेकिन पत्थर उसे गिराता नहीं है, तो क्या नियम है?</v>
      </c>
      <c r="H372" s="5" t="str">
        <f>IFERROR(__xludf.DUMMYFUNCTION("GOOGLETRANSLATE(C372,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72" s="5" t="str">
        <f>IFERROR(__xludf.DUMMYFUNCTION("GOOGLETRANSLATE(D372, ""en"", ""hi"")"),"A) आक्रमणकारी टीम अपनी बारी जारी रखती है।")</f>
        <v>A) आक्रमणकारी टीम अपनी बारी जारी रखती है।</v>
      </c>
    </row>
    <row r="373" ht="22.5" customHeight="1">
      <c r="A373" s="2">
        <v>372.0</v>
      </c>
      <c r="B373" s="3" t="s">
        <v>4499</v>
      </c>
      <c r="C373" s="3" t="s">
        <v>4476</v>
      </c>
      <c r="D373" s="3" t="s">
        <v>4477</v>
      </c>
      <c r="F373" s="5" t="str">
        <f>IFERROR(__xludf.DUMMYFUNCTION("GOOGLETRANSLATE(A373, ""en"", ""hi"")"),"372")</f>
        <v>372</v>
      </c>
      <c r="G373" s="5" t="str">
        <f>IFERROR(__xludf.DUMMYFUNCTION("GOOGLETRANSLATE(B373, ""en"", ""hi"")"),"यदि किसी खिलाड़ी की चोट के कारण लागोरी खेल बाधित होता है, तो सामान्य प्रक्रिया क्या है?")</f>
        <v>यदि किसी खिलाड़ी की चोट के कारण लागोरी खेल बाधित होता है, तो सामान्य प्रक्रिया क्या है?</v>
      </c>
      <c r="H373" s="5" t="str">
        <f>IFERROR(__xludf.DUMMYFUNCTION("GOOGLETRANSLATE(C373,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373" s="5" t="str">
        <f>IFERROR(__xludf.DUMMYFUNCTION("GOOGLETRANSLATE(D373, ""en"", ""hi"")"),"A) जब तक खिलाड़ी को चिकित्सा सहायता नहीं मिल जाती, तब तक खेल रोक दिया जाता है।")</f>
        <v>A) जब तक खिलाड़ी को चिकित्सा सहायता नहीं मिल जाती, तब तक खेल रोक दिया जाता है।</v>
      </c>
    </row>
    <row r="374" ht="22.5" customHeight="1">
      <c r="A374" s="2">
        <v>373.0</v>
      </c>
      <c r="B374" s="3" t="s">
        <v>4502</v>
      </c>
      <c r="C374" s="3" t="s">
        <v>4503</v>
      </c>
      <c r="D374" s="3" t="s">
        <v>4452</v>
      </c>
      <c r="F374" s="5" t="str">
        <f>IFERROR(__xludf.DUMMYFUNCTION("GOOGLETRANSLATE(A374, ""en"", ""hi"")"),"373")</f>
        <v>373</v>
      </c>
      <c r="G374" s="5" t="str">
        <f>IFERROR(__xludf.DUMMYFUNCTION("GOOGLETRANSLATE(B374, ""en"", ""hi"")"),"लागोरी में, यदि आक्रमणकारी टीम का कोई खिलाड़ी गेंद फेंकता है और वह पत्थर पर गिरती है, लेकिन उसे गिरा नहीं पाती, तो आगे क्या होता है?")</f>
        <v>लागोरी में, यदि आक्रमणकारी टीम का कोई खिलाड़ी गेंद फेंकता है और वह पत्थर पर गिरती है, लेकिन उसे गिरा नहीं पाती, तो आगे क्या होता है?</v>
      </c>
      <c r="H374" s="5" t="str">
        <f>IFERROR(__xludf.DUMMYFUNCTION("GOOGLETRANSLATE(C374,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374" s="5" t="str">
        <f>IFERROR(__xludf.DUMMYFUNCTION("GOOGLETRANSLATE(D374, ""en"", ""hi"")"),"A) बचाव करने वाली टीम को अगला थ्रो करने का मौका मिलता है।")</f>
        <v>A) बचाव करने वाली टीम को अगला थ्रो करने का मौका मिलता है।</v>
      </c>
    </row>
    <row r="375" ht="22.5" customHeight="1">
      <c r="A375" s="2">
        <v>374.0</v>
      </c>
      <c r="B375" s="3" t="s">
        <v>4504</v>
      </c>
      <c r="C375" s="3" t="s">
        <v>4451</v>
      </c>
      <c r="D375" s="3" t="s">
        <v>4452</v>
      </c>
      <c r="F375" s="5" t="str">
        <f>IFERROR(__xludf.DUMMYFUNCTION("GOOGLETRANSLATE(A375, ""en"", ""hi"")"),"374")</f>
        <v>374</v>
      </c>
      <c r="G375" s="5" t="str">
        <f>IFERROR(__xludf.DUMMYFUNCTION("GOOGLETRANSLATE(B375, ""en"", ""hi"")"),"यदि गेंद फेंकी जाए और वह पत्थर पर गिर जाए, जिससे वह गिर जाए, लेकिन बचाव करने वाली टीम का कोई खिलाड़ी गेंद को जमीन पर गिरने से पहले ही पकड़ लेता है, तो नियम क्या है?")</f>
        <v>यदि गेंद फेंकी जाए और वह पत्थर पर गिर जाए, जिससे वह गिर जाए, लेकिन बचाव करने वाली टीम का कोई खिलाड़ी गेंद को जमीन पर गिरने से पहले ही पकड़ लेता है, तो नियम क्या है?</v>
      </c>
      <c r="H375" s="5" t="str">
        <f>IFERROR(__xludf.DUMMYFUNCTION("GOOGLETRANSLATE(C375,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375" s="5" t="str">
        <f>IFERROR(__xludf.DUMMYFUNCTION("GOOGLETRANSLATE(D375, ""en"", ""hi"")"),"A) बचाव करने वाली टीम को अगला थ्रो करने का मौका मिलता है।")</f>
        <v>A) बचाव करने वाली टीम को अगला थ्रो करने का मौका मिलता है।</v>
      </c>
    </row>
    <row r="376" ht="22.5" customHeight="1">
      <c r="A376" s="2">
        <v>375.0</v>
      </c>
      <c r="B376" s="3" t="s">
        <v>4505</v>
      </c>
      <c r="C376" s="3" t="s">
        <v>4383</v>
      </c>
      <c r="D376" s="3" t="s">
        <v>4384</v>
      </c>
      <c r="F376" s="5" t="str">
        <f>IFERROR(__xludf.DUMMYFUNCTION("GOOGLETRANSLATE(A376, ""en"", ""hi"")"),"375")</f>
        <v>375</v>
      </c>
      <c r="G376" s="5" t="str">
        <f>IFERROR(__xludf.DUMMYFUNCTION("GOOGLETRANSLATE(B376, ""en"", ""hi"")"),"लागोरी मैच के दौरान, यदि कोई पत्थर गिर जाए और गेंद खेल क्षेत्र के बाहर गिर जाए, तो आगे क्या होगा?")</f>
        <v>लागोरी मैच के दौरान, यदि कोई पत्थर गिर जाए और गेंद खेल क्षेत्र के बाहर गिर जाए, तो आगे क्या होगा?</v>
      </c>
      <c r="H376" s="5" t="str">
        <f>IFERROR(__xludf.DUMMYFUNCTION("GOOGLETRANSLATE(C376,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76" s="5" t="str">
        <f>IFERROR(__xludf.DUMMYFUNCTION("GOOGLETRANSLATE(D376,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77" ht="22.5" customHeight="1">
      <c r="A377" s="2">
        <v>376.0</v>
      </c>
      <c r="B377" s="3" t="s">
        <v>4506</v>
      </c>
      <c r="C377" s="3" t="s">
        <v>4442</v>
      </c>
      <c r="D377" s="3" t="s">
        <v>4443</v>
      </c>
      <c r="F377" s="5" t="str">
        <f>IFERROR(__xludf.DUMMYFUNCTION("GOOGLETRANSLATE(A377, ""en"", ""hi"")"),"376")</f>
        <v>376</v>
      </c>
      <c r="G377" s="5" t="str">
        <f>IFERROR(__xludf.DUMMYFUNCTION("GOOGLETRANSLATE(B377, ""en"", ""hi"")"),"यदि कोई खिलाड़ी गेंद फेंकता है और वह पत्थर पर गिरती है, जिससे वह गिर जाता है, लेकिन पत्थर लुढ़क कर ऐसी जगह चला जाता है जहां से उसे वापस नहीं लाया जा सकता, तो सही कार्रवाई क्या होगी?")</f>
        <v>यदि कोई खिलाड़ी गेंद फेंकता है और वह पत्थर पर गिरती है, जिससे वह गिर जाता है, लेकिन पत्थर लुढ़क कर ऐसी जगह चला जाता है जहां से उसे वापस नहीं लाया जा सकता, तो सही कार्रवाई क्या होगी?</v>
      </c>
      <c r="H377" s="5" t="str">
        <f>IFERROR(__xludf.DUMMYFUNCTION("GOOGLETRANSLATE(C377,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77" s="5" t="str">
        <f>IFERROR(__xludf.DUMMYFUNCTION("GOOGLETRANSLATE(D377, ""en"", ""hi"")"),"A) पत्थर नीचे गिर जाता है और आक्रमणकारी टीम अपनी बारी खो देती है।")</f>
        <v>A) पत्थर नीचे गिर जाता है और आक्रमणकारी टीम अपनी बारी खो देती है।</v>
      </c>
    </row>
    <row r="378" ht="22.5" customHeight="1">
      <c r="A378" s="2">
        <v>377.0</v>
      </c>
      <c r="B378" s="3" t="s">
        <v>4507</v>
      </c>
      <c r="C378" s="3" t="s">
        <v>4442</v>
      </c>
      <c r="D378" s="3" t="s">
        <v>4443</v>
      </c>
      <c r="F378" s="5" t="str">
        <f>IFERROR(__xludf.DUMMYFUNCTION("GOOGLETRANSLATE(A378, ""en"", ""hi"")"),"377")</f>
        <v>377</v>
      </c>
      <c r="G378" s="5" t="str">
        <f>IFERROR(__xludf.DUMMYFUNCTION("GOOGLETRANSLATE(B378, ""en"", ""hi"")"),"लागोरी में यदि कोई पत्थर गिर जाए और गेंद किसी ऐसी जगह गिर जाए जहां से उसे निकालना मुश्किल हो, तो क्या किया जाना चाहिए?")</f>
        <v>लागोरी में यदि कोई पत्थर गिर जाए और गेंद किसी ऐसी जगह गिर जाए जहां से उसे निकालना मुश्किल हो, तो क्या किया जाना चाहिए?</v>
      </c>
      <c r="H378" s="5" t="str">
        <f>IFERROR(__xludf.DUMMYFUNCTION("GOOGLETRANSLATE(C378,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78" s="5" t="str">
        <f>IFERROR(__xludf.DUMMYFUNCTION("GOOGLETRANSLATE(D378, ""en"", ""hi"")"),"A) पत्थर नीचे गिर जाता है और आक्रमणकारी टीम अपनी बारी खो देती है।")</f>
        <v>A) पत्थर नीचे गिर जाता है और आक्रमणकारी टीम अपनी बारी खो देती है।</v>
      </c>
    </row>
    <row r="379" ht="22.5" customHeight="1">
      <c r="A379" s="2">
        <v>378.0</v>
      </c>
      <c r="B379" s="3" t="s">
        <v>4455</v>
      </c>
      <c r="C379" s="3" t="s">
        <v>4383</v>
      </c>
      <c r="D379" s="3" t="s">
        <v>4384</v>
      </c>
      <c r="F379" s="5" t="str">
        <f>IFERROR(__xludf.DUMMYFUNCTION("GOOGLETRANSLATE(A379, ""en"", ""hi"")"),"378")</f>
        <v>378</v>
      </c>
      <c r="G379" s="5" t="str">
        <f>IFERROR(__xludf.DUMMYFUNCTION("GOOGLETRANSLATE(B379, ""en"", ""hi"")"),"लागोरी मैच के दौरान यदि गेंद पत्थर से टकराकर खेल क्षेत्र के बाहर गिरती है तो क्या नियम है?")</f>
        <v>लागोरी मैच के दौरान यदि गेंद पत्थर से टकराकर खेल क्षेत्र के बाहर गिरती है तो क्या नियम है?</v>
      </c>
      <c r="H379" s="5" t="str">
        <f>IFERROR(__xludf.DUMMYFUNCTION("GOOGLETRANSLATE(C379,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79" s="5" t="str">
        <f>IFERROR(__xludf.DUMMYFUNCTION("GOOGLETRANSLATE(D379,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80" ht="22.5" customHeight="1">
      <c r="A380" s="2">
        <v>379.0</v>
      </c>
      <c r="B380" s="3" t="s">
        <v>4508</v>
      </c>
      <c r="C380" s="3" t="s">
        <v>4459</v>
      </c>
      <c r="D380" s="3" t="s">
        <v>4038</v>
      </c>
      <c r="F380" s="5" t="str">
        <f>IFERROR(__xludf.DUMMYFUNCTION("GOOGLETRANSLATE(A380, ""en"", ""hi"")"),"379")</f>
        <v>379</v>
      </c>
      <c r="G380" s="5" t="str">
        <f>IFERROR(__xludf.DUMMYFUNCTION("GOOGLETRANSLATE(B380, ""en"", ""hi"")"),"यदि गेंद पत्थर पर गिरती है, लेकिन पत्थर नीचे नहीं गिरता, तो क्या होगा?")</f>
        <v>यदि गेंद पत्थर पर गिरती है, लेकिन पत्थर नीचे नहीं गिरता, तो क्या होगा?</v>
      </c>
      <c r="H380" s="5" t="str">
        <f>IFERROR(__xludf.DUMMYFUNCTION("GOOGLETRANSLATE(C380,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80" s="5" t="str">
        <f>IFERROR(__xludf.DUMMYFUNCTION("GOOGLETRANSLATE(D380, ""en"", ""hi"")"),"A) आक्रमणकारी टीम अपनी बारी जारी रखती है।")</f>
        <v>A) आक्रमणकारी टीम अपनी बारी जारी रखती है।</v>
      </c>
    </row>
    <row r="381" ht="22.5" customHeight="1">
      <c r="A381" s="2">
        <v>380.0</v>
      </c>
      <c r="B381" s="3" t="s">
        <v>4509</v>
      </c>
      <c r="C381" s="3" t="s">
        <v>4503</v>
      </c>
      <c r="D381" s="3" t="s">
        <v>4452</v>
      </c>
      <c r="F381" s="5" t="str">
        <f>IFERROR(__xludf.DUMMYFUNCTION("GOOGLETRANSLATE(A381, ""en"", ""hi"")"),"380")</f>
        <v>380</v>
      </c>
      <c r="G381" s="5" t="str">
        <f>IFERROR(__xludf.DUMMYFUNCTION("GOOGLETRANSLATE(B381, ""en"", ""hi"")"),"लागोरी में, यदि आक्रमणकारी टीम का कोई खिलाड़ी गेंद फेंकता है और वह पत्थर पर गिरती है, लेकिन उसे नीचे नहीं गिराती है, तो आगे क्या किया जाना चाहिए?")</f>
        <v>लागोरी में, यदि आक्रमणकारी टीम का कोई खिलाड़ी गेंद फेंकता है और वह पत्थर पर गिरती है, लेकिन उसे नीचे नहीं गिराती है, तो आगे क्या किया जाना चाहिए?</v>
      </c>
      <c r="H381" s="5" t="str">
        <f>IFERROR(__xludf.DUMMYFUNCTION("GOOGLETRANSLATE(C381,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381" s="5" t="str">
        <f>IFERROR(__xludf.DUMMYFUNCTION("GOOGLETRANSLATE(D381, ""en"", ""hi"")"),"A) बचाव करने वाली टीम को अगला थ्रो करने का मौका मिलता है।")</f>
        <v>A) बचाव करने वाली टीम को अगला थ्रो करने का मौका मिलता है।</v>
      </c>
    </row>
    <row r="382" ht="22.5" customHeight="1">
      <c r="A382" s="2">
        <v>381.0</v>
      </c>
      <c r="B382" s="3" t="s">
        <v>4510</v>
      </c>
      <c r="C382" s="3" t="s">
        <v>4419</v>
      </c>
      <c r="D382" s="3" t="s">
        <v>4420</v>
      </c>
      <c r="F382" s="5" t="str">
        <f>IFERROR(__xludf.DUMMYFUNCTION("GOOGLETRANSLATE(A382, ""en"", ""hi"")"),"381")</f>
        <v>381</v>
      </c>
      <c r="G382" s="5" t="str">
        <f>IFERROR(__xludf.DUMMYFUNCTION("GOOGLETRANSLATE(B382, ""en"", ""hi"")"),"यदि किसी छोटी सी समस्या के कारण लागोरी मैच बाधित होता है, जैसे कि किसी खिलाड़ी को चिकित्सा सहायता की आवश्यकता हो, तो सामान्य प्रक्रिया क्या होती है?")</f>
        <v>यदि किसी छोटी सी समस्या के कारण लागोरी मैच बाधित होता है, जैसे कि किसी खिलाड़ी को चिकित्सा सहायता की आवश्यकता हो, तो सामान्य प्रक्रिया क्या होती है?</v>
      </c>
      <c r="H382" s="5" t="str">
        <f>IFERROR(__xludf.DUMMYFUNCTION("GOOGLETRANSLATE(C382,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382" s="5" t="str">
        <f>IFERROR(__xludf.DUMMYFUNCTION("GOOGLETRANSLATE(D382, ""en"", ""hi"")"),"A) समस्या का समाधान होने तक खेल को रोक दिया जाता है।")</f>
        <v>A) समस्या का समाधान होने तक खेल को रोक दिया जाता है।</v>
      </c>
    </row>
    <row r="383" ht="22.5" customHeight="1">
      <c r="A383" s="2">
        <v>382.0</v>
      </c>
      <c r="B383" s="3" t="s">
        <v>4511</v>
      </c>
      <c r="C383" s="3" t="s">
        <v>4451</v>
      </c>
      <c r="D383" s="3" t="s">
        <v>4452</v>
      </c>
      <c r="F383" s="5" t="str">
        <f>IFERROR(__xludf.DUMMYFUNCTION("GOOGLETRANSLATE(A383, ""en"", ""hi"")"),"382")</f>
        <v>382</v>
      </c>
      <c r="G383" s="5" t="str">
        <f>IFERROR(__xludf.DUMMYFUNCTION("GOOGLETRANSLATE(B383, ""en"", ""hi"")"),"लागोरी मैच के दौरान, यदि बचाव करने वाली टीम का कोई खिलाड़ी गेंद को जमीन पर गिरने से पहले ही पकड़ लेता है, तो आगे क्या होता है?")</f>
        <v>लागोरी मैच के दौरान, यदि बचाव करने वाली टीम का कोई खिलाड़ी गेंद को जमीन पर गिरने से पहले ही पकड़ लेता है, तो आगे क्या होता है?</v>
      </c>
      <c r="H383" s="5" t="str">
        <f>IFERROR(__xludf.DUMMYFUNCTION("GOOGLETRANSLATE(C383,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383" s="5" t="str">
        <f>IFERROR(__xludf.DUMMYFUNCTION("GOOGLETRANSLATE(D383, ""en"", ""hi"")"),"A) बचाव करने वाली टीम को अगला थ्रो करने का मौका मिलता है।")</f>
        <v>A) बचाव करने वाली टीम को अगला थ्रो करने का मौका मिलता है।</v>
      </c>
    </row>
    <row r="384" ht="22.5" customHeight="1">
      <c r="A384" s="2">
        <v>383.0</v>
      </c>
      <c r="B384" s="3" t="s">
        <v>4512</v>
      </c>
      <c r="C384" s="3" t="s">
        <v>4442</v>
      </c>
      <c r="D384" s="3" t="s">
        <v>4443</v>
      </c>
      <c r="F384" s="5" t="str">
        <f>IFERROR(__xludf.DUMMYFUNCTION("GOOGLETRANSLATE(A384, ""en"", ""hi"")"),"383")</f>
        <v>383</v>
      </c>
      <c r="G384" s="5" t="str">
        <f>IFERROR(__xludf.DUMMYFUNCTION("GOOGLETRANSLATE(B384, ""en"", ""hi"")"),"यदि कोई पत्थर गिर जाए और गेंद किसी ऐसी जगह पर गिर जाए जहां से उसे निकालना मुश्किल हो, तो क्या किया जाना चाहिए?")</f>
        <v>यदि कोई पत्थर गिर जाए और गेंद किसी ऐसी जगह पर गिर जाए जहां से उसे निकालना मुश्किल हो, तो क्या किया जाना चाहिए?</v>
      </c>
      <c r="H384" s="5" t="str">
        <f>IFERROR(__xludf.DUMMYFUNCTION("GOOGLETRANSLATE(C384, ""en"", ""hi"")"),"A)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f>
        <v>A) पत्थर नीचे गिरा रहता है और आक्रमणकारी टीम अपनी बारी खो देती है। , B) पत्थर वापस आ जाता है और खेल जारी रहता है। , C) आक्रमणकारी टीम को एक और मौका मिलता है। , D) खेल रोक दिया जाता है।</v>
      </c>
      <c r="I384" s="5" t="str">
        <f>IFERROR(__xludf.DUMMYFUNCTION("GOOGLETRANSLATE(D384, ""en"", ""hi"")"),"A) पत्थर नीचे गिर जाता है और आक्रमणकारी टीम अपनी बारी खो देती है।")</f>
        <v>A) पत्थर नीचे गिर जाता है और आक्रमणकारी टीम अपनी बारी खो देती है।</v>
      </c>
    </row>
    <row r="385" ht="22.5" customHeight="1">
      <c r="A385" s="2">
        <v>384.0</v>
      </c>
      <c r="B385" s="3" t="s">
        <v>4513</v>
      </c>
      <c r="C385" s="3" t="s">
        <v>4383</v>
      </c>
      <c r="D385" s="3" t="s">
        <v>4384</v>
      </c>
      <c r="F385" s="5" t="str">
        <f>IFERROR(__xludf.DUMMYFUNCTION("GOOGLETRANSLATE(A385, ""en"", ""hi"")"),"384")</f>
        <v>384</v>
      </c>
      <c r="G385" s="5" t="str">
        <f>IFERROR(__xludf.DUMMYFUNCTION("GOOGLETRANSLATE(B385, ""en"", ""hi"")"),"लागोरी में, यदि कोई खिलाड़ी गेंद फेंकता है और वह पत्थर पर गिरती है, जिससे वह गिर जाता है, लेकिन गेंद खेल क्षेत्र के बाहर गिरती है, तो आगे क्या किया जाना चाहिए?")</f>
        <v>लागोरी में, यदि कोई खिलाड़ी गेंद फेंकता है और वह पत्थर पर गिरती है, जिससे वह गिर जाता है, लेकिन गेंद खेल क्षेत्र के बाहर गिरती है, तो आगे क्या किया जाना चाहिए?</v>
      </c>
      <c r="H385" s="5" t="str">
        <f>IFERROR(__xludf.DUMMYFUNCTION("GOOGLETRANSLATE(C385,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85" s="5" t="str">
        <f>IFERROR(__xludf.DUMMYFUNCTION("GOOGLETRANSLATE(D385,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86" ht="22.5" customHeight="1">
      <c r="A386" s="2">
        <v>385.0</v>
      </c>
      <c r="B386" s="3" t="s">
        <v>4514</v>
      </c>
      <c r="C386" s="3" t="s">
        <v>4459</v>
      </c>
      <c r="D386" s="3" t="s">
        <v>4038</v>
      </c>
      <c r="F386" s="5" t="str">
        <f>IFERROR(__xludf.DUMMYFUNCTION("GOOGLETRANSLATE(A386, ""en"", ""hi"")"),"385")</f>
        <v>385</v>
      </c>
      <c r="G386" s="5" t="str">
        <f>IFERROR(__xludf.DUMMYFUNCTION("GOOGLETRANSLATE(B386, ""en"", ""hi"")"),"लागोरी मैच के दौरान, यदि गेंद पत्थर पर गिरती है, लेकिन पत्थर उसे गिराता नहीं है, तो सही कार्रवाई क्या होगी?")</f>
        <v>लागोरी मैच के दौरान, यदि गेंद पत्थर पर गिरती है, लेकिन पत्थर उसे गिराता नहीं है, तो सही कार्रवाई क्या होगी?</v>
      </c>
      <c r="H386" s="5" t="str">
        <f>IFERROR(__xludf.DUMMYFUNCTION("GOOGLETRANSLATE(C386,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86" s="5" t="str">
        <f>IFERROR(__xludf.DUMMYFUNCTION("GOOGLETRANSLATE(D386, ""en"", ""hi"")"),"A) आक्रमणकारी टीम अपनी बारी जारी रखती है।")</f>
        <v>A) आक्रमणकारी टीम अपनी बारी जारी रखती है।</v>
      </c>
    </row>
    <row r="387" ht="22.5" customHeight="1">
      <c r="A387" s="2">
        <v>386.0</v>
      </c>
      <c r="B387" s="3" t="s">
        <v>4515</v>
      </c>
      <c r="C387" s="3" t="s">
        <v>4476</v>
      </c>
      <c r="D387" s="3" t="s">
        <v>4477</v>
      </c>
      <c r="F387" s="5" t="str">
        <f>IFERROR(__xludf.DUMMYFUNCTION("GOOGLETRANSLATE(A387, ""en"", ""hi"")"),"386")</f>
        <v>386</v>
      </c>
      <c r="G387" s="5" t="str">
        <f>IFERROR(__xludf.DUMMYFUNCTION("GOOGLETRANSLATE(B387, ""en"", ""hi"")"),"यदि किसी खिलाड़ी की चोट के कारण लागोरी खेल बाधित हो जाए तो क्या किया जाना चाहिए?")</f>
        <v>यदि किसी खिलाड़ी की चोट के कारण लागोरी खेल बाधित हो जाए तो क्या किया जाना चाहिए?</v>
      </c>
      <c r="H387" s="5" t="str">
        <f>IFERROR(__xludf.DUMMYFUNCTION("GOOGLETRANSLATE(C387,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387" s="5" t="str">
        <f>IFERROR(__xludf.DUMMYFUNCTION("GOOGLETRANSLATE(D387, ""en"", ""hi"")"),"A) जब तक खिलाड़ी को चिकित्सा सहायता नहीं मिल जाती, तब तक खेल रोक दिया जाता है।")</f>
        <v>A) जब तक खिलाड़ी को चिकित्सा सहायता नहीं मिल जाती, तब तक खेल रोक दिया जाता है।</v>
      </c>
    </row>
    <row r="388" ht="22.5" customHeight="1">
      <c r="A388" s="2">
        <v>387.0</v>
      </c>
      <c r="B388" s="3" t="s">
        <v>4516</v>
      </c>
      <c r="C388" s="3" t="s">
        <v>4383</v>
      </c>
      <c r="D388" s="3" t="s">
        <v>4384</v>
      </c>
      <c r="F388" s="5" t="str">
        <f>IFERROR(__xludf.DUMMYFUNCTION("GOOGLETRANSLATE(A388, ""en"", ""hi"")"),"387")</f>
        <v>387</v>
      </c>
      <c r="G388" s="5" t="str">
        <f>IFERROR(__xludf.DUMMYFUNCTION("GOOGLETRANSLATE(B388, ""en"", ""hi"")"),"लागोरी में यदि कोई पत्थर गिरा दिया जाए और गेंद खेल क्षेत्र के बाहर गिर जाए तो क्या नियम है?")</f>
        <v>लागोरी में यदि कोई पत्थर गिरा दिया जाए और गेंद खेल क्षेत्र के बाहर गिर जाए तो क्या नियम है?</v>
      </c>
      <c r="H388" s="5" t="str">
        <f>IFERROR(__xludf.DUMMYFUNCTION("GOOGLETRANSLATE(C388,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88" s="5" t="str">
        <f>IFERROR(__xludf.DUMMYFUNCTION("GOOGLETRANSLATE(D388,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89" ht="22.5" customHeight="1">
      <c r="A389" s="2">
        <v>388.0</v>
      </c>
      <c r="B389" s="3" t="s">
        <v>4517</v>
      </c>
      <c r="C389" s="3" t="s">
        <v>4503</v>
      </c>
      <c r="D389" s="3" t="s">
        <v>4452</v>
      </c>
      <c r="F389" s="5" t="str">
        <f>IFERROR(__xludf.DUMMYFUNCTION("GOOGLETRANSLATE(A389, ""en"", ""hi"")"),"388")</f>
        <v>388</v>
      </c>
      <c r="G389" s="5" t="str">
        <f>IFERROR(__xludf.DUMMYFUNCTION("GOOGLETRANSLATE(B389, ""en"", ""hi"")"),"यदि आक्रमणकारी टीम का कोई खिलाड़ी गेंद फेंकता है और वह पत्थर पर गिरती है, लेकिन उसे गिरा नहीं पाती, तो आगे क्या होगा?")</f>
        <v>यदि आक्रमणकारी टीम का कोई खिलाड़ी गेंद फेंकता है और वह पत्थर पर गिरती है, लेकिन उसे गिरा नहीं पाती, तो आगे क्या होगा?</v>
      </c>
      <c r="H389" s="5" t="str">
        <f>IFERROR(__xludf.DUMMYFUNCTION("GOOGLETRANSLATE(C389,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389" s="5" t="str">
        <f>IFERROR(__xludf.DUMMYFUNCTION("GOOGLETRANSLATE(D389, ""en"", ""hi"")"),"A) बचाव करने वाली टीम को अगला थ्रो करने का मौका मिलता है।")</f>
        <v>A) बचाव करने वाली टीम को अगला थ्रो करने का मौका मिलता है।</v>
      </c>
    </row>
    <row r="390" ht="22.5" customHeight="1">
      <c r="A390" s="2">
        <v>389.0</v>
      </c>
      <c r="B390" s="3" t="s">
        <v>4511</v>
      </c>
      <c r="C390" s="3" t="s">
        <v>4451</v>
      </c>
      <c r="D390" s="3" t="s">
        <v>4452</v>
      </c>
      <c r="F390" s="5" t="str">
        <f>IFERROR(__xludf.DUMMYFUNCTION("GOOGLETRANSLATE(A390, ""en"", ""hi"")"),"389")</f>
        <v>389</v>
      </c>
      <c r="G390" s="5" t="str">
        <f>IFERROR(__xludf.DUMMYFUNCTION("GOOGLETRANSLATE(B390, ""en"", ""hi"")"),"लागोरी मैच के दौरान, यदि बचाव करने वाली टीम का कोई खिलाड़ी गेंद को जमीन पर गिरने से पहले ही पकड़ लेता है, तो आगे क्या होता है?")</f>
        <v>लागोरी मैच के दौरान, यदि बचाव करने वाली टीम का कोई खिलाड़ी गेंद को जमीन पर गिरने से पहले ही पकड़ लेता है, तो आगे क्या होता है?</v>
      </c>
      <c r="H390" s="5" t="str">
        <f>IFERROR(__xludf.DUMMYFUNCTION("GOOGLETRANSLATE(C390,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390" s="5" t="str">
        <f>IFERROR(__xludf.DUMMYFUNCTION("GOOGLETRANSLATE(D390, ""en"", ""hi"")"),"A) बचाव करने वाली टीम को अगला थ्रो करने का मौका मिलता है।")</f>
        <v>A) बचाव करने वाली टीम को अगला थ्रो करने का मौका मिलता है।</v>
      </c>
    </row>
    <row r="391" ht="22.5" customHeight="1">
      <c r="A391" s="2">
        <v>390.0</v>
      </c>
      <c r="B391" s="3" t="s">
        <v>4480</v>
      </c>
      <c r="C391" s="3" t="s">
        <v>4459</v>
      </c>
      <c r="D391" s="3" t="s">
        <v>4038</v>
      </c>
      <c r="F391" s="5" t="str">
        <f>IFERROR(__xludf.DUMMYFUNCTION("GOOGLETRANSLATE(A391, ""en"", ""hi"")"),"390")</f>
        <v>390</v>
      </c>
      <c r="G391" s="5" t="str">
        <f>IFERROR(__xludf.DUMMYFUNCTION("GOOGLETRANSLATE(B391, ""en"", ""hi"")"),"लागोरी में यदि गेंद पत्थर पर गिरती है, लेकिन पत्थर नीचे नहीं गिरता, तो क्या करना चाहिए?")</f>
        <v>लागोरी में यदि गेंद पत्थर पर गिरती है, लेकिन पत्थर नीचे नहीं गिरता, तो क्या करना चाहिए?</v>
      </c>
      <c r="H391" s="5" t="str">
        <f>IFERROR(__xludf.DUMMYFUNCTION("GOOGLETRANSLATE(C391,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91" s="5" t="str">
        <f>IFERROR(__xludf.DUMMYFUNCTION("GOOGLETRANSLATE(D391, ""en"", ""hi"")"),"A) आक्रमणकारी टीम अपनी बारी जारी रखती है।")</f>
        <v>A) आक्रमणकारी टीम अपनी बारी जारी रखती है।</v>
      </c>
    </row>
    <row r="392" ht="22.5" customHeight="1">
      <c r="A392" s="2">
        <v>391.0</v>
      </c>
      <c r="B392" s="3" t="s">
        <v>4518</v>
      </c>
      <c r="C392" s="3" t="s">
        <v>4383</v>
      </c>
      <c r="D392" s="3" t="s">
        <v>4384</v>
      </c>
      <c r="F392" s="5" t="str">
        <f>IFERROR(__xludf.DUMMYFUNCTION("GOOGLETRANSLATE(A392, ""en"", ""hi"")"),"391")</f>
        <v>391</v>
      </c>
      <c r="G392" s="5" t="str">
        <f>IFERROR(__xludf.DUMMYFUNCTION("GOOGLETRANSLATE(B392, ""en"", ""hi"")"),"यदि गेंद पत्थर से टकराकर खेल क्षेत्र के बाहर गिर जाए तो क्या करना चाहिए?")</f>
        <v>यदि गेंद पत्थर से टकराकर खेल क्षेत्र के बाहर गिर जाए तो क्या करना चाहिए?</v>
      </c>
      <c r="H392" s="5" t="str">
        <f>IFERROR(__xludf.DUMMYFUNCTION("GOOGLETRANSLATE(C392,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92" s="5" t="str">
        <f>IFERROR(__xludf.DUMMYFUNCTION("GOOGLETRANSLATE(D392,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93" ht="22.5" customHeight="1">
      <c r="A393" s="2">
        <v>392.0</v>
      </c>
      <c r="B393" s="3" t="s">
        <v>4519</v>
      </c>
      <c r="C393" s="3" t="s">
        <v>4476</v>
      </c>
      <c r="D393" s="3" t="s">
        <v>4477</v>
      </c>
      <c r="F393" s="5" t="str">
        <f>IFERROR(__xludf.DUMMYFUNCTION("GOOGLETRANSLATE(A393, ""en"", ""hi"")"),"392")</f>
        <v>392</v>
      </c>
      <c r="G393" s="5" t="str">
        <f>IFERROR(__xludf.DUMMYFUNCTION("GOOGLETRANSLATE(B393, ""en"", ""hi"")"),"यदि किसी खिलाड़ी की चोट के कारण लागोरी खेल बाधित हो जाए तो सही प्रक्रिया क्या है?")</f>
        <v>यदि किसी खिलाड़ी की चोट के कारण लागोरी खेल बाधित हो जाए तो सही प्रक्रिया क्या है?</v>
      </c>
      <c r="H393" s="5" t="str">
        <f>IFERROR(__xludf.DUMMYFUNCTION("GOOGLETRANSLATE(C393,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393" s="5" t="str">
        <f>IFERROR(__xludf.DUMMYFUNCTION("GOOGLETRANSLATE(D393, ""en"", ""hi"")"),"A) जब तक खिलाड़ी को चिकित्सा सहायता नहीं मिल जाती, तब तक खेल रोक दिया जाता है।")</f>
        <v>A) जब तक खिलाड़ी को चिकित्सा सहायता नहीं मिल जाती, तब तक खेल रोक दिया जाता है।</v>
      </c>
    </row>
    <row r="394" ht="22.5" customHeight="1">
      <c r="A394" s="2">
        <v>393.0</v>
      </c>
      <c r="B394" s="3" t="s">
        <v>4520</v>
      </c>
      <c r="C394" s="3" t="s">
        <v>4503</v>
      </c>
      <c r="D394" s="3" t="s">
        <v>4452</v>
      </c>
      <c r="F394" s="5" t="str">
        <f>IFERROR(__xludf.DUMMYFUNCTION("GOOGLETRANSLATE(A394, ""en"", ""hi"")"),"393")</f>
        <v>393</v>
      </c>
      <c r="G394" s="5" t="str">
        <f>IFERROR(__xludf.DUMMYFUNCTION("GOOGLETRANSLATE(B394, ""en"", ""hi"")"),"लागोरी मैच के दौरान यदि कोई खिलाड़ी गेंद फेंकता है और वह पत्थर पर गिरती है, लेकिन पत्थर उसे गिराता नहीं है, तो आगे क्या करना चाहिए?")</f>
        <v>लागोरी मैच के दौरान यदि कोई खिलाड़ी गेंद फेंकता है और वह पत्थर पर गिरती है, लेकिन पत्थर उसे गिराता नहीं है, तो आगे क्या करना चाहिए?</v>
      </c>
      <c r="H394" s="5" t="str">
        <f>IFERROR(__xludf.DUMMYFUNCTION("GOOGLETRANSLATE(C394,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394" s="5" t="str">
        <f>IFERROR(__xludf.DUMMYFUNCTION("GOOGLETRANSLATE(D394, ""en"", ""hi"")"),"A) बचाव करने वाली टीम को अगला थ्रो करने का मौका मिलता है।")</f>
        <v>A) बचाव करने वाली टीम को अगला थ्रो करने का मौका मिलता है।</v>
      </c>
    </row>
    <row r="395" ht="22.5" customHeight="1">
      <c r="A395" s="2">
        <v>394.0</v>
      </c>
      <c r="B395" s="3" t="s">
        <v>4521</v>
      </c>
      <c r="C395" s="3" t="s">
        <v>4419</v>
      </c>
      <c r="D395" s="3" t="s">
        <v>4420</v>
      </c>
      <c r="F395" s="5" t="str">
        <f>IFERROR(__xludf.DUMMYFUNCTION("GOOGLETRANSLATE(A395, ""en"", ""hi"")"),"394")</f>
        <v>394</v>
      </c>
      <c r="G395" s="5" t="str">
        <f>IFERROR(__xludf.DUMMYFUNCTION("GOOGLETRANSLATE(B395, ""en"", ""hi"")"),"यदि किसी छोटी सी समस्या के कारण लागोरी खेल बाधित हो जाए तो सामान्य प्रक्रिया क्या होनी चाहिए?")</f>
        <v>यदि किसी छोटी सी समस्या के कारण लागोरी खेल बाधित हो जाए तो सामान्य प्रक्रिया क्या होनी चाहिए?</v>
      </c>
      <c r="H395" s="5" t="str">
        <f>IFERROR(__xludf.DUMMYFUNCTION("GOOGLETRANSLATE(C395,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395" s="5" t="str">
        <f>IFERROR(__xludf.DUMMYFUNCTION("GOOGLETRANSLATE(D395, ""en"", ""hi"")"),"A) समस्या का समाधान होने तक खेल को रोक दिया जाता है।")</f>
        <v>A) समस्या का समाधान होने तक खेल को रोक दिया जाता है।</v>
      </c>
    </row>
    <row r="396" ht="22.5" customHeight="1">
      <c r="A396" s="2">
        <v>395.0</v>
      </c>
      <c r="B396" s="3" t="s">
        <v>4522</v>
      </c>
      <c r="C396" s="3" t="s">
        <v>4383</v>
      </c>
      <c r="D396" s="3" t="s">
        <v>4384</v>
      </c>
      <c r="F396" s="5" t="str">
        <f>IFERROR(__xludf.DUMMYFUNCTION("GOOGLETRANSLATE(A396, ""en"", ""hi"")"),"395")</f>
        <v>395</v>
      </c>
      <c r="G396" s="5" t="str">
        <f>IFERROR(__xludf.DUMMYFUNCTION("GOOGLETRANSLATE(B396, ""en"", ""hi"")"),"लागोरी में, यदि आक्रमणकारी टीम का कोई खिलाड़ी गेंद फेंकता है और वह पत्थर पर गिरती है, जिससे वह गिर जाता है, लेकिन गेंद खेल क्षेत्र के बाहर गिरती है, तो आगे क्या होता है?")</f>
        <v>लागोरी में, यदि आक्रमणकारी टीम का कोई खिलाड़ी गेंद फेंकता है और वह पत्थर पर गिरती है, जिससे वह गिर जाता है, लेकिन गेंद खेल क्षेत्र के बाहर गिरती है, तो आगे क्या होता है?</v>
      </c>
      <c r="H396" s="5" t="str">
        <f>IFERROR(__xludf.DUMMYFUNCTION("GOOGLETRANSLATE(C396,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396" s="5" t="str">
        <f>IFERROR(__xludf.DUMMYFUNCTION("GOOGLETRANSLATE(D396,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397" ht="22.5" customHeight="1">
      <c r="A397" s="2">
        <v>396.0</v>
      </c>
      <c r="B397" s="3" t="s">
        <v>4523</v>
      </c>
      <c r="C397" s="3" t="s">
        <v>4459</v>
      </c>
      <c r="D397" s="3" t="s">
        <v>4038</v>
      </c>
      <c r="F397" s="5" t="str">
        <f>IFERROR(__xludf.DUMMYFUNCTION("GOOGLETRANSLATE(A397, ""en"", ""hi"")"),"396")</f>
        <v>396</v>
      </c>
      <c r="G397" s="5" t="str">
        <f>IFERROR(__xludf.DUMMYFUNCTION("GOOGLETRANSLATE(B397, ""en"", ""hi"")"),"यदि गेंद पत्थर पर गिरती है और पत्थर उसे गिराता नहीं है, तो क्या नियम है?")</f>
        <v>यदि गेंद पत्थर पर गिरती है और पत्थर उसे गिराता नहीं है, तो क्या नियम है?</v>
      </c>
      <c r="H397" s="5" t="str">
        <f>IFERROR(__xludf.DUMMYFUNCTION("GOOGLETRANSLATE(C397,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397" s="5" t="str">
        <f>IFERROR(__xludf.DUMMYFUNCTION("GOOGLETRANSLATE(D397, ""en"", ""hi"")"),"A) आक्रमणकारी टीम अपनी बारी जारी रखती है।")</f>
        <v>A) आक्रमणकारी टीम अपनी बारी जारी रखती है।</v>
      </c>
    </row>
    <row r="398" ht="22.5" customHeight="1">
      <c r="A398" s="2">
        <v>397.0</v>
      </c>
      <c r="B398" s="3" t="s">
        <v>4524</v>
      </c>
      <c r="C398" s="3" t="s">
        <v>4451</v>
      </c>
      <c r="D398" s="3" t="s">
        <v>4452</v>
      </c>
      <c r="F398" s="5" t="str">
        <f>IFERROR(__xludf.DUMMYFUNCTION("GOOGLETRANSLATE(A398, ""en"", ""hi"")"),"397")</f>
        <v>397</v>
      </c>
      <c r="G398" s="5" t="str">
        <f>IFERROR(__xludf.DUMMYFUNCTION("GOOGLETRANSLATE(B398, ""en"", ""hi"")"),"लागोरी मैच के दौरान, यदि बचाव करने वाली टीम का कोई खिलाड़ी गेंद को जमीन पर गिरने से पहले ही पकड़ लेता है, तो क्या किया जाना चाहिए?")</f>
        <v>लागोरी मैच के दौरान, यदि बचाव करने वाली टीम का कोई खिलाड़ी गेंद को जमीन पर गिरने से पहले ही पकड़ लेता है, तो क्या किया जाना चाहिए?</v>
      </c>
      <c r="H398" s="5" t="str">
        <f>IFERROR(__xludf.DUMMYFUNCTION("GOOGLETRANSLATE(C398,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398" s="5" t="str">
        <f>IFERROR(__xludf.DUMMYFUNCTION("GOOGLETRANSLATE(D398, ""en"", ""hi"")"),"A) बचाव करने वाली टीम को अगला थ्रो करने का मौका मिलता है।")</f>
        <v>A) बचाव करने वाली टीम को अगला थ्रो करने का मौका मिलता है।</v>
      </c>
    </row>
    <row r="399" ht="22.5" customHeight="1">
      <c r="A399" s="2">
        <v>398.0</v>
      </c>
      <c r="B399" s="3" t="s">
        <v>4525</v>
      </c>
      <c r="C399" s="3" t="s">
        <v>4476</v>
      </c>
      <c r="D399" s="3" t="s">
        <v>4477</v>
      </c>
      <c r="F399" s="5" t="str">
        <f>IFERROR(__xludf.DUMMYFUNCTION("GOOGLETRANSLATE(A399, ""en"", ""hi"")"),"398")</f>
        <v>398</v>
      </c>
      <c r="G399" s="5" t="str">
        <f>IFERROR(__xludf.DUMMYFUNCTION("GOOGLETRANSLATE(B399, ""en"", ""hi"")"),"यदि किसी चोट के कारण लागोरी का खेल बाधित हो जाए तो क्या किया जाना चाहिए?")</f>
        <v>यदि किसी चोट के कारण लागोरी का खेल बाधित हो जाए तो क्या किया जाना चाहिए?</v>
      </c>
      <c r="H399" s="5" t="str">
        <f>IFERROR(__xludf.DUMMYFUNCTION("GOOGLETRANSLATE(C399,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399" s="5" t="str">
        <f>IFERROR(__xludf.DUMMYFUNCTION("GOOGLETRANSLATE(D399, ""en"", ""hi"")"),"A) जब तक खिलाड़ी को चिकित्सा सहायता नहीं मिल जाती, तब तक खेल रोक दिया जाता है।")</f>
        <v>A) जब तक खिलाड़ी को चिकित्सा सहायता नहीं मिल जाती, तब तक खेल रोक दिया जाता है।</v>
      </c>
    </row>
    <row r="400" ht="22.5" customHeight="1">
      <c r="A400" s="2">
        <v>399.0</v>
      </c>
      <c r="B400" s="3" t="s">
        <v>4526</v>
      </c>
      <c r="C400" s="3" t="s">
        <v>4383</v>
      </c>
      <c r="D400" s="3" t="s">
        <v>4384</v>
      </c>
      <c r="F400" s="5" t="str">
        <f>IFERROR(__xludf.DUMMYFUNCTION("GOOGLETRANSLATE(A400, ""en"", ""hi"")"),"399")</f>
        <v>399</v>
      </c>
      <c r="G400" s="5" t="str">
        <f>IFERROR(__xludf.DUMMYFUNCTION("GOOGLETRANSLATE(B400, ""en"", ""hi"")"),"लागोरी में, यदि कोई पत्थर गिरा दिया जाए और गेंद खेल क्षेत्र के बाहर गिर जाए, तो सही प्रक्रिया क्या है?")</f>
        <v>लागोरी में, यदि कोई पत्थर गिरा दिया जाए और गेंद खेल क्षेत्र के बाहर गिर जाए, तो सही प्रक्रिया क्या है?</v>
      </c>
      <c r="H400" s="5" t="str">
        <f>IFERROR(__xludf.DUMMYFUNCTION("GOOGLETRANSLATE(C400,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00" s="5" t="str">
        <f>IFERROR(__xludf.DUMMYFUNCTION("GOOGLETRANSLATE(D400,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01" ht="22.5" customHeight="1">
      <c r="A401" s="2">
        <v>400.0</v>
      </c>
      <c r="B401" s="3" t="s">
        <v>4527</v>
      </c>
      <c r="C401" s="3" t="s">
        <v>4459</v>
      </c>
      <c r="D401" s="3" t="s">
        <v>4038</v>
      </c>
      <c r="F401" s="5" t="str">
        <f>IFERROR(__xludf.DUMMYFUNCTION("GOOGLETRANSLATE(A401, ""en"", ""hi"")"),"400")</f>
        <v>400</v>
      </c>
      <c r="G401" s="5" t="str">
        <f>IFERROR(__xludf.DUMMYFUNCTION("GOOGLETRANSLATE(B401, ""en"", ""hi"")"),"यदि गेंद पत्थर पर गिरती है, लेकिन पत्थर नीचे नहीं गिरता, तो आगे क्या होगा?")</f>
        <v>यदि गेंद पत्थर पर गिरती है, लेकिन पत्थर नीचे नहीं गिरता, तो आगे क्या होगा?</v>
      </c>
      <c r="H401" s="5" t="str">
        <f>IFERROR(__xludf.DUMMYFUNCTION("GOOGLETRANSLATE(C401,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01" s="5" t="str">
        <f>IFERROR(__xludf.DUMMYFUNCTION("GOOGLETRANSLATE(D401, ""en"", ""hi"")"),"A) आक्रमणकारी टीम अपनी बारी जारी रखती है।")</f>
        <v>A) आक्रमणकारी टीम अपनी बारी जारी रखती है।</v>
      </c>
    </row>
    <row r="402" ht="22.5" customHeight="1">
      <c r="A402" s="2">
        <v>401.0</v>
      </c>
      <c r="B402" s="3" t="s">
        <v>4528</v>
      </c>
      <c r="C402" s="3" t="s">
        <v>4476</v>
      </c>
      <c r="D402" s="3" t="s">
        <v>4477</v>
      </c>
      <c r="F402" s="5" t="str">
        <f>IFERROR(__xludf.DUMMYFUNCTION("GOOGLETRANSLATE(A402, ""en"", ""hi"")"),"401")</f>
        <v>401</v>
      </c>
      <c r="G402" s="5" t="str">
        <f>IFERROR(__xludf.DUMMYFUNCTION("GOOGLETRANSLATE(B402, ""en"", ""hi"")"),"लागोरी मैच के दौरान, यदि किसी खिलाड़ी की चोट के कारण खेल बाधित होता है, तो सामान्य प्रक्रिया क्या होती है?")</f>
        <v>लागोरी मैच के दौरान, यदि किसी खिलाड़ी की चोट के कारण खेल बाधित होता है, तो सामान्य प्रक्रिया क्या होती है?</v>
      </c>
      <c r="H402" s="5" t="str">
        <f>IFERROR(__xludf.DUMMYFUNCTION("GOOGLETRANSLATE(C402,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402" s="5" t="str">
        <f>IFERROR(__xludf.DUMMYFUNCTION("GOOGLETRANSLATE(D402, ""en"", ""hi"")"),"A) जब तक खिलाड़ी को चिकित्सा सहायता नहीं मिल जाती, तब तक खेल रोक दिया जाता है।")</f>
        <v>A) जब तक खिलाड़ी को चिकित्सा सहायता नहीं मिल जाती, तब तक खेल रोक दिया जाता है।</v>
      </c>
    </row>
    <row r="403" ht="22.5" customHeight="1">
      <c r="A403" s="2">
        <v>402.0</v>
      </c>
      <c r="B403" s="3" t="s">
        <v>4480</v>
      </c>
      <c r="C403" s="3" t="s">
        <v>4459</v>
      </c>
      <c r="D403" s="3" t="s">
        <v>4038</v>
      </c>
      <c r="F403" s="5" t="str">
        <f>IFERROR(__xludf.DUMMYFUNCTION("GOOGLETRANSLATE(A403, ""en"", ""hi"")"),"402")</f>
        <v>402</v>
      </c>
      <c r="G403" s="5" t="str">
        <f>IFERROR(__xludf.DUMMYFUNCTION("GOOGLETRANSLATE(B403, ""en"", ""hi"")"),"लागोरी में यदि गेंद पत्थर पर गिरती है, लेकिन पत्थर नीचे नहीं गिरता, तो क्या करना चाहिए?")</f>
        <v>लागोरी में यदि गेंद पत्थर पर गिरती है, लेकिन पत्थर नीचे नहीं गिरता, तो क्या करना चाहिए?</v>
      </c>
      <c r="H403" s="5" t="str">
        <f>IFERROR(__xludf.DUMMYFUNCTION("GOOGLETRANSLATE(C403,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03" s="5" t="str">
        <f>IFERROR(__xludf.DUMMYFUNCTION("GOOGLETRANSLATE(D403, ""en"", ""hi"")"),"A) आक्रमणकारी टीम अपनी बारी जारी रखती है।")</f>
        <v>A) आक्रमणकारी टीम अपनी बारी जारी रखती है।</v>
      </c>
    </row>
    <row r="404" ht="22.5" customHeight="1">
      <c r="A404" s="2">
        <v>403.0</v>
      </c>
      <c r="B404" s="3" t="s">
        <v>4529</v>
      </c>
      <c r="C404" s="3" t="s">
        <v>4419</v>
      </c>
      <c r="D404" s="3" t="s">
        <v>4420</v>
      </c>
      <c r="F404" s="5" t="str">
        <f>IFERROR(__xludf.DUMMYFUNCTION("GOOGLETRANSLATE(A404, ""en"", ""hi"")"),"403")</f>
        <v>403</v>
      </c>
      <c r="G404" s="5" t="str">
        <f>IFERROR(__xludf.DUMMYFUNCTION("GOOGLETRANSLATE(B404, ""en"", ""hi"")"),"यदि किसी छोटी सी समस्या के कारण लागोरी खेल में बाधा उत्पन्न हो जाए तो क्या किया जाना चाहिए?")</f>
        <v>यदि किसी छोटी सी समस्या के कारण लागोरी खेल में बाधा उत्पन्न हो जाए तो क्या किया जाना चाहिए?</v>
      </c>
      <c r="H404" s="5" t="str">
        <f>IFERROR(__xludf.DUMMYFUNCTION("GOOGLETRANSLATE(C404,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04" s="5" t="str">
        <f>IFERROR(__xludf.DUMMYFUNCTION("GOOGLETRANSLATE(D404, ""en"", ""hi"")"),"A) समस्या का समाधान होने तक खेल को रोक दिया जाता है।")</f>
        <v>A) समस्या का समाधान होने तक खेल को रोक दिया जाता है।</v>
      </c>
    </row>
    <row r="405" ht="22.5" customHeight="1">
      <c r="A405" s="2">
        <v>404.0</v>
      </c>
      <c r="B405" s="3" t="s">
        <v>4530</v>
      </c>
      <c r="C405" s="3" t="s">
        <v>4531</v>
      </c>
      <c r="D405" s="3" t="s">
        <v>4038</v>
      </c>
      <c r="F405" s="5" t="str">
        <f>IFERROR(__xludf.DUMMYFUNCTION("GOOGLETRANSLATE(A405, ""en"", ""hi"")"),"404")</f>
        <v>404</v>
      </c>
      <c r="G405" s="5" t="str">
        <f>IFERROR(__xludf.DUMMYFUNCTION("GOOGLETRANSLATE(B405, ""en"", ""hi"")"),"लागोरी में यदि गेंद पत्थर पर गिरती है, लेकिन उसे गिरा नहीं पाती, तो आगे क्या होता है?")</f>
        <v>लागोरी में यदि गेंद पत्थर पर गिरती है, लेकिन उसे गिरा नहीं पाती, तो आगे क्या होता है?</v>
      </c>
      <c r="H405" s="5" t="str">
        <f>IFERROR(__xludf.DUMMYFUNCTION("GOOGLETRANSLATE(C405, ""en"", ""hi"")"),"A) आक्रमणकारी टीम अपनी बारी जारी रखती है। , B) बचाव करने वाली टीम को अगला थ्रो करने का मौका मिलता है। , C) खेल रोक दिया जाता है। , D) गेंद को बदल दिया जाता है।")</f>
        <v>A) आक्रमणकारी टीम अपनी बारी जारी रखती है। , B) बचाव करने वाली टीम को अगला थ्रो करने का मौका मिलता है। , C) खेल रोक दिया जाता है। , D) गेंद को बदल दिया जाता है।</v>
      </c>
      <c r="I405" s="5" t="str">
        <f>IFERROR(__xludf.DUMMYFUNCTION("GOOGLETRANSLATE(D405, ""en"", ""hi"")"),"A) आक्रमणकारी टीम अपनी बारी जारी रखती है।")</f>
        <v>A) आक्रमणकारी टीम अपनी बारी जारी रखती है।</v>
      </c>
    </row>
    <row r="406" ht="22.5" customHeight="1">
      <c r="A406" s="2">
        <v>405.0</v>
      </c>
      <c r="B406" s="3" t="s">
        <v>4532</v>
      </c>
      <c r="C406" s="3" t="s">
        <v>4503</v>
      </c>
      <c r="D406" s="3" t="s">
        <v>4452</v>
      </c>
      <c r="F406" s="5" t="str">
        <f>IFERROR(__xludf.DUMMYFUNCTION("GOOGLETRANSLATE(A406, ""en"", ""hi"")"),"405")</f>
        <v>405</v>
      </c>
      <c r="G406" s="5" t="str">
        <f>IFERROR(__xludf.DUMMYFUNCTION("GOOGLETRANSLATE(B406, ""en"", ""hi"")"),"लागोरी मैच के दौरान यदि कोई खिलाड़ी गेंद फेंकता है और वह पत्थर पर गिरती है, लेकिन उसे नीचे नहीं गिराती, तो आगे क्या किया जाना चाहिए?")</f>
        <v>लागोरी मैच के दौरान यदि कोई खिलाड़ी गेंद फेंकता है और वह पत्थर पर गिरती है, लेकिन उसे नीचे नहीं गिराती, तो आगे क्या किया जाना चाहिए?</v>
      </c>
      <c r="H406" s="5" t="str">
        <f>IFERROR(__xludf.DUMMYFUNCTION("GOOGLETRANSLATE(C406,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06" s="5" t="str">
        <f>IFERROR(__xludf.DUMMYFUNCTION("GOOGLETRANSLATE(D406, ""en"", ""hi"")"),"A) बचाव करने वाली टीम को अगला थ्रो करने का मौका मिलता है।")</f>
        <v>A) बचाव करने वाली टीम को अगला थ्रो करने का मौका मिलता है।</v>
      </c>
    </row>
    <row r="407" ht="22.5" customHeight="1">
      <c r="A407" s="2">
        <v>406.0</v>
      </c>
      <c r="B407" s="3" t="s">
        <v>4533</v>
      </c>
      <c r="C407" s="3" t="s">
        <v>4383</v>
      </c>
      <c r="D407" s="3" t="s">
        <v>4384</v>
      </c>
      <c r="F407" s="5" t="str">
        <f>IFERROR(__xludf.DUMMYFUNCTION("GOOGLETRANSLATE(A407, ""en"", ""hi"")"),"406")</f>
        <v>406</v>
      </c>
      <c r="G407" s="5" t="str">
        <f>IFERROR(__xludf.DUMMYFUNCTION("GOOGLETRANSLATE(B407, ""en"", ""hi"")"),"यदि कोई पत्थर गिर जाए और गेंद खेल क्षेत्र के बाहर गिर जाए तो क्या करना चाहिए?")</f>
        <v>यदि कोई पत्थर गिर जाए और गेंद खेल क्षेत्र के बाहर गिर जाए तो क्या करना चाहिए?</v>
      </c>
      <c r="H407" s="5" t="str">
        <f>IFERROR(__xludf.DUMMYFUNCTION("GOOGLETRANSLATE(C407,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07" s="5" t="str">
        <f>IFERROR(__xludf.DUMMYFUNCTION("GOOGLETRANSLATE(D407,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08" ht="22.5" customHeight="1">
      <c r="A408" s="2">
        <v>407.0</v>
      </c>
      <c r="B408" s="3" t="s">
        <v>4534</v>
      </c>
      <c r="C408" s="3" t="s">
        <v>4459</v>
      </c>
      <c r="D408" s="3" t="s">
        <v>4038</v>
      </c>
      <c r="F408" s="5" t="str">
        <f>IFERROR(__xludf.DUMMYFUNCTION("GOOGLETRANSLATE(A408, ""en"", ""hi"")"),"407")</f>
        <v>407</v>
      </c>
      <c r="G408" s="5" t="str">
        <f>IFERROR(__xludf.DUMMYFUNCTION("GOOGLETRANSLATE(B408, ""en"", ""hi"")"),"लागोरी में यदि गेंद पत्थर पर गिरती है और पत्थर उसे गिराता नहीं है तो क्या नियम है?")</f>
        <v>लागोरी में यदि गेंद पत्थर पर गिरती है और पत्थर उसे गिराता नहीं है तो क्या नियम है?</v>
      </c>
      <c r="H408" s="5" t="str">
        <f>IFERROR(__xludf.DUMMYFUNCTION("GOOGLETRANSLATE(C408,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08" s="5" t="str">
        <f>IFERROR(__xludf.DUMMYFUNCTION("GOOGLETRANSLATE(D408, ""en"", ""hi"")"),"A) आक्रमणकारी टीम अपनी बारी जारी रखती है।")</f>
        <v>A) आक्रमणकारी टीम अपनी बारी जारी रखती है।</v>
      </c>
    </row>
    <row r="409" ht="22.5" customHeight="1">
      <c r="A409" s="2">
        <v>408.0</v>
      </c>
      <c r="B409" s="3" t="s">
        <v>4535</v>
      </c>
      <c r="C409" s="3" t="s">
        <v>4476</v>
      </c>
      <c r="D409" s="3" t="s">
        <v>4477</v>
      </c>
      <c r="F409" s="5" t="str">
        <f>IFERROR(__xludf.DUMMYFUNCTION("GOOGLETRANSLATE(A409, ""en"", ""hi"")"),"408")</f>
        <v>408</v>
      </c>
      <c r="G409" s="5" t="str">
        <f>IFERROR(__xludf.DUMMYFUNCTION("GOOGLETRANSLATE(B409, ""en"", ""hi"")"),"लागोरी मैच के दौरान यदि किसी खिलाड़ी की चोट के कारण खेल बाधित हो जाए तो क्या किया जाना चाहिए?")</f>
        <v>लागोरी मैच के दौरान यदि किसी खिलाड़ी की चोट के कारण खेल बाधित हो जाए तो क्या किया जाना चाहिए?</v>
      </c>
      <c r="H409" s="5" t="str">
        <f>IFERROR(__xludf.DUMMYFUNCTION("GOOGLETRANSLATE(C409,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409" s="5" t="str">
        <f>IFERROR(__xludf.DUMMYFUNCTION("GOOGLETRANSLATE(D409, ""en"", ""hi"")"),"A) जब तक खिलाड़ी को चिकित्सा सहायता नहीं मिल जाती, तब तक खेल रोक दिया जाता है।")</f>
        <v>A) जब तक खिलाड़ी को चिकित्सा सहायता नहीं मिल जाती, तब तक खेल रोक दिया जाता है।</v>
      </c>
    </row>
    <row r="410" ht="22.5" customHeight="1">
      <c r="A410" s="2">
        <v>409.0</v>
      </c>
      <c r="B410" s="3" t="s">
        <v>4496</v>
      </c>
      <c r="C410" s="3" t="s">
        <v>4419</v>
      </c>
      <c r="D410" s="3" t="s">
        <v>4420</v>
      </c>
      <c r="F410" s="5" t="str">
        <f>IFERROR(__xludf.DUMMYFUNCTION("GOOGLETRANSLATE(A410, ""en"", ""hi"")"),"409")</f>
        <v>409</v>
      </c>
      <c r="G410" s="5" t="str">
        <f>IFERROR(__xludf.DUMMYFUNCTION("GOOGLETRANSLATE(B410, ""en"", ""hi"")"),"यदि किसी छोटी सी समस्या के कारण लागोरी खेल में बाधा उत्पन्न हो, जैसे कि किसी खिलाड़ी को चिकित्सा सहायता की आवश्यकता हो, तो क्या किया जाना चाहिए?")</f>
        <v>यदि किसी छोटी सी समस्या के कारण लागोरी खेल में बाधा उत्पन्न हो, जैसे कि किसी खिलाड़ी को चिकित्सा सहायता की आवश्यकता हो, तो क्या किया जाना चाहिए?</v>
      </c>
      <c r="H410" s="5" t="str">
        <f>IFERROR(__xludf.DUMMYFUNCTION("GOOGLETRANSLATE(C410,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10" s="5" t="str">
        <f>IFERROR(__xludf.DUMMYFUNCTION("GOOGLETRANSLATE(D410, ""en"", ""hi"")"),"A) समस्या का समाधान होने तक खेल को रोक दिया जाता है।")</f>
        <v>A) समस्या का समाधान होने तक खेल को रोक दिया जाता है।</v>
      </c>
    </row>
    <row r="411" ht="22.5" customHeight="1">
      <c r="A411" s="2">
        <v>410.0</v>
      </c>
      <c r="B411" s="3" t="s">
        <v>4536</v>
      </c>
      <c r="C411" s="3" t="s">
        <v>4459</v>
      </c>
      <c r="D411" s="3" t="s">
        <v>4038</v>
      </c>
      <c r="F411" s="5" t="str">
        <f>IFERROR(__xludf.DUMMYFUNCTION("GOOGLETRANSLATE(A411, ""en"", ""hi"")"),"410")</f>
        <v>410</v>
      </c>
      <c r="G411" s="5" t="str">
        <f>IFERROR(__xludf.DUMMYFUNCTION("GOOGLETRANSLATE(B411, ""en"", ""hi"")"),"लागोरी में यदि गेंद पत्थर पर गिरती है, लेकिन पत्थर नीचे नहीं गिरता, तो आगे क्या होता है?")</f>
        <v>लागोरी में यदि गेंद पत्थर पर गिरती है, लेकिन पत्थर नीचे नहीं गिरता, तो आगे क्या होता है?</v>
      </c>
      <c r="H411" s="5" t="str">
        <f>IFERROR(__xludf.DUMMYFUNCTION("GOOGLETRANSLATE(C411,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11" s="5" t="str">
        <f>IFERROR(__xludf.DUMMYFUNCTION("GOOGLETRANSLATE(D411, ""en"", ""hi"")"),"A) आक्रमणकारी टीम अपनी बारी जारी रखती है।")</f>
        <v>A) आक्रमणकारी टीम अपनी बारी जारी रखती है।</v>
      </c>
    </row>
    <row r="412" ht="22.5" customHeight="1">
      <c r="A412" s="2">
        <v>411.0</v>
      </c>
      <c r="B412" s="3" t="s">
        <v>4537</v>
      </c>
      <c r="C412" s="3" t="s">
        <v>4503</v>
      </c>
      <c r="D412" s="3" t="s">
        <v>4452</v>
      </c>
      <c r="F412" s="5" t="str">
        <f>IFERROR(__xludf.DUMMYFUNCTION("GOOGLETRANSLATE(A412, ""en"", ""hi"")"),"411")</f>
        <v>411</v>
      </c>
      <c r="G412" s="5" t="str">
        <f>IFERROR(__xludf.DUMMYFUNCTION("GOOGLETRANSLATE(B412, ""en"", ""hi"")"),"लागोरी मैच के दौरान यदि गेंद पत्थर पर गिरती है, लेकिन उसे गिरा नहीं पाती, तो क्या किया जाना चाहिए?")</f>
        <v>लागोरी मैच के दौरान यदि गेंद पत्थर पर गिरती है, लेकिन उसे गिरा नहीं पाती, तो क्या किया जाना चाहिए?</v>
      </c>
      <c r="H412" s="5" t="str">
        <f>IFERROR(__xludf.DUMMYFUNCTION("GOOGLETRANSLATE(C412,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12" s="5" t="str">
        <f>IFERROR(__xludf.DUMMYFUNCTION("GOOGLETRANSLATE(D412, ""en"", ""hi"")"),"A) बचाव करने वाली टीम को अगला थ्रो करने का मौका मिलता है।")</f>
        <v>A) बचाव करने वाली टीम को अगला थ्रो करने का मौका मिलता है।</v>
      </c>
    </row>
    <row r="413" ht="22.5" customHeight="1">
      <c r="A413" s="2">
        <v>412.0</v>
      </c>
      <c r="B413" s="3" t="s">
        <v>4538</v>
      </c>
      <c r="C413" s="3" t="s">
        <v>4476</v>
      </c>
      <c r="D413" s="3" t="s">
        <v>4477</v>
      </c>
      <c r="F413" s="5" t="str">
        <f>IFERROR(__xludf.DUMMYFUNCTION("GOOGLETRANSLATE(A413, ""en"", ""hi"")"),"412")</f>
        <v>412</v>
      </c>
      <c r="G413" s="5" t="str">
        <f>IFERROR(__xludf.DUMMYFUNCTION("GOOGLETRANSLATE(B413, ""en"", ""hi"")"),"यदि किसी चोट के कारण लागोरी का खेल बाधित हो जाए तो क्या प्रक्रिया अपनाई जानी चाहिए?")</f>
        <v>यदि किसी चोट के कारण लागोरी का खेल बाधित हो जाए तो क्या प्रक्रिया अपनाई जानी चाहिए?</v>
      </c>
      <c r="H413" s="5" t="str">
        <f>IFERROR(__xludf.DUMMYFUNCTION("GOOGLETRANSLATE(C413,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413" s="5" t="str">
        <f>IFERROR(__xludf.DUMMYFUNCTION("GOOGLETRANSLATE(D413, ""en"", ""hi"")"),"A) जब तक खिलाड़ी को चिकित्सा सहायता नहीं मिल जाती, तब तक खेल रोक दिया जाता है।")</f>
        <v>A) जब तक खिलाड़ी को चिकित्सा सहायता नहीं मिल जाती, तब तक खेल रोक दिया जाता है।</v>
      </c>
    </row>
    <row r="414" ht="22.5" customHeight="1">
      <c r="A414" s="2">
        <v>413.0</v>
      </c>
      <c r="B414" s="3" t="s">
        <v>4516</v>
      </c>
      <c r="C414" s="3" t="s">
        <v>4383</v>
      </c>
      <c r="D414" s="3" t="s">
        <v>4384</v>
      </c>
      <c r="F414" s="5" t="str">
        <f>IFERROR(__xludf.DUMMYFUNCTION("GOOGLETRANSLATE(A414, ""en"", ""hi"")"),"413")</f>
        <v>413</v>
      </c>
      <c r="G414" s="5" t="str">
        <f>IFERROR(__xludf.DUMMYFUNCTION("GOOGLETRANSLATE(B414, ""en"", ""hi"")"),"लागोरी में यदि कोई पत्थर गिरा दिया जाए और गेंद खेल क्षेत्र के बाहर गिर जाए तो क्या नियम है?")</f>
        <v>लागोरी में यदि कोई पत्थर गिरा दिया जाए और गेंद खेल क्षेत्र के बाहर गिर जाए तो क्या नियम है?</v>
      </c>
      <c r="H414" s="5" t="str">
        <f>IFERROR(__xludf.DUMMYFUNCTION("GOOGLETRANSLATE(C414,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14" s="5" t="str">
        <f>IFERROR(__xludf.DUMMYFUNCTION("GOOGLETRANSLATE(D414,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15" ht="22.5" customHeight="1">
      <c r="A415" s="2">
        <v>414.0</v>
      </c>
      <c r="B415" s="3" t="s">
        <v>4539</v>
      </c>
      <c r="C415" s="3" t="s">
        <v>4459</v>
      </c>
      <c r="D415" s="3" t="s">
        <v>4038</v>
      </c>
      <c r="F415" s="5" t="str">
        <f>IFERROR(__xludf.DUMMYFUNCTION("GOOGLETRANSLATE(A415, ""en"", ""hi"")"),"414")</f>
        <v>414</v>
      </c>
      <c r="G415" s="5" t="str">
        <f>IFERROR(__xludf.DUMMYFUNCTION("GOOGLETRANSLATE(B415, ""en"", ""hi"")"),"लागोरी मैच के दौरान यदि गेंद पत्थर पर गिरती है और पत्थर नीचे नहीं गिरता है तो क्या करना चाहिए?")</f>
        <v>लागोरी मैच के दौरान यदि गेंद पत्थर पर गिरती है और पत्थर नीचे नहीं गिरता है तो क्या करना चाहिए?</v>
      </c>
      <c r="H415" s="5" t="str">
        <f>IFERROR(__xludf.DUMMYFUNCTION("GOOGLETRANSLATE(C415,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15" s="5" t="str">
        <f>IFERROR(__xludf.DUMMYFUNCTION("GOOGLETRANSLATE(D415, ""en"", ""hi"")"),"A) आक्रमणकारी टीम अपनी बारी जारी रखती है।")</f>
        <v>A) आक्रमणकारी टीम अपनी बारी जारी रखती है।</v>
      </c>
    </row>
    <row r="416" ht="22.5" customHeight="1">
      <c r="A416" s="2">
        <v>415.0</v>
      </c>
      <c r="B416" s="3" t="s">
        <v>4540</v>
      </c>
      <c r="C416" s="3" t="s">
        <v>4419</v>
      </c>
      <c r="D416" s="3" t="s">
        <v>4420</v>
      </c>
      <c r="F416" s="5" t="str">
        <f>IFERROR(__xludf.DUMMYFUNCTION("GOOGLETRANSLATE(A416, ""en"", ""hi"")"),"415")</f>
        <v>415</v>
      </c>
      <c r="G416" s="5" t="str">
        <f>IFERROR(__xludf.DUMMYFUNCTION("GOOGLETRANSLATE(B416, ""en"", ""hi"")"),"यदि किसी छोटी सी समस्या के कारण लागोरी खेल बाधित हो जाए तो सही प्रक्रिया क्या है?")</f>
        <v>यदि किसी छोटी सी समस्या के कारण लागोरी खेल बाधित हो जाए तो सही प्रक्रिया क्या है?</v>
      </c>
      <c r="H416" s="5" t="str">
        <f>IFERROR(__xludf.DUMMYFUNCTION("GOOGLETRANSLATE(C416,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16" s="5" t="str">
        <f>IFERROR(__xludf.DUMMYFUNCTION("GOOGLETRANSLATE(D416, ""en"", ""hi"")"),"A) समस्या का समाधान होने तक खेल को रोक दिया जाता है।")</f>
        <v>A) समस्या का समाधान होने तक खेल को रोक दिया जाता है।</v>
      </c>
    </row>
    <row r="417" ht="22.5" customHeight="1">
      <c r="A417" s="2">
        <v>416.0</v>
      </c>
      <c r="B417" s="3" t="s">
        <v>4541</v>
      </c>
      <c r="C417" s="3" t="s">
        <v>4503</v>
      </c>
      <c r="D417" s="3" t="s">
        <v>4452</v>
      </c>
      <c r="F417" s="5" t="str">
        <f>IFERROR(__xludf.DUMMYFUNCTION("GOOGLETRANSLATE(A417, ""en"", ""hi"")"),"416")</f>
        <v>416</v>
      </c>
      <c r="G417" s="5" t="str">
        <f>IFERROR(__xludf.DUMMYFUNCTION("GOOGLETRANSLATE(B417, ""en"", ""hi"")"),"लागोरी में, यदि कोई खिलाड़ी गेंद फेंकता है और वह पत्थर पर गिरती है, लेकिन उसे नीचे नहीं गिराती है, तो सही क्रिया क्या होगी?")</f>
        <v>लागोरी में, यदि कोई खिलाड़ी गेंद फेंकता है और वह पत्थर पर गिरती है, लेकिन उसे नीचे नहीं गिराती है, तो सही क्रिया क्या होगी?</v>
      </c>
      <c r="H417" s="5" t="str">
        <f>IFERROR(__xludf.DUMMYFUNCTION("GOOGLETRANSLATE(C417,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17" s="5" t="str">
        <f>IFERROR(__xludf.DUMMYFUNCTION("GOOGLETRANSLATE(D417, ""en"", ""hi"")"),"A) बचाव करने वाली टीम को अगला थ्रो करने का मौका मिलता है।")</f>
        <v>A) बचाव करने वाली टीम को अगला थ्रो करने का मौका मिलता है।</v>
      </c>
    </row>
    <row r="418" ht="22.5" customHeight="1">
      <c r="A418" s="2">
        <v>417.0</v>
      </c>
      <c r="B418" s="3" t="s">
        <v>4511</v>
      </c>
      <c r="C418" s="3" t="s">
        <v>4451</v>
      </c>
      <c r="D418" s="3" t="s">
        <v>4452</v>
      </c>
      <c r="F418" s="5" t="str">
        <f>IFERROR(__xludf.DUMMYFUNCTION("GOOGLETRANSLATE(A418, ""en"", ""hi"")"),"417")</f>
        <v>417</v>
      </c>
      <c r="G418" s="5" t="str">
        <f>IFERROR(__xludf.DUMMYFUNCTION("GOOGLETRANSLATE(B418, ""en"", ""hi"")"),"लागोरी मैच के दौरान, यदि बचाव करने वाली टीम का कोई खिलाड़ी गेंद को जमीन पर गिरने से पहले ही पकड़ लेता है, तो आगे क्या होता है?")</f>
        <v>लागोरी मैच के दौरान, यदि बचाव करने वाली टीम का कोई खिलाड़ी गेंद को जमीन पर गिरने से पहले ही पकड़ लेता है, तो आगे क्या होता है?</v>
      </c>
      <c r="H418" s="5" t="str">
        <f>IFERROR(__xludf.DUMMYFUNCTION("GOOGLETRANSLATE(C418,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418" s="5" t="str">
        <f>IFERROR(__xludf.DUMMYFUNCTION("GOOGLETRANSLATE(D418, ""en"", ""hi"")"),"A) बचाव करने वाली टीम को अगला थ्रो करने का मौका मिलता है।")</f>
        <v>A) बचाव करने वाली टीम को अगला थ्रो करने का मौका मिलता है।</v>
      </c>
    </row>
    <row r="419" ht="22.5" customHeight="1">
      <c r="A419" s="2">
        <v>418.0</v>
      </c>
      <c r="B419" s="3" t="s">
        <v>4533</v>
      </c>
      <c r="C419" s="3" t="s">
        <v>4383</v>
      </c>
      <c r="D419" s="3" t="s">
        <v>4384</v>
      </c>
      <c r="F419" s="5" t="str">
        <f>IFERROR(__xludf.DUMMYFUNCTION("GOOGLETRANSLATE(A419, ""en"", ""hi"")"),"418")</f>
        <v>418</v>
      </c>
      <c r="G419" s="5" t="str">
        <f>IFERROR(__xludf.DUMMYFUNCTION("GOOGLETRANSLATE(B419, ""en"", ""hi"")"),"यदि कोई पत्थर गिर जाए और गेंद खेल क्षेत्र के बाहर गिर जाए तो क्या करना चाहिए?")</f>
        <v>यदि कोई पत्थर गिर जाए और गेंद खेल क्षेत्र के बाहर गिर जाए तो क्या करना चाहिए?</v>
      </c>
      <c r="H419" s="5" t="str">
        <f>IFERROR(__xludf.DUMMYFUNCTION("GOOGLETRANSLATE(C419,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19" s="5" t="str">
        <f>IFERROR(__xludf.DUMMYFUNCTION("GOOGLETRANSLATE(D419,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20" ht="22.5" customHeight="1">
      <c r="A420" s="2">
        <v>419.0</v>
      </c>
      <c r="B420" s="3" t="s">
        <v>4501</v>
      </c>
      <c r="C420" s="3" t="s">
        <v>4459</v>
      </c>
      <c r="D420" s="3" t="s">
        <v>4038</v>
      </c>
      <c r="F420" s="5" t="str">
        <f>IFERROR(__xludf.DUMMYFUNCTION("GOOGLETRANSLATE(A420, ""en"", ""hi"")"),"419")</f>
        <v>419</v>
      </c>
      <c r="G420" s="5" t="str">
        <f>IFERROR(__xludf.DUMMYFUNCTION("GOOGLETRANSLATE(B420, ""en"", ""hi"")"),"लागोरी में यदि गेंद पत्थर पर गिरती है, लेकिन पत्थर उसे गिराता नहीं है, तो क्या नियम है?")</f>
        <v>लागोरी में यदि गेंद पत्थर पर गिरती है, लेकिन पत्थर उसे गिराता नहीं है, तो क्या नियम है?</v>
      </c>
      <c r="H420" s="5" t="str">
        <f>IFERROR(__xludf.DUMMYFUNCTION("GOOGLETRANSLATE(C420,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20" s="5" t="str">
        <f>IFERROR(__xludf.DUMMYFUNCTION("GOOGLETRANSLATE(D420, ""en"", ""hi"")"),"A) आक्रमणकारी टीम अपनी बारी जारी रखती है।")</f>
        <v>A) आक्रमणकारी टीम अपनी बारी जारी रखती है।</v>
      </c>
    </row>
    <row r="421" ht="22.5" customHeight="1">
      <c r="A421" s="2">
        <v>420.0</v>
      </c>
      <c r="B421" s="3" t="s">
        <v>4535</v>
      </c>
      <c r="C421" s="3" t="s">
        <v>4476</v>
      </c>
      <c r="D421" s="3" t="s">
        <v>4477</v>
      </c>
      <c r="F421" s="5" t="str">
        <f>IFERROR(__xludf.DUMMYFUNCTION("GOOGLETRANSLATE(A421, ""en"", ""hi"")"),"420")</f>
        <v>420</v>
      </c>
      <c r="G421" s="5" t="str">
        <f>IFERROR(__xludf.DUMMYFUNCTION("GOOGLETRANSLATE(B421, ""en"", ""hi"")"),"लागोरी मैच के दौरान यदि किसी खिलाड़ी की चोट के कारण खेल बाधित हो जाए तो क्या किया जाना चाहिए?")</f>
        <v>लागोरी मैच के दौरान यदि किसी खिलाड़ी की चोट के कारण खेल बाधित हो जाए तो क्या किया जाना चाहिए?</v>
      </c>
      <c r="H421" s="5" t="str">
        <f>IFERROR(__xludf.DUMMYFUNCTION("GOOGLETRANSLATE(C421,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421" s="5" t="str">
        <f>IFERROR(__xludf.DUMMYFUNCTION("GOOGLETRANSLATE(D421, ""en"", ""hi"")"),"A) जब तक खिलाड़ी को चिकित्सा सहायता नहीं मिल जाती, तब तक खेल रोक दिया जाता है।")</f>
        <v>A) जब तक खिलाड़ी को चिकित्सा सहायता नहीं मिल जाती, तब तक खेल रोक दिया जाता है।</v>
      </c>
    </row>
    <row r="422" ht="22.5" customHeight="1">
      <c r="A422" s="2">
        <v>421.0</v>
      </c>
      <c r="B422" s="3" t="s">
        <v>4542</v>
      </c>
      <c r="C422" s="3" t="s">
        <v>4419</v>
      </c>
      <c r="D422" s="3" t="s">
        <v>4420</v>
      </c>
      <c r="F422" s="5" t="str">
        <f>IFERROR(__xludf.DUMMYFUNCTION("GOOGLETRANSLATE(A422, ""en"", ""hi"")"),"421")</f>
        <v>421</v>
      </c>
      <c r="G422" s="5" t="str">
        <f>IFERROR(__xludf.DUMMYFUNCTION("GOOGLETRANSLATE(B422, ""en"", ""hi"")"),"यदि किसी छोटी सी समस्या के कारण लागोरी खेल बाधित हो जाए तो सामान्य प्रक्रिया क्या होगी?")</f>
        <v>यदि किसी छोटी सी समस्या के कारण लागोरी खेल बाधित हो जाए तो सामान्य प्रक्रिया क्या होगी?</v>
      </c>
      <c r="H422" s="5" t="str">
        <f>IFERROR(__xludf.DUMMYFUNCTION("GOOGLETRANSLATE(C422,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22" s="5" t="str">
        <f>IFERROR(__xludf.DUMMYFUNCTION("GOOGLETRANSLATE(D422, ""en"", ""hi"")"),"A) समस्या का समाधान होने तक खेल को रोक दिया जाता है।")</f>
        <v>A) समस्या का समाधान होने तक खेल को रोक दिया जाता है।</v>
      </c>
    </row>
    <row r="423" ht="22.5" customHeight="1">
      <c r="A423" s="2">
        <v>422.0</v>
      </c>
      <c r="B423" s="3" t="s">
        <v>4530</v>
      </c>
      <c r="C423" s="3" t="s">
        <v>4531</v>
      </c>
      <c r="D423" s="3" t="s">
        <v>4038</v>
      </c>
      <c r="F423" s="5" t="str">
        <f>IFERROR(__xludf.DUMMYFUNCTION("GOOGLETRANSLATE(A423, ""en"", ""hi"")"),"422")</f>
        <v>422</v>
      </c>
      <c r="G423" s="5" t="str">
        <f>IFERROR(__xludf.DUMMYFUNCTION("GOOGLETRANSLATE(B423, ""en"", ""hi"")"),"लागोरी में यदि गेंद पत्थर पर गिरती है, लेकिन उसे गिरा नहीं पाती, तो आगे क्या होता है?")</f>
        <v>लागोरी में यदि गेंद पत्थर पर गिरती है, लेकिन उसे गिरा नहीं पाती, तो आगे क्या होता है?</v>
      </c>
      <c r="H423" s="5" t="str">
        <f>IFERROR(__xludf.DUMMYFUNCTION("GOOGLETRANSLATE(C423, ""en"", ""hi"")"),"A) आक्रमणकारी टीम अपनी बारी जारी रखती है। , B) बचाव करने वाली टीम को अगला थ्रो करने का मौका मिलता है। , C) खेल रोक दिया जाता है। , D) गेंद को बदल दिया जाता है।")</f>
        <v>A) आक्रमणकारी टीम अपनी बारी जारी रखती है। , B) बचाव करने वाली टीम को अगला थ्रो करने का मौका मिलता है। , C) खेल रोक दिया जाता है। , D) गेंद को बदल दिया जाता है।</v>
      </c>
      <c r="I423" s="5" t="str">
        <f>IFERROR(__xludf.DUMMYFUNCTION("GOOGLETRANSLATE(D423, ""en"", ""hi"")"),"A) आक्रमणकारी टीम अपनी बारी जारी रखती है।")</f>
        <v>A) आक्रमणकारी टीम अपनी बारी जारी रखती है।</v>
      </c>
    </row>
    <row r="424" ht="22.5" customHeight="1">
      <c r="A424" s="2">
        <v>423.0</v>
      </c>
      <c r="B424" s="3" t="s">
        <v>4543</v>
      </c>
      <c r="C424" s="3" t="s">
        <v>4503</v>
      </c>
      <c r="D424" s="3" t="s">
        <v>4452</v>
      </c>
      <c r="F424" s="5" t="str">
        <f>IFERROR(__xludf.DUMMYFUNCTION("GOOGLETRANSLATE(A424, ""en"", ""hi"")"),"423")</f>
        <v>423</v>
      </c>
      <c r="G424" s="5" t="str">
        <f>IFERROR(__xludf.DUMMYFUNCTION("GOOGLETRANSLATE(B424, ""en"", ""hi"")"),"लागोरी मैच के दौरान यदि कोई खिलाड़ी गेंद फेंकता है और वह पत्थर पर गिरती है, लेकिन उसे नीचे नहीं गिराती, तो क्या किया जाना चाहिए?")</f>
        <v>लागोरी मैच के दौरान यदि कोई खिलाड़ी गेंद फेंकता है और वह पत्थर पर गिरती है, लेकिन उसे नीचे नहीं गिराती, तो क्या किया जाना चाहिए?</v>
      </c>
      <c r="H424" s="5" t="str">
        <f>IFERROR(__xludf.DUMMYFUNCTION("GOOGLETRANSLATE(C424,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24" s="5" t="str">
        <f>IFERROR(__xludf.DUMMYFUNCTION("GOOGLETRANSLATE(D424, ""en"", ""hi"")"),"A) बचाव करने वाली टीम को अगला थ्रो करने का मौका मिलता है।")</f>
        <v>A) बचाव करने वाली टीम को अगला थ्रो करने का मौका मिलता है।</v>
      </c>
    </row>
    <row r="425" ht="22.5" customHeight="1">
      <c r="A425" s="2">
        <v>424.0</v>
      </c>
      <c r="B425" s="3" t="s">
        <v>4538</v>
      </c>
      <c r="C425" s="3" t="s">
        <v>4476</v>
      </c>
      <c r="D425" s="3" t="s">
        <v>4477</v>
      </c>
      <c r="F425" s="5" t="str">
        <f>IFERROR(__xludf.DUMMYFUNCTION("GOOGLETRANSLATE(A425, ""en"", ""hi"")"),"424")</f>
        <v>424</v>
      </c>
      <c r="G425" s="5" t="str">
        <f>IFERROR(__xludf.DUMMYFUNCTION("GOOGLETRANSLATE(B425, ""en"", ""hi"")"),"यदि किसी चोट के कारण लागोरी का खेल बाधित हो जाए तो क्या प्रक्रिया अपनाई जानी चाहिए?")</f>
        <v>यदि किसी चोट के कारण लागोरी का खेल बाधित हो जाए तो क्या प्रक्रिया अपनाई जानी चाहिए?</v>
      </c>
      <c r="H425" s="5" t="str">
        <f>IFERROR(__xludf.DUMMYFUNCTION("GOOGLETRANSLATE(C425,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425" s="5" t="str">
        <f>IFERROR(__xludf.DUMMYFUNCTION("GOOGLETRANSLATE(D425, ""en"", ""hi"")"),"A) जब तक खिलाड़ी को चिकित्सा सहायता नहीं मिल जाती, तब तक खेल रोक दिया जाता है।")</f>
        <v>A) जब तक खिलाड़ी को चिकित्सा सहायता नहीं मिल जाती, तब तक खेल रोक दिया जाता है।</v>
      </c>
    </row>
    <row r="426" ht="22.5" customHeight="1">
      <c r="A426" s="2">
        <v>425.0</v>
      </c>
      <c r="B426" s="3" t="s">
        <v>4544</v>
      </c>
      <c r="C426" s="3" t="s">
        <v>4383</v>
      </c>
      <c r="D426" s="3" t="s">
        <v>4384</v>
      </c>
      <c r="F426" s="5" t="str">
        <f>IFERROR(__xludf.DUMMYFUNCTION("GOOGLETRANSLATE(A426, ""en"", ""hi"")"),"425")</f>
        <v>425</v>
      </c>
      <c r="G426" s="5" t="str">
        <f>IFERROR(__xludf.DUMMYFUNCTION("GOOGLETRANSLATE(B426, ""en"", ""hi"")"),"लागोरी में, यदि कोई पत्थर गिरा दिया जाए और गेंद खेल क्षेत्र के बाहर गिर जाए, तो सही नियम क्या है?")</f>
        <v>लागोरी में, यदि कोई पत्थर गिरा दिया जाए और गेंद खेल क्षेत्र के बाहर गिर जाए, तो सही नियम क्या है?</v>
      </c>
      <c r="H426" s="5" t="str">
        <f>IFERROR(__xludf.DUMMYFUNCTION("GOOGLETRANSLATE(C426,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26" s="5" t="str">
        <f>IFERROR(__xludf.DUMMYFUNCTION("GOOGLETRANSLATE(D426,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27" ht="22.5" customHeight="1">
      <c r="A427" s="2">
        <v>426.0</v>
      </c>
      <c r="B427" s="3" t="s">
        <v>4537</v>
      </c>
      <c r="C427" s="3" t="s">
        <v>4459</v>
      </c>
      <c r="D427" s="3" t="s">
        <v>4038</v>
      </c>
      <c r="F427" s="5" t="str">
        <f>IFERROR(__xludf.DUMMYFUNCTION("GOOGLETRANSLATE(A427, ""en"", ""hi"")"),"426")</f>
        <v>426</v>
      </c>
      <c r="G427" s="5" t="str">
        <f>IFERROR(__xludf.DUMMYFUNCTION("GOOGLETRANSLATE(B427, ""en"", ""hi"")"),"लागोरी मैच के दौरान यदि गेंद पत्थर पर गिरती है, लेकिन उसे गिरा नहीं पाती, तो क्या किया जाना चाहिए?")</f>
        <v>लागोरी मैच के दौरान यदि गेंद पत्थर पर गिरती है, लेकिन उसे गिरा नहीं पाती, तो क्या किया जाना चाहिए?</v>
      </c>
      <c r="H427" s="5" t="str">
        <f>IFERROR(__xludf.DUMMYFUNCTION("GOOGLETRANSLATE(C427,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27" s="5" t="str">
        <f>IFERROR(__xludf.DUMMYFUNCTION("GOOGLETRANSLATE(D427, ""en"", ""hi"")"),"A) आक्रमणकारी टीम अपनी बारी जारी रखती है।")</f>
        <v>A) आक्रमणकारी टीम अपनी बारी जारी रखती है।</v>
      </c>
    </row>
    <row r="428" ht="22.5" customHeight="1">
      <c r="A428" s="2">
        <v>427.0</v>
      </c>
      <c r="B428" s="3" t="s">
        <v>4529</v>
      </c>
      <c r="C428" s="3" t="s">
        <v>4419</v>
      </c>
      <c r="D428" s="3" t="s">
        <v>4420</v>
      </c>
      <c r="F428" s="5" t="str">
        <f>IFERROR(__xludf.DUMMYFUNCTION("GOOGLETRANSLATE(A428, ""en"", ""hi"")"),"427")</f>
        <v>427</v>
      </c>
      <c r="G428" s="5" t="str">
        <f>IFERROR(__xludf.DUMMYFUNCTION("GOOGLETRANSLATE(B428, ""en"", ""hi"")"),"यदि किसी छोटी सी समस्या के कारण लागोरी खेल में बाधा उत्पन्न हो जाए तो क्या किया जाना चाहिए?")</f>
        <v>यदि किसी छोटी सी समस्या के कारण लागोरी खेल में बाधा उत्पन्न हो जाए तो क्या किया जाना चाहिए?</v>
      </c>
      <c r="H428" s="5" t="str">
        <f>IFERROR(__xludf.DUMMYFUNCTION("GOOGLETRANSLATE(C428,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28" s="5" t="str">
        <f>IFERROR(__xludf.DUMMYFUNCTION("GOOGLETRANSLATE(D428, ""en"", ""hi"")"),"A) समस्या का समाधान होने तक खेल को रोक दिया जाता है।")</f>
        <v>A) समस्या का समाधान होने तक खेल को रोक दिया जाता है।</v>
      </c>
    </row>
    <row r="429" ht="22.5" customHeight="1">
      <c r="A429" s="2">
        <v>428.0</v>
      </c>
      <c r="B429" s="3" t="s">
        <v>4545</v>
      </c>
      <c r="C429" s="3" t="s">
        <v>4546</v>
      </c>
      <c r="D429" s="3" t="s">
        <v>4452</v>
      </c>
      <c r="F429" s="5" t="str">
        <f>IFERROR(__xludf.DUMMYFUNCTION("GOOGLETRANSLATE(A429, ""en"", ""hi"")"),"428")</f>
        <v>428</v>
      </c>
      <c r="G429" s="5" t="str">
        <f>IFERROR(__xludf.DUMMYFUNCTION("GOOGLETRANSLATE(B429, ""en"", ""hi"")"),"लागोरी खेल में, यदि कोई खिलाड़ी गेंद फेंकता है और वह किसी पत्थर से टकराए बिना खेल क्षेत्र के बाहर गिर जाती है, तो आगे क्या होता है?")</f>
        <v>लागोरी खेल में, यदि कोई खिलाड़ी गेंद फेंकता है और वह किसी पत्थर से टकराए बिना खेल क्षेत्र के बाहर गिर जाती है, तो आगे क्या होता है?</v>
      </c>
      <c r="H429" s="5" t="str">
        <f>IFERROR(__xludf.DUMMYFUNCTION("GOOGLETRANSLATE(C429, ""en"", ""hi"")"),"ए) बचाव करने वाली टीम को अगला थ्रो करने का मौका मिलता है।, बी) आक्रमण करने वाली टीम को एक और बारी मिलती है।, सी) खेल रोक दिया जाता है।, डी) गेंद को बदल दिया जाता है।")</f>
        <v>ए) बचाव करने वाली टीम को अगला थ्रो करने का मौका मिलता है।, बी) आक्रमण करने वाली टीम को एक और बारी मिलती है।, सी) खेल रोक दिया जाता है।, डी) गेंद को बदल दिया जाता है।</v>
      </c>
      <c r="I429" s="5" t="str">
        <f>IFERROR(__xludf.DUMMYFUNCTION("GOOGLETRANSLATE(D429, ""en"", ""hi"")"),"A) बचाव करने वाली टीम को अगला थ्रो करने का मौका मिलता है।")</f>
        <v>A) बचाव करने वाली टीम को अगला थ्रो करने का मौका मिलता है।</v>
      </c>
    </row>
    <row r="430" ht="22.5" customHeight="1">
      <c r="A430" s="2">
        <v>429.0</v>
      </c>
      <c r="B430" s="3" t="s">
        <v>4547</v>
      </c>
      <c r="C430" s="3" t="s">
        <v>4548</v>
      </c>
      <c r="D430" s="3" t="s">
        <v>4384</v>
      </c>
      <c r="F430" s="5" t="str">
        <f>IFERROR(__xludf.DUMMYFUNCTION("GOOGLETRANSLATE(A430, ""en"", ""hi"")"),"429")</f>
        <v>429</v>
      </c>
      <c r="G430" s="5" t="str">
        <f>IFERROR(__xludf.DUMMYFUNCTION("GOOGLETRANSLATE(B430, ""en"", ""hi"")"),"यदि लागोरी खेल बराबरी पर हो और पत्थर गिरा दिया जाए, लेकिन गेंद सीमा से बाहर गिर जाए, तो क्या नियम होगा?")</f>
        <v>यदि लागोरी खेल बराबरी पर हो और पत्थर गिरा दिया जाए, लेकिन गेंद सीमा से बाहर गिर जाए, तो क्या नियम होगा?</v>
      </c>
      <c r="H430" s="5" t="str">
        <f>IFERROR(__xludf.DUMMYFUNCTION("GOOGLETRANSLATE(C430, ""en"", ""hi"")"),"A)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v>
      </c>
      <c r="I430" s="5" t="str">
        <f>IFERROR(__xludf.DUMMYFUNCTION("GOOGLETRANSLATE(D430,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31" ht="22.5" customHeight="1">
      <c r="A431" s="2">
        <v>430.0</v>
      </c>
      <c r="B431" s="3" t="s">
        <v>4549</v>
      </c>
      <c r="C431" s="3" t="s">
        <v>4550</v>
      </c>
      <c r="D431" s="3" t="s">
        <v>4384</v>
      </c>
      <c r="F431" s="5" t="str">
        <f>IFERROR(__xludf.DUMMYFUNCTION("GOOGLETRANSLATE(A431, ""en"", ""hi"")"),"430")</f>
        <v>430</v>
      </c>
      <c r="G431" s="5" t="str">
        <f>IFERROR(__xludf.DUMMYFUNCTION("GOOGLETRANSLATE(B431, ""en"", ""hi"")"),"लागोरी मैच के दौरान, यदि गेंद किसी पत्थर से टकराकर उसे गिरा देती है, लेकिन फिर विरोधी टीम के क्षेत्र में गिरती है, तो सही कार्रवाई क्या होगी?")</f>
        <v>लागोरी मैच के दौरान, यदि गेंद किसी पत्थर से टकराकर उसे गिरा देती है, लेकिन फिर विरोधी टीम के क्षेत्र में गिरती है, तो सही कार्रवाई क्या होगी?</v>
      </c>
      <c r="H431" s="5" t="str">
        <f>IFERROR(__xludf.DUMMYFUNCTION("GOOGLETRANSLATE(C431,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31" s="5" t="str">
        <f>IFERROR(__xludf.DUMMYFUNCTION("GOOGLETRANSLATE(D431,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32" ht="22.5" customHeight="1">
      <c r="A432" s="2">
        <v>431.0</v>
      </c>
      <c r="B432" s="3" t="s">
        <v>4551</v>
      </c>
      <c r="C432" s="3" t="s">
        <v>4451</v>
      </c>
      <c r="D432" s="3" t="s">
        <v>4452</v>
      </c>
      <c r="F432" s="5" t="str">
        <f>IFERROR(__xludf.DUMMYFUNCTION("GOOGLETRANSLATE(A432, ""en"", ""hi"")"),"431")</f>
        <v>431</v>
      </c>
      <c r="G432" s="5" t="str">
        <f>IFERROR(__xludf.DUMMYFUNCTION("GOOGLETRANSLATE(B432, ""en"", ""hi"")"),"लागोरी खेल में, यदि बचाव करने वाली टीम का कोई खिलाड़ी गेंद को जमीन पर गिरने से पहले ही पकड़ लेता है, तो क्या किया जाना चाहिए?")</f>
        <v>लागोरी खेल में, यदि बचाव करने वाली टीम का कोई खिलाड़ी गेंद को जमीन पर गिरने से पहले ही पकड़ लेता है, तो क्या किया जाना चाहिए?</v>
      </c>
      <c r="H432" s="5" t="str">
        <f>IFERROR(__xludf.DUMMYFUNCTION("GOOGLETRANSLATE(C432,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432" s="5" t="str">
        <f>IFERROR(__xludf.DUMMYFUNCTION("GOOGLETRANSLATE(D432, ""en"", ""hi"")"),"A) बचाव करने वाली टीम को अगला थ्रो करने का मौका मिलता है।")</f>
        <v>A) बचाव करने वाली टीम को अगला थ्रो करने का मौका मिलता है।</v>
      </c>
    </row>
    <row r="433" ht="22.5" customHeight="1">
      <c r="A433" s="2">
        <v>432.0</v>
      </c>
      <c r="B433" s="3" t="s">
        <v>4552</v>
      </c>
      <c r="C433" s="3" t="s">
        <v>4553</v>
      </c>
      <c r="D433" s="3" t="s">
        <v>4554</v>
      </c>
      <c r="F433" s="5" t="str">
        <f>IFERROR(__xludf.DUMMYFUNCTION("GOOGLETRANSLATE(A433, ""en"", ""hi"")"),"432")</f>
        <v>432</v>
      </c>
      <c r="G433" s="5" t="str">
        <f>IFERROR(__xludf.DUMMYFUNCTION("GOOGLETRANSLATE(B433, ""en"", ""hi"")"),"यदि किसी खिलाड़ी के कुछ समय के लिए मैदान से बाहर चले जाने के कारण लागोरी खेल बाधित हो जाता है, तो क्या प्रक्रिया अपनाई जाती है?")</f>
        <v>यदि किसी खिलाड़ी के कुछ समय के लिए मैदान से बाहर चले जाने के कारण लागोरी खेल बाधित हो जाता है, तो क्या प्रक्रिया अपनाई जाती है?</v>
      </c>
      <c r="H433" s="5" t="str">
        <f>IFERROR(__xludf.DUMMYFUNCTION("GOOGLETRANSLATE(C433, ""en"", ""hi"")"),"A) खिलाड़ी के वापस आने तक खेल रुका रहता है। , B) खेल रद्द हो जाता है। , C) खिलाड़ी के बिना खेल जारी रहता है। , D) रुकावट के समय सबसे अधिक अंक वाली टीम को विजेता घोषित किया जाता है।")</f>
        <v>A) खिलाड़ी के वापस आने तक खेल रुका रहता है। , B) खेल रद्द हो जाता है। , C) खिलाड़ी के बिना खेल जारी रहता है। , D) रुकावट के समय सबसे अधिक अंक वाली टीम को विजेता घोषित किया जाता है।</v>
      </c>
      <c r="I433" s="5" t="str">
        <f>IFERROR(__xludf.DUMMYFUNCTION("GOOGLETRANSLATE(D433, ""en"", ""hi"")"),"A) खिलाड़ी के वापस आने तक खेल रुका रहता है।")</f>
        <v>A) खिलाड़ी के वापस आने तक खेल रुका रहता है।</v>
      </c>
    </row>
    <row r="434" ht="22.5" customHeight="1">
      <c r="A434" s="2">
        <v>433.0</v>
      </c>
      <c r="B434" s="3" t="s">
        <v>4555</v>
      </c>
      <c r="C434" s="3" t="s">
        <v>4550</v>
      </c>
      <c r="D434" s="3" t="s">
        <v>4384</v>
      </c>
      <c r="F434" s="5" t="str">
        <f>IFERROR(__xludf.DUMMYFUNCTION("GOOGLETRANSLATE(A434, ""en"", ""hi"")"),"433")</f>
        <v>433</v>
      </c>
      <c r="G434" s="5" t="str">
        <f>IFERROR(__xludf.DUMMYFUNCTION("GOOGLETRANSLATE(B434, ""en"", ""hi"")"),"लागोरी में, यदि गेंद किसी पत्थर पर गिरती है और उसे गिरा देती है, लेकिन बचाव करने वाली टीम द्वारा पत्थर को तुरंत वापस अपनी जगह पर रख दिया जाता है, तो क्या किया जाना चाहिए?")</f>
        <v>लागोरी में, यदि गेंद किसी पत्थर पर गिरती है और उसे गिरा देती है, लेकिन बचाव करने वाली टीम द्वारा पत्थर को तुरंत वापस अपनी जगह पर रख दिया जाता है, तो क्या किया जाना चाहिए?</v>
      </c>
      <c r="H434" s="5" t="str">
        <f>IFERROR(__xludf.DUMMYFUNCTION("GOOGLETRANSLATE(C434,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34" s="5" t="str">
        <f>IFERROR(__xludf.DUMMYFUNCTION("GOOGLETRANSLATE(D434,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35" ht="22.5" customHeight="1">
      <c r="A435" s="2">
        <v>434.0</v>
      </c>
      <c r="B435" s="3" t="s">
        <v>4556</v>
      </c>
      <c r="C435" s="3" t="s">
        <v>4459</v>
      </c>
      <c r="D435" s="3" t="s">
        <v>4038</v>
      </c>
      <c r="F435" s="5" t="str">
        <f>IFERROR(__xludf.DUMMYFUNCTION("GOOGLETRANSLATE(A435, ""en"", ""hi"")"),"434")</f>
        <v>434</v>
      </c>
      <c r="G435" s="5" t="str">
        <f>IFERROR(__xludf.DUMMYFUNCTION("GOOGLETRANSLATE(B435, ""en"", ""hi"")"),"लागोरी मैच के दौरान यदि गेंद फेंकी जाए और वह पत्थर पर गिरे, लेकिन पत्थर को नीचे न गिराए, तो आगे क्या होगा?")</f>
        <v>लागोरी मैच के दौरान यदि गेंद फेंकी जाए और वह पत्थर पर गिरे, लेकिन पत्थर को नीचे न गिराए, तो आगे क्या होगा?</v>
      </c>
      <c r="H435" s="5" t="str">
        <f>IFERROR(__xludf.DUMMYFUNCTION("GOOGLETRANSLATE(C435,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35" s="5" t="str">
        <f>IFERROR(__xludf.DUMMYFUNCTION("GOOGLETRANSLATE(D435, ""en"", ""hi"")"),"A) आक्रमणकारी टीम अपनी बारी जारी रखती है।")</f>
        <v>A) आक्रमणकारी टीम अपनी बारी जारी रखती है।</v>
      </c>
    </row>
    <row r="436" ht="22.5" customHeight="1">
      <c r="A436" s="2">
        <v>435.0</v>
      </c>
      <c r="B436" s="3" t="s">
        <v>4557</v>
      </c>
      <c r="C436" s="3" t="s">
        <v>4558</v>
      </c>
      <c r="D436" s="3" t="s">
        <v>4559</v>
      </c>
      <c r="F436" s="5" t="str">
        <f>IFERROR(__xludf.DUMMYFUNCTION("GOOGLETRANSLATE(A436, ""en"", ""hi"")"),"435")</f>
        <v>435</v>
      </c>
      <c r="G436" s="5" t="str">
        <f>IFERROR(__xludf.DUMMYFUNCTION("GOOGLETRANSLATE(B436, ""en"", ""hi"")"),"यदि अचानक बारिश के कारण लागोरी खेल बाधित हो जाए तो क्या किया जाना चाहिए?")</f>
        <v>यदि अचानक बारिश के कारण लागोरी खेल बाधित हो जाए तो क्या किया जाना चाहिए?</v>
      </c>
      <c r="H436" s="5" t="str">
        <f>IFERROR(__xludf.DUMMYFUNCTION("GOOGLETRANSLATE(C436, ""en"", ""hi"")"),"A) बारिश रुकने तक खेल रोक दिया जाता है। , B) खेल रद्द कर दिया जाता है। , C) खेल शुरू से फिर से शुरू किया जाता है। , D) रुकावट के समय सबसे अधिक अंक वाली टीम को विजेता घोषित किया जाता है।")</f>
        <v>A) बारिश रुकने तक खेल रोक दिया जाता है। , B) खेल रद्द कर दिया जाता है। , C) खेल शुरू से फिर से शुरू किया जाता है। , D) रुकावट के समय सबसे अधिक अंक वाली टीम को विजेता घोषित किया जाता है।</v>
      </c>
      <c r="I436" s="5" t="str">
        <f>IFERROR(__xludf.DUMMYFUNCTION("GOOGLETRANSLATE(D436, ""en"", ""hi"")"),"A) बारिश रुकने तक खेल रोक दिया जाता है।")</f>
        <v>A) बारिश रुकने तक खेल रोक दिया जाता है।</v>
      </c>
    </row>
    <row r="437" ht="22.5" customHeight="1">
      <c r="A437" s="2">
        <v>436.0</v>
      </c>
      <c r="B437" s="3" t="s">
        <v>4560</v>
      </c>
      <c r="C437" s="3" t="s">
        <v>4383</v>
      </c>
      <c r="D437" s="3" t="s">
        <v>4384</v>
      </c>
      <c r="F437" s="5" t="str">
        <f>IFERROR(__xludf.DUMMYFUNCTION("GOOGLETRANSLATE(A437, ""en"", ""hi"")"),"436")</f>
        <v>436</v>
      </c>
      <c r="G437" s="5" t="str">
        <f>IFERROR(__xludf.DUMMYFUNCTION("GOOGLETRANSLATE(B437, ""en"", ""hi"")"),"लागोरी में यदि कोई पत्थर गिराया जाता है, लेकिन गेंद खेल क्षेत्र के बाहर गिरती है, तो क्या नियम है?")</f>
        <v>लागोरी में यदि कोई पत्थर गिराया जाता है, लेकिन गेंद खेल क्षेत्र के बाहर गिरती है, तो क्या नियम है?</v>
      </c>
      <c r="H437" s="5" t="str">
        <f>IFERROR(__xludf.DUMMYFUNCTION("GOOGLETRANSLATE(C437,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37" s="5" t="str">
        <f>IFERROR(__xludf.DUMMYFUNCTION("GOOGLETRANSLATE(D437,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38" ht="22.5" customHeight="1">
      <c r="A438" s="2">
        <v>437.0</v>
      </c>
      <c r="B438" s="3" t="s">
        <v>4561</v>
      </c>
      <c r="C438" s="3" t="s">
        <v>4546</v>
      </c>
      <c r="D438" s="3" t="s">
        <v>4452</v>
      </c>
      <c r="F438" s="5" t="str">
        <f>IFERROR(__xludf.DUMMYFUNCTION("GOOGLETRANSLATE(A438, ""en"", ""hi"")"),"437")</f>
        <v>437</v>
      </c>
      <c r="G438" s="5" t="str">
        <f>IFERROR(__xludf.DUMMYFUNCTION("GOOGLETRANSLATE(B438, ""en"", ""hi"")"),"लागोरी मैच के दौरान, यदि आक्रमणकारी टीम का कोई खिलाड़ी गेंद फेंकता है और वह किसी पत्थर से टकराए बिना खेल क्षेत्र के बाहर गिर जाती है, तो क्या किया जाना चाहिए?")</f>
        <v>लागोरी मैच के दौरान, यदि आक्रमणकारी टीम का कोई खिलाड़ी गेंद फेंकता है और वह किसी पत्थर से टकराए बिना खेल क्षेत्र के बाहर गिर जाती है, तो क्या किया जाना चाहिए?</v>
      </c>
      <c r="H438" s="5" t="str">
        <f>IFERROR(__xludf.DUMMYFUNCTION("GOOGLETRANSLATE(C438, ""en"", ""hi"")"),"ए) बचाव करने वाली टीम को अगला थ्रो करने का मौका मिलता है।, बी) आक्रमण करने वाली टीम को एक और बारी मिलती है।, सी) खेल रोक दिया जाता है।, डी) गेंद को बदल दिया जाता है।")</f>
        <v>ए) बचाव करने वाली टीम को अगला थ्रो करने का मौका मिलता है।, बी) आक्रमण करने वाली टीम को एक और बारी मिलती है।, सी) खेल रोक दिया जाता है।, डी) गेंद को बदल दिया जाता है।</v>
      </c>
      <c r="I438" s="5" t="str">
        <f>IFERROR(__xludf.DUMMYFUNCTION("GOOGLETRANSLATE(D438, ""en"", ""hi"")"),"A) बचाव करने वाली टीम को अगला थ्रो करने का मौका मिलता है।")</f>
        <v>A) बचाव करने वाली टीम को अगला थ्रो करने का मौका मिलता है।</v>
      </c>
    </row>
    <row r="439" ht="22.5" customHeight="1">
      <c r="A439" s="2">
        <v>438.0</v>
      </c>
      <c r="B439" s="3" t="s">
        <v>4562</v>
      </c>
      <c r="C439" s="3" t="s">
        <v>4563</v>
      </c>
      <c r="D439" s="3" t="s">
        <v>4564</v>
      </c>
      <c r="F439" s="5" t="str">
        <f>IFERROR(__xludf.DUMMYFUNCTION("GOOGLETRANSLATE(A439, ""en"", ""hi"")"),"438")</f>
        <v>438</v>
      </c>
      <c r="G439" s="5" t="str">
        <f>IFERROR(__xludf.DUMMYFUNCTION("GOOGLETRANSLATE(B439, ""en"", ""hi"")"),"यदि खिलाड़ियों के बीच विवाद के कारण लागोरी खेल बाधित हो जाए तो क्या किया जाना चाहिए?")</f>
        <v>यदि खिलाड़ियों के बीच विवाद के कारण लागोरी खेल बाधित हो जाए तो क्या किया जाना चाहिए?</v>
      </c>
      <c r="H439" s="5" t="str">
        <f>IFERROR(__xludf.DUMMYFUNCTION("GOOGLETRANSLATE(C439, ""en"", ""hi"")"),"A) विवाद सुलझने तक खेल को रोक दिया जाता है। , B) खेल रद्द कर दिया जाता है। , C) खेल को शुरू से पुनः शुरू किया जाता है। , D) रुकावट के समय सबसे अधिक अंक वाली टीम को विजेता घोषित किया जाता है।")</f>
        <v>A) विवाद सुलझने तक खेल को रोक दिया जाता है। , B) खेल रद्द कर दिया जाता है। , C) खेल को शुरू से पुनः शुरू किया जाता है। , D) रुकावट के समय सबसे अधिक अंक वाली टीम को विजेता घोषित किया जाता है।</v>
      </c>
      <c r="I439" s="5" t="str">
        <f>IFERROR(__xludf.DUMMYFUNCTION("GOOGLETRANSLATE(D439, ""en"", ""hi"")"),"A) विवाद सुलझने तक खेल रोक दिया जाता है।")</f>
        <v>A) विवाद सुलझने तक खेल रोक दिया जाता है।</v>
      </c>
    </row>
    <row r="440" ht="22.5" customHeight="1">
      <c r="A440" s="2">
        <v>439.0</v>
      </c>
      <c r="B440" s="3" t="s">
        <v>4565</v>
      </c>
      <c r="C440" s="3" t="s">
        <v>4503</v>
      </c>
      <c r="D440" s="3" t="s">
        <v>4452</v>
      </c>
      <c r="F440" s="5" t="str">
        <f>IFERROR(__xludf.DUMMYFUNCTION("GOOGLETRANSLATE(A440, ""en"", ""hi"")"),"439")</f>
        <v>439</v>
      </c>
      <c r="G440" s="5" t="str">
        <f>IFERROR(__xludf.DUMMYFUNCTION("GOOGLETRANSLATE(B440, ""en"", ""hi"")"),"लागोरी में, यदि कोई खिलाड़ी गेंद फेंकता है और वह पत्थर पर गिरती है, लेकिन उसे गिरा नहीं पाती, तो आगे क्या होता है?")</f>
        <v>लागोरी में, यदि कोई खिलाड़ी गेंद फेंकता है और वह पत्थर पर गिरती है, लेकिन उसे गिरा नहीं पाती, तो आगे क्या होता है?</v>
      </c>
      <c r="H440" s="5" t="str">
        <f>IFERROR(__xludf.DUMMYFUNCTION("GOOGLETRANSLATE(C440,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40" s="5" t="str">
        <f>IFERROR(__xludf.DUMMYFUNCTION("GOOGLETRANSLATE(D440, ""en"", ""hi"")"),"A) बचाव करने वाली टीम को अगला थ्रो करने का मौका मिलता है।")</f>
        <v>A) बचाव करने वाली टीम को अगला थ्रो करने का मौका मिलता है।</v>
      </c>
    </row>
    <row r="441" ht="22.5" customHeight="1">
      <c r="A441" s="2">
        <v>440.0</v>
      </c>
      <c r="B441" s="3" t="s">
        <v>4566</v>
      </c>
      <c r="C441" s="3" t="s">
        <v>4567</v>
      </c>
      <c r="D441" s="3" t="s">
        <v>4038</v>
      </c>
      <c r="F441" s="5" t="str">
        <f>IFERROR(__xludf.DUMMYFUNCTION("GOOGLETRANSLATE(A441, ""en"", ""hi"")"),"440")</f>
        <v>440</v>
      </c>
      <c r="G441" s="5" t="str">
        <f>IFERROR(__xludf.DUMMYFUNCTION("GOOGLETRANSLATE(B441, ""en"", ""hi"")"),"लागोरी मैच के दौरान, यदि गेंद किसी पत्थर से टकराती है, लेकिन पत्थर नहीं गिरता और सीमा से बाहर चला जाता है, तो सही कार्रवाई क्या होगी?")</f>
        <v>लागोरी मैच के दौरान, यदि गेंद किसी पत्थर से टकराती है, लेकिन पत्थर नहीं गिरता और सीमा से बाहर चला जाता है, तो सही कार्रवाई क्या होगी?</v>
      </c>
      <c r="H441" s="5" t="str">
        <f>IFERROR(__xludf.DUMMYFUNCTION("GOOGLETRANSLATE(C441, ""en"", ""hi"")"),"A) आक्रमणकारी टीम अपनी बारी जारी रखती है। , B) बचाव करने वाली टीम को बारी मिलती है। , C) खेल रोक दिया जाता है। , D) पत्थर को बदल दिया जाता है।")</f>
        <v>A) आक्रमणकारी टीम अपनी बारी जारी रखती है। , B) बचाव करने वाली टीम को बारी मिलती है। , C) खेल रोक दिया जाता है। , D) पत्थर को बदल दिया जाता है।</v>
      </c>
      <c r="I441" s="5" t="str">
        <f>IFERROR(__xludf.DUMMYFUNCTION("GOOGLETRANSLATE(D441, ""en"", ""hi"")"),"A) आक्रमणकारी टीम अपनी बारी जारी रखती है।")</f>
        <v>A) आक्रमणकारी टीम अपनी बारी जारी रखती है।</v>
      </c>
    </row>
    <row r="442" ht="22.5" customHeight="1">
      <c r="A442" s="2">
        <v>441.0</v>
      </c>
      <c r="B442" s="3" t="s">
        <v>4568</v>
      </c>
      <c r="C442" s="3" t="s">
        <v>4476</v>
      </c>
      <c r="D442" s="3" t="s">
        <v>4477</v>
      </c>
      <c r="F442" s="5" t="str">
        <f>IFERROR(__xludf.DUMMYFUNCTION("GOOGLETRANSLATE(A442, ""en"", ""hi"")"),"441")</f>
        <v>441</v>
      </c>
      <c r="G442" s="5" t="str">
        <f>IFERROR(__xludf.DUMMYFUNCTION("GOOGLETRANSLATE(B442, ""en"", ""hi"")"),"यदि आक्रमणकारी टीम के किसी खिलाड़ी के घायल हो जाने के कारण लागोरी खेल बाधित हो जाता है, तो क्या प्रक्रिया अपनाई जाएगी?")</f>
        <v>यदि आक्रमणकारी टीम के किसी खिलाड़ी के घायल हो जाने के कारण लागोरी खेल बाधित हो जाता है, तो क्या प्रक्रिया अपनाई जाएगी?</v>
      </c>
      <c r="H442" s="5" t="str">
        <f>IFERROR(__xludf.DUMMYFUNCTION("GOOGLETRANSLATE(C442, ""en"", ""hi"")"),"A)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f>
        <v>A) खेल को तब तक रोक दिया जाता है जब तक खिलाड़ी को चिकित्सा सहायता नहीं मिल जाती। , B) खेल रद्द कर दिया जाता है। , C) खेल को शुरू से फिर से शुरू किया जाता है। , D) रुकावट के समय सबसे अधिक अंक वाली टीम को विजेता घोषित किया जाता है।</v>
      </c>
      <c r="I442" s="5" t="str">
        <f>IFERROR(__xludf.DUMMYFUNCTION("GOOGLETRANSLATE(D442, ""en"", ""hi"")"),"A) जब तक खिलाड़ी को चिकित्सा सहायता नहीं मिल जाती, तब तक खेल रोक दिया जाता है।")</f>
        <v>A) जब तक खिलाड़ी को चिकित्सा सहायता नहीं मिल जाती, तब तक खेल रोक दिया जाता है।</v>
      </c>
    </row>
    <row r="443" ht="22.5" customHeight="1">
      <c r="A443" s="2">
        <v>442.0</v>
      </c>
      <c r="B443" s="3" t="s">
        <v>4421</v>
      </c>
      <c r="C443" s="3" t="s">
        <v>4383</v>
      </c>
      <c r="D443" s="3" t="s">
        <v>4384</v>
      </c>
      <c r="F443" s="5" t="str">
        <f>IFERROR(__xludf.DUMMYFUNCTION("GOOGLETRANSLATE(A443, ""en"", ""hi"")"),"442")</f>
        <v>442</v>
      </c>
      <c r="G443" s="5" t="str">
        <f>IFERROR(__xludf.DUMMYFUNCTION("GOOGLETRANSLATE(B443, ""en"", ""hi"")"),"लागोरी में, यदि गेंद किसी पत्थर पर गिरती है और पत्थर गिर जाता है, लेकिन गेंद खेल क्षेत्र के बाहर गिरती है, तो क्या किया जाना चाहिए?")</f>
        <v>लागोरी में, यदि गेंद किसी पत्थर पर गिरती है और पत्थर गिर जाता है, लेकिन गेंद खेल क्षेत्र के बाहर गिरती है, तो क्या किया जाना चाहिए?</v>
      </c>
      <c r="H443" s="5" t="str">
        <f>IFERROR(__xludf.DUMMYFUNCTION("GOOGLETRANSLATE(C443,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43" s="5" t="str">
        <f>IFERROR(__xludf.DUMMYFUNCTION("GOOGLETRANSLATE(D443,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44" ht="22.5" customHeight="1">
      <c r="A444" s="2">
        <v>443.0</v>
      </c>
      <c r="B444" s="3" t="s">
        <v>4569</v>
      </c>
      <c r="C444" s="3" t="s">
        <v>4548</v>
      </c>
      <c r="D444" s="3" t="s">
        <v>4384</v>
      </c>
      <c r="F444" s="5" t="str">
        <f>IFERROR(__xludf.DUMMYFUNCTION("GOOGLETRANSLATE(A444, ""en"", ""hi"")"),"443")</f>
        <v>443</v>
      </c>
      <c r="G444" s="5" t="str">
        <f>IFERROR(__xludf.DUMMYFUNCTION("GOOGLETRANSLATE(B444, ""en"", ""hi"")"),"लागोरी मैच के दौरान यदि कोई पत्थर गिराया जाता है, लेकिन गेंद खेल क्षेत्र के बाहर गिरती है, तो नियम क्या है?")</f>
        <v>लागोरी मैच के दौरान यदि कोई पत्थर गिराया जाता है, लेकिन गेंद खेल क्षेत्र के बाहर गिरती है, तो नियम क्या है?</v>
      </c>
      <c r="H444" s="5" t="str">
        <f>IFERROR(__xludf.DUMMYFUNCTION("GOOGLETRANSLATE(C444, ""en"", ""hi"")"),"A)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v>
      </c>
      <c r="I444" s="5" t="str">
        <f>IFERROR(__xludf.DUMMYFUNCTION("GOOGLETRANSLATE(D444,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45" ht="22.5" customHeight="1">
      <c r="A445" s="2">
        <v>444.0</v>
      </c>
      <c r="B445" s="3" t="s">
        <v>4570</v>
      </c>
      <c r="C445" s="3" t="s">
        <v>4419</v>
      </c>
      <c r="D445" s="3" t="s">
        <v>4420</v>
      </c>
      <c r="F445" s="5" t="str">
        <f>IFERROR(__xludf.DUMMYFUNCTION("GOOGLETRANSLATE(A445, ""en"", ""hi"")"),"444")</f>
        <v>444</v>
      </c>
      <c r="G445" s="5" t="str">
        <f>IFERROR(__xludf.DUMMYFUNCTION("GOOGLETRANSLATE(B445, ""en"", ""hi"")"),"यदि किसी तकनीकी समस्या, जैसे स्कोरबोर्ड की खराबी, के कारण लागोरी खेल बाधित हो जाए, तो क्या किया जाना चाहिए?")</f>
        <v>यदि किसी तकनीकी समस्या, जैसे स्कोरबोर्ड की खराबी, के कारण लागोरी खेल बाधित हो जाए, तो क्या किया जाना चाहिए?</v>
      </c>
      <c r="H445" s="5" t="str">
        <f>IFERROR(__xludf.DUMMYFUNCTION("GOOGLETRANSLATE(C445, ""en"", ""hi"")"),"A)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45" s="5" t="str">
        <f>IFERROR(__xludf.DUMMYFUNCTION("GOOGLETRANSLATE(D445, ""en"", ""hi"")"),"A) समस्या का समाधान होने तक खेल को रोक दिया जाता है।")</f>
        <v>A) समस्या का समाधान होने तक खेल को रोक दिया जाता है।</v>
      </c>
    </row>
    <row r="446" ht="22.5" customHeight="1">
      <c r="A446" s="2">
        <v>445.0</v>
      </c>
      <c r="B446" s="3" t="s">
        <v>4571</v>
      </c>
      <c r="C446" s="3" t="s">
        <v>4503</v>
      </c>
      <c r="D446" s="3" t="s">
        <v>4452</v>
      </c>
      <c r="F446" s="5" t="str">
        <f>IFERROR(__xludf.DUMMYFUNCTION("GOOGLETRANSLATE(A446, ""en"", ""hi"")"),"445")</f>
        <v>445</v>
      </c>
      <c r="G446" s="5" t="str">
        <f>IFERROR(__xludf.DUMMYFUNCTION("GOOGLETRANSLATE(B446, ""en"", ""hi"")"),"लागोरी में, यदि कोई खिलाड़ी गेंद फेंकता है और वह पत्थर पर गिरती है, लेकिन उसे नीचे नहीं गिराती है, तो अगला कदम क्या होगा?")</f>
        <v>लागोरी में, यदि कोई खिलाड़ी गेंद फेंकता है और वह पत्थर पर गिरती है, लेकिन उसे नीचे नहीं गिराती है, तो अगला कदम क्या होगा?</v>
      </c>
      <c r="H446" s="5" t="str">
        <f>IFERROR(__xludf.DUMMYFUNCTION("GOOGLETRANSLATE(C446,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46" s="5" t="str">
        <f>IFERROR(__xludf.DUMMYFUNCTION("GOOGLETRANSLATE(D446, ""en"", ""hi"")"),"A) बचाव करने वाली टीम को अगला थ्रो करने का मौका मिलता है।")</f>
        <v>A) बचाव करने वाली टीम को अगला थ्रो करने का मौका मिलता है।</v>
      </c>
    </row>
    <row r="447" ht="22.5" customHeight="1">
      <c r="A447" s="2">
        <v>446.0</v>
      </c>
      <c r="B447" s="3" t="s">
        <v>4572</v>
      </c>
      <c r="C447" s="3" t="s">
        <v>4573</v>
      </c>
      <c r="D447" s="3" t="s">
        <v>4574</v>
      </c>
      <c r="F447" s="5" t="str">
        <f>IFERROR(__xludf.DUMMYFUNCTION("GOOGLETRANSLATE(A447, ""en"", ""hi"")"),"446")</f>
        <v>446</v>
      </c>
      <c r="G447" s="5" t="str">
        <f>IFERROR(__xludf.DUMMYFUNCTION("GOOGLETRANSLATE(B447, ""en"", ""hi"")"),"लागोरी मैच के दौरान, यदि किसी खिलाड़ी को चिकित्सा की आवश्यकता होने के कारण खेल बाधित हो जाए, तो क्या किया जाना चाहिए?")</f>
        <v>लागोरी मैच के दौरान, यदि किसी खिलाड़ी को चिकित्सा की आवश्यकता होने के कारण खेल बाधित हो जाए, तो क्या किया जाना चाहिए?</v>
      </c>
      <c r="H447" s="5" t="str">
        <f>IFERROR(__xludf.DUMMYFUNCTION("GOOGLETRANSLATE(C447, ""en"", ""hi"")"),"A)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f>
        <v>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v>
      </c>
      <c r="I447" s="5" t="str">
        <f>IFERROR(__xludf.DUMMYFUNCTION("GOOGLETRANSLATE(D447, ""en"", ""hi"")"),"A) जब तक चिकित्सा सहायता उपलब्ध नहीं हो जाती तब तक खेल रोक दिया जाता है।")</f>
        <v>A) जब तक चिकित्सा सहायता उपलब्ध नहीं हो जाती तब तक खेल रोक दिया जाता है।</v>
      </c>
    </row>
    <row r="448" ht="22.5" customHeight="1">
      <c r="A448" s="2">
        <v>447.0</v>
      </c>
      <c r="B448" s="3" t="s">
        <v>4575</v>
      </c>
      <c r="C448" s="3" t="s">
        <v>4576</v>
      </c>
      <c r="D448" s="3" t="s">
        <v>4577</v>
      </c>
      <c r="F448" s="5" t="str">
        <f>IFERROR(__xludf.DUMMYFUNCTION("GOOGLETRANSLATE(A448, ""en"", ""hi"")"),"447")</f>
        <v>447</v>
      </c>
      <c r="G448" s="5" t="str">
        <f>IFERROR(__xludf.DUMMYFUNCTION("GOOGLETRANSLATE(B448, ""en"", ""hi"")"),"यदि किसी बाहरी विकर्षण, जैसे तेज आवाज, के कारण लागोरी खेल में बाधा उत्पन्न हो, तो क्या किया जाना चाहिए?")</f>
        <v>यदि किसी बाहरी विकर्षण, जैसे तेज आवाज, के कारण लागोरी खेल में बाधा उत्पन्न हो, तो क्या किया जाना चाहिए?</v>
      </c>
      <c r="H448" s="5" t="str">
        <f>IFERROR(__xludf.DUMMYFUNCTION("GOOGLETRANSLATE(C448, ""en"", ""hi"")"),"A) खेल को तब तक रोक दिया जाता है जब तक कि व्यवधान का समाधान नहीं हो जाता। , B) खेल रद्द कर दिया जाता है। , C) खेल को शुरू से पुनः शुरू किया जाता है। , D) व्यवधान के समय सबसे अधिक अंक वाली टीम को विजेता घोषित किया जाता है।")</f>
        <v>A) खेल को तब तक रोक दिया जाता है जब तक कि व्यवधान का समाधान नहीं हो जाता। , B) खेल रद्द कर दिया जाता है। , C) खेल को शुरू से पुनः शुरू किया जाता है। , D) व्यवधान के समय सबसे अधिक अंक वाली टीम को विजेता घोषित किया जाता है।</v>
      </c>
      <c r="I448" s="5" t="str">
        <f>IFERROR(__xludf.DUMMYFUNCTION("GOOGLETRANSLATE(D448, ""en"", ""hi"")"),"A) जब तक विकर्षण का समाधान नहीं हो जाता तब तक खेल को रोक दिया जाता है।")</f>
        <v>A) जब तक विकर्षण का समाधान नहीं हो जाता तब तक खेल को रोक दिया जाता है।</v>
      </c>
    </row>
    <row r="449" ht="22.5" customHeight="1">
      <c r="A449" s="2">
        <v>448.0</v>
      </c>
      <c r="B449" s="3" t="s">
        <v>4578</v>
      </c>
      <c r="C449" s="3" t="s">
        <v>4550</v>
      </c>
      <c r="D449" s="3" t="s">
        <v>4384</v>
      </c>
      <c r="F449" s="5" t="str">
        <f>IFERROR(__xludf.DUMMYFUNCTION("GOOGLETRANSLATE(A449, ""en"", ""hi"")"),"448")</f>
        <v>448</v>
      </c>
      <c r="G449" s="5" t="str">
        <f>IFERROR(__xludf.DUMMYFUNCTION("GOOGLETRANSLATE(B449, ""en"", ""hi"")"),"लागोरी में, यदि गेंद किसी पत्थर पर गिरती है और पत्थर गिर जाता है, लेकिन गेंद खेल क्षेत्र के बाहर गिरती है, तो आगे क्या होता है?")</f>
        <v>लागोरी में, यदि गेंद किसी पत्थर पर गिरती है और पत्थर गिर जाता है, लेकिन गेंद खेल क्षेत्र के बाहर गिरती है, तो आगे क्या होता है?</v>
      </c>
      <c r="H449" s="5" t="str">
        <f>IFERROR(__xludf.DUMMYFUNCTION("GOOGLETRANSLATE(C449,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49" s="5" t="str">
        <f>IFERROR(__xludf.DUMMYFUNCTION("GOOGLETRANSLATE(D449,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50" ht="22.5" customHeight="1">
      <c r="A450" s="2">
        <v>449.0</v>
      </c>
      <c r="B450" s="3" t="s">
        <v>4579</v>
      </c>
      <c r="C450" s="3" t="s">
        <v>4580</v>
      </c>
      <c r="D450" s="3" t="s">
        <v>4384</v>
      </c>
      <c r="F450" s="5" t="str">
        <f>IFERROR(__xludf.DUMMYFUNCTION("GOOGLETRANSLATE(A450, ""en"", ""hi"")"),"449")</f>
        <v>449</v>
      </c>
      <c r="G450" s="5" t="str">
        <f>IFERROR(__xludf.DUMMYFUNCTION("GOOGLETRANSLATE(B450, ""en"", ""hi"")"),"लागोरी मैच के दौरान, यदि गेंद किसी पत्थर से टकराकर उसे गिरा देती है, लेकिन फिर गेंद खेल क्षेत्र के बाहर गिरती है, तो नियम क्या है?")</f>
        <v>लागोरी मैच के दौरान, यदि गेंद किसी पत्थर से टकराकर उसे गिरा देती है, लेकिन फिर गेंद खेल क्षेत्र के बाहर गिरती है, तो नियम क्या है?</v>
      </c>
      <c r="H450" s="5" t="str">
        <f>IFERROR(__xludf.DUMMYFUNCTION("GOOGLETRANSLATE(C450, ""en"", ""hi"")"),"A)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v>
      </c>
      <c r="I450" s="5" t="str">
        <f>IFERROR(__xludf.DUMMYFUNCTION("GOOGLETRANSLATE(D450,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51" ht="22.5" customHeight="1">
      <c r="A451" s="2">
        <v>450.0</v>
      </c>
      <c r="B451" s="3" t="s">
        <v>4355</v>
      </c>
      <c r="C451" s="3" t="s">
        <v>4581</v>
      </c>
      <c r="D451" s="3" t="s">
        <v>4346</v>
      </c>
      <c r="F451" s="5" t="str">
        <f>IFERROR(__xludf.DUMMYFUNCTION("GOOGLETRANSLATE(A451, ""en"", ""hi"")"),"450")</f>
        <v>450</v>
      </c>
      <c r="G451" s="5" t="str">
        <f>IFERROR(__xludf.DUMMYFUNCTION("GOOGLETRANSLATE(B451, ""en"", ""hi"")"),"यदि बिजली गुल होने के कारण लागोरी खेल बाधित हो जाए तो क्या किया जाना चाहिए?")</f>
        <v>यदि बिजली गुल होने के कारण लागोरी खेल बाधित हो जाए तो क्या किया जाना चाहिए?</v>
      </c>
      <c r="H451" s="5" t="str">
        <f>IFERROR(__xludf.DUMMYFUNCTION("GOOGLETRANSLATE(C451, ""en"", ""hi"")"),"A) बिजली बहाल होने तक खेल को रोक दिया जाता है। , B) खेल रद्द कर दिया जाता है। , C) खेल को शुरू से फिर से शुरू किया जाता है। , D) रुकावट के समय सबसे अधिक अंक वाली टीम को विजेता घोषित किया जाता है।")</f>
        <v>A) बिजली बहाल होने तक खेल को रोक दिया जाता है। , B) खेल रद्द कर दिया जाता है। , C) खेल को शुरू से फिर से शुरू किया जाता है। , D) रुकावट के समय सबसे अधिक अंक वाली टीम को विजेता घोषित किया जाता है।</v>
      </c>
      <c r="I451" s="5" t="str">
        <f>IFERROR(__xludf.DUMMYFUNCTION("GOOGLETRANSLATE(D451, ""en"", ""hi"")"),"A) बिजली बहाल होने तक खेल को रोक दिया जाता है।")</f>
        <v>A) बिजली बहाल होने तक खेल को रोक दिया जाता है।</v>
      </c>
    </row>
    <row r="452" ht="22.5" customHeight="1">
      <c r="A452" s="2">
        <v>451.0</v>
      </c>
      <c r="B452" s="3" t="s">
        <v>4144</v>
      </c>
      <c r="C452" s="3" t="s">
        <v>4451</v>
      </c>
      <c r="D452" s="3" t="s">
        <v>4452</v>
      </c>
      <c r="F452" s="5" t="str">
        <f>IFERROR(__xludf.DUMMYFUNCTION("GOOGLETRANSLATE(A452, ""en"", ""hi"")"),"451")</f>
        <v>451</v>
      </c>
      <c r="G452" s="5" t="str">
        <f>IFERROR(__xludf.DUMMYFUNCTION("GOOGLETRANSLATE(B452, ""en"", ""hi"")"),"लागोरी में, यदि बचाव करने वाली टीम का कोई खिलाड़ी गेंद को जमीन पर गिरने से पहले ही पकड़ लेता है, तो आगे क्या होता है?")</f>
        <v>लागोरी में, यदि बचाव करने वाली टीम का कोई खिलाड़ी गेंद को जमीन पर गिरने से पहले ही पकड़ लेता है, तो आगे क्या होता है?</v>
      </c>
      <c r="H452" s="5" t="str">
        <f>IFERROR(__xludf.DUMMYFUNCTION("GOOGLETRANSLATE(C452, ""en"", ""hi"")"),"ए) बचाव करने वाली टीम को अगला थ्रो करने का मौका मिलता है।, बी) आक्रमण करने वाली टीम को एक और बारी मिलती है।, सी) खेल रोक दिया जाता है।, डी) गेंद को खेल से बाहर माना जाता है।")</f>
        <v>ए) बचाव करने वाली टीम को अगला थ्रो करने का मौका मिलता है।, बी) आक्रमण करने वाली टीम को एक और बारी मिलती है।, सी) खेल रोक दिया जाता है।, डी) गेंद को खेल से बाहर माना जाता है।</v>
      </c>
      <c r="I452" s="5" t="str">
        <f>IFERROR(__xludf.DUMMYFUNCTION("GOOGLETRANSLATE(D452, ""en"", ""hi"")"),"A) बचाव करने वाली टीम को अगला थ्रो करने का मौका मिलता है।")</f>
        <v>A) बचाव करने वाली टीम को अगला थ्रो करने का मौका मिलता है।</v>
      </c>
    </row>
    <row r="453" ht="22.5" customHeight="1">
      <c r="A453" s="2">
        <v>452.0</v>
      </c>
      <c r="B453" s="3" t="s">
        <v>4582</v>
      </c>
      <c r="C453" s="3" t="s">
        <v>4576</v>
      </c>
      <c r="D453" s="3" t="s">
        <v>4577</v>
      </c>
      <c r="F453" s="5" t="str">
        <f>IFERROR(__xludf.DUMMYFUNCTION("GOOGLETRANSLATE(A453, ""en"", ""hi"")"),"452")</f>
        <v>452</v>
      </c>
      <c r="G453" s="5" t="str">
        <f>IFERROR(__xludf.DUMMYFUNCTION("GOOGLETRANSLATE(B453, ""en"", ""hi"")"),"लागोरी मैच के दौरान, यदि किसी खिलाड़ी का ध्यान किसी बाहरी घटना से भटक जाने के कारण खेल बाधित हो जाए, तो क्या किया जाना चाहिए?")</f>
        <v>लागोरी मैच के दौरान, यदि किसी खिलाड़ी का ध्यान किसी बाहरी घटना से भटक जाने के कारण खेल बाधित हो जाए, तो क्या किया जाना चाहिए?</v>
      </c>
      <c r="H453" s="5" t="str">
        <f>IFERROR(__xludf.DUMMYFUNCTION("GOOGLETRANSLATE(C453, ""en"", ""hi"")"),"A) खेल को तब तक रोक दिया जाता है जब तक कि व्यवधान का समाधान नहीं हो जाता। , B) खेल रद्द कर दिया जाता है। , C) खेल को शुरू से पुनः शुरू किया जाता है। , D) व्यवधान के समय सबसे अधिक अंक वाली टीम को विजेता घोषित किया जाता है।")</f>
        <v>A) खेल को तब तक रोक दिया जाता है जब तक कि व्यवधान का समाधान नहीं हो जाता। , B) खेल रद्द कर दिया जाता है। , C) खेल को शुरू से पुनः शुरू किया जाता है। , D) व्यवधान के समय सबसे अधिक अंक वाली टीम को विजेता घोषित किया जाता है।</v>
      </c>
      <c r="I453" s="5" t="str">
        <f>IFERROR(__xludf.DUMMYFUNCTION("GOOGLETRANSLATE(D453, ""en"", ""hi"")"),"A) जब तक विकर्षण का समाधान नहीं हो जाता तब तक खेल को रोक दिया जाता है।")</f>
        <v>A) जब तक विकर्षण का समाधान नहीं हो जाता तब तक खेल को रोक दिया जाता है।</v>
      </c>
    </row>
    <row r="454" ht="22.5" customHeight="1">
      <c r="A454" s="2">
        <v>453.0</v>
      </c>
      <c r="B454" s="3" t="s">
        <v>4583</v>
      </c>
      <c r="C454" s="3" t="s">
        <v>4584</v>
      </c>
      <c r="D454" s="3" t="s">
        <v>4097</v>
      </c>
      <c r="F454" s="5" t="str">
        <f>IFERROR(__xludf.DUMMYFUNCTION("GOOGLETRANSLATE(A454, ""en"", ""hi"")"),"453")</f>
        <v>453</v>
      </c>
      <c r="G454" s="5" t="str">
        <f>IFERROR(__xludf.DUMMYFUNCTION("GOOGLETRANSLATE(B454, ""en"", ""hi"")"),"यदि लागोरी खेल में पत्थर गलती से हिल जाने के कारण बाधा उत्पन्न हो जाए तो क्या प्रक्रिया अपनाई जानी चाहिए?")</f>
        <v>यदि लागोरी खेल में पत्थर गलती से हिल जाने के कारण बाधा उत्पन्न हो जाए तो क्या प्रक्रिया अपनाई जानी चाहिए?</v>
      </c>
      <c r="H454" s="5" t="str">
        <f>IFERROR(__xludf.DUMMYFUNCTION("GOOGLETRANSLATE(C454, ""en"", ""hi"")"),"A) पत्थर को वापस रख दिया जाता है और खेल जारी रहता है। , B) पत्थर को सही तरीके से रख दिए जाने तक खेल को रोक दिया जाता है। , C) खेल रद्द कर दिया जाता है। , D) खेल को शुरू से फिर से शुरू किया जाता है।")</f>
        <v>A) पत्थर को वापस रख दिया जाता है और खेल जारी रहता है। , B) पत्थर को सही तरीके से रख दिए जाने तक खेल को रोक दिया जाता है। , C) खेल रद्द कर दिया जाता है। , D) खेल को शुरू से फिर से शुरू किया जाता है।</v>
      </c>
      <c r="I454" s="5" t="str">
        <f>IFERROR(__xludf.DUMMYFUNCTION("GOOGLETRANSLATE(D454, ""en"", ""hi"")"),"A) पत्थर को वापस रख दिया जाता है और खेल जारी रहता है।")</f>
        <v>A) पत्थर को वापस रख दिया जाता है और खेल जारी रहता है।</v>
      </c>
    </row>
    <row r="455" ht="22.5" customHeight="1">
      <c r="A455" s="2">
        <v>454.0</v>
      </c>
      <c r="B455" s="3" t="s">
        <v>4571</v>
      </c>
      <c r="C455" s="3" t="s">
        <v>4503</v>
      </c>
      <c r="D455" s="3" t="s">
        <v>4452</v>
      </c>
      <c r="F455" s="5" t="str">
        <f>IFERROR(__xludf.DUMMYFUNCTION("GOOGLETRANSLATE(A455, ""en"", ""hi"")"),"454")</f>
        <v>454</v>
      </c>
      <c r="G455" s="5" t="str">
        <f>IFERROR(__xludf.DUMMYFUNCTION("GOOGLETRANSLATE(B455, ""en"", ""hi"")"),"लागोरी में, यदि कोई खिलाड़ी गेंद फेंकता है और वह पत्थर पर गिरती है, लेकिन उसे नीचे नहीं गिराती है, तो अगला कदम क्या होगा?")</f>
        <v>लागोरी में, यदि कोई खिलाड़ी गेंद फेंकता है और वह पत्थर पर गिरती है, लेकिन उसे नीचे नहीं गिराती है, तो अगला कदम क्या होगा?</v>
      </c>
      <c r="H455" s="5" t="str">
        <f>IFERROR(__xludf.DUMMYFUNCTION("GOOGLETRANSLATE(C455,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55" s="5" t="str">
        <f>IFERROR(__xludf.DUMMYFUNCTION("GOOGLETRANSLATE(D455, ""en"", ""hi"")"),"A) बचाव करने वाली टीम को अगला थ्रो करने का मौका मिलता है।")</f>
        <v>A) बचाव करने वाली टीम को अगला थ्रो करने का मौका मिलता है।</v>
      </c>
    </row>
    <row r="456" ht="22.5" customHeight="1">
      <c r="A456" s="2">
        <v>455.0</v>
      </c>
      <c r="B456" s="3" t="s">
        <v>4585</v>
      </c>
      <c r="C456" s="3" t="s">
        <v>4383</v>
      </c>
      <c r="D456" s="3" t="s">
        <v>4384</v>
      </c>
      <c r="F456" s="5" t="str">
        <f>IFERROR(__xludf.DUMMYFUNCTION("GOOGLETRANSLATE(A456, ""en"", ""hi"")"),"455")</f>
        <v>455</v>
      </c>
      <c r="G456" s="5" t="str">
        <f>IFERROR(__xludf.DUMMYFUNCTION("GOOGLETRANSLATE(B456, ""en"", ""hi"")"),"लागोरी मैच के दौरान यदि गेंद किसी पत्थर पर गिरती है और पत्थर गिर जाता है, लेकिन गेंद मैदान से बाहर चली जाती है, तो क्या किया जाना चाहिए?")</f>
        <v>लागोरी मैच के दौरान यदि गेंद किसी पत्थर पर गिरती है और पत्थर गिर जाता है, लेकिन गेंद मैदान से बाहर चली जाती है, तो क्या किया जाना चाहिए?</v>
      </c>
      <c r="H456" s="5" t="str">
        <f>IFERROR(__xludf.DUMMYFUNCTION("GOOGLETRANSLATE(C456,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56" s="5" t="str">
        <f>IFERROR(__xludf.DUMMYFUNCTION("GOOGLETRANSLATE(D456,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57" ht="22.5" customHeight="1">
      <c r="A457" s="2">
        <v>456.0</v>
      </c>
      <c r="B457" s="3" t="s">
        <v>4586</v>
      </c>
      <c r="C457" s="3" t="s">
        <v>4587</v>
      </c>
      <c r="D457" s="3" t="s">
        <v>4554</v>
      </c>
      <c r="F457" s="5" t="str">
        <f>IFERROR(__xludf.DUMMYFUNCTION("GOOGLETRANSLATE(A457, ""en"", ""hi"")"),"456")</f>
        <v>456</v>
      </c>
      <c r="G457" s="5" t="str">
        <f>IFERROR(__xludf.DUMMYFUNCTION("GOOGLETRANSLATE(B457, ""en"", ""hi"")"),"यदि किसी खिलाड़ी को कुछ समय के लिए मैदान छोड़ने की आवश्यकता के कारण लागोरी खेल बाधित हो जाता है, तो प्रक्रिया क्या है?")</f>
        <v>यदि किसी खिलाड़ी को कुछ समय के लिए मैदान छोड़ने की आवश्यकता के कारण लागोरी खेल बाधित हो जाता है, तो प्रक्रिया क्या है?</v>
      </c>
      <c r="H457" s="5" t="str">
        <f>IFERROR(__xludf.DUMMYFUNCTION("GOOGLETRANSLATE(C457, ""en"", ""hi"")"),"A)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f>
        <v>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v>
      </c>
      <c r="I457" s="5" t="str">
        <f>IFERROR(__xludf.DUMMYFUNCTION("GOOGLETRANSLATE(D457, ""en"", ""hi"")"),"A) खिलाड़ी के वापस आने तक खेल रुका रहता है।")</f>
        <v>A) खिलाड़ी के वापस आने तक खेल रुका रहता है।</v>
      </c>
    </row>
    <row r="458" ht="22.5" customHeight="1">
      <c r="A458" s="2">
        <v>457.0</v>
      </c>
      <c r="B458" s="3" t="s">
        <v>4555</v>
      </c>
      <c r="C458" s="3" t="s">
        <v>4550</v>
      </c>
      <c r="D458" s="3" t="s">
        <v>4384</v>
      </c>
      <c r="F458" s="5" t="str">
        <f>IFERROR(__xludf.DUMMYFUNCTION("GOOGLETRANSLATE(A458, ""en"", ""hi"")"),"457")</f>
        <v>457</v>
      </c>
      <c r="G458" s="5" t="str">
        <f>IFERROR(__xludf.DUMMYFUNCTION("GOOGLETRANSLATE(B458, ""en"", ""hi"")"),"लागोरी में, यदि गेंद किसी पत्थर पर गिरती है और उसे गिरा देती है, लेकिन बचाव करने वाली टीम द्वारा पत्थर को तुरंत वापस अपनी जगह पर रख दिया जाता है, तो क्या किया जाना चाहिए?")</f>
        <v>लागोरी में, यदि गेंद किसी पत्थर पर गिरती है और उसे गिरा देती है, लेकिन बचाव करने वाली टीम द्वारा पत्थर को तुरंत वापस अपनी जगह पर रख दिया जाता है, तो क्या किया जाना चाहिए?</v>
      </c>
      <c r="H458" s="5" t="str">
        <f>IFERROR(__xludf.DUMMYFUNCTION("GOOGLETRANSLATE(C458,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58" s="5" t="str">
        <f>IFERROR(__xludf.DUMMYFUNCTION("GOOGLETRANSLATE(D458,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59" ht="22.5" customHeight="1">
      <c r="A459" s="2">
        <v>458.0</v>
      </c>
      <c r="B459" s="3" t="s">
        <v>4588</v>
      </c>
      <c r="C459" s="3" t="s">
        <v>4459</v>
      </c>
      <c r="D459" s="3" t="s">
        <v>4038</v>
      </c>
      <c r="F459" s="5" t="str">
        <f>IFERROR(__xludf.DUMMYFUNCTION("GOOGLETRANSLATE(A459, ""en"", ""hi"")"),"458")</f>
        <v>458</v>
      </c>
      <c r="G459" s="5" t="str">
        <f>IFERROR(__xludf.DUMMYFUNCTION("GOOGLETRANSLATE(B459, ""en"", ""hi"")"),"लागोरी मैच के दौरान यदि गेंद पत्थर पर गिरती है, लेकिन उसे गिरा नहीं पाती, तो क्या नियम होगा?")</f>
        <v>लागोरी मैच के दौरान यदि गेंद पत्थर पर गिरती है, लेकिन उसे गिरा नहीं पाती, तो क्या नियम होगा?</v>
      </c>
      <c r="H459" s="5" t="str">
        <f>IFERROR(__xludf.DUMMYFUNCTION("GOOGLETRANSLATE(C459,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59" s="5" t="str">
        <f>IFERROR(__xludf.DUMMYFUNCTION("GOOGLETRANSLATE(D459, ""en"", ""hi"")"),"A) आक्रमणकारी टीम अपनी बारी जारी रखती है।")</f>
        <v>A) आक्रमणकारी टीम अपनी बारी जारी रखती है।</v>
      </c>
    </row>
    <row r="460" ht="22.5" customHeight="1">
      <c r="A460" s="2">
        <v>459.0</v>
      </c>
      <c r="B460" s="3" t="s">
        <v>4589</v>
      </c>
      <c r="C460" s="3" t="s">
        <v>4590</v>
      </c>
      <c r="D460" s="3" t="s">
        <v>4591</v>
      </c>
      <c r="F460" s="5" t="str">
        <f>IFERROR(__xludf.DUMMYFUNCTION("GOOGLETRANSLATE(A460, ""en"", ""hi"")"),"459")</f>
        <v>459</v>
      </c>
      <c r="G460" s="5" t="str">
        <f>IFERROR(__xludf.DUMMYFUNCTION("GOOGLETRANSLATE(B460, ""en"", ""hi"")"),"यदि किसी अप्रत्याशित घटना, जैसे अचानक तेज आवाज, के कारण लागोरी खेल बाधित हो जाए, तो क्या प्रक्रिया अपनाई जानी चाहिए?")</f>
        <v>यदि किसी अप्रत्याशित घटना, जैसे अचानक तेज आवाज, के कारण लागोरी खेल बाधित हो जाए, तो क्या प्रक्रिया अपनाई जानी चाहिए?</v>
      </c>
      <c r="H460" s="5" t="str">
        <f>IFERROR(__xludf.DUMMYFUNCTION("GOOGLETRANSLATE(C460, ""en"", ""hi"")"),"A) घटना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घटना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60" s="5" t="str">
        <f>IFERROR(__xludf.DUMMYFUNCTION("GOOGLETRANSLATE(D460, ""en"", ""hi"")"),"A) घटना के समाधान होने तक खेल को रोक दिया जाता है।")</f>
        <v>A) घटना के समाधान होने तक खेल को रोक दिया जाता है।</v>
      </c>
    </row>
    <row r="461" ht="22.5" customHeight="1">
      <c r="A461" s="2">
        <v>460.0</v>
      </c>
      <c r="B461" s="3" t="s">
        <v>4592</v>
      </c>
      <c r="C461" s="3" t="s">
        <v>4550</v>
      </c>
      <c r="D461" s="3" t="s">
        <v>4384</v>
      </c>
      <c r="F461" s="5" t="str">
        <f>IFERROR(__xludf.DUMMYFUNCTION("GOOGLETRANSLATE(A461, ""en"", ""hi"")"),"460")</f>
        <v>460</v>
      </c>
      <c r="G461" s="5" t="str">
        <f>IFERROR(__xludf.DUMMYFUNCTION("GOOGLETRANSLATE(B461, ""en"", ""hi"")"),"लागोरी में, यदि गेंद किसी पत्थर पर गिरती है और उसे गिरा देती है, लेकिन फिर गेंद खेल क्षेत्र के बाहर गिरती है, तो आगे क्या होता है?")</f>
        <v>लागोरी में, यदि गेंद किसी पत्थर पर गिरती है और उसे गिरा देती है, लेकिन फिर गेंद खेल क्षेत्र के बाहर गिरती है, तो आगे क्या होता है?</v>
      </c>
      <c r="H461" s="5" t="str">
        <f>IFERROR(__xludf.DUMMYFUNCTION("GOOGLETRANSLATE(C461,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61" s="5" t="str">
        <f>IFERROR(__xludf.DUMMYFUNCTION("GOOGLETRANSLATE(D461,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62" ht="22.5" customHeight="1">
      <c r="A462" s="2">
        <v>461.0</v>
      </c>
      <c r="B462" s="3" t="s">
        <v>4593</v>
      </c>
      <c r="C462" s="3" t="s">
        <v>4546</v>
      </c>
      <c r="D462" s="3" t="s">
        <v>4452</v>
      </c>
      <c r="F462" s="5" t="str">
        <f>IFERROR(__xludf.DUMMYFUNCTION("GOOGLETRANSLATE(A462, ""en"", ""hi"")"),"461")</f>
        <v>461</v>
      </c>
      <c r="G462" s="5" t="str">
        <f>IFERROR(__xludf.DUMMYFUNCTION("GOOGLETRANSLATE(B462, ""en"", ""hi"")"),"लागोरी मैच के दौरान, यदि आक्रमणकारी टीम का कोई खिलाड़ी गेंद फेंकता है और वह किसी पत्थर से टकराए बिना खेल क्षेत्र के बाहर गिर जाती है, तो नियम क्या है?")</f>
        <v>लागोरी मैच के दौरान, यदि आक्रमणकारी टीम का कोई खिलाड़ी गेंद फेंकता है और वह किसी पत्थर से टकराए बिना खेल क्षेत्र के बाहर गिर जाती है, तो नियम क्या है?</v>
      </c>
      <c r="H462" s="5" t="str">
        <f>IFERROR(__xludf.DUMMYFUNCTION("GOOGLETRANSLATE(C462, ""en"", ""hi"")"),"ए) बचाव करने वाली टीम को अगला थ्रो करने का मौका मिलता है।, बी) आक्रमण करने वाली टीम को एक और बारी मिलती है।, सी) खेल रोक दिया जाता है।, डी) गेंद को बदल दिया जाता है।")</f>
        <v>ए) बचाव करने वाली टीम को अगला थ्रो करने का मौका मिलता है।, बी) आक्रमण करने वाली टीम को एक और बारी मिलती है।, सी) खेल रोक दिया जाता है।, डी) गेंद को बदल दिया जाता है।</v>
      </c>
      <c r="I462" s="5" t="str">
        <f>IFERROR(__xludf.DUMMYFUNCTION("GOOGLETRANSLATE(D462, ""en"", ""hi"")"),"A) बचाव करने वाली टीम को अगला थ्रो करने का मौका मिलता है।")</f>
        <v>A) बचाव करने वाली टीम को अगला थ्रो करने का मौका मिलता है।</v>
      </c>
    </row>
    <row r="463" ht="22.5" customHeight="1">
      <c r="A463" s="2">
        <v>462.0</v>
      </c>
      <c r="B463" s="3" t="s">
        <v>4594</v>
      </c>
      <c r="C463" s="3" t="s">
        <v>4595</v>
      </c>
      <c r="D463" s="3" t="s">
        <v>4596</v>
      </c>
      <c r="F463" s="5" t="str">
        <f>IFERROR(__xludf.DUMMYFUNCTION("GOOGLETRANSLATE(A463, ""en"", ""hi"")"),"462")</f>
        <v>462</v>
      </c>
      <c r="G463" s="5" t="str">
        <f>IFERROR(__xludf.DUMMYFUNCTION("GOOGLETRANSLATE(B463, ""en"", ""hi"")"),"यदि किसी खिलाड़ी के अस्थायी रूप से अनुपलब्ध होने के कारण लागोरी खेल बाधित होता है, तो प्रक्रिया क्या है?")</f>
        <v>यदि किसी खिलाड़ी के अस्थायी रूप से अनुपलब्ध होने के कारण लागोरी खेल बाधित होता है, तो प्रक्रिया क्या है?</v>
      </c>
      <c r="H463" s="5" t="str">
        <f>IFERROR(__xludf.DUMMYFUNCTION("GOOGLETRANSLATE(C463, ""en"", ""hi"")"),"A) खेल तब तक रुका रहता है जब तक खिलाड़ी पुनः उपलब्ध नहीं हो जाता। , B) खेल रद्द कर दिया जाता है। , C) खेल शुरू से पुनः शुरू किया जाता है। , D) रुकावट के समय सबसे अधिक अंक वाली टीम को विजेता घोषित किया जाता है।")</f>
        <v>A) खेल तब तक रुका रहता है जब तक खिलाड़ी पुनः उपलब्ध नहीं हो जाता। , B) खेल रद्द कर दिया जाता है। , C) खेल शुरू से पुनः शुरू किया जाता है। , D) रुकावट के समय सबसे अधिक अंक वाली टीम को विजेता घोषित किया जाता है।</v>
      </c>
      <c r="I463" s="5" t="str">
        <f>IFERROR(__xludf.DUMMYFUNCTION("GOOGLETRANSLATE(D463, ""en"", ""hi"")"),"A) खेल तब तक रुका रहता है जब तक खिलाड़ी पुनः उपलब्ध नहीं हो जाता।")</f>
        <v>A) खेल तब तक रुका रहता है जब तक खिलाड़ी पुनः उपलब्ध नहीं हो जाता।</v>
      </c>
    </row>
    <row r="464" ht="22.5" customHeight="1">
      <c r="A464" s="2">
        <v>463.0</v>
      </c>
      <c r="B464" s="3" t="s">
        <v>4597</v>
      </c>
      <c r="C464" s="3" t="s">
        <v>4548</v>
      </c>
      <c r="D464" s="3" t="s">
        <v>4384</v>
      </c>
      <c r="F464" s="5" t="str">
        <f>IFERROR(__xludf.DUMMYFUNCTION("GOOGLETRANSLATE(A464, ""en"", ""hi"")"),"463")</f>
        <v>463</v>
      </c>
      <c r="G464" s="5" t="str">
        <f>IFERROR(__xludf.DUMMYFUNCTION("GOOGLETRANSLATE(B464, ""en"", ""hi"")"),"लागोरी में, यदि गेंद किसी पत्थर से टकराकर उसे गिरा देती है, लेकिन सीमा से बाहर गिरती है, तो सही कार्रवाई क्या होगी?")</f>
        <v>लागोरी में, यदि गेंद किसी पत्थर से टकराकर उसे गिरा देती है, लेकिन सीमा से बाहर गिरती है, तो सही कार्रवाई क्या होगी?</v>
      </c>
      <c r="H464" s="5" t="str">
        <f>IFERROR(__xludf.DUMMYFUNCTION("GOOGLETRANSLATE(C464, ""en"", ""hi"")"),"A)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बराबरी पर घोषित कर दिया जाता है।</v>
      </c>
      <c r="I464" s="5" t="str">
        <f>IFERROR(__xludf.DUMMYFUNCTION("GOOGLETRANSLATE(D464,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65" ht="22.5" customHeight="1">
      <c r="A465" s="2">
        <v>464.0</v>
      </c>
      <c r="B465" s="3" t="s">
        <v>4598</v>
      </c>
      <c r="C465" s="3" t="s">
        <v>4580</v>
      </c>
      <c r="D465" s="3" t="s">
        <v>4384</v>
      </c>
      <c r="F465" s="5" t="str">
        <f>IFERROR(__xludf.DUMMYFUNCTION("GOOGLETRANSLATE(A465, ""en"", ""hi"")"),"464")</f>
        <v>464</v>
      </c>
      <c r="G465" s="5" t="str">
        <f>IFERROR(__xludf.DUMMYFUNCTION("GOOGLETRANSLATE(B465, ""en"", ""hi"")"),"लागोरी मैच के दौरान यदि गेंद किसी पत्थर पर गिरती है और उसे गिरा देती है, लेकिन गेंद सीमा से बाहर चली जाती है, तो क्या नियम होना चाहिए?")</f>
        <v>लागोरी मैच के दौरान यदि गेंद किसी पत्थर पर गिरती है और उसे गिरा देती है, लेकिन गेंद सीमा से बाहर चली जाती है, तो क्या नियम होना चाहिए?</v>
      </c>
      <c r="H465" s="5" t="str">
        <f>IFERROR(__xludf.DUMMYFUNCTION("GOOGLETRANSLATE(C465, ""en"", ""hi"")"),"A)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v>
      </c>
      <c r="I465" s="5" t="str">
        <f>IFERROR(__xludf.DUMMYFUNCTION("GOOGLETRANSLATE(D465,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66" ht="22.5" customHeight="1">
      <c r="A466" s="2">
        <v>465.0</v>
      </c>
      <c r="B466" s="3" t="s">
        <v>4599</v>
      </c>
      <c r="C466" s="3" t="s">
        <v>4600</v>
      </c>
      <c r="D466" s="3" t="s">
        <v>4601</v>
      </c>
      <c r="F466" s="5" t="str">
        <f>IFERROR(__xludf.DUMMYFUNCTION("GOOGLETRANSLATE(A466, ""en"", ""hi"")"),"465")</f>
        <v>465</v>
      </c>
      <c r="G466" s="5" t="str">
        <f>IFERROR(__xludf.DUMMYFUNCTION("GOOGLETRANSLATE(B466, ""en"", ""hi"")"),"यदि किसी उपकरण की खराबी के कारण लागोरी खेल बाधित होता है, तो क्या प्रक्रिया अपनाई जाती है?")</f>
        <v>यदि किसी उपकरण की खराबी के कारण लागोरी खेल बाधित होता है, तो क्या प्रक्रिया अपनाई जाती है?</v>
      </c>
      <c r="H466" s="5" t="str">
        <f>IFERROR(__xludf.DUMMYFUNCTION("GOOGLETRANSLATE(C466, ""en"", ""hi"")"),"A) खेल को तब तक रोक दिया जाता है जब तक उपकरण ठीक नहीं हो जाता। , B) खेल रद्द कर दिया जाता है। , C) खेल को शुरू से पुनः शुरू किया जाता है। , D) रुकावट के समय सबसे अधिक अंक वाली टीम को विजेता घोषित किया जाता है।")</f>
        <v>A) खेल को तब तक रोक दिया जाता है जब तक उपकरण ठीक नहीं हो जाता। , B) खेल रद्द कर दिया जाता है। , C) खेल को शुरू से पुनः शुरू किया जाता है। , D) रुकावट के समय सबसे अधिक अंक वाली टीम को विजेता घोषित किया जाता है।</v>
      </c>
      <c r="I466" s="5" t="str">
        <f>IFERROR(__xludf.DUMMYFUNCTION("GOOGLETRANSLATE(D466, ""en"", ""hi"")"),"A) खेल तब तक रुका रहता है जब तक उपकरण ठीक नहीं हो जाता।")</f>
        <v>A) खेल तब तक रुका रहता है जब तक उपकरण ठीक नहीं हो जाता।</v>
      </c>
    </row>
    <row r="467" ht="22.5" customHeight="1">
      <c r="A467" s="2">
        <v>466.0</v>
      </c>
      <c r="B467" s="3" t="s">
        <v>4602</v>
      </c>
      <c r="C467" s="3" t="s">
        <v>4550</v>
      </c>
      <c r="D467" s="3" t="s">
        <v>4384</v>
      </c>
      <c r="F467" s="5" t="str">
        <f>IFERROR(__xludf.DUMMYFUNCTION("GOOGLETRANSLATE(A467, ""en"", ""hi"")"),"466")</f>
        <v>466</v>
      </c>
      <c r="G467" s="5" t="str">
        <f>IFERROR(__xludf.DUMMYFUNCTION("GOOGLETRANSLATE(B467, ""en"", ""hi"")"),"लागोरी में, यदि गेंद किसी पत्थर पर गिरती है और उसे गिरा देती है, लेकिन पत्थर तुरंत अपनी मूल स्थिति में वापस आ जाता है, तो क्या किया जाना चाहिए?")</f>
        <v>लागोरी में, यदि गेंद किसी पत्थर पर गिरती है और उसे गिरा देती है, लेकिन पत्थर तुरंत अपनी मूल स्थिति में वापस आ जाता है, तो क्या किया जाना चाहिए?</v>
      </c>
      <c r="H467" s="5" t="str">
        <f>IFERROR(__xludf.DUMMYFUNCTION("GOOGLETRANSLATE(C467,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67" s="5" t="str">
        <f>IFERROR(__xludf.DUMMYFUNCTION("GOOGLETRANSLATE(D467,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68" ht="22.5" customHeight="1">
      <c r="A468" s="2">
        <v>467.0</v>
      </c>
      <c r="B468" s="3" t="s">
        <v>4603</v>
      </c>
      <c r="C468" s="3" t="s">
        <v>4546</v>
      </c>
      <c r="D468" s="3" t="s">
        <v>4452</v>
      </c>
      <c r="F468" s="5" t="str">
        <f>IFERROR(__xludf.DUMMYFUNCTION("GOOGLETRANSLATE(A468, ""en"", ""hi"")"),"467")</f>
        <v>467</v>
      </c>
      <c r="G468" s="5" t="str">
        <f>IFERROR(__xludf.DUMMYFUNCTION("GOOGLETRANSLATE(B468, ""en"", ""hi"")"),"लागोरी मैच के दौरान यदि गेंद किसी पत्थर से टकराए बिना खेल क्षेत्र के बाहर गिर जाए तो क्या नियम होगा?")</f>
        <v>लागोरी मैच के दौरान यदि गेंद किसी पत्थर से टकराए बिना खेल क्षेत्र के बाहर गिर जाए तो क्या नियम होगा?</v>
      </c>
      <c r="H468" s="5" t="str">
        <f>IFERROR(__xludf.DUMMYFUNCTION("GOOGLETRANSLATE(C468, ""en"", ""hi"")"),"ए) बचाव करने वाली टीम को अगला थ्रो करने का मौका मिलता है।, बी) आक्रमण करने वाली टीम को एक और बारी मिलती है।, सी) खेल रोक दिया जाता है।, डी) गेंद को बदल दिया जाता है।")</f>
        <v>ए) बचाव करने वाली टीम को अगला थ्रो करने का मौका मिलता है।, बी) आक्रमण करने वाली टीम को एक और बारी मिलती है।, सी) खेल रोक दिया जाता है।, डी) गेंद को बदल दिया जाता है।</v>
      </c>
      <c r="I468" s="5" t="str">
        <f>IFERROR(__xludf.DUMMYFUNCTION("GOOGLETRANSLATE(D468, ""en"", ""hi"")"),"A) बचाव करने वाली टीम को अगला थ्रो करने का मौका मिलता है।")</f>
        <v>A) बचाव करने वाली टीम को अगला थ्रो करने का मौका मिलता है।</v>
      </c>
    </row>
    <row r="469" ht="22.5" customHeight="1">
      <c r="A469" s="2">
        <v>468.0</v>
      </c>
      <c r="B469" s="3" t="s">
        <v>4604</v>
      </c>
      <c r="C469" s="3" t="s">
        <v>4587</v>
      </c>
      <c r="D469" s="3" t="s">
        <v>4554</v>
      </c>
      <c r="F469" s="5" t="str">
        <f>IFERROR(__xludf.DUMMYFUNCTION("GOOGLETRANSLATE(A469, ""en"", ""hi"")"),"468")</f>
        <v>468</v>
      </c>
      <c r="G469" s="5" t="str">
        <f>IFERROR(__xludf.DUMMYFUNCTION("GOOGLETRANSLATE(B469, ""en"", ""hi"")"),"यदि किसी खिलाड़ी के अस्थायी रूप से अनुपलब्ध होने के कारण लागोरी खेल बाधित हो जाता है, तो क्या प्रक्रिया होनी चाहिए?")</f>
        <v>यदि किसी खिलाड़ी के अस्थायी रूप से अनुपलब्ध होने के कारण लागोरी खेल बाधित हो जाता है, तो क्या प्रक्रिया होनी चाहिए?</v>
      </c>
      <c r="H469" s="5" t="str">
        <f>IFERROR(__xludf.DUMMYFUNCTION("GOOGLETRANSLATE(C469, ""en"", ""hi"")"),"A)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f>
        <v>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v>
      </c>
      <c r="I469" s="5" t="str">
        <f>IFERROR(__xludf.DUMMYFUNCTION("GOOGLETRANSLATE(D469, ""en"", ""hi"")"),"A) खिलाड़ी के वापस आने तक खेल रुका रहता है।")</f>
        <v>A) खिलाड़ी के वापस आने तक खेल रुका रहता है।</v>
      </c>
    </row>
    <row r="470" ht="22.5" customHeight="1">
      <c r="A470" s="2">
        <v>469.0</v>
      </c>
      <c r="B470" s="3" t="s">
        <v>4605</v>
      </c>
      <c r="C470" s="3" t="s">
        <v>4383</v>
      </c>
      <c r="D470" s="3" t="s">
        <v>4384</v>
      </c>
      <c r="F470" s="5" t="str">
        <f>IFERROR(__xludf.DUMMYFUNCTION("GOOGLETRANSLATE(A470, ""en"", ""hi"")"),"469")</f>
        <v>469</v>
      </c>
      <c r="G470" s="5" t="str">
        <f>IFERROR(__xludf.DUMMYFUNCTION("GOOGLETRANSLATE(B470, ""en"", ""hi"")"),"लागोरी में, यदि गेंद किसी पत्थर से टकराकर उसे गिरा देती है, लेकिन सीमा से बाहर चली जाती है, तो आगे क्या होगा?")</f>
        <v>लागोरी में, यदि गेंद किसी पत्थर से टकराकर उसे गिरा देती है, लेकिन सीमा से बाहर चली जाती है, तो आगे क्या होगा?</v>
      </c>
      <c r="H470" s="5" t="str">
        <f>IFERROR(__xludf.DUMMYFUNCTION("GOOGLETRANSLATE(C470,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70" s="5" t="str">
        <f>IFERROR(__xludf.DUMMYFUNCTION("GOOGLETRANSLATE(D470,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71" ht="22.5" customHeight="1">
      <c r="A471" s="2">
        <v>470.0</v>
      </c>
      <c r="B471" s="3" t="s">
        <v>4606</v>
      </c>
      <c r="C471" s="3" t="s">
        <v>4503</v>
      </c>
      <c r="D471" s="3" t="s">
        <v>4452</v>
      </c>
      <c r="F471" s="5" t="str">
        <f>IFERROR(__xludf.DUMMYFUNCTION("GOOGLETRANSLATE(A471, ""en"", ""hi"")"),"470")</f>
        <v>470</v>
      </c>
      <c r="G471" s="5" t="str">
        <f>IFERROR(__xludf.DUMMYFUNCTION("GOOGLETRANSLATE(B471, ""en"", ""hi"")"),"लागोरी मैच के दौरान यदि गेंद फेंकी जाए और वह पत्थर पर गिरे, लेकिन पत्थर को गिरा न पाए, तो क्या नियम है?")</f>
        <v>लागोरी मैच के दौरान यदि गेंद फेंकी जाए और वह पत्थर पर गिरे, लेकिन पत्थर को गिरा न पाए, तो क्या नियम है?</v>
      </c>
      <c r="H471" s="5" t="str">
        <f>IFERROR(__xludf.DUMMYFUNCTION("GOOGLETRANSLATE(C471,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71" s="5" t="str">
        <f>IFERROR(__xludf.DUMMYFUNCTION("GOOGLETRANSLATE(D471, ""en"", ""hi"")"),"A) बचाव करने वाली टीम को अगला थ्रो करने का मौका मिलता है।")</f>
        <v>A) बचाव करने वाली टीम को अगला थ्रो करने का मौका मिलता है।</v>
      </c>
    </row>
    <row r="472" ht="22.5" customHeight="1">
      <c r="A472" s="2">
        <v>471.0</v>
      </c>
      <c r="B472" s="3" t="s">
        <v>4607</v>
      </c>
      <c r="C472" s="3" t="s">
        <v>4573</v>
      </c>
      <c r="D472" s="3" t="s">
        <v>4574</v>
      </c>
      <c r="F472" s="5" t="str">
        <f>IFERROR(__xludf.DUMMYFUNCTION("GOOGLETRANSLATE(A472, ""en"", ""hi"")"),"471")</f>
        <v>471</v>
      </c>
      <c r="G472" s="5" t="str">
        <f>IFERROR(__xludf.DUMMYFUNCTION("GOOGLETRANSLATE(B472, ""en"", ""hi"")"),"यदि किसी खिलाड़ी को चिकित्सा सहायता की आवश्यकता होने के कारण लागोरी खेल बाधित हो जाता है, तो क्या प्रक्रिया अपनाई जाती है?")</f>
        <v>यदि किसी खिलाड़ी को चिकित्सा सहायता की आवश्यकता होने के कारण लागोरी खेल बाधित हो जाता है, तो क्या प्रक्रिया अपनाई जाती है?</v>
      </c>
      <c r="H472" s="5" t="str">
        <f>IFERROR(__xludf.DUMMYFUNCTION("GOOGLETRANSLATE(C472, ""en"", ""hi"")"),"A)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f>
        <v>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v>
      </c>
      <c r="I472" s="5" t="str">
        <f>IFERROR(__xludf.DUMMYFUNCTION("GOOGLETRANSLATE(D472, ""en"", ""hi"")"),"A) जब तक चिकित्सा सहायता उपलब्ध नहीं हो जाती तब तक खेल रोक दिया जाता है।")</f>
        <v>A) जब तक चिकित्सा सहायता उपलब्ध नहीं हो जाती तब तक खेल रोक दिया जाता है।</v>
      </c>
    </row>
    <row r="473" ht="22.5" customHeight="1">
      <c r="A473" s="2">
        <v>472.0</v>
      </c>
      <c r="B473" s="3" t="s">
        <v>4608</v>
      </c>
      <c r="C473" s="3" t="s">
        <v>4383</v>
      </c>
      <c r="D473" s="3" t="s">
        <v>4384</v>
      </c>
      <c r="F473" s="5" t="str">
        <f>IFERROR(__xludf.DUMMYFUNCTION("GOOGLETRANSLATE(A473, ""en"", ""hi"")"),"472")</f>
        <v>472</v>
      </c>
      <c r="G473" s="5" t="str">
        <f>IFERROR(__xludf.DUMMYFUNCTION("GOOGLETRANSLATE(B473, ""en"", ""hi"")"),"लागोरी में यदि गेंद किसी पत्थर पर गिरती है और उसे गिरा देती है, लेकिन गेंद सीमा से बाहर चली जाती है, तो क्या किया जाना चाहिए?")</f>
        <v>लागोरी में यदि गेंद किसी पत्थर पर गिरती है और उसे गिरा देती है, लेकिन गेंद सीमा से बाहर चली जाती है, तो क्या किया जाना चाहिए?</v>
      </c>
      <c r="H473" s="5" t="str">
        <f>IFERROR(__xludf.DUMMYFUNCTION("GOOGLETRANSLATE(C473,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73" s="5" t="str">
        <f>IFERROR(__xludf.DUMMYFUNCTION("GOOGLETRANSLATE(D473,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74" ht="22.5" customHeight="1">
      <c r="A474" s="2">
        <v>473.0</v>
      </c>
      <c r="B474" s="3" t="s">
        <v>4609</v>
      </c>
      <c r="C474" s="3" t="s">
        <v>4550</v>
      </c>
      <c r="D474" s="3" t="s">
        <v>4384</v>
      </c>
      <c r="F474" s="5" t="str">
        <f>IFERROR(__xludf.DUMMYFUNCTION("GOOGLETRANSLATE(A474, ""en"", ""hi"")"),"473")</f>
        <v>473</v>
      </c>
      <c r="G474" s="5" t="str">
        <f>IFERROR(__xludf.DUMMYFUNCTION("GOOGLETRANSLATE(B474, ""en"", ""hi"")"),"लागोरी मैच के दौरान यदि कोई पत्थर गिर जाए और गेंद खेल क्षेत्र के बाहर गिर जाए तो क्या नियम होगा?")</f>
        <v>लागोरी मैच के दौरान यदि कोई पत्थर गिर जाए और गेंद खेल क्षेत्र के बाहर गिर जाए तो क्या नियम होगा?</v>
      </c>
      <c r="H474" s="5" t="str">
        <f>IFERROR(__xludf.DUMMYFUNCTION("GOOGLETRANSLATE(C474,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74" s="5" t="str">
        <f>IFERROR(__xludf.DUMMYFUNCTION("GOOGLETRANSLATE(D474,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75" ht="22.5" customHeight="1">
      <c r="A475" s="2">
        <v>474.0</v>
      </c>
      <c r="B475" s="3" t="s">
        <v>4610</v>
      </c>
      <c r="C475" s="3" t="s">
        <v>4611</v>
      </c>
      <c r="D475" s="3" t="s">
        <v>4612</v>
      </c>
      <c r="F475" s="5" t="str">
        <f>IFERROR(__xludf.DUMMYFUNCTION("GOOGLETRANSLATE(A475, ""en"", ""hi"")"),"474")</f>
        <v>474</v>
      </c>
      <c r="G475" s="5" t="str">
        <f>IFERROR(__xludf.DUMMYFUNCTION("GOOGLETRANSLATE(B475, ""en"", ""hi"")"),"यदि खेल क्षेत्र में किसी तकनीकी समस्या के कारण लागोरी खेल बाधित होता है, तो क्या प्रक्रिया है?")</f>
        <v>यदि खेल क्षेत्र में किसी तकनीकी समस्या के कारण लागोरी खेल बाधित होता है, तो क्या प्रक्रिया है?</v>
      </c>
      <c r="H475" s="5" t="str">
        <f>IFERROR(__xludf.DUMMYFUNCTION("GOOGLETRANSLATE(C475, ""en"", ""hi"")"),"A) समस्या ठीक होने तक खेल को रोक दिया जाता है। , B) खेल रद्द कर दिया जाता है। , C) खेल को शुरू से पुनः शुरू किया जाता है। , D) रुकावट के समय सबसे अधिक अंक वाली टीम को विजेता घोषित किया जाता है।")</f>
        <v>A) समस्या ठीक होने तक खेल को रोक दिया जाता है। , B) खेल रद्द कर दिया जाता है। , C) खेल को शुरू से पुनः शुरू किया जाता है। , D) रुकावट के समय सबसे अधिक अंक वाली टीम को विजेता घोषित किया जाता है।</v>
      </c>
      <c r="I475" s="5" t="str">
        <f>IFERROR(__xludf.DUMMYFUNCTION("GOOGLETRANSLATE(D475, ""en"", ""hi"")"),"A) समस्या ठीक होने तक खेल को रोक दिया जाता है।")</f>
        <v>A) समस्या ठीक होने तक खेल को रोक दिया जाता है।</v>
      </c>
    </row>
    <row r="476" ht="22.5" customHeight="1">
      <c r="A476" s="2">
        <v>475.0</v>
      </c>
      <c r="B476" s="3" t="s">
        <v>4613</v>
      </c>
      <c r="C476" s="3" t="s">
        <v>4546</v>
      </c>
      <c r="D476" s="3" t="s">
        <v>4452</v>
      </c>
      <c r="F476" s="5" t="str">
        <f>IFERROR(__xludf.DUMMYFUNCTION("GOOGLETRANSLATE(A476, ""en"", ""hi"")"),"475")</f>
        <v>475</v>
      </c>
      <c r="G476" s="5" t="str">
        <f>IFERROR(__xludf.DUMMYFUNCTION("GOOGLETRANSLATE(B476, ""en"", ""hi"")"),"लागोरी में, यदि आक्रमणकारी टीम का कोई खिलाड़ी गेंद फेंकता है और वह किसी पत्थर से टकराए बिना खेल क्षेत्र के बाहर गिर जाती है, तो आगे क्या होता है?")</f>
        <v>लागोरी में, यदि आक्रमणकारी टीम का कोई खिलाड़ी गेंद फेंकता है और वह किसी पत्थर से टकराए बिना खेल क्षेत्र के बाहर गिर जाती है, तो आगे क्या होता है?</v>
      </c>
      <c r="H476" s="5" t="str">
        <f>IFERROR(__xludf.DUMMYFUNCTION("GOOGLETRANSLATE(C476, ""en"", ""hi"")"),"ए) बचाव करने वाली टीम को अगला थ्रो करने का मौका मिलता है।, बी) आक्रमण करने वाली टीम को एक और बारी मिलती है।, सी) खेल रोक दिया जाता है।, डी) गेंद को बदल दिया जाता है।")</f>
        <v>ए) बचाव करने वाली टीम को अगला थ्रो करने का मौका मिलता है।, बी) आक्रमण करने वाली टीम को एक और बारी मिलती है।, सी) खेल रोक दिया जाता है।, डी) गेंद को बदल दिया जाता है।</v>
      </c>
      <c r="I476" s="5" t="str">
        <f>IFERROR(__xludf.DUMMYFUNCTION("GOOGLETRANSLATE(D476, ""en"", ""hi"")"),"A) बचाव करने वाली टीम को अगला थ्रो करने का मौका मिलता है।")</f>
        <v>A) बचाव करने वाली टीम को अगला थ्रो करने का मौका मिलता है।</v>
      </c>
    </row>
    <row r="477" ht="22.5" customHeight="1">
      <c r="A477" s="2">
        <v>476.0</v>
      </c>
      <c r="B477" s="3" t="s">
        <v>4588</v>
      </c>
      <c r="C477" s="3" t="s">
        <v>4459</v>
      </c>
      <c r="D477" s="3" t="s">
        <v>4038</v>
      </c>
      <c r="F477" s="5" t="str">
        <f>IFERROR(__xludf.DUMMYFUNCTION("GOOGLETRANSLATE(A477, ""en"", ""hi"")"),"476")</f>
        <v>476</v>
      </c>
      <c r="G477" s="5" t="str">
        <f>IFERROR(__xludf.DUMMYFUNCTION("GOOGLETRANSLATE(B477, ""en"", ""hi"")"),"लागोरी मैच के दौरान यदि गेंद पत्थर पर गिरती है, लेकिन उसे गिरा नहीं पाती, तो क्या नियम होगा?")</f>
        <v>लागोरी मैच के दौरान यदि गेंद पत्थर पर गिरती है, लेकिन उसे गिरा नहीं पाती, तो क्या नियम होगा?</v>
      </c>
      <c r="H477" s="5" t="str">
        <f>IFERROR(__xludf.DUMMYFUNCTION("GOOGLETRANSLATE(C477, ""en"", ""hi"")"),"A) आक्रमणकारी टीम अपनी बारी जारी रखती है। , B) बचाव करने वाली टीम को बारी मिलती है। , C) खेल रोक दिया जाता है। , D) गेंद को बदल दिया जाता है।")</f>
        <v>A) आक्रमणकारी टीम अपनी बारी जारी रखती है। , B) बचाव करने वाली टीम को बारी मिलती है। , C) खेल रोक दिया जाता है। , D) गेंद को बदल दिया जाता है।</v>
      </c>
      <c r="I477" s="5" t="str">
        <f>IFERROR(__xludf.DUMMYFUNCTION("GOOGLETRANSLATE(D477, ""en"", ""hi"")"),"A) आक्रमणकारी टीम अपनी बारी जारी रखती है।")</f>
        <v>A) आक्रमणकारी टीम अपनी बारी जारी रखती है।</v>
      </c>
    </row>
    <row r="478" ht="22.5" customHeight="1">
      <c r="A478" s="2">
        <v>477.0</v>
      </c>
      <c r="B478" s="3" t="s">
        <v>4614</v>
      </c>
      <c r="C478" s="3" t="s">
        <v>4590</v>
      </c>
      <c r="D478" s="3" t="s">
        <v>4591</v>
      </c>
      <c r="F478" s="5" t="str">
        <f>IFERROR(__xludf.DUMMYFUNCTION("GOOGLETRANSLATE(A478, ""en"", ""hi"")"),"477")</f>
        <v>477</v>
      </c>
      <c r="G478" s="5" t="str">
        <f>IFERROR(__xludf.DUMMYFUNCTION("GOOGLETRANSLATE(B478, ""en"", ""hi"")"),"यदि किसी अप्रत्याशित बाहरी घटना, जैसे तेज आवाज, के कारण लागोरी खेल बाधित हो जाए, तो क्या किया जाना चाहिए?")</f>
        <v>यदि किसी अप्रत्याशित बाहरी घटना, जैसे तेज आवाज, के कारण लागोरी खेल बाधित हो जाए, तो क्या किया जाना चाहिए?</v>
      </c>
      <c r="H478" s="5" t="str">
        <f>IFERROR(__xludf.DUMMYFUNCTION("GOOGLETRANSLATE(C478, ""en"", ""hi"")"),"A) घटना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f>
        <v>A) घटना के समाधान होने तक खेल को रोक दिया जाता है। , B) खेल रद्द कर दिया जाता है। , C) खेल को शुरू से पुनः शुरू किया जाता है। , D) रुकावट के समय सबसे अधिक अंक वाली टीम को विजेता घोषित किया जाता है।</v>
      </c>
      <c r="I478" s="5" t="str">
        <f>IFERROR(__xludf.DUMMYFUNCTION("GOOGLETRANSLATE(D478, ""en"", ""hi"")"),"A) घटना के समाधान होने तक खेल को रोक दिया जाता है।")</f>
        <v>A) घटना के समाधान होने तक खेल को रोक दिया जाता है।</v>
      </c>
    </row>
    <row r="479" ht="22.5" customHeight="1">
      <c r="A479" s="2">
        <v>478.0</v>
      </c>
      <c r="B479" s="3" t="s">
        <v>4615</v>
      </c>
      <c r="C479" s="3" t="s">
        <v>4550</v>
      </c>
      <c r="D479" s="3" t="s">
        <v>4384</v>
      </c>
      <c r="F479" s="5" t="str">
        <f>IFERROR(__xludf.DUMMYFUNCTION("GOOGLETRANSLATE(A479, ""en"", ""hi"")"),"478")</f>
        <v>478</v>
      </c>
      <c r="G479" s="5" t="str">
        <f>IFERROR(__xludf.DUMMYFUNCTION("GOOGLETRANSLATE(B479, ""en"", ""hi"")"),"लागोरी में, यदि गेंद किसी पत्थर पर गिरती है और उसे गिरा देती है, लेकिन खेल क्षेत्र के बाहर गिरती है, तो आगे क्या होता है?")</f>
        <v>लागोरी में, यदि गेंद किसी पत्थर पर गिरती है और उसे गिरा देती है, लेकिन खेल क्षेत्र के बाहर गिरती है, तो आगे क्या होता है?</v>
      </c>
      <c r="H479" s="5" t="str">
        <f>IFERROR(__xludf.DUMMYFUNCTION("GOOGLETRANSLATE(C479, ""en"", ""hi"")"),"A)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पत्थर को वापस रख दिया जाता है।</v>
      </c>
      <c r="I479" s="5" t="str">
        <f>IFERROR(__xludf.DUMMYFUNCTION("GOOGLETRANSLATE(D479,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80" ht="22.5" customHeight="1">
      <c r="A480" s="2">
        <v>479.0</v>
      </c>
      <c r="B480" s="3" t="s">
        <v>4609</v>
      </c>
      <c r="C480" s="3" t="s">
        <v>4580</v>
      </c>
      <c r="D480" s="3" t="s">
        <v>4384</v>
      </c>
      <c r="F480" s="5" t="str">
        <f>IFERROR(__xludf.DUMMYFUNCTION("GOOGLETRANSLATE(A480, ""en"", ""hi"")"),"479")</f>
        <v>479</v>
      </c>
      <c r="G480" s="5" t="str">
        <f>IFERROR(__xludf.DUMMYFUNCTION("GOOGLETRANSLATE(B480, ""en"", ""hi"")"),"लागोरी मैच के दौरान यदि कोई पत्थर गिर जाए और गेंद खेल क्षेत्र के बाहर गिर जाए तो क्या नियम होगा?")</f>
        <v>लागोरी मैच के दौरान यदि कोई पत्थर गिर जाए और गेंद खेल क्षेत्र के बाहर गिर जाए तो क्या नियम होगा?</v>
      </c>
      <c r="H480" s="5" t="str">
        <f>IFERROR(__xludf.DUMMYFUNCTION("GOOGLETRANSLATE(C480, ""en"", ""hi"")"),"A)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v>
      </c>
      <c r="I480" s="5" t="str">
        <f>IFERROR(__xludf.DUMMYFUNCTION("GOOGLETRANSLATE(D480,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81" ht="22.5" customHeight="1">
      <c r="A481" s="2">
        <v>480.0</v>
      </c>
      <c r="B481" s="3" t="s">
        <v>4616</v>
      </c>
      <c r="C481" s="3" t="s">
        <v>4617</v>
      </c>
      <c r="D481" s="3" t="s">
        <v>4375</v>
      </c>
      <c r="F481" s="5" t="str">
        <f>IFERROR(__xludf.DUMMYFUNCTION("GOOGLETRANSLATE(A481, ""en"", ""hi"")"),"480")</f>
        <v>480</v>
      </c>
      <c r="G481" s="5" t="str">
        <f>IFERROR(__xludf.DUMMYFUNCTION("GOOGLETRANSLATE(B481, ""en"", ""hi"")"),"यदि किसी बाहरी कारण, जैसे खराब मौसम, के कारण लागोरी खेल बाधित हो जाए, तो क्या प्रक्रिया अपनाई जाएगी?")</f>
        <v>यदि किसी बाहरी कारण, जैसे खराब मौसम, के कारण लागोरी खेल बाधित हो जाए, तो क्या प्रक्रिया अपनाई जाएगी?</v>
      </c>
      <c r="H481" s="5" t="str">
        <f>IFERROR(__xludf.DUMMYFUNCTION("GOOGLETRANSLATE(C481, ""en"", ""hi"")"),"A) मौसम ठीक होने तक खेल रोक दिया जाता है। , B) खेल रद्द कर दिया जाता है। , C) खेल शुरू से फिर से शुरू किया जाता है। , D) रुकावट के समय सबसे अधिक अंक वाली टीम को विजेता घोषित किया जाता है।")</f>
        <v>A) मौसम ठीक होने तक खेल रोक दिया जाता है। , B) खेल रद्द कर दिया जाता है। , C) खेल शुरू से फिर से शुरू किया जाता है। , D) रुकावट के समय सबसे अधिक अंक वाली टीम को विजेता घोषित किया जाता है।</v>
      </c>
      <c r="I481" s="5" t="str">
        <f>IFERROR(__xludf.DUMMYFUNCTION("GOOGLETRANSLATE(D481, ""en"", ""hi"")"),"A) मौसम ठीक होने तक खेल रोक दिया जाता है।")</f>
        <v>A) मौसम ठीक होने तक खेल रोक दिया जाता है।</v>
      </c>
    </row>
    <row r="482" ht="22.5" customHeight="1">
      <c r="A482" s="2">
        <v>481.0</v>
      </c>
      <c r="B482" s="3" t="s">
        <v>4618</v>
      </c>
      <c r="C482" s="3" t="s">
        <v>4503</v>
      </c>
      <c r="D482" s="3" t="s">
        <v>4452</v>
      </c>
      <c r="F482" s="5" t="str">
        <f>IFERROR(__xludf.DUMMYFUNCTION("GOOGLETRANSLATE(A482, ""en"", ""hi"")"),"481")</f>
        <v>481</v>
      </c>
      <c r="G482" s="5" t="str">
        <f>IFERROR(__xludf.DUMMYFUNCTION("GOOGLETRANSLATE(B482, ""en"", ""hi"")"),"लागोरी में यदि कोई खिलाड़ी गेंद फेंकता है और वह पत्थर पर गिरती है, लेकिन उसे गिरा नहीं पाती, तो नियम क्या है?")</f>
        <v>लागोरी में यदि कोई खिलाड़ी गेंद फेंकता है और वह पत्थर पर गिरती है, लेकिन उसे गिरा नहीं पाती, तो नियम क्या है?</v>
      </c>
      <c r="H482" s="5" t="str">
        <f>IFERROR(__xludf.DUMMYFUNCTION("GOOGLETRANSLATE(C482, ""en"", ""hi"")"),"A) बचाव करने वाली टीम को अगला पत्थर फेंकने का मौका मिलता है। , B) आक्रमण करने वाली टीम को एक और बारी मिलती है। , C) खेल रोक दिया जाता है। , D) पत्थर को बदल दिया जाता है।")</f>
        <v>A) बचाव करने वाली टीम को अगला पत्थर फेंकने का मौका मिलता है। , B) आक्रमण करने वाली टीम को एक और बारी मिलती है। , C) खेल रोक दिया जाता है। , D) पत्थर को बदल दिया जाता है।</v>
      </c>
      <c r="I482" s="5" t="str">
        <f>IFERROR(__xludf.DUMMYFUNCTION("GOOGLETRANSLATE(D482, ""en"", ""hi"")"),"A) बचाव करने वाली टीम को अगला थ्रो करने का मौका मिलता है।")</f>
        <v>A) बचाव करने वाली टीम को अगला थ्रो करने का मौका मिलता है।</v>
      </c>
    </row>
    <row r="483" ht="22.5" customHeight="1">
      <c r="A483" s="2">
        <v>482.0</v>
      </c>
      <c r="B483" s="3" t="s">
        <v>4619</v>
      </c>
      <c r="C483" s="3" t="s">
        <v>4546</v>
      </c>
      <c r="D483" s="3" t="s">
        <v>4452</v>
      </c>
      <c r="F483" s="5" t="str">
        <f>IFERROR(__xludf.DUMMYFUNCTION("GOOGLETRANSLATE(A483, ""en"", ""hi"")"),"482")</f>
        <v>482</v>
      </c>
      <c r="G483" s="5" t="str">
        <f>IFERROR(__xludf.DUMMYFUNCTION("GOOGLETRANSLATE(B483, ""en"", ""hi"")"),"लागोरी मैच के दौरान यदि गेंद किसी पत्थर से टकराए बिना खेल क्षेत्र के बाहर गिर जाए, तो आगे क्या होगा?")</f>
        <v>लागोरी मैच के दौरान यदि गेंद किसी पत्थर से टकराए बिना खेल क्षेत्र के बाहर गिर जाए, तो आगे क्या होगा?</v>
      </c>
      <c r="H483" s="5" t="str">
        <f>IFERROR(__xludf.DUMMYFUNCTION("GOOGLETRANSLATE(C483, ""en"", ""hi"")"),"ए) बचाव करने वाली टीम को अगला थ्रो करने का मौका मिलता है।, बी) आक्रमण करने वाली टीम को एक और बारी मिलती है।, सी) खेल रोक दिया जाता है।, डी) गेंद को बदल दिया जाता है।")</f>
        <v>ए) बचाव करने वाली टीम को अगला थ्रो करने का मौका मिलता है।, बी) आक्रमण करने वाली टीम को एक और बारी मिलती है।, सी) खेल रोक दिया जाता है।, डी) गेंद को बदल दिया जाता है।</v>
      </c>
      <c r="I483" s="5" t="str">
        <f>IFERROR(__xludf.DUMMYFUNCTION("GOOGLETRANSLATE(D483, ""en"", ""hi"")"),"A) बचाव करने वाली टीम को अगला थ्रो करने का मौका मिलता है।")</f>
        <v>A) बचाव करने वाली टीम को अगला थ्रो करने का मौका मिलता है।</v>
      </c>
    </row>
    <row r="484" ht="22.5" customHeight="1">
      <c r="A484" s="2">
        <v>483.0</v>
      </c>
      <c r="B484" s="3" t="s">
        <v>4620</v>
      </c>
      <c r="C484" s="3" t="s">
        <v>4587</v>
      </c>
      <c r="D484" s="3" t="s">
        <v>4554</v>
      </c>
      <c r="F484" s="5" t="str">
        <f>IFERROR(__xludf.DUMMYFUNCTION("GOOGLETRANSLATE(A484, ""en"", ""hi"")"),"483")</f>
        <v>483</v>
      </c>
      <c r="G484" s="5" t="str">
        <f>IFERROR(__xludf.DUMMYFUNCTION("GOOGLETRANSLATE(B484, ""en"", ""hi"")"),"यदि किसी खिलाड़ी को अस्थायी रूप से खेल छोड़ने की आवश्यकता के कारण लागोरी खेल बाधित हो जाता है, तो क्या प्रक्रिया अपनाई जाती है?")</f>
        <v>यदि किसी खिलाड़ी को अस्थायी रूप से खेल छोड़ने की आवश्यकता के कारण लागोरी खेल बाधित हो जाता है, तो क्या प्रक्रिया अपनाई जाती है?</v>
      </c>
      <c r="H484" s="5" t="str">
        <f>IFERROR(__xludf.DUMMYFUNCTION("GOOGLETRANSLATE(C484, ""en"", ""hi"")"),"A)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f>
        <v>A) खिलाड़ी के वापस आने तक खेल को रोक दिया जाता है। , B) खेल रद्द कर दिया जाता है। , C) खेल को शुरू से फिर से शुरू किया जाता है। , D) रुकावट के समय सबसे अधिक अंक वाली टीम को विजेता घोषित किया जाता है।</v>
      </c>
      <c r="I484" s="5" t="str">
        <f>IFERROR(__xludf.DUMMYFUNCTION("GOOGLETRANSLATE(D484, ""en"", ""hi"")"),"A) खिलाड़ी के वापस आने तक खेल रुका रहता है।")</f>
        <v>A) खिलाड़ी के वापस आने तक खेल रुका रहता है।</v>
      </c>
    </row>
    <row r="485" ht="22.5" customHeight="1">
      <c r="A485" s="2">
        <v>484.0</v>
      </c>
      <c r="B485" s="3" t="s">
        <v>4621</v>
      </c>
      <c r="C485" s="3" t="s">
        <v>4383</v>
      </c>
      <c r="D485" s="3" t="s">
        <v>4384</v>
      </c>
      <c r="F485" s="5" t="str">
        <f>IFERROR(__xludf.DUMMYFUNCTION("GOOGLETRANSLATE(A485, ""en"", ""hi"")"),"484")</f>
        <v>484</v>
      </c>
      <c r="G485" s="5" t="str">
        <f>IFERROR(__xludf.DUMMYFUNCTION("GOOGLETRANSLATE(B485, ""en"", ""hi"")"),"लागोरी में, यदि गेंद किसी पत्थर से टकराकर उसे गिरा देती है, लेकिन फिर गेंद खेल क्षेत्र के बाहर गिरती है, तो आगे क्या होता है?")</f>
        <v>लागोरी में, यदि गेंद किसी पत्थर से टकराकर उसे गिरा देती है, लेकिन फिर गेंद खेल क्षेत्र के बाहर गिरती है, तो आगे क्या होता है?</v>
      </c>
      <c r="H485" s="5" t="str">
        <f>IFERROR(__xludf.DUMMYFUNCTION("GOOGLETRANSLATE(C485,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85" s="5" t="str">
        <f>IFERROR(__xludf.DUMMYFUNCTION("GOOGLETRANSLATE(D485,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86" ht="22.5" customHeight="1">
      <c r="A486" s="2">
        <v>485.0</v>
      </c>
      <c r="B486" s="3" t="s">
        <v>4606</v>
      </c>
      <c r="C486" s="3" t="s">
        <v>4546</v>
      </c>
      <c r="D486" s="3" t="s">
        <v>4452</v>
      </c>
      <c r="F486" s="5" t="str">
        <f>IFERROR(__xludf.DUMMYFUNCTION("GOOGLETRANSLATE(A486, ""en"", ""hi"")"),"485")</f>
        <v>485</v>
      </c>
      <c r="G486" s="5" t="str">
        <f>IFERROR(__xludf.DUMMYFUNCTION("GOOGLETRANSLATE(B486, ""en"", ""hi"")"),"लागोरी मैच के दौरान यदि गेंद फेंकी जाए और वह पत्थर पर गिरे, लेकिन पत्थर को गिरा न पाए, तो क्या नियम है?")</f>
        <v>लागोरी मैच के दौरान यदि गेंद फेंकी जाए और वह पत्थर पर गिरे, लेकिन पत्थर को गिरा न पाए, तो क्या नियम है?</v>
      </c>
      <c r="H486" s="5" t="str">
        <f>IFERROR(__xludf.DUMMYFUNCTION("GOOGLETRANSLATE(C486, ""en"", ""hi"")"),"ए) बचाव करने वाली टीम को अगला थ्रो करने का मौका मिलता है।, बी) आक्रमण करने वाली टीम को एक और बारी मिलती है।, सी) खेल रोक दिया जाता है।, डी) गेंद को बदल दिया जाता है।")</f>
        <v>ए) बचाव करने वाली टीम को अगला थ्रो करने का मौका मिलता है।, बी) आक्रमण करने वाली टीम को एक और बारी मिलती है।, सी) खेल रोक दिया जाता है।, डी) गेंद को बदल दिया जाता है।</v>
      </c>
      <c r="I486" s="5" t="str">
        <f>IFERROR(__xludf.DUMMYFUNCTION("GOOGLETRANSLATE(D486, ""en"", ""hi"")"),"A) बचाव करने वाली टीम को अगला थ्रो करने का मौका मिलता है।")</f>
        <v>A) बचाव करने वाली टीम को अगला थ्रो करने का मौका मिलता है।</v>
      </c>
    </row>
    <row r="487" ht="22.5" customHeight="1">
      <c r="A487" s="2">
        <v>486.0</v>
      </c>
      <c r="B487" s="3" t="s">
        <v>4607</v>
      </c>
      <c r="C487" s="3" t="s">
        <v>4573</v>
      </c>
      <c r="D487" s="3" t="s">
        <v>4574</v>
      </c>
      <c r="F487" s="5" t="str">
        <f>IFERROR(__xludf.DUMMYFUNCTION("GOOGLETRANSLATE(A487, ""en"", ""hi"")"),"486")</f>
        <v>486</v>
      </c>
      <c r="G487" s="5" t="str">
        <f>IFERROR(__xludf.DUMMYFUNCTION("GOOGLETRANSLATE(B487, ""en"", ""hi"")"),"यदि किसी खिलाड़ी को चिकित्सा सहायता की आवश्यकता होने के कारण लागोरी खेल बाधित हो जाता है, तो क्या प्रक्रिया अपनाई जाती है?")</f>
        <v>यदि किसी खिलाड़ी को चिकित्सा सहायता की आवश्यकता होने के कारण लागोरी खेल बाधित हो जाता है, तो क्या प्रक्रिया अपनाई जाती है?</v>
      </c>
      <c r="H487" s="5" t="str">
        <f>IFERROR(__xludf.DUMMYFUNCTION("GOOGLETRANSLATE(C487, ""en"", ""hi"")"),"A)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f>
        <v>A) चिकित्सा सहायता उपलब्ध होने तक खेल को रोक दिया जाता है। , B) खेल रद्द कर दिया जाता है। , C) खेल को शुरू से फिर से शुरू किया जाता है। , D) रुकावट के समय सबसे अधिक अंक वाली टीम को विजेता घोषित किया जाता है।</v>
      </c>
      <c r="I487" s="5" t="str">
        <f>IFERROR(__xludf.DUMMYFUNCTION("GOOGLETRANSLATE(D487, ""en"", ""hi"")"),"A) जब तक चिकित्सा सहायता उपलब्ध नहीं हो जाती तब तक खेल रोक दिया जाता है।")</f>
        <v>A) जब तक चिकित्सा सहायता उपलब्ध नहीं हो जाती तब तक खेल रोक दिया जाता है।</v>
      </c>
    </row>
    <row r="488" ht="22.5" customHeight="1">
      <c r="A488" s="2">
        <v>487.0</v>
      </c>
      <c r="B488" s="3" t="s">
        <v>4622</v>
      </c>
      <c r="C488" s="3" t="s">
        <v>4383</v>
      </c>
      <c r="D488" s="3" t="s">
        <v>4384</v>
      </c>
      <c r="F488" s="5" t="str">
        <f>IFERROR(__xludf.DUMMYFUNCTION("GOOGLETRANSLATE(A488, ""en"", ""hi"")"),"487")</f>
        <v>487</v>
      </c>
      <c r="G488" s="5" t="str">
        <f>IFERROR(__xludf.DUMMYFUNCTION("GOOGLETRANSLATE(B488, ""en"", ""hi"")"),"लागोरी में यदि गेंद किसी पत्थर पर गिरती है और उसे गिरा देती है, लेकिन खेल क्षेत्र के बाहर गिरती है, तो क्या किया जाना चाहिए?")</f>
        <v>लागोरी में यदि गेंद किसी पत्थर पर गिरती है और उसे गिरा देती है, लेकिन खेल क्षेत्र के बाहर गिरती है, तो क्या किया जाना चाहिए?</v>
      </c>
      <c r="H488" s="5" t="str">
        <f>IFERROR(__xludf.DUMMYFUNCTION("GOOGLETRANSLATE(C488, ""en"", ""hi"")"),"A)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खेल को अपूर्ण घोषित कर दिया जाता है।</v>
      </c>
      <c r="I488" s="5" t="str">
        <f>IFERROR(__xludf.DUMMYFUNCTION("GOOGLETRANSLATE(D488,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row r="489" ht="22.5" customHeight="1">
      <c r="A489" s="2">
        <v>488.0</v>
      </c>
      <c r="B489" s="3" t="s">
        <v>4609</v>
      </c>
      <c r="C489" s="3" t="s">
        <v>4580</v>
      </c>
      <c r="D489" s="3" t="s">
        <v>4384</v>
      </c>
      <c r="F489" s="5" t="str">
        <f>IFERROR(__xludf.DUMMYFUNCTION("GOOGLETRANSLATE(A489, ""en"", ""hi"")"),"488")</f>
        <v>488</v>
      </c>
      <c r="G489" s="5" t="str">
        <f>IFERROR(__xludf.DUMMYFUNCTION("GOOGLETRANSLATE(B489, ""en"", ""hi"")"),"लागोरी मैच के दौरान यदि कोई पत्थर गिर जाए और गेंद खेल क्षेत्र के बाहर गिर जाए तो क्या नियम होगा?")</f>
        <v>लागोरी मैच के दौरान यदि कोई पत्थर गिर जाए और गेंद खेल क्षेत्र के बाहर गिर जाए तो क्या नियम होगा?</v>
      </c>
      <c r="H489" s="5" t="str">
        <f>IFERROR(__xludf.DUMMYFUNCTION("GOOGLETRANSLATE(C489, ""en"", ""hi"")"),"A)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f>
        <v>A) पत्थर गिरा रहता है और बचाव करने वाली टीम को अगला पत्थर फेंकने का मौका मिलता है। , B) आक्रमण करने वाली टीम को एक और बारी मिलती है। , C) खेल रोक दिया जाता है। , D) गेंद को बदल दिया जाता है।</v>
      </c>
      <c r="I489" s="5" t="str">
        <f>IFERROR(__xludf.DUMMYFUNCTION("GOOGLETRANSLATE(D489, ""en"", ""hi"")"),"A) पत्थर नीचे गिरा रहता है और बचाव करने वाली टीम को अगला पत्थर फेंकने का मौका मिलता है।")</f>
        <v>A) पत्थर नीचे गिरा रहता है और बचाव करने वाली टीम को अगला पत्थर फेंकने का मौका मिलता है।</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7" max="8" width="37.63"/>
    <col customWidth="1" min="9" max="9" width="13.5"/>
  </cols>
  <sheetData>
    <row r="1" ht="22.5" customHeight="1">
      <c r="A1" s="1" t="s">
        <v>0</v>
      </c>
      <c r="B1" s="1" t="s">
        <v>1</v>
      </c>
      <c r="C1" s="1" t="s">
        <v>2</v>
      </c>
      <c r="D1" s="1" t="s">
        <v>3</v>
      </c>
      <c r="F1" s="4" t="s">
        <v>4</v>
      </c>
      <c r="G1" s="4" t="s">
        <v>5</v>
      </c>
      <c r="H1" s="4" t="s">
        <v>6</v>
      </c>
      <c r="I1" s="4" t="s">
        <v>7</v>
      </c>
    </row>
    <row r="2" ht="22.5" customHeight="1">
      <c r="A2" s="2">
        <v>1.0</v>
      </c>
      <c r="B2" s="3" t="s">
        <v>4623</v>
      </c>
      <c r="C2" s="3" t="s">
        <v>4624</v>
      </c>
      <c r="D2" s="3" t="s">
        <v>4625</v>
      </c>
      <c r="F2" s="5" t="str">
        <f>IFERROR(__xludf.DUMMYFUNCTION("GOOGLETRANSLATE(A2, ""en"", ""hi"")"),"1")</f>
        <v>1</v>
      </c>
      <c r="G2" s="5" t="str">
        <f>IFERROR(__xludf.DUMMYFUNCTION("GOOGLETRANSLATE(B2, ""en"", ""hi"")"),"एक पम्बरम मैच के दौरान, खिलाड़ी X, गेंद के गिरने से पहले 5 सेकंड तक गेंद को सफलतापूर्वक घुमाता है। खिलाड़ी Y, गेंद के गिरने से पहले 8 सेकंड तक गेंद को घुमाता है। यदि विजेता वह खिलाड़ी है जिसका शीर्ष सबसे लंबे समय तक घूमता है, तो विजेता कौन है?")</f>
        <v>एक पम्बरम मैच के दौरान, खिलाड़ी X, गेंद के गिरने से पहले 5 सेकंड तक गेंद को सफलतापूर्वक घुमाता है। खिलाड़ी Y, गेंद के गिरने से पहले 8 सेकंड तक गेंद को घुमाता है। यदि विजेता वह खिलाड़ी है जिसका शीर्ष सबसे लंबे समय तक घूमता है, तो विजेता कौन है?</v>
      </c>
      <c r="H2" s="5" t="str">
        <f>IFERROR(__xludf.DUMMYFUNCTION("GOOGLETRANSLATE(C2, ""en"", ""hi"")"),"A) खिलाड़ी X, B) खिलाड़ी Y, C) यह टाई है, D) उपरोक्त में से कोई नहीं")</f>
        <v>A) खिलाड़ी X, B) खिलाड़ी Y, C) यह टाई है, D) उपरोक्त में से कोई नहीं</v>
      </c>
      <c r="I2" s="5" t="str">
        <f>IFERROR(__xludf.DUMMYFUNCTION("GOOGLETRANSLATE(D2, ""en"", ""hi"")"),"बी) खिलाड़ी वाई")</f>
        <v>बी) खिलाड़ी वाई</v>
      </c>
    </row>
    <row r="3" ht="22.5" customHeight="1">
      <c r="A3" s="2">
        <v>2.0</v>
      </c>
      <c r="B3" s="3" t="s">
        <v>4626</v>
      </c>
      <c r="C3" s="3" t="s">
        <v>4627</v>
      </c>
      <c r="D3" s="3" t="s">
        <v>4628</v>
      </c>
      <c r="F3" s="5" t="str">
        <f>IFERROR(__xludf.DUMMYFUNCTION("GOOGLETRANSLATE(A3, ""en"", ""hi"")"),"2")</f>
        <v>2</v>
      </c>
      <c r="G3" s="5" t="str">
        <f>IFERROR(__xludf.DUMMYFUNCTION("GOOGLETRANSLATE(B3, ""en"", ""hi"")"),"पम्बरम खेल में, खिलाड़ी A की टोपी दक्षिणावर्त दिशा में घूम रही है, जबकि खिलाड़ी B की टोपी वामावर्त घूम रही है। अगर खेल का नियम यह है कि जो टोपी दूसरे के विपरीत दिशा में घूमती है, वह जीत जाती है, तो खेल कौन जीतता है?")</f>
        <v>पम्बरम खेल में, खिलाड़ी A की टोपी दक्षिणावर्त दिशा में घूम रही है, जबकि खिलाड़ी B की टोपी वामावर्त घूम रही है। अगर खेल का नियम यह है कि जो टोपी दूसरे के विपरीत दिशा में घूमती है, वह जीत जाती है, तो खेल कौन जीतता है?</v>
      </c>
      <c r="H3" s="5" t="str">
        <f>IFERROR(__xludf.DUMMYFUNCTION("GOOGLETRANSLATE(C3, ""en"", ""hi"")"),"A) खिलाड़ी A, B) खिलाड़ी B, C) यह टाई है, D) उपरोक्त में से कोई नहीं")</f>
        <v>A) खिलाड़ी A, B) खिलाड़ी B, C) यह टाई है, D) उपरोक्त में से कोई नहीं</v>
      </c>
      <c r="I3" s="5" t="str">
        <f>IFERROR(__xludf.DUMMYFUNCTION("GOOGLETRANSLATE(D3, ""en"", ""hi"")"),"ए) खिलाड़ी ए")</f>
        <v>ए) खिलाड़ी ए</v>
      </c>
    </row>
    <row r="4" ht="22.5" customHeight="1">
      <c r="A4" s="2">
        <v>3.0</v>
      </c>
      <c r="B4" s="3" t="s">
        <v>4629</v>
      </c>
      <c r="C4" s="3" t="s">
        <v>4630</v>
      </c>
      <c r="D4" s="3" t="s">
        <v>4631</v>
      </c>
      <c r="F4" s="5" t="str">
        <f>IFERROR(__xludf.DUMMYFUNCTION("GOOGLETRANSLATE(A4, ""en"", ""hi"")"),"3")</f>
        <v>3</v>
      </c>
      <c r="G4" s="5" t="str">
        <f>IFERROR(__xludf.DUMMYFUNCTION("GOOGLETRANSLATE(B4, ""en"", ""hi"")"),"एक पम्बरम प्रतियोगिता के दौरान, खिलाड़ी C की टोपी 7 सेकंड तक घूमने के बाद गिरती है, और खिलाड़ी D की टोपी भी 7 सेकंड तक घूमने के बाद गिरती है। यदि निर्णय गिरने के समय टोपी की ऊँचाई के आधार पर होता है, तो यदि खिलाड़ी C की टोपी अधिक ऊँचाई से गिरी, तो विजेता "&amp;"कौन होगा?")</f>
        <v>एक पम्बरम प्रतियोगिता के दौरान, खिलाड़ी C की टोपी 7 सेकंड तक घूमने के बाद गिरती है, और खिलाड़ी D की टोपी भी 7 सेकंड तक घूमने के बाद गिरती है। यदि निर्णय गिरने के समय टोपी की ऊँचाई के आधार पर होता है, तो यदि खिलाड़ी C की टोपी अधिक ऊँचाई से गिरी, तो विजेता कौन होगा?</v>
      </c>
      <c r="H4" s="5" t="str">
        <f>IFERROR(__xludf.DUMMYFUNCTION("GOOGLETRANSLATE(C4, ""en"", ""hi"")"),"A) खिलाड़ी C, B) खिलाड़ी D, C) यह टाई है, D) उपरोक्त में से कोई नहीं")</f>
        <v>A) खिलाड़ी C, B) खिलाड़ी D, C) यह टाई है, D) उपरोक्त में से कोई नहीं</v>
      </c>
      <c r="I4" s="5" t="str">
        <f>IFERROR(__xludf.DUMMYFUNCTION("GOOGLETRANSLATE(D4, ""en"", ""hi"")"),"ए) खिलाड़ी सी")</f>
        <v>ए) खिलाड़ी सी</v>
      </c>
    </row>
    <row r="5" ht="22.5" customHeight="1">
      <c r="A5" s="2">
        <v>4.0</v>
      </c>
      <c r="B5" s="3" t="s">
        <v>4632</v>
      </c>
      <c r="C5" s="3" t="s">
        <v>4633</v>
      </c>
      <c r="D5" s="3" t="s">
        <v>4634</v>
      </c>
      <c r="F5" s="5" t="str">
        <f>IFERROR(__xludf.DUMMYFUNCTION("GOOGLETRANSLATE(A5, ""en"", ""hi"")"),"4")</f>
        <v>4</v>
      </c>
      <c r="G5" s="5" t="str">
        <f>IFERROR(__xludf.DUMMYFUNCTION("GOOGLETRANSLATE(B5, ""en"", ""hi"")"),"पम्बरम मैच में, नियमों के अनुसार, वैध स्पिन माने जाने के लिए टॉप को कम से कम 6 सेकंड तक घूमना चाहिए। अगर खिलाड़ी E का टॉप 5 सेकंड तक और खिलाड़ी F का टॉप 7 सेकंड तक घूमता है, तो अगले राउंड के लिए कौन क्वालीफाई करेगा?")</f>
        <v>पम्बरम मैच में, नियमों के अनुसार, वैध स्पिन माने जाने के लिए टॉप को कम से कम 6 सेकंड तक घूमना चाहिए। अगर खिलाड़ी E का टॉप 5 सेकंड तक और खिलाड़ी F का टॉप 7 सेकंड तक घूमता है, तो अगले राउंड के लिए कौन क्वालीफाई करेगा?</v>
      </c>
      <c r="H5" s="5" t="str">
        <f>IFERROR(__xludf.DUMMYFUNCTION("GOOGLETRANSLATE(C5, ""en"", ""hi"")"),"A) खिलाड़ी E, B) खिलाड़ी F, C) दोनों खिलाड़ी, D) उपरोक्त में से कोई नहीं")</f>
        <v>A) खिलाड़ी E, B) खिलाड़ी F, C) दोनों खिलाड़ी, D) उपरोक्त में से कोई नहीं</v>
      </c>
      <c r="I5" s="5" t="str">
        <f>IFERROR(__xludf.DUMMYFUNCTION("GOOGLETRANSLATE(D5, ""en"", ""hi"")"),"बी) खिलाड़ी एफ")</f>
        <v>बी) खिलाड़ी एफ</v>
      </c>
    </row>
    <row r="6" ht="22.5" customHeight="1">
      <c r="A6" s="2">
        <v>5.0</v>
      </c>
      <c r="B6" s="3" t="s">
        <v>4635</v>
      </c>
      <c r="C6" s="3" t="s">
        <v>4636</v>
      </c>
      <c r="D6" s="3" t="s">
        <v>4637</v>
      </c>
      <c r="F6" s="5" t="str">
        <f>IFERROR(__xludf.DUMMYFUNCTION("GOOGLETRANSLATE(A6, ""en"", ""hi"")"),"5")</f>
        <v>5</v>
      </c>
      <c r="G6" s="5" t="str">
        <f>IFERROR(__xludf.DUMMYFUNCTION("GOOGLETRANSLATE(B6, ""en"", ""hi"")"),"खिलाड़ी G और खिलाड़ी H एक पम्बरम मैच में प्रतिस्पर्धा कर रहे हैं। खिलाड़ी G का सिरा अनियमित पैटर्न में घूमता है, जबकि खिलाड़ी H का सिरा स्थिर रूप से घूमता है। निरंतरता को प्राथमिकता देने वाले नियमों के अनुसार, किसके जीतने की संभावना ज़्यादा है?")</f>
        <v>खिलाड़ी G और खिलाड़ी H एक पम्बरम मैच में प्रतिस्पर्धा कर रहे हैं। खिलाड़ी G का सिरा अनियमित पैटर्न में घूमता है, जबकि खिलाड़ी H का सिरा स्थिर रूप से घूमता है। निरंतरता को प्राथमिकता देने वाले नियमों के अनुसार, किसके जीतने की संभावना ज़्यादा है?</v>
      </c>
      <c r="H6" s="5" t="str">
        <f>IFERROR(__xludf.DUMMYFUNCTION("GOOGLETRANSLATE(C6, ""en"", ""hi"")"),"A) खिलाड़ी G, B) खिलाड़ी H, C) दोनों के पास समान अवसर है, D) उपरोक्त में से कोई नहीं")</f>
        <v>A) खिलाड़ी G, B) खिलाड़ी H, C) दोनों के पास समान अवसर है, D) उपरोक्त में से कोई नहीं</v>
      </c>
      <c r="I6" s="5" t="str">
        <f>IFERROR(__xludf.DUMMYFUNCTION("GOOGLETRANSLATE(D6, ""en"", ""hi"")"),"बी) खिलाड़ी एच")</f>
        <v>बी) खिलाड़ी एच</v>
      </c>
    </row>
    <row r="7" ht="22.5" customHeight="1">
      <c r="A7" s="2">
        <v>6.0</v>
      </c>
      <c r="B7" s="3" t="s">
        <v>4638</v>
      </c>
      <c r="C7" s="3" t="s">
        <v>4639</v>
      </c>
      <c r="D7" s="3" t="s">
        <v>4640</v>
      </c>
      <c r="F7" s="5" t="str">
        <f>IFERROR(__xludf.DUMMYFUNCTION("GOOGLETRANSLATE(A7, ""en"", ""hi"")"),"6")</f>
        <v>6</v>
      </c>
      <c r="G7" s="5" t="str">
        <f>IFERROR(__xludf.DUMMYFUNCTION("GOOGLETRANSLATE(B7, ""en"", ""hi"")"),"यदि पम्बरम मैच में यह आवश्यक हो कि गेंद का ऊपरी हिस्सा कम से कम 10 सेकंड तक जमीन को छुए बिना घूमता रहे, तथा खिलाड़ी I का ऊपरी हिस्सा जमीन को छूने से पहले 12 सेकंड तक घूमता रहे, जबकि खिलाड़ी J का ऊपरी हिस्सा 8 सेकंड तक घूमता रहे, तो कौन जीतेगा?")</f>
        <v>यदि पम्बरम मैच में यह आवश्यक हो कि गेंद का ऊपरी हिस्सा कम से कम 10 सेकंड तक जमीन को छुए बिना घूमता रहे, तथा खिलाड़ी I का ऊपरी हिस्सा जमीन को छूने से पहले 12 सेकंड तक घूमता रहे, जबकि खिलाड़ी J का ऊपरी हिस्सा 8 सेकंड तक घूमता रहे, तो कौन जीतेगा?</v>
      </c>
      <c r="H7" s="5" t="str">
        <f>IFERROR(__xludf.DUMMYFUNCTION("GOOGLETRANSLATE(C7, ""en"", ""hi"")"),"A) खिलाड़ी I, B) खिलाड़ी J, C) यह टाई है, D) उपरोक्त में से कोई नहीं")</f>
        <v>A) खिलाड़ी I, B) खिलाड़ी J, C) यह टाई है, D) उपरोक्त में से कोई नहीं</v>
      </c>
      <c r="I7" s="5" t="str">
        <f>IFERROR(__xludf.DUMMYFUNCTION("GOOGLETRANSLATE(D7, ""en"", ""hi"")"),"ए) खिलाड़ी I")</f>
        <v>ए) खिलाड़ी I</v>
      </c>
    </row>
    <row r="8" ht="22.5" customHeight="1">
      <c r="A8" s="2">
        <v>7.0</v>
      </c>
      <c r="B8" s="3" t="s">
        <v>4641</v>
      </c>
      <c r="C8" s="3" t="s">
        <v>4642</v>
      </c>
      <c r="D8" s="3" t="s">
        <v>4643</v>
      </c>
      <c r="F8" s="5" t="str">
        <f>IFERROR(__xludf.DUMMYFUNCTION("GOOGLETRANSLATE(A8, ""en"", ""hi"")"),"7")</f>
        <v>7</v>
      </c>
      <c r="G8" s="5" t="str">
        <f>IFERROR(__xludf.DUMMYFUNCTION("GOOGLETRANSLATE(B8, ""en"", ""hi"")"),"पम्बरम गेम के दौरान, खिलाड़ी K का टॉप 15 सेकंड तक पूरी तरह घूमता है, लेकिन खिलाड़ी L का टॉप थोड़े से डगमगाने के साथ 16 सेकंड तक घूमता है। अगर गेम में डगमगाने की बजाय ज़्यादा घूमने वाले समय को प्राथमिकता दी जाए, तो कौन जीतेगा?")</f>
        <v>पम्बरम गेम के दौरान, खिलाड़ी K का टॉप 15 सेकंड तक पूरी तरह घूमता है, लेकिन खिलाड़ी L का टॉप थोड़े से डगमगाने के साथ 16 सेकंड तक घूमता है। अगर गेम में डगमगाने की बजाय ज़्यादा घूमने वाले समय को प्राथमिकता दी जाए, तो कौन जीतेगा?</v>
      </c>
      <c r="H8" s="5" t="str">
        <f>IFERROR(__xludf.DUMMYFUNCTION("GOOGLETRANSLATE(C8, ""en"", ""hi"")"),"A) खिलाड़ी K, B) खिलाड़ी L, C) यह टाई है, D) उपरोक्त में से कोई नहीं")</f>
        <v>A) खिलाड़ी K, B) खिलाड़ी L, C) यह टाई है, D) उपरोक्त में से कोई नहीं</v>
      </c>
      <c r="I8" s="5" t="str">
        <f>IFERROR(__xludf.DUMMYFUNCTION("GOOGLETRANSLATE(D8, ""en"", ""hi"")"),"बी) खिलाड़ी एल")</f>
        <v>बी) खिलाड़ी एल</v>
      </c>
    </row>
    <row r="9" ht="22.5" customHeight="1">
      <c r="A9" s="2">
        <v>8.0</v>
      </c>
      <c r="B9" s="3" t="s">
        <v>4644</v>
      </c>
      <c r="C9" s="3" t="s">
        <v>4645</v>
      </c>
      <c r="D9" s="3" t="s">
        <v>4646</v>
      </c>
      <c r="F9" s="5" t="str">
        <f>IFERROR(__xludf.DUMMYFUNCTION("GOOGLETRANSLATE(A9, ""en"", ""hi"")"),"8")</f>
        <v>8</v>
      </c>
      <c r="G9" s="5" t="str">
        <f>IFERROR(__xludf.DUMMYFUNCTION("GOOGLETRANSLATE(B9, ""en"", ""hi"")"),"किसी टूर्नामेंट में, यदि पम्बरम खेल के नियमों में यह निर्दिष्ट किया गया है कि जीतने के लिए शीर्ष को न्यूनतम 5 सेकंड तक घूमना चाहिए, तथा खिलाड़ी एम 4 सेकंड तक घूमता है और खिलाड़ी एन 6 सेकंड तक घूमता है, तो कौन जीतता है?")</f>
        <v>किसी टूर्नामेंट में, यदि पम्बरम खेल के नियमों में यह निर्दिष्ट किया गया है कि जीतने के लिए शीर्ष को न्यूनतम 5 सेकंड तक घूमना चाहिए, तथा खिलाड़ी एम 4 सेकंड तक घूमता है और खिलाड़ी एन 6 सेकंड तक घूमता है, तो कौन जीतता है?</v>
      </c>
      <c r="H9" s="5" t="str">
        <f>IFERROR(__xludf.DUMMYFUNCTION("GOOGLETRANSLATE(C9, ""en"", ""hi"")"),"A) खिलाड़ी M, B) खिलाड़ी N, C) दोनों खिलाड़ी, D) उपरोक्त में से कोई नहीं")</f>
        <v>A) खिलाड़ी M, B) खिलाड़ी N, C) दोनों खिलाड़ी, D) उपरोक्त में से कोई नहीं</v>
      </c>
      <c r="I9" s="5" t="str">
        <f>IFERROR(__xludf.DUMMYFUNCTION("GOOGLETRANSLATE(D9, ""en"", ""hi"")"),"बी) खिलाड़ी एन")</f>
        <v>बी) खिलाड़ी एन</v>
      </c>
    </row>
    <row r="10" ht="22.5" customHeight="1">
      <c r="A10" s="2">
        <v>9.0</v>
      </c>
      <c r="B10" s="3" t="s">
        <v>4647</v>
      </c>
      <c r="C10" s="3" t="s">
        <v>4648</v>
      </c>
      <c r="D10" s="3" t="s">
        <v>4649</v>
      </c>
      <c r="F10" s="5" t="str">
        <f>IFERROR(__xludf.DUMMYFUNCTION("GOOGLETRANSLATE(A10, ""en"", ""hi"")"),"9")</f>
        <v>9</v>
      </c>
      <c r="G10" s="5" t="str">
        <f>IFERROR(__xludf.DUMMYFUNCTION("GOOGLETRANSLATE(B10, ""en"", ""hi"")"),"खिलाड़ी O और खिलाड़ी P एक पम्बरम प्रतियोगिता में हैं। खिलाड़ी O का सिरा सीधी रेखा में घूमता है, जबकि खिलाड़ी P का सिरा गोलाकार घूमता है। अगर नियम सीधी रेखा में घूमने के पक्ष में हैं, तो कौन जीतता है?")</f>
        <v>खिलाड़ी O और खिलाड़ी P एक पम्बरम प्रतियोगिता में हैं। खिलाड़ी O का सिरा सीधी रेखा में घूमता है, जबकि खिलाड़ी P का सिरा गोलाकार घूमता है। अगर नियम सीधी रेखा में घूमने के पक्ष में हैं, तो कौन जीतता है?</v>
      </c>
      <c r="H10" s="5" t="str">
        <f>IFERROR(__xludf.DUMMYFUNCTION("GOOGLETRANSLATE(C10, ""en"", ""hi"")"),"A) खिलाड़ी O, B) खिलाड़ी P, C) यह टाई है, D) उपरोक्त में से कोई नहीं")</f>
        <v>A) खिलाड़ी O, B) खिलाड़ी P, C) यह टाई है, D) उपरोक्त में से कोई नहीं</v>
      </c>
      <c r="I10" s="5" t="str">
        <f>IFERROR(__xludf.DUMMYFUNCTION("GOOGLETRANSLATE(D10, ""en"", ""hi"")"),"A) खिलाड़ी O")</f>
        <v>A) खिलाड़ी O</v>
      </c>
    </row>
    <row r="11" ht="22.5" customHeight="1">
      <c r="A11" s="2">
        <v>10.0</v>
      </c>
      <c r="B11" s="3" t="s">
        <v>4650</v>
      </c>
      <c r="C11" s="3" t="s">
        <v>4651</v>
      </c>
      <c r="D11" s="3" t="s">
        <v>4652</v>
      </c>
      <c r="F11" s="5" t="str">
        <f>IFERROR(__xludf.DUMMYFUNCTION("GOOGLETRANSLATE(A11, ""en"", ""hi"")"),"10")</f>
        <v>10</v>
      </c>
      <c r="G11" s="5" t="str">
        <f>IFERROR(__xludf.DUMMYFUNCTION("GOOGLETRANSLATE(B11, ""en"", ""hi"")"),"पम्बरम खेल में, खिलाड़ी Q की टोपी 9 सेकंड तक घूमती है और गिर जाती है। खिलाड़ी R की टोपी 8 सेकंड तक घूमती है और गिर जाती है। अगर खेल का नियम अवधि के आधार पर जीत देने का है, तो विजेता कौन है?")</f>
        <v>पम्बरम खेल में, खिलाड़ी Q की टोपी 9 सेकंड तक घूमती है और गिर जाती है। खिलाड़ी R की टोपी 8 सेकंड तक घूमती है और गिर जाती है। अगर खेल का नियम अवधि के आधार पर जीत देने का है, तो विजेता कौन है?</v>
      </c>
      <c r="H11" s="5" t="str">
        <f>IFERROR(__xludf.DUMMYFUNCTION("GOOGLETRANSLATE(C11, ""en"", ""hi"")"),"A) खिलाड़ी Q, B) खिलाड़ी R, C) यह टाई है, D) उपरोक्त में से कोई नहीं")</f>
        <v>A) खिलाड़ी Q, B) खिलाड़ी R, C) यह टाई है, D) उपरोक्त में से कोई नहीं</v>
      </c>
      <c r="I11" s="5" t="str">
        <f>IFERROR(__xludf.DUMMYFUNCTION("GOOGLETRANSLATE(D11, ""en"", ""hi"")"),"ए) खिलाड़ी क्यू")</f>
        <v>ए) खिलाड़ी क्यू</v>
      </c>
    </row>
    <row r="12" ht="22.5" customHeight="1">
      <c r="A12" s="2">
        <v>11.0</v>
      </c>
      <c r="B12" s="3" t="s">
        <v>4653</v>
      </c>
      <c r="C12" s="3" t="s">
        <v>4654</v>
      </c>
      <c r="D12" s="3" t="s">
        <v>4655</v>
      </c>
      <c r="F12" s="5" t="str">
        <f>IFERROR(__xludf.DUMMYFUNCTION("GOOGLETRANSLATE(A12, ""en"", ""hi"")"),"11")</f>
        <v>11</v>
      </c>
      <c r="G12" s="5" t="str">
        <f>IFERROR(__xludf.DUMMYFUNCTION("GOOGLETRANSLATE(B12, ""en"", ""hi"")"),"खिलाड़ी S का लट्टू गिरने से पहले 6 सेकंड तक घूमता है, और खिलाड़ी T का लट्टू गिरने से पहले 6 सेकंड तक घूमता है और फिर 2 सेकंड तक डगमगाता है। अगर खेल स्थिरता के पक्ष में है, तो कौन जीतेगा?")</f>
        <v>खिलाड़ी S का लट्टू गिरने से पहले 6 सेकंड तक घूमता है, और खिलाड़ी T का लट्टू गिरने से पहले 6 सेकंड तक घूमता है और फिर 2 सेकंड तक डगमगाता है। अगर खेल स्थिरता के पक्ष में है, तो कौन जीतेगा?</v>
      </c>
      <c r="H12" s="5" t="str">
        <f>IFERROR(__xludf.DUMMYFUNCTION("GOOGLETRANSLATE(C12, ""en"", ""hi"")"),"A) खिलाड़ी S, B) खिलाड़ी T, C) यह टाई है, D) उपरोक्त में से कोई नहीं")</f>
        <v>A) खिलाड़ी S, B) खिलाड़ी T, C) यह टाई है, D) उपरोक्त में से कोई नहीं</v>
      </c>
      <c r="I12" s="5" t="str">
        <f>IFERROR(__xludf.DUMMYFUNCTION("GOOGLETRANSLATE(D12, ""en"", ""hi"")"),"बी) खिलाड़ी टी")</f>
        <v>बी) खिलाड़ी टी</v>
      </c>
    </row>
    <row r="13" ht="22.5" customHeight="1">
      <c r="A13" s="2">
        <v>12.0</v>
      </c>
      <c r="B13" s="3" t="s">
        <v>4656</v>
      </c>
      <c r="C13" s="3" t="s">
        <v>4657</v>
      </c>
      <c r="D13" s="3" t="s">
        <v>4658</v>
      </c>
      <c r="F13" s="5" t="str">
        <f>IFERROR(__xludf.DUMMYFUNCTION("GOOGLETRANSLATE(A13, ""en"", ""hi"")"),"12")</f>
        <v>12</v>
      </c>
      <c r="G13" s="5" t="str">
        <f>IFERROR(__xludf.DUMMYFUNCTION("GOOGLETRANSLATE(B13, ""en"", ""hi"")"),"पम्बरम मैच में, खिलाड़ी U का टॉप स्पिन 11 सेकंड तक तेज़ आवृत्ति के साथ घूमता है, और खिलाड़ी V का टॉप स्पिन 10 सेकंड तक कम आवृत्ति के साथ घूमता है। अगर खेल के नियम स्पिन की आवृत्ति के पक्ष में हों, तो कौन जीतेगा?")</f>
        <v>पम्बरम मैच में, खिलाड़ी U का टॉप स्पिन 11 सेकंड तक तेज़ आवृत्ति के साथ घूमता है, और खिलाड़ी V का टॉप स्पिन 10 सेकंड तक कम आवृत्ति के साथ घूमता है। अगर खेल के नियम स्पिन की आवृत्ति के पक्ष में हों, तो कौन जीतेगा?</v>
      </c>
      <c r="H13" s="5" t="str">
        <f>IFERROR(__xludf.DUMMYFUNCTION("GOOGLETRANSLATE(C13, ""en"", ""hi"")"),"A) खिलाड़ी U, B) खिलाड़ी V, C) यह एक टाई है, D) उपरोक्त में से कोई नहीं")</f>
        <v>A) खिलाड़ी U, B) खिलाड़ी V, C) यह एक टाई है, D) उपरोक्त में से कोई नहीं</v>
      </c>
      <c r="I13" s="5" t="str">
        <f>IFERROR(__xludf.DUMMYFUNCTION("GOOGLETRANSLATE(D13, ""en"", ""hi"")"),"ए) खिलाड़ी यू")</f>
        <v>ए) खिलाड़ी यू</v>
      </c>
    </row>
    <row r="14" ht="22.5" customHeight="1">
      <c r="A14" s="2">
        <v>13.0</v>
      </c>
      <c r="B14" s="3" t="s">
        <v>4659</v>
      </c>
      <c r="C14" s="3" t="s">
        <v>4660</v>
      </c>
      <c r="D14" s="3" t="s">
        <v>4661</v>
      </c>
      <c r="F14" s="5" t="str">
        <f>IFERROR(__xludf.DUMMYFUNCTION("GOOGLETRANSLATE(A14, ""en"", ""hi"")"),"13")</f>
        <v>13</v>
      </c>
      <c r="G14" s="5" t="str">
        <f>IFERROR(__xludf.DUMMYFUNCTION("GOOGLETRANSLATE(B14, ""en"", ""hi"")"),"खिलाड़ी W की टोपी 5 सेकंड तक घूमती है और अपनी तरफ़ गिरती है, जबकि खिलाड़ी X की टोपी 7 सेकंड तक घूमती है और सीधी गिरती है। अगर खेल का नियम यह है कि जीतने के लिए टोपी सीधी गिरनी चाहिए, तो कौन जीतेगा?")</f>
        <v>खिलाड़ी W की टोपी 5 सेकंड तक घूमती है और अपनी तरफ़ गिरती है, जबकि खिलाड़ी X की टोपी 7 सेकंड तक घूमती है और सीधी गिरती है। अगर खेल का नियम यह है कि जीतने के लिए टोपी सीधी गिरनी चाहिए, तो कौन जीतेगा?</v>
      </c>
      <c r="H14" s="5" t="str">
        <f>IFERROR(__xludf.DUMMYFUNCTION("GOOGLETRANSLATE(C14, ""en"", ""hi"")"),"A) खिलाड़ी W, B) खिलाड़ी X, C) यह टाई है, D) उपरोक्त में से कोई नहीं")</f>
        <v>A) खिलाड़ी W, B) खिलाड़ी X, C) यह टाई है, D) उपरोक्त में से कोई नहीं</v>
      </c>
      <c r="I14" s="5" t="str">
        <f>IFERROR(__xludf.DUMMYFUNCTION("GOOGLETRANSLATE(D14, ""en"", ""hi"")"),"बी) खिलाड़ी एक्स")</f>
        <v>बी) खिलाड़ी एक्स</v>
      </c>
    </row>
    <row r="15" ht="22.5" customHeight="1">
      <c r="A15" s="2">
        <v>14.0</v>
      </c>
      <c r="B15" s="3" t="s">
        <v>4662</v>
      </c>
      <c r="C15" s="3" t="s">
        <v>4663</v>
      </c>
      <c r="D15" s="3" t="s">
        <v>4664</v>
      </c>
      <c r="F15" s="5" t="str">
        <f>IFERROR(__xludf.DUMMYFUNCTION("GOOGLETRANSLATE(A15, ""en"", ""hi"")"),"14")</f>
        <v>14</v>
      </c>
      <c r="G15" s="5" t="str">
        <f>IFERROR(__xludf.DUMMYFUNCTION("GOOGLETRANSLATE(B15, ""en"", ""hi"")"),"पम्बरम प्रतियोगिता के दौरान, यदि खिलाड़ी Y का टॉप 8 सेकंड तक घूमता है और खिलाड़ी Z का टॉप 8 सेकंड तक घूमता है, लेकिन ध्वनि उत्पन्न करता है, और नियमों के अनुसार शांत टॉप को प्राथमिकता दी जाती है, तो कौन जीतता है?")</f>
        <v>पम्बरम प्रतियोगिता के दौरान, यदि खिलाड़ी Y का टॉप 8 सेकंड तक घूमता है और खिलाड़ी Z का टॉप 8 सेकंड तक घूमता है, लेकिन ध्वनि उत्पन्न करता है, और नियमों के अनुसार शांत टॉप को प्राथमिकता दी जाती है, तो कौन जीतता है?</v>
      </c>
      <c r="H15" s="5" t="str">
        <f>IFERROR(__xludf.DUMMYFUNCTION("GOOGLETRANSLATE(C15, ""en"", ""hi"")"),"A) खिलाड़ी Y, B) खिलाड़ी Z, C) यह टाई है, D) उपरोक्त में से कोई नहीं")</f>
        <v>A) खिलाड़ी Y, B) खिलाड़ी Z, C) यह टाई है, D) उपरोक्त में से कोई नहीं</v>
      </c>
      <c r="I15" s="5" t="str">
        <f>IFERROR(__xludf.DUMMYFUNCTION("GOOGLETRANSLATE(D15, ""en"", ""hi"")"),"A) खिलाड़ी Y")</f>
        <v>A) खिलाड़ी Y</v>
      </c>
    </row>
    <row r="16" ht="22.5" customHeight="1">
      <c r="A16" s="2">
        <v>15.0</v>
      </c>
      <c r="B16" s="3" t="s">
        <v>4665</v>
      </c>
      <c r="C16" s="3" t="s">
        <v>4666</v>
      </c>
      <c r="D16" s="3" t="s">
        <v>4667</v>
      </c>
      <c r="F16" s="5" t="str">
        <f>IFERROR(__xludf.DUMMYFUNCTION("GOOGLETRANSLATE(A16, ""en"", ""hi"")"),"15")</f>
        <v>15</v>
      </c>
      <c r="G16" s="5" t="str">
        <f>IFERROR(__xludf.DUMMYFUNCTION("GOOGLETRANSLATE(B16, ""en"", ""hi"")"),"खिलाड़ी AA का टॉप 12 सेकंड तक घूमता है, और खिलाड़ी BB का टॉप 10 सेकंड तक घूमता है, लेकिन ऐसा बिना किसी कंपन के लगातार होता है। अगर खेल में ज़्यादा समय तक घूमने का विकल्प हो, तो कौन जीतेगा?")</f>
        <v>खिलाड़ी AA का टॉप 12 सेकंड तक घूमता है, और खिलाड़ी BB का टॉप 10 सेकंड तक घूमता है, लेकिन ऐसा बिना किसी कंपन के लगातार होता है। अगर खेल में ज़्यादा समय तक घूमने का विकल्प हो, तो कौन जीतेगा?</v>
      </c>
      <c r="H16" s="5" t="str">
        <f>IFERROR(__xludf.DUMMYFUNCTION("GOOGLETRANSLATE(C16, ""en"", ""hi"")"),"A) खिलाड़ी AA, B) खिलाड़ी BB, C) यह टाई है, D) उपरोक्त में से कोई नहीं")</f>
        <v>A) खिलाड़ी AA, B) खिलाड़ी BB, C) यह टाई है, D) उपरोक्त में से कोई नहीं</v>
      </c>
      <c r="I16" s="5" t="str">
        <f>IFERROR(__xludf.DUMMYFUNCTION("GOOGLETRANSLATE(D16, ""en"", ""hi"")"),"ए) खिलाड़ी एए")</f>
        <v>ए) खिलाड़ी एए</v>
      </c>
    </row>
    <row r="17" ht="22.5" customHeight="1">
      <c r="A17" s="2">
        <v>16.0</v>
      </c>
      <c r="B17" s="3" t="s">
        <v>4668</v>
      </c>
      <c r="C17" s="3" t="s">
        <v>4669</v>
      </c>
      <c r="D17" s="3" t="s">
        <v>4670</v>
      </c>
      <c r="F17" s="5" t="str">
        <f>IFERROR(__xludf.DUMMYFUNCTION("GOOGLETRANSLATE(A17, ""en"", ""hi"")"),"16")</f>
        <v>16</v>
      </c>
      <c r="G17" s="5" t="str">
        <f>IFERROR(__xludf.DUMMYFUNCTION("GOOGLETRANSLATE(B17, ""en"", ""hi"")"),"पम्बरम मैच में, खिलाड़ी CC का टॉप 9 सेकंड तक घूमता है और हल्के से हिलते हुए गिरता है, जबकि खिलाड़ी DD का टॉप 9 सेकंड तक घूमता है और बिना हिले-डुले गिरता है। अगर नियमों के अनुसार हिलने पर जुर्माना लगता है, तो कौन जीतेगा?")</f>
        <v>पम्बरम मैच में, खिलाड़ी CC का टॉप 9 सेकंड तक घूमता है और हल्के से हिलते हुए गिरता है, जबकि खिलाड़ी DD का टॉप 9 सेकंड तक घूमता है और बिना हिले-डुले गिरता है। अगर नियमों के अनुसार हिलने पर जुर्माना लगता है, तो कौन जीतेगा?</v>
      </c>
      <c r="H17" s="5" t="str">
        <f>IFERROR(__xludf.DUMMYFUNCTION("GOOGLETRANSLATE(C17, ""en"", ""hi"")"),"A) खिलाड़ी CC, B) खिलाड़ी DD, C) यह एक टाई है, D) उपरोक्त में से कोई नहीं")</f>
        <v>A) खिलाड़ी CC, B) खिलाड़ी DD, C) यह एक टाई है, D) उपरोक्त में से कोई नहीं</v>
      </c>
      <c r="I17" s="5" t="str">
        <f>IFERROR(__xludf.DUMMYFUNCTION("GOOGLETRANSLATE(D17, ""en"", ""hi"")"),"बी) खिलाड़ी डीडी")</f>
        <v>बी) खिलाड़ी डीडी</v>
      </c>
    </row>
    <row r="18" ht="22.5" customHeight="1">
      <c r="A18" s="2">
        <v>17.0</v>
      </c>
      <c r="B18" s="3" t="s">
        <v>4671</v>
      </c>
      <c r="C18" s="3" t="s">
        <v>4672</v>
      </c>
      <c r="D18" s="3" t="s">
        <v>4673</v>
      </c>
      <c r="F18" s="5" t="str">
        <f>IFERROR(__xludf.DUMMYFUNCTION("GOOGLETRANSLATE(A18, ""en"", ""hi"")"),"17")</f>
        <v>17</v>
      </c>
      <c r="G18" s="5" t="str">
        <f>IFERROR(__xludf.DUMMYFUNCTION("GOOGLETRANSLATE(B18, ""en"", ""hi"")"),"पम्बरम प्रतियोगिता के दौरान, खिलाड़ी ईई का लट्टू 14 सेकंड तक घूमता है और खिलाड़ी एफएफ का लट्टू 15 सेकंड तक घूमता है, लेकिन थोड़ा सा किनारे की ओर गिर जाता है। अगर नियम गिरने की स्थिति की परवाह किए बिना ज़्यादा समय तक घूमने के पक्ष में हैं, तो कौन जीतेगा?")</f>
        <v>पम्बरम प्रतियोगिता के दौरान, खिलाड़ी ईई का लट्टू 14 सेकंड तक घूमता है और खिलाड़ी एफएफ का लट्टू 15 सेकंड तक घूमता है, लेकिन थोड़ा सा किनारे की ओर गिर जाता है। अगर नियम गिरने की स्थिति की परवाह किए बिना ज़्यादा समय तक घूमने के पक्ष में हैं, तो कौन जीतेगा?</v>
      </c>
      <c r="H18" s="5" t="str">
        <f>IFERROR(__xludf.DUMMYFUNCTION("GOOGLETRANSLATE(C18, ""en"", ""hi"")"),"A) खिलाड़ी ईई, B) खिलाड़ी एफएफ, C) यह एक टाई है, D) उपरोक्त में से कोई नहीं")</f>
        <v>A) खिलाड़ी ईई, B) खिलाड़ी एफएफ, C) यह एक टाई है, D) उपरोक्त में से कोई नहीं</v>
      </c>
      <c r="I18" s="5" t="str">
        <f>IFERROR(__xludf.DUMMYFUNCTION("GOOGLETRANSLATE(D18, ""en"", ""hi"")"),"बी) खिलाड़ी एफएफ")</f>
        <v>बी) खिलाड़ी एफएफ</v>
      </c>
    </row>
    <row r="19" ht="22.5" customHeight="1">
      <c r="A19" s="2">
        <v>18.0</v>
      </c>
      <c r="B19" s="3" t="s">
        <v>4674</v>
      </c>
      <c r="C19" s="3" t="s">
        <v>4675</v>
      </c>
      <c r="D19" s="3" t="s">
        <v>4676</v>
      </c>
      <c r="F19" s="5" t="str">
        <f>IFERROR(__xludf.DUMMYFUNCTION("GOOGLETRANSLATE(A19, ""en"", ""hi"")"),"18")</f>
        <v>18</v>
      </c>
      <c r="G19" s="5" t="str">
        <f>IFERROR(__xludf.DUMMYFUNCTION("GOOGLETRANSLATE(B19, ""en"", ""hi"")"),"खिलाड़ी GG और खिलाड़ी HH एक पम्बरम खेल में हैं। खिलाड़ी GG का लट्टू 6 सेकंड तक घूमता है और गिर जाता है, जबकि खिलाड़ी HH का लट्टू 6 सेकंड तक घूमता है और फिर गिरने से पहले 3 सेकंड के लिए फिर से घूमना शुरू करता है। अगर खेल के नियम अतिरिक्त घूमने के समय के पक"&amp;"्ष में हैं, तो कौन जीतता है?")</f>
        <v>खिलाड़ी GG और खिलाड़ी HH एक पम्बरम खेल में हैं। खिलाड़ी GG का लट्टू 6 सेकंड तक घूमता है और गिर जाता है, जबकि खिलाड़ी HH का लट्टू 6 सेकंड तक घूमता है और फिर गिरने से पहले 3 सेकंड के लिए फिर से घूमना शुरू करता है। अगर खेल के नियम अतिरिक्त घूमने के समय के पक्ष में हैं, तो कौन जीतता है?</v>
      </c>
      <c r="H19" s="5" t="str">
        <f>IFERROR(__xludf.DUMMYFUNCTION("GOOGLETRANSLATE(C19, ""en"", ""hi"")"),"A) खिलाड़ी GG, B) खिलाड़ी HH, C) यह एक टाई है, D) उपरोक्त में से कोई नहीं")</f>
        <v>A) खिलाड़ी GG, B) खिलाड़ी HH, C) यह एक टाई है, D) उपरोक्त में से कोई नहीं</v>
      </c>
      <c r="I19" s="5" t="str">
        <f>IFERROR(__xludf.DUMMYFUNCTION("GOOGLETRANSLATE(D19, ""en"", ""hi"")"),"बी) खिलाड़ी एचएच")</f>
        <v>बी) खिलाड़ी एचएच</v>
      </c>
    </row>
    <row r="20" ht="22.5" customHeight="1">
      <c r="A20" s="2">
        <v>19.0</v>
      </c>
      <c r="B20" s="3" t="s">
        <v>4677</v>
      </c>
      <c r="C20" s="3" t="s">
        <v>4678</v>
      </c>
      <c r="D20" s="3" t="s">
        <v>4679</v>
      </c>
      <c r="F20" s="5" t="str">
        <f>IFERROR(__xludf.DUMMYFUNCTION("GOOGLETRANSLATE(A20, ""en"", ""hi"")"),"19")</f>
        <v>19</v>
      </c>
      <c r="G20" s="5" t="str">
        <f>IFERROR(__xludf.DUMMYFUNCTION("GOOGLETRANSLATE(B20, ""en"", ""hi"")"),"पम्बरम मैच में, खिलाड़ी II का लट्टू 10 सेकंड तक स्थिर गति से घूमता है, जबकि खिलाड़ी JJ का लट्टू 10 सेकंड तक घूमता है, लेकिन बीच-बीच में गति बदलता रहता है। अगर नियम स्थिर गति के पक्ष में हैं, तो कौन जीतेगा?")</f>
        <v>पम्बरम मैच में, खिलाड़ी II का लट्टू 10 सेकंड तक स्थिर गति से घूमता है, जबकि खिलाड़ी JJ का लट्टू 10 सेकंड तक घूमता है, लेकिन बीच-बीच में गति बदलता रहता है। अगर नियम स्थिर गति के पक्ष में हैं, तो कौन जीतेगा?</v>
      </c>
      <c r="H20" s="5" t="str">
        <f>IFERROR(__xludf.DUMMYFUNCTION("GOOGLETRANSLATE(C20, ""en"", ""hi"")"),"A) खिलाड़ी II, B) खिलाड़ी JJ, C) यह एक टाई है, D) उपरोक्त में से कोई नहीं")</f>
        <v>A) खिलाड़ी II, B) खिलाड़ी JJ, C) यह एक टाई है, D) उपरोक्त में से कोई नहीं</v>
      </c>
      <c r="I20" s="5" t="str">
        <f>IFERROR(__xludf.DUMMYFUNCTION("GOOGLETRANSLATE(D20, ""en"", ""hi"")"),"ए) प्लेयर II")</f>
        <v>ए) प्लेयर II</v>
      </c>
    </row>
    <row r="21" ht="22.5" customHeight="1">
      <c r="A21" s="2">
        <v>20.0</v>
      </c>
      <c r="B21" s="3" t="s">
        <v>4680</v>
      </c>
      <c r="C21" s="3" t="s">
        <v>4681</v>
      </c>
      <c r="D21" s="3" t="s">
        <v>4682</v>
      </c>
      <c r="F21" s="5" t="str">
        <f>IFERROR(__xludf.DUMMYFUNCTION("GOOGLETRANSLATE(A21, ""en"", ""hi"")"),"20")</f>
        <v>20</v>
      </c>
      <c r="G21" s="5" t="str">
        <f>IFERROR(__xludf.DUMMYFUNCTION("GOOGLETRANSLATE(B21, ""en"", ""hi"")"),"खिलाड़ी केके का लट्टू 13 सेकंड तक घूमता है लेकिन झुककर गिरता है, जबकि खिलाड़ी एलएल का लट्टू 13 सेकंड तक घूमता है और सीधा खड़ा होता है। अगर खेल में सीधा खड़े होने का विकल्प चुना जाता है, तो कौन जीतेगा?")</f>
        <v>खिलाड़ी केके का लट्टू 13 सेकंड तक घूमता है लेकिन झुककर गिरता है, जबकि खिलाड़ी एलएल का लट्टू 13 सेकंड तक घूमता है और सीधा खड़ा होता है। अगर खेल में सीधा खड़े होने का विकल्प चुना जाता है, तो कौन जीतेगा?</v>
      </c>
      <c r="H21" s="5" t="str">
        <f>IFERROR(__xludf.DUMMYFUNCTION("GOOGLETRANSLATE(C21, ""en"", ""hi"")"),"A) खिलाड़ी के.के., B) खिलाड़ी एल.एल., C) यह टाई है, D) उपरोक्त में से कोई नहीं")</f>
        <v>A) खिलाड़ी के.के., B) खिलाड़ी एल.एल., C) यह टाई है, D) उपरोक्त में से कोई नहीं</v>
      </c>
      <c r="I21" s="5" t="str">
        <f>IFERROR(__xludf.DUMMYFUNCTION("GOOGLETRANSLATE(D21, ""en"", ""hi"")"),"बी) खिलाड़ी एलएल")</f>
        <v>बी) खिलाड़ी एलएल</v>
      </c>
    </row>
    <row r="22" ht="22.5" customHeight="1">
      <c r="A22" s="2">
        <v>21.0</v>
      </c>
      <c r="B22" s="3" t="s">
        <v>4683</v>
      </c>
      <c r="C22" s="3" t="s">
        <v>4684</v>
      </c>
      <c r="D22" s="3" t="s">
        <v>4685</v>
      </c>
      <c r="F22" s="5" t="str">
        <f>IFERROR(__xludf.DUMMYFUNCTION("GOOGLETRANSLATE(A22, ""en"", ""hi"")"),"21")</f>
        <v>21</v>
      </c>
      <c r="G22" s="5" t="str">
        <f>IFERROR(__xludf.DUMMYFUNCTION("GOOGLETRANSLATE(B22, ""en"", ""hi"")"),"पम्बरम प्रतियोगिता के दौरान, खिलाड़ी MM का लट्टू 7 सेकंड तक और खिलाड़ी NN का लट्टू 9 सेकंड तक घूमता है। अगर खेल में जीतने के लिए कम से कम 8 सेकंड का समय चाहिए, तो कौन जीतेगा?")</f>
        <v>पम्बरम प्रतियोगिता के दौरान, खिलाड़ी MM का लट्टू 7 सेकंड तक और खिलाड़ी NN का लट्टू 9 सेकंड तक घूमता है। अगर खेल में जीतने के लिए कम से कम 8 सेकंड का समय चाहिए, तो कौन जीतेगा?</v>
      </c>
      <c r="H22" s="5" t="str">
        <f>IFERROR(__xludf.DUMMYFUNCTION("GOOGLETRANSLATE(C22, ""en"", ""hi"")"),"A) खिलाड़ी MM, B) खिलाड़ी NN, C) दोनों खिलाड़ी, D) उपरोक्त में से कोई नहीं")</f>
        <v>A) खिलाड़ी MM, B) खिलाड़ी NN, C) दोनों खिलाड़ी, D) उपरोक्त में से कोई नहीं</v>
      </c>
      <c r="I22" s="5" t="str">
        <f>IFERROR(__xludf.DUMMYFUNCTION("GOOGLETRANSLATE(D22, ""en"", ""hi"")"),"बी) खिलाड़ी एनएन")</f>
        <v>बी) खिलाड़ी एनएन</v>
      </c>
    </row>
    <row r="23" ht="22.5" customHeight="1">
      <c r="A23" s="2">
        <v>22.0</v>
      </c>
      <c r="B23" s="3" t="s">
        <v>4686</v>
      </c>
      <c r="C23" s="3" t="s">
        <v>4687</v>
      </c>
      <c r="D23" s="3" t="s">
        <v>4688</v>
      </c>
      <c r="F23" s="5" t="str">
        <f>IFERROR(__xludf.DUMMYFUNCTION("GOOGLETRANSLATE(A23, ""en"", ""hi"")"),"22")</f>
        <v>22</v>
      </c>
      <c r="G23" s="5" t="str">
        <f>IFERROR(__xludf.DUMMYFUNCTION("GOOGLETRANSLATE(B23, ""en"", ""hi"")"),"यदि खिलाड़ी OO का टॉप 6 सेकंड तक घूमता है और खिलाड़ी PP का टॉप 6 सेकंड तक घूमता है, लेकिन खिलाड़ी PP का टॉप सीटी जैसी आवाज करता है, और खेल नियम कहता है कि कोई भी आवाज पसंद नहीं की जाती है, तो कौन जीतता है?")</f>
        <v>यदि खिलाड़ी OO का टॉप 6 सेकंड तक घूमता है और खिलाड़ी PP का टॉप 6 सेकंड तक घूमता है, लेकिन खिलाड़ी PP का टॉप सीटी जैसी आवाज करता है, और खेल नियम कहता है कि कोई भी आवाज पसंद नहीं की जाती है, तो कौन जीतता है?</v>
      </c>
      <c r="H23" s="5" t="str">
        <f>IFERROR(__xludf.DUMMYFUNCTION("GOOGLETRANSLATE(C23, ""en"", ""hi"")"),"A) खिलाड़ी OO, B) खिलाड़ी PP, C) यह एक टाई है, D) उपरोक्त में से कोई नहीं")</f>
        <v>A) खिलाड़ी OO, B) खिलाड़ी PP, C) यह एक टाई है, D) उपरोक्त में से कोई नहीं</v>
      </c>
      <c r="I23" s="5" t="str">
        <f>IFERROR(__xludf.DUMMYFUNCTION("GOOGLETRANSLATE(D23, ""en"", ""hi"")"),"ए) प्लेयर ओओ")</f>
        <v>ए) प्लेयर ओओ</v>
      </c>
    </row>
    <row r="24" ht="22.5" customHeight="1">
      <c r="A24" s="2">
        <v>23.0</v>
      </c>
      <c r="B24" s="3" t="s">
        <v>4689</v>
      </c>
      <c r="C24" s="3" t="s">
        <v>4690</v>
      </c>
      <c r="D24" s="3" t="s">
        <v>4691</v>
      </c>
      <c r="F24" s="5" t="str">
        <f>IFERROR(__xludf.DUMMYFUNCTION("GOOGLETRANSLATE(A24, ""en"", ""hi"")"),"23")</f>
        <v>23</v>
      </c>
      <c r="G24" s="5" t="str">
        <f>IFERROR(__xludf.DUMMYFUNCTION("GOOGLETRANSLATE(B24, ""en"", ""hi"")"),"पम्बरम मैच में, खिलाड़ी QQ का टॉप 5 सेकंड तक घूमता है और गिर जाता है, जबकि खिलाड़ी RR का टॉप 8 सेकंड तक घूमता है और गिर जाता है। अगर खेल में ज़्यादा समय तक घूमने का विकल्प हो, तो कौन जीतता है?")</f>
        <v>पम्बरम मैच में, खिलाड़ी QQ का टॉप 5 सेकंड तक घूमता है और गिर जाता है, जबकि खिलाड़ी RR का टॉप 8 सेकंड तक घूमता है और गिर जाता है। अगर खेल में ज़्यादा समय तक घूमने का विकल्प हो, तो कौन जीतता है?</v>
      </c>
      <c r="H24" s="5" t="str">
        <f>IFERROR(__xludf.DUMMYFUNCTION("GOOGLETRANSLATE(C24, ""en"", ""hi"")"),"A) खिलाड़ी QQ, B) खिलाड़ी RR, C) यह एक टाई है, D) उपरोक्त में से कोई नहीं")</f>
        <v>A) खिलाड़ी QQ, B) खिलाड़ी RR, C) यह एक टाई है, D) उपरोक्त में से कोई नहीं</v>
      </c>
      <c r="I24" s="5" t="str">
        <f>IFERROR(__xludf.DUMMYFUNCTION("GOOGLETRANSLATE(D24, ""en"", ""hi"")"),"बी) खिलाड़ी आरआर")</f>
        <v>बी) खिलाड़ी आरआर</v>
      </c>
    </row>
    <row r="25" ht="22.5" customHeight="1">
      <c r="A25" s="2">
        <v>24.0</v>
      </c>
      <c r="B25" s="3" t="s">
        <v>4692</v>
      </c>
      <c r="C25" s="3" t="s">
        <v>4693</v>
      </c>
      <c r="D25" s="3" t="s">
        <v>4694</v>
      </c>
      <c r="F25" s="5" t="str">
        <f>IFERROR(__xludf.DUMMYFUNCTION("GOOGLETRANSLATE(A25, ""en"", ""hi"")"),"24")</f>
        <v>24</v>
      </c>
      <c r="G25" s="5" t="str">
        <f>IFERROR(__xludf.DUMMYFUNCTION("GOOGLETRANSLATE(B25, ""en"", ""hi"")"),"पम्बरम गेम के दौरान, खिलाड़ी SS लगातार गति से 10 सेकंड तक टॉप घुमाता है, और खिलाड़ी TT भी 10 सेकंड तक टॉप घुमाता है, लेकिन अंत में वह डगमगाने लगता है। अगर गेम में अवधि की बजाय स्थिरता को प्राथमिकता दी जाए, तो कौन जीतेगा?")</f>
        <v>पम्बरम गेम के दौरान, खिलाड़ी SS लगातार गति से 10 सेकंड तक टॉप घुमाता है, और खिलाड़ी TT भी 10 सेकंड तक टॉप घुमाता है, लेकिन अंत में वह डगमगाने लगता है। अगर गेम में अवधि की बजाय स्थिरता को प्राथमिकता दी जाए, तो कौन जीतेगा?</v>
      </c>
      <c r="H25" s="5" t="str">
        <f>IFERROR(__xludf.DUMMYFUNCTION("GOOGLETRANSLATE(C25, ""en"", ""hi"")"),"A) खिलाड़ी एसएस, B) खिलाड़ी टीटी, C) यह एक टाई है, D) उपरोक्त में से कोई नहीं")</f>
        <v>A) खिलाड़ी एसएस, B) खिलाड़ी टीटी, C) यह एक टाई है, D) उपरोक्त में से कोई नहीं</v>
      </c>
      <c r="I25" s="5" t="str">
        <f>IFERROR(__xludf.DUMMYFUNCTION("GOOGLETRANSLATE(D25, ""en"", ""hi"")"),"ए) खिलाड़ी एसएस")</f>
        <v>ए) खिलाड़ी एसएस</v>
      </c>
    </row>
    <row r="26" ht="22.5" customHeight="1">
      <c r="A26" s="2">
        <v>25.0</v>
      </c>
      <c r="B26" s="3" t="s">
        <v>4695</v>
      </c>
      <c r="C26" s="3" t="s">
        <v>4696</v>
      </c>
      <c r="D26" s="3" t="s">
        <v>4697</v>
      </c>
      <c r="F26" s="5" t="str">
        <f>IFERROR(__xludf.DUMMYFUNCTION("GOOGLETRANSLATE(A26, ""en"", ""hi"")"),"25")</f>
        <v>25</v>
      </c>
      <c r="G26" s="5" t="str">
        <f>IFERROR(__xludf.DUMMYFUNCTION("GOOGLETRANSLATE(B26, ""en"", ""hi"")"),"पम्बरम मैच में, यदि खिलाड़ी UU का टॉप 9 सेकंड तक घूमता है और खिलाड़ी VV का टॉप 9 सेकंड तक घूमता है, लेकिन खिलाड़ी UU का टॉप पहले गिरता है, तो गिरने के समय के आधार पर कौन जीतता है?")</f>
        <v>पम्बरम मैच में, यदि खिलाड़ी UU का टॉप 9 सेकंड तक घूमता है और खिलाड़ी VV का टॉप 9 सेकंड तक घूमता है, लेकिन खिलाड़ी UU का टॉप पहले गिरता है, तो गिरने के समय के आधार पर कौन जीतता है?</v>
      </c>
      <c r="H26" s="5" t="str">
        <f>IFERROR(__xludf.DUMMYFUNCTION("GOOGLETRANSLATE(C26, ""en"", ""hi"")"),"A) खिलाड़ी UU, B) खिलाड़ी VV, C) यह एक टाई है, D) उपरोक्त में से कोई नहीं")</f>
        <v>A) खिलाड़ी UU, B) खिलाड़ी VV, C) यह एक टाई है, D) उपरोक्त में से कोई नहीं</v>
      </c>
      <c r="I26" s="5" t="str">
        <f>IFERROR(__xludf.DUMMYFUNCTION("GOOGLETRANSLATE(D26, ""en"", ""hi"")"),"बी) खिलाड़ी वीवी")</f>
        <v>बी) खिलाड़ी वीवी</v>
      </c>
    </row>
    <row r="27" ht="22.5" customHeight="1">
      <c r="A27" s="2">
        <v>26.0</v>
      </c>
      <c r="B27" s="3" t="s">
        <v>4698</v>
      </c>
      <c r="C27" s="3" t="s">
        <v>4699</v>
      </c>
      <c r="D27" s="3" t="s">
        <v>4700</v>
      </c>
      <c r="F27" s="5" t="str">
        <f>IFERROR(__xludf.DUMMYFUNCTION("GOOGLETRANSLATE(A27, ""en"", ""hi"")"),"26")</f>
        <v>26</v>
      </c>
      <c r="G27" s="5" t="str">
        <f>IFERROR(__xludf.DUMMYFUNCTION("GOOGLETRANSLATE(B27, ""en"", ""hi"")"),"खिलाड़ी WW का लट्टू बिना हिले-डुले 7 सेकंड तक घूमता है, जबकि खिलाड़ी XX का लट्टू 7 सेकंड तक घूमता है और थोड़ा हिलता है। अगर खेल के नियम हिलने-डुलने से बचते हैं, तो कौन जीतेगा?")</f>
        <v>खिलाड़ी WW का लट्टू बिना हिले-डुले 7 सेकंड तक घूमता है, जबकि खिलाड़ी XX का लट्टू 7 सेकंड तक घूमता है और थोड़ा हिलता है। अगर खेल के नियम हिलने-डुलने से बचते हैं, तो कौन जीतेगा?</v>
      </c>
      <c r="H27" s="5" t="str">
        <f>IFERROR(__xludf.DUMMYFUNCTION("GOOGLETRANSLATE(C27, ""en"", ""hi"")"),"A) खिलाड़ी WW, B) खिलाड़ी XX, C) यह एक टाई है, D) उपरोक्त में से कोई नहीं")</f>
        <v>A) खिलाड़ी WW, B) खिलाड़ी XX, C) यह एक टाई है, D) उपरोक्त में से कोई नहीं</v>
      </c>
      <c r="I27" s="5" t="str">
        <f>IFERROR(__xludf.DUMMYFUNCTION("GOOGLETRANSLATE(D27, ""en"", ""hi"")"),"ए) प्लेयर डब्ल्यूडब्ल्यू")</f>
        <v>ए) प्लेयर डब्ल्यूडब्ल्यू</v>
      </c>
    </row>
    <row r="28" ht="22.5" customHeight="1">
      <c r="A28" s="2">
        <v>27.0</v>
      </c>
      <c r="B28" s="3" t="s">
        <v>4701</v>
      </c>
      <c r="C28" s="3" t="s">
        <v>4702</v>
      </c>
      <c r="D28" s="3" t="s">
        <v>4703</v>
      </c>
      <c r="F28" s="5" t="str">
        <f>IFERROR(__xludf.DUMMYFUNCTION("GOOGLETRANSLATE(A28, ""en"", ""hi"")"),"27")</f>
        <v>27</v>
      </c>
      <c r="G28" s="5" t="str">
        <f>IFERROR(__xludf.DUMMYFUNCTION("GOOGLETRANSLATE(B28, ""en"", ""hi"")"),"पम्बरम मैच के दौरान, खिलाड़ी YY की चोटी 11 सेकंड तक घूमती है और गिर जाती है, और खिलाड़ी ZZ की चोटी 11 सेकंड तक घूमती है और झुककर गिर जाती है। अगर खेल के नियमों के अनुसार सीधा गिरना बेहतर है, तो कौन जीतता है?")</f>
        <v>पम्बरम मैच के दौरान, खिलाड़ी YY की चोटी 11 सेकंड तक घूमती है और गिर जाती है, और खिलाड़ी ZZ की चोटी 11 सेकंड तक घूमती है और झुककर गिर जाती है। अगर खेल के नियमों के अनुसार सीधा गिरना बेहतर है, तो कौन जीतता है?</v>
      </c>
      <c r="H28" s="5" t="str">
        <f>IFERROR(__xludf.DUMMYFUNCTION("GOOGLETRANSLATE(C28, ""en"", ""hi"")"),"A) खिलाड़ी YY, B) खिलाड़ी ZZ, C) यह टाई है, D) उपरोक्त में से कोई नहीं")</f>
        <v>A) खिलाड़ी YY, B) खिलाड़ी ZZ, C) यह टाई है, D) उपरोक्त में से कोई नहीं</v>
      </c>
      <c r="I28" s="5" t="str">
        <f>IFERROR(__xludf.DUMMYFUNCTION("GOOGLETRANSLATE(D28, ""en"", ""hi"")"),"ए) खिलाड़ी वर्ष")</f>
        <v>ए) खिलाड़ी वर्ष</v>
      </c>
    </row>
    <row r="29" ht="22.5" customHeight="1">
      <c r="A29" s="2">
        <v>28.0</v>
      </c>
      <c r="B29" s="3" t="s">
        <v>4704</v>
      </c>
      <c r="C29" s="3" t="s">
        <v>4705</v>
      </c>
      <c r="D29" s="3" t="s">
        <v>4706</v>
      </c>
      <c r="F29" s="5" t="str">
        <f>IFERROR(__xludf.DUMMYFUNCTION("GOOGLETRANSLATE(A29, ""en"", ""hi"")"),"28")</f>
        <v>28</v>
      </c>
      <c r="G29" s="5" t="str">
        <f>IFERROR(__xludf.DUMMYFUNCTION("GOOGLETRANSLATE(B29, ""en"", ""hi"")"),"पम्बरम प्रतियोगिता में, यदि खिलाड़ी AAA का शीर्ष 12 सेकंड तक घूमता है और खिलाड़ी BBB का शीर्ष 12 सेकंड तक घूमता है, लेकिन अनियमित अंतराल के साथ, यदि स्थिरता को प्राथमिकता दी जाती है तो कौन जीतता है?")</f>
        <v>पम्बरम प्रतियोगिता में, यदि खिलाड़ी AAA का शीर्ष 12 सेकंड तक घूमता है और खिलाड़ी BBB का शीर्ष 12 सेकंड तक घूमता है, लेकिन अनियमित अंतराल के साथ, यदि स्थिरता को प्राथमिकता दी जाती है तो कौन जीतता है?</v>
      </c>
      <c r="H29" s="5" t="str">
        <f>IFERROR(__xludf.DUMMYFUNCTION("GOOGLETRANSLATE(C29, ""en"", ""hi"")"),"A) खिलाड़ी AAA, B) खिलाड़ी BBB, C) यह एक टाई है, D) उपरोक्त में से कोई नहीं")</f>
        <v>A) खिलाड़ी AAA, B) खिलाड़ी BBB, C) यह एक टाई है, D) उपरोक्त में से कोई नहीं</v>
      </c>
      <c r="I29" s="5" t="str">
        <f>IFERROR(__xludf.DUMMYFUNCTION("GOOGLETRANSLATE(D29, ""en"", ""hi"")"),"ए) खिलाड़ी एएए")</f>
        <v>ए) खिलाड़ी एएए</v>
      </c>
    </row>
    <row r="30" ht="22.5" customHeight="1">
      <c r="A30" s="2">
        <v>29.0</v>
      </c>
      <c r="B30" s="3" t="s">
        <v>4707</v>
      </c>
      <c r="C30" s="3" t="s">
        <v>4708</v>
      </c>
      <c r="D30" s="3" t="s">
        <v>4709</v>
      </c>
      <c r="F30" s="5" t="str">
        <f>IFERROR(__xludf.DUMMYFUNCTION("GOOGLETRANSLATE(A30, ""en"", ""hi"")"),"29")</f>
        <v>29</v>
      </c>
      <c r="G30" s="5" t="str">
        <f>IFERROR(__xludf.DUMMYFUNCTION("GOOGLETRANSLATE(B30, ""en"", ""hi"")"),"खिलाड़ी CCC ऊपरी हिस्से को 6 सेकंड तक घुमाता है और खिलाड़ी DDD ऊपरी हिस्से को 6 सेकंड तक घुमाता है, लेकिन खिलाड़ी DDD का ऊपरी हिस्सा ज़्यादा आसानी से घूम रहा है। अगर खेल में आसानी को महत्व दिया जाता है, तो कौन जीतता है?")</f>
        <v>खिलाड़ी CCC ऊपरी हिस्से को 6 सेकंड तक घुमाता है और खिलाड़ी DDD ऊपरी हिस्से को 6 सेकंड तक घुमाता है, लेकिन खिलाड़ी DDD का ऊपरी हिस्सा ज़्यादा आसानी से घूम रहा है। अगर खेल में आसानी को महत्व दिया जाता है, तो कौन जीतता है?</v>
      </c>
      <c r="H30" s="5" t="str">
        <f>IFERROR(__xludf.DUMMYFUNCTION("GOOGLETRANSLATE(C30, ""en"", ""hi"")"),"A) खिलाड़ी CCC, B) खिलाड़ी DDD, C) यह एक टाई है, D) उपरोक्त में से कोई नहीं")</f>
        <v>A) खिलाड़ी CCC, B) खिलाड़ी DDD, C) यह एक टाई है, D) उपरोक्त में से कोई नहीं</v>
      </c>
      <c r="I30" s="5" t="str">
        <f>IFERROR(__xludf.DUMMYFUNCTION("GOOGLETRANSLATE(D30, ""en"", ""hi"")"),"बी) प्लेयर डीडीडी")</f>
        <v>बी) प्लेयर डीडीडी</v>
      </c>
    </row>
    <row r="31" ht="22.5" customHeight="1">
      <c r="A31" s="2">
        <v>30.0</v>
      </c>
      <c r="B31" s="3" t="s">
        <v>4710</v>
      </c>
      <c r="C31" s="3" t="s">
        <v>4711</v>
      </c>
      <c r="D31" s="3" t="s">
        <v>4712</v>
      </c>
      <c r="F31" s="5" t="str">
        <f>IFERROR(__xludf.DUMMYFUNCTION("GOOGLETRANSLATE(A31, ""en"", ""hi"")"),"30")</f>
        <v>30</v>
      </c>
      <c r="G31" s="5" t="str">
        <f>IFERROR(__xludf.DUMMYFUNCTION("GOOGLETRANSLATE(B31, ""en"", ""hi"")"),"पम्बरम गेम के दौरान, खिलाड़ी EEE का टॉप 10 सेकंड तक घूमता है और गिर जाता है, और खिलाड़ी FFF का टॉप 10 सेकंड तक घूमता है और फिर 2 सेकंड के लिए डगमगाता है। अगर गेम में डगमगाने की बजाय लंबी अवधि के घूमने को तरजीह दी जाए, तो कौन जीतेगा?")</f>
        <v>पम्बरम गेम के दौरान, खिलाड़ी EEE का टॉप 10 सेकंड तक घूमता है और गिर जाता है, और खिलाड़ी FFF का टॉप 10 सेकंड तक घूमता है और फिर 2 सेकंड के लिए डगमगाता है। अगर गेम में डगमगाने की बजाय लंबी अवधि के घूमने को तरजीह दी जाए, तो कौन जीतेगा?</v>
      </c>
      <c r="H31" s="5" t="str">
        <f>IFERROR(__xludf.DUMMYFUNCTION("GOOGLETRANSLATE(C31, ""en"", ""hi"")"),"A) खिलाड़ी EEE, B) खिलाड़ी FFF, C) यह एक टाई है, D) उपरोक्त में से कोई नहीं")</f>
        <v>A) खिलाड़ी EEE, B) खिलाड़ी FFF, C) यह एक टाई है, D) उपरोक्त में से कोई नहीं</v>
      </c>
      <c r="I31" s="5" t="str">
        <f>IFERROR(__xludf.DUMMYFUNCTION("GOOGLETRANSLATE(D31, ""en"", ""hi"")"),"ए) प्लेयर ईईई")</f>
        <v>ए) प्लेयर ईईई</v>
      </c>
    </row>
    <row r="32" ht="22.5" customHeight="1">
      <c r="A32" s="2">
        <v>31.0</v>
      </c>
      <c r="B32" s="3" t="s">
        <v>4713</v>
      </c>
      <c r="C32" s="3" t="s">
        <v>4714</v>
      </c>
      <c r="D32" s="3" t="s">
        <v>4715</v>
      </c>
      <c r="F32" s="5" t="str">
        <f>IFERROR(__xludf.DUMMYFUNCTION("GOOGLETRANSLATE(A32, ""en"", ""hi"")"),"31")</f>
        <v>31</v>
      </c>
      <c r="G32" s="5" t="str">
        <f>IFERROR(__xludf.DUMMYFUNCTION("GOOGLETRANSLATE(B32, ""en"", ""hi"")"),"यदि खिलाड़ी GGG का शीर्ष 8 सेकंड तक घूमता है और खिलाड़ी HHH का शीर्ष 8 सेकंड तक घूमता है, लेकिन खिलाड़ी GGG का शीर्ष सीधा खड़ा होता है, जबकि खिलाड़ी HHH का शीर्ष झुका हुआ होता है, तो कौन जीतता है यदि खेल सीधे खड़े होने को महत्व देता है?")</f>
        <v>यदि खिलाड़ी GGG का शीर्ष 8 सेकंड तक घूमता है और खिलाड़ी HHH का शीर्ष 8 सेकंड तक घूमता है, लेकिन खिलाड़ी GGG का शीर्ष सीधा खड़ा होता है, जबकि खिलाड़ी HHH का शीर्ष झुका हुआ होता है, तो कौन जीतता है यदि खेल सीधे खड़े होने को महत्व देता है?</v>
      </c>
      <c r="H32" s="5" t="str">
        <f>IFERROR(__xludf.DUMMYFUNCTION("GOOGLETRANSLATE(C32, ""en"", ""hi"")"),"A) खिलाड़ी GGG, B) खिलाड़ी HHH, C) यह एक टाई है, D) उपरोक्त में से कोई नहीं")</f>
        <v>A) खिलाड़ी GGG, B) खिलाड़ी HHH, C) यह एक टाई है, D) उपरोक्त में से कोई नहीं</v>
      </c>
      <c r="I32" s="5" t="str">
        <f>IFERROR(__xludf.DUMMYFUNCTION("GOOGLETRANSLATE(D32, ""en"", ""hi"")"),"A) खिलाड़ी GGG")</f>
        <v>A) खिलाड़ी GGG</v>
      </c>
    </row>
    <row r="33" ht="22.5" customHeight="1">
      <c r="A33" s="2">
        <v>32.0</v>
      </c>
      <c r="B33" s="3" t="s">
        <v>4716</v>
      </c>
      <c r="C33" s="3" t="s">
        <v>4717</v>
      </c>
      <c r="D33" s="3" t="s">
        <v>4718</v>
      </c>
      <c r="F33" s="5" t="str">
        <f>IFERROR(__xludf.DUMMYFUNCTION("GOOGLETRANSLATE(A33, ""en"", ""hi"")"),"32")</f>
        <v>32</v>
      </c>
      <c r="G33" s="5" t="str">
        <f>IFERROR(__xludf.DUMMYFUNCTION("GOOGLETRANSLATE(B33, ""en"", ""hi"")"),"एक पम्बरम मैच में, खिलाड़ी III का टॉप 7 सेकंड तक घूमता है और खिलाड़ी JJJ का टॉप भी 7 सेकंड तक घूमता है। अगर खिलाड़ी III का टॉप बीच में तेज़ी से घूमने लगे और खिलाड़ी JJJ का टॉप एक समान गति से घूमे, तो गति की स्थिरता को प्राथमिकता देने पर कौन जीतेगा?")</f>
        <v>एक पम्बरम मैच में, खिलाड़ी III का टॉप 7 सेकंड तक घूमता है और खिलाड़ी JJJ का टॉप भी 7 सेकंड तक घूमता है। अगर खिलाड़ी III का टॉप बीच में तेज़ी से घूमने लगे और खिलाड़ी JJJ का टॉप एक समान गति से घूमे, तो गति की स्थिरता को प्राथमिकता देने पर कौन जीतेगा?</v>
      </c>
      <c r="H33" s="5" t="str">
        <f>IFERROR(__xludf.DUMMYFUNCTION("GOOGLETRANSLATE(C33, ""en"", ""hi"")"),"A) खिलाड़ी III, B) खिलाड़ी JJJ, C) यह एक टाई है, D) उपरोक्त में से कोई नहीं")</f>
        <v>A) खिलाड़ी III, B) खिलाड़ी JJJ, C) यह एक टाई है, D) उपरोक्त में से कोई नहीं</v>
      </c>
      <c r="I33" s="5" t="str">
        <f>IFERROR(__xludf.DUMMYFUNCTION("GOOGLETRANSLATE(D33, ""en"", ""hi"")"),"बी) खिलाड़ी जेजेजे")</f>
        <v>बी) खिलाड़ी जेजेजे</v>
      </c>
    </row>
    <row r="34" ht="22.5" customHeight="1">
      <c r="A34" s="2">
        <v>33.0</v>
      </c>
      <c r="B34" s="3" t="s">
        <v>4719</v>
      </c>
      <c r="C34" s="3" t="s">
        <v>4720</v>
      </c>
      <c r="D34" s="3" t="s">
        <v>4721</v>
      </c>
      <c r="F34" s="5" t="str">
        <f>IFERROR(__xludf.DUMMYFUNCTION("GOOGLETRANSLATE(A34, ""en"", ""hi"")"),"33")</f>
        <v>33</v>
      </c>
      <c r="G34" s="5" t="str">
        <f>IFERROR(__xludf.DUMMYFUNCTION("GOOGLETRANSLATE(B34, ""en"", ""hi"")"),"खिलाड़ी KKK का लट्टू 9 सेकंड तक घूमता है और गिर जाता है, और खिलाड़ी LLL का लट्टू 9 सेकंड तक घूमता है, लेकिन बीच-बीच में हिलता-डुलता रहता है। अगर खेल में कम हिलने-डुलने का पक्ष लिया जाए, तो कौन जीतेगा?")</f>
        <v>खिलाड़ी KKK का लट्टू 9 सेकंड तक घूमता है और गिर जाता है, और खिलाड़ी LLL का लट्टू 9 सेकंड तक घूमता है, लेकिन बीच-बीच में हिलता-डुलता रहता है। अगर खेल में कम हिलने-डुलने का पक्ष लिया जाए, तो कौन जीतेगा?</v>
      </c>
      <c r="H34" s="5" t="str">
        <f>IFERROR(__xludf.DUMMYFUNCTION("GOOGLETRANSLATE(C34, ""en"", ""hi"")"),"A) खिलाड़ी KKK, B) खिलाड़ी LLL, C) यह एक टाई है, D) उपरोक्त में से कोई नहीं")</f>
        <v>A) खिलाड़ी KKK, B) खिलाड़ी LLL, C) यह एक टाई है, D) उपरोक्त में से कोई नहीं</v>
      </c>
      <c r="I34" s="5" t="str">
        <f>IFERROR(__xludf.DUMMYFUNCTION("GOOGLETRANSLATE(D34, ""en"", ""hi"")"),"ए) खिलाड़ी केकेके")</f>
        <v>ए) खिलाड़ी केकेके</v>
      </c>
    </row>
    <row r="35" ht="22.5" customHeight="1">
      <c r="A35" s="2">
        <v>34.0</v>
      </c>
      <c r="B35" s="3" t="s">
        <v>4722</v>
      </c>
      <c r="C35" s="3" t="s">
        <v>4723</v>
      </c>
      <c r="D35" s="3" t="s">
        <v>4724</v>
      </c>
      <c r="F35" s="5" t="str">
        <f>IFERROR(__xludf.DUMMYFUNCTION("GOOGLETRANSLATE(A35, ""en"", ""hi"")"),"34")</f>
        <v>34</v>
      </c>
      <c r="G35" s="5" t="str">
        <f>IFERROR(__xludf.DUMMYFUNCTION("GOOGLETRANSLATE(B35, ""en"", ""hi"")"),"पम्बरम प्रतियोगिता के दौरान, यदि खिलाड़ी MMM का शीर्ष 13 सेकंड तक घूमता है और खिलाड़ी NNN का शीर्ष 13 सेकंड तक घूमता है, लेकिन खिलाड़ी NNN का शीर्ष एक ध्वनि उत्पन्न करता है, तो यदि कोई ध्वनि पसंद नहीं की जाती है तो कौन जीतता है?")</f>
        <v>पम्बरम प्रतियोगिता के दौरान, यदि खिलाड़ी MMM का शीर्ष 13 सेकंड तक घूमता है और खिलाड़ी NNN का शीर्ष 13 सेकंड तक घूमता है, लेकिन खिलाड़ी NNN का शीर्ष एक ध्वनि उत्पन्न करता है, तो यदि कोई ध्वनि पसंद नहीं की जाती है तो कौन जीतता है?</v>
      </c>
      <c r="H35" s="5" t="str">
        <f>IFERROR(__xludf.DUMMYFUNCTION("GOOGLETRANSLATE(C35, ""en"", ""hi"")"),"A) खिलाड़ी MMM, B) खिलाड़ी NNN, C) यह एक टाई है, D) उपरोक्त में से कोई नहीं")</f>
        <v>A) खिलाड़ी MMM, B) खिलाड़ी NNN, C) यह एक टाई है, D) उपरोक्त में से कोई नहीं</v>
      </c>
      <c r="I35" s="5" t="str">
        <f>IFERROR(__xludf.DUMMYFUNCTION("GOOGLETRANSLATE(D35, ""en"", ""hi"")"),"ए) प्लेयर एमएमएम")</f>
        <v>ए) प्लेयर एमएमएम</v>
      </c>
    </row>
    <row r="36" ht="22.5" customHeight="1">
      <c r="A36" s="2">
        <v>35.0</v>
      </c>
      <c r="B36" s="3" t="s">
        <v>4725</v>
      </c>
      <c r="C36" s="3" t="s">
        <v>4726</v>
      </c>
      <c r="D36" s="3" t="s">
        <v>4727</v>
      </c>
      <c r="F36" s="5" t="str">
        <f>IFERROR(__xludf.DUMMYFUNCTION("GOOGLETRANSLATE(A36, ""en"", ""hi"")"),"35")</f>
        <v>35</v>
      </c>
      <c r="G36" s="5" t="str">
        <f>IFERROR(__xludf.DUMMYFUNCTION("GOOGLETRANSLATE(B36, ""en"", ""hi"")"),"यदि खिलाड़ी OOO का शीर्ष 14 सेकंड तक घूमता है और खिलाड़ी PPP का शीर्ष 14 सेकंड तक घूमता है, लेकिन खिलाड़ी PPP का शीर्ष झुकाव के साथ गिरता है, तो कौन जीतता है यदि गिरने की स्थिति कोई कारक नहीं है?")</f>
        <v>यदि खिलाड़ी OOO का शीर्ष 14 सेकंड तक घूमता है और खिलाड़ी PPP का शीर्ष 14 सेकंड तक घूमता है, लेकिन खिलाड़ी PPP का शीर्ष झुकाव के साथ गिरता है, तो कौन जीतता है यदि गिरने की स्थिति कोई कारक नहीं है?</v>
      </c>
      <c r="H36" s="5" t="str">
        <f>IFERROR(__xludf.DUMMYFUNCTION("GOOGLETRANSLATE(C36, ""en"", ""hi"")"),"A) खिलाड़ी OOO, B) खिलाड़ी PPP, C) यह एक टाई है, D) उपरोक्त में से कोई नहीं")</f>
        <v>A) खिलाड़ी OOO, B) खिलाड़ी PPP, C) यह एक टाई है, D) उपरोक्त में से कोई नहीं</v>
      </c>
      <c r="I36" s="5" t="str">
        <f>IFERROR(__xludf.DUMMYFUNCTION("GOOGLETRANSLATE(D36, ""en"", ""hi"")"),"C) यह एक टाई है")</f>
        <v>C) यह एक टाई है</v>
      </c>
    </row>
    <row r="37" ht="22.5" customHeight="1">
      <c r="A37" s="2">
        <v>36.0</v>
      </c>
      <c r="B37" s="3" t="s">
        <v>4728</v>
      </c>
      <c r="C37" s="3" t="s">
        <v>4729</v>
      </c>
      <c r="D37" s="3" t="s">
        <v>4730</v>
      </c>
      <c r="F37" s="5" t="str">
        <f>IFERROR(__xludf.DUMMYFUNCTION("GOOGLETRANSLATE(A37, ""en"", ""hi"")"),"36")</f>
        <v>36</v>
      </c>
      <c r="G37" s="5" t="str">
        <f>IFERROR(__xludf.DUMMYFUNCTION("GOOGLETRANSLATE(B37, ""en"", ""hi"")"),"खिलाड़ी QQQ ऊपरी हिस्से को 6 सेकंड तक घुमाता है और खिलाड़ी RRR ऊपरी हिस्से को 8 सेकंड तक घुमाता है। अगर खेल के नियमों के अनुसार जीतने के लिए कम से कम 7 सेकंड का समय चाहिए, तो अगले राउंड के लिए कौन क्वालीफाई करेगा?")</f>
        <v>खिलाड़ी QQQ ऊपरी हिस्से को 6 सेकंड तक घुमाता है और खिलाड़ी RRR ऊपरी हिस्से को 8 सेकंड तक घुमाता है। अगर खेल के नियमों के अनुसार जीतने के लिए कम से कम 7 सेकंड का समय चाहिए, तो अगले राउंड के लिए कौन क्वालीफाई करेगा?</v>
      </c>
      <c r="H37" s="5" t="str">
        <f>IFERROR(__xludf.DUMMYFUNCTION("GOOGLETRANSLATE(C37, ""en"", ""hi"")"),"A) खिलाड़ी QQQ, B) खिलाड़ी RRR, C) दोनों खिलाड़ी, D) उपरोक्त में से कोई नहीं")</f>
        <v>A) खिलाड़ी QQQ, B) खिलाड़ी RRR, C) दोनों खिलाड़ी, D) उपरोक्त में से कोई नहीं</v>
      </c>
      <c r="I37" s="5" t="str">
        <f>IFERROR(__xludf.DUMMYFUNCTION("GOOGLETRANSLATE(D37, ""en"", ""hi"")"),"बी) खिलाड़ी आरआरआर")</f>
        <v>बी) खिलाड़ी आरआरआर</v>
      </c>
    </row>
    <row r="38" ht="22.5" customHeight="1">
      <c r="A38" s="2">
        <v>37.0</v>
      </c>
      <c r="B38" s="3" t="s">
        <v>4731</v>
      </c>
      <c r="C38" s="3" t="s">
        <v>4732</v>
      </c>
      <c r="D38" s="3" t="s">
        <v>4733</v>
      </c>
      <c r="F38" s="5" t="str">
        <f>IFERROR(__xludf.DUMMYFUNCTION("GOOGLETRANSLATE(A38, ""en"", ""hi"")"),"37")</f>
        <v>37</v>
      </c>
      <c r="G38" s="5" t="str">
        <f>IFERROR(__xludf.DUMMYFUNCTION("GOOGLETRANSLATE(B38, ""en"", ""hi"")"),"पम्बरम मैच के दौरान, खिलाड़ी SSS का टॉप 11 सेकंड तक घूमता है और खिलाड़ी TTT का टॉप भी 11 सेकंड तक घूमता है, लेकिन खिलाड़ी SSS का टॉप थोड़ा डगमगाता है। अगर खेल के नियम ज़्यादा समय तक घूमने के पक्ष में हैं, तो कौन जीतेगा?")</f>
        <v>पम्बरम मैच के दौरान, खिलाड़ी SSS का टॉप 11 सेकंड तक घूमता है और खिलाड़ी TTT का टॉप भी 11 सेकंड तक घूमता है, लेकिन खिलाड़ी SSS का टॉप थोड़ा डगमगाता है। अगर खेल के नियम ज़्यादा समय तक घूमने के पक्ष में हैं, तो कौन जीतेगा?</v>
      </c>
      <c r="H38" s="5" t="str">
        <f>IFERROR(__xludf.DUMMYFUNCTION("GOOGLETRANSLATE(C38, ""en"", ""hi"")"),"A) खिलाड़ी SSS, B) खिलाड़ी TTT, C) यह एक टाई है, D) उपरोक्त में से कोई नहीं")</f>
        <v>A) खिलाड़ी SSS, B) खिलाड़ी TTT, C) यह एक टाई है, D) उपरोक्त में से कोई नहीं</v>
      </c>
      <c r="I38" s="5" t="str">
        <f>IFERROR(__xludf.DUMMYFUNCTION("GOOGLETRANSLATE(D38, ""en"", ""hi"")"),"ए) खिलाड़ी एसएसएस")</f>
        <v>ए) खिलाड़ी एसएसएस</v>
      </c>
    </row>
    <row r="39" ht="22.5" customHeight="1">
      <c r="A39" s="2">
        <v>38.0</v>
      </c>
      <c r="B39" s="3" t="s">
        <v>4734</v>
      </c>
      <c r="C39" s="3" t="s">
        <v>4735</v>
      </c>
      <c r="D39" s="3" t="s">
        <v>4736</v>
      </c>
      <c r="F39" s="5" t="str">
        <f>IFERROR(__xludf.DUMMYFUNCTION("GOOGLETRANSLATE(A39, ""en"", ""hi"")"),"38")</f>
        <v>38</v>
      </c>
      <c r="G39" s="5" t="str">
        <f>IFERROR(__xludf.DUMMYFUNCTION("GOOGLETRANSLATE(B39, ""en"", ""hi"")"),"खिलाड़ी UUU 9 सेकंड तक ऊपरी भाग घुमाता है और खिलाड़ी VVV 9 सेकंड तक ऊपरी भाग घुमाता है, लेकिन अंत में खिलाड़ी VVV का ऊपरी भाग डगमगाता है। अगर खेल में स्थिरता को महत्व दिया जाता है, तो कौन जीतेगा?")</f>
        <v>खिलाड़ी UUU 9 सेकंड तक ऊपरी भाग घुमाता है और खिलाड़ी VVV 9 सेकंड तक ऊपरी भाग घुमाता है, लेकिन अंत में खिलाड़ी VVV का ऊपरी भाग डगमगाता है। अगर खेल में स्थिरता को महत्व दिया जाता है, तो कौन जीतेगा?</v>
      </c>
      <c r="H39" s="5" t="str">
        <f>IFERROR(__xludf.DUMMYFUNCTION("GOOGLETRANSLATE(C39, ""en"", ""hi"")"),"A) खिलाड़ी UUU, B) खिलाड़ी VVV, C) यह एक टाई है, D) उपरोक्त में से कोई नहीं")</f>
        <v>A) खिलाड़ी UUU, B) खिलाड़ी VVV, C) यह एक टाई है, D) उपरोक्त में से कोई नहीं</v>
      </c>
      <c r="I39" s="5" t="str">
        <f>IFERROR(__xludf.DUMMYFUNCTION("GOOGLETRANSLATE(D39, ""en"", ""hi"")"),"A) खिलाड़ी UUU")</f>
        <v>A) खिलाड़ी UUU</v>
      </c>
    </row>
    <row r="40" ht="22.5" customHeight="1">
      <c r="A40" s="2">
        <v>39.0</v>
      </c>
      <c r="B40" s="3" t="s">
        <v>4737</v>
      </c>
      <c r="C40" s="3" t="s">
        <v>4738</v>
      </c>
      <c r="D40" s="3" t="s">
        <v>4739</v>
      </c>
      <c r="F40" s="5" t="str">
        <f>IFERROR(__xludf.DUMMYFUNCTION("GOOGLETRANSLATE(A40, ""en"", ""hi"")"),"39")</f>
        <v>39</v>
      </c>
      <c r="G40" s="5" t="str">
        <f>IFERROR(__xludf.DUMMYFUNCTION("GOOGLETRANSLATE(B40, ""en"", ""hi"")"),"यदि खिलाड़ी WWW का टॉप 8 सेकंड तक घूमता है और खिलाड़ी XXX का टॉप 8 सेकंड तक घूमता है, लेकिन खिलाड़ी WWW का टॉप सीधा रहता है, जबकि खिलाड़ी XXX का टॉप झुका हुआ रहता है, तो कौन जीतता है?")</f>
        <v>यदि खिलाड़ी WWW का टॉप 8 सेकंड तक घूमता है और खिलाड़ी XXX का टॉप 8 सेकंड तक घूमता है, लेकिन खिलाड़ी WWW का टॉप सीधा रहता है, जबकि खिलाड़ी XXX का टॉप झुका हुआ रहता है, तो कौन जीतता है?</v>
      </c>
      <c r="H40" s="5" t="str">
        <f>IFERROR(__xludf.DUMMYFUNCTION("GOOGLETRANSLATE(C40, ""en"", ""hi"")"),"A) खिलाड़ी WWW, B) खिलाड़ी XXX, C) यह एक टाई है, D) उपरोक्त में से कोई नहीं")</f>
        <v>A) खिलाड़ी WWW, B) खिलाड़ी XXX, C) यह एक टाई है, D) उपरोक्त में से कोई नहीं</v>
      </c>
      <c r="I40" s="5" t="str">
        <f>IFERROR(__xludf.DUMMYFUNCTION("GOOGLETRANSLATE(D40, ""en"", ""hi"")"),"ए) प्लेयर WWW")</f>
        <v>ए) प्लेयर WWW</v>
      </c>
    </row>
    <row r="41" ht="22.5" customHeight="1">
      <c r="A41" s="2">
        <v>40.0</v>
      </c>
      <c r="B41" s="3" t="s">
        <v>4740</v>
      </c>
      <c r="C41" s="3" t="s">
        <v>4741</v>
      </c>
      <c r="D41" s="3" t="s">
        <v>4742</v>
      </c>
      <c r="F41" s="5" t="str">
        <f>IFERROR(__xludf.DUMMYFUNCTION("GOOGLETRANSLATE(A41, ""en"", ""hi"")"),"40")</f>
        <v>40</v>
      </c>
      <c r="G41" s="5" t="str">
        <f>IFERROR(__xludf.DUMMYFUNCTION("GOOGLETRANSLATE(B41, ""en"", ""hi"")"),"पम्बरम खेल में, यदि खिलाड़ी YYY की टोपी 7 सेकंड तक घूमती है और खिलाड़ी ZZZ की टोपी 7 सेकंड तक घूमती है, लेकिन खिलाड़ी YYY की टोपी पहले गिरती है, तो गिरने के समय के आधार पर कौन जीतता है?")</f>
        <v>पम्बरम खेल में, यदि खिलाड़ी YYY की टोपी 7 सेकंड तक घूमती है और खिलाड़ी ZZZ की टोपी 7 सेकंड तक घूमती है, लेकिन खिलाड़ी YYY की टोपी पहले गिरती है, तो गिरने के समय के आधार पर कौन जीतता है?</v>
      </c>
      <c r="H41" s="5" t="str">
        <f>IFERROR(__xludf.DUMMYFUNCTION("GOOGLETRANSLATE(C41, ""en"", ""hi"")"),"A) खिलाड़ी YYY, B) खिलाड़ी ZZZ, C) यह टाई है, D) उपरोक्त में से कोई नहीं")</f>
        <v>A) खिलाड़ी YYY, B) खिलाड़ी ZZZ, C) यह टाई है, D) उपरोक्त में से कोई नहीं</v>
      </c>
      <c r="I41" s="5" t="str">
        <f>IFERROR(__xludf.DUMMYFUNCTION("GOOGLETRANSLATE(D41, ""en"", ""hi"")"),"बी) प्लेयर ZZZ")</f>
        <v>बी) प्लेयर ZZZ</v>
      </c>
    </row>
    <row r="42" ht="22.5" customHeight="1">
      <c r="A42" s="2">
        <v>41.0</v>
      </c>
      <c r="B42" s="3" t="s">
        <v>4743</v>
      </c>
      <c r="C42" s="3" t="s">
        <v>4705</v>
      </c>
      <c r="D42" s="3" t="s">
        <v>4744</v>
      </c>
      <c r="F42" s="5" t="str">
        <f>IFERROR(__xludf.DUMMYFUNCTION("GOOGLETRANSLATE(A42, ""en"", ""hi"")"),"41")</f>
        <v>41</v>
      </c>
      <c r="G42" s="5" t="str">
        <f>IFERROR(__xludf.DUMMYFUNCTION("GOOGLETRANSLATE(B42, ""en"", ""hi"")"),"खिलाड़ी AAA का लट्टू 10 सेकंड तक घूमता है और लड़खड़ाकर गिरता है, जबकि खिलाड़ी BBB का लट्टू 10 सेकंड तक घूमता है और सीधा खड़ा होता है। अगर खेल में सीधा खड़े होने का विकल्प चुना जाता है, तो कौन जीतेगा?")</f>
        <v>खिलाड़ी AAA का लट्टू 10 सेकंड तक घूमता है और लड़खड़ाकर गिरता है, जबकि खिलाड़ी BBB का लट्टू 10 सेकंड तक घूमता है और सीधा खड़ा होता है। अगर खेल में सीधा खड़े होने का विकल्प चुना जाता है, तो कौन जीतेगा?</v>
      </c>
      <c r="H42" s="5" t="str">
        <f>IFERROR(__xludf.DUMMYFUNCTION("GOOGLETRANSLATE(C42, ""en"", ""hi"")"),"A) खिलाड़ी AAA, B) खिलाड़ी BBB, C) यह एक टाई है, D) उपरोक्त में से कोई नहीं")</f>
        <v>A) खिलाड़ी AAA, B) खिलाड़ी BBB, C) यह एक टाई है, D) उपरोक्त में से कोई नहीं</v>
      </c>
      <c r="I42" s="5" t="str">
        <f>IFERROR(__xludf.DUMMYFUNCTION("GOOGLETRANSLATE(D42, ""en"", ""hi"")"),"बी) खिलाड़ी बीबीबी")</f>
        <v>बी) खिलाड़ी बीबीबी</v>
      </c>
    </row>
    <row r="43" ht="22.5" customHeight="1">
      <c r="A43" s="2">
        <v>42.0</v>
      </c>
      <c r="B43" s="3" t="s">
        <v>4745</v>
      </c>
      <c r="C43" s="3" t="s">
        <v>4708</v>
      </c>
      <c r="D43" s="3" t="s">
        <v>4709</v>
      </c>
      <c r="F43" s="5" t="str">
        <f>IFERROR(__xludf.DUMMYFUNCTION("GOOGLETRANSLATE(A43, ""en"", ""hi"")"),"42")</f>
        <v>42</v>
      </c>
      <c r="G43" s="5" t="str">
        <f>IFERROR(__xludf.DUMMYFUNCTION("GOOGLETRANSLATE(B43, ""en"", ""hi"")"),"पम्बरम मैच के दौरान, यदि खिलाड़ी CCC का टॉप 6 सेकंड तक घूमता है और खिलाड़ी DDD का टॉप 6 सेकंड तक घूमता है, लेकिन खिलाड़ी CCC का टॉप ध्वनि उत्पन्न करता है, तो यदि कोई ध्वनि पसंद नहीं की जाती है तो कौन जीतता है?")</f>
        <v>पम्बरम मैच के दौरान, यदि खिलाड़ी CCC का टॉप 6 सेकंड तक घूमता है और खिलाड़ी DDD का टॉप 6 सेकंड तक घूमता है, लेकिन खिलाड़ी CCC का टॉप ध्वनि उत्पन्न करता है, तो यदि कोई ध्वनि पसंद नहीं की जाती है तो कौन जीतता है?</v>
      </c>
      <c r="H43" s="5" t="str">
        <f>IFERROR(__xludf.DUMMYFUNCTION("GOOGLETRANSLATE(C43, ""en"", ""hi"")"),"A) खिलाड़ी CCC, B) खिलाड़ी DDD, C) यह एक टाई है, D) उपरोक्त में से कोई नहीं")</f>
        <v>A) खिलाड़ी CCC, B) खिलाड़ी DDD, C) यह एक टाई है, D) उपरोक्त में से कोई नहीं</v>
      </c>
      <c r="I43" s="5" t="str">
        <f>IFERROR(__xludf.DUMMYFUNCTION("GOOGLETRANSLATE(D43, ""en"", ""hi"")"),"बी) प्लेयर डीडीडी")</f>
        <v>बी) प्लेयर डीडीडी</v>
      </c>
    </row>
    <row r="44" ht="22.5" customHeight="1">
      <c r="A44" s="2">
        <v>43.0</v>
      </c>
      <c r="B44" s="3" t="s">
        <v>4746</v>
      </c>
      <c r="C44" s="3" t="s">
        <v>4711</v>
      </c>
      <c r="D44" s="3" t="s">
        <v>4712</v>
      </c>
      <c r="F44" s="5" t="str">
        <f>IFERROR(__xludf.DUMMYFUNCTION("GOOGLETRANSLATE(A44, ""en"", ""hi"")"),"43")</f>
        <v>43</v>
      </c>
      <c r="G44" s="5" t="str">
        <f>IFERROR(__xludf.DUMMYFUNCTION("GOOGLETRANSLATE(B44, ""en"", ""hi"")"),"एक पम्बरम प्रतियोगिता में, खिलाड़ी EEE 12 सेकंड के लिए ऊपरी भाग घुमाता है और खिलाड़ी FFF 12 सेकंड के लिए ऊपरी भाग घुमाता है, लेकिन खिलाड़ी FFF का ऊपरी भाग थोड़ा हिलता है। अगर खेल में हिलने-डुलने को कम महत्व दिया जाता है, तो कौन जीतेगा?")</f>
        <v>एक पम्बरम प्रतियोगिता में, खिलाड़ी EEE 12 सेकंड के लिए ऊपरी भाग घुमाता है और खिलाड़ी FFF 12 सेकंड के लिए ऊपरी भाग घुमाता है, लेकिन खिलाड़ी FFF का ऊपरी भाग थोड़ा हिलता है। अगर खेल में हिलने-डुलने को कम महत्व दिया जाता है, तो कौन जीतेगा?</v>
      </c>
      <c r="H44" s="5" t="str">
        <f>IFERROR(__xludf.DUMMYFUNCTION("GOOGLETRANSLATE(C44, ""en"", ""hi"")"),"A) खिलाड़ी EEE, B) खिलाड़ी FFF, C) यह एक टाई है, D) उपरोक्त में से कोई नहीं")</f>
        <v>A) खिलाड़ी EEE, B) खिलाड़ी FFF, C) यह एक टाई है, D) उपरोक्त में से कोई नहीं</v>
      </c>
      <c r="I44" s="5" t="str">
        <f>IFERROR(__xludf.DUMMYFUNCTION("GOOGLETRANSLATE(D44, ""en"", ""hi"")"),"ए) प्लेयर ईईई")</f>
        <v>ए) प्लेयर ईईई</v>
      </c>
    </row>
    <row r="45" ht="22.5" customHeight="1">
      <c r="A45" s="2">
        <v>44.0</v>
      </c>
      <c r="B45" s="3" t="s">
        <v>4747</v>
      </c>
      <c r="C45" s="3" t="s">
        <v>4714</v>
      </c>
      <c r="D45" s="3" t="s">
        <v>4715</v>
      </c>
      <c r="F45" s="5" t="str">
        <f>IFERROR(__xludf.DUMMYFUNCTION("GOOGLETRANSLATE(A45, ""en"", ""hi"")"),"44")</f>
        <v>44</v>
      </c>
      <c r="G45" s="5" t="str">
        <f>IFERROR(__xludf.DUMMYFUNCTION("GOOGLETRANSLATE(B45, ""en"", ""hi"")"),"यदि खिलाड़ी GGG का शीर्ष 14 सेकंड तक घूमता है और खिलाड़ी HHH का शीर्ष 14 सेकंड तक घूमता है, लेकिन खिलाड़ी HHH का शीर्ष ध्वनि उत्पन्न करता है, तो यदि कोई ध्वनि पसंद नहीं की जाती है तो कौन जीतता है?")</f>
        <v>यदि खिलाड़ी GGG का शीर्ष 14 सेकंड तक घूमता है और खिलाड़ी HHH का शीर्ष 14 सेकंड तक घूमता है, लेकिन खिलाड़ी HHH का शीर्ष ध्वनि उत्पन्न करता है, तो यदि कोई ध्वनि पसंद नहीं की जाती है तो कौन जीतता है?</v>
      </c>
      <c r="H45" s="5" t="str">
        <f>IFERROR(__xludf.DUMMYFUNCTION("GOOGLETRANSLATE(C45, ""en"", ""hi"")"),"A) खिलाड़ी GGG, B) खिलाड़ी HHH, C) यह एक टाई है, D) उपरोक्त में से कोई नहीं")</f>
        <v>A) खिलाड़ी GGG, B) खिलाड़ी HHH, C) यह एक टाई है, D) उपरोक्त में से कोई नहीं</v>
      </c>
      <c r="I45" s="5" t="str">
        <f>IFERROR(__xludf.DUMMYFUNCTION("GOOGLETRANSLATE(D45, ""en"", ""hi"")"),"A) खिलाड़ी GGG")</f>
        <v>A) खिलाड़ी GGG</v>
      </c>
    </row>
    <row r="46" ht="22.5" customHeight="1">
      <c r="A46" s="2">
        <v>45.0</v>
      </c>
      <c r="B46" s="3" t="s">
        <v>4748</v>
      </c>
      <c r="C46" s="3" t="s">
        <v>4717</v>
      </c>
      <c r="D46" s="3" t="s">
        <v>4718</v>
      </c>
      <c r="F46" s="5" t="str">
        <f>IFERROR(__xludf.DUMMYFUNCTION("GOOGLETRANSLATE(A46, ""en"", ""hi"")"),"45")</f>
        <v>45</v>
      </c>
      <c r="G46" s="5" t="str">
        <f>IFERROR(__xludf.DUMMYFUNCTION("GOOGLETRANSLATE(B46, ""en"", ""hi"")"),"पम्बरम मैच के दौरान, यदि खिलाड़ी III का शीर्ष 11 सेकंड तक घूमता है और खिलाड़ी JJJ का शीर्ष 11 सेकंड तक घूमता है और खिलाड़ी JJJ का शीर्ष सीधा उतरता है, तो यदि सीधा उतरना पसंद किया जाता है तो कौन जीतता है?")</f>
        <v>पम्बरम मैच के दौरान, यदि खिलाड़ी III का शीर्ष 11 सेकंड तक घूमता है और खिलाड़ी JJJ का शीर्ष 11 सेकंड तक घूमता है और खिलाड़ी JJJ का शीर्ष सीधा उतरता है, तो यदि सीधा उतरना पसंद किया जाता है तो कौन जीतता है?</v>
      </c>
      <c r="H46" s="5" t="str">
        <f>IFERROR(__xludf.DUMMYFUNCTION("GOOGLETRANSLATE(C46, ""en"", ""hi"")"),"A) खिलाड़ी III, B) खिलाड़ी JJJ, C) यह एक टाई है, D) उपरोक्त में से कोई नहीं")</f>
        <v>A) खिलाड़ी III, B) खिलाड़ी JJJ, C) यह एक टाई है, D) उपरोक्त में से कोई नहीं</v>
      </c>
      <c r="I46" s="5" t="str">
        <f>IFERROR(__xludf.DUMMYFUNCTION("GOOGLETRANSLATE(D46, ""en"", ""hi"")"),"बी) खिलाड़ी जेजेजे")</f>
        <v>बी) खिलाड़ी जेजेजे</v>
      </c>
    </row>
    <row r="47" ht="22.5" customHeight="1">
      <c r="A47" s="2">
        <v>46.0</v>
      </c>
      <c r="B47" s="3" t="s">
        <v>4749</v>
      </c>
      <c r="C47" s="3" t="s">
        <v>4720</v>
      </c>
      <c r="D47" s="3" t="s">
        <v>4750</v>
      </c>
      <c r="F47" s="5" t="str">
        <f>IFERROR(__xludf.DUMMYFUNCTION("GOOGLETRANSLATE(A47, ""en"", ""hi"")"),"46")</f>
        <v>46</v>
      </c>
      <c r="G47" s="5" t="str">
        <f>IFERROR(__xludf.DUMMYFUNCTION("GOOGLETRANSLATE(B47, ""en"", ""hi"")"),"खिलाड़ी KKK का लट्टू 8 सेकंड तक घूमता है और गिर जाता है, और खिलाड़ी LLL का लट्टू 8 सेकंड तक घूमता है और गिर जाता है, लेकिन खिलाड़ी KKK का लट्टू तिरछा होकर ज़मीन पर गिरता है। अगर खेल में सीधा उतरने का विकल्प हो, तो कौन जीतेगा?")</f>
        <v>खिलाड़ी KKK का लट्टू 8 सेकंड तक घूमता है और गिर जाता है, और खिलाड़ी LLL का लट्टू 8 सेकंड तक घूमता है और गिर जाता है, लेकिन खिलाड़ी KKK का लट्टू तिरछा होकर ज़मीन पर गिरता है। अगर खेल में सीधा उतरने का विकल्प हो, तो कौन जीतेगा?</v>
      </c>
      <c r="H47" s="5" t="str">
        <f>IFERROR(__xludf.DUMMYFUNCTION("GOOGLETRANSLATE(C47, ""en"", ""hi"")"),"A) खिलाड़ी KKK, B) खिलाड़ी LLL, C) यह एक टाई है, D) उपरोक्त में से कोई नहीं")</f>
        <v>A) खिलाड़ी KKK, B) खिलाड़ी LLL, C) यह एक टाई है, D) उपरोक्त में से कोई नहीं</v>
      </c>
      <c r="I47" s="5" t="str">
        <f>IFERROR(__xludf.DUMMYFUNCTION("GOOGLETRANSLATE(D47, ""en"", ""hi"")"),"बी) खिलाड़ी एलएलएल")</f>
        <v>बी) खिलाड़ी एलएलएल</v>
      </c>
    </row>
    <row r="48" ht="22.5" customHeight="1">
      <c r="A48" s="2">
        <v>47.0</v>
      </c>
      <c r="B48" s="3" t="s">
        <v>4751</v>
      </c>
      <c r="C48" s="3" t="s">
        <v>4723</v>
      </c>
      <c r="D48" s="3" t="s">
        <v>4752</v>
      </c>
      <c r="F48" s="5" t="str">
        <f>IFERROR(__xludf.DUMMYFUNCTION("GOOGLETRANSLATE(A48, ""en"", ""hi"")"),"47")</f>
        <v>47</v>
      </c>
      <c r="G48" s="5" t="str">
        <f>IFERROR(__xludf.DUMMYFUNCTION("GOOGLETRANSLATE(B48, ""en"", ""hi"")"),"यदि खिलाड़ी MMM का शीर्ष 7 सेकंड तक घूमता है और खिलाड़ी NNN का शीर्ष 7 सेकंड तक घूमता है, लेकिन खिलाड़ी MMM का शीर्ष एक ध्वनि उत्पन्न करता है, तो यदि कोई ध्वनि पसंद नहीं की जाती है तो कौन जीतता है?")</f>
        <v>यदि खिलाड़ी MMM का शीर्ष 7 सेकंड तक घूमता है और खिलाड़ी NNN का शीर्ष 7 सेकंड तक घूमता है, लेकिन खिलाड़ी MMM का शीर्ष एक ध्वनि उत्पन्न करता है, तो यदि कोई ध्वनि पसंद नहीं की जाती है तो कौन जीतता है?</v>
      </c>
      <c r="H48" s="5" t="str">
        <f>IFERROR(__xludf.DUMMYFUNCTION("GOOGLETRANSLATE(C48, ""en"", ""hi"")"),"A) खिलाड़ी MMM, B) खिलाड़ी NNN, C) यह एक टाई है, D) उपरोक्त में से कोई नहीं")</f>
        <v>A) खिलाड़ी MMM, B) खिलाड़ी NNN, C) यह एक टाई है, D) उपरोक्त में से कोई नहीं</v>
      </c>
      <c r="I48" s="5" t="str">
        <f>IFERROR(__xludf.DUMMYFUNCTION("GOOGLETRANSLATE(D48, ""en"", ""hi"")"),"बी) खिलाड़ी एनएनएन")</f>
        <v>बी) खिलाड़ी एनएनएन</v>
      </c>
    </row>
    <row r="49" ht="22.5" customHeight="1">
      <c r="A49" s="2">
        <v>48.0</v>
      </c>
      <c r="B49" s="3" t="s">
        <v>4753</v>
      </c>
      <c r="C49" s="3" t="s">
        <v>4726</v>
      </c>
      <c r="D49" s="3" t="s">
        <v>4754</v>
      </c>
      <c r="F49" s="5" t="str">
        <f>IFERROR(__xludf.DUMMYFUNCTION("GOOGLETRANSLATE(A49, ""en"", ""hi"")"),"48")</f>
        <v>48</v>
      </c>
      <c r="G49" s="5" t="str">
        <f>IFERROR(__xludf.DUMMYFUNCTION("GOOGLETRANSLATE(B49, ""en"", ""hi"")"),"एक पम्बरम प्रतियोगिता में, खिलाड़ी OOO 6 सेकंड के लिए लट्टू को घुमाता है और खिलाड़ी PPP 6 सेकंड के लिए लट्टू को घुमाता है। यदि खिलाड़ी OOO का लट्टू डगमगाता है जबकि खिलाड़ी PPP का लट्टू आसानी से घूमता है, तो यदि आसानी को प्राथमिकता दी जाती है, तो कौन जीतता"&amp;" है?")</f>
        <v>एक पम्बरम प्रतियोगिता में, खिलाड़ी OOO 6 सेकंड के लिए लट्टू को घुमाता है और खिलाड़ी PPP 6 सेकंड के लिए लट्टू को घुमाता है। यदि खिलाड़ी OOO का लट्टू डगमगाता है जबकि खिलाड़ी PPP का लट्टू आसानी से घूमता है, तो यदि आसानी को प्राथमिकता दी जाती है, तो कौन जीतता है?</v>
      </c>
      <c r="H49" s="5" t="str">
        <f>IFERROR(__xludf.DUMMYFUNCTION("GOOGLETRANSLATE(C49, ""en"", ""hi"")"),"A) खिलाड़ी OOO, B) खिलाड़ी PPP, C) यह एक टाई है, D) उपरोक्त में से कोई नहीं")</f>
        <v>A) खिलाड़ी OOO, B) खिलाड़ी PPP, C) यह एक टाई है, D) उपरोक्त में से कोई नहीं</v>
      </c>
      <c r="I49" s="5" t="str">
        <f>IFERROR(__xludf.DUMMYFUNCTION("GOOGLETRANSLATE(D49, ""en"", ""hi"")"),"बी) खिलाड़ी पीपीपी")</f>
        <v>बी) खिलाड़ी पीपीपी</v>
      </c>
    </row>
    <row r="50" ht="22.5" customHeight="1">
      <c r="A50" s="2">
        <v>49.0</v>
      </c>
      <c r="B50" s="3" t="s">
        <v>4755</v>
      </c>
      <c r="C50" s="3" t="s">
        <v>4756</v>
      </c>
      <c r="D50" s="3" t="s">
        <v>4730</v>
      </c>
      <c r="F50" s="5" t="str">
        <f>IFERROR(__xludf.DUMMYFUNCTION("GOOGLETRANSLATE(A50, ""en"", ""hi"")"),"49")</f>
        <v>49</v>
      </c>
      <c r="G50" s="5" t="str">
        <f>IFERROR(__xludf.DUMMYFUNCTION("GOOGLETRANSLATE(B50, ""en"", ""hi"")"),"पम्बरम मैच के दौरान, खिलाड़ी QQQ का लट्टू 10 सेकंड तक घूमता है और गिर जाता है, और खिलाड़ी RRR का लट्टू 10 सेकंड तक घूमता है लेकिन सीधा खड़ा हो जाता है। अगर खेल में सीधा खड़े होने को महत्व दिया जाता है, तो कौन जीतता है?")</f>
        <v>पम्बरम मैच के दौरान, खिलाड़ी QQQ का लट्टू 10 सेकंड तक घूमता है और गिर जाता है, और खिलाड़ी RRR का लट्टू 10 सेकंड तक घूमता है लेकिन सीधा खड़ा हो जाता है। अगर खेल में सीधा खड़े होने को महत्व दिया जाता है, तो कौन जीतता है?</v>
      </c>
      <c r="H50" s="5" t="str">
        <f>IFERROR(__xludf.DUMMYFUNCTION("GOOGLETRANSLATE(C50, ""en"", ""hi"")"),"A) खिलाड़ी QQQ, B) खिलाड़ी RRR, C) यह एक टाई है, D) उपरोक्त में से कोई नहीं")</f>
        <v>A) खिलाड़ी QQQ, B) खिलाड़ी RRR, C) यह एक टाई है, D) उपरोक्त में से कोई नहीं</v>
      </c>
      <c r="I50" s="5" t="str">
        <f>IFERROR(__xludf.DUMMYFUNCTION("GOOGLETRANSLATE(D50, ""en"", ""hi"")"),"बी) खिलाड़ी आरआरआर")</f>
        <v>बी) खिलाड़ी आरआरआर</v>
      </c>
    </row>
    <row r="51" ht="22.5" customHeight="1">
      <c r="A51" s="2">
        <v>50.0</v>
      </c>
      <c r="B51" s="3" t="s">
        <v>4757</v>
      </c>
      <c r="C51" s="3" t="s">
        <v>4732</v>
      </c>
      <c r="D51" s="3" t="s">
        <v>4733</v>
      </c>
      <c r="F51" s="5" t="str">
        <f>IFERROR(__xludf.DUMMYFUNCTION("GOOGLETRANSLATE(A51, ""en"", ""hi"")"),"50")</f>
        <v>50</v>
      </c>
      <c r="G51" s="5" t="str">
        <f>IFERROR(__xludf.DUMMYFUNCTION("GOOGLETRANSLATE(B51, ""en"", ""hi"")"),"खिलाड़ी SSS 9 सेकंड के लिए ऊपरी भाग घुमाता है और खिलाड़ी TTT 9 सेकंड के लिए ऊपरी भाग घुमाता है, लेकिन खिलाड़ी TTT का ऊपरी भाग थोड़ा हिलता है। अगर खेल में ज़्यादा घूमने के समय को महत्व दिया जाता है, तो कौन जीतता है?")</f>
        <v>खिलाड़ी SSS 9 सेकंड के लिए ऊपरी भाग घुमाता है और खिलाड़ी TTT 9 सेकंड के लिए ऊपरी भाग घुमाता है, लेकिन खिलाड़ी TTT का ऊपरी भाग थोड़ा हिलता है। अगर खेल में ज़्यादा घूमने के समय को महत्व दिया जाता है, तो कौन जीतता है?</v>
      </c>
      <c r="H51" s="5" t="str">
        <f>IFERROR(__xludf.DUMMYFUNCTION("GOOGLETRANSLATE(C51, ""en"", ""hi"")"),"A) खिलाड़ी SSS, B) खिलाड़ी TTT, C) यह एक टाई है, D) उपरोक्त में से कोई नहीं")</f>
        <v>A) खिलाड़ी SSS, B) खिलाड़ी TTT, C) यह एक टाई है, D) उपरोक्त में से कोई नहीं</v>
      </c>
      <c r="I51" s="5" t="str">
        <f>IFERROR(__xludf.DUMMYFUNCTION("GOOGLETRANSLATE(D51, ""en"", ""hi"")"),"ए) खिलाड़ी एसएसएस")</f>
        <v>ए) खिलाड़ी एसएसएस</v>
      </c>
    </row>
    <row r="52" ht="22.5" customHeight="1">
      <c r="A52" s="2">
        <v>51.0</v>
      </c>
      <c r="B52" s="3" t="s">
        <v>4758</v>
      </c>
      <c r="C52" s="3" t="s">
        <v>4735</v>
      </c>
      <c r="D52" s="3" t="s">
        <v>4736</v>
      </c>
      <c r="F52" s="5" t="str">
        <f>IFERROR(__xludf.DUMMYFUNCTION("GOOGLETRANSLATE(A52, ""en"", ""hi"")"),"51")</f>
        <v>51</v>
      </c>
      <c r="G52" s="5" t="str">
        <f>IFERROR(__xludf.DUMMYFUNCTION("GOOGLETRANSLATE(B52, ""en"", ""hi"")"),"यदि खिलाड़ी UUU का शीर्ष 7 सेकंड के लिए घूमता है और खिलाड़ी VVV का शीर्ष 7 सेकंड के लिए घूमता है, लेकिन खिलाड़ी UUU का शीर्ष सीधा खड़ा होता है जबकि खिलाड़ी VVV का शीर्ष झुका हुआ होता है, तो कौन जीतता है यदि खेल सीधे उतरने को महत्व देता है?")</f>
        <v>यदि खिलाड़ी UUU का शीर्ष 7 सेकंड के लिए घूमता है और खिलाड़ी VVV का शीर्ष 7 सेकंड के लिए घूमता है, लेकिन खिलाड़ी UUU का शीर्ष सीधा खड़ा होता है जबकि खिलाड़ी VVV का शीर्ष झुका हुआ होता है, तो कौन जीतता है यदि खेल सीधे उतरने को महत्व देता है?</v>
      </c>
      <c r="H52" s="5" t="str">
        <f>IFERROR(__xludf.DUMMYFUNCTION("GOOGLETRANSLATE(C52, ""en"", ""hi"")"),"A) खिलाड़ी UUU, B) खिलाड़ी VVV, C) यह एक टाई है, D) उपरोक्त में से कोई नहीं")</f>
        <v>A) खिलाड़ी UUU, B) खिलाड़ी VVV, C) यह एक टाई है, D) उपरोक्त में से कोई नहीं</v>
      </c>
      <c r="I52" s="5" t="str">
        <f>IFERROR(__xludf.DUMMYFUNCTION("GOOGLETRANSLATE(D52, ""en"", ""hi"")"),"A) खिलाड़ी UUU")</f>
        <v>A) खिलाड़ी UUU</v>
      </c>
    </row>
    <row r="53" ht="22.5" customHeight="1">
      <c r="A53" s="2">
        <v>52.0</v>
      </c>
      <c r="B53" s="3" t="s">
        <v>4759</v>
      </c>
      <c r="C53" s="3" t="s">
        <v>4738</v>
      </c>
      <c r="D53" s="3" t="s">
        <v>4739</v>
      </c>
      <c r="F53" s="5" t="str">
        <f>IFERROR(__xludf.DUMMYFUNCTION("GOOGLETRANSLATE(A53, ""en"", ""hi"")"),"52")</f>
        <v>52</v>
      </c>
      <c r="G53" s="5" t="str">
        <f>IFERROR(__xludf.DUMMYFUNCTION("GOOGLETRANSLATE(B53, ""en"", ""hi"")"),"पम्बरम गेम में, खिलाड़ी WWW का टॉप 12 सेकंड तक घूमता है और गिर जाता है, और खिलाड़ी XXX का टॉप 12 सेकंड तक घूमता है लेकिन थोड़ा डगमगाता है। अगर गेम में ज़्यादा घूमने का समय माना जाता है, तो कौन जीतता है?")</f>
        <v>पम्बरम गेम में, खिलाड़ी WWW का टॉप 12 सेकंड तक घूमता है और गिर जाता है, और खिलाड़ी XXX का टॉप 12 सेकंड तक घूमता है लेकिन थोड़ा डगमगाता है। अगर गेम में ज़्यादा घूमने का समय माना जाता है, तो कौन जीतता है?</v>
      </c>
      <c r="H53" s="5" t="str">
        <f>IFERROR(__xludf.DUMMYFUNCTION("GOOGLETRANSLATE(C53, ""en"", ""hi"")"),"A) खिलाड़ी WWW, B) खिलाड़ी XXX, C) यह एक टाई है, D) उपरोक्त में से कोई नहीं")</f>
        <v>A) खिलाड़ी WWW, B) खिलाड़ी XXX, C) यह एक टाई है, D) उपरोक्त में से कोई नहीं</v>
      </c>
      <c r="I53" s="5" t="str">
        <f>IFERROR(__xludf.DUMMYFUNCTION("GOOGLETRANSLATE(D53, ""en"", ""hi"")"),"ए) प्लेयर WWW")</f>
        <v>ए) प्लेयर WWW</v>
      </c>
    </row>
    <row r="54" ht="22.5" customHeight="1">
      <c r="A54" s="2">
        <v>53.0</v>
      </c>
      <c r="B54" s="3" t="s">
        <v>4760</v>
      </c>
      <c r="C54" s="3" t="s">
        <v>4741</v>
      </c>
      <c r="D54" s="3" t="s">
        <v>4742</v>
      </c>
      <c r="F54" s="5" t="str">
        <f>IFERROR(__xludf.DUMMYFUNCTION("GOOGLETRANSLATE(A54, ""en"", ""hi"")"),"53")</f>
        <v>53</v>
      </c>
      <c r="G54" s="5" t="str">
        <f>IFERROR(__xludf.DUMMYFUNCTION("GOOGLETRANSLATE(B54, ""en"", ""hi"")"),"पम्बरम मैच के दौरान, यदि खिलाड़ी YYY का टॉप 6 सेकंड तक घूमता है और खिलाड़ी ZZZ का टॉप 6 सेकंड तक घूमता है और खिलाड़ी YYY का टॉप पहले गिरता है, तो गिरने के समय के आधार पर कौन जीतता है?")</f>
        <v>पम्बरम मैच के दौरान, यदि खिलाड़ी YYY का टॉप 6 सेकंड तक घूमता है और खिलाड़ी ZZZ का टॉप 6 सेकंड तक घूमता है और खिलाड़ी YYY का टॉप पहले गिरता है, तो गिरने के समय के आधार पर कौन जीतता है?</v>
      </c>
      <c r="H54" s="5" t="str">
        <f>IFERROR(__xludf.DUMMYFUNCTION("GOOGLETRANSLATE(C54, ""en"", ""hi"")"),"A) खिलाड़ी YYY, B) खिलाड़ी ZZZ, C) यह टाई है, D) उपरोक्त में से कोई नहीं")</f>
        <v>A) खिलाड़ी YYY, B) खिलाड़ी ZZZ, C) यह टाई है, D) उपरोक्त में से कोई नहीं</v>
      </c>
      <c r="I54" s="5" t="str">
        <f>IFERROR(__xludf.DUMMYFUNCTION("GOOGLETRANSLATE(D54, ""en"", ""hi"")"),"बी) प्लेयर ZZZ")</f>
        <v>बी) प्लेयर ZZZ</v>
      </c>
    </row>
    <row r="55" ht="22.5" customHeight="1">
      <c r="A55" s="2">
        <v>54.0</v>
      </c>
      <c r="B55" s="3" t="s">
        <v>4761</v>
      </c>
      <c r="C55" s="3" t="s">
        <v>4705</v>
      </c>
      <c r="D55" s="3" t="s">
        <v>4706</v>
      </c>
      <c r="F55" s="5" t="str">
        <f>IFERROR(__xludf.DUMMYFUNCTION("GOOGLETRANSLATE(A55, ""en"", ""hi"")"),"54")</f>
        <v>54</v>
      </c>
      <c r="G55" s="5" t="str">
        <f>IFERROR(__xludf.DUMMYFUNCTION("GOOGLETRANSLATE(B55, ""en"", ""hi"")"),"खिलाड़ी AAA 8 सेकंड तक ऊपरी भाग घुमाता है और गिर जाता है, और खिलाड़ी BBB 8 सेकंड तक ऊपरी भाग घुमाता है, लेकिन अनियमित अंतराल के साथ। अगर खेल में लगातार घूमने के समय को महत्व दिया जाता है, तो कौन जीतता है?")</f>
        <v>खिलाड़ी AAA 8 सेकंड तक ऊपरी भाग घुमाता है और गिर जाता है, और खिलाड़ी BBB 8 सेकंड तक ऊपरी भाग घुमाता है, लेकिन अनियमित अंतराल के साथ। अगर खेल में लगातार घूमने के समय को महत्व दिया जाता है, तो कौन जीतता है?</v>
      </c>
      <c r="H55" s="5" t="str">
        <f>IFERROR(__xludf.DUMMYFUNCTION("GOOGLETRANSLATE(C55, ""en"", ""hi"")"),"A) खिलाड़ी AAA, B) खिलाड़ी BBB, C) यह एक टाई है, D) उपरोक्त में से कोई नहीं")</f>
        <v>A) खिलाड़ी AAA, B) खिलाड़ी BBB, C) यह एक टाई है, D) उपरोक्त में से कोई नहीं</v>
      </c>
      <c r="I55" s="5" t="str">
        <f>IFERROR(__xludf.DUMMYFUNCTION("GOOGLETRANSLATE(D55, ""en"", ""hi"")"),"ए) खिलाड़ी एएए")</f>
        <v>ए) खिलाड़ी एएए</v>
      </c>
    </row>
    <row r="56" ht="22.5" customHeight="1">
      <c r="A56" s="2">
        <v>55.0</v>
      </c>
      <c r="B56" s="3" t="s">
        <v>4762</v>
      </c>
      <c r="C56" s="3" t="s">
        <v>4708</v>
      </c>
      <c r="D56" s="3" t="s">
        <v>4709</v>
      </c>
      <c r="F56" s="5" t="str">
        <f>IFERROR(__xludf.DUMMYFUNCTION("GOOGLETRANSLATE(A56, ""en"", ""hi"")"),"55")</f>
        <v>55</v>
      </c>
      <c r="G56" s="5" t="str">
        <f>IFERROR(__xludf.DUMMYFUNCTION("GOOGLETRANSLATE(B56, ""en"", ""hi"")"),"यदि खिलाड़ी CCC का शीर्ष 14 सेकंड तक घूमता है और खिलाड़ी DDD का शीर्ष 14 सेकंड तक घूमता है, लेकिन खिलाड़ी CCC का शीर्ष ध्वनि उत्पन्न करता है, तो यदि कोई ध्वनि पसंद नहीं की जाती है तो कौन जीतता है?")</f>
        <v>यदि खिलाड़ी CCC का शीर्ष 14 सेकंड तक घूमता है और खिलाड़ी DDD का शीर्ष 14 सेकंड तक घूमता है, लेकिन खिलाड़ी CCC का शीर्ष ध्वनि उत्पन्न करता है, तो यदि कोई ध्वनि पसंद नहीं की जाती है तो कौन जीतता है?</v>
      </c>
      <c r="H56" s="5" t="str">
        <f>IFERROR(__xludf.DUMMYFUNCTION("GOOGLETRANSLATE(C56, ""en"", ""hi"")"),"A) खिलाड़ी CCC, B) खिलाड़ी DDD, C) यह एक टाई है, D) उपरोक्त में से कोई नहीं")</f>
        <v>A) खिलाड़ी CCC, B) खिलाड़ी DDD, C) यह एक टाई है, D) उपरोक्त में से कोई नहीं</v>
      </c>
      <c r="I56" s="5" t="str">
        <f>IFERROR(__xludf.DUMMYFUNCTION("GOOGLETRANSLATE(D56, ""en"", ""hi"")"),"बी) प्लेयर डीडीडी")</f>
        <v>बी) प्लेयर डीडीडी</v>
      </c>
    </row>
    <row r="57" ht="22.5" customHeight="1">
      <c r="A57" s="2">
        <v>56.0</v>
      </c>
      <c r="B57" s="3" t="s">
        <v>4763</v>
      </c>
      <c r="C57" s="3" t="s">
        <v>4711</v>
      </c>
      <c r="D57" s="3" t="s">
        <v>4764</v>
      </c>
      <c r="F57" s="5" t="str">
        <f>IFERROR(__xludf.DUMMYFUNCTION("GOOGLETRANSLATE(A57, ""en"", ""hi"")"),"56")</f>
        <v>56</v>
      </c>
      <c r="G57" s="5" t="str">
        <f>IFERROR(__xludf.DUMMYFUNCTION("GOOGLETRANSLATE(B57, ""en"", ""hi"")"),"पम्बरम गेम के दौरान, खिलाड़ी EEE का लट्ठा 8 सेकंड तक घूमता है और गिर जाता है, और खिलाड़ी FFF का लट्ठा 8 सेकंड तक घूमता है लेकिन तिरछा होकर ज़मीन पर गिरता है। अगर गेम में सीधा उतरने का विकल्प हो, तो कौन जीतता है?")</f>
        <v>पम्बरम गेम के दौरान, खिलाड़ी EEE का लट्ठा 8 सेकंड तक घूमता है और गिर जाता है, और खिलाड़ी FFF का लट्ठा 8 सेकंड तक घूमता है लेकिन तिरछा होकर ज़मीन पर गिरता है। अगर गेम में सीधा उतरने का विकल्प हो, तो कौन जीतता है?</v>
      </c>
      <c r="H57" s="5" t="str">
        <f>IFERROR(__xludf.DUMMYFUNCTION("GOOGLETRANSLATE(C57, ""en"", ""hi"")"),"A) खिलाड़ी EEE, B) खिलाड़ी FFF, C) यह एक टाई है, D) उपरोक्त में से कोई नहीं")</f>
        <v>A) खिलाड़ी EEE, B) खिलाड़ी FFF, C) यह एक टाई है, D) उपरोक्त में से कोई नहीं</v>
      </c>
      <c r="I57" s="5" t="str">
        <f>IFERROR(__xludf.DUMMYFUNCTION("GOOGLETRANSLATE(D57, ""en"", ""hi"")"),"ए) प्लेयर ईईईई")</f>
        <v>ए) प्लेयर ईईईई</v>
      </c>
    </row>
    <row r="58" ht="22.5" customHeight="1">
      <c r="A58" s="2">
        <v>57.0</v>
      </c>
      <c r="B58" s="3" t="s">
        <v>4765</v>
      </c>
      <c r="C58" s="3" t="s">
        <v>4714</v>
      </c>
      <c r="D58" s="3" t="s">
        <v>4766</v>
      </c>
      <c r="F58" s="5" t="str">
        <f>IFERROR(__xludf.DUMMYFUNCTION("GOOGLETRANSLATE(A58, ""en"", ""hi"")"),"57")</f>
        <v>57</v>
      </c>
      <c r="G58" s="5" t="str">
        <f>IFERROR(__xludf.DUMMYFUNCTION("GOOGLETRANSLATE(B58, ""en"", ""hi"")"),"यदि खिलाड़ी GGG का शीर्ष 9 सेकंड तक घूमता है और खिलाड़ी HHH का शीर्ष 9 सेकंड तक घूमता है, लेकिन खिलाड़ी HHH का शीर्ष सीधा खड़ा होता है, जबकि खिलाड़ी GGG का शीर्ष झुका हुआ होता है, तो यदि सीधा उतरना पसंद किया जाता है तो कौन जीतता है?")</f>
        <v>यदि खिलाड़ी GGG का शीर्ष 9 सेकंड तक घूमता है और खिलाड़ी HHH का शीर्ष 9 सेकंड तक घूमता है, लेकिन खिलाड़ी HHH का शीर्ष सीधा खड़ा होता है, जबकि खिलाड़ी GGG का शीर्ष झुका हुआ होता है, तो यदि सीधा उतरना पसंद किया जाता है तो कौन जीतता है?</v>
      </c>
      <c r="H58" s="5" t="str">
        <f>IFERROR(__xludf.DUMMYFUNCTION("GOOGLETRANSLATE(C58, ""en"", ""hi"")"),"A) खिलाड़ी GGG, B) खिलाड़ी HHH, C) यह एक टाई है, D) उपरोक्त में से कोई नहीं")</f>
        <v>A) खिलाड़ी GGG, B) खिलाड़ी HHH, C) यह एक टाई है, D) उपरोक्त में से कोई नहीं</v>
      </c>
      <c r="I58" s="5" t="str">
        <f>IFERROR(__xludf.DUMMYFUNCTION("GOOGLETRANSLATE(D58, ""en"", ""hi"")"),"बी) खिलाड़ी एचएचएच")</f>
        <v>बी) खिलाड़ी एचएचएच</v>
      </c>
    </row>
    <row r="59" ht="22.5" customHeight="1">
      <c r="A59" s="2">
        <v>58.0</v>
      </c>
      <c r="B59" s="3" t="s">
        <v>4767</v>
      </c>
      <c r="C59" s="3" t="s">
        <v>4717</v>
      </c>
      <c r="D59" s="3" t="s">
        <v>4718</v>
      </c>
      <c r="F59" s="5" t="str">
        <f>IFERROR(__xludf.DUMMYFUNCTION("GOOGLETRANSLATE(A59, ""en"", ""hi"")"),"58")</f>
        <v>58</v>
      </c>
      <c r="G59" s="5" t="str">
        <f>IFERROR(__xludf.DUMMYFUNCTION("GOOGLETRANSLATE(B59, ""en"", ""hi"")"),"खिलाड़ी III गेंद के ऊपरी हिस्से को 10 सेकंड तक घुमाता है और खिलाड़ी JJJ गेंद के ऊपरी हिस्से को 10 सेकंड तक घुमाता है। अगर खिलाड़ी JJJ की गेंद ज़्यादा आसानी से घूमती है, तो अगर आसानी को प्राथमिकता दी जाए, तो कौन जीतेगा?")</f>
        <v>खिलाड़ी III गेंद के ऊपरी हिस्से को 10 सेकंड तक घुमाता है और खिलाड़ी JJJ गेंद के ऊपरी हिस्से को 10 सेकंड तक घुमाता है। अगर खिलाड़ी JJJ की गेंद ज़्यादा आसानी से घूमती है, तो अगर आसानी को प्राथमिकता दी जाए, तो कौन जीतेगा?</v>
      </c>
      <c r="H59" s="5" t="str">
        <f>IFERROR(__xludf.DUMMYFUNCTION("GOOGLETRANSLATE(C59, ""en"", ""hi"")"),"A) खिलाड़ी III, B) खिलाड़ी JJJ, C) यह एक टाई है, D) उपरोक्त में से कोई नहीं")</f>
        <v>A) खिलाड़ी III, B) खिलाड़ी JJJ, C) यह एक टाई है, D) उपरोक्त में से कोई नहीं</v>
      </c>
      <c r="I59" s="5" t="str">
        <f>IFERROR(__xludf.DUMMYFUNCTION("GOOGLETRANSLATE(D59, ""en"", ""hi"")"),"बी) खिलाड़ी जेजेजे")</f>
        <v>बी) खिलाड़ी जेजेजे</v>
      </c>
    </row>
    <row r="60" ht="22.5" customHeight="1">
      <c r="A60" s="2">
        <v>59.0</v>
      </c>
      <c r="B60" s="3" t="s">
        <v>4768</v>
      </c>
      <c r="C60" s="3" t="s">
        <v>4720</v>
      </c>
      <c r="D60" s="3" t="s">
        <v>4750</v>
      </c>
      <c r="F60" s="5" t="str">
        <f>IFERROR(__xludf.DUMMYFUNCTION("GOOGLETRANSLATE(A60, ""en"", ""hi"")"),"59")</f>
        <v>59</v>
      </c>
      <c r="G60" s="5" t="str">
        <f>IFERROR(__xludf.DUMMYFUNCTION("GOOGLETRANSLATE(B60, ""en"", ""hi"")"),"पम्बरम मैच के दौरान, खिलाड़ी KKK गेंद को 7 सेकंड तक और खिलाड़ी LLL गेंद को 7 सेकंड तक घुमाता है। अगर खिलाड़ी KKK की गेंद बीच में तेज़ी से घूमने लगे, तो अगर एकसमान गति को प्राथमिकता दी जाए, तो कौन जीतेगा?")</f>
        <v>पम्बरम मैच के दौरान, खिलाड़ी KKK गेंद को 7 सेकंड तक और खिलाड़ी LLL गेंद को 7 सेकंड तक घुमाता है। अगर खिलाड़ी KKK की गेंद बीच में तेज़ी से घूमने लगे, तो अगर एकसमान गति को प्राथमिकता दी जाए, तो कौन जीतेगा?</v>
      </c>
      <c r="H60" s="5" t="str">
        <f>IFERROR(__xludf.DUMMYFUNCTION("GOOGLETRANSLATE(C60, ""en"", ""hi"")"),"A) खिलाड़ी KKK, B) खिलाड़ी LLL, C) यह एक टाई है, D) उपरोक्त में से कोई नहीं")</f>
        <v>A) खिलाड़ी KKK, B) खिलाड़ी LLL, C) यह एक टाई है, D) उपरोक्त में से कोई नहीं</v>
      </c>
      <c r="I60" s="5" t="str">
        <f>IFERROR(__xludf.DUMMYFUNCTION("GOOGLETRANSLATE(D60, ""en"", ""hi"")"),"बी) खिलाड़ी एलएलएल")</f>
        <v>बी) खिलाड़ी एलएलएल</v>
      </c>
    </row>
    <row r="61" ht="22.5" customHeight="1">
      <c r="A61" s="2">
        <v>60.0</v>
      </c>
      <c r="B61" s="3" t="s">
        <v>4769</v>
      </c>
      <c r="C61" s="3" t="s">
        <v>4723</v>
      </c>
      <c r="D61" s="3" t="s">
        <v>4752</v>
      </c>
      <c r="F61" s="5" t="str">
        <f>IFERROR(__xludf.DUMMYFUNCTION("GOOGLETRANSLATE(A61, ""en"", ""hi"")"),"60")</f>
        <v>60</v>
      </c>
      <c r="G61" s="5" t="str">
        <f>IFERROR(__xludf.DUMMYFUNCTION("GOOGLETRANSLATE(B61, ""en"", ""hi"")"),"एक पम्बरम प्रतियोगिता में, खिलाड़ी MMM का लट्टू 10 सेकंड तक घूमता है और खिलाड़ी NNN का लट्टू भी 10 सेकंड तक घूमता है, लेकिन खिलाड़ी MMM का लट्टू एक ध्वनि उत्पन्न करता है। अगर कोई ध्वनि पसंद नहीं की जाती है तो कौन जीतता है?")</f>
        <v>एक पम्बरम प्रतियोगिता में, खिलाड़ी MMM का लट्टू 10 सेकंड तक घूमता है और खिलाड़ी NNN का लट्टू भी 10 सेकंड तक घूमता है, लेकिन खिलाड़ी MMM का लट्टू एक ध्वनि उत्पन्न करता है। अगर कोई ध्वनि पसंद नहीं की जाती है तो कौन जीतता है?</v>
      </c>
      <c r="H61" s="5" t="str">
        <f>IFERROR(__xludf.DUMMYFUNCTION("GOOGLETRANSLATE(C61, ""en"", ""hi"")"),"A) खिलाड़ी MMM, B) खिलाड़ी NNN, C) यह एक टाई है, D) उपरोक्त में से कोई नहीं")</f>
        <v>A) खिलाड़ी MMM, B) खिलाड़ी NNN, C) यह एक टाई है, D) उपरोक्त में से कोई नहीं</v>
      </c>
      <c r="I61" s="5" t="str">
        <f>IFERROR(__xludf.DUMMYFUNCTION("GOOGLETRANSLATE(D61, ""en"", ""hi"")"),"बी) खिलाड़ी एनएनएन")</f>
        <v>बी) खिलाड़ी एनएनएन</v>
      </c>
    </row>
    <row r="62" ht="22.5" customHeight="1">
      <c r="A62" s="2">
        <v>61.0</v>
      </c>
      <c r="B62" s="3" t="s">
        <v>4770</v>
      </c>
      <c r="C62" s="3" t="s">
        <v>4726</v>
      </c>
      <c r="D62" s="3" t="s">
        <v>4771</v>
      </c>
      <c r="F62" s="5" t="str">
        <f>IFERROR(__xludf.DUMMYFUNCTION("GOOGLETRANSLATE(A62, ""en"", ""hi"")"),"61")</f>
        <v>61</v>
      </c>
      <c r="G62" s="5" t="str">
        <f>IFERROR(__xludf.DUMMYFUNCTION("GOOGLETRANSLATE(B62, ""en"", ""hi"")"),"खिलाड़ी OOO 12 सेकंड तक ऊपरी हिस्से को घुमाता है और गिर जाता है, और खिलाड़ी PPP 12 सेकंड तक ऊपरी हिस्से को घुमाता है लेकिन तिरछा होकर गिरता है। अगर खेल में सीधा उतरने का विकल्प हो, तो कौन जीतता है?")</f>
        <v>खिलाड़ी OOO 12 सेकंड तक ऊपरी हिस्से को घुमाता है और गिर जाता है, और खिलाड़ी PPP 12 सेकंड तक ऊपरी हिस्से को घुमाता है लेकिन तिरछा होकर गिरता है। अगर खेल में सीधा उतरने का विकल्प हो, तो कौन जीतता है?</v>
      </c>
      <c r="H62" s="5" t="str">
        <f>IFERROR(__xludf.DUMMYFUNCTION("GOOGLETRANSLATE(C62, ""en"", ""hi"")"),"A) खिलाड़ी OOO, B) खिलाड़ी PPP, C) यह एक टाई है, D) उपरोक्त में से कोई नहीं")</f>
        <v>A) खिलाड़ी OOO, B) खिलाड़ी PPP, C) यह एक टाई है, D) उपरोक्त में से कोई नहीं</v>
      </c>
      <c r="I62" s="5" t="str">
        <f>IFERROR(__xludf.DUMMYFUNCTION("GOOGLETRANSLATE(D62, ""en"", ""hi"")"),"ए) प्लेयर ओओओ")</f>
        <v>ए) प्लेयर ओओओ</v>
      </c>
    </row>
    <row r="63" ht="22.5" customHeight="1">
      <c r="A63" s="2">
        <v>62.0</v>
      </c>
      <c r="B63" s="3" t="s">
        <v>4772</v>
      </c>
      <c r="C63" s="3" t="s">
        <v>4756</v>
      </c>
      <c r="D63" s="3" t="s">
        <v>4773</v>
      </c>
      <c r="F63" s="5" t="str">
        <f>IFERROR(__xludf.DUMMYFUNCTION("GOOGLETRANSLATE(A63, ""en"", ""hi"")"),"62")</f>
        <v>62</v>
      </c>
      <c r="G63" s="5" t="str">
        <f>IFERROR(__xludf.DUMMYFUNCTION("GOOGLETRANSLATE(B63, ""en"", ""hi"")"),"पम्बाराम मैच के दौरान, यदि खिलाड़ी QQQ शीर्ष को 11 सेकंड तक घुमाता है और खिलाड़ी RRR शीर्ष को कभी-कभार हिलते हुए 11 सेकंड तक घुमाता है, तो यदि चिकनाई को प्राथमिकता दी जाती है तो कौन जीतता है?")</f>
        <v>पम्बाराम मैच के दौरान, यदि खिलाड़ी QQQ शीर्ष को 11 सेकंड तक घुमाता है और खिलाड़ी RRR शीर्ष को कभी-कभार हिलते हुए 11 सेकंड तक घुमाता है, तो यदि चिकनाई को प्राथमिकता दी जाती है तो कौन जीतता है?</v>
      </c>
      <c r="H63" s="5" t="str">
        <f>IFERROR(__xludf.DUMMYFUNCTION("GOOGLETRANSLATE(C63, ""en"", ""hi"")"),"A) खिलाड़ी QQQ, B) खिलाड़ी RRR, C) यह एक टाई है, D) उपरोक्त में से कोई नहीं")</f>
        <v>A) खिलाड़ी QQQ, B) खिलाड़ी RRR, C) यह एक टाई है, D) उपरोक्त में से कोई नहीं</v>
      </c>
      <c r="I63" s="5" t="str">
        <f>IFERROR(__xludf.DUMMYFUNCTION("GOOGLETRANSLATE(D63, ""en"", ""hi"")"),"ए) प्लेयर क्यूक्यूक्यू")</f>
        <v>ए) प्लेयर क्यूक्यूक्यू</v>
      </c>
    </row>
    <row r="64" ht="22.5" customHeight="1">
      <c r="A64" s="2">
        <v>63.0</v>
      </c>
      <c r="B64" s="3" t="s">
        <v>4774</v>
      </c>
      <c r="C64" s="3" t="s">
        <v>4732</v>
      </c>
      <c r="D64" s="3" t="s">
        <v>4733</v>
      </c>
      <c r="F64" s="5" t="str">
        <f>IFERROR(__xludf.DUMMYFUNCTION("GOOGLETRANSLATE(A64, ""en"", ""hi"")"),"63")</f>
        <v>63</v>
      </c>
      <c r="G64" s="5" t="str">
        <f>IFERROR(__xludf.DUMMYFUNCTION("GOOGLETRANSLATE(B64, ""en"", ""hi"")"),"यदि खिलाड़ी SSS का शीर्ष 8 सेकंड तक घूमता है और खिलाड़ी TTT का शीर्ष 8 सेकंड तक घूमता है, लेकिन खिलाड़ी TTT का शीर्ष थोड़ा डगमगाता है, तो कौन जीतता है यदि खेल स्थिरता को महत्व देता है?")</f>
        <v>यदि खिलाड़ी SSS का शीर्ष 8 सेकंड तक घूमता है और खिलाड़ी TTT का शीर्ष 8 सेकंड तक घूमता है, लेकिन खिलाड़ी TTT का शीर्ष थोड़ा डगमगाता है, तो कौन जीतता है यदि खेल स्थिरता को महत्व देता है?</v>
      </c>
      <c r="H64" s="5" t="str">
        <f>IFERROR(__xludf.DUMMYFUNCTION("GOOGLETRANSLATE(C64, ""en"", ""hi"")"),"A) खिलाड़ी SSS, B) खिलाड़ी TTT, C) यह एक टाई है, D) उपरोक्त में से कोई नहीं")</f>
        <v>A) खिलाड़ी SSS, B) खिलाड़ी TTT, C) यह एक टाई है, D) उपरोक्त में से कोई नहीं</v>
      </c>
      <c r="I64" s="5" t="str">
        <f>IFERROR(__xludf.DUMMYFUNCTION("GOOGLETRANSLATE(D64, ""en"", ""hi"")"),"ए) खिलाड़ी एसएसएस")</f>
        <v>ए) खिलाड़ी एसएसएस</v>
      </c>
    </row>
    <row r="65" ht="22.5" customHeight="1">
      <c r="A65" s="2">
        <v>64.0</v>
      </c>
      <c r="B65" s="3" t="s">
        <v>4775</v>
      </c>
      <c r="C65" s="3" t="s">
        <v>4735</v>
      </c>
      <c r="D65" s="3" t="s">
        <v>4736</v>
      </c>
      <c r="F65" s="5" t="str">
        <f>IFERROR(__xludf.DUMMYFUNCTION("GOOGLETRANSLATE(A65, ""en"", ""hi"")"),"64")</f>
        <v>64</v>
      </c>
      <c r="G65" s="5" t="str">
        <f>IFERROR(__xludf.DUMMYFUNCTION("GOOGLETRANSLATE(B65, ""en"", ""hi"")"),"खिलाड़ी UUU का टॉप 14 सेकंड तक घूमता है और खिलाड़ी VVV का टॉप भी 14 सेकंड तक घूमता है। अगर खिलाड़ी UUU का टॉप ज़्यादा आसानी से घूमता है, तो अगर आसानी को प्राथमिकता दी जाए, तो कौन जीतेगा?")</f>
        <v>खिलाड़ी UUU का टॉप 14 सेकंड तक घूमता है और खिलाड़ी VVV का टॉप भी 14 सेकंड तक घूमता है। अगर खिलाड़ी UUU का टॉप ज़्यादा आसानी से घूमता है, तो अगर आसानी को प्राथमिकता दी जाए, तो कौन जीतेगा?</v>
      </c>
      <c r="H65" s="5" t="str">
        <f>IFERROR(__xludf.DUMMYFUNCTION("GOOGLETRANSLATE(C65, ""en"", ""hi"")"),"A) खिलाड़ी UUU, B) खिलाड़ी VVV, C) यह एक टाई है, D) उपरोक्त में से कोई नहीं")</f>
        <v>A) खिलाड़ी UUU, B) खिलाड़ी VVV, C) यह एक टाई है, D) उपरोक्त में से कोई नहीं</v>
      </c>
      <c r="I65" s="5" t="str">
        <f>IFERROR(__xludf.DUMMYFUNCTION("GOOGLETRANSLATE(D65, ""en"", ""hi"")"),"A) खिलाड़ी UUU")</f>
        <v>A) खिलाड़ी UUU</v>
      </c>
    </row>
    <row r="66" ht="22.5" customHeight="1">
      <c r="A66" s="2">
        <v>65.0</v>
      </c>
      <c r="B66" s="3" t="s">
        <v>4776</v>
      </c>
      <c r="C66" s="3" t="s">
        <v>4738</v>
      </c>
      <c r="D66" s="3" t="s">
        <v>4739</v>
      </c>
      <c r="F66" s="5" t="str">
        <f>IFERROR(__xludf.DUMMYFUNCTION("GOOGLETRANSLATE(A66, ""en"", ""hi"")"),"65")</f>
        <v>65</v>
      </c>
      <c r="G66" s="5" t="str">
        <f>IFERROR(__xludf.DUMMYFUNCTION("GOOGLETRANSLATE(B66, ""en"", ""hi"")"),"पम्बरम मैच के दौरान, खिलाड़ी WWW गेंद को 9 सेकंड तक और खिलाड़ी XXX गेंद को 9 सेकंड तक घुमाता है। अगर खिलाड़ी WWW की गेंद सीधी और खिलाड़ी XXX की गेंद तिरछी होकर गिरती है, तो अगर सीधी लैंडिंग पसंद की जाती है, तो कौन जीतता है?")</f>
        <v>पम्बरम मैच के दौरान, खिलाड़ी WWW गेंद को 9 सेकंड तक और खिलाड़ी XXX गेंद को 9 सेकंड तक घुमाता है। अगर खिलाड़ी WWW की गेंद सीधी और खिलाड़ी XXX की गेंद तिरछी होकर गिरती है, तो अगर सीधी लैंडिंग पसंद की जाती है, तो कौन जीतता है?</v>
      </c>
      <c r="H66" s="5" t="str">
        <f>IFERROR(__xludf.DUMMYFUNCTION("GOOGLETRANSLATE(C66, ""en"", ""hi"")"),"A) खिलाड़ी WWW, B) खिलाड़ी XXX, C) यह एक टाई है, D) उपरोक्त में से कोई नहीं")</f>
        <v>A) खिलाड़ी WWW, B) खिलाड़ी XXX, C) यह एक टाई है, D) उपरोक्त में से कोई नहीं</v>
      </c>
      <c r="I66" s="5" t="str">
        <f>IFERROR(__xludf.DUMMYFUNCTION("GOOGLETRANSLATE(D66, ""en"", ""hi"")"),"ए) प्लेयर WWW")</f>
        <v>ए) प्लेयर WWW</v>
      </c>
    </row>
    <row r="67" ht="22.5" customHeight="1">
      <c r="A67" s="2">
        <v>66.0</v>
      </c>
      <c r="B67" s="3" t="s">
        <v>4777</v>
      </c>
      <c r="C67" s="3" t="s">
        <v>4627</v>
      </c>
      <c r="D67" s="3" t="s">
        <v>4778</v>
      </c>
      <c r="F67" s="5" t="str">
        <f>IFERROR(__xludf.DUMMYFUNCTION("GOOGLETRANSLATE(A67, ""en"", ""hi"")"),"66")</f>
        <v>66</v>
      </c>
      <c r="G67" s="5" t="str">
        <f>IFERROR(__xludf.DUMMYFUNCTION("GOOGLETRANSLATE(B67, ""en"", ""hi"")"),"यदि खिलाड़ी A का लट्टू 12 सेकंड तक घूमता है और गिरता है, तथा खिलाड़ी B का लट्टू 12 सेकंड तक घूमता है और सीधा खड़ा होता है, तो यदि सीधा खड़ा होना पसंद किया जाता है तो कौन जीतता है?")</f>
        <v>यदि खिलाड़ी A का लट्टू 12 सेकंड तक घूमता है और गिरता है, तथा खिलाड़ी B का लट्टू 12 सेकंड तक घूमता है और सीधा खड़ा होता है, तो यदि सीधा खड़ा होना पसंद किया जाता है तो कौन जीतता है?</v>
      </c>
      <c r="H67" s="5" t="str">
        <f>IFERROR(__xludf.DUMMYFUNCTION("GOOGLETRANSLATE(C67, ""en"", ""hi"")"),"A) खिलाड़ी A, B) खिलाड़ी B, C) यह टाई है, D) उपरोक्त में से कोई नहीं")</f>
        <v>A) खिलाड़ी A, B) खिलाड़ी B, C) यह टाई है, D) उपरोक्त में से कोई नहीं</v>
      </c>
      <c r="I67" s="5" t="str">
        <f>IFERROR(__xludf.DUMMYFUNCTION("GOOGLETRANSLATE(D67, ""en"", ""hi"")"),"बी) खिलाड़ी बी")</f>
        <v>बी) खिलाड़ी बी</v>
      </c>
    </row>
    <row r="68" ht="22.5" customHeight="1">
      <c r="A68" s="2">
        <v>67.0</v>
      </c>
      <c r="B68" s="3" t="s">
        <v>4779</v>
      </c>
      <c r="C68" s="3" t="s">
        <v>4630</v>
      </c>
      <c r="D68" s="3" t="s">
        <v>4631</v>
      </c>
      <c r="F68" s="5" t="str">
        <f>IFERROR(__xludf.DUMMYFUNCTION("GOOGLETRANSLATE(A68, ""en"", ""hi"")"),"67")</f>
        <v>67</v>
      </c>
      <c r="G68" s="5" t="str">
        <f>IFERROR(__xludf.DUMMYFUNCTION("GOOGLETRANSLATE(B68, ""en"", ""hi"")"),"पम्बरम मैच के दौरान, यदि खिलाड़ी C का टॉप 8 सेकंड तक घूमता है और खिलाड़ी D का टॉप 8 सेकंड तक घूमता है, लेकिन खिलाड़ी D का टॉप ध्वनि उत्पन्न करता है, तो यदि कोई ध्वनि पसंद नहीं की जाती है तो कौन जीतता है?")</f>
        <v>पम्बरम मैच के दौरान, यदि खिलाड़ी C का टॉप 8 सेकंड तक घूमता है और खिलाड़ी D का टॉप 8 सेकंड तक घूमता है, लेकिन खिलाड़ी D का टॉप ध्वनि उत्पन्न करता है, तो यदि कोई ध्वनि पसंद नहीं की जाती है तो कौन जीतता है?</v>
      </c>
      <c r="H68" s="5" t="str">
        <f>IFERROR(__xludf.DUMMYFUNCTION("GOOGLETRANSLATE(C68, ""en"", ""hi"")"),"A) खिलाड़ी C, B) खिलाड़ी D, C) यह टाई है, D) उपरोक्त में से कोई नहीं")</f>
        <v>A) खिलाड़ी C, B) खिलाड़ी D, C) यह टाई है, D) उपरोक्त में से कोई नहीं</v>
      </c>
      <c r="I68" s="5" t="str">
        <f>IFERROR(__xludf.DUMMYFUNCTION("GOOGLETRANSLATE(D68, ""en"", ""hi"")"),"ए) खिलाड़ी सी")</f>
        <v>ए) खिलाड़ी सी</v>
      </c>
    </row>
    <row r="69" ht="22.5" customHeight="1">
      <c r="A69" s="2">
        <v>68.0</v>
      </c>
      <c r="B69" s="3" t="s">
        <v>4780</v>
      </c>
      <c r="C69" s="3" t="s">
        <v>4781</v>
      </c>
      <c r="D69" s="3" t="s">
        <v>4634</v>
      </c>
      <c r="F69" s="5" t="str">
        <f>IFERROR(__xludf.DUMMYFUNCTION("GOOGLETRANSLATE(A69, ""en"", ""hi"")"),"68")</f>
        <v>68</v>
      </c>
      <c r="G69" s="5" t="str">
        <f>IFERROR(__xludf.DUMMYFUNCTION("GOOGLETRANSLATE(B69, ""en"", ""hi"")"),"खिलाड़ी E, गेंद के ऊपरी हिस्से को 14 सेकंड तक घुमाता है और खिलाड़ी F, गेंद के ऊपरी हिस्से को 14 सेकंड तक घुमाता है। यदि खिलाड़ी E का ऊपरी हिस्सा थोड़ा हिलता है जबकि खिलाड़ी F का ऊपरी हिस्सा आसानी से घूमता है, तो अगर चिकनापन पसंद किया जाता है, तो कौन जीतता"&amp;" है?")</f>
        <v>खिलाड़ी E, गेंद के ऊपरी हिस्से को 14 सेकंड तक घुमाता है और खिलाड़ी F, गेंद के ऊपरी हिस्से को 14 सेकंड तक घुमाता है। यदि खिलाड़ी E का ऊपरी हिस्सा थोड़ा हिलता है जबकि खिलाड़ी F का ऊपरी हिस्सा आसानी से घूमता है, तो अगर चिकनापन पसंद किया जाता है, तो कौन जीतता है?</v>
      </c>
      <c r="H69" s="5" t="str">
        <f>IFERROR(__xludf.DUMMYFUNCTION("GOOGLETRANSLATE(C69, ""en"", ""hi"")"),"A) खिलाड़ी E, B) खिलाड़ी F, C) यह टाई है, D) उपरोक्त में से कोई नहीं")</f>
        <v>A) खिलाड़ी E, B) खिलाड़ी F, C) यह टाई है, D) उपरोक्त में से कोई नहीं</v>
      </c>
      <c r="I69" s="5" t="str">
        <f>IFERROR(__xludf.DUMMYFUNCTION("GOOGLETRANSLATE(D69, ""en"", ""hi"")"),"बी) खिलाड़ी एफ")</f>
        <v>बी) खिलाड़ी एफ</v>
      </c>
    </row>
    <row r="70" ht="22.5" customHeight="1">
      <c r="A70" s="2">
        <v>69.0</v>
      </c>
      <c r="B70" s="3" t="s">
        <v>4782</v>
      </c>
      <c r="C70" s="3" t="s">
        <v>4783</v>
      </c>
      <c r="D70" s="3" t="s">
        <v>4784</v>
      </c>
      <c r="F70" s="5" t="str">
        <f>IFERROR(__xludf.DUMMYFUNCTION("GOOGLETRANSLATE(A70, ""en"", ""hi"")"),"69")</f>
        <v>69</v>
      </c>
      <c r="G70" s="5" t="str">
        <f>IFERROR(__xludf.DUMMYFUNCTION("GOOGLETRANSLATE(B70, ""en"", ""hi"")"),"यदि खिलाड़ी G का लट्ठा 11 सेकंड तक घूमता है और गिरता है, तथा खिलाड़ी H का लट्ठा 11 सेकंड तक घूमता है, लेकिन झुककर गिरता है, तो यदि खेल में सीधे उतरने को महत्व दिया जाता है, तो कौन जीतता है?")</f>
        <v>यदि खिलाड़ी G का लट्ठा 11 सेकंड तक घूमता है और गिरता है, तथा खिलाड़ी H का लट्ठा 11 सेकंड तक घूमता है, लेकिन झुककर गिरता है, तो यदि खेल में सीधे उतरने को महत्व दिया जाता है, तो कौन जीतता है?</v>
      </c>
      <c r="H70" s="5" t="str">
        <f>IFERROR(__xludf.DUMMYFUNCTION("GOOGLETRANSLATE(C70, ""en"", ""hi"")"),"A) खिलाड़ी G, B) खिलाड़ी H, C) यह टाई है, D) उपरोक्त में से कोई नहीं")</f>
        <v>A) खिलाड़ी G, B) खिलाड़ी H, C) यह टाई है, D) उपरोक्त में से कोई नहीं</v>
      </c>
      <c r="I70" s="5" t="str">
        <f>IFERROR(__xludf.DUMMYFUNCTION("GOOGLETRANSLATE(D70, ""en"", ""hi"")"),"ए) खिलाड़ी जी")</f>
        <v>ए) खिलाड़ी जी</v>
      </c>
    </row>
    <row r="71" ht="22.5" customHeight="1">
      <c r="A71" s="2">
        <v>70.0</v>
      </c>
      <c r="B71" s="3" t="s">
        <v>4785</v>
      </c>
      <c r="C71" s="3" t="s">
        <v>4639</v>
      </c>
      <c r="D71" s="3" t="s">
        <v>4786</v>
      </c>
      <c r="F71" s="5" t="str">
        <f>IFERROR(__xludf.DUMMYFUNCTION("GOOGLETRANSLATE(A71, ""en"", ""hi"")"),"70")</f>
        <v>70</v>
      </c>
      <c r="G71" s="5" t="str">
        <f>IFERROR(__xludf.DUMMYFUNCTION("GOOGLETRANSLATE(B71, ""en"", ""hi"")"),"पम्बरम प्रतियोगिता के दौरान, खिलाड़ी I का शीर्ष 9 सेकंड के लिए घूमता है और खिलाड़ी J का शीर्ष 9 सेकंड के लिए घूमता है लेकिन खिलाड़ी I का शीर्ष एक ध्वनि उत्पन्न करता है, यदि कोई ध्वनि पसंद नहीं की जाती है तो कौन जीतता है?")</f>
        <v>पम्बरम प्रतियोगिता के दौरान, खिलाड़ी I का शीर्ष 9 सेकंड के लिए घूमता है और खिलाड़ी J का शीर्ष 9 सेकंड के लिए घूमता है लेकिन खिलाड़ी I का शीर्ष एक ध्वनि उत्पन्न करता है, यदि कोई ध्वनि पसंद नहीं की जाती है तो कौन जीतता है?</v>
      </c>
      <c r="H71" s="5" t="str">
        <f>IFERROR(__xludf.DUMMYFUNCTION("GOOGLETRANSLATE(C71, ""en"", ""hi"")"),"A) खिलाड़ी I, B) खिलाड़ी J, C) यह टाई है, D) उपरोक्त में से कोई नहीं")</f>
        <v>A) खिलाड़ी I, B) खिलाड़ी J, C) यह टाई है, D) उपरोक्त में से कोई नहीं</v>
      </c>
      <c r="I71" s="5" t="str">
        <f>IFERROR(__xludf.DUMMYFUNCTION("GOOGLETRANSLATE(D71, ""en"", ""hi"")"),"बी) खिलाड़ी जे")</f>
        <v>बी) खिलाड़ी जे</v>
      </c>
    </row>
    <row r="72" ht="22.5" customHeight="1">
      <c r="A72" s="2">
        <v>71.0</v>
      </c>
      <c r="B72" s="3" t="s">
        <v>4787</v>
      </c>
      <c r="C72" s="3" t="s">
        <v>4642</v>
      </c>
      <c r="D72" s="3" t="s">
        <v>4788</v>
      </c>
      <c r="F72" s="5" t="str">
        <f>IFERROR(__xludf.DUMMYFUNCTION("GOOGLETRANSLATE(A72, ""en"", ""hi"")"),"71")</f>
        <v>71</v>
      </c>
      <c r="G72" s="5" t="str">
        <f>IFERROR(__xludf.DUMMYFUNCTION("GOOGLETRANSLATE(B72, ""en"", ""hi"")"),"खिलाड़ी K, गेंद के ऊपरी हिस्से को 10 सेकंड तक घुमाता है और खिलाड़ी L, गेंद के ऊपरी हिस्से को अनियमित अंतराल पर 10 सेकंड तक घुमाता है। अगर खेल में लगातार घूमने के समय को महत्व दिया जाता है, तो कौन जीतता है?")</f>
        <v>खिलाड़ी K, गेंद के ऊपरी हिस्से को 10 सेकंड तक घुमाता है और खिलाड़ी L, गेंद के ऊपरी हिस्से को अनियमित अंतराल पर 10 सेकंड तक घुमाता है। अगर खेल में लगातार घूमने के समय को महत्व दिया जाता है, तो कौन जीतता है?</v>
      </c>
      <c r="H72" s="5" t="str">
        <f>IFERROR(__xludf.DUMMYFUNCTION("GOOGLETRANSLATE(C72, ""en"", ""hi"")"),"A) खिलाड़ी K, B) खिलाड़ी L, C) यह टाई है, D) उपरोक्त में से कोई नहीं")</f>
        <v>A) खिलाड़ी K, B) खिलाड़ी L, C) यह टाई है, D) उपरोक्त में से कोई नहीं</v>
      </c>
      <c r="I72" s="5" t="str">
        <f>IFERROR(__xludf.DUMMYFUNCTION("GOOGLETRANSLATE(D72, ""en"", ""hi"")"),"A) खिलाड़ी K")</f>
        <v>A) खिलाड़ी K</v>
      </c>
    </row>
    <row r="73" ht="22.5" customHeight="1">
      <c r="A73" s="2">
        <v>72.0</v>
      </c>
      <c r="B73" s="3" t="s">
        <v>4789</v>
      </c>
      <c r="C73" s="3" t="s">
        <v>4790</v>
      </c>
      <c r="D73" s="3" t="s">
        <v>4791</v>
      </c>
      <c r="F73" s="5" t="str">
        <f>IFERROR(__xludf.DUMMYFUNCTION("GOOGLETRANSLATE(A73, ""en"", ""hi"")"),"72")</f>
        <v>72</v>
      </c>
      <c r="G73" s="5" t="str">
        <f>IFERROR(__xludf.DUMMYFUNCTION("GOOGLETRANSLATE(B73, ""en"", ""hi"")"),"एक पम्बरम मैच में, खिलाड़ी M का टॉप 7 सेकंड तक घूमता है और खिलाड़ी N का टॉप भी 7 सेकंड तक घूमता है। अगर खिलाड़ी M का टॉप सीधा और खिलाड़ी N का टॉप तिरछा गिरता है, तो अगर सीधा गिरना पसंद किया जाता है, तो कौन जीतता है?")</f>
        <v>एक पम्बरम मैच में, खिलाड़ी M का टॉप 7 सेकंड तक घूमता है और खिलाड़ी N का टॉप भी 7 सेकंड तक घूमता है। अगर खिलाड़ी M का टॉप सीधा और खिलाड़ी N का टॉप तिरछा गिरता है, तो अगर सीधा गिरना पसंद किया जाता है, तो कौन जीतता है?</v>
      </c>
      <c r="H73" s="5" t="str">
        <f>IFERROR(__xludf.DUMMYFUNCTION("GOOGLETRANSLATE(C73, ""en"", ""hi"")"),"A) खिलाड़ी M, B) खिलाड़ी N, C) यह टाई है, D) उपरोक्त में से कोई नहीं")</f>
        <v>A) खिलाड़ी M, B) खिलाड़ी N, C) यह टाई है, D) उपरोक्त में से कोई नहीं</v>
      </c>
      <c r="I73" s="5" t="str">
        <f>IFERROR(__xludf.DUMMYFUNCTION("GOOGLETRANSLATE(D73, ""en"", ""hi"")"),"ए) खिलाड़ी एम")</f>
        <v>ए) खिलाड़ी एम</v>
      </c>
    </row>
    <row r="74" ht="22.5" customHeight="1">
      <c r="A74" s="2">
        <v>73.0</v>
      </c>
      <c r="B74" s="3" t="s">
        <v>4792</v>
      </c>
      <c r="C74" s="3" t="s">
        <v>4648</v>
      </c>
      <c r="D74" s="3" t="s">
        <v>4793</v>
      </c>
      <c r="F74" s="5" t="str">
        <f>IFERROR(__xludf.DUMMYFUNCTION("GOOGLETRANSLATE(A74, ""en"", ""hi"")"),"73")</f>
        <v>73</v>
      </c>
      <c r="G74" s="5" t="str">
        <f>IFERROR(__xludf.DUMMYFUNCTION("GOOGLETRANSLATE(B74, ""en"", ""hi"")"),"यदि खिलाड़ी O का शीर्ष 12 सेकंड तक घूमता है और खिलाड़ी P का शीर्ष 12 सेकंड तक घूमता है, लेकिन खिलाड़ी O का शीर्ष डगमगाता है, तो यदि चिकनाई को प्राथमिकता दी जाती है तो कौन जीतता है?")</f>
        <v>यदि खिलाड़ी O का शीर्ष 12 सेकंड तक घूमता है और खिलाड़ी P का शीर्ष 12 सेकंड तक घूमता है, लेकिन खिलाड़ी O का शीर्ष डगमगाता है, तो यदि चिकनाई को प्राथमिकता दी जाती है तो कौन जीतता है?</v>
      </c>
      <c r="H74" s="5" t="str">
        <f>IFERROR(__xludf.DUMMYFUNCTION("GOOGLETRANSLATE(C74, ""en"", ""hi"")"),"A) खिलाड़ी O, B) खिलाड़ी P, C) यह टाई है, D) उपरोक्त में से कोई नहीं")</f>
        <v>A) खिलाड़ी O, B) खिलाड़ी P, C) यह टाई है, D) उपरोक्त में से कोई नहीं</v>
      </c>
      <c r="I74" s="5" t="str">
        <f>IFERROR(__xludf.DUMMYFUNCTION("GOOGLETRANSLATE(D74, ""en"", ""hi"")"),"बी) खिलाड़ी पी")</f>
        <v>बी) खिलाड़ी पी</v>
      </c>
    </row>
    <row r="75" ht="22.5" customHeight="1">
      <c r="A75" s="2">
        <v>74.0</v>
      </c>
      <c r="B75" s="3" t="s">
        <v>4794</v>
      </c>
      <c r="C75" s="3" t="s">
        <v>4651</v>
      </c>
      <c r="D75" s="3" t="s">
        <v>4795</v>
      </c>
      <c r="F75" s="5" t="str">
        <f>IFERROR(__xludf.DUMMYFUNCTION("GOOGLETRANSLATE(A75, ""en"", ""hi"")"),"74")</f>
        <v>74</v>
      </c>
      <c r="G75" s="5" t="str">
        <f>IFERROR(__xludf.DUMMYFUNCTION("GOOGLETRANSLATE(B75, ""en"", ""hi"")"),"खिलाड़ी Q का लट्टू 8 सेकंड तक घूमता है और खिलाड़ी R का लट्टू भी 8 सेकंड तक घूमता है। अगर खिलाड़ी R का लट्टू सीधा और खिलाड़ी Q का लट्टू झुका हुआ ज़मीन पर गिरता है, तो अगर सीधा उतरना पसंद किया जाता है, तो कौन जीतता है?")</f>
        <v>खिलाड़ी Q का लट्टू 8 सेकंड तक घूमता है और खिलाड़ी R का लट्टू भी 8 सेकंड तक घूमता है। अगर खिलाड़ी R का लट्टू सीधा और खिलाड़ी Q का लट्टू झुका हुआ ज़मीन पर गिरता है, तो अगर सीधा उतरना पसंद किया जाता है, तो कौन जीतता है?</v>
      </c>
      <c r="H75" s="5" t="str">
        <f>IFERROR(__xludf.DUMMYFUNCTION("GOOGLETRANSLATE(C75, ""en"", ""hi"")"),"A) खिलाड़ी Q, B) खिलाड़ी R, C) यह टाई है, D) उपरोक्त में से कोई नहीं")</f>
        <v>A) खिलाड़ी Q, B) खिलाड़ी R, C) यह टाई है, D) उपरोक्त में से कोई नहीं</v>
      </c>
      <c r="I75" s="5" t="str">
        <f>IFERROR(__xludf.DUMMYFUNCTION("GOOGLETRANSLATE(D75, ""en"", ""hi"")"),"बी) खिलाड़ी आर")</f>
        <v>बी) खिलाड़ी आर</v>
      </c>
    </row>
    <row r="76" ht="22.5" customHeight="1">
      <c r="A76" s="2">
        <v>75.0</v>
      </c>
      <c r="B76" s="3" t="s">
        <v>4796</v>
      </c>
      <c r="C76" s="3" t="s">
        <v>4654</v>
      </c>
      <c r="D76" s="3" t="s">
        <v>4655</v>
      </c>
      <c r="F76" s="5" t="str">
        <f>IFERROR(__xludf.DUMMYFUNCTION("GOOGLETRANSLATE(A76, ""en"", ""hi"")"),"75")</f>
        <v>75</v>
      </c>
      <c r="G76" s="5" t="str">
        <f>IFERROR(__xludf.DUMMYFUNCTION("GOOGLETRANSLATE(B76, ""en"", ""hi"")"),"पम्बरम मैच के दौरान, खिलाड़ी S का टॉप 14 सेकंड तक घूमता है और खिलाड़ी T का टॉप भी 14 सेकंड तक घूमता है, लेकिन खिलाड़ी S का टॉप एक ध्वनि उत्पन्न करता है। अगर कोई ध्वनि पसंद नहीं की जाती है, तो कौन जीतता है?")</f>
        <v>पम्बरम मैच के दौरान, खिलाड़ी S का टॉप 14 सेकंड तक घूमता है और खिलाड़ी T का टॉप भी 14 सेकंड तक घूमता है, लेकिन खिलाड़ी S का टॉप एक ध्वनि उत्पन्न करता है। अगर कोई ध्वनि पसंद नहीं की जाती है, तो कौन जीतता है?</v>
      </c>
      <c r="H76" s="5" t="str">
        <f>IFERROR(__xludf.DUMMYFUNCTION("GOOGLETRANSLATE(C76, ""en"", ""hi"")"),"A) खिलाड़ी S, B) खिलाड़ी T, C) यह टाई है, D) उपरोक्त में से कोई नहीं")</f>
        <v>A) खिलाड़ी S, B) खिलाड़ी T, C) यह टाई है, D) उपरोक्त में से कोई नहीं</v>
      </c>
      <c r="I76" s="5" t="str">
        <f>IFERROR(__xludf.DUMMYFUNCTION("GOOGLETRANSLATE(D76, ""en"", ""hi"")"),"बी) खिलाड़ी टी")</f>
        <v>बी) खिलाड़ी टी</v>
      </c>
    </row>
    <row r="77" ht="22.5" customHeight="1">
      <c r="A77" s="2">
        <v>76.0</v>
      </c>
      <c r="B77" s="3" t="s">
        <v>4797</v>
      </c>
      <c r="C77" s="3" t="s">
        <v>4657</v>
      </c>
      <c r="D77" s="3" t="s">
        <v>4658</v>
      </c>
      <c r="F77" s="5" t="str">
        <f>IFERROR(__xludf.DUMMYFUNCTION("GOOGLETRANSLATE(A77, ""en"", ""hi"")"),"76")</f>
        <v>76</v>
      </c>
      <c r="G77" s="5" t="str">
        <f>IFERROR(__xludf.DUMMYFUNCTION("GOOGLETRANSLATE(B77, ""en"", ""hi"")"),"खिलाड़ी U, ऊपरी हिस्से को 9 सेकंड तक घुमाता है और खिलाड़ी V, ऊपरी हिस्से को बीच-बीच में हिलते-डुलते हुए 9 सेकंड तक घुमाता है। अगर खेल में स्थिरता को महत्व दिया जाता है, तो कौन जीतता है?")</f>
        <v>खिलाड़ी U, ऊपरी हिस्से को 9 सेकंड तक घुमाता है और खिलाड़ी V, ऊपरी हिस्से को बीच-बीच में हिलते-डुलते हुए 9 सेकंड तक घुमाता है। अगर खेल में स्थिरता को महत्व दिया जाता है, तो कौन जीतता है?</v>
      </c>
      <c r="H77" s="5" t="str">
        <f>IFERROR(__xludf.DUMMYFUNCTION("GOOGLETRANSLATE(C77, ""en"", ""hi"")"),"A) खिलाड़ी U, B) खिलाड़ी V, C) यह एक टाई है, D) उपरोक्त में से कोई नहीं")</f>
        <v>A) खिलाड़ी U, B) खिलाड़ी V, C) यह एक टाई है, D) उपरोक्त में से कोई नहीं</v>
      </c>
      <c r="I77" s="5" t="str">
        <f>IFERROR(__xludf.DUMMYFUNCTION("GOOGLETRANSLATE(D77, ""en"", ""hi"")"),"ए) खिलाड़ी यू")</f>
        <v>ए) खिलाड़ी यू</v>
      </c>
    </row>
    <row r="78" ht="22.5" customHeight="1">
      <c r="A78" s="2">
        <v>77.0</v>
      </c>
      <c r="B78" s="3" t="s">
        <v>4798</v>
      </c>
      <c r="C78" s="3" t="s">
        <v>4660</v>
      </c>
      <c r="D78" s="3" t="s">
        <v>4661</v>
      </c>
      <c r="F78" s="5" t="str">
        <f>IFERROR(__xludf.DUMMYFUNCTION("GOOGLETRANSLATE(A78, ""en"", ""hi"")"),"77")</f>
        <v>77</v>
      </c>
      <c r="G78" s="5" t="str">
        <f>IFERROR(__xludf.DUMMYFUNCTION("GOOGLETRANSLATE(B78, ""en"", ""hi"")"),"यदि खिलाड़ी W का लट्टू 6 सेकंड तक घूमता है और खिलाड़ी X का लट्टू 6 सेकंड तक घूमता है और खिलाड़ी X का लट्टू सीधा खड़ा रहता है, जबकि खिलाड़ी W का लट्टू नीचे गिर जाता है, तो यदि सीधा उतरना पसंद किया जाता है तो कौन जीतता है?")</f>
        <v>यदि खिलाड़ी W का लट्टू 6 सेकंड तक घूमता है और खिलाड़ी X का लट्टू 6 सेकंड तक घूमता है और खिलाड़ी X का लट्टू सीधा खड़ा रहता है, जबकि खिलाड़ी W का लट्टू नीचे गिर जाता है, तो यदि सीधा उतरना पसंद किया जाता है तो कौन जीतता है?</v>
      </c>
      <c r="H78" s="5" t="str">
        <f>IFERROR(__xludf.DUMMYFUNCTION("GOOGLETRANSLATE(C78, ""en"", ""hi"")"),"A) खिलाड़ी W, B) खिलाड़ी X, C) यह टाई है, D) उपरोक्त में से कोई नहीं")</f>
        <v>A) खिलाड़ी W, B) खिलाड़ी X, C) यह टाई है, D) उपरोक्त में से कोई नहीं</v>
      </c>
      <c r="I78" s="5" t="str">
        <f>IFERROR(__xludf.DUMMYFUNCTION("GOOGLETRANSLATE(D78, ""en"", ""hi"")"),"बी) खिलाड़ी एक्स")</f>
        <v>बी) खिलाड़ी एक्स</v>
      </c>
    </row>
    <row r="79" ht="22.5" customHeight="1">
      <c r="A79" s="2">
        <v>78.0</v>
      </c>
      <c r="B79" s="3" t="s">
        <v>4799</v>
      </c>
      <c r="C79" s="3" t="s">
        <v>4663</v>
      </c>
      <c r="D79" s="3" t="s">
        <v>4800</v>
      </c>
      <c r="F79" s="5" t="str">
        <f>IFERROR(__xludf.DUMMYFUNCTION("GOOGLETRANSLATE(A79, ""en"", ""hi"")"),"78")</f>
        <v>78</v>
      </c>
      <c r="G79" s="5" t="str">
        <f>IFERROR(__xludf.DUMMYFUNCTION("GOOGLETRANSLATE(B79, ""en"", ""hi"")"),"पम्बरम मैच के दौरान, खिलाड़ी Y का टॉप 13 सेकंड तक घूमता है और खिलाड़ी Z का टॉप भी 13 सेकंड तक घूमता है। अगर खिलाड़ी Y का टॉप थोड़ा डगमगाता है और खिलाड़ी Z का टॉप आसानी से घूमता है, तो अगर आसानी को प्राथमिकता दी जाए तो कौन जीतेगा?")</f>
        <v>पम्बरम मैच के दौरान, खिलाड़ी Y का टॉप 13 सेकंड तक घूमता है और खिलाड़ी Z का टॉप भी 13 सेकंड तक घूमता है। अगर खिलाड़ी Y का टॉप थोड़ा डगमगाता है और खिलाड़ी Z का टॉप आसानी से घूमता है, तो अगर आसानी को प्राथमिकता दी जाए तो कौन जीतेगा?</v>
      </c>
      <c r="H79" s="5" t="str">
        <f>IFERROR(__xludf.DUMMYFUNCTION("GOOGLETRANSLATE(C79, ""en"", ""hi"")"),"A) खिलाड़ी Y, B) खिलाड़ी Z, C) यह टाई है, D) उपरोक्त में से कोई नहीं")</f>
        <v>A) खिलाड़ी Y, B) खिलाड़ी Z, C) यह टाई है, D) उपरोक्त में से कोई नहीं</v>
      </c>
      <c r="I79" s="5" t="str">
        <f>IFERROR(__xludf.DUMMYFUNCTION("GOOGLETRANSLATE(D79, ""en"", ""hi"")"),"बी) खिलाड़ी जेड")</f>
        <v>बी) खिलाड़ी जेड</v>
      </c>
    </row>
    <row r="80" ht="22.5" customHeight="1">
      <c r="A80" s="2">
        <v>79.0</v>
      </c>
      <c r="B80" s="3" t="s">
        <v>4801</v>
      </c>
      <c r="C80" s="3" t="s">
        <v>4627</v>
      </c>
      <c r="D80" s="3" t="s">
        <v>4628</v>
      </c>
      <c r="F80" s="5" t="str">
        <f>IFERROR(__xludf.DUMMYFUNCTION("GOOGLETRANSLATE(A80, ""en"", ""hi"")"),"79")</f>
        <v>79</v>
      </c>
      <c r="G80" s="5" t="str">
        <f>IFERROR(__xludf.DUMMYFUNCTION("GOOGLETRANSLATE(B80, ""en"", ""hi"")"),"खिलाड़ी A गेंद के ऊपरी हिस्से को 11 सेकंड तक घुमाता है और खिलाड़ी B भी 11 सेकंड तक घुमाता है, लेकिन खिलाड़ी B का ऊपरी हिस्सा तिरछा होकर ज़मीन पर गिरता है। अगर खेल में सीधा उतरने का विकल्प चुना जाता है, तो कौन जीतता है?")</f>
        <v>खिलाड़ी A गेंद के ऊपरी हिस्से को 11 सेकंड तक घुमाता है और खिलाड़ी B भी 11 सेकंड तक घुमाता है, लेकिन खिलाड़ी B का ऊपरी हिस्सा तिरछा होकर ज़मीन पर गिरता है। अगर खेल में सीधा उतरने का विकल्प चुना जाता है, तो कौन जीतता है?</v>
      </c>
      <c r="H80" s="5" t="str">
        <f>IFERROR(__xludf.DUMMYFUNCTION("GOOGLETRANSLATE(C80, ""en"", ""hi"")"),"A) खिलाड़ी A, B) खिलाड़ी B, C) यह टाई है, D) उपरोक्त में से कोई नहीं")</f>
        <v>A) खिलाड़ी A, B) खिलाड़ी B, C) यह टाई है, D) उपरोक्त में से कोई नहीं</v>
      </c>
      <c r="I80" s="5" t="str">
        <f>IFERROR(__xludf.DUMMYFUNCTION("GOOGLETRANSLATE(D80, ""en"", ""hi"")"),"ए) खिलाड़ी ए")</f>
        <v>ए) खिलाड़ी ए</v>
      </c>
    </row>
    <row r="81" ht="22.5" customHeight="1">
      <c r="A81" s="2">
        <v>80.0</v>
      </c>
      <c r="B81" s="3" t="s">
        <v>4802</v>
      </c>
      <c r="C81" s="3" t="s">
        <v>4630</v>
      </c>
      <c r="D81" s="3" t="s">
        <v>4803</v>
      </c>
      <c r="F81" s="5" t="str">
        <f>IFERROR(__xludf.DUMMYFUNCTION("GOOGLETRANSLATE(A81, ""en"", ""hi"")"),"80")</f>
        <v>80</v>
      </c>
      <c r="G81" s="5" t="str">
        <f>IFERROR(__xludf.DUMMYFUNCTION("GOOGLETRANSLATE(B81, ""en"", ""hi"")"),"यदि खिलाड़ी C का शीर्ष 10 सेकंड तक घूमता है और खिलाड़ी D का शीर्ष 10 सेकंड तक घूमता है और खिलाड़ी C का शीर्ष ध्वनि उत्पन्न करता है, तो यदि कोई ध्वनि पसंद नहीं की जाती है तो कौन जीतता है?")</f>
        <v>यदि खिलाड़ी C का शीर्ष 10 सेकंड तक घूमता है और खिलाड़ी D का शीर्ष 10 सेकंड तक घूमता है और खिलाड़ी C का शीर्ष ध्वनि उत्पन्न करता है, तो यदि कोई ध्वनि पसंद नहीं की जाती है तो कौन जीतता है?</v>
      </c>
      <c r="H81" s="5" t="str">
        <f>IFERROR(__xludf.DUMMYFUNCTION("GOOGLETRANSLATE(C81, ""en"", ""hi"")"),"A) खिलाड़ी C, B) खिलाड़ी D, C) यह टाई है, D) उपरोक्त में से कोई नहीं")</f>
        <v>A) खिलाड़ी C, B) खिलाड़ी D, C) यह टाई है, D) उपरोक्त में से कोई नहीं</v>
      </c>
      <c r="I81" s="5" t="str">
        <f>IFERROR(__xludf.DUMMYFUNCTION("GOOGLETRANSLATE(D81, ""en"", ""hi"")"),"बी) खिलाड़ी डी")</f>
        <v>बी) खिलाड़ी डी</v>
      </c>
    </row>
    <row r="82" ht="22.5" customHeight="1">
      <c r="A82" s="2">
        <v>81.0</v>
      </c>
      <c r="B82" s="3" t="s">
        <v>4804</v>
      </c>
      <c r="C82" s="3" t="s">
        <v>4781</v>
      </c>
      <c r="D82" s="3" t="s">
        <v>4805</v>
      </c>
      <c r="F82" s="5" t="str">
        <f>IFERROR(__xludf.DUMMYFUNCTION("GOOGLETRANSLATE(A82, ""en"", ""hi"")"),"81")</f>
        <v>81</v>
      </c>
      <c r="G82" s="5" t="str">
        <f>IFERROR(__xludf.DUMMYFUNCTION("GOOGLETRANSLATE(B82, ""en"", ""hi"")"),"एक पम्बरम प्रतियोगिता के दौरान, खिलाड़ी E, अनियमित अंतराल पर, 7 सेकंड के लिए लट्टू घुमाता है और खिलाड़ी F, 7 सेकंड के लिए लट्टू घुमाता है। अगर खेल में लगातार घूमने के समय को महत्व दिया जाता है, तो कौन जीतता है?")</f>
        <v>एक पम्बरम प्रतियोगिता के दौरान, खिलाड़ी E, अनियमित अंतराल पर, 7 सेकंड के लिए लट्टू घुमाता है और खिलाड़ी F, 7 सेकंड के लिए लट्टू घुमाता है। अगर खेल में लगातार घूमने के समय को महत्व दिया जाता है, तो कौन जीतता है?</v>
      </c>
      <c r="H82" s="5" t="str">
        <f>IFERROR(__xludf.DUMMYFUNCTION("GOOGLETRANSLATE(C82, ""en"", ""hi"")"),"A) खिलाड़ी E, B) खिलाड़ी F, C) यह टाई है, D) उपरोक्त में से कोई नहीं")</f>
        <v>A) खिलाड़ी E, B) खिलाड़ी F, C) यह टाई है, D) उपरोक्त में से कोई नहीं</v>
      </c>
      <c r="I82" s="5" t="str">
        <f>IFERROR(__xludf.DUMMYFUNCTION("GOOGLETRANSLATE(D82, ""en"", ""hi"")"),"ए) खिलाड़ी ई")</f>
        <v>ए) खिलाड़ी ई</v>
      </c>
    </row>
    <row r="83" ht="22.5" customHeight="1">
      <c r="A83" s="2">
        <v>82.0</v>
      </c>
      <c r="B83" s="3" t="s">
        <v>4806</v>
      </c>
      <c r="C83" s="3" t="s">
        <v>4783</v>
      </c>
      <c r="D83" s="3" t="s">
        <v>4637</v>
      </c>
      <c r="F83" s="5" t="str">
        <f>IFERROR(__xludf.DUMMYFUNCTION("GOOGLETRANSLATE(A83, ""en"", ""hi"")"),"82")</f>
        <v>82</v>
      </c>
      <c r="G83" s="5" t="str">
        <f>IFERROR(__xludf.DUMMYFUNCTION("GOOGLETRANSLATE(B83, ""en"", ""hi"")"),"खिलाड़ी G गेंद के ऊपरी हिस्से को 14 सेकंड तक घुमाता है और खिलाड़ी H गेंद के ऊपरी हिस्से को 14 सेकंड तक घुमाता है। अगर खिलाड़ी H की गेंद का ऊपरी हिस्सा सीधा और खिलाड़ी G की गेंद का ऊपरी हिस्सा तिरछा होकर गिरता है, तो अगर सीधा गिरना पसंद किया जाता है, तो कौ"&amp;"न जीतता है?")</f>
        <v>खिलाड़ी G गेंद के ऊपरी हिस्से को 14 सेकंड तक घुमाता है और खिलाड़ी H गेंद के ऊपरी हिस्से को 14 सेकंड तक घुमाता है। अगर खिलाड़ी H की गेंद का ऊपरी हिस्सा सीधा और खिलाड़ी G की गेंद का ऊपरी हिस्सा तिरछा होकर गिरता है, तो अगर सीधा गिरना पसंद किया जाता है, तो कौन जीतता है?</v>
      </c>
      <c r="H83" s="5" t="str">
        <f>IFERROR(__xludf.DUMMYFUNCTION("GOOGLETRANSLATE(C83, ""en"", ""hi"")"),"A) खिलाड़ी G, B) खिलाड़ी H, C) यह टाई है, D) उपरोक्त में से कोई नहीं")</f>
        <v>A) खिलाड़ी G, B) खिलाड़ी H, C) यह टाई है, D) उपरोक्त में से कोई नहीं</v>
      </c>
      <c r="I83" s="5" t="str">
        <f>IFERROR(__xludf.DUMMYFUNCTION("GOOGLETRANSLATE(D83, ""en"", ""hi"")"),"बी) खिलाड़ी एच")</f>
        <v>बी) खिलाड़ी एच</v>
      </c>
    </row>
    <row r="84" ht="22.5" customHeight="1">
      <c r="A84" s="2">
        <v>83.0</v>
      </c>
      <c r="B84" s="3" t="s">
        <v>4807</v>
      </c>
      <c r="C84" s="3" t="s">
        <v>4639</v>
      </c>
      <c r="D84" s="3" t="s">
        <v>4640</v>
      </c>
      <c r="F84" s="5" t="str">
        <f>IFERROR(__xludf.DUMMYFUNCTION("GOOGLETRANSLATE(A84, ""en"", ""hi"")"),"83")</f>
        <v>83</v>
      </c>
      <c r="G84" s="5" t="str">
        <f>IFERROR(__xludf.DUMMYFUNCTION("GOOGLETRANSLATE(B84, ""en"", ""hi"")"),"यदि खिलाड़ी I का शीर्ष 6 सेकंड तक घूमता है और खिलाड़ी J का शीर्ष 6 सेकंड तक घूमता है, लेकिन खिलाड़ी J का शीर्ष थोड़ा डगमगाता है, तो स्थिरता को प्राथमिकता देने पर कौन जीतता है?")</f>
        <v>यदि खिलाड़ी I का शीर्ष 6 सेकंड तक घूमता है और खिलाड़ी J का शीर्ष 6 सेकंड तक घूमता है, लेकिन खिलाड़ी J का शीर्ष थोड़ा डगमगाता है, तो स्थिरता को प्राथमिकता देने पर कौन जीतता है?</v>
      </c>
      <c r="H84" s="5" t="str">
        <f>IFERROR(__xludf.DUMMYFUNCTION("GOOGLETRANSLATE(C84, ""en"", ""hi"")"),"A) खिलाड़ी I, B) खिलाड़ी J, C) यह टाई है, D) उपरोक्त में से कोई नहीं")</f>
        <v>A) खिलाड़ी I, B) खिलाड़ी J, C) यह टाई है, D) उपरोक्त में से कोई नहीं</v>
      </c>
      <c r="I84" s="5" t="str">
        <f>IFERROR(__xludf.DUMMYFUNCTION("GOOGLETRANSLATE(D84, ""en"", ""hi"")"),"ए) खिलाड़ी I")</f>
        <v>ए) खिलाड़ी I</v>
      </c>
    </row>
    <row r="85" ht="22.5" customHeight="1">
      <c r="A85" s="2">
        <v>84.0</v>
      </c>
      <c r="B85" s="3" t="s">
        <v>4808</v>
      </c>
      <c r="C85" s="3" t="s">
        <v>4642</v>
      </c>
      <c r="D85" s="3" t="s">
        <v>4643</v>
      </c>
      <c r="F85" s="5" t="str">
        <f>IFERROR(__xludf.DUMMYFUNCTION("GOOGLETRANSLATE(A85, ""en"", ""hi"")"),"84")</f>
        <v>84</v>
      </c>
      <c r="G85" s="5" t="str">
        <f>IFERROR(__xludf.DUMMYFUNCTION("GOOGLETRANSLATE(B85, ""en"", ""hi"")"),"पम्बरम मैच के दौरान, खिलाड़ी K गेंद के ऊपरी हिस्से को 8 सेकंड तक घुमाता है और खिलाड़ी L गेंद के ऊपरी हिस्से को 8 सेकंड तक घुमाता है। यदि खिलाड़ी K की गेंद से आवाज़ आती है और खिलाड़ी L की गेंद आसानी से घूमती है, तो अगर गेंद के सुचारू रूप से घूमने को प्राथम"&amp;"िकता दी जाती है, तो कौन जीतता है?")</f>
        <v>पम्बरम मैच के दौरान, खिलाड़ी K गेंद के ऊपरी हिस्से को 8 सेकंड तक घुमाता है और खिलाड़ी L गेंद के ऊपरी हिस्से को 8 सेकंड तक घुमाता है। यदि खिलाड़ी K की गेंद से आवाज़ आती है और खिलाड़ी L की गेंद आसानी से घूमती है, तो अगर गेंद के सुचारू रूप से घूमने को प्राथमिकता दी जाती है, तो कौन जीतता है?</v>
      </c>
      <c r="H85" s="5" t="str">
        <f>IFERROR(__xludf.DUMMYFUNCTION("GOOGLETRANSLATE(C85, ""en"", ""hi"")"),"A) खिलाड़ी K, B) खिलाड़ी L, C) यह टाई है, D) उपरोक्त में से कोई नहीं")</f>
        <v>A) खिलाड़ी K, B) खिलाड़ी L, C) यह टाई है, D) उपरोक्त में से कोई नहीं</v>
      </c>
      <c r="I85" s="5" t="str">
        <f>IFERROR(__xludf.DUMMYFUNCTION("GOOGLETRANSLATE(D85, ""en"", ""hi"")"),"बी) खिलाड़ी एल")</f>
        <v>बी) खिलाड़ी एल</v>
      </c>
    </row>
    <row r="86" ht="22.5" customHeight="1">
      <c r="A86" s="2">
        <v>85.0</v>
      </c>
      <c r="B86" s="3" t="s">
        <v>4809</v>
      </c>
      <c r="C86" s="3" t="s">
        <v>4790</v>
      </c>
      <c r="D86" s="3" t="s">
        <v>4791</v>
      </c>
      <c r="F86" s="5" t="str">
        <f>IFERROR(__xludf.DUMMYFUNCTION("GOOGLETRANSLATE(A86, ""en"", ""hi"")"),"85")</f>
        <v>85</v>
      </c>
      <c r="G86" s="5" t="str">
        <f>IFERROR(__xludf.DUMMYFUNCTION("GOOGLETRANSLATE(B86, ""en"", ""hi"")"),"खिलाड़ी M का लट्ठा 9 सेकंड तक घूमता है और गिर जाता है, और खिलाड़ी N का लट्ठा 9 सेकंड तक घूमता है लेकिन तिरछा होकर ज़मीन पर गिरता है। अगर खेल में सीधा उतरने को महत्व दिया जाता है, तो कौन जीतता है?")</f>
        <v>खिलाड़ी M का लट्ठा 9 सेकंड तक घूमता है और गिर जाता है, और खिलाड़ी N का लट्ठा 9 सेकंड तक घूमता है लेकिन तिरछा होकर ज़मीन पर गिरता है। अगर खेल में सीधा उतरने को महत्व दिया जाता है, तो कौन जीतता है?</v>
      </c>
      <c r="H86" s="5" t="str">
        <f>IFERROR(__xludf.DUMMYFUNCTION("GOOGLETRANSLATE(C86, ""en"", ""hi"")"),"A) खिलाड़ी M, B) खिलाड़ी N, C) यह टाई है, D) उपरोक्त में से कोई नहीं")</f>
        <v>A) खिलाड़ी M, B) खिलाड़ी N, C) यह टाई है, D) उपरोक्त में से कोई नहीं</v>
      </c>
      <c r="I86" s="5" t="str">
        <f>IFERROR(__xludf.DUMMYFUNCTION("GOOGLETRANSLATE(D86, ""en"", ""hi"")"),"ए) खिलाड़ी एम")</f>
        <v>ए) खिलाड़ी एम</v>
      </c>
    </row>
    <row r="87" ht="22.5" customHeight="1">
      <c r="A87" s="2">
        <v>86.0</v>
      </c>
      <c r="B87" s="3" t="s">
        <v>4810</v>
      </c>
      <c r="C87" s="3" t="s">
        <v>4648</v>
      </c>
      <c r="D87" s="3" t="s">
        <v>4793</v>
      </c>
      <c r="F87" s="5" t="str">
        <f>IFERROR(__xludf.DUMMYFUNCTION("GOOGLETRANSLATE(A87, ""en"", ""hi"")"),"86")</f>
        <v>86</v>
      </c>
      <c r="G87" s="5" t="str">
        <f>IFERROR(__xludf.DUMMYFUNCTION("GOOGLETRANSLATE(B87, ""en"", ""hi"")"),"यदि खिलाड़ी O का शीर्ष 12 सेकंड तक घूमता है और खिलाड़ी P का शीर्ष 12 सेकंड तक घूमता है, लेकिन खिलाड़ी O का शीर्ष झुका हुआ होता है, तो यदि सीधा उतरना पसंद किया जाता है तो कौन जीतता है?")</f>
        <v>यदि खिलाड़ी O का शीर्ष 12 सेकंड तक घूमता है और खिलाड़ी P का शीर्ष 12 सेकंड तक घूमता है, लेकिन खिलाड़ी O का शीर्ष झुका हुआ होता है, तो यदि सीधा उतरना पसंद किया जाता है तो कौन जीतता है?</v>
      </c>
      <c r="H87" s="5" t="str">
        <f>IFERROR(__xludf.DUMMYFUNCTION("GOOGLETRANSLATE(C87, ""en"", ""hi"")"),"A) खिलाड़ी O, B) खिलाड़ी P, C) यह टाई है, D) उपरोक्त में से कोई नहीं")</f>
        <v>A) खिलाड़ी O, B) खिलाड़ी P, C) यह टाई है, D) उपरोक्त में से कोई नहीं</v>
      </c>
      <c r="I87" s="5" t="str">
        <f>IFERROR(__xludf.DUMMYFUNCTION("GOOGLETRANSLATE(D87, ""en"", ""hi"")"),"बी) खिलाड़ी पी")</f>
        <v>बी) खिलाड़ी पी</v>
      </c>
    </row>
    <row r="88" ht="22.5" customHeight="1">
      <c r="A88" s="2">
        <v>87.0</v>
      </c>
      <c r="B88" s="3" t="s">
        <v>4811</v>
      </c>
      <c r="C88" s="3" t="s">
        <v>4651</v>
      </c>
      <c r="D88" s="3" t="s">
        <v>4652</v>
      </c>
      <c r="F88" s="5" t="str">
        <f>IFERROR(__xludf.DUMMYFUNCTION("GOOGLETRANSLATE(A88, ""en"", ""hi"")"),"87")</f>
        <v>87</v>
      </c>
      <c r="G88" s="5" t="str">
        <f>IFERROR(__xludf.DUMMYFUNCTION("GOOGLETRANSLATE(B88, ""en"", ""hi"")"),"पम्बरम प्रतियोगिता के दौरान, खिलाड़ी Q 10 सेकंड के लिए ऊपरी भाग को घुमाता है और खिलाड़ी R 10 सेकंड के लिए ऊपरी भाग को बीच-बीच में हिलते-डुलते हुए घुमाता है। अगर खेल में स्थिरता को महत्व दिया जाता है, तो कौन जीतता है?")</f>
        <v>पम्बरम प्रतियोगिता के दौरान, खिलाड़ी Q 10 सेकंड के लिए ऊपरी भाग को घुमाता है और खिलाड़ी R 10 सेकंड के लिए ऊपरी भाग को बीच-बीच में हिलते-डुलते हुए घुमाता है। अगर खेल में स्थिरता को महत्व दिया जाता है, तो कौन जीतता है?</v>
      </c>
      <c r="H88" s="5" t="str">
        <f>IFERROR(__xludf.DUMMYFUNCTION("GOOGLETRANSLATE(C88, ""en"", ""hi"")"),"A) खिलाड़ी Q, B) खिलाड़ी R, C) यह टाई है, D) उपरोक्त में से कोई नहीं")</f>
        <v>A) खिलाड़ी Q, B) खिलाड़ी R, C) यह टाई है, D) उपरोक्त में से कोई नहीं</v>
      </c>
      <c r="I88" s="5" t="str">
        <f>IFERROR(__xludf.DUMMYFUNCTION("GOOGLETRANSLATE(D88, ""en"", ""hi"")"),"ए) खिलाड़ी क्यू")</f>
        <v>ए) खिलाड़ी क्यू</v>
      </c>
    </row>
    <row r="89" ht="22.5" customHeight="1">
      <c r="A89" s="2">
        <v>88.0</v>
      </c>
      <c r="B89" s="3" t="s">
        <v>4812</v>
      </c>
      <c r="C89" s="3" t="s">
        <v>4654</v>
      </c>
      <c r="D89" s="3" t="s">
        <v>4655</v>
      </c>
      <c r="F89" s="5" t="str">
        <f>IFERROR(__xludf.DUMMYFUNCTION("GOOGLETRANSLATE(A89, ""en"", ""hi"")"),"88")</f>
        <v>88</v>
      </c>
      <c r="G89" s="5" t="str">
        <f>IFERROR(__xludf.DUMMYFUNCTION("GOOGLETRANSLATE(B89, ""en"", ""hi"")"),"खिलाड़ी S गेंद के ऊपरी हिस्से को 11 सेकंड तक घुमाता है और खिलाड़ी T गेंद के ऊपरी हिस्से को 11 सेकंड तक घुमाता है। अगर खिलाड़ी T की गेंद का ऊपरी हिस्सा सीधा और खिलाड़ी S की गेंद का ऊपरी हिस्सा तिरछा होकर गिरता है, तो अगर सीधा गिरना पसंद किया जाता है, तो कौ"&amp;"न जीतेगा?")</f>
        <v>खिलाड़ी S गेंद के ऊपरी हिस्से को 11 सेकंड तक घुमाता है और खिलाड़ी T गेंद के ऊपरी हिस्से को 11 सेकंड तक घुमाता है। अगर खिलाड़ी T की गेंद का ऊपरी हिस्सा सीधा और खिलाड़ी S की गेंद का ऊपरी हिस्सा तिरछा होकर गिरता है, तो अगर सीधा गिरना पसंद किया जाता है, तो कौन जीतेगा?</v>
      </c>
      <c r="H89" s="5" t="str">
        <f>IFERROR(__xludf.DUMMYFUNCTION("GOOGLETRANSLATE(C89, ""en"", ""hi"")"),"A) खिलाड़ी S, B) खिलाड़ी T, C) यह टाई है, D) उपरोक्त में से कोई नहीं")</f>
        <v>A) खिलाड़ी S, B) खिलाड़ी T, C) यह टाई है, D) उपरोक्त में से कोई नहीं</v>
      </c>
      <c r="I89" s="5" t="str">
        <f>IFERROR(__xludf.DUMMYFUNCTION("GOOGLETRANSLATE(D89, ""en"", ""hi"")"),"बी) खिलाड़ी टी")</f>
        <v>बी) खिलाड़ी टी</v>
      </c>
    </row>
    <row r="90" ht="22.5" customHeight="1">
      <c r="A90" s="2">
        <v>89.0</v>
      </c>
      <c r="B90" s="3" t="s">
        <v>4813</v>
      </c>
      <c r="C90" s="3" t="s">
        <v>4657</v>
      </c>
      <c r="D90" s="3" t="s">
        <v>4814</v>
      </c>
      <c r="F90" s="5" t="str">
        <f>IFERROR(__xludf.DUMMYFUNCTION("GOOGLETRANSLATE(A90, ""en"", ""hi"")"),"89")</f>
        <v>89</v>
      </c>
      <c r="G90" s="5" t="str">
        <f>IFERROR(__xludf.DUMMYFUNCTION("GOOGLETRANSLATE(B90, ""en"", ""hi"")"),"यदि खिलाड़ी U का शीर्ष 13 सेकंड तक घूमता है और खिलाड़ी V का शीर्ष 13 सेकंड तक घूमता है और खिलाड़ी U का शीर्ष ध्वनि उत्पन्न करता है, तो यदि कोई ध्वनि पसंद नहीं की जाती है तो कौन जीतता है?")</f>
        <v>यदि खिलाड़ी U का शीर्ष 13 सेकंड तक घूमता है और खिलाड़ी V का शीर्ष 13 सेकंड तक घूमता है और खिलाड़ी U का शीर्ष ध्वनि उत्पन्न करता है, तो यदि कोई ध्वनि पसंद नहीं की जाती है तो कौन जीतता है?</v>
      </c>
      <c r="H90" s="5" t="str">
        <f>IFERROR(__xludf.DUMMYFUNCTION("GOOGLETRANSLATE(C90, ""en"", ""hi"")"),"A) खिलाड़ी U, B) खिलाड़ी V, C) यह एक टाई है, D) उपरोक्त में से कोई नहीं")</f>
        <v>A) खिलाड़ी U, B) खिलाड़ी V, C) यह एक टाई है, D) उपरोक्त में से कोई नहीं</v>
      </c>
      <c r="I90" s="5" t="str">
        <f>IFERROR(__xludf.DUMMYFUNCTION("GOOGLETRANSLATE(D90, ""en"", ""hi"")"),"बी) खिलाड़ी वी")</f>
        <v>बी) खिलाड़ी वी</v>
      </c>
    </row>
    <row r="91" ht="22.5" customHeight="1">
      <c r="A91" s="2">
        <v>90.0</v>
      </c>
      <c r="B91" s="3" t="s">
        <v>4815</v>
      </c>
      <c r="C91" s="3" t="s">
        <v>4660</v>
      </c>
      <c r="D91" s="3" t="s">
        <v>4816</v>
      </c>
      <c r="F91" s="5" t="str">
        <f>IFERROR(__xludf.DUMMYFUNCTION("GOOGLETRANSLATE(A91, ""en"", ""hi"")"),"90")</f>
        <v>90</v>
      </c>
      <c r="G91" s="5" t="str">
        <f>IFERROR(__xludf.DUMMYFUNCTION("GOOGLETRANSLATE(B91, ""en"", ""hi"")"),"पम्बरम मैच के दौरान, खिलाड़ी W, अनियमित अंतराल पर, 8 सेकंड के लिए ऊपरी भाग को घुमाता है और खिलाड़ी X, अनियमित अंतराल पर 8 सेकंड के लिए ऊपरी भाग को घुमाता है। अगर खेल में लगातार घूमने के समय को महत्व दिया जाता है, तो कौन जीतता है?")</f>
        <v>पम्बरम मैच के दौरान, खिलाड़ी W, अनियमित अंतराल पर, 8 सेकंड के लिए ऊपरी भाग को घुमाता है और खिलाड़ी X, अनियमित अंतराल पर 8 सेकंड के लिए ऊपरी भाग को घुमाता है। अगर खेल में लगातार घूमने के समय को महत्व दिया जाता है, तो कौन जीतता है?</v>
      </c>
      <c r="H91" s="5" t="str">
        <f>IFERROR(__xludf.DUMMYFUNCTION("GOOGLETRANSLATE(C91, ""en"", ""hi"")"),"A) खिलाड़ी W, B) खिलाड़ी X, C) यह टाई है, D) उपरोक्त में से कोई नहीं")</f>
        <v>A) खिलाड़ी W, B) खिलाड़ी X, C) यह टाई है, D) उपरोक्त में से कोई नहीं</v>
      </c>
      <c r="I91" s="5" t="str">
        <f>IFERROR(__xludf.DUMMYFUNCTION("GOOGLETRANSLATE(D91, ""en"", ""hi"")"),"A) खिलाड़ी W")</f>
        <v>A) खिलाड़ी W</v>
      </c>
    </row>
    <row r="92" ht="22.5" customHeight="1">
      <c r="A92" s="2">
        <v>91.0</v>
      </c>
      <c r="B92" s="3" t="s">
        <v>4817</v>
      </c>
      <c r="C92" s="3" t="s">
        <v>4663</v>
      </c>
      <c r="D92" s="3" t="s">
        <v>4800</v>
      </c>
      <c r="F92" s="5" t="str">
        <f>IFERROR(__xludf.DUMMYFUNCTION("GOOGLETRANSLATE(A92, ""en"", ""hi"")"),"91")</f>
        <v>91</v>
      </c>
      <c r="G92" s="5" t="str">
        <f>IFERROR(__xludf.DUMMYFUNCTION("GOOGLETRANSLATE(B92, ""en"", ""hi"")"),"खिलाड़ी Y गेंद के ऊपरी हिस्से को 7 सेकंड तक घुमाता है और खिलाड़ी Z गेंद के ऊपरी हिस्से को 7 सेकंड तक घुमाता है। अगर खिलाड़ी Y की गेंद का ऊपरी हिस्सा झुका हुआ और खिलाड़ी Z की गेंद का ऊपरी हिस्सा सीधा गिरता है, तो अगर सीधा गिरना पसंद किया जाता है, तो कौन जी"&amp;"तता है?")</f>
        <v>खिलाड़ी Y गेंद के ऊपरी हिस्से को 7 सेकंड तक घुमाता है और खिलाड़ी Z गेंद के ऊपरी हिस्से को 7 सेकंड तक घुमाता है। अगर खिलाड़ी Y की गेंद का ऊपरी हिस्सा झुका हुआ और खिलाड़ी Z की गेंद का ऊपरी हिस्सा सीधा गिरता है, तो अगर सीधा गिरना पसंद किया जाता है, तो कौन जीतता है?</v>
      </c>
      <c r="H92" s="5" t="str">
        <f>IFERROR(__xludf.DUMMYFUNCTION("GOOGLETRANSLATE(C92, ""en"", ""hi"")"),"A) खिलाड़ी Y, B) खिलाड़ी Z, C) यह टाई है, D) उपरोक्त में से कोई नहीं")</f>
        <v>A) खिलाड़ी Y, B) खिलाड़ी Z, C) यह टाई है, D) उपरोक्त में से कोई नहीं</v>
      </c>
      <c r="I92" s="5" t="str">
        <f>IFERROR(__xludf.DUMMYFUNCTION("GOOGLETRANSLATE(D92, ""en"", ""hi"")"),"बी) खिलाड़ी जेड")</f>
        <v>बी) खिलाड़ी जेड</v>
      </c>
    </row>
    <row r="93" ht="22.5" customHeight="1">
      <c r="A93" s="2">
        <v>92.0</v>
      </c>
      <c r="B93" s="3" t="s">
        <v>4818</v>
      </c>
      <c r="C93" s="3" t="s">
        <v>4627</v>
      </c>
      <c r="D93" s="3" t="s">
        <v>4778</v>
      </c>
      <c r="F93" s="5" t="str">
        <f>IFERROR(__xludf.DUMMYFUNCTION("GOOGLETRANSLATE(A93, ""en"", ""hi"")"),"92")</f>
        <v>92</v>
      </c>
      <c r="G93" s="5" t="str">
        <f>IFERROR(__xludf.DUMMYFUNCTION("GOOGLETRANSLATE(B93, ""en"", ""hi"")"),"यदि खिलाड़ी A का शीर्ष 12 सेकंड तक घूमता है और खिलाड़ी B का शीर्ष 12 सेकंड तक घूमता है, लेकिन खिलाड़ी A का शीर्ष थोड़ा डगमगाता है, तो यदि चिकनाई को प्राथमिकता दी जाती है तो कौन जीतता है?")</f>
        <v>यदि खिलाड़ी A का शीर्ष 12 सेकंड तक घूमता है और खिलाड़ी B का शीर्ष 12 सेकंड तक घूमता है, लेकिन खिलाड़ी A का शीर्ष थोड़ा डगमगाता है, तो यदि चिकनाई को प्राथमिकता दी जाती है तो कौन जीतता है?</v>
      </c>
      <c r="H93" s="5" t="str">
        <f>IFERROR(__xludf.DUMMYFUNCTION("GOOGLETRANSLATE(C93, ""en"", ""hi"")"),"A) खिलाड़ी A, B) खिलाड़ी B, C) यह टाई है, D) उपरोक्त में से कोई नहीं")</f>
        <v>A) खिलाड़ी A, B) खिलाड़ी B, C) यह टाई है, D) उपरोक्त में से कोई नहीं</v>
      </c>
      <c r="I93" s="5" t="str">
        <f>IFERROR(__xludf.DUMMYFUNCTION("GOOGLETRANSLATE(D93, ""en"", ""hi"")"),"बी) खिलाड़ी बी")</f>
        <v>बी) खिलाड़ी बी</v>
      </c>
    </row>
    <row r="94" ht="22.5" customHeight="1">
      <c r="A94" s="2">
        <v>93.0</v>
      </c>
      <c r="B94" s="3" t="s">
        <v>4819</v>
      </c>
      <c r="C94" s="3" t="s">
        <v>4630</v>
      </c>
      <c r="D94" s="3" t="s">
        <v>4803</v>
      </c>
      <c r="F94" s="5" t="str">
        <f>IFERROR(__xludf.DUMMYFUNCTION("GOOGLETRANSLATE(A94, ""en"", ""hi"")"),"93")</f>
        <v>93</v>
      </c>
      <c r="G94" s="5" t="str">
        <f>IFERROR(__xludf.DUMMYFUNCTION("GOOGLETRANSLATE(B94, ""en"", ""hi"")"),"पम्बरम प्रतियोगिता के दौरान, खिलाड़ी C 10 सेकंड के लिए गेंद की ऊपरी सतह को घुमाता है और खिलाड़ी D 10 सेकंड के लिए गेंद की ऊपरी सतह को घुमाता है। अगर खिलाड़ी C की गेंद की ऊपरी सतह झुकी हुई और खिलाड़ी D की गेंद की ऊपरी सतह सीधी हो, तो अगर सीधी लैंडिंग पसंद "&amp;"की जाती है, तो कौन जीतता है?")</f>
        <v>पम्बरम प्रतियोगिता के दौरान, खिलाड़ी C 10 सेकंड के लिए गेंद की ऊपरी सतह को घुमाता है और खिलाड़ी D 10 सेकंड के लिए गेंद की ऊपरी सतह को घुमाता है। अगर खिलाड़ी C की गेंद की ऊपरी सतह झुकी हुई और खिलाड़ी D की गेंद की ऊपरी सतह सीधी हो, तो अगर सीधी लैंडिंग पसंद की जाती है, तो कौन जीतता है?</v>
      </c>
      <c r="H94" s="5" t="str">
        <f>IFERROR(__xludf.DUMMYFUNCTION("GOOGLETRANSLATE(C94, ""en"", ""hi"")"),"A) खिलाड़ी C, B) खिलाड़ी D, C) यह टाई है, D) उपरोक्त में से कोई नहीं")</f>
        <v>A) खिलाड़ी C, B) खिलाड़ी D, C) यह टाई है, D) उपरोक्त में से कोई नहीं</v>
      </c>
      <c r="I94" s="5" t="str">
        <f>IFERROR(__xludf.DUMMYFUNCTION("GOOGLETRANSLATE(D94, ""en"", ""hi"")"),"बी) खिलाड़ी डी")</f>
        <v>बी) खिलाड़ी डी</v>
      </c>
    </row>
    <row r="95" ht="22.5" customHeight="1">
      <c r="A95" s="2">
        <v>94.0</v>
      </c>
      <c r="B95" s="3" t="s">
        <v>4820</v>
      </c>
      <c r="C95" s="3" t="s">
        <v>4781</v>
      </c>
      <c r="D95" s="3" t="s">
        <v>4634</v>
      </c>
      <c r="F95" s="5" t="str">
        <f>IFERROR(__xludf.DUMMYFUNCTION("GOOGLETRANSLATE(A95, ""en"", ""hi"")"),"94")</f>
        <v>94</v>
      </c>
      <c r="G95" s="5" t="str">
        <f>IFERROR(__xludf.DUMMYFUNCTION("GOOGLETRANSLATE(B95, ""en"", ""hi"")"),"खिलाड़ी E का लट्टू 9 सेकंड तक घूमता है और खिलाड़ी F का लट्टू भी 9 सेकंड तक घूमता है। अगर खिलाड़ी E का लट्टू ध्वनि करता है और खिलाड़ी F का लट्टू आसानी से घूमता है, तो अगर आसानी को प्राथमिकता दी जाए तो कौन जीतेगा?")</f>
        <v>खिलाड़ी E का लट्टू 9 सेकंड तक घूमता है और खिलाड़ी F का लट्टू भी 9 सेकंड तक घूमता है। अगर खिलाड़ी E का लट्टू ध्वनि करता है और खिलाड़ी F का लट्टू आसानी से घूमता है, तो अगर आसानी को प्राथमिकता दी जाए तो कौन जीतेगा?</v>
      </c>
      <c r="H95" s="5" t="str">
        <f>IFERROR(__xludf.DUMMYFUNCTION("GOOGLETRANSLATE(C95, ""en"", ""hi"")"),"A) खिलाड़ी E, B) खिलाड़ी F, C) यह टाई है, D) उपरोक्त में से कोई नहीं")</f>
        <v>A) खिलाड़ी E, B) खिलाड़ी F, C) यह टाई है, D) उपरोक्त में से कोई नहीं</v>
      </c>
      <c r="I95" s="5" t="str">
        <f>IFERROR(__xludf.DUMMYFUNCTION("GOOGLETRANSLATE(D95, ""en"", ""hi"")"),"बी) खिलाड़ी एफ")</f>
        <v>बी) खिलाड़ी एफ</v>
      </c>
    </row>
    <row r="96" ht="22.5" customHeight="1">
      <c r="A96" s="2">
        <v>95.0</v>
      </c>
      <c r="B96" s="3" t="s">
        <v>4821</v>
      </c>
      <c r="C96" s="3" t="s">
        <v>4783</v>
      </c>
      <c r="D96" s="3" t="s">
        <v>4784</v>
      </c>
      <c r="F96" s="5" t="str">
        <f>IFERROR(__xludf.DUMMYFUNCTION("GOOGLETRANSLATE(A96, ""en"", ""hi"")"),"95")</f>
        <v>95</v>
      </c>
      <c r="G96" s="5" t="str">
        <f>IFERROR(__xludf.DUMMYFUNCTION("GOOGLETRANSLATE(B96, ""en"", ""hi"")"),"यदि खिलाड़ी जी का शीर्ष 11 सेकंड तक घूमता है और खिलाड़ी एच का शीर्ष कभी-कभी डगमगाते हुए 11 सेकंड तक घूमता है, तो स्थिरता को प्राथमिकता देने पर कौन जीतता है?")</f>
        <v>यदि खिलाड़ी जी का शीर्ष 11 सेकंड तक घूमता है और खिलाड़ी एच का शीर्ष कभी-कभी डगमगाते हुए 11 सेकंड तक घूमता है, तो स्थिरता को प्राथमिकता देने पर कौन जीतता है?</v>
      </c>
      <c r="H96" s="5" t="str">
        <f>IFERROR(__xludf.DUMMYFUNCTION("GOOGLETRANSLATE(C96, ""en"", ""hi"")"),"A) खिलाड़ी G, B) खिलाड़ी H, C) यह टाई है, D) उपरोक्त में से कोई नहीं")</f>
        <v>A) खिलाड़ी G, B) खिलाड़ी H, C) यह टाई है, D) उपरोक्त में से कोई नहीं</v>
      </c>
      <c r="I96" s="5" t="str">
        <f>IFERROR(__xludf.DUMMYFUNCTION("GOOGLETRANSLATE(D96, ""en"", ""hi"")"),"ए) खिलाड़ी जी")</f>
        <v>ए) खिलाड़ी जी</v>
      </c>
    </row>
    <row r="97" ht="22.5" customHeight="1">
      <c r="A97" s="2">
        <v>96.0</v>
      </c>
      <c r="B97" s="3" t="s">
        <v>4822</v>
      </c>
      <c r="C97" s="3" t="s">
        <v>4639</v>
      </c>
      <c r="D97" s="3" t="s">
        <v>4640</v>
      </c>
      <c r="F97" s="5" t="str">
        <f>IFERROR(__xludf.DUMMYFUNCTION("GOOGLETRANSLATE(A97, ""en"", ""hi"")"),"96")</f>
        <v>96</v>
      </c>
      <c r="G97" s="5" t="str">
        <f>IFERROR(__xludf.DUMMYFUNCTION("GOOGLETRANSLATE(B97, ""en"", ""hi"")"),"पम्बरम मैच के दौरान, खिलाड़ी I का टॉप 8 सेकंड तक घूमता है और खिलाड़ी J का टॉप भी 8 सेकंड तक घूमता है। अगर खिलाड़ी I का टॉप सीधा और खिलाड़ी J का टॉप तिरछा होकर गिरता है, तो अगर सीधा गिरना पसंद किया जाता है, तो कौन जीतता है?")</f>
        <v>पम्बरम मैच के दौरान, खिलाड़ी I का टॉप 8 सेकंड तक घूमता है और खिलाड़ी J का टॉप भी 8 सेकंड तक घूमता है। अगर खिलाड़ी I का टॉप सीधा और खिलाड़ी J का टॉप तिरछा होकर गिरता है, तो अगर सीधा गिरना पसंद किया जाता है, तो कौन जीतता है?</v>
      </c>
      <c r="H97" s="5" t="str">
        <f>IFERROR(__xludf.DUMMYFUNCTION("GOOGLETRANSLATE(C97, ""en"", ""hi"")"),"A) खिलाड़ी I, B) खिलाड़ी J, C) यह टाई है, D) उपरोक्त में से कोई नहीं")</f>
        <v>A) खिलाड़ी I, B) खिलाड़ी J, C) यह टाई है, D) उपरोक्त में से कोई नहीं</v>
      </c>
      <c r="I97" s="5" t="str">
        <f>IFERROR(__xludf.DUMMYFUNCTION("GOOGLETRANSLATE(D97, ""en"", ""hi"")"),"ए) खिलाड़ी I")</f>
        <v>ए) खिलाड़ी I</v>
      </c>
    </row>
    <row r="98" ht="22.5" customHeight="1">
      <c r="A98" s="2">
        <v>97.0</v>
      </c>
      <c r="B98" s="3" t="s">
        <v>4823</v>
      </c>
      <c r="C98" s="3" t="s">
        <v>4642</v>
      </c>
      <c r="D98" s="3" t="s">
        <v>4788</v>
      </c>
      <c r="F98" s="5" t="str">
        <f>IFERROR(__xludf.DUMMYFUNCTION("GOOGLETRANSLATE(A98, ""en"", ""hi"")"),"97")</f>
        <v>97</v>
      </c>
      <c r="G98" s="5" t="str">
        <f>IFERROR(__xludf.DUMMYFUNCTION("GOOGLETRANSLATE(B98, ""en"", ""hi"")"),"खिलाड़ी K, 12 सेकंड के लिए और खिलाड़ी L, अनियमित अंतराल पर 12 सेकंड के लिए ऊपरी भाग घुमाता है। अगर खेल में लगातार घूमने के समय को महत्व दिया जाता है, तो कौन जीतता है?")</f>
        <v>खिलाड़ी K, 12 सेकंड के लिए और खिलाड़ी L, अनियमित अंतराल पर 12 सेकंड के लिए ऊपरी भाग घुमाता है। अगर खेल में लगातार घूमने के समय को महत्व दिया जाता है, तो कौन जीतता है?</v>
      </c>
      <c r="H98" s="5" t="str">
        <f>IFERROR(__xludf.DUMMYFUNCTION("GOOGLETRANSLATE(C98, ""en"", ""hi"")"),"A) खिलाड़ी K, B) खिलाड़ी L, C) यह टाई है, D) उपरोक्त में से कोई नहीं")</f>
        <v>A) खिलाड़ी K, B) खिलाड़ी L, C) यह टाई है, D) उपरोक्त में से कोई नहीं</v>
      </c>
      <c r="I98" s="5" t="str">
        <f>IFERROR(__xludf.DUMMYFUNCTION("GOOGLETRANSLATE(D98, ""en"", ""hi"")"),"A) खिलाड़ी K")</f>
        <v>A) खिलाड़ी K</v>
      </c>
    </row>
    <row r="99" ht="22.5" customHeight="1">
      <c r="A99" s="2">
        <v>98.0</v>
      </c>
      <c r="B99" s="3" t="s">
        <v>4824</v>
      </c>
      <c r="C99" s="3" t="s">
        <v>4790</v>
      </c>
      <c r="D99" s="3" t="s">
        <v>4646</v>
      </c>
      <c r="F99" s="5" t="str">
        <f>IFERROR(__xludf.DUMMYFUNCTION("GOOGLETRANSLATE(A99, ""en"", ""hi"")"),"98")</f>
        <v>98</v>
      </c>
      <c r="G99" s="5" t="str">
        <f>IFERROR(__xludf.DUMMYFUNCTION("GOOGLETRANSLATE(B99, ""en"", ""hi"")"),"यदि खिलाड़ी एम का शीर्ष 14 सेकंड तक घूमता है और खिलाड़ी एन का शीर्ष 14 सेकंड तक घूमता है, लेकिन खिलाड़ी एम का शीर्ष थोड़ा हिलता है, तो यदि चिकनाई को प्राथमिकता दी जाती है तो कौन जीतता है?")</f>
        <v>यदि खिलाड़ी एम का शीर्ष 14 सेकंड तक घूमता है और खिलाड़ी एन का शीर्ष 14 सेकंड तक घूमता है, लेकिन खिलाड़ी एम का शीर्ष थोड़ा हिलता है, तो यदि चिकनाई को प्राथमिकता दी जाती है तो कौन जीतता है?</v>
      </c>
      <c r="H99" s="5" t="str">
        <f>IFERROR(__xludf.DUMMYFUNCTION("GOOGLETRANSLATE(C99, ""en"", ""hi"")"),"A) खिलाड़ी M, B) खिलाड़ी N, C) यह टाई है, D) उपरोक्त में से कोई नहीं")</f>
        <v>A) खिलाड़ी M, B) खिलाड़ी N, C) यह टाई है, D) उपरोक्त में से कोई नहीं</v>
      </c>
      <c r="I99" s="5" t="str">
        <f>IFERROR(__xludf.DUMMYFUNCTION("GOOGLETRANSLATE(D99, ""en"", ""hi"")"),"बी) खिलाड़ी एन")</f>
        <v>बी) खिलाड़ी एन</v>
      </c>
    </row>
    <row r="100" ht="22.5" customHeight="1">
      <c r="A100" s="2">
        <v>99.0</v>
      </c>
      <c r="B100" s="3" t="s">
        <v>4825</v>
      </c>
      <c r="C100" s="3" t="s">
        <v>4648</v>
      </c>
      <c r="D100" s="3" t="s">
        <v>4649</v>
      </c>
      <c r="F100" s="5" t="str">
        <f>IFERROR(__xludf.DUMMYFUNCTION("GOOGLETRANSLATE(A100, ""en"", ""hi"")"),"99")</f>
        <v>99</v>
      </c>
      <c r="G100" s="5" t="str">
        <f>IFERROR(__xludf.DUMMYFUNCTION("GOOGLETRANSLATE(B100, ""en"", ""hi"")"),"पम्बरम मैच के दौरान, खिलाड़ी O का टॉप 6 सेकंड तक घूमता है और खिलाड़ी P का टॉप अनियमित अंतराल पर 6 सेकंड तक घूमता है। अगर खेल में लगातार घूमने के समय को महत्व दिया जाता है, तो कौन जीतेगा?")</f>
        <v>पम्बरम मैच के दौरान, खिलाड़ी O का टॉप 6 सेकंड तक घूमता है और खिलाड़ी P का टॉप अनियमित अंतराल पर 6 सेकंड तक घूमता है। अगर खेल में लगातार घूमने के समय को महत्व दिया जाता है, तो कौन जीतेगा?</v>
      </c>
      <c r="H100" s="5" t="str">
        <f>IFERROR(__xludf.DUMMYFUNCTION("GOOGLETRANSLATE(C100, ""en"", ""hi"")"),"A) खिलाड़ी O, B) खिलाड़ी P, C) यह टाई है, D) उपरोक्त में से कोई नहीं")</f>
        <v>A) खिलाड़ी O, B) खिलाड़ी P, C) यह टाई है, D) उपरोक्त में से कोई नहीं</v>
      </c>
      <c r="I100" s="5" t="str">
        <f>IFERROR(__xludf.DUMMYFUNCTION("GOOGLETRANSLATE(D100, ""en"", ""hi"")"),"A) खिलाड़ी O")</f>
        <v>A) खिलाड़ी O</v>
      </c>
    </row>
    <row r="101" ht="22.5" customHeight="1">
      <c r="A101" s="2">
        <v>100.0</v>
      </c>
      <c r="B101" s="3" t="s">
        <v>4826</v>
      </c>
      <c r="C101" s="3" t="s">
        <v>4651</v>
      </c>
      <c r="D101" s="3" t="s">
        <v>4795</v>
      </c>
      <c r="F101" s="5" t="str">
        <f>IFERROR(__xludf.DUMMYFUNCTION("GOOGLETRANSLATE(A101, ""en"", ""hi"")"),"100")</f>
        <v>100</v>
      </c>
      <c r="G101" s="5" t="str">
        <f>IFERROR(__xludf.DUMMYFUNCTION("GOOGLETRANSLATE(B101, ""en"", ""hi"")"),"खिलाड़ी Q गेंद के ऊपरी हिस्से को 13 सेकंड तक घुमाता है और खिलाड़ी R गेंद के ऊपरी हिस्से को 13 सेकंड तक घुमाता है। अगर खिलाड़ी R की गेंद का ऊपरी हिस्सा सीधा और खिलाड़ी Q की गेंद का ऊपरी हिस्सा तिरछा होकर गिरता है, तो अगर सीधा गिरना पसंद किया जाता है, तो कौ"&amp;"न जीतता है?")</f>
        <v>खिलाड़ी Q गेंद के ऊपरी हिस्से को 13 सेकंड तक घुमाता है और खिलाड़ी R गेंद के ऊपरी हिस्से को 13 सेकंड तक घुमाता है। अगर खिलाड़ी R की गेंद का ऊपरी हिस्सा सीधा और खिलाड़ी Q की गेंद का ऊपरी हिस्सा तिरछा होकर गिरता है, तो अगर सीधा गिरना पसंद किया जाता है, तो कौन जीतता है?</v>
      </c>
      <c r="H101" s="5" t="str">
        <f>IFERROR(__xludf.DUMMYFUNCTION("GOOGLETRANSLATE(C101, ""en"", ""hi"")"),"A) खिलाड़ी Q, B) खिलाड़ी R, C) यह टाई है, D) उपरोक्त में से कोई नहीं")</f>
        <v>A) खिलाड़ी Q, B) खिलाड़ी R, C) यह टाई है, D) उपरोक्त में से कोई नहीं</v>
      </c>
      <c r="I101" s="5" t="str">
        <f>IFERROR(__xludf.DUMMYFUNCTION("GOOGLETRANSLATE(D101, ""en"", ""hi"")"),"बी) खिलाड़ी आर")</f>
        <v>बी) खिलाड़ी आर</v>
      </c>
    </row>
    <row r="102" ht="22.5" customHeight="1">
      <c r="A102" s="2">
        <v>101.0</v>
      </c>
      <c r="B102" s="3" t="s">
        <v>4827</v>
      </c>
      <c r="C102" s="3" t="s">
        <v>4654</v>
      </c>
      <c r="D102" s="3" t="s">
        <v>4828</v>
      </c>
      <c r="F102" s="5" t="str">
        <f>IFERROR(__xludf.DUMMYFUNCTION("GOOGLETRANSLATE(A102, ""en"", ""hi"")"),"101")</f>
        <v>101</v>
      </c>
      <c r="G102" s="5" t="str">
        <f>IFERROR(__xludf.DUMMYFUNCTION("GOOGLETRANSLATE(B102, ""en"", ""hi"")"),"यदि खिलाड़ी एस का शीर्ष 7 सेकंड तक घूमता है और खिलाड़ी टी का शीर्ष कभी-कभी डगमगाते हुए 7 सेकंड तक घूमता है, तो स्थिरता को प्राथमिकता देने पर कौन जीतता है?")</f>
        <v>यदि खिलाड़ी एस का शीर्ष 7 सेकंड तक घूमता है और खिलाड़ी टी का शीर्ष कभी-कभी डगमगाते हुए 7 सेकंड तक घूमता है, तो स्थिरता को प्राथमिकता देने पर कौन जीतता है?</v>
      </c>
      <c r="H102" s="5" t="str">
        <f>IFERROR(__xludf.DUMMYFUNCTION("GOOGLETRANSLATE(C102, ""en"", ""hi"")"),"A) खिलाड़ी S, B) खिलाड़ी T, C) यह टाई है, D) उपरोक्त में से कोई नहीं")</f>
        <v>A) खिलाड़ी S, B) खिलाड़ी T, C) यह टाई है, D) उपरोक्त में से कोई नहीं</v>
      </c>
      <c r="I102" s="5" t="str">
        <f>IFERROR(__xludf.DUMMYFUNCTION("GOOGLETRANSLATE(D102, ""en"", ""hi"")"),"ए) खिलाड़ी एस")</f>
        <v>ए) खिलाड़ी एस</v>
      </c>
    </row>
    <row r="103" ht="22.5" customHeight="1">
      <c r="A103" s="2">
        <v>102.0</v>
      </c>
      <c r="B103" s="3" t="s">
        <v>4829</v>
      </c>
      <c r="C103" s="3" t="s">
        <v>4657</v>
      </c>
      <c r="D103" s="3" t="s">
        <v>4814</v>
      </c>
      <c r="F103" s="5" t="str">
        <f>IFERROR(__xludf.DUMMYFUNCTION("GOOGLETRANSLATE(A103, ""en"", ""hi"")"),"102")</f>
        <v>102</v>
      </c>
      <c r="G103" s="5" t="str">
        <f>IFERROR(__xludf.DUMMYFUNCTION("GOOGLETRANSLATE(B103, ""en"", ""hi"")"),"पम्बरम मैच के दौरान, खिलाड़ी U, गेंद के ऊपरी हिस्से को 11 सेकंड तक घुमाता है और खिलाड़ी V, गेंद के ऊपरी हिस्से को 11 सेकंड तक घुमाता है, लेकिन खिलाड़ी U के ऊपरी हिस्से से आवाज़ निकलती है। अगर कोई आवाज़ नहीं निकलती है, तो कौन जीतता है?")</f>
        <v>पम्बरम मैच के दौरान, खिलाड़ी U, गेंद के ऊपरी हिस्से को 11 सेकंड तक घुमाता है और खिलाड़ी V, गेंद के ऊपरी हिस्से को 11 सेकंड तक घुमाता है, लेकिन खिलाड़ी U के ऊपरी हिस्से से आवाज़ निकलती है। अगर कोई आवाज़ नहीं निकलती है, तो कौन जीतता है?</v>
      </c>
      <c r="H103" s="5" t="str">
        <f>IFERROR(__xludf.DUMMYFUNCTION("GOOGLETRANSLATE(C103, ""en"", ""hi"")"),"A) खिलाड़ी U, B) खिलाड़ी V, C) यह एक टाई है, D) उपरोक्त में से कोई नहीं")</f>
        <v>A) खिलाड़ी U, B) खिलाड़ी V, C) यह एक टाई है, D) उपरोक्त में से कोई नहीं</v>
      </c>
      <c r="I103" s="5" t="str">
        <f>IFERROR(__xludf.DUMMYFUNCTION("GOOGLETRANSLATE(D103, ""en"", ""hi"")"),"बी) खिलाड़ी वी")</f>
        <v>बी) खिलाड़ी वी</v>
      </c>
    </row>
    <row r="104" ht="22.5" customHeight="1">
      <c r="A104" s="2">
        <v>103.0</v>
      </c>
      <c r="B104" s="3" t="s">
        <v>4830</v>
      </c>
      <c r="C104" s="3" t="s">
        <v>4660</v>
      </c>
      <c r="D104" s="3" t="s">
        <v>4661</v>
      </c>
      <c r="F104" s="5" t="str">
        <f>IFERROR(__xludf.DUMMYFUNCTION("GOOGLETRANSLATE(A104, ""en"", ""hi"")"),"103")</f>
        <v>103</v>
      </c>
      <c r="G104" s="5" t="str">
        <f>IFERROR(__xludf.DUMMYFUNCTION("GOOGLETRANSLATE(B104, ""en"", ""hi"")"),"खिलाड़ी W गेंद के ऊपरी हिस्से को 10 सेकंड तक घुमाता है और खिलाड़ी X गेंद के ऊपरी हिस्से को 10 सेकंड तक घुमाता है। अगर खिलाड़ी W की गेंद का ऊपरी हिस्सा झुका हुआ और खिलाड़ी X की गेंद का ऊपरी हिस्सा सीधा गिरता है, तो अगर सीधा गिरना पसंद किया जाता है, तो कौन "&amp;"जीतेगा?")</f>
        <v>खिलाड़ी W गेंद के ऊपरी हिस्से को 10 सेकंड तक घुमाता है और खिलाड़ी X गेंद के ऊपरी हिस्से को 10 सेकंड तक घुमाता है। अगर खिलाड़ी W की गेंद का ऊपरी हिस्सा झुका हुआ और खिलाड़ी X की गेंद का ऊपरी हिस्सा सीधा गिरता है, तो अगर सीधा गिरना पसंद किया जाता है, तो कौन जीतेगा?</v>
      </c>
      <c r="H104" s="5" t="str">
        <f>IFERROR(__xludf.DUMMYFUNCTION("GOOGLETRANSLATE(C104, ""en"", ""hi"")"),"A) खिलाड़ी W, B) खिलाड़ी X, C) यह टाई है, D) उपरोक्त में से कोई नहीं")</f>
        <v>A) खिलाड़ी W, B) खिलाड़ी X, C) यह टाई है, D) उपरोक्त में से कोई नहीं</v>
      </c>
      <c r="I104" s="5" t="str">
        <f>IFERROR(__xludf.DUMMYFUNCTION("GOOGLETRANSLATE(D104, ""en"", ""hi"")"),"बी) खिलाड़ी एक्स")</f>
        <v>बी) खिलाड़ी एक्स</v>
      </c>
    </row>
    <row r="105" ht="22.5" customHeight="1">
      <c r="A105" s="2">
        <v>104.0</v>
      </c>
      <c r="B105" s="3" t="s">
        <v>4831</v>
      </c>
      <c r="C105" s="3" t="s">
        <v>4663</v>
      </c>
      <c r="D105" s="3" t="s">
        <v>4664</v>
      </c>
      <c r="F105" s="5" t="str">
        <f>IFERROR(__xludf.DUMMYFUNCTION("GOOGLETRANSLATE(A105, ""en"", ""hi"")"),"104")</f>
        <v>104</v>
      </c>
      <c r="G105" s="5" t="str">
        <f>IFERROR(__xludf.DUMMYFUNCTION("GOOGLETRANSLATE(B105, ""en"", ""hi"")"),"यदि खिलाड़ी Y का शीर्ष 8 सेकंड तक घूमता है और खिलाड़ी Z का शीर्ष कभी-कभी डगमगाते हुए 8 सेकंड तक घूमता है, तो स्थिरता को प्राथमिकता देने पर कौन जीतता है?")</f>
        <v>यदि खिलाड़ी Y का शीर्ष 8 सेकंड तक घूमता है और खिलाड़ी Z का शीर्ष कभी-कभी डगमगाते हुए 8 सेकंड तक घूमता है, तो स्थिरता को प्राथमिकता देने पर कौन जीतता है?</v>
      </c>
      <c r="H105" s="5" t="str">
        <f>IFERROR(__xludf.DUMMYFUNCTION("GOOGLETRANSLATE(C105, ""en"", ""hi"")"),"A) खिलाड़ी Y, B) खिलाड़ी Z, C) यह टाई है, D) उपरोक्त में से कोई नहीं")</f>
        <v>A) खिलाड़ी Y, B) खिलाड़ी Z, C) यह टाई है, D) उपरोक्त में से कोई नहीं</v>
      </c>
      <c r="I105" s="5" t="str">
        <f>IFERROR(__xludf.DUMMYFUNCTION("GOOGLETRANSLATE(D105, ""en"", ""hi"")"),"A) खिलाड़ी Y")</f>
        <v>A) खिलाड़ी Y</v>
      </c>
    </row>
    <row r="106" ht="22.5" customHeight="1">
      <c r="A106" s="2">
        <v>105.0</v>
      </c>
      <c r="B106" s="3" t="s">
        <v>4832</v>
      </c>
      <c r="C106" s="3" t="s">
        <v>4627</v>
      </c>
      <c r="D106" s="3" t="s">
        <v>4778</v>
      </c>
      <c r="F106" s="5" t="str">
        <f>IFERROR(__xludf.DUMMYFUNCTION("GOOGLETRANSLATE(A106, ""en"", ""hi"")"),"105")</f>
        <v>105</v>
      </c>
      <c r="G106" s="5" t="str">
        <f>IFERROR(__xludf.DUMMYFUNCTION("GOOGLETRANSLATE(B106, ""en"", ""hi"")"),"एक पम्बरम प्रतियोगिता के दौरान, खिलाड़ी A, 9 सेकंड के लिए लट्टू घुमाता है और खिलाड़ी B, 9 सेकंड के लिए लट्टू घुमाता है। यदि खिलाड़ी A का लट्टू ध्वनि करता है और खिलाड़ी B का लट्टू आसानी से घूमता है, तो यदि चिकनापन पसंद किया जाता है, तो कौन जीतता है?")</f>
        <v>एक पम्बरम प्रतियोगिता के दौरान, खिलाड़ी A, 9 सेकंड के लिए लट्टू घुमाता है और खिलाड़ी B, 9 सेकंड के लिए लट्टू घुमाता है। यदि खिलाड़ी A का लट्टू ध्वनि करता है और खिलाड़ी B का लट्टू आसानी से घूमता है, तो यदि चिकनापन पसंद किया जाता है, तो कौन जीतता है?</v>
      </c>
      <c r="H106" s="5" t="str">
        <f>IFERROR(__xludf.DUMMYFUNCTION("GOOGLETRANSLATE(C106, ""en"", ""hi"")"),"A) खिलाड़ी A, B) खिलाड़ी B, C) यह टाई है, D) उपरोक्त में से कोई नहीं")</f>
        <v>A) खिलाड़ी A, B) खिलाड़ी B, C) यह टाई है, D) उपरोक्त में से कोई नहीं</v>
      </c>
      <c r="I106" s="5" t="str">
        <f>IFERROR(__xludf.DUMMYFUNCTION("GOOGLETRANSLATE(D106, ""en"", ""hi"")"),"बी) खिलाड़ी बी")</f>
        <v>बी) खिलाड़ी बी</v>
      </c>
    </row>
    <row r="107" ht="22.5" customHeight="1">
      <c r="A107" s="2">
        <v>106.0</v>
      </c>
      <c r="B107" s="3" t="s">
        <v>4833</v>
      </c>
      <c r="C107" s="3" t="s">
        <v>4630</v>
      </c>
      <c r="D107" s="3" t="s">
        <v>4631</v>
      </c>
      <c r="F107" s="5" t="str">
        <f>IFERROR(__xludf.DUMMYFUNCTION("GOOGLETRANSLATE(A107, ""en"", ""hi"")"),"106")</f>
        <v>106</v>
      </c>
      <c r="G107" s="5" t="str">
        <f>IFERROR(__xludf.DUMMYFUNCTION("GOOGLETRANSLATE(B107, ""en"", ""hi"")"),"यदि खिलाड़ी C का शीर्ष 12 सेकंड तक घूमता है और खिलाड़ी D का शीर्ष अनियमित अंतराल के साथ 12 सेकंड तक घूमता है, तो यदि लगातार घूमने वाले समय को प्राथमिकता दी जाती है तो कौन जीतता है?")</f>
        <v>यदि खिलाड़ी C का शीर्ष 12 सेकंड तक घूमता है और खिलाड़ी D का शीर्ष अनियमित अंतराल के साथ 12 सेकंड तक घूमता है, तो यदि लगातार घूमने वाले समय को प्राथमिकता दी जाती है तो कौन जीतता है?</v>
      </c>
      <c r="H107" s="5" t="str">
        <f>IFERROR(__xludf.DUMMYFUNCTION("GOOGLETRANSLATE(C107, ""en"", ""hi"")"),"A) खिलाड़ी C, B) खिलाड़ी D, C) यह टाई है, D) उपरोक्त में से कोई नहीं")</f>
        <v>A) खिलाड़ी C, B) खिलाड़ी D, C) यह टाई है, D) उपरोक्त में से कोई नहीं</v>
      </c>
      <c r="I107" s="5" t="str">
        <f>IFERROR(__xludf.DUMMYFUNCTION("GOOGLETRANSLATE(D107, ""en"", ""hi"")"),"ए) खिलाड़ी सी")</f>
        <v>ए) खिलाड़ी सी</v>
      </c>
    </row>
    <row r="108" ht="22.5" customHeight="1">
      <c r="A108" s="2">
        <v>107.0</v>
      </c>
      <c r="B108" s="3" t="s">
        <v>4834</v>
      </c>
      <c r="C108" s="3" t="s">
        <v>4781</v>
      </c>
      <c r="D108" s="3" t="s">
        <v>4634</v>
      </c>
      <c r="F108" s="5" t="str">
        <f>IFERROR(__xludf.DUMMYFUNCTION("GOOGLETRANSLATE(A108, ""en"", ""hi"")"),"107")</f>
        <v>107</v>
      </c>
      <c r="G108" s="5" t="str">
        <f>IFERROR(__xludf.DUMMYFUNCTION("GOOGLETRANSLATE(B108, ""en"", ""hi"")"),"खिलाड़ी E गेंद के ऊपरी हिस्से को 14 सेकंड तक घुमाता है और खिलाड़ी F गेंद के ऊपरी हिस्से को 14 सेकंड तक घुमाता है। अगर खिलाड़ी E की गेंद का ऊपरी हिस्सा झुका हुआ और खिलाड़ी F की गेंद का ऊपरी हिस्सा सीधा गिरता है, तो अगर सीधा गिरना पसंद किया जाता है, तो कौन "&amp;"जीतेगा?")</f>
        <v>खिलाड़ी E गेंद के ऊपरी हिस्से को 14 सेकंड तक घुमाता है और खिलाड़ी F गेंद के ऊपरी हिस्से को 14 सेकंड तक घुमाता है। अगर खिलाड़ी E की गेंद का ऊपरी हिस्सा झुका हुआ और खिलाड़ी F की गेंद का ऊपरी हिस्सा सीधा गिरता है, तो अगर सीधा गिरना पसंद किया जाता है, तो कौन जीतेगा?</v>
      </c>
      <c r="H108" s="5" t="str">
        <f>IFERROR(__xludf.DUMMYFUNCTION("GOOGLETRANSLATE(C108, ""en"", ""hi"")"),"A) खिलाड़ी E, B) खिलाड़ी F, C) यह टाई है, D) उपरोक्त में से कोई नहीं")</f>
        <v>A) खिलाड़ी E, B) खिलाड़ी F, C) यह टाई है, D) उपरोक्त में से कोई नहीं</v>
      </c>
      <c r="I108" s="5" t="str">
        <f>IFERROR(__xludf.DUMMYFUNCTION("GOOGLETRANSLATE(D108, ""en"", ""hi"")"),"बी) खिलाड़ी एफ")</f>
        <v>बी) खिलाड़ी एफ</v>
      </c>
    </row>
    <row r="109" ht="22.5" customHeight="1">
      <c r="A109" s="2">
        <v>108.0</v>
      </c>
      <c r="B109" s="3" t="s">
        <v>4835</v>
      </c>
      <c r="C109" s="3" t="s">
        <v>4783</v>
      </c>
      <c r="D109" s="3" t="s">
        <v>4637</v>
      </c>
      <c r="F109" s="5" t="str">
        <f>IFERROR(__xludf.DUMMYFUNCTION("GOOGLETRANSLATE(A109, ""en"", ""hi"")"),"108")</f>
        <v>108</v>
      </c>
      <c r="G109" s="5" t="str">
        <f>IFERROR(__xludf.DUMMYFUNCTION("GOOGLETRANSLATE(B109, ""en"", ""hi"")"),"पम्बरम मैच के दौरान, खिलाड़ी G 10 सेकंड के लिए गेंद की ऊपरी टोप को घुमाता है और खिलाड़ी H 10 सेकंड के लिए गेंद की ऊपरी टोप को घुमाता है, लेकिन खिलाड़ी G की ऊपरी टोप से आवाज़ आती है। अगर कोई आवाज़ नहीं निकलती है, तो कौन जीतता है?")</f>
        <v>पम्बरम मैच के दौरान, खिलाड़ी G 10 सेकंड के लिए गेंद की ऊपरी टोप को घुमाता है और खिलाड़ी H 10 सेकंड के लिए गेंद की ऊपरी टोप को घुमाता है, लेकिन खिलाड़ी G की ऊपरी टोप से आवाज़ आती है। अगर कोई आवाज़ नहीं निकलती है, तो कौन जीतता है?</v>
      </c>
      <c r="H109" s="5" t="str">
        <f>IFERROR(__xludf.DUMMYFUNCTION("GOOGLETRANSLATE(C109, ""en"", ""hi"")"),"A) खिलाड़ी G, B) खिलाड़ी H, C) यह टाई है, D) उपरोक्त में से कोई नहीं")</f>
        <v>A) खिलाड़ी G, B) खिलाड़ी H, C) यह टाई है, D) उपरोक्त में से कोई नहीं</v>
      </c>
      <c r="I109" s="5" t="str">
        <f>IFERROR(__xludf.DUMMYFUNCTION("GOOGLETRANSLATE(D109, ""en"", ""hi"")"),"बी) खिलाड़ी एच")</f>
        <v>बी) खिलाड़ी एच</v>
      </c>
    </row>
    <row r="110" ht="22.5" customHeight="1">
      <c r="A110" s="2">
        <v>109.0</v>
      </c>
      <c r="B110" s="3" t="s">
        <v>4836</v>
      </c>
      <c r="C110" s="3" t="s">
        <v>4639</v>
      </c>
      <c r="D110" s="3" t="s">
        <v>4640</v>
      </c>
      <c r="F110" s="5" t="str">
        <f>IFERROR(__xludf.DUMMYFUNCTION("GOOGLETRANSLATE(A110, ""en"", ""hi"")"),"109")</f>
        <v>109</v>
      </c>
      <c r="G110" s="5" t="str">
        <f>IFERROR(__xludf.DUMMYFUNCTION("GOOGLETRANSLATE(B110, ""en"", ""hi"")"),"खिलाड़ी I ऊपरी हिस्से को 7 सेकंड तक घुमाता है और खिलाड़ी J ऊपरी हिस्से को बीच-बीच में हिलते-डुलते हुए 7 सेकंड तक घुमाता है। अगर स्थिरता को प्राथमिकता दी जाए, तो कौन जीतेगा?")</f>
        <v>खिलाड़ी I ऊपरी हिस्से को 7 सेकंड तक घुमाता है और खिलाड़ी J ऊपरी हिस्से को बीच-बीच में हिलते-डुलते हुए 7 सेकंड तक घुमाता है। अगर स्थिरता को प्राथमिकता दी जाए, तो कौन जीतेगा?</v>
      </c>
      <c r="H110" s="5" t="str">
        <f>IFERROR(__xludf.DUMMYFUNCTION("GOOGLETRANSLATE(C110, ""en"", ""hi"")"),"A) खिलाड़ी I, B) खिलाड़ी J, C) यह टाई है, D) उपरोक्त में से कोई नहीं")</f>
        <v>A) खिलाड़ी I, B) खिलाड़ी J, C) यह टाई है, D) उपरोक्त में से कोई नहीं</v>
      </c>
      <c r="I110" s="5" t="str">
        <f>IFERROR(__xludf.DUMMYFUNCTION("GOOGLETRANSLATE(D110, ""en"", ""hi"")"),"ए) खिलाड़ी I")</f>
        <v>ए) खिलाड़ी I</v>
      </c>
    </row>
    <row r="111" ht="22.5" customHeight="1">
      <c r="A111" s="2">
        <v>110.0</v>
      </c>
      <c r="B111" s="3" t="s">
        <v>4837</v>
      </c>
      <c r="C111" s="3" t="s">
        <v>4642</v>
      </c>
      <c r="D111" s="3" t="s">
        <v>4788</v>
      </c>
      <c r="F111" s="5" t="str">
        <f>IFERROR(__xludf.DUMMYFUNCTION("GOOGLETRANSLATE(A111, ""en"", ""hi"")"),"110")</f>
        <v>110</v>
      </c>
      <c r="G111" s="5" t="str">
        <f>IFERROR(__xludf.DUMMYFUNCTION("GOOGLETRANSLATE(B111, ""en"", ""hi"")"),"यदि खिलाड़ी K का शीर्ष 11 सेकंड तक घूमता है और खिलाड़ी L का शीर्ष 11 सेकंड तक घूमता है, लेकिन खिलाड़ी L का शीर्ष झुका हुआ होता है, तो यदि सीधा उतरना पसंद किया जाता है तो कौन जीतता है?")</f>
        <v>यदि खिलाड़ी K का शीर्ष 11 सेकंड तक घूमता है और खिलाड़ी L का शीर्ष 11 सेकंड तक घूमता है, लेकिन खिलाड़ी L का शीर्ष झुका हुआ होता है, तो यदि सीधा उतरना पसंद किया जाता है तो कौन जीतता है?</v>
      </c>
      <c r="H111" s="5" t="str">
        <f>IFERROR(__xludf.DUMMYFUNCTION("GOOGLETRANSLATE(C111, ""en"", ""hi"")"),"A) खिलाड़ी K, B) खिलाड़ी L, C) यह टाई है, D) उपरोक्त में से कोई नहीं")</f>
        <v>A) खिलाड़ी K, B) खिलाड़ी L, C) यह टाई है, D) उपरोक्त में से कोई नहीं</v>
      </c>
      <c r="I111" s="5" t="str">
        <f>IFERROR(__xludf.DUMMYFUNCTION("GOOGLETRANSLATE(D111, ""en"", ""hi"")"),"A) खिलाड़ी K")</f>
        <v>A) खिलाड़ी K</v>
      </c>
    </row>
    <row r="112" ht="22.5" customHeight="1">
      <c r="A112" s="2">
        <v>111.0</v>
      </c>
      <c r="B112" s="3" t="s">
        <v>4838</v>
      </c>
      <c r="C112" s="3" t="s">
        <v>4790</v>
      </c>
      <c r="D112" s="3" t="s">
        <v>4791</v>
      </c>
      <c r="F112" s="5" t="str">
        <f>IFERROR(__xludf.DUMMYFUNCTION("GOOGLETRANSLATE(A112, ""en"", ""hi"")"),"111")</f>
        <v>111</v>
      </c>
      <c r="G112" s="5" t="str">
        <f>IFERROR(__xludf.DUMMYFUNCTION("GOOGLETRANSLATE(B112, ""en"", ""hi"")"),"पम्बरम मैच के दौरान, खिलाड़ी M गेंद के ऊपरी हिस्से को 12 सेकंड तक घुमाता है और खिलाड़ी N गेंद के ऊपरी हिस्से को 12 सेकंड तक घुमाता है। अगर खिलाड़ी M की गेंद का ऊपरी हिस्सा सीधा और खिलाड़ी N की गेंद का ऊपरी हिस्सा तिरछा होकर गिरता है, तो अगर सीधा गिरना पसं"&amp;"द किया जाता है, तो कौन जीतता है?")</f>
        <v>पम्बरम मैच के दौरान, खिलाड़ी M गेंद के ऊपरी हिस्से को 12 सेकंड तक घुमाता है और खिलाड़ी N गेंद के ऊपरी हिस्से को 12 सेकंड तक घुमाता है। अगर खिलाड़ी M की गेंद का ऊपरी हिस्सा सीधा और खिलाड़ी N की गेंद का ऊपरी हिस्सा तिरछा होकर गिरता है, तो अगर सीधा गिरना पसंद किया जाता है, तो कौन जीतता है?</v>
      </c>
      <c r="H112" s="5" t="str">
        <f>IFERROR(__xludf.DUMMYFUNCTION("GOOGLETRANSLATE(C112, ""en"", ""hi"")"),"A) खिलाड़ी M, B) खिलाड़ी N, C) यह टाई है, D) उपरोक्त में से कोई नहीं")</f>
        <v>A) खिलाड़ी M, B) खिलाड़ी N, C) यह टाई है, D) उपरोक्त में से कोई नहीं</v>
      </c>
      <c r="I112" s="5" t="str">
        <f>IFERROR(__xludf.DUMMYFUNCTION("GOOGLETRANSLATE(D112, ""en"", ""hi"")"),"ए) खिलाड़ी एम")</f>
        <v>ए) खिलाड़ी एम</v>
      </c>
    </row>
    <row r="113" ht="22.5" customHeight="1">
      <c r="A113" s="2">
        <v>112.0</v>
      </c>
      <c r="B113" s="3" t="s">
        <v>4839</v>
      </c>
      <c r="C113" s="3" t="s">
        <v>4648</v>
      </c>
      <c r="D113" s="3" t="s">
        <v>4649</v>
      </c>
      <c r="F113" s="5" t="str">
        <f>IFERROR(__xludf.DUMMYFUNCTION("GOOGLETRANSLATE(A113, ""en"", ""hi"")"),"112")</f>
        <v>112</v>
      </c>
      <c r="G113" s="5" t="str">
        <f>IFERROR(__xludf.DUMMYFUNCTION("GOOGLETRANSLATE(B113, ""en"", ""hi"")"),"यदि खिलाड़ी O का शीर्ष 6 सेकंड तक घूमता है और खिलाड़ी P का शीर्ष कभी-कभी डगमगाते हुए 6 सेकंड तक घूमता है, तो स्थिरता को प्राथमिकता देने पर कौन जीतता है?")</f>
        <v>यदि खिलाड़ी O का शीर्ष 6 सेकंड तक घूमता है और खिलाड़ी P का शीर्ष कभी-कभी डगमगाते हुए 6 सेकंड तक घूमता है, तो स्थिरता को प्राथमिकता देने पर कौन जीतता है?</v>
      </c>
      <c r="H113" s="5" t="str">
        <f>IFERROR(__xludf.DUMMYFUNCTION("GOOGLETRANSLATE(C113, ""en"", ""hi"")"),"A) खिलाड़ी O, B) खिलाड़ी P, C) यह टाई है, D) उपरोक्त में से कोई नहीं")</f>
        <v>A) खिलाड़ी O, B) खिलाड़ी P, C) यह टाई है, D) उपरोक्त में से कोई नहीं</v>
      </c>
      <c r="I113" s="5" t="str">
        <f>IFERROR(__xludf.DUMMYFUNCTION("GOOGLETRANSLATE(D113, ""en"", ""hi"")"),"A) खिलाड़ी O")</f>
        <v>A) खिलाड़ी O</v>
      </c>
    </row>
    <row r="114" ht="22.5" customHeight="1">
      <c r="A114" s="2">
        <v>113.0</v>
      </c>
      <c r="B114" s="3" t="s">
        <v>4840</v>
      </c>
      <c r="C114" s="3" t="s">
        <v>4651</v>
      </c>
      <c r="D114" s="3" t="s">
        <v>4795</v>
      </c>
      <c r="F114" s="5" t="str">
        <f>IFERROR(__xludf.DUMMYFUNCTION("GOOGLETRANSLATE(A114, ""en"", ""hi"")"),"113")</f>
        <v>113</v>
      </c>
      <c r="G114" s="5" t="str">
        <f>IFERROR(__xludf.DUMMYFUNCTION("GOOGLETRANSLATE(B114, ""en"", ""hi"")"),"एक पम्बरम प्रतियोगिता के दौरान, खिलाड़ी Q 9 सेकंड के लिए और खिलाड़ी R 9 सेकंड के लिए गेंद को घुमाता है, लेकिन खिलाड़ी Q की गेंद से आवाज़ आती है। अगर कोई आवाज़ नहीं निकलती है, तो कौन जीतता है?")</f>
        <v>एक पम्बरम प्रतियोगिता के दौरान, खिलाड़ी Q 9 सेकंड के लिए और खिलाड़ी R 9 सेकंड के लिए गेंद को घुमाता है, लेकिन खिलाड़ी Q की गेंद से आवाज़ आती है। अगर कोई आवाज़ नहीं निकलती है, तो कौन जीतता है?</v>
      </c>
      <c r="H114" s="5" t="str">
        <f>IFERROR(__xludf.DUMMYFUNCTION("GOOGLETRANSLATE(C114, ""en"", ""hi"")"),"A) खिलाड़ी Q, B) खिलाड़ी R, C) यह टाई है, D) उपरोक्त में से कोई नहीं")</f>
        <v>A) खिलाड़ी Q, B) खिलाड़ी R, C) यह टाई है, D) उपरोक्त में से कोई नहीं</v>
      </c>
      <c r="I114" s="5" t="str">
        <f>IFERROR(__xludf.DUMMYFUNCTION("GOOGLETRANSLATE(D114, ""en"", ""hi"")"),"बी) खिलाड़ी आर")</f>
        <v>बी) खिलाड़ी आर</v>
      </c>
    </row>
    <row r="115" ht="22.5" customHeight="1">
      <c r="A115" s="2">
        <v>114.0</v>
      </c>
      <c r="B115" s="3" t="s">
        <v>4841</v>
      </c>
      <c r="C115" s="3" t="s">
        <v>4654</v>
      </c>
      <c r="D115" s="3" t="s">
        <v>4655</v>
      </c>
      <c r="F115" s="5" t="str">
        <f>IFERROR(__xludf.DUMMYFUNCTION("GOOGLETRANSLATE(A115, ""en"", ""hi"")"),"114")</f>
        <v>114</v>
      </c>
      <c r="G115" s="5" t="str">
        <f>IFERROR(__xludf.DUMMYFUNCTION("GOOGLETRANSLATE(B115, ""en"", ""hi"")"),"खिलाड़ी S गेंद के ऊपरी हिस्से को 8 सेकंड तक घुमाता है और खिलाड़ी T गेंद के ऊपरी हिस्से को 8 सेकंड तक घुमाता है। अगर खिलाड़ी S की गेंद का ऊपरी हिस्सा झुका हुआ और खिलाड़ी T की गेंद का ऊपरी हिस्सा सीधा ज़मीन पर आता है, तो अगर सीधा उतरना पसंद किया जाता है, तो"&amp;" कौन जीतता है?")</f>
        <v>खिलाड़ी S गेंद के ऊपरी हिस्से को 8 सेकंड तक घुमाता है और खिलाड़ी T गेंद के ऊपरी हिस्से को 8 सेकंड तक घुमाता है। अगर खिलाड़ी S की गेंद का ऊपरी हिस्सा झुका हुआ और खिलाड़ी T की गेंद का ऊपरी हिस्सा सीधा ज़मीन पर आता है, तो अगर सीधा उतरना पसंद किया जाता है, तो कौन जीतता है?</v>
      </c>
      <c r="H115" s="5" t="str">
        <f>IFERROR(__xludf.DUMMYFUNCTION("GOOGLETRANSLATE(C115, ""en"", ""hi"")"),"A) खिलाड़ी S, B) खिलाड़ी T, C) यह टाई है, D) उपरोक्त में से कोई नहीं")</f>
        <v>A) खिलाड़ी S, B) खिलाड़ी T, C) यह टाई है, D) उपरोक्त में से कोई नहीं</v>
      </c>
      <c r="I115" s="5" t="str">
        <f>IFERROR(__xludf.DUMMYFUNCTION("GOOGLETRANSLATE(D115, ""en"", ""hi"")"),"बी) खिलाड़ी टी")</f>
        <v>बी) खिलाड़ी टी</v>
      </c>
    </row>
    <row r="116" ht="22.5" customHeight="1">
      <c r="A116" s="2">
        <v>115.0</v>
      </c>
      <c r="B116" s="3" t="s">
        <v>4842</v>
      </c>
      <c r="C116" s="3" t="s">
        <v>4657</v>
      </c>
      <c r="D116" s="3" t="s">
        <v>4658</v>
      </c>
      <c r="F116" s="5" t="str">
        <f>IFERROR(__xludf.DUMMYFUNCTION("GOOGLETRANSLATE(A116, ""en"", ""hi"")"),"115")</f>
        <v>115</v>
      </c>
      <c r="G116" s="5" t="str">
        <f>IFERROR(__xludf.DUMMYFUNCTION("GOOGLETRANSLATE(B116, ""en"", ""hi"")"),"यदि खिलाड़ी U का शीर्ष 10 सेकंड तक घूमता है और खिलाड़ी V का शीर्ष अनियमित अंतराल के साथ 10 सेकंड तक घूमता है, तो यदि लगातार घूमने वाले समय को प्राथमिकता दी जाती है तो कौन जीतता है?")</f>
        <v>यदि खिलाड़ी U का शीर्ष 10 सेकंड तक घूमता है और खिलाड़ी V का शीर्ष अनियमित अंतराल के साथ 10 सेकंड तक घूमता है, तो यदि लगातार घूमने वाले समय को प्राथमिकता दी जाती है तो कौन जीतता है?</v>
      </c>
      <c r="H116" s="5" t="str">
        <f>IFERROR(__xludf.DUMMYFUNCTION("GOOGLETRANSLATE(C116, ""en"", ""hi"")"),"A) खिलाड़ी U, B) खिलाड़ी V, C) यह एक टाई है, D) उपरोक्त में से कोई नहीं")</f>
        <v>A) खिलाड़ी U, B) खिलाड़ी V, C) यह एक टाई है, D) उपरोक्त में से कोई नहीं</v>
      </c>
      <c r="I116" s="5" t="str">
        <f>IFERROR(__xludf.DUMMYFUNCTION("GOOGLETRANSLATE(D116, ""en"", ""hi"")"),"ए) खिलाड़ी यू")</f>
        <v>ए) खिलाड़ी यू</v>
      </c>
    </row>
    <row r="117" ht="22.5" customHeight="1">
      <c r="A117" s="2">
        <v>116.0</v>
      </c>
      <c r="B117" s="3" t="s">
        <v>4843</v>
      </c>
      <c r="C117" s="3" t="s">
        <v>4660</v>
      </c>
      <c r="D117" s="3" t="s">
        <v>4816</v>
      </c>
      <c r="F117" s="5" t="str">
        <f>IFERROR(__xludf.DUMMYFUNCTION("GOOGLETRANSLATE(A117, ""en"", ""hi"")"),"116")</f>
        <v>116</v>
      </c>
      <c r="G117" s="5" t="str">
        <f>IFERROR(__xludf.DUMMYFUNCTION("GOOGLETRANSLATE(B117, ""en"", ""hi"")"),"पम्बरम मैच के दौरान, खिलाड़ी W गेंद के ऊपरी हिस्से को 13 सेकंड तक घुमाता है और खिलाड़ी X गेंद के ऊपरी हिस्से को 13 सेकंड तक घुमाता है। अगर खिलाड़ी W की गेंद का ऊपरी हिस्सा सीधा और खिलाड़ी X की गेंद का ऊपरी हिस्सा तिरछा होकर गिरता है, तो अगर सीधा गिरना पसं"&amp;"द किया जाता है, तो कौन जीतता है?")</f>
        <v>पम्बरम मैच के दौरान, खिलाड़ी W गेंद के ऊपरी हिस्से को 13 सेकंड तक घुमाता है और खिलाड़ी X गेंद के ऊपरी हिस्से को 13 सेकंड तक घुमाता है। अगर खिलाड़ी W की गेंद का ऊपरी हिस्सा सीधा और खिलाड़ी X की गेंद का ऊपरी हिस्सा तिरछा होकर गिरता है, तो अगर सीधा गिरना पसंद किया जाता है, तो कौन जीतता है?</v>
      </c>
      <c r="H117" s="5" t="str">
        <f>IFERROR(__xludf.DUMMYFUNCTION("GOOGLETRANSLATE(C117, ""en"", ""hi"")"),"A) खिलाड़ी W, B) खिलाड़ी X, C) यह टाई है, D) उपरोक्त में से कोई नहीं")</f>
        <v>A) खिलाड़ी W, B) खिलाड़ी X, C) यह टाई है, D) उपरोक्त में से कोई नहीं</v>
      </c>
      <c r="I117" s="5" t="str">
        <f>IFERROR(__xludf.DUMMYFUNCTION("GOOGLETRANSLATE(D117, ""en"", ""hi"")"),"A) खिलाड़ी W")</f>
        <v>A) खिलाड़ी W</v>
      </c>
    </row>
    <row r="118" ht="22.5" customHeight="1">
      <c r="A118" s="2">
        <v>117.0</v>
      </c>
      <c r="B118" s="3" t="s">
        <v>4844</v>
      </c>
      <c r="C118" s="3" t="s">
        <v>4663</v>
      </c>
      <c r="D118" s="3" t="s">
        <v>4664</v>
      </c>
      <c r="F118" s="5" t="str">
        <f>IFERROR(__xludf.DUMMYFUNCTION("GOOGLETRANSLATE(A118, ""en"", ""hi"")"),"117")</f>
        <v>117</v>
      </c>
      <c r="G118" s="5" t="str">
        <f>IFERROR(__xludf.DUMMYFUNCTION("GOOGLETRANSLATE(B118, ""en"", ""hi"")"),"खिलाड़ी Y ऊपरी हिस्से को 7 सेकंड तक घुमाता है और खिलाड़ी Z ऊपरी हिस्से को बीच-बीच में हिलते-डुलते हुए 7 सेकंड तक घुमाता है। अगर स्थिरता को प्राथमिकता दी जाए, तो कौन जीतेगा?")</f>
        <v>खिलाड़ी Y ऊपरी हिस्से को 7 सेकंड तक घुमाता है और खिलाड़ी Z ऊपरी हिस्से को बीच-बीच में हिलते-डुलते हुए 7 सेकंड तक घुमाता है। अगर स्थिरता को प्राथमिकता दी जाए, तो कौन जीतेगा?</v>
      </c>
      <c r="H118" s="5" t="str">
        <f>IFERROR(__xludf.DUMMYFUNCTION("GOOGLETRANSLATE(C118, ""en"", ""hi"")"),"A) खिलाड़ी Y, B) खिलाड़ी Z, C) यह टाई है, D) उपरोक्त में से कोई नहीं")</f>
        <v>A) खिलाड़ी Y, B) खिलाड़ी Z, C) यह टाई है, D) उपरोक्त में से कोई नहीं</v>
      </c>
      <c r="I118" s="5" t="str">
        <f>IFERROR(__xludf.DUMMYFUNCTION("GOOGLETRANSLATE(D118, ""en"", ""hi"")"),"A) खिलाड़ी Y")</f>
        <v>A) खिलाड़ी Y</v>
      </c>
    </row>
    <row r="119" ht="22.5" customHeight="1">
      <c r="A119" s="2">
        <v>118.0</v>
      </c>
      <c r="B119" s="3" t="s">
        <v>4845</v>
      </c>
      <c r="C119" s="3" t="s">
        <v>4627</v>
      </c>
      <c r="D119" s="3" t="s">
        <v>4778</v>
      </c>
      <c r="F119" s="5" t="str">
        <f>IFERROR(__xludf.DUMMYFUNCTION("GOOGLETRANSLATE(A119, ""en"", ""hi"")"),"118")</f>
        <v>118</v>
      </c>
      <c r="G119" s="5" t="str">
        <f>IFERROR(__xludf.DUMMYFUNCTION("GOOGLETRANSLATE(B119, ""en"", ""hi"")"),"यदि खिलाड़ी A का शीर्ष 12 सेकंड तक घूमता है और खिलाड़ी B का शीर्ष 12 सेकंड तक घूमता है, लेकिन खिलाड़ी A का शीर्ष झुका हुआ होता है, तो यदि सीधा उतरना पसंद किया जाता है तो कौन जीतता है?")</f>
        <v>यदि खिलाड़ी A का शीर्ष 12 सेकंड तक घूमता है और खिलाड़ी B का शीर्ष 12 सेकंड तक घूमता है, लेकिन खिलाड़ी A का शीर्ष झुका हुआ होता है, तो यदि सीधा उतरना पसंद किया जाता है तो कौन जीतता है?</v>
      </c>
      <c r="H119" s="5" t="str">
        <f>IFERROR(__xludf.DUMMYFUNCTION("GOOGLETRANSLATE(C119, ""en"", ""hi"")"),"A) खिलाड़ी A, B) खिलाड़ी B, C) यह टाई है, D) उपरोक्त में से कोई नहीं")</f>
        <v>A) खिलाड़ी A, B) खिलाड़ी B, C) यह टाई है, D) उपरोक्त में से कोई नहीं</v>
      </c>
      <c r="I119" s="5" t="str">
        <f>IFERROR(__xludf.DUMMYFUNCTION("GOOGLETRANSLATE(D119, ""en"", ""hi"")"),"बी) खिलाड़ी बी")</f>
        <v>बी) खिलाड़ी बी</v>
      </c>
    </row>
    <row r="120" ht="22.5" customHeight="1">
      <c r="A120" s="2">
        <v>119.0</v>
      </c>
      <c r="B120" s="3" t="s">
        <v>4846</v>
      </c>
      <c r="C120" s="3" t="s">
        <v>4630</v>
      </c>
      <c r="D120" s="3" t="s">
        <v>4631</v>
      </c>
      <c r="F120" s="5" t="str">
        <f>IFERROR(__xludf.DUMMYFUNCTION("GOOGLETRANSLATE(A120, ""en"", ""hi"")"),"119")</f>
        <v>119</v>
      </c>
      <c r="G120" s="5" t="str">
        <f>IFERROR(__xludf.DUMMYFUNCTION("GOOGLETRANSLATE(B120, ""en"", ""hi"")"),"पम्बरम प्रतियोगिता के दौरान, खिलाड़ी C 11 सेकंड के लिए ऊपरी भाग को घुमाता है और खिलाड़ी D 11 सेकंड के लिए ऊपरी भाग को बीच-बीच में हिलते-डुलते हुए घुमाता है। अगर खेल में स्थिरता को महत्व दिया जाता है, तो कौन जीतता है?")</f>
        <v>पम्बरम प्रतियोगिता के दौरान, खिलाड़ी C 11 सेकंड के लिए ऊपरी भाग को घुमाता है और खिलाड़ी D 11 सेकंड के लिए ऊपरी भाग को बीच-बीच में हिलते-डुलते हुए घुमाता है। अगर खेल में स्थिरता को महत्व दिया जाता है, तो कौन जीतता है?</v>
      </c>
      <c r="H120" s="5" t="str">
        <f>IFERROR(__xludf.DUMMYFUNCTION("GOOGLETRANSLATE(C120, ""en"", ""hi"")"),"A) खिलाड़ी C, B) खिलाड़ी D, C) यह टाई है, D) उपरोक्त में से कोई नहीं")</f>
        <v>A) खिलाड़ी C, B) खिलाड़ी D, C) यह टाई है, D) उपरोक्त में से कोई नहीं</v>
      </c>
      <c r="I120" s="5" t="str">
        <f>IFERROR(__xludf.DUMMYFUNCTION("GOOGLETRANSLATE(D120, ""en"", ""hi"")"),"ए) खिलाड़ी सी")</f>
        <v>ए) खिलाड़ी सी</v>
      </c>
    </row>
    <row r="121" ht="22.5" customHeight="1">
      <c r="A121" s="2">
        <v>120.0</v>
      </c>
      <c r="B121" s="3" t="s">
        <v>4847</v>
      </c>
      <c r="C121" s="3" t="s">
        <v>4781</v>
      </c>
      <c r="D121" s="3" t="s">
        <v>4634</v>
      </c>
      <c r="F121" s="5" t="str">
        <f>IFERROR(__xludf.DUMMYFUNCTION("GOOGLETRANSLATE(A121, ""en"", ""hi"")"),"120")</f>
        <v>120</v>
      </c>
      <c r="G121" s="5" t="str">
        <f>IFERROR(__xludf.DUMMYFUNCTION("GOOGLETRANSLATE(B121, ""en"", ""hi"")"),"खिलाड़ी E, गेंद के ऊपरी हिस्से को 14 सेकंड तक घुमाता है और खिलाड़ी F, गेंद के ऊपरी हिस्से को 14 सेकंड तक घुमाता है। अगर खिलाड़ी E की गेंद से आवाज़ आती है और खिलाड़ी F की गेंद आराम से घूमती है, तो अगर गेंद के घूमने की गति को प्राथमिकता दी जाती है, तो कौन ज"&amp;"ीतता है?")</f>
        <v>खिलाड़ी E, गेंद के ऊपरी हिस्से को 14 सेकंड तक घुमाता है और खिलाड़ी F, गेंद के ऊपरी हिस्से को 14 सेकंड तक घुमाता है। अगर खिलाड़ी E की गेंद से आवाज़ आती है और खिलाड़ी F की गेंद आराम से घूमती है, तो अगर गेंद के घूमने की गति को प्राथमिकता दी जाती है, तो कौन जीतता है?</v>
      </c>
      <c r="H121" s="5" t="str">
        <f>IFERROR(__xludf.DUMMYFUNCTION("GOOGLETRANSLATE(C121, ""en"", ""hi"")"),"A) खिलाड़ी E, B) खिलाड़ी F, C) यह टाई है, D) उपरोक्त में से कोई नहीं")</f>
        <v>A) खिलाड़ी E, B) खिलाड़ी F, C) यह टाई है, D) उपरोक्त में से कोई नहीं</v>
      </c>
      <c r="I121" s="5" t="str">
        <f>IFERROR(__xludf.DUMMYFUNCTION("GOOGLETRANSLATE(D121, ""en"", ""hi"")"),"बी) खिलाड़ी एफ")</f>
        <v>बी) खिलाड़ी एफ</v>
      </c>
    </row>
    <row r="122" ht="22.5" customHeight="1">
      <c r="A122" s="2">
        <v>121.0</v>
      </c>
      <c r="B122" s="3" t="s">
        <v>4848</v>
      </c>
      <c r="C122" s="3" t="s">
        <v>4783</v>
      </c>
      <c r="D122" s="3" t="s">
        <v>4784</v>
      </c>
      <c r="F122" s="5" t="str">
        <f>IFERROR(__xludf.DUMMYFUNCTION("GOOGLETRANSLATE(A122, ""en"", ""hi"")"),"121")</f>
        <v>121</v>
      </c>
      <c r="G122" s="5" t="str">
        <f>IFERROR(__xludf.DUMMYFUNCTION("GOOGLETRANSLATE(B122, ""en"", ""hi"")"),"यदि खिलाड़ी G का शीर्ष 8 सेकंड तक घूमता है और खिलाड़ी H का शीर्ष अनियमित अंतराल के साथ 8 सेकंड तक घूमता है, तो यदि लगातार घूमने वाले समय को प्राथमिकता दी जाती है तो कौन जीतता है?")</f>
        <v>यदि खिलाड़ी G का शीर्ष 8 सेकंड तक घूमता है और खिलाड़ी H का शीर्ष अनियमित अंतराल के साथ 8 सेकंड तक घूमता है, तो यदि लगातार घूमने वाले समय को प्राथमिकता दी जाती है तो कौन जीतता है?</v>
      </c>
      <c r="H122" s="5" t="str">
        <f>IFERROR(__xludf.DUMMYFUNCTION("GOOGLETRANSLATE(C122, ""en"", ""hi"")"),"A) खिलाड़ी G, B) खिलाड़ी H, C) यह टाई है, D) उपरोक्त में से कोई नहीं")</f>
        <v>A) खिलाड़ी G, B) खिलाड़ी H, C) यह टाई है, D) उपरोक्त में से कोई नहीं</v>
      </c>
      <c r="I122" s="5" t="str">
        <f>IFERROR(__xludf.DUMMYFUNCTION("GOOGLETRANSLATE(D122, ""en"", ""hi"")"),"ए) खिलाड़ी जी")</f>
        <v>ए) खिलाड़ी जी</v>
      </c>
    </row>
    <row r="123" ht="22.5" customHeight="1">
      <c r="A123" s="2">
        <v>122.0</v>
      </c>
      <c r="B123" s="3" t="s">
        <v>4849</v>
      </c>
      <c r="C123" s="3" t="s">
        <v>4639</v>
      </c>
      <c r="D123" s="3" t="s">
        <v>4786</v>
      </c>
      <c r="F123" s="5" t="str">
        <f>IFERROR(__xludf.DUMMYFUNCTION("GOOGLETRANSLATE(A123, ""en"", ""hi"")"),"122")</f>
        <v>122</v>
      </c>
      <c r="G123" s="5" t="str">
        <f>IFERROR(__xludf.DUMMYFUNCTION("GOOGLETRANSLATE(B123, ""en"", ""hi"")"),"पम्बरम मैच के दौरान, खिलाड़ी I गेंद के ऊपरी हिस्से को 9 सेकंड तक घुमाता है और खिलाड़ी J गेंद के ऊपरी हिस्से को 9 सेकंड तक घुमाता है। अगर खिलाड़ी I की गेंद का ऊपरी हिस्सा झुका हुआ और खिलाड़ी J की गेंद का ऊपरी हिस्सा सीधा गिरता है, तो अगर सीधा गिरना पसंद कि"&amp;"या जाता है, तो कौन जीतता है?")</f>
        <v>पम्बरम मैच के दौरान, खिलाड़ी I गेंद के ऊपरी हिस्से को 9 सेकंड तक घुमाता है और खिलाड़ी J गेंद के ऊपरी हिस्से को 9 सेकंड तक घुमाता है। अगर खिलाड़ी I की गेंद का ऊपरी हिस्सा झुका हुआ और खिलाड़ी J की गेंद का ऊपरी हिस्सा सीधा गिरता है, तो अगर सीधा गिरना पसंद किया जाता है, तो कौन जीतता है?</v>
      </c>
      <c r="H123" s="5" t="str">
        <f>IFERROR(__xludf.DUMMYFUNCTION("GOOGLETRANSLATE(C123, ""en"", ""hi"")"),"A) खिलाड़ी I, B) खिलाड़ी J, C) यह टाई है, D) उपरोक्त में से कोई नहीं")</f>
        <v>A) खिलाड़ी I, B) खिलाड़ी J, C) यह टाई है, D) उपरोक्त में से कोई नहीं</v>
      </c>
      <c r="I123" s="5" t="str">
        <f>IFERROR(__xludf.DUMMYFUNCTION("GOOGLETRANSLATE(D123, ""en"", ""hi"")"),"बी) खिलाड़ी जे")</f>
        <v>बी) खिलाड़ी जे</v>
      </c>
    </row>
    <row r="124" ht="22.5" customHeight="1">
      <c r="A124" s="2">
        <v>123.0</v>
      </c>
      <c r="B124" s="3" t="s">
        <v>4850</v>
      </c>
      <c r="C124" s="3" t="s">
        <v>4642</v>
      </c>
      <c r="D124" s="3" t="s">
        <v>4788</v>
      </c>
      <c r="F124" s="5" t="str">
        <f>IFERROR(__xludf.DUMMYFUNCTION("GOOGLETRANSLATE(A124, ""en"", ""hi"")"),"123")</f>
        <v>123</v>
      </c>
      <c r="G124" s="5" t="str">
        <f>IFERROR(__xludf.DUMMYFUNCTION("GOOGLETRANSLATE(B124, ""en"", ""hi"")"),"खिलाड़ी K ऊपरी हिस्से को 7 सेकंड तक घुमाता है और खिलाड़ी L ऊपरी हिस्से को बीच-बीच में हिलते-डुलते हुए 7 सेकंड तक घुमाता है। अगर स्थिरता को प्राथमिकता दी जाए, तो कौन जीतेगा?")</f>
        <v>खिलाड़ी K ऊपरी हिस्से को 7 सेकंड तक घुमाता है और खिलाड़ी L ऊपरी हिस्से को बीच-बीच में हिलते-डुलते हुए 7 सेकंड तक घुमाता है। अगर स्थिरता को प्राथमिकता दी जाए, तो कौन जीतेगा?</v>
      </c>
      <c r="H124" s="5" t="str">
        <f>IFERROR(__xludf.DUMMYFUNCTION("GOOGLETRANSLATE(C124, ""en"", ""hi"")"),"A) खिलाड़ी K, B) खिलाड़ी L, C) यह टाई है, D) उपरोक्त में से कोई नहीं")</f>
        <v>A) खिलाड़ी K, B) खिलाड़ी L, C) यह टाई है, D) उपरोक्त में से कोई नहीं</v>
      </c>
      <c r="I124" s="5" t="str">
        <f>IFERROR(__xludf.DUMMYFUNCTION("GOOGLETRANSLATE(D124, ""en"", ""hi"")"),"A) खिलाड़ी K")</f>
        <v>A) खिलाड़ी K</v>
      </c>
    </row>
    <row r="125" ht="22.5" customHeight="1">
      <c r="A125" s="2">
        <v>124.0</v>
      </c>
      <c r="B125" s="3" t="s">
        <v>4851</v>
      </c>
      <c r="C125" s="3" t="s">
        <v>4790</v>
      </c>
      <c r="D125" s="3" t="s">
        <v>4791</v>
      </c>
      <c r="F125" s="5" t="str">
        <f>IFERROR(__xludf.DUMMYFUNCTION("GOOGLETRANSLATE(A125, ""en"", ""hi"")"),"124")</f>
        <v>124</v>
      </c>
      <c r="G125" s="5" t="str">
        <f>IFERROR(__xludf.DUMMYFUNCTION("GOOGLETRANSLATE(B125, ""en"", ""hi"")"),"यदि खिलाड़ी M का शीर्ष 10 सेकंड तक घूमता है और खिलाड़ी N का शीर्ष 10 सेकंड तक घूमता है, लेकिन खिलाड़ी N का शीर्ष झुका हुआ होता है, तो यदि सीधा उतरना पसंद किया जाता है तो कौन जीतता है?")</f>
        <v>यदि खिलाड़ी M का शीर्ष 10 सेकंड तक घूमता है और खिलाड़ी N का शीर्ष 10 सेकंड तक घूमता है, लेकिन खिलाड़ी N का शीर्ष झुका हुआ होता है, तो यदि सीधा उतरना पसंद किया जाता है तो कौन जीतता है?</v>
      </c>
      <c r="H125" s="5" t="str">
        <f>IFERROR(__xludf.DUMMYFUNCTION("GOOGLETRANSLATE(C125, ""en"", ""hi"")"),"A) खिलाड़ी M, B) खिलाड़ी N, C) यह टाई है, D) उपरोक्त में से कोई नहीं")</f>
        <v>A) खिलाड़ी M, B) खिलाड़ी N, C) यह टाई है, D) उपरोक्त में से कोई नहीं</v>
      </c>
      <c r="I125" s="5" t="str">
        <f>IFERROR(__xludf.DUMMYFUNCTION("GOOGLETRANSLATE(D125, ""en"", ""hi"")"),"ए) खिलाड़ी एम")</f>
        <v>ए) खिलाड़ी एम</v>
      </c>
    </row>
    <row r="126" ht="22.5" customHeight="1">
      <c r="A126" s="2">
        <v>125.0</v>
      </c>
      <c r="B126" s="3" t="s">
        <v>4852</v>
      </c>
      <c r="C126" s="3" t="s">
        <v>4648</v>
      </c>
      <c r="D126" s="3" t="s">
        <v>4649</v>
      </c>
      <c r="F126" s="5" t="str">
        <f>IFERROR(__xludf.DUMMYFUNCTION("GOOGLETRANSLATE(A126, ""en"", ""hi"")"),"125")</f>
        <v>125</v>
      </c>
      <c r="G126" s="5" t="str">
        <f>IFERROR(__xludf.DUMMYFUNCTION("GOOGLETRANSLATE(B126, ""en"", ""hi"")"),"पम्बरम मैच के दौरान, खिलाड़ी O 12 सेकंड के लिए ऊपरी भाग को घुमाता है और खिलाड़ी P 12 सेकंड के लिए ऊपरी भाग को बीच-बीच में हिलते-डुलते हुए घुमाता है। अगर खेल में स्थिरता को महत्व दिया जाता है, तो कौन जीतता है?")</f>
        <v>पम्बरम मैच के दौरान, खिलाड़ी O 12 सेकंड के लिए ऊपरी भाग को घुमाता है और खिलाड़ी P 12 सेकंड के लिए ऊपरी भाग को बीच-बीच में हिलते-डुलते हुए घुमाता है। अगर खेल में स्थिरता को महत्व दिया जाता है, तो कौन जीतता है?</v>
      </c>
      <c r="H126" s="5" t="str">
        <f>IFERROR(__xludf.DUMMYFUNCTION("GOOGLETRANSLATE(C126, ""en"", ""hi"")"),"A) खिलाड़ी O, B) खिलाड़ी P, C) यह टाई है, D) उपरोक्त में से कोई नहीं")</f>
        <v>A) खिलाड़ी O, B) खिलाड़ी P, C) यह टाई है, D) उपरोक्त में से कोई नहीं</v>
      </c>
      <c r="I126" s="5" t="str">
        <f>IFERROR(__xludf.DUMMYFUNCTION("GOOGLETRANSLATE(D126, ""en"", ""hi"")"),"A) खिलाड़ी O")</f>
        <v>A) खिलाड़ी O</v>
      </c>
    </row>
    <row r="127" ht="22.5" customHeight="1">
      <c r="A127" s="2">
        <v>126.0</v>
      </c>
      <c r="B127" s="3" t="s">
        <v>4853</v>
      </c>
      <c r="C127" s="3" t="s">
        <v>4651</v>
      </c>
      <c r="D127" s="3" t="s">
        <v>4652</v>
      </c>
      <c r="F127" s="5" t="str">
        <f>IFERROR(__xludf.DUMMYFUNCTION("GOOGLETRANSLATE(A127, ""en"", ""hi"")"),"126")</f>
        <v>126</v>
      </c>
      <c r="G127" s="5" t="str">
        <f>IFERROR(__xludf.DUMMYFUNCTION("GOOGLETRANSLATE(B127, ""en"", ""hi"")"),"खिलाड़ी Q गेंद के ऊपरी हिस्से को 14 सेकंड तक घुमाता है और खिलाड़ी R गेंद के ऊपरी हिस्से को 14 सेकंड तक घुमाता है। अगर खिलाड़ी Q की गेंद का ऊपरी हिस्सा सीधा और खिलाड़ी R की गेंद का ऊपरी हिस्सा तिरछा होकर गिरता है, तो अगर सीधा गिरना पसंद किया जाता है, तो कौ"&amp;"न जीतता है?")</f>
        <v>खिलाड़ी Q गेंद के ऊपरी हिस्से को 14 सेकंड तक घुमाता है और खिलाड़ी R गेंद के ऊपरी हिस्से को 14 सेकंड तक घुमाता है। अगर खिलाड़ी Q की गेंद का ऊपरी हिस्सा सीधा और खिलाड़ी R की गेंद का ऊपरी हिस्सा तिरछा होकर गिरता है, तो अगर सीधा गिरना पसंद किया जाता है, तो कौन जीतता है?</v>
      </c>
      <c r="H127" s="5" t="str">
        <f>IFERROR(__xludf.DUMMYFUNCTION("GOOGLETRANSLATE(C127, ""en"", ""hi"")"),"A) खिलाड़ी Q, B) खिलाड़ी R, C) यह टाई है, D) उपरोक्त में से कोई नहीं")</f>
        <v>A) खिलाड़ी Q, B) खिलाड़ी R, C) यह टाई है, D) उपरोक्त में से कोई नहीं</v>
      </c>
      <c r="I127" s="5" t="str">
        <f>IFERROR(__xludf.DUMMYFUNCTION("GOOGLETRANSLATE(D127, ""en"", ""hi"")"),"ए) खिलाड़ी क्यू")</f>
        <v>ए) खिलाड़ी क्यू</v>
      </c>
    </row>
    <row r="128" ht="22.5" customHeight="1">
      <c r="A128" s="2">
        <v>127.0</v>
      </c>
      <c r="B128" s="3" t="s">
        <v>4854</v>
      </c>
      <c r="C128" s="3" t="s">
        <v>4654</v>
      </c>
      <c r="D128" s="3" t="s">
        <v>4655</v>
      </c>
      <c r="F128" s="5" t="str">
        <f>IFERROR(__xludf.DUMMYFUNCTION("GOOGLETRANSLATE(A128, ""en"", ""hi"")"),"127")</f>
        <v>127</v>
      </c>
      <c r="G128" s="5" t="str">
        <f>IFERROR(__xludf.DUMMYFUNCTION("GOOGLETRANSLATE(B128, ""en"", ""hi"")"),"यदि खिलाड़ी एस का टॉप 8 सेकंड तक घूमता है और खिलाड़ी टी का टॉप 8 सेकंड तक घूमता है, लेकिन खिलाड़ी एस का टॉप ध्वनि उत्पन्न करता है, तो यदि कोई ध्वनि पसंद नहीं की जाती है तो कौन जीतता है?")</f>
        <v>यदि खिलाड़ी एस का टॉप 8 सेकंड तक घूमता है और खिलाड़ी टी का टॉप 8 सेकंड तक घूमता है, लेकिन खिलाड़ी एस का टॉप ध्वनि उत्पन्न करता है, तो यदि कोई ध्वनि पसंद नहीं की जाती है तो कौन जीतता है?</v>
      </c>
      <c r="H128" s="5" t="str">
        <f>IFERROR(__xludf.DUMMYFUNCTION("GOOGLETRANSLATE(C128, ""en"", ""hi"")"),"A) खिलाड़ी S, B) खिलाड़ी T, C) यह टाई है, D) उपरोक्त में से कोई नहीं")</f>
        <v>A) खिलाड़ी S, B) खिलाड़ी T, C) यह टाई है, D) उपरोक्त में से कोई नहीं</v>
      </c>
      <c r="I128" s="5" t="str">
        <f>IFERROR(__xludf.DUMMYFUNCTION("GOOGLETRANSLATE(D128, ""en"", ""hi"")"),"बी) खिलाड़ी टी")</f>
        <v>बी) खिलाड़ी टी</v>
      </c>
    </row>
    <row r="129" ht="22.5" customHeight="1">
      <c r="A129" s="2">
        <v>128.0</v>
      </c>
      <c r="B129" s="3" t="s">
        <v>4855</v>
      </c>
      <c r="C129" s="3" t="s">
        <v>4657</v>
      </c>
      <c r="D129" s="3" t="s">
        <v>4658</v>
      </c>
      <c r="F129" s="5" t="str">
        <f>IFERROR(__xludf.DUMMYFUNCTION("GOOGLETRANSLATE(A129, ""en"", ""hi"")"),"128")</f>
        <v>128</v>
      </c>
      <c r="G129" s="5" t="str">
        <f>IFERROR(__xludf.DUMMYFUNCTION("GOOGLETRANSLATE(B129, ""en"", ""hi"")"),"पम्बरम प्रतियोगिता के दौरान, खिलाड़ी U, 9 सेकंड के लिए ऊपरी भाग को घुमाता है और खिलाड़ी V, बीच-बीच में हिलते-डुलते हुए, 9 सेकंड के लिए ऊपरी भाग को घुमाता है। अगर स्थिरता को प्राथमिकता दी जाए, तो कौन जीतेगा?")</f>
        <v>पम्बरम प्रतियोगिता के दौरान, खिलाड़ी U, 9 सेकंड के लिए ऊपरी भाग को घुमाता है और खिलाड़ी V, बीच-बीच में हिलते-डुलते हुए, 9 सेकंड के लिए ऊपरी भाग को घुमाता है। अगर स्थिरता को प्राथमिकता दी जाए, तो कौन जीतेगा?</v>
      </c>
      <c r="H129" s="5" t="str">
        <f>IFERROR(__xludf.DUMMYFUNCTION("GOOGLETRANSLATE(C129, ""en"", ""hi"")"),"A) खिलाड़ी U, B) खिलाड़ी V, C) यह एक टाई है, D) उपरोक्त में से कोई नहीं")</f>
        <v>A) खिलाड़ी U, B) खिलाड़ी V, C) यह एक टाई है, D) उपरोक्त में से कोई नहीं</v>
      </c>
      <c r="I129" s="5" t="str">
        <f>IFERROR(__xludf.DUMMYFUNCTION("GOOGLETRANSLATE(D129, ""en"", ""hi"")"),"ए) खिलाड़ी यू")</f>
        <v>ए) खिलाड़ी यू</v>
      </c>
    </row>
    <row r="130" ht="22.5" customHeight="1">
      <c r="A130" s="2">
        <v>129.0</v>
      </c>
      <c r="B130" s="3" t="s">
        <v>4856</v>
      </c>
      <c r="C130" s="3" t="s">
        <v>4660</v>
      </c>
      <c r="D130" s="3" t="s">
        <v>4661</v>
      </c>
      <c r="F130" s="5" t="str">
        <f>IFERROR(__xludf.DUMMYFUNCTION("GOOGLETRANSLATE(A130, ""en"", ""hi"")"),"129")</f>
        <v>129</v>
      </c>
      <c r="G130" s="5" t="str">
        <f>IFERROR(__xludf.DUMMYFUNCTION("GOOGLETRANSLATE(B130, ""en"", ""hi"")"),"खिलाड़ी W गेंद के ऊपरी हिस्से को 7 सेकंड तक घुमाता है और खिलाड़ी X गेंद के ऊपरी हिस्से को 7 सेकंड तक घुमाता है। अगर खिलाड़ी X की गेंद का ऊपरी हिस्सा सीधा और खिलाड़ी W की गेंद का ऊपरी हिस्सा तिरछा होकर गिरता है, तो अगर सीधा गिरना पसंद किया जाता है, तो कौन "&amp;"जीतेगा?")</f>
        <v>खिलाड़ी W गेंद के ऊपरी हिस्से को 7 सेकंड तक घुमाता है और खिलाड़ी X गेंद के ऊपरी हिस्से को 7 सेकंड तक घुमाता है। अगर खिलाड़ी X की गेंद का ऊपरी हिस्सा सीधा और खिलाड़ी W की गेंद का ऊपरी हिस्सा तिरछा होकर गिरता है, तो अगर सीधा गिरना पसंद किया जाता है, तो कौन जीतेगा?</v>
      </c>
      <c r="H130" s="5" t="str">
        <f>IFERROR(__xludf.DUMMYFUNCTION("GOOGLETRANSLATE(C130, ""en"", ""hi"")"),"A) खिलाड़ी W, B) खिलाड़ी X, C) यह टाई है, D) उपरोक्त में से कोई नहीं")</f>
        <v>A) खिलाड़ी W, B) खिलाड़ी X, C) यह टाई है, D) उपरोक्त में से कोई नहीं</v>
      </c>
      <c r="I130" s="5" t="str">
        <f>IFERROR(__xludf.DUMMYFUNCTION("GOOGLETRANSLATE(D130, ""en"", ""hi"")"),"बी) खिलाड़ी एक्स")</f>
        <v>बी) खिलाड़ी एक्स</v>
      </c>
    </row>
    <row r="131" ht="22.5" customHeight="1">
      <c r="A131" s="2">
        <v>130.0</v>
      </c>
      <c r="B131" s="3" t="s">
        <v>4857</v>
      </c>
      <c r="C131" s="3" t="s">
        <v>4663</v>
      </c>
      <c r="D131" s="3" t="s">
        <v>4664</v>
      </c>
      <c r="F131" s="5" t="str">
        <f>IFERROR(__xludf.DUMMYFUNCTION("GOOGLETRANSLATE(A131, ""en"", ""hi"")"),"130")</f>
        <v>130</v>
      </c>
      <c r="G131" s="5" t="str">
        <f>IFERROR(__xludf.DUMMYFUNCTION("GOOGLETRANSLATE(B131, ""en"", ""hi"")"),"यदि खिलाड़ी Y का शीर्ष 10 सेकंड तक घूमता है और खिलाड़ी Z का शीर्ष अनियमित अंतराल के साथ 10 सेकंड तक घूमता है, तो यदि लगातार घूमने वाले समय को प्राथमिकता दी जाती है तो कौन जीतता है?")</f>
        <v>यदि खिलाड़ी Y का शीर्ष 10 सेकंड तक घूमता है और खिलाड़ी Z का शीर्ष अनियमित अंतराल के साथ 10 सेकंड तक घूमता है, तो यदि लगातार घूमने वाले समय को प्राथमिकता दी जाती है तो कौन जीतता है?</v>
      </c>
      <c r="H131" s="5" t="str">
        <f>IFERROR(__xludf.DUMMYFUNCTION("GOOGLETRANSLATE(C131, ""en"", ""hi"")"),"A) खिलाड़ी Y, B) खिलाड़ी Z, C) यह टाई है, D) उपरोक्त में से कोई नहीं")</f>
        <v>A) खिलाड़ी Y, B) खिलाड़ी Z, C) यह टाई है, D) उपरोक्त में से कोई नहीं</v>
      </c>
      <c r="I131" s="5" t="str">
        <f>IFERROR(__xludf.DUMMYFUNCTION("GOOGLETRANSLATE(D131, ""en"", ""hi"")"),"A) खिलाड़ी Y")</f>
        <v>A) खिलाड़ी Y</v>
      </c>
    </row>
    <row r="132" ht="22.5" customHeight="1">
      <c r="A132" s="2">
        <v>131.0</v>
      </c>
      <c r="B132" s="3" t="s">
        <v>4858</v>
      </c>
      <c r="C132" s="3" t="s">
        <v>4627</v>
      </c>
      <c r="D132" s="3" t="s">
        <v>4628</v>
      </c>
      <c r="F132" s="5" t="str">
        <f>IFERROR(__xludf.DUMMYFUNCTION("GOOGLETRANSLATE(A132, ""en"", ""hi"")"),"131")</f>
        <v>131</v>
      </c>
      <c r="G132" s="5" t="str">
        <f>IFERROR(__xludf.DUMMYFUNCTION("GOOGLETRANSLATE(B132, ""en"", ""hi"")"),"पम्बरम मैच के दौरान, खिलाड़ी A गेंद के ऊपरी हिस्से को 12 सेकंड तक घुमाता है और खिलाड़ी B गेंद के ऊपरी हिस्से को 12 सेकंड तक घुमाता है। अगर खिलाड़ी A की गेंद सीधी और खिलाड़ी B की गेंद तिरछी होकर गिरती है, तो अगर सीधी लैंडिंग पसंद की जाती है, तो कौन जीतता ह"&amp;"ै?")</f>
        <v>पम्बरम मैच के दौरान, खिलाड़ी A गेंद के ऊपरी हिस्से को 12 सेकंड तक घुमाता है और खिलाड़ी B गेंद के ऊपरी हिस्से को 12 सेकंड तक घुमाता है। अगर खिलाड़ी A की गेंद सीधी और खिलाड़ी B की गेंद तिरछी होकर गिरती है, तो अगर सीधी लैंडिंग पसंद की जाती है, तो कौन जीतता है?</v>
      </c>
      <c r="H132" s="5" t="str">
        <f>IFERROR(__xludf.DUMMYFUNCTION("GOOGLETRANSLATE(C132, ""en"", ""hi"")"),"A) खिलाड़ी A, B) खिलाड़ी B, C) यह टाई है, D) उपरोक्त में से कोई नहीं")</f>
        <v>A) खिलाड़ी A, B) खिलाड़ी B, C) यह टाई है, D) उपरोक्त में से कोई नहीं</v>
      </c>
      <c r="I132" s="5" t="str">
        <f>IFERROR(__xludf.DUMMYFUNCTION("GOOGLETRANSLATE(D132, ""en"", ""hi"")"),"ए) खिलाड़ी ए")</f>
        <v>ए) खिलाड़ी ए</v>
      </c>
    </row>
    <row r="133" ht="22.5" customHeight="1">
      <c r="A133" s="2">
        <v>132.0</v>
      </c>
      <c r="B133" s="3" t="s">
        <v>4859</v>
      </c>
      <c r="C133" s="3" t="s">
        <v>4627</v>
      </c>
      <c r="D133" s="3" t="s">
        <v>4778</v>
      </c>
      <c r="F133" s="5" t="str">
        <f>IFERROR(__xludf.DUMMYFUNCTION("GOOGLETRANSLATE(A133, ""en"", ""hi"")"),"132")</f>
        <v>132</v>
      </c>
      <c r="G133" s="5" t="str">
        <f>IFERROR(__xludf.DUMMYFUNCTION("GOOGLETRANSLATE(B133, ""en"", ""hi"")"),"पम्बरम मैच के दौरान, खिलाड़ी A का टॉप 6 सेकंड तक घूमता है और खिलाड़ी B का टॉप भी 6 सेकंड तक घूमता है, लेकिन खिलाड़ी A का टॉप थोड़ा डगमगाता है। अगर स्थिरता को प्राथमिकता दी जाए, तो कौन जीतेगा?")</f>
        <v>पम्बरम मैच के दौरान, खिलाड़ी A का टॉप 6 सेकंड तक घूमता है और खिलाड़ी B का टॉप भी 6 सेकंड तक घूमता है, लेकिन खिलाड़ी A का टॉप थोड़ा डगमगाता है। अगर स्थिरता को प्राथमिकता दी जाए, तो कौन जीतेगा?</v>
      </c>
      <c r="H133" s="5" t="str">
        <f>IFERROR(__xludf.DUMMYFUNCTION("GOOGLETRANSLATE(C133, ""en"", ""hi"")"),"A) खिलाड़ी A, B) खिलाड़ी B, C) यह टाई है, D) उपरोक्त में से कोई नहीं")</f>
        <v>A) खिलाड़ी A, B) खिलाड़ी B, C) यह टाई है, D) उपरोक्त में से कोई नहीं</v>
      </c>
      <c r="I133" s="5" t="str">
        <f>IFERROR(__xludf.DUMMYFUNCTION("GOOGLETRANSLATE(D133, ""en"", ""hi"")"),"बी) खिलाड़ी बी")</f>
        <v>बी) खिलाड़ी बी</v>
      </c>
    </row>
    <row r="134" ht="22.5" customHeight="1">
      <c r="A134" s="2">
        <v>133.0</v>
      </c>
      <c r="B134" s="3" t="s">
        <v>4860</v>
      </c>
      <c r="C134" s="3" t="s">
        <v>4630</v>
      </c>
      <c r="D134" s="3" t="s">
        <v>4803</v>
      </c>
      <c r="F134" s="5" t="str">
        <f>IFERROR(__xludf.DUMMYFUNCTION("GOOGLETRANSLATE(A134, ""en"", ""hi"")"),"133")</f>
        <v>133</v>
      </c>
      <c r="G134" s="5" t="str">
        <f>IFERROR(__xludf.DUMMYFUNCTION("GOOGLETRANSLATE(B134, ""en"", ""hi"")"),"खिलाड़ी C गेंद के ऊपरी हिस्से को 8 सेकंड तक घुमाता है और खिलाड़ी D गेंद के ऊपरी हिस्से को 8 सेकंड तक घुमाता है। अगर खिलाड़ी C की गेंद का ऊपरी हिस्सा झुका हुआ और खिलाड़ी D की गेंद का ऊपरी हिस्सा सीधा ज़मीन पर आता है, तो अगर सीधा उतरना पसंद किया जाता है, तो"&amp;" कौन जीतेगा?")</f>
        <v>खिलाड़ी C गेंद के ऊपरी हिस्से को 8 सेकंड तक घुमाता है और खिलाड़ी D गेंद के ऊपरी हिस्से को 8 सेकंड तक घुमाता है। अगर खिलाड़ी C की गेंद का ऊपरी हिस्सा झुका हुआ और खिलाड़ी D की गेंद का ऊपरी हिस्सा सीधा ज़मीन पर आता है, तो अगर सीधा उतरना पसंद किया जाता है, तो कौन जीतेगा?</v>
      </c>
      <c r="H134" s="5" t="str">
        <f>IFERROR(__xludf.DUMMYFUNCTION("GOOGLETRANSLATE(C134, ""en"", ""hi"")"),"A) खिलाड़ी C, B) खिलाड़ी D, C) यह टाई है, D) उपरोक्त में से कोई नहीं")</f>
        <v>A) खिलाड़ी C, B) खिलाड़ी D, C) यह टाई है, D) उपरोक्त में से कोई नहीं</v>
      </c>
      <c r="I134" s="5" t="str">
        <f>IFERROR(__xludf.DUMMYFUNCTION("GOOGLETRANSLATE(D134, ""en"", ""hi"")"),"बी) खिलाड़ी डी")</f>
        <v>बी) खिलाड़ी डी</v>
      </c>
    </row>
    <row r="135" ht="22.5" customHeight="1">
      <c r="A135" s="2">
        <v>134.0</v>
      </c>
      <c r="B135" s="3" t="s">
        <v>4861</v>
      </c>
      <c r="C135" s="3" t="s">
        <v>4781</v>
      </c>
      <c r="D135" s="3" t="s">
        <v>4862</v>
      </c>
      <c r="F135" s="5" t="str">
        <f>IFERROR(__xludf.DUMMYFUNCTION("GOOGLETRANSLATE(A135, ""en"", ""hi"")"),"134")</f>
        <v>134</v>
      </c>
      <c r="G135" s="5" t="str">
        <f>IFERROR(__xludf.DUMMYFUNCTION("GOOGLETRANSLATE(B135, ""en"", ""hi"")"),"यदि खिलाड़ी ई का शीर्ष 10 सेकंड तक घूमता है और खिलाड़ी एफ का शीर्ष कभी-कभी आवाज के साथ 10 सेकंड तक घूमता है, तो यदि मौन को प्राथमिकता दी जाती है तो कौन जीतता है?")</f>
        <v>यदि खिलाड़ी ई का शीर्ष 10 सेकंड तक घूमता है और खिलाड़ी एफ का शीर्ष कभी-कभी आवाज के साथ 10 सेकंड तक घूमता है, तो यदि मौन को प्राथमिकता दी जाती है तो कौन जीतता है?</v>
      </c>
      <c r="H135" s="5" t="str">
        <f>IFERROR(__xludf.DUMMYFUNCTION("GOOGLETRANSLATE(C135, ""en"", ""hi"")"),"A) खिलाड़ी E, B) खिलाड़ी F, C) यह टाई है, D) उपरोक्त में से कोई नहीं")</f>
        <v>A) खिलाड़ी E, B) खिलाड़ी F, C) यह टाई है, D) उपरोक्त में से कोई नहीं</v>
      </c>
      <c r="I135" s="5" t="str">
        <f>IFERROR(__xludf.DUMMYFUNCTION("GOOGLETRANSLATE(D135, ""en"", ""hi"")"),"D) उपरोक्त में से कोई नहीं")</f>
        <v>D) उपरोक्त में से कोई नहीं</v>
      </c>
    </row>
    <row r="136" ht="22.5" customHeight="1">
      <c r="A136" s="2">
        <v>135.0</v>
      </c>
      <c r="B136" s="3" t="s">
        <v>4863</v>
      </c>
      <c r="C136" s="3" t="s">
        <v>4783</v>
      </c>
      <c r="D136" s="3" t="s">
        <v>4637</v>
      </c>
      <c r="F136" s="5" t="str">
        <f>IFERROR(__xludf.DUMMYFUNCTION("GOOGLETRANSLATE(A136, ""en"", ""hi"")"),"135")</f>
        <v>135</v>
      </c>
      <c r="G136" s="5" t="str">
        <f>IFERROR(__xludf.DUMMYFUNCTION("GOOGLETRANSLATE(B136, ""en"", ""hi"")"),"एक पम्बरम प्रतियोगिता के दौरान, खिलाड़ी G, गेंद के ऊपरी हिस्से को 9 सेकंड तक घुमाता है और खिलाड़ी H, गेंद के ऊपरी हिस्से को 9 सेकंड तक घुमाता है। अगर खिलाड़ी G की गेंद का ऊपरी हिस्सा झुका हुआ और खिलाड़ी H की गेंद का ऊपरी हिस्सा सीधा गिरता है, तो अगर सीधा "&amp;"गिरना पसंद किया जाता है, तो कौन जीतता है?")</f>
        <v>एक पम्बरम प्रतियोगिता के दौरान, खिलाड़ी G, गेंद के ऊपरी हिस्से को 9 सेकंड तक घुमाता है और खिलाड़ी H, गेंद के ऊपरी हिस्से को 9 सेकंड तक घुमाता है। अगर खिलाड़ी G की गेंद का ऊपरी हिस्सा झुका हुआ और खिलाड़ी H की गेंद का ऊपरी हिस्सा सीधा गिरता है, तो अगर सीधा गिरना पसंद किया जाता है, तो कौन जीतता है?</v>
      </c>
      <c r="H136" s="5" t="str">
        <f>IFERROR(__xludf.DUMMYFUNCTION("GOOGLETRANSLATE(C136, ""en"", ""hi"")"),"A) खिलाड़ी G, B) खिलाड़ी H, C) यह टाई है, D) उपरोक्त में से कोई नहीं")</f>
        <v>A) खिलाड़ी G, B) खिलाड़ी H, C) यह टाई है, D) उपरोक्त में से कोई नहीं</v>
      </c>
      <c r="I136" s="5" t="str">
        <f>IFERROR(__xludf.DUMMYFUNCTION("GOOGLETRANSLATE(D136, ""en"", ""hi"")"),"बी) खिलाड़ी एच")</f>
        <v>बी) खिलाड़ी एच</v>
      </c>
    </row>
    <row r="137" ht="22.5" customHeight="1">
      <c r="A137" s="2">
        <v>136.0</v>
      </c>
      <c r="B137" s="3" t="s">
        <v>4864</v>
      </c>
      <c r="C137" s="3" t="s">
        <v>4639</v>
      </c>
      <c r="D137" s="3" t="s">
        <v>4786</v>
      </c>
      <c r="F137" s="5" t="str">
        <f>IFERROR(__xludf.DUMMYFUNCTION("GOOGLETRANSLATE(A137, ""en"", ""hi"")"),"136")</f>
        <v>136</v>
      </c>
      <c r="G137" s="5" t="str">
        <f>IFERROR(__xludf.DUMMYFUNCTION("GOOGLETRANSLATE(B137, ""en"", ""hi"")"),"खिलाड़ी I, गेंद के ऊपरी हिस्से को 12 सेकंड तक घुमाता है और खिलाड़ी J, गेंद के ऊपरी हिस्से को 12 सेकंड तक घुमाता है। अगर खिलाड़ी I का ऊपरी हिस्सा थोड़ा हिलता है और खिलाड़ी J का ऊपरी हिस्सा आसानी से घूमता है, तो अगर चिकनापन पसंद किया जाता है, तो कौन जीतता ह"&amp;"ै?")</f>
        <v>खिलाड़ी I, गेंद के ऊपरी हिस्से को 12 सेकंड तक घुमाता है और खिलाड़ी J, गेंद के ऊपरी हिस्से को 12 सेकंड तक घुमाता है। अगर खिलाड़ी I का ऊपरी हिस्सा थोड़ा हिलता है और खिलाड़ी J का ऊपरी हिस्सा आसानी से घूमता है, तो अगर चिकनापन पसंद किया जाता है, तो कौन जीतता है?</v>
      </c>
      <c r="H137" s="5" t="str">
        <f>IFERROR(__xludf.DUMMYFUNCTION("GOOGLETRANSLATE(C137, ""en"", ""hi"")"),"A) खिलाड़ी I, B) खिलाड़ी J, C) यह टाई है, D) उपरोक्त में से कोई नहीं")</f>
        <v>A) खिलाड़ी I, B) खिलाड़ी J, C) यह टाई है, D) उपरोक्त में से कोई नहीं</v>
      </c>
      <c r="I137" s="5" t="str">
        <f>IFERROR(__xludf.DUMMYFUNCTION("GOOGLETRANSLATE(D137, ""en"", ""hi"")"),"बी) खिलाड़ी जे")</f>
        <v>बी) खिलाड़ी जे</v>
      </c>
    </row>
    <row r="138" ht="22.5" customHeight="1">
      <c r="A138" s="2">
        <v>137.0</v>
      </c>
      <c r="B138" s="3" t="s">
        <v>4865</v>
      </c>
      <c r="C138" s="3" t="s">
        <v>4642</v>
      </c>
      <c r="D138" s="3" t="s">
        <v>4788</v>
      </c>
      <c r="F138" s="5" t="str">
        <f>IFERROR(__xludf.DUMMYFUNCTION("GOOGLETRANSLATE(A138, ""en"", ""hi"")"),"137")</f>
        <v>137</v>
      </c>
      <c r="G138" s="5" t="str">
        <f>IFERROR(__xludf.DUMMYFUNCTION("GOOGLETRANSLATE(B138, ""en"", ""hi"")"),"यदि खिलाड़ी K का शीर्ष 11 सेकंड तक घूमता है और खिलाड़ी L का शीर्ष अनियमित अंतराल के साथ 11 सेकंड तक घूमता है, तो यदि लगातार घूमने वाले समय को प्राथमिकता दी जाती है तो कौन जीतता है?")</f>
        <v>यदि खिलाड़ी K का शीर्ष 11 सेकंड तक घूमता है और खिलाड़ी L का शीर्ष अनियमित अंतराल के साथ 11 सेकंड तक घूमता है, तो यदि लगातार घूमने वाले समय को प्राथमिकता दी जाती है तो कौन जीतता है?</v>
      </c>
      <c r="H138" s="5" t="str">
        <f>IFERROR(__xludf.DUMMYFUNCTION("GOOGLETRANSLATE(C138, ""en"", ""hi"")"),"A) खिलाड़ी K, B) खिलाड़ी L, C) यह टाई है, D) उपरोक्त में से कोई नहीं")</f>
        <v>A) खिलाड़ी K, B) खिलाड़ी L, C) यह टाई है, D) उपरोक्त में से कोई नहीं</v>
      </c>
      <c r="I138" s="5" t="str">
        <f>IFERROR(__xludf.DUMMYFUNCTION("GOOGLETRANSLATE(D138, ""en"", ""hi"")"),"A) खिलाड़ी K")</f>
        <v>A) खिलाड़ी K</v>
      </c>
    </row>
    <row r="139" ht="22.5" customHeight="1">
      <c r="A139" s="2">
        <v>138.0</v>
      </c>
      <c r="B139" s="3" t="s">
        <v>4866</v>
      </c>
      <c r="C139" s="3" t="s">
        <v>4790</v>
      </c>
      <c r="D139" s="3" t="s">
        <v>4791</v>
      </c>
      <c r="F139" s="5" t="str">
        <f>IFERROR(__xludf.DUMMYFUNCTION("GOOGLETRANSLATE(A139, ""en"", ""hi"")"),"138")</f>
        <v>138</v>
      </c>
      <c r="G139" s="5" t="str">
        <f>IFERROR(__xludf.DUMMYFUNCTION("GOOGLETRANSLATE(B139, ""en"", ""hi"")"),"पम्बरम मैच के दौरान, खिलाड़ी M गेंद के ऊपरी हिस्से को 7 सेकंड तक घुमाता है और खिलाड़ी N गेंद के ऊपरी हिस्से को 7 सेकंड तक घुमाता है। अगर खिलाड़ी M की गेंद का ऊपरी हिस्सा सीधा और खिलाड़ी N की गेंद का ऊपरी हिस्सा तिरछा गिरता है, तो अगर सीधा गिरना पसंद किया "&amp;"जाता है, तो कौन जीतता है?")</f>
        <v>पम्बरम मैच के दौरान, खिलाड़ी M गेंद के ऊपरी हिस्से को 7 सेकंड तक घुमाता है और खिलाड़ी N गेंद के ऊपरी हिस्से को 7 सेकंड तक घुमाता है। अगर खिलाड़ी M की गेंद का ऊपरी हिस्सा सीधा और खिलाड़ी N की गेंद का ऊपरी हिस्सा तिरछा गिरता है, तो अगर सीधा गिरना पसंद किया जाता है, तो कौन जीतता है?</v>
      </c>
      <c r="H139" s="5" t="str">
        <f>IFERROR(__xludf.DUMMYFUNCTION("GOOGLETRANSLATE(C139, ""en"", ""hi"")"),"A) खिलाड़ी M, B) खिलाड़ी N, C) यह टाई है, D) उपरोक्त में से कोई नहीं")</f>
        <v>A) खिलाड़ी M, B) खिलाड़ी N, C) यह टाई है, D) उपरोक्त में से कोई नहीं</v>
      </c>
      <c r="I139" s="5" t="str">
        <f>IFERROR(__xludf.DUMMYFUNCTION("GOOGLETRANSLATE(D139, ""en"", ""hi"")"),"ए) खिलाड़ी एम")</f>
        <v>ए) खिलाड़ी एम</v>
      </c>
    </row>
    <row r="140" ht="22.5" customHeight="1">
      <c r="A140" s="2">
        <v>139.0</v>
      </c>
      <c r="B140" s="3" t="s">
        <v>4867</v>
      </c>
      <c r="C140" s="3" t="s">
        <v>4648</v>
      </c>
      <c r="D140" s="3" t="s">
        <v>4793</v>
      </c>
      <c r="F140" s="5" t="str">
        <f>IFERROR(__xludf.DUMMYFUNCTION("GOOGLETRANSLATE(A140, ""en"", ""hi"")"),"139")</f>
        <v>139</v>
      </c>
      <c r="G140" s="5" t="str">
        <f>IFERROR(__xludf.DUMMYFUNCTION("GOOGLETRANSLATE(B140, ""en"", ""hi"")"),"खिलाड़ी O, गेंद के ऊपरी हिस्से को 14 सेकंड तक घुमाता है और खिलाड़ी P, गेंद के ऊपरी हिस्से को 14 सेकंड तक घुमाता है। यदि खिलाड़ी O की गेंद से आवाज़ आती है और खिलाड़ी P की गेंद आसानी से घूमती है, तो अगर गेंद के सीधे घूमने को प्राथमिकता दी जाती है, तो कौन जी"&amp;"तता है?")</f>
        <v>खिलाड़ी O, गेंद के ऊपरी हिस्से को 14 सेकंड तक घुमाता है और खिलाड़ी P, गेंद के ऊपरी हिस्से को 14 सेकंड तक घुमाता है। यदि खिलाड़ी O की गेंद से आवाज़ आती है और खिलाड़ी P की गेंद आसानी से घूमती है, तो अगर गेंद के सीधे घूमने को प्राथमिकता दी जाती है, तो कौन जीतता है?</v>
      </c>
      <c r="H140" s="5" t="str">
        <f>IFERROR(__xludf.DUMMYFUNCTION("GOOGLETRANSLATE(C140, ""en"", ""hi"")"),"A) खिलाड़ी O, B) खिलाड़ी P, C) यह टाई है, D) उपरोक्त में से कोई नहीं")</f>
        <v>A) खिलाड़ी O, B) खिलाड़ी P, C) यह टाई है, D) उपरोक्त में से कोई नहीं</v>
      </c>
      <c r="I140" s="5" t="str">
        <f>IFERROR(__xludf.DUMMYFUNCTION("GOOGLETRANSLATE(D140, ""en"", ""hi"")"),"बी) खिलाड़ी पी")</f>
        <v>बी) खिलाड़ी पी</v>
      </c>
    </row>
    <row r="141" ht="22.5" customHeight="1">
      <c r="A141" s="2">
        <v>140.0</v>
      </c>
      <c r="B141" s="3" t="s">
        <v>4868</v>
      </c>
      <c r="C141" s="3" t="s">
        <v>4651</v>
      </c>
      <c r="D141" s="3" t="s">
        <v>4652</v>
      </c>
      <c r="F141" s="5" t="str">
        <f>IFERROR(__xludf.DUMMYFUNCTION("GOOGLETRANSLATE(A141, ""en"", ""hi"")"),"140")</f>
        <v>140</v>
      </c>
      <c r="G141" s="5" t="str">
        <f>IFERROR(__xludf.DUMMYFUNCTION("GOOGLETRANSLATE(B141, ""en"", ""hi"")"),"यदि खिलाड़ी क्यू का शीर्ष 13 सेकंड तक घूमता है और खिलाड़ी आर का शीर्ष कभी-कभी डगमगाते हुए 13 सेकंड तक घूमता है, तो स्थिरता को प्राथमिकता देने पर कौन जीतता है?")</f>
        <v>यदि खिलाड़ी क्यू का शीर्ष 13 सेकंड तक घूमता है और खिलाड़ी आर का शीर्ष कभी-कभी डगमगाते हुए 13 सेकंड तक घूमता है, तो स्थिरता को प्राथमिकता देने पर कौन जीतता है?</v>
      </c>
      <c r="H141" s="5" t="str">
        <f>IFERROR(__xludf.DUMMYFUNCTION("GOOGLETRANSLATE(C141, ""en"", ""hi"")"),"A) खिलाड़ी Q, B) खिलाड़ी R, C) यह टाई है, D) उपरोक्त में से कोई नहीं")</f>
        <v>A) खिलाड़ी Q, B) खिलाड़ी R, C) यह टाई है, D) उपरोक्त में से कोई नहीं</v>
      </c>
      <c r="I141" s="5" t="str">
        <f>IFERROR(__xludf.DUMMYFUNCTION("GOOGLETRANSLATE(D141, ""en"", ""hi"")"),"ए) खिलाड़ी क्यू")</f>
        <v>ए) खिलाड़ी क्यू</v>
      </c>
    </row>
    <row r="142" ht="22.5" customHeight="1">
      <c r="A142" s="2">
        <v>141.0</v>
      </c>
      <c r="B142" s="3" t="s">
        <v>4869</v>
      </c>
      <c r="C142" s="3" t="s">
        <v>4654</v>
      </c>
      <c r="D142" s="3" t="s">
        <v>4828</v>
      </c>
      <c r="F142" s="5" t="str">
        <f>IFERROR(__xludf.DUMMYFUNCTION("GOOGLETRANSLATE(A142, ""en"", ""hi"")"),"141")</f>
        <v>141</v>
      </c>
      <c r="G142" s="5" t="str">
        <f>IFERROR(__xludf.DUMMYFUNCTION("GOOGLETRANSLATE(B142, ""en"", ""hi"")"),"पम्बरम प्रतियोगिता के दौरान, खिलाड़ी S, अनियमित अंतराल पर, 8 सेकंड के लिए लट्टू को घुमाता है और खिलाड़ी T, 8 सेकंड के लिए लट्टू को घुमाता है। यदि लगातार घुमाव समय को प्राथमिकता दी जाती है, तो कौन जीतता है?")</f>
        <v>पम्बरम प्रतियोगिता के दौरान, खिलाड़ी S, अनियमित अंतराल पर, 8 सेकंड के लिए लट्टू को घुमाता है और खिलाड़ी T, 8 सेकंड के लिए लट्टू को घुमाता है। यदि लगातार घुमाव समय को प्राथमिकता दी जाती है, तो कौन जीतता है?</v>
      </c>
      <c r="H142" s="5" t="str">
        <f>IFERROR(__xludf.DUMMYFUNCTION("GOOGLETRANSLATE(C142, ""en"", ""hi"")"),"A) खिलाड़ी S, B) खिलाड़ी T, C) यह टाई है, D) उपरोक्त में से कोई नहीं")</f>
        <v>A) खिलाड़ी S, B) खिलाड़ी T, C) यह टाई है, D) उपरोक्त में से कोई नहीं</v>
      </c>
      <c r="I142" s="5" t="str">
        <f>IFERROR(__xludf.DUMMYFUNCTION("GOOGLETRANSLATE(D142, ""en"", ""hi"")"),"ए) खिलाड़ी एस")</f>
        <v>ए) खिलाड़ी एस</v>
      </c>
    </row>
    <row r="143" ht="22.5" customHeight="1">
      <c r="A143" s="2">
        <v>142.0</v>
      </c>
      <c r="B143" s="3" t="s">
        <v>4870</v>
      </c>
      <c r="C143" s="3" t="s">
        <v>4657</v>
      </c>
      <c r="D143" s="3" t="s">
        <v>4814</v>
      </c>
      <c r="F143" s="5" t="str">
        <f>IFERROR(__xludf.DUMMYFUNCTION("GOOGLETRANSLATE(A143, ""en"", ""hi"")"),"142")</f>
        <v>142</v>
      </c>
      <c r="G143" s="5" t="str">
        <f>IFERROR(__xludf.DUMMYFUNCTION("GOOGLETRANSLATE(B143, ""en"", ""hi"")"),"खिलाड़ी U गेंद के ऊपरी हिस्से को 10 सेकंड तक घुमाता है और खिलाड़ी V गेंद के ऊपरी हिस्से को 10 सेकंड तक घुमाता है। अगर खिलाड़ी U की गेंद का ऊपरी हिस्सा झुका हुआ और खिलाड़ी V की गेंद का ऊपरी हिस्सा सीधा ज़मीन पर आता है, तो अगर सीधा उतरना पसंद किया जाता है, "&amp;"तो कौन जीतता है?")</f>
        <v>खिलाड़ी U गेंद के ऊपरी हिस्से को 10 सेकंड तक घुमाता है और खिलाड़ी V गेंद के ऊपरी हिस्से को 10 सेकंड तक घुमाता है। अगर खिलाड़ी U की गेंद का ऊपरी हिस्सा झुका हुआ और खिलाड़ी V की गेंद का ऊपरी हिस्सा सीधा ज़मीन पर आता है, तो अगर सीधा उतरना पसंद किया जाता है, तो कौन जीतता है?</v>
      </c>
      <c r="H143" s="5" t="str">
        <f>IFERROR(__xludf.DUMMYFUNCTION("GOOGLETRANSLATE(C143, ""en"", ""hi"")"),"A) खिलाड़ी U, B) खिलाड़ी V, C) यह एक टाई है, D) उपरोक्त में से कोई नहीं")</f>
        <v>A) खिलाड़ी U, B) खिलाड़ी V, C) यह एक टाई है, D) उपरोक्त में से कोई नहीं</v>
      </c>
      <c r="I143" s="5" t="str">
        <f>IFERROR(__xludf.DUMMYFUNCTION("GOOGLETRANSLATE(D143, ""en"", ""hi"")"),"बी) खिलाड़ी वी")</f>
        <v>बी) खिलाड़ी वी</v>
      </c>
    </row>
    <row r="144" ht="22.5" customHeight="1">
      <c r="A144" s="2">
        <v>143.0</v>
      </c>
      <c r="B144" s="3" t="s">
        <v>4871</v>
      </c>
      <c r="C144" s="3" t="s">
        <v>4660</v>
      </c>
      <c r="D144" s="3" t="s">
        <v>4862</v>
      </c>
      <c r="F144" s="5" t="str">
        <f>IFERROR(__xludf.DUMMYFUNCTION("GOOGLETRANSLATE(A144, ""en"", ""hi"")"),"143")</f>
        <v>143</v>
      </c>
      <c r="G144" s="5" t="str">
        <f>IFERROR(__xludf.DUMMYFUNCTION("GOOGLETRANSLATE(B144, ""en"", ""hi"")"),"यदि खिलाड़ी W का शीर्ष 11 सेकंड तक घूमता है और खिलाड़ी X का शीर्ष कभी-कभी आवाज के साथ 11 सेकंड तक घूमता है, तो यदि मौन को प्राथमिकता दी जाती है तो कौन जीतता है?")</f>
        <v>यदि खिलाड़ी W का शीर्ष 11 सेकंड तक घूमता है और खिलाड़ी X का शीर्ष कभी-कभी आवाज के साथ 11 सेकंड तक घूमता है, तो यदि मौन को प्राथमिकता दी जाती है तो कौन जीतता है?</v>
      </c>
      <c r="H144" s="5" t="str">
        <f>IFERROR(__xludf.DUMMYFUNCTION("GOOGLETRANSLATE(C144, ""en"", ""hi"")"),"A) खिलाड़ी W, B) खिलाड़ी X, C) यह टाई है, D) उपरोक्त में से कोई नहीं")</f>
        <v>A) खिलाड़ी W, B) खिलाड़ी X, C) यह टाई है, D) उपरोक्त में से कोई नहीं</v>
      </c>
      <c r="I144" s="5" t="str">
        <f>IFERROR(__xludf.DUMMYFUNCTION("GOOGLETRANSLATE(D144, ""en"", ""hi"")"),"D) उपरोक्त में से कोई नहीं")</f>
        <v>D) उपरोक्त में से कोई नहीं</v>
      </c>
    </row>
    <row r="145" ht="22.5" customHeight="1">
      <c r="A145" s="2">
        <v>144.0</v>
      </c>
      <c r="B145" s="3" t="s">
        <v>4872</v>
      </c>
      <c r="C145" s="3" t="s">
        <v>4663</v>
      </c>
      <c r="D145" s="3" t="s">
        <v>4800</v>
      </c>
      <c r="F145" s="5" t="str">
        <f>IFERROR(__xludf.DUMMYFUNCTION("GOOGLETRANSLATE(A145, ""en"", ""hi"")"),"144")</f>
        <v>144</v>
      </c>
      <c r="G145" s="5" t="str">
        <f>IFERROR(__xludf.DUMMYFUNCTION("GOOGLETRANSLATE(B145, ""en"", ""hi"")"),"पम्बरम मैच के दौरान, खिलाड़ी Y गेंद को 6 सेकंड तक और खिलाड़ी Z गेंद को 6 सेकंड तक घुमाता है। अगर खिलाड़ी Y की गेंद थोड़ा हिलती है और खिलाड़ी Z की गेंद आसानी से घूमती है, तो अगर गेंद की चिकनाई को प्राथमिकता दी जाए, तो कौन जीतता है?")</f>
        <v>पम्बरम मैच के दौरान, खिलाड़ी Y गेंद को 6 सेकंड तक और खिलाड़ी Z गेंद को 6 सेकंड तक घुमाता है। अगर खिलाड़ी Y की गेंद थोड़ा हिलती है और खिलाड़ी Z की गेंद आसानी से घूमती है, तो अगर गेंद की चिकनाई को प्राथमिकता दी जाए, तो कौन जीतता है?</v>
      </c>
      <c r="H145" s="5" t="str">
        <f>IFERROR(__xludf.DUMMYFUNCTION("GOOGLETRANSLATE(C145, ""en"", ""hi"")"),"A) खिलाड़ी Y, B) खिलाड़ी Z, C) यह टाई है, D) उपरोक्त में से कोई नहीं")</f>
        <v>A) खिलाड़ी Y, B) खिलाड़ी Z, C) यह टाई है, D) उपरोक्त में से कोई नहीं</v>
      </c>
      <c r="I145" s="5" t="str">
        <f>IFERROR(__xludf.DUMMYFUNCTION("GOOGLETRANSLATE(D145, ""en"", ""hi"")"),"बी) खिलाड़ी जेड")</f>
        <v>बी) खिलाड़ी जेड</v>
      </c>
    </row>
    <row r="146" ht="22.5" customHeight="1">
      <c r="A146" s="2">
        <v>145.0</v>
      </c>
      <c r="B146" s="3" t="s">
        <v>4873</v>
      </c>
      <c r="C146" s="3" t="s">
        <v>4627</v>
      </c>
      <c r="D146" s="3" t="s">
        <v>4628</v>
      </c>
      <c r="F146" s="5" t="str">
        <f>IFERROR(__xludf.DUMMYFUNCTION("GOOGLETRANSLATE(A146, ""en"", ""hi"")"),"145")</f>
        <v>145</v>
      </c>
      <c r="G146" s="5" t="str">
        <f>IFERROR(__xludf.DUMMYFUNCTION("GOOGLETRANSLATE(B146, ""en"", ""hi"")"),"खिलाड़ी A, 9 सेकंड के लिए और खिलाड़ी B, अनियमित अंतराल पर, 9 सेकंड के लिए, ऊपरी भाग को घुमाता है। अगर खेल में लगातार घूमने के समय को महत्व दिया जाता है, तो कौन जीतता है?")</f>
        <v>खिलाड़ी A, 9 सेकंड के लिए और खिलाड़ी B, अनियमित अंतराल पर, 9 सेकंड के लिए, ऊपरी भाग को घुमाता है। अगर खेल में लगातार घूमने के समय को महत्व दिया जाता है, तो कौन जीतता है?</v>
      </c>
      <c r="H146" s="5" t="str">
        <f>IFERROR(__xludf.DUMMYFUNCTION("GOOGLETRANSLATE(C146, ""en"", ""hi"")"),"A) खिलाड़ी A, B) खिलाड़ी B, C) यह टाई है, D) उपरोक्त में से कोई नहीं")</f>
        <v>A) खिलाड़ी A, B) खिलाड़ी B, C) यह टाई है, D) उपरोक्त में से कोई नहीं</v>
      </c>
      <c r="I146" s="5" t="str">
        <f>IFERROR(__xludf.DUMMYFUNCTION("GOOGLETRANSLATE(D146, ""en"", ""hi"")"),"ए) खिलाड़ी ए")</f>
        <v>ए) खिलाड़ी ए</v>
      </c>
    </row>
    <row r="147" ht="22.5" customHeight="1">
      <c r="A147" s="2">
        <v>146.0</v>
      </c>
      <c r="B147" s="3" t="s">
        <v>4874</v>
      </c>
      <c r="C147" s="3" t="s">
        <v>4630</v>
      </c>
      <c r="D147" s="3" t="s">
        <v>4803</v>
      </c>
      <c r="F147" s="5" t="str">
        <f>IFERROR(__xludf.DUMMYFUNCTION("GOOGLETRANSLATE(A147, ""en"", ""hi"")"),"146")</f>
        <v>146</v>
      </c>
      <c r="G147" s="5" t="str">
        <f>IFERROR(__xludf.DUMMYFUNCTION("GOOGLETRANSLATE(B147, ""en"", ""hi"")"),"एक पम्बरम प्रतियोगिता के दौरान, खिलाड़ी C गेंद के ऊपरी हिस्से को 14 सेकंड तक घुमाता है और खिलाड़ी D गेंद के ऊपरी हिस्से को 14 सेकंड तक घुमाता है। अगर खिलाड़ी C की गेंद का ऊपरी हिस्सा झुका हुआ और खिलाड़ी D की गेंद का ऊपरी हिस्सा सीधा गिरता है, तो अगर सीधा "&amp;"गिरना पसंद किया जाता है, तो कौन जीतता है?")</f>
        <v>एक पम्बरम प्रतियोगिता के दौरान, खिलाड़ी C गेंद के ऊपरी हिस्से को 14 सेकंड तक घुमाता है और खिलाड़ी D गेंद के ऊपरी हिस्से को 14 सेकंड तक घुमाता है। अगर खिलाड़ी C की गेंद का ऊपरी हिस्सा झुका हुआ और खिलाड़ी D की गेंद का ऊपरी हिस्सा सीधा गिरता है, तो अगर सीधा गिरना पसंद किया जाता है, तो कौन जीतता है?</v>
      </c>
      <c r="H147" s="5" t="str">
        <f>IFERROR(__xludf.DUMMYFUNCTION("GOOGLETRANSLATE(C147, ""en"", ""hi"")"),"A) खिलाड़ी C, B) खिलाड़ी D, C) यह टाई है, D) उपरोक्त में से कोई नहीं")</f>
        <v>A) खिलाड़ी C, B) खिलाड़ी D, C) यह टाई है, D) उपरोक्त में से कोई नहीं</v>
      </c>
      <c r="I147" s="5" t="str">
        <f>IFERROR(__xludf.DUMMYFUNCTION("GOOGLETRANSLATE(D147, ""en"", ""hi"")"),"बी) खिलाड़ी डी")</f>
        <v>बी) खिलाड़ी डी</v>
      </c>
    </row>
    <row r="148" ht="22.5" customHeight="1">
      <c r="A148" s="2">
        <v>147.0</v>
      </c>
      <c r="B148" s="3" t="s">
        <v>4875</v>
      </c>
      <c r="C148" s="3" t="s">
        <v>4781</v>
      </c>
      <c r="D148" s="3" t="s">
        <v>4805</v>
      </c>
      <c r="F148" s="5" t="str">
        <f>IFERROR(__xludf.DUMMYFUNCTION("GOOGLETRANSLATE(A148, ""en"", ""hi"")"),"147")</f>
        <v>147</v>
      </c>
      <c r="G148" s="5" t="str">
        <f>IFERROR(__xludf.DUMMYFUNCTION("GOOGLETRANSLATE(B148, ""en"", ""hi"")"),"यदि खिलाड़ी ई का शीर्ष 7 सेकंड तक घूमता है और खिलाड़ी एफ का शीर्ष कभी-कभी डगमगाते हुए 7 सेकंड तक घूमता है, तो स्थिरता को प्राथमिकता देने पर कौन जीतता है?")</f>
        <v>यदि खिलाड़ी ई का शीर्ष 7 सेकंड तक घूमता है और खिलाड़ी एफ का शीर्ष कभी-कभी डगमगाते हुए 7 सेकंड तक घूमता है, तो स्थिरता को प्राथमिकता देने पर कौन जीतता है?</v>
      </c>
      <c r="H148" s="5" t="str">
        <f>IFERROR(__xludf.DUMMYFUNCTION("GOOGLETRANSLATE(C148, ""en"", ""hi"")"),"A) खिलाड़ी E, B) खिलाड़ी F, C) यह टाई है, D) उपरोक्त में से कोई नहीं")</f>
        <v>A) खिलाड़ी E, B) खिलाड़ी F, C) यह टाई है, D) उपरोक्त में से कोई नहीं</v>
      </c>
      <c r="I148" s="5" t="str">
        <f>IFERROR(__xludf.DUMMYFUNCTION("GOOGLETRANSLATE(D148, ""en"", ""hi"")"),"ए) खिलाड़ी ई")</f>
        <v>ए) खिलाड़ी ई</v>
      </c>
    </row>
    <row r="149" ht="22.5" customHeight="1">
      <c r="A149" s="2">
        <v>148.0</v>
      </c>
      <c r="B149" s="3" t="s">
        <v>4876</v>
      </c>
      <c r="C149" s="3" t="s">
        <v>4783</v>
      </c>
      <c r="D149" s="3" t="s">
        <v>4637</v>
      </c>
      <c r="F149" s="5" t="str">
        <f>IFERROR(__xludf.DUMMYFUNCTION("GOOGLETRANSLATE(A149, ""en"", ""hi"")"),"148")</f>
        <v>148</v>
      </c>
      <c r="G149" s="5" t="str">
        <f>IFERROR(__xludf.DUMMYFUNCTION("GOOGLETRANSLATE(B149, ""en"", ""hi"")"),"पम्बरम मैच के दौरान, खिलाड़ी G, गेंद के ऊपरी हिस्से को 12 सेकंड तक घुमाता है और खिलाड़ी H, गेंद के ऊपरी हिस्से को 12 सेकंड तक घुमाता है। अगर खिलाड़ी G की गेंद से आवाज़ आती है और खिलाड़ी H की गेंद आसानी से घूमती है, तो अगर गेंद के सीधे घूमने को प्राथमिकता "&amp;"दी जाती है, तो कौन जीतता है?")</f>
        <v>पम्बरम मैच के दौरान, खिलाड़ी G, गेंद के ऊपरी हिस्से को 12 सेकंड तक घुमाता है और खिलाड़ी H, गेंद के ऊपरी हिस्से को 12 सेकंड तक घुमाता है। अगर खिलाड़ी G की गेंद से आवाज़ आती है और खिलाड़ी H की गेंद आसानी से घूमती है, तो अगर गेंद के सीधे घूमने को प्राथमिकता दी जाती है, तो कौन जीतता है?</v>
      </c>
      <c r="H149" s="5" t="str">
        <f>IFERROR(__xludf.DUMMYFUNCTION("GOOGLETRANSLATE(C149, ""en"", ""hi"")"),"A) खिलाड़ी G, B) खिलाड़ी H, C) यह टाई है, D) उपरोक्त में से कोई नहीं")</f>
        <v>A) खिलाड़ी G, B) खिलाड़ी H, C) यह टाई है, D) उपरोक्त में से कोई नहीं</v>
      </c>
      <c r="I149" s="5" t="str">
        <f>IFERROR(__xludf.DUMMYFUNCTION("GOOGLETRANSLATE(D149, ""en"", ""hi"")"),"बी) खिलाड़ी एच")</f>
        <v>बी) खिलाड़ी एच</v>
      </c>
    </row>
    <row r="150" ht="22.5" customHeight="1">
      <c r="A150" s="2">
        <v>149.0</v>
      </c>
      <c r="B150" s="3" t="s">
        <v>4877</v>
      </c>
      <c r="C150" s="3" t="s">
        <v>4639</v>
      </c>
      <c r="D150" s="3" t="s">
        <v>4640</v>
      </c>
      <c r="F150" s="5" t="str">
        <f>IFERROR(__xludf.DUMMYFUNCTION("GOOGLETRANSLATE(A150, ""en"", ""hi"")"),"149")</f>
        <v>149</v>
      </c>
      <c r="G150" s="5" t="str">
        <f>IFERROR(__xludf.DUMMYFUNCTION("GOOGLETRANSLATE(B150, ""en"", ""hi"")"),"खिलाड़ी I, गेंद के ऊपरी हिस्से को 10 सेकंड तक घुमाता है और खिलाड़ी J, गेंद के ऊपरी हिस्से को अनियमित अंतराल पर 10 सेकंड तक घुमाता है। अगर लगातार घुमाव समय को प्राथमिकता दी जाती है, तो कौन जीतता है?")</f>
        <v>खिलाड़ी I, गेंद के ऊपरी हिस्से को 10 सेकंड तक घुमाता है और खिलाड़ी J, गेंद के ऊपरी हिस्से को अनियमित अंतराल पर 10 सेकंड तक घुमाता है। अगर लगातार घुमाव समय को प्राथमिकता दी जाती है, तो कौन जीतता है?</v>
      </c>
      <c r="H150" s="5" t="str">
        <f>IFERROR(__xludf.DUMMYFUNCTION("GOOGLETRANSLATE(C150, ""en"", ""hi"")"),"A) खिलाड़ी I, B) खिलाड़ी J, C) यह टाई है, D) उपरोक्त में से कोई नहीं")</f>
        <v>A) खिलाड़ी I, B) खिलाड़ी J, C) यह टाई है, D) उपरोक्त में से कोई नहीं</v>
      </c>
      <c r="I150" s="5" t="str">
        <f>IFERROR(__xludf.DUMMYFUNCTION("GOOGLETRANSLATE(D150, ""en"", ""hi"")"),"ए) खिलाड़ी I")</f>
        <v>ए) खिलाड़ी I</v>
      </c>
    </row>
    <row r="151" ht="22.5" customHeight="1">
      <c r="A151" s="2">
        <v>150.0</v>
      </c>
      <c r="B151" s="3" t="s">
        <v>4878</v>
      </c>
      <c r="C151" s="3" t="s">
        <v>4642</v>
      </c>
      <c r="D151" s="3" t="s">
        <v>4862</v>
      </c>
      <c r="F151" s="5" t="str">
        <f>IFERROR(__xludf.DUMMYFUNCTION("GOOGLETRANSLATE(A151, ""en"", ""hi"")"),"150")</f>
        <v>150</v>
      </c>
      <c r="G151" s="5" t="str">
        <f>IFERROR(__xludf.DUMMYFUNCTION("GOOGLETRANSLATE(B151, ""en"", ""hi"")"),"यदि खिलाड़ी K का शीर्ष 13 सेकंड तक घूमता है और खिलाड़ी L का शीर्ष कभी-कभी आवाज के साथ 13 सेकंड तक घूमता है, तो यदि मौन को प्राथमिकता दी जाती है तो कौन जीतता है?")</f>
        <v>यदि खिलाड़ी K का शीर्ष 13 सेकंड तक घूमता है और खिलाड़ी L का शीर्ष कभी-कभी आवाज के साथ 13 सेकंड तक घूमता है, तो यदि मौन को प्राथमिकता दी जाती है तो कौन जीतता है?</v>
      </c>
      <c r="H151" s="5" t="str">
        <f>IFERROR(__xludf.DUMMYFUNCTION("GOOGLETRANSLATE(C151, ""en"", ""hi"")"),"A) खिलाड़ी K, B) खिलाड़ी L, C) यह टाई है, D) उपरोक्त में से कोई नहीं")</f>
        <v>A) खिलाड़ी K, B) खिलाड़ी L, C) यह टाई है, D) उपरोक्त में से कोई नहीं</v>
      </c>
      <c r="I151" s="5" t="str">
        <f>IFERROR(__xludf.DUMMYFUNCTION("GOOGLETRANSLATE(D151, ""en"", ""hi"")"),"D) उपरोक्त में से कोई नहीं")</f>
        <v>D) उपरोक्त में से कोई नहीं</v>
      </c>
    </row>
    <row r="152" ht="22.5" customHeight="1">
      <c r="A152" s="2">
        <v>151.0</v>
      </c>
      <c r="B152" s="3" t="s">
        <v>4879</v>
      </c>
      <c r="C152" s="3" t="s">
        <v>4790</v>
      </c>
      <c r="D152" s="3" t="s">
        <v>4646</v>
      </c>
      <c r="F152" s="5" t="str">
        <f>IFERROR(__xludf.DUMMYFUNCTION("GOOGLETRANSLATE(A152, ""en"", ""hi"")"),"151")</f>
        <v>151</v>
      </c>
      <c r="G152" s="5" t="str">
        <f>IFERROR(__xludf.DUMMYFUNCTION("GOOGLETRANSLATE(B152, ""en"", ""hi"")"),"एक पम्बरम प्रतियोगिता के दौरान, खिलाड़ी M गेंद के ऊपरी हिस्से को 8 सेकंड तक घुमाता है और खिलाड़ी N गेंद के ऊपरी हिस्से को 8 सेकंड तक घुमाता है। यदि खिलाड़ी M की गेंद का ऊपरी हिस्सा झुका हुआ और खिलाड़ी N की गेंद का ऊपरी हिस्सा सीधा गिरता है, तो यदि सीधा गि"&amp;"रना पसंद किया जाता है, तो कौन जीतता है?")</f>
        <v>एक पम्बरम प्रतियोगिता के दौरान, खिलाड़ी M गेंद के ऊपरी हिस्से को 8 सेकंड तक घुमाता है और खिलाड़ी N गेंद के ऊपरी हिस्से को 8 सेकंड तक घुमाता है। यदि खिलाड़ी M की गेंद का ऊपरी हिस्सा झुका हुआ और खिलाड़ी N की गेंद का ऊपरी हिस्सा सीधा गिरता है, तो यदि सीधा गिरना पसंद किया जाता है, तो कौन जीतता है?</v>
      </c>
      <c r="H152" s="5" t="str">
        <f>IFERROR(__xludf.DUMMYFUNCTION("GOOGLETRANSLATE(C152, ""en"", ""hi"")"),"A) खिलाड़ी M, B) खिलाड़ी N, C) यह टाई है, D) उपरोक्त में से कोई नहीं")</f>
        <v>A) खिलाड़ी M, B) खिलाड़ी N, C) यह टाई है, D) उपरोक्त में से कोई नहीं</v>
      </c>
      <c r="I152" s="5" t="str">
        <f>IFERROR(__xludf.DUMMYFUNCTION("GOOGLETRANSLATE(D152, ""en"", ""hi"")"),"बी) खिलाड़ी एन")</f>
        <v>बी) खिलाड़ी एन</v>
      </c>
    </row>
    <row r="153" ht="22.5" customHeight="1">
      <c r="A153" s="2">
        <v>152.0</v>
      </c>
      <c r="B153" s="3" t="s">
        <v>4880</v>
      </c>
      <c r="C153" s="3" t="s">
        <v>4648</v>
      </c>
      <c r="D153" s="3" t="s">
        <v>4793</v>
      </c>
      <c r="F153" s="5" t="str">
        <f>IFERROR(__xludf.DUMMYFUNCTION("GOOGLETRANSLATE(A153, ""en"", ""hi"")"),"152")</f>
        <v>152</v>
      </c>
      <c r="G153" s="5" t="str">
        <f>IFERROR(__xludf.DUMMYFUNCTION("GOOGLETRANSLATE(B153, ""en"", ""hi"")"),"खिलाड़ी O, गेंद के ऊपरी हिस्से को 11 सेकंड तक घुमाता है और खिलाड़ी P, गेंद के ऊपरी हिस्से को 11 सेकंड तक घुमाता है। अगर खिलाड़ी O का ऊपरी हिस्सा थोड़ा हिलता है और खिलाड़ी P का ऊपरी हिस्सा आसानी से घूमता है, तो अगर चिकनापन पसंद किया जाता है, तो कौन जीतता ह"&amp;"ै?")</f>
        <v>खिलाड़ी O, गेंद के ऊपरी हिस्से को 11 सेकंड तक घुमाता है और खिलाड़ी P, गेंद के ऊपरी हिस्से को 11 सेकंड तक घुमाता है। अगर खिलाड़ी O का ऊपरी हिस्सा थोड़ा हिलता है और खिलाड़ी P का ऊपरी हिस्सा आसानी से घूमता है, तो अगर चिकनापन पसंद किया जाता है, तो कौन जीतता है?</v>
      </c>
      <c r="H153" s="5" t="str">
        <f>IFERROR(__xludf.DUMMYFUNCTION("GOOGLETRANSLATE(C153, ""en"", ""hi"")"),"A) खिलाड़ी O, B) खिलाड़ी P, C) यह टाई है, D) उपरोक्त में से कोई नहीं")</f>
        <v>A) खिलाड़ी O, B) खिलाड़ी P, C) यह टाई है, D) उपरोक्त में से कोई नहीं</v>
      </c>
      <c r="I153" s="5" t="str">
        <f>IFERROR(__xludf.DUMMYFUNCTION("GOOGLETRANSLATE(D153, ""en"", ""hi"")"),"बी) खिलाड़ी पी")</f>
        <v>बी) खिलाड़ी पी</v>
      </c>
    </row>
    <row r="154" ht="22.5" customHeight="1">
      <c r="A154" s="2">
        <v>153.0</v>
      </c>
      <c r="B154" s="3" t="s">
        <v>4881</v>
      </c>
      <c r="C154" s="3" t="s">
        <v>4651</v>
      </c>
      <c r="D154" s="3" t="s">
        <v>4652</v>
      </c>
      <c r="F154" s="5" t="str">
        <f>IFERROR(__xludf.DUMMYFUNCTION("GOOGLETRANSLATE(A154, ""en"", ""hi"")"),"153")</f>
        <v>153</v>
      </c>
      <c r="G154" s="5" t="str">
        <f>IFERROR(__xludf.DUMMYFUNCTION("GOOGLETRANSLATE(B154, ""en"", ""hi"")"),"यदि खिलाड़ी Q का शीर्ष 9 सेकंड तक घूमता है और खिलाड़ी R का शीर्ष अनियमित अंतराल के साथ 9 सेकंड तक घूमता है, तो यदि लगातार घूमने वाले समय को प्राथमिकता दी जाती है तो कौन जीतता है?")</f>
        <v>यदि खिलाड़ी Q का शीर्ष 9 सेकंड तक घूमता है और खिलाड़ी R का शीर्ष अनियमित अंतराल के साथ 9 सेकंड तक घूमता है, तो यदि लगातार घूमने वाले समय को प्राथमिकता दी जाती है तो कौन जीतता है?</v>
      </c>
      <c r="H154" s="5" t="str">
        <f>IFERROR(__xludf.DUMMYFUNCTION("GOOGLETRANSLATE(C154, ""en"", ""hi"")"),"A) खिलाड़ी Q, B) खिलाड़ी R, C) यह टाई है, D) उपरोक्त में से कोई नहीं")</f>
        <v>A) खिलाड़ी Q, B) खिलाड़ी R, C) यह टाई है, D) उपरोक्त में से कोई नहीं</v>
      </c>
      <c r="I154" s="5" t="str">
        <f>IFERROR(__xludf.DUMMYFUNCTION("GOOGLETRANSLATE(D154, ""en"", ""hi"")"),"ए) खिलाड़ी क्यू")</f>
        <v>ए) खिलाड़ी क्यू</v>
      </c>
    </row>
    <row r="155" ht="22.5" customHeight="1">
      <c r="A155" s="2">
        <v>154.0</v>
      </c>
      <c r="B155" s="3" t="s">
        <v>4882</v>
      </c>
      <c r="C155" s="3" t="s">
        <v>4654</v>
      </c>
      <c r="D155" s="3" t="s">
        <v>4828</v>
      </c>
      <c r="F155" s="5" t="str">
        <f>IFERROR(__xludf.DUMMYFUNCTION("GOOGLETRANSLATE(A155, ""en"", ""hi"")"),"154")</f>
        <v>154</v>
      </c>
      <c r="G155" s="5" t="str">
        <f>IFERROR(__xludf.DUMMYFUNCTION("GOOGLETRANSLATE(B155, ""en"", ""hi"")"),"पम्बरम मैच के दौरान, खिलाड़ी S गेंद के ऊपरी हिस्से को 7 सेकंड तक घुमाता है और खिलाड़ी T गेंद के ऊपरी हिस्से को 7 सेकंड तक घुमाता है। अगर खिलाड़ी S की गेंद का ऊपरी हिस्सा सीधा और खिलाड़ी T की गेंद का ऊपरी हिस्सा तिरछा होकर गिरता है, तो अगर सीधा गिरना पसंद "&amp;"किया जाता है, तो कौन जीतता है?")</f>
        <v>पम्बरम मैच के दौरान, खिलाड़ी S गेंद के ऊपरी हिस्से को 7 सेकंड तक घुमाता है और खिलाड़ी T गेंद के ऊपरी हिस्से को 7 सेकंड तक घुमाता है। अगर खिलाड़ी S की गेंद का ऊपरी हिस्सा सीधा और खिलाड़ी T की गेंद का ऊपरी हिस्सा तिरछा होकर गिरता है, तो अगर सीधा गिरना पसंद किया जाता है, तो कौन जीतता है?</v>
      </c>
      <c r="H155" s="5" t="str">
        <f>IFERROR(__xludf.DUMMYFUNCTION("GOOGLETRANSLATE(C155, ""en"", ""hi"")"),"A) खिलाड़ी S, B) खिलाड़ी T, C) यह टाई है, D) उपरोक्त में से कोई नहीं")</f>
        <v>A) खिलाड़ी S, B) खिलाड़ी T, C) यह टाई है, D) उपरोक्त में से कोई नहीं</v>
      </c>
      <c r="I155" s="5" t="str">
        <f>IFERROR(__xludf.DUMMYFUNCTION("GOOGLETRANSLATE(D155, ""en"", ""hi"")"),"ए) खिलाड़ी एस")</f>
        <v>ए) खिलाड़ी एस</v>
      </c>
    </row>
    <row r="156" ht="22.5" customHeight="1">
      <c r="A156" s="2">
        <v>155.0</v>
      </c>
      <c r="B156" s="3" t="s">
        <v>4883</v>
      </c>
      <c r="C156" s="3" t="s">
        <v>4657</v>
      </c>
      <c r="D156" s="3" t="s">
        <v>4862</v>
      </c>
      <c r="F156" s="5" t="str">
        <f>IFERROR(__xludf.DUMMYFUNCTION("GOOGLETRANSLATE(A156, ""en"", ""hi"")"),"155")</f>
        <v>155</v>
      </c>
      <c r="G156" s="5" t="str">
        <f>IFERROR(__xludf.DUMMYFUNCTION("GOOGLETRANSLATE(B156, ""en"", ""hi"")"),"खिलाड़ी U, 12 सेकंड के लिए ऊपरी हिस्से को घुमाता है और खिलाड़ी V, बीच-बीच में आवाज़ें निकालते हुए, 12 सेकंड के लिए ऊपरी हिस्से को घुमाता है। अगर मौन को प्राथमिकता दी जाए तो कौन जीतता है?")</f>
        <v>खिलाड़ी U, 12 सेकंड के लिए ऊपरी हिस्से को घुमाता है और खिलाड़ी V, बीच-बीच में आवाज़ें निकालते हुए, 12 सेकंड के लिए ऊपरी हिस्से को घुमाता है। अगर मौन को प्राथमिकता दी जाए तो कौन जीतता है?</v>
      </c>
      <c r="H156" s="5" t="str">
        <f>IFERROR(__xludf.DUMMYFUNCTION("GOOGLETRANSLATE(C156, ""en"", ""hi"")"),"A) खिलाड़ी U, B) खिलाड़ी V, C) यह एक टाई है, D) उपरोक्त में से कोई नहीं")</f>
        <v>A) खिलाड़ी U, B) खिलाड़ी V, C) यह एक टाई है, D) उपरोक्त में से कोई नहीं</v>
      </c>
      <c r="I156" s="5" t="str">
        <f>IFERROR(__xludf.DUMMYFUNCTION("GOOGLETRANSLATE(D156, ""en"", ""hi"")"),"D) उपरोक्त में से कोई नहीं")</f>
        <v>D) उपरोक्त में से कोई नहीं</v>
      </c>
    </row>
    <row r="157" ht="22.5" customHeight="1">
      <c r="A157" s="2">
        <v>156.0</v>
      </c>
      <c r="B157" s="3" t="s">
        <v>4884</v>
      </c>
      <c r="C157" s="3" t="s">
        <v>4660</v>
      </c>
      <c r="D157" s="3" t="s">
        <v>4661</v>
      </c>
      <c r="F157" s="5" t="str">
        <f>IFERROR(__xludf.DUMMYFUNCTION("GOOGLETRANSLATE(A157, ""en"", ""hi"")"),"156")</f>
        <v>156</v>
      </c>
      <c r="G157" s="5" t="str">
        <f>IFERROR(__xludf.DUMMYFUNCTION("GOOGLETRANSLATE(B157, ""en"", ""hi"")"),"एक पम्बरम प्रतियोगिता के दौरान, खिलाड़ी W 10 सेकंड के लिए गेंद की ऊपरी सतह को घुमाता है और खिलाड़ी X 10 सेकंड के लिए गेंद की ऊपरी सतह को घुमाता है। यदि खिलाड़ी W की गेंद की ऊपरी सतह झुकी हुई और खिलाड़ी X की गेंद की ऊपरी सतह सीधी हो, तो कौन जीतेगा यदि सीधी"&amp;" लैंडिंग को प्राथमिकता दी जाए?")</f>
        <v>एक पम्बरम प्रतियोगिता के दौरान, खिलाड़ी W 10 सेकंड के लिए गेंद की ऊपरी सतह को घुमाता है और खिलाड़ी X 10 सेकंड के लिए गेंद की ऊपरी सतह को घुमाता है। यदि खिलाड़ी W की गेंद की ऊपरी सतह झुकी हुई और खिलाड़ी X की गेंद की ऊपरी सतह सीधी हो, तो कौन जीतेगा यदि सीधी लैंडिंग को प्राथमिकता दी जाए?</v>
      </c>
      <c r="H157" s="5" t="str">
        <f>IFERROR(__xludf.DUMMYFUNCTION("GOOGLETRANSLATE(C157, ""en"", ""hi"")"),"A) खिलाड़ी W, B) खिलाड़ी X, C) यह टाई है, D) उपरोक्त में से कोई नहीं")</f>
        <v>A) खिलाड़ी W, B) खिलाड़ी X, C) यह टाई है, D) उपरोक्त में से कोई नहीं</v>
      </c>
      <c r="I157" s="5" t="str">
        <f>IFERROR(__xludf.DUMMYFUNCTION("GOOGLETRANSLATE(D157, ""en"", ""hi"")"),"बी) खिलाड़ी एक्स")</f>
        <v>बी) खिलाड़ी एक्स</v>
      </c>
    </row>
    <row r="158" ht="22.5" customHeight="1">
      <c r="A158" s="2">
        <v>157.0</v>
      </c>
      <c r="B158" s="3" t="s">
        <v>4885</v>
      </c>
      <c r="C158" s="3" t="s">
        <v>4663</v>
      </c>
      <c r="D158" s="3" t="s">
        <v>4664</v>
      </c>
      <c r="F158" s="5" t="str">
        <f>IFERROR(__xludf.DUMMYFUNCTION("GOOGLETRANSLATE(A158, ""en"", ""hi"")"),"157")</f>
        <v>157</v>
      </c>
      <c r="G158" s="5" t="str">
        <f>IFERROR(__xludf.DUMMYFUNCTION("GOOGLETRANSLATE(B158, ""en"", ""hi"")"),"यदि खिलाड़ी Y का शीर्ष 8 सेकंड तक घूमता है और खिलाड़ी Z का शीर्ष अनियमित अंतराल के साथ 8 सेकंड तक घूमता है, तो यदि लगातार घूमने वाले समय को प्राथमिकता दी जाती है तो कौन जीतता है?")</f>
        <v>यदि खिलाड़ी Y का शीर्ष 8 सेकंड तक घूमता है और खिलाड़ी Z का शीर्ष अनियमित अंतराल के साथ 8 सेकंड तक घूमता है, तो यदि लगातार घूमने वाले समय को प्राथमिकता दी जाती है तो कौन जीतता है?</v>
      </c>
      <c r="H158" s="5" t="str">
        <f>IFERROR(__xludf.DUMMYFUNCTION("GOOGLETRANSLATE(C158, ""en"", ""hi"")"),"A) खिलाड़ी Y, B) खिलाड़ी Z, C) यह टाई है, D) उपरोक्त में से कोई नहीं")</f>
        <v>A) खिलाड़ी Y, B) खिलाड़ी Z, C) यह टाई है, D) उपरोक्त में से कोई नहीं</v>
      </c>
      <c r="I158" s="5" t="str">
        <f>IFERROR(__xludf.DUMMYFUNCTION("GOOGLETRANSLATE(D158, ""en"", ""hi"")"),"A) खिलाड़ी Y")</f>
        <v>A) खिलाड़ी Y</v>
      </c>
    </row>
    <row r="159" ht="22.5" customHeight="1">
      <c r="A159" s="2">
        <v>158.0</v>
      </c>
      <c r="B159" s="3" t="s">
        <v>4886</v>
      </c>
      <c r="C159" s="3" t="s">
        <v>4627</v>
      </c>
      <c r="D159" s="3" t="s">
        <v>4628</v>
      </c>
      <c r="F159" s="5" t="str">
        <f>IFERROR(__xludf.DUMMYFUNCTION("GOOGLETRANSLATE(A159, ""en"", ""hi"")"),"158")</f>
        <v>158</v>
      </c>
      <c r="G159" s="5" t="str">
        <f>IFERROR(__xludf.DUMMYFUNCTION("GOOGLETRANSLATE(B159, ""en"", ""hi"")"),"खिलाड़ी A गेंद के ऊपरी हिस्से को 14 सेकंड तक घुमाता है और खिलाड़ी B गेंद के ऊपरी हिस्से को 14 सेकंड तक घुमाता है। अगर खिलाड़ी A की गेंद का ऊपरी हिस्सा सीधा और खिलाड़ी B की गेंद का ऊपरी हिस्सा तिरछा होकर गिरता है, तो अगर सीधा गिरना पसंद किया जाता है, तो कौ"&amp;"न जीतेगा?")</f>
        <v>खिलाड़ी A गेंद के ऊपरी हिस्से को 14 सेकंड तक घुमाता है और खिलाड़ी B गेंद के ऊपरी हिस्से को 14 सेकंड तक घुमाता है। अगर खिलाड़ी A की गेंद का ऊपरी हिस्सा सीधा और खिलाड़ी B की गेंद का ऊपरी हिस्सा तिरछा होकर गिरता है, तो अगर सीधा गिरना पसंद किया जाता है, तो कौन जीतेगा?</v>
      </c>
      <c r="H159" s="5" t="str">
        <f>IFERROR(__xludf.DUMMYFUNCTION("GOOGLETRANSLATE(C159, ""en"", ""hi"")"),"A) खिलाड़ी A, B) खिलाड़ी B, C) यह टाई है, D) उपरोक्त में से कोई नहीं")</f>
        <v>A) खिलाड़ी A, B) खिलाड़ी B, C) यह टाई है, D) उपरोक्त में से कोई नहीं</v>
      </c>
      <c r="I159" s="5" t="str">
        <f>IFERROR(__xludf.DUMMYFUNCTION("GOOGLETRANSLATE(D159, ""en"", ""hi"")"),"ए) खिलाड़ी ए")</f>
        <v>ए) खिलाड़ी ए</v>
      </c>
    </row>
    <row r="160" ht="22.5" customHeight="1">
      <c r="A160" s="2">
        <v>159.0</v>
      </c>
      <c r="B160" s="3" t="s">
        <v>4887</v>
      </c>
      <c r="C160" s="3" t="s">
        <v>4630</v>
      </c>
      <c r="D160" s="3" t="s">
        <v>4803</v>
      </c>
      <c r="F160" s="5" t="str">
        <f>IFERROR(__xludf.DUMMYFUNCTION("GOOGLETRANSLATE(A160, ""en"", ""hi"")"),"159")</f>
        <v>159</v>
      </c>
      <c r="G160" s="5" t="str">
        <f>IFERROR(__xludf.DUMMYFUNCTION("GOOGLETRANSLATE(B160, ""en"", ""hi"")"),"पम्बरम मैच के दौरान, खिलाड़ी C गेंद को 9 सेकंड तक और खिलाड़ी D गेंद को 9 सेकंड तक घुमाता है। अगर खिलाड़ी C की गेंद थोड़ा हिलती है और खिलाड़ी D की गेंद आसानी से घूमती है, तो अगर गेंद की चिकनाई को प्राथमिकता दी जाए, तो कौन जीतेगा?")</f>
        <v>पम्बरम मैच के दौरान, खिलाड़ी C गेंद को 9 सेकंड तक और खिलाड़ी D गेंद को 9 सेकंड तक घुमाता है। अगर खिलाड़ी C की गेंद थोड़ा हिलती है और खिलाड़ी D की गेंद आसानी से घूमती है, तो अगर गेंद की चिकनाई को प्राथमिकता दी जाए, तो कौन जीतेगा?</v>
      </c>
      <c r="H160" s="5" t="str">
        <f>IFERROR(__xludf.DUMMYFUNCTION("GOOGLETRANSLATE(C160, ""en"", ""hi"")"),"A) खिलाड़ी C, B) खिलाड़ी D, C) यह टाई है, D) उपरोक्त में से कोई नहीं")</f>
        <v>A) खिलाड़ी C, B) खिलाड़ी D, C) यह टाई है, D) उपरोक्त में से कोई नहीं</v>
      </c>
      <c r="I160" s="5" t="str">
        <f>IFERROR(__xludf.DUMMYFUNCTION("GOOGLETRANSLATE(D160, ""en"", ""hi"")"),"बी) खिलाड़ी डी")</f>
        <v>बी) खिलाड़ी डी</v>
      </c>
    </row>
    <row r="161" ht="22.5" customHeight="1">
      <c r="A161" s="2">
        <v>160.0</v>
      </c>
      <c r="B161" s="3" t="s">
        <v>4888</v>
      </c>
      <c r="C161" s="3" t="s">
        <v>4781</v>
      </c>
      <c r="D161" s="3" t="s">
        <v>4805</v>
      </c>
      <c r="F161" s="5" t="str">
        <f>IFERROR(__xludf.DUMMYFUNCTION("GOOGLETRANSLATE(A161, ""en"", ""hi"")"),"160")</f>
        <v>160</v>
      </c>
      <c r="G161" s="5" t="str">
        <f>IFERROR(__xludf.DUMMYFUNCTION("GOOGLETRANSLATE(B161, ""en"", ""hi"")"),"खिलाड़ी E, ऊपरी हिस्से को 11 सेकंड तक घुमाता है और खिलाड़ी F, ऊपरी हिस्से को बीच-बीच में हिलते-डुलते हुए 11 सेकंड तक घुमाता है। अगर स्थिरता को प्राथमिकता दी जाए तो कौन जीतेगा?")</f>
        <v>खिलाड़ी E, ऊपरी हिस्से को 11 सेकंड तक घुमाता है और खिलाड़ी F, ऊपरी हिस्से को बीच-बीच में हिलते-डुलते हुए 11 सेकंड तक घुमाता है। अगर स्थिरता को प्राथमिकता दी जाए तो कौन जीतेगा?</v>
      </c>
      <c r="H161" s="5" t="str">
        <f>IFERROR(__xludf.DUMMYFUNCTION("GOOGLETRANSLATE(C161, ""en"", ""hi"")"),"A) खिलाड़ी E, B) खिलाड़ी F, C) यह टाई है, D) उपरोक्त में से कोई नहीं")</f>
        <v>A) खिलाड़ी E, B) खिलाड़ी F, C) यह टाई है, D) उपरोक्त में से कोई नहीं</v>
      </c>
      <c r="I161" s="5" t="str">
        <f>IFERROR(__xludf.DUMMYFUNCTION("GOOGLETRANSLATE(D161, ""en"", ""hi"")"),"ए) खिलाड़ी ई")</f>
        <v>ए) खिलाड़ी ई</v>
      </c>
    </row>
    <row r="162" ht="22.5" customHeight="1">
      <c r="A162" s="2">
        <v>161.0</v>
      </c>
      <c r="B162" s="3" t="s">
        <v>4889</v>
      </c>
      <c r="C162" s="3" t="s">
        <v>4783</v>
      </c>
      <c r="D162" s="3" t="s">
        <v>4784</v>
      </c>
      <c r="F162" s="5" t="str">
        <f>IFERROR(__xludf.DUMMYFUNCTION("GOOGLETRANSLATE(A162, ""en"", ""hi"")"),"161")</f>
        <v>161</v>
      </c>
      <c r="G162" s="5" t="str">
        <f>IFERROR(__xludf.DUMMYFUNCTION("GOOGLETRANSLATE(B162, ""en"", ""hi"")"),"यदि खिलाड़ी G का शीर्ष 10 सेकंड तक घूमता है और खिलाड़ी H का शीर्ष अनियमित अंतराल के साथ 10 सेकंड तक घूमता है, तो यदि लगातार घूमने वाले समय को प्राथमिकता दी जाती है तो कौन जीतता है?")</f>
        <v>यदि खिलाड़ी G का शीर्ष 10 सेकंड तक घूमता है और खिलाड़ी H का शीर्ष अनियमित अंतराल के साथ 10 सेकंड तक घूमता है, तो यदि लगातार घूमने वाले समय को प्राथमिकता दी जाती है तो कौन जीतता है?</v>
      </c>
      <c r="H162" s="5" t="str">
        <f>IFERROR(__xludf.DUMMYFUNCTION("GOOGLETRANSLATE(C162, ""en"", ""hi"")"),"A) खिलाड़ी G, B) खिलाड़ी H, C) यह टाई है, D) उपरोक्त में से कोई नहीं")</f>
        <v>A) खिलाड़ी G, B) खिलाड़ी H, C) यह टाई है, D) उपरोक्त में से कोई नहीं</v>
      </c>
      <c r="I162" s="5" t="str">
        <f>IFERROR(__xludf.DUMMYFUNCTION("GOOGLETRANSLATE(D162, ""en"", ""hi"")"),"ए) खिलाड़ी जी")</f>
        <v>ए) खिलाड़ी जी</v>
      </c>
    </row>
    <row r="163" ht="22.5" customHeight="1">
      <c r="A163" s="2">
        <v>162.0</v>
      </c>
      <c r="B163" s="3" t="s">
        <v>4890</v>
      </c>
      <c r="C163" s="3" t="s">
        <v>4639</v>
      </c>
      <c r="D163" s="3" t="s">
        <v>4786</v>
      </c>
      <c r="F163" s="5" t="str">
        <f>IFERROR(__xludf.DUMMYFUNCTION("GOOGLETRANSLATE(A163, ""en"", ""hi"")"),"162")</f>
        <v>162</v>
      </c>
      <c r="G163" s="5" t="str">
        <f>IFERROR(__xludf.DUMMYFUNCTION("GOOGLETRANSLATE(B163, ""en"", ""hi"")"),"पम्बरम प्रतियोगिता के दौरान, खिलाड़ी I गेंद के ऊपरी हिस्से को 8 सेकंड तक घुमाता है और खिलाड़ी J गेंद के ऊपरी हिस्से को 8 सेकंड तक घुमाता है। अगर खिलाड़ी I की गेंद का ऊपरी हिस्सा झुका हुआ और खिलाड़ी J की गेंद का ऊपरी हिस्सा सीधा गिरता है, तो अगर सीधा गिरना"&amp;" पसंद किया जाता है, तो कौन जीतता है?")</f>
        <v>पम्बरम प्रतियोगिता के दौरान, खिलाड़ी I गेंद के ऊपरी हिस्से को 8 सेकंड तक घुमाता है और खिलाड़ी J गेंद के ऊपरी हिस्से को 8 सेकंड तक घुमाता है। अगर खिलाड़ी I की गेंद का ऊपरी हिस्सा झुका हुआ और खिलाड़ी J की गेंद का ऊपरी हिस्सा सीधा गिरता है, तो अगर सीधा गिरना पसंद किया जाता है, तो कौन जीतता है?</v>
      </c>
      <c r="H163" s="5" t="str">
        <f>IFERROR(__xludf.DUMMYFUNCTION("GOOGLETRANSLATE(C163, ""en"", ""hi"")"),"A) खिलाड़ी I, B) खिलाड़ी J, C) यह टाई है, D) उपरोक्त में से कोई नहीं")</f>
        <v>A) खिलाड़ी I, B) खिलाड़ी J, C) यह टाई है, D) उपरोक्त में से कोई नहीं</v>
      </c>
      <c r="I163" s="5" t="str">
        <f>IFERROR(__xludf.DUMMYFUNCTION("GOOGLETRANSLATE(D163, ""en"", ""hi"")"),"बी) खिलाड़ी जे")</f>
        <v>बी) खिलाड़ी जे</v>
      </c>
    </row>
    <row r="164" ht="22.5" customHeight="1">
      <c r="A164" s="2">
        <v>163.0</v>
      </c>
      <c r="B164" s="3" t="s">
        <v>4891</v>
      </c>
      <c r="C164" s="3" t="s">
        <v>4642</v>
      </c>
      <c r="D164" s="3" t="s">
        <v>4862</v>
      </c>
      <c r="F164" s="5" t="str">
        <f>IFERROR(__xludf.DUMMYFUNCTION("GOOGLETRANSLATE(A164, ""en"", ""hi"")"),"163")</f>
        <v>163</v>
      </c>
      <c r="G164" s="5" t="str">
        <f>IFERROR(__xludf.DUMMYFUNCTION("GOOGLETRANSLATE(B164, ""en"", ""hi"")"),"खिलाड़ी K, 12 सेकंड के लिए ऊपरी हिस्से को घुमाता है और खिलाड़ी L, बीच-बीच में आवाज़ें निकालते हुए, 12 सेकंड के लिए ऊपरी हिस्से को घुमाता है। अगर मौन को प्राथमिकता दी जाए तो कौन जीतता है?")</f>
        <v>खिलाड़ी K, 12 सेकंड के लिए ऊपरी हिस्से को घुमाता है और खिलाड़ी L, बीच-बीच में आवाज़ें निकालते हुए, 12 सेकंड के लिए ऊपरी हिस्से को घुमाता है। अगर मौन को प्राथमिकता दी जाए तो कौन जीतता है?</v>
      </c>
      <c r="H164" s="5" t="str">
        <f>IFERROR(__xludf.DUMMYFUNCTION("GOOGLETRANSLATE(C164, ""en"", ""hi"")"),"A) खिलाड़ी K, B) खिलाड़ी L, C) यह टाई है, D) उपरोक्त में से कोई नहीं")</f>
        <v>A) खिलाड़ी K, B) खिलाड़ी L, C) यह टाई है, D) उपरोक्त में से कोई नहीं</v>
      </c>
      <c r="I164" s="5" t="str">
        <f>IFERROR(__xludf.DUMMYFUNCTION("GOOGLETRANSLATE(D164, ""en"", ""hi"")"),"D) उपरोक्त में से कोई नहीं")</f>
        <v>D) उपरोक्त में से कोई नहीं</v>
      </c>
    </row>
    <row r="165" ht="22.5" customHeight="1">
      <c r="A165" s="2">
        <v>164.0</v>
      </c>
      <c r="B165" s="3" t="s">
        <v>4866</v>
      </c>
      <c r="C165" s="3" t="s">
        <v>4790</v>
      </c>
      <c r="D165" s="3" t="s">
        <v>4791</v>
      </c>
      <c r="F165" s="5" t="str">
        <f>IFERROR(__xludf.DUMMYFUNCTION("GOOGLETRANSLATE(A165, ""en"", ""hi"")"),"164")</f>
        <v>164</v>
      </c>
      <c r="G165" s="5" t="str">
        <f>IFERROR(__xludf.DUMMYFUNCTION("GOOGLETRANSLATE(B165, ""en"", ""hi"")"),"पम्बरम मैच के दौरान, खिलाड़ी M गेंद के ऊपरी हिस्से को 7 सेकंड तक घुमाता है और खिलाड़ी N गेंद के ऊपरी हिस्से को 7 सेकंड तक घुमाता है। अगर खिलाड़ी M की गेंद का ऊपरी हिस्सा सीधा और खिलाड़ी N की गेंद का ऊपरी हिस्सा तिरछा गिरता है, तो अगर सीधा गिरना पसंद किया "&amp;"जाता है, तो कौन जीतता है?")</f>
        <v>पम्बरम मैच के दौरान, खिलाड़ी M गेंद के ऊपरी हिस्से को 7 सेकंड तक घुमाता है और खिलाड़ी N गेंद के ऊपरी हिस्से को 7 सेकंड तक घुमाता है। अगर खिलाड़ी M की गेंद का ऊपरी हिस्सा सीधा और खिलाड़ी N की गेंद का ऊपरी हिस्सा तिरछा गिरता है, तो अगर सीधा गिरना पसंद किया जाता है, तो कौन जीतता है?</v>
      </c>
      <c r="H165" s="5" t="str">
        <f>IFERROR(__xludf.DUMMYFUNCTION("GOOGLETRANSLATE(C165, ""en"", ""hi"")"),"A) खिलाड़ी M, B) खिलाड़ी N, C) यह टाई है, D) उपरोक्त में से कोई नहीं")</f>
        <v>A) खिलाड़ी M, B) खिलाड़ी N, C) यह टाई है, D) उपरोक्त में से कोई नहीं</v>
      </c>
      <c r="I165" s="5" t="str">
        <f>IFERROR(__xludf.DUMMYFUNCTION("GOOGLETRANSLATE(D165, ""en"", ""hi"")"),"ए) खिलाड़ी एम")</f>
        <v>ए) खिलाड़ी एम</v>
      </c>
    </row>
    <row r="166" ht="22.5" customHeight="1">
      <c r="A166" s="2">
        <v>165.0</v>
      </c>
      <c r="B166" s="3" t="s">
        <v>4892</v>
      </c>
      <c r="C166" s="3" t="s">
        <v>4648</v>
      </c>
      <c r="D166" s="3" t="s">
        <v>4649</v>
      </c>
      <c r="F166" s="5" t="str">
        <f>IFERROR(__xludf.DUMMYFUNCTION("GOOGLETRANSLATE(A166, ""en"", ""hi"")"),"165")</f>
        <v>165</v>
      </c>
      <c r="G166" s="5" t="str">
        <f>IFERROR(__xludf.DUMMYFUNCTION("GOOGLETRANSLATE(B166, ""en"", ""hi"")"),"खिलाड़ी O, गेंद के ऊपरी हिस्से को 13 सेकंड तक घुमाता है और खिलाड़ी P, गेंद के ऊपरी हिस्से को अनियमित अंतराल पर 13 सेकंड तक घुमाता है। अगर लगातार घुमाव समय को प्राथमिकता दी जाए तो कौन जीतता है?")</f>
        <v>खिलाड़ी O, गेंद के ऊपरी हिस्से को 13 सेकंड तक घुमाता है और खिलाड़ी P, गेंद के ऊपरी हिस्से को अनियमित अंतराल पर 13 सेकंड तक घुमाता है। अगर लगातार घुमाव समय को प्राथमिकता दी जाए तो कौन जीतता है?</v>
      </c>
      <c r="H166" s="5" t="str">
        <f>IFERROR(__xludf.DUMMYFUNCTION("GOOGLETRANSLATE(C166, ""en"", ""hi"")"),"A) खिलाड़ी O, B) खिलाड़ी P, C) यह टाई है, D) उपरोक्त में से कोई नहीं")</f>
        <v>A) खिलाड़ी O, B) खिलाड़ी P, C) यह टाई है, D) उपरोक्त में से कोई नहीं</v>
      </c>
      <c r="I166" s="5" t="str">
        <f>IFERROR(__xludf.DUMMYFUNCTION("GOOGLETRANSLATE(D166, ""en"", ""hi"")"),"A) खिलाड़ी O")</f>
        <v>A) खिलाड़ी O</v>
      </c>
    </row>
    <row r="167" ht="22.5" customHeight="1">
      <c r="A167" s="2">
        <v>166.0</v>
      </c>
      <c r="B167" s="3" t="s">
        <v>4893</v>
      </c>
      <c r="C167" s="3" t="s">
        <v>4651</v>
      </c>
      <c r="D167" s="3" t="s">
        <v>4652</v>
      </c>
      <c r="F167" s="5" t="str">
        <f>IFERROR(__xludf.DUMMYFUNCTION("GOOGLETRANSLATE(A167, ""en"", ""hi"")"),"166")</f>
        <v>166</v>
      </c>
      <c r="G167" s="5" t="str">
        <f>IFERROR(__xludf.DUMMYFUNCTION("GOOGLETRANSLATE(B167, ""en"", ""hi"")"),"यदि खिलाड़ी क्यू का शीर्ष 14 सेकंड तक घूमता है और खिलाड़ी आर का शीर्ष कभी-कभी डगमगाते हुए 14 सेकंड तक घूमता है, तो स्थिरता को प्राथमिकता देने पर कौन जीतता है?")</f>
        <v>यदि खिलाड़ी क्यू का शीर्ष 14 सेकंड तक घूमता है और खिलाड़ी आर का शीर्ष कभी-कभी डगमगाते हुए 14 सेकंड तक घूमता है, तो स्थिरता को प्राथमिकता देने पर कौन जीतता है?</v>
      </c>
      <c r="H167" s="5" t="str">
        <f>IFERROR(__xludf.DUMMYFUNCTION("GOOGLETRANSLATE(C167, ""en"", ""hi"")"),"A) खिलाड़ी Q, B) खिलाड़ी R, C) यह टाई है, D) उपरोक्त में से कोई नहीं")</f>
        <v>A) खिलाड़ी Q, B) खिलाड़ी R, C) यह टाई है, D) उपरोक्त में से कोई नहीं</v>
      </c>
      <c r="I167" s="5" t="str">
        <f>IFERROR(__xludf.DUMMYFUNCTION("GOOGLETRANSLATE(D167, ""en"", ""hi"")"),"ए) खिलाड़ी क्यू")</f>
        <v>ए) खिलाड़ी क्यू</v>
      </c>
    </row>
    <row r="168" ht="22.5" customHeight="1">
      <c r="A168" s="2">
        <v>167.0</v>
      </c>
      <c r="B168" s="3" t="s">
        <v>4894</v>
      </c>
      <c r="C168" s="3" t="s">
        <v>4654</v>
      </c>
      <c r="D168" s="3" t="s">
        <v>4655</v>
      </c>
      <c r="F168" s="5" t="str">
        <f>IFERROR(__xludf.DUMMYFUNCTION("GOOGLETRANSLATE(A168, ""en"", ""hi"")"),"167")</f>
        <v>167</v>
      </c>
      <c r="G168" s="5" t="str">
        <f>IFERROR(__xludf.DUMMYFUNCTION("GOOGLETRANSLATE(B168, ""en"", ""hi"")"),"एक पम्बरम प्रतियोगिता के दौरान, खिलाड़ी S 10 सेकंड के लिए गेंद की ऊपरी परत घुमाता है और खिलाड़ी T 10 सेकंड के लिए गेंद की ऊपरी परत घुमाता है। यदि खिलाड़ी S की गेंद की ऊपरी परत झुकी हुई और खिलाड़ी T की गेंद की ऊपरी परत सीधी हो, तो कौन जीतेगा यदि सीधी लैंडि"&amp;"ंग पसंद की जाती है?")</f>
        <v>एक पम्बरम प्रतियोगिता के दौरान, खिलाड़ी S 10 सेकंड के लिए गेंद की ऊपरी परत घुमाता है और खिलाड़ी T 10 सेकंड के लिए गेंद की ऊपरी परत घुमाता है। यदि खिलाड़ी S की गेंद की ऊपरी परत झुकी हुई और खिलाड़ी T की गेंद की ऊपरी परत सीधी हो, तो कौन जीतेगा यदि सीधी लैंडिंग पसंद की जाती है?</v>
      </c>
      <c r="H168" s="5" t="str">
        <f>IFERROR(__xludf.DUMMYFUNCTION("GOOGLETRANSLATE(C168, ""en"", ""hi"")"),"A) खिलाड़ी S, B) खिलाड़ी T, C) यह टाई है, D) उपरोक्त में से कोई नहीं")</f>
        <v>A) खिलाड़ी S, B) खिलाड़ी T, C) यह टाई है, D) उपरोक्त में से कोई नहीं</v>
      </c>
      <c r="I168" s="5" t="str">
        <f>IFERROR(__xludf.DUMMYFUNCTION("GOOGLETRANSLATE(D168, ""en"", ""hi"")"),"बी) खिलाड़ी टी")</f>
        <v>बी) खिलाड़ी टी</v>
      </c>
    </row>
    <row r="169" ht="22.5" customHeight="1">
      <c r="A169" s="2">
        <v>168.0</v>
      </c>
      <c r="B169" s="3" t="s">
        <v>4895</v>
      </c>
      <c r="C169" s="3" t="s">
        <v>4657</v>
      </c>
      <c r="D169" s="3" t="s">
        <v>4862</v>
      </c>
      <c r="F169" s="5" t="str">
        <f>IFERROR(__xludf.DUMMYFUNCTION("GOOGLETRANSLATE(A169, ""en"", ""hi"")"),"168")</f>
        <v>168</v>
      </c>
      <c r="G169" s="5" t="str">
        <f>IFERROR(__xludf.DUMMYFUNCTION("GOOGLETRANSLATE(B169, ""en"", ""hi"")"),"खिलाड़ी U, 9 सेकंड के लिए ऊपरी हिस्से को घुमाता है और खिलाड़ी V, बीच-बीच में आवाज़ें निकालते हुए, 9 सेकंड के लिए ऊपरी हिस्से को घुमाता है। अगर मौन को प्राथमिकता दी जाए तो कौन जीतता है?")</f>
        <v>खिलाड़ी U, 9 सेकंड के लिए ऊपरी हिस्से को घुमाता है और खिलाड़ी V, बीच-बीच में आवाज़ें निकालते हुए, 9 सेकंड के लिए ऊपरी हिस्से को घुमाता है। अगर मौन को प्राथमिकता दी जाए तो कौन जीतता है?</v>
      </c>
      <c r="H169" s="5" t="str">
        <f>IFERROR(__xludf.DUMMYFUNCTION("GOOGLETRANSLATE(C169, ""en"", ""hi"")"),"A) खिलाड़ी U, B) खिलाड़ी V, C) यह एक टाई है, D) उपरोक्त में से कोई नहीं")</f>
        <v>A) खिलाड़ी U, B) खिलाड़ी V, C) यह एक टाई है, D) उपरोक्त में से कोई नहीं</v>
      </c>
      <c r="I169" s="5" t="str">
        <f>IFERROR(__xludf.DUMMYFUNCTION("GOOGLETRANSLATE(D169, ""en"", ""hi"")"),"D) उपरोक्त में से कोई नहीं")</f>
        <v>D) उपरोक्त में से कोई नहीं</v>
      </c>
    </row>
    <row r="170" ht="22.5" customHeight="1">
      <c r="A170" s="2">
        <v>169.0</v>
      </c>
      <c r="B170" s="3" t="s">
        <v>4896</v>
      </c>
      <c r="C170" s="3" t="s">
        <v>4660</v>
      </c>
      <c r="D170" s="3" t="s">
        <v>4816</v>
      </c>
      <c r="F170" s="5" t="str">
        <f>IFERROR(__xludf.DUMMYFUNCTION("GOOGLETRANSLATE(A170, ""en"", ""hi"")"),"169")</f>
        <v>169</v>
      </c>
      <c r="G170" s="5" t="str">
        <f>IFERROR(__xludf.DUMMYFUNCTION("GOOGLETRANSLATE(B170, ""en"", ""hi"")"),"पम्बरम मैच के दौरान, खिलाड़ी W गेंद के ऊपरी हिस्से को 8 सेकंड तक घुमाता है और खिलाड़ी X गेंद के ऊपरी हिस्से को 8 सेकंड तक घुमाता है। अगर खिलाड़ी W की गेंद का ऊपरी हिस्सा सीधा और खिलाड़ी X की गेंद का ऊपरी हिस्सा तिरछा होकर गिरता है, तो अगर सीधा गिरना पसंद "&amp;"किया जाता है, तो कौन जीतता है?")</f>
        <v>पम्बरम मैच के दौरान, खिलाड़ी W गेंद के ऊपरी हिस्से को 8 सेकंड तक घुमाता है और खिलाड़ी X गेंद के ऊपरी हिस्से को 8 सेकंड तक घुमाता है। अगर खिलाड़ी W की गेंद का ऊपरी हिस्सा सीधा और खिलाड़ी X की गेंद का ऊपरी हिस्सा तिरछा होकर गिरता है, तो अगर सीधा गिरना पसंद किया जाता है, तो कौन जीतता है?</v>
      </c>
      <c r="H170" s="5" t="str">
        <f>IFERROR(__xludf.DUMMYFUNCTION("GOOGLETRANSLATE(C170, ""en"", ""hi"")"),"A) खिलाड़ी W, B) खिलाड़ी X, C) यह टाई है, D) उपरोक्त में से कोई नहीं")</f>
        <v>A) खिलाड़ी W, B) खिलाड़ी X, C) यह टाई है, D) उपरोक्त में से कोई नहीं</v>
      </c>
      <c r="I170" s="5" t="str">
        <f>IFERROR(__xludf.DUMMYFUNCTION("GOOGLETRANSLATE(D170, ""en"", ""hi"")"),"A) खिलाड़ी W")</f>
        <v>A) खिलाड़ी W</v>
      </c>
    </row>
    <row r="171" ht="22.5" customHeight="1">
      <c r="A171" s="2">
        <v>170.0</v>
      </c>
      <c r="B171" s="3" t="s">
        <v>4897</v>
      </c>
      <c r="C171" s="3" t="s">
        <v>4663</v>
      </c>
      <c r="D171" s="3" t="s">
        <v>4664</v>
      </c>
      <c r="F171" s="5" t="str">
        <f>IFERROR(__xludf.DUMMYFUNCTION("GOOGLETRANSLATE(A171, ""en"", ""hi"")"),"170")</f>
        <v>170</v>
      </c>
      <c r="G171" s="5" t="str">
        <f>IFERROR(__xludf.DUMMYFUNCTION("GOOGLETRANSLATE(B171, ""en"", ""hi"")"),"यदि खिलाड़ी Y का शीर्ष 7 सेकंड तक घूमता है और खिलाड़ी Z का शीर्ष कभी-कभी डगमगाते हुए 7 सेकंड तक घूमता है, तो स्थिरता को प्राथमिकता देने पर कौन जीतता है?")</f>
        <v>यदि खिलाड़ी Y का शीर्ष 7 सेकंड तक घूमता है और खिलाड़ी Z का शीर्ष कभी-कभी डगमगाते हुए 7 सेकंड तक घूमता है, तो स्थिरता को प्राथमिकता देने पर कौन जीतता है?</v>
      </c>
      <c r="H171" s="5" t="str">
        <f>IFERROR(__xludf.DUMMYFUNCTION("GOOGLETRANSLATE(C171, ""en"", ""hi"")"),"A) खिलाड़ी Y, B) खिलाड़ी Z, C) यह टाई है, D) उपरोक्त में से कोई नहीं")</f>
        <v>A) खिलाड़ी Y, B) खिलाड़ी Z, C) यह टाई है, D) उपरोक्त में से कोई नहीं</v>
      </c>
      <c r="I171" s="5" t="str">
        <f>IFERROR(__xludf.DUMMYFUNCTION("GOOGLETRANSLATE(D171, ""en"", ""hi"")"),"A) खिलाड़ी Y")</f>
        <v>A) खिलाड़ी Y</v>
      </c>
    </row>
    <row r="172" ht="22.5" customHeight="1">
      <c r="A172" s="2">
        <v>171.0</v>
      </c>
      <c r="B172" s="3" t="s">
        <v>4898</v>
      </c>
      <c r="C172" s="3" t="s">
        <v>4627</v>
      </c>
      <c r="D172" s="3" t="s">
        <v>4778</v>
      </c>
      <c r="F172" s="5" t="str">
        <f>IFERROR(__xludf.DUMMYFUNCTION("GOOGLETRANSLATE(A172, ""en"", ""hi"")"),"171")</f>
        <v>171</v>
      </c>
      <c r="G172" s="5" t="str">
        <f>IFERROR(__xludf.DUMMYFUNCTION("GOOGLETRANSLATE(B172, ""en"", ""hi"")"),"खिलाड़ी A, गेंद के ऊपरी हिस्से को 12 सेकंड तक घुमाता है और खिलाड़ी B, गेंद के ऊपरी हिस्से को 12 सेकंड तक घुमाता है। यदि खिलाड़ी A की गेंद से आवाज़ आती है और खिलाड़ी B की गेंद आसानी से घूमती है, तो अगर गेंद के सीधे घूमने को प्राथमिकता दी जाती है, तो कौन जी"&amp;"तता है?")</f>
        <v>खिलाड़ी A, गेंद के ऊपरी हिस्से को 12 सेकंड तक घुमाता है और खिलाड़ी B, गेंद के ऊपरी हिस्से को 12 सेकंड तक घुमाता है। यदि खिलाड़ी A की गेंद से आवाज़ आती है और खिलाड़ी B की गेंद आसानी से घूमती है, तो अगर गेंद के सीधे घूमने को प्राथमिकता दी जाती है, तो कौन जीतता है?</v>
      </c>
      <c r="H172" s="5" t="str">
        <f>IFERROR(__xludf.DUMMYFUNCTION("GOOGLETRANSLATE(C172, ""en"", ""hi"")"),"A) खिलाड़ी A, B) खिलाड़ी B, C) यह टाई है, D) उपरोक्त में से कोई नहीं")</f>
        <v>A) खिलाड़ी A, B) खिलाड़ी B, C) यह टाई है, D) उपरोक्त में से कोई नहीं</v>
      </c>
      <c r="I172" s="5" t="str">
        <f>IFERROR(__xludf.DUMMYFUNCTION("GOOGLETRANSLATE(D172, ""en"", ""hi"")"),"बी) खिलाड़ी बी")</f>
        <v>बी) खिलाड़ी बी</v>
      </c>
    </row>
    <row r="173" ht="22.5" customHeight="1">
      <c r="A173" s="2">
        <v>172.0</v>
      </c>
      <c r="B173" s="3" t="s">
        <v>4899</v>
      </c>
      <c r="C173" s="3" t="s">
        <v>4630</v>
      </c>
      <c r="D173" s="3" t="s">
        <v>4803</v>
      </c>
      <c r="F173" s="5" t="str">
        <f>IFERROR(__xludf.DUMMYFUNCTION("GOOGLETRANSLATE(A173, ""en"", ""hi"")"),"172")</f>
        <v>172</v>
      </c>
      <c r="G173" s="5" t="str">
        <f>IFERROR(__xludf.DUMMYFUNCTION("GOOGLETRANSLATE(B173, ""en"", ""hi"")"),"एक पम्बरम प्रतियोगिता के दौरान, खिलाड़ी C गेंद के ऊपरी हिस्से को 11 सेकंड तक घुमाता है और खिलाड़ी D गेंद के ऊपरी हिस्से को 11 सेकंड तक घुमाता है। अगर खिलाड़ी C की गेंद का ऊपरी हिस्सा झुका हुआ और खिलाड़ी D की गेंद का ऊपरी हिस्सा सीधा गिरता है, तो अगर सीधा "&amp;"गिरना पसंद किया जाता है, तो कौन जीतता है?")</f>
        <v>एक पम्बरम प्रतियोगिता के दौरान, खिलाड़ी C गेंद के ऊपरी हिस्से को 11 सेकंड तक घुमाता है और खिलाड़ी D गेंद के ऊपरी हिस्से को 11 सेकंड तक घुमाता है। अगर खिलाड़ी C की गेंद का ऊपरी हिस्सा झुका हुआ और खिलाड़ी D की गेंद का ऊपरी हिस्सा सीधा गिरता है, तो अगर सीधा गिरना पसंद किया जाता है, तो कौन जीतता है?</v>
      </c>
      <c r="H173" s="5" t="str">
        <f>IFERROR(__xludf.DUMMYFUNCTION("GOOGLETRANSLATE(C173, ""en"", ""hi"")"),"A) खिलाड़ी C, B) खिलाड़ी D, C) यह टाई है, D) उपरोक्त में से कोई नहीं")</f>
        <v>A) खिलाड़ी C, B) खिलाड़ी D, C) यह टाई है, D) उपरोक्त में से कोई नहीं</v>
      </c>
      <c r="I173" s="5" t="str">
        <f>IFERROR(__xludf.DUMMYFUNCTION("GOOGLETRANSLATE(D173, ""en"", ""hi"")"),"बी) खिलाड़ी डी")</f>
        <v>बी) खिलाड़ी डी</v>
      </c>
    </row>
    <row r="174" ht="22.5" customHeight="1">
      <c r="A174" s="2">
        <v>173.0</v>
      </c>
      <c r="B174" s="3" t="s">
        <v>4900</v>
      </c>
      <c r="C174" s="3" t="s">
        <v>4781</v>
      </c>
      <c r="D174" s="3" t="s">
        <v>4805</v>
      </c>
      <c r="F174" s="5" t="str">
        <f>IFERROR(__xludf.DUMMYFUNCTION("GOOGLETRANSLATE(A174, ""en"", ""hi"")"),"173")</f>
        <v>173</v>
      </c>
      <c r="G174" s="5" t="str">
        <f>IFERROR(__xludf.DUMMYFUNCTION("GOOGLETRANSLATE(B174, ""en"", ""hi"")"),"यदि खिलाड़ी E का शीर्ष 8 सेकंड तक घूमता है और खिलाड़ी F का शीर्ष अनियमित अंतराल के साथ 8 सेकंड तक घूमता है, तो यदि लगातार घूमने वाले समय को प्राथमिकता दी जाती है तो कौन जीतता है?")</f>
        <v>यदि खिलाड़ी E का शीर्ष 8 सेकंड तक घूमता है और खिलाड़ी F का शीर्ष अनियमित अंतराल के साथ 8 सेकंड तक घूमता है, तो यदि लगातार घूमने वाले समय को प्राथमिकता दी जाती है तो कौन जीतता है?</v>
      </c>
      <c r="H174" s="5" t="str">
        <f>IFERROR(__xludf.DUMMYFUNCTION("GOOGLETRANSLATE(C174, ""en"", ""hi"")"),"A) खिलाड़ी E, B) खिलाड़ी F, C) यह टाई है, D) उपरोक्त में से कोई नहीं")</f>
        <v>A) खिलाड़ी E, B) खिलाड़ी F, C) यह टाई है, D) उपरोक्त में से कोई नहीं</v>
      </c>
      <c r="I174" s="5" t="str">
        <f>IFERROR(__xludf.DUMMYFUNCTION("GOOGLETRANSLATE(D174, ""en"", ""hi"")"),"ए) खिलाड़ी ई")</f>
        <v>ए) खिलाड़ी ई</v>
      </c>
    </row>
    <row r="175" ht="22.5" customHeight="1">
      <c r="A175" s="2">
        <v>174.0</v>
      </c>
      <c r="B175" s="3" t="s">
        <v>4901</v>
      </c>
      <c r="C175" s="3" t="s">
        <v>4783</v>
      </c>
      <c r="D175" s="3" t="s">
        <v>4784</v>
      </c>
      <c r="F175" s="5" t="str">
        <f>IFERROR(__xludf.DUMMYFUNCTION("GOOGLETRANSLATE(A175, ""en"", ""hi"")"),"174")</f>
        <v>174</v>
      </c>
      <c r="G175" s="5" t="str">
        <f>IFERROR(__xludf.DUMMYFUNCTION("GOOGLETRANSLATE(B175, ""en"", ""hi"")"),"पम्बरम मैच के दौरान, खिलाड़ी G, 6 सेकंड के लिए ऊपरी भाग को घुमाता है और खिलाड़ी H, बीच-बीच में हिलते-डुलते हुए, 6 सेकंड के लिए ऊपरी भाग को घुमाता है। अगर स्थिरता को प्राथमिकता दी जाए तो कौन जीतता है?")</f>
        <v>पम्बरम मैच के दौरान, खिलाड़ी G, 6 सेकंड के लिए ऊपरी भाग को घुमाता है और खिलाड़ी H, बीच-बीच में हिलते-डुलते हुए, 6 सेकंड के लिए ऊपरी भाग को घुमाता है। अगर स्थिरता को प्राथमिकता दी जाए तो कौन जीतता है?</v>
      </c>
      <c r="H175" s="5" t="str">
        <f>IFERROR(__xludf.DUMMYFUNCTION("GOOGLETRANSLATE(C175, ""en"", ""hi"")"),"A) खिलाड़ी G, B) खिलाड़ी H, C) यह टाई है, D) उपरोक्त में से कोई नहीं")</f>
        <v>A) खिलाड़ी G, B) खिलाड़ी H, C) यह टाई है, D) उपरोक्त में से कोई नहीं</v>
      </c>
      <c r="I175" s="5" t="str">
        <f>IFERROR(__xludf.DUMMYFUNCTION("GOOGLETRANSLATE(D175, ""en"", ""hi"")"),"ए) खिलाड़ी जी")</f>
        <v>ए) खिलाड़ी जी</v>
      </c>
    </row>
    <row r="176" ht="22.5" customHeight="1">
      <c r="A176" s="2">
        <v>175.0</v>
      </c>
      <c r="B176" s="3" t="s">
        <v>4902</v>
      </c>
      <c r="C176" s="3" t="s">
        <v>4639</v>
      </c>
      <c r="D176" s="3" t="s">
        <v>4862</v>
      </c>
      <c r="F176" s="5" t="str">
        <f>IFERROR(__xludf.DUMMYFUNCTION("GOOGLETRANSLATE(A176, ""en"", ""hi"")"),"175")</f>
        <v>175</v>
      </c>
      <c r="G176" s="5" t="str">
        <f>IFERROR(__xludf.DUMMYFUNCTION("GOOGLETRANSLATE(B176, ""en"", ""hi"")"),"खिलाड़ी I 10 सेकंड के लिए ऊपरी हिस्से को घुमाता है और खिलाड़ी J बीच-बीच में आवाज़ें निकालते हुए 10 सेकंड के लिए ऊपरी हिस्से को घुमाता है। अगर मौन को प्राथमिकता दी जाए तो कौन जीतता है?")</f>
        <v>खिलाड़ी I 10 सेकंड के लिए ऊपरी हिस्से को घुमाता है और खिलाड़ी J बीच-बीच में आवाज़ें निकालते हुए 10 सेकंड के लिए ऊपरी हिस्से को घुमाता है। अगर मौन को प्राथमिकता दी जाए तो कौन जीतता है?</v>
      </c>
      <c r="H176" s="5" t="str">
        <f>IFERROR(__xludf.DUMMYFUNCTION("GOOGLETRANSLATE(C176, ""en"", ""hi"")"),"A) खिलाड़ी I, B) खिलाड़ी J, C) यह टाई है, D) उपरोक्त में से कोई नहीं")</f>
        <v>A) खिलाड़ी I, B) खिलाड़ी J, C) यह टाई है, D) उपरोक्त में से कोई नहीं</v>
      </c>
      <c r="I176" s="5" t="str">
        <f>IFERROR(__xludf.DUMMYFUNCTION("GOOGLETRANSLATE(D176, ""en"", ""hi"")"),"D) उपरोक्त में से कोई नहीं")</f>
        <v>D) उपरोक्त में से कोई नहीं</v>
      </c>
    </row>
    <row r="177" ht="22.5" customHeight="1">
      <c r="A177" s="2">
        <v>176.0</v>
      </c>
      <c r="B177" s="3" t="s">
        <v>4903</v>
      </c>
      <c r="C177" s="3" t="s">
        <v>4642</v>
      </c>
      <c r="D177" s="3" t="s">
        <v>4643</v>
      </c>
      <c r="F177" s="5" t="str">
        <f>IFERROR(__xludf.DUMMYFUNCTION("GOOGLETRANSLATE(A177, ""en"", ""hi"")"),"176")</f>
        <v>176</v>
      </c>
      <c r="G177" s="5" t="str">
        <f>IFERROR(__xludf.DUMMYFUNCTION("GOOGLETRANSLATE(B177, ""en"", ""hi"")"),"एक पम्बरम प्रतियोगिता के दौरान, खिलाड़ी K गेंद के ऊपरी हिस्से को 7 सेकंड तक घुमाता है और खिलाड़ी L गेंद के ऊपरी हिस्से को 7 सेकंड तक घुमाता है। यदि खिलाड़ी K की गेंद का ऊपरी हिस्सा झुका हुआ और खिलाड़ी L की गेंद का ऊपरी हिस्सा सीधा गिरता है, तो यदि सीधा गि"&amp;"रना पसंद किया जाता है, तो कौन जीतता है?")</f>
        <v>एक पम्बरम प्रतियोगिता के दौरान, खिलाड़ी K गेंद के ऊपरी हिस्से को 7 सेकंड तक घुमाता है और खिलाड़ी L गेंद के ऊपरी हिस्से को 7 सेकंड तक घुमाता है। यदि खिलाड़ी K की गेंद का ऊपरी हिस्सा झुका हुआ और खिलाड़ी L की गेंद का ऊपरी हिस्सा सीधा गिरता है, तो यदि सीधा गिरना पसंद किया जाता है, तो कौन जीतता है?</v>
      </c>
      <c r="H177" s="5" t="str">
        <f>IFERROR(__xludf.DUMMYFUNCTION("GOOGLETRANSLATE(C177, ""en"", ""hi"")"),"A) खिलाड़ी K, B) खिलाड़ी L, C) यह टाई है, D) उपरोक्त में से कोई नहीं")</f>
        <v>A) खिलाड़ी K, B) खिलाड़ी L, C) यह टाई है, D) उपरोक्त में से कोई नहीं</v>
      </c>
      <c r="I177" s="5" t="str">
        <f>IFERROR(__xludf.DUMMYFUNCTION("GOOGLETRANSLATE(D177, ""en"", ""hi"")"),"बी) खिलाड़ी एल")</f>
        <v>बी) खिलाड़ी एल</v>
      </c>
    </row>
    <row r="178" ht="22.5" customHeight="1">
      <c r="A178" s="2">
        <v>177.0</v>
      </c>
      <c r="B178" s="3" t="s">
        <v>4904</v>
      </c>
      <c r="C178" s="3" t="s">
        <v>4790</v>
      </c>
      <c r="D178" s="3" t="s">
        <v>4791</v>
      </c>
      <c r="F178" s="5" t="str">
        <f>IFERROR(__xludf.DUMMYFUNCTION("GOOGLETRANSLATE(A178, ""en"", ""hi"")"),"177")</f>
        <v>177</v>
      </c>
      <c r="G178" s="5" t="str">
        <f>IFERROR(__xludf.DUMMYFUNCTION("GOOGLETRANSLATE(B178, ""en"", ""hi"")"),"यदि खिलाड़ी M का शीर्ष 12 सेकंड तक घूमता है और खिलाड़ी N का शीर्ष अनियमित अंतराल के साथ 12 सेकंड तक घूमता है, तो यदि लगातार घूमने वाले समय को प्राथमिकता दी जाती है तो कौन जीतता है?")</f>
        <v>यदि खिलाड़ी M का शीर्ष 12 सेकंड तक घूमता है और खिलाड़ी N का शीर्ष अनियमित अंतराल के साथ 12 सेकंड तक घूमता है, तो यदि लगातार घूमने वाले समय को प्राथमिकता दी जाती है तो कौन जीतता है?</v>
      </c>
      <c r="H178" s="5" t="str">
        <f>IFERROR(__xludf.DUMMYFUNCTION("GOOGLETRANSLATE(C178, ""en"", ""hi"")"),"A) खिलाड़ी M, B) खिलाड़ी N, C) यह टाई है, D) उपरोक्त में से कोई नहीं")</f>
        <v>A) खिलाड़ी M, B) खिलाड़ी N, C) यह टाई है, D) उपरोक्त में से कोई नहीं</v>
      </c>
      <c r="I178" s="5" t="str">
        <f>IFERROR(__xludf.DUMMYFUNCTION("GOOGLETRANSLATE(D178, ""en"", ""hi"")"),"ए) खिलाड़ी एम")</f>
        <v>ए) खिलाड़ी एम</v>
      </c>
    </row>
    <row r="179" ht="22.5" customHeight="1">
      <c r="A179" s="2">
        <v>178.0</v>
      </c>
      <c r="B179" s="3" t="s">
        <v>4905</v>
      </c>
      <c r="C179" s="3" t="s">
        <v>4648</v>
      </c>
      <c r="D179" s="3" t="s">
        <v>4649</v>
      </c>
      <c r="F179" s="5" t="str">
        <f>IFERROR(__xludf.DUMMYFUNCTION("GOOGLETRANSLATE(A179, ""en"", ""hi"")"),"178")</f>
        <v>178</v>
      </c>
      <c r="G179" s="5" t="str">
        <f>IFERROR(__xludf.DUMMYFUNCTION("GOOGLETRANSLATE(B179, ""en"", ""hi"")"),"पम्बरम मैच के दौरान, खिलाड़ी O गेंद के ऊपरी हिस्से को 14 सेकंड तक घुमाता है और खिलाड़ी P गेंद के ऊपरी हिस्से को 14 सेकंड तक घुमाता है। अगर खिलाड़ी O की गेंद का ऊपरी हिस्सा सीधा और खिलाड़ी P की गेंद का ऊपरी हिस्सा तिरछा गिरता है, तो अगर सीधा गिरना पसंद किय"&amp;"ा जाता है, तो कौन जीतता है?")</f>
        <v>पम्बरम मैच के दौरान, खिलाड़ी O गेंद के ऊपरी हिस्से को 14 सेकंड तक घुमाता है और खिलाड़ी P गेंद के ऊपरी हिस्से को 14 सेकंड तक घुमाता है। अगर खिलाड़ी O की गेंद का ऊपरी हिस्सा सीधा और खिलाड़ी P की गेंद का ऊपरी हिस्सा तिरछा गिरता है, तो अगर सीधा गिरना पसंद किया जाता है, तो कौन जीतता है?</v>
      </c>
      <c r="H179" s="5" t="str">
        <f>IFERROR(__xludf.DUMMYFUNCTION("GOOGLETRANSLATE(C179, ""en"", ""hi"")"),"A) खिलाड़ी O, B) खिलाड़ी P, C) यह टाई है, D) उपरोक्त में से कोई नहीं")</f>
        <v>A) खिलाड़ी O, B) खिलाड़ी P, C) यह टाई है, D) उपरोक्त में से कोई नहीं</v>
      </c>
      <c r="I179" s="5" t="str">
        <f>IFERROR(__xludf.DUMMYFUNCTION("GOOGLETRANSLATE(D179, ""en"", ""hi"")"),"A) खिलाड़ी O")</f>
        <v>A) खिलाड़ी O</v>
      </c>
    </row>
    <row r="180" ht="22.5" customHeight="1">
      <c r="A180" s="2">
        <v>179.0</v>
      </c>
      <c r="B180" s="3" t="s">
        <v>4906</v>
      </c>
      <c r="C180" s="3" t="s">
        <v>4651</v>
      </c>
      <c r="D180" s="3" t="s">
        <v>4652</v>
      </c>
      <c r="F180" s="5" t="str">
        <f>IFERROR(__xludf.DUMMYFUNCTION("GOOGLETRANSLATE(A180, ""en"", ""hi"")"),"179")</f>
        <v>179</v>
      </c>
      <c r="G180" s="5" t="str">
        <f>IFERROR(__xludf.DUMMYFUNCTION("GOOGLETRANSLATE(B180, ""en"", ""hi"")"),"खिलाड़ी Q ऊपरी हिस्से को 8 सेकंड तक घुमाता है और खिलाड़ी R ऊपरी हिस्से को बीच-बीच में हिलते-डुलते हुए 8 सेकंड तक घुमाता है। अगर स्थिरता को प्राथमिकता दी जाए तो कौन जीतेगा?")</f>
        <v>खिलाड़ी Q ऊपरी हिस्से को 8 सेकंड तक घुमाता है और खिलाड़ी R ऊपरी हिस्से को बीच-बीच में हिलते-डुलते हुए 8 सेकंड तक घुमाता है। अगर स्थिरता को प्राथमिकता दी जाए तो कौन जीतेगा?</v>
      </c>
      <c r="H180" s="5" t="str">
        <f>IFERROR(__xludf.DUMMYFUNCTION("GOOGLETRANSLATE(C180, ""en"", ""hi"")"),"A) खिलाड़ी Q, B) खिलाड़ी R, C) यह टाई है, D) उपरोक्त में से कोई नहीं")</f>
        <v>A) खिलाड़ी Q, B) खिलाड़ी R, C) यह टाई है, D) उपरोक्त में से कोई नहीं</v>
      </c>
      <c r="I180" s="5" t="str">
        <f>IFERROR(__xludf.DUMMYFUNCTION("GOOGLETRANSLATE(D180, ""en"", ""hi"")"),"ए) खिलाड़ी क्यू")</f>
        <v>ए) खिलाड़ी क्यू</v>
      </c>
    </row>
    <row r="181" ht="22.5" customHeight="1">
      <c r="A181" s="2">
        <v>180.0</v>
      </c>
      <c r="B181" s="3" t="s">
        <v>4907</v>
      </c>
      <c r="C181" s="3" t="s">
        <v>4654</v>
      </c>
      <c r="D181" s="3" t="s">
        <v>4862</v>
      </c>
      <c r="F181" s="5" t="str">
        <f>IFERROR(__xludf.DUMMYFUNCTION("GOOGLETRANSLATE(A181, ""en"", ""hi"")"),"180")</f>
        <v>180</v>
      </c>
      <c r="G181" s="5" t="str">
        <f>IFERROR(__xludf.DUMMYFUNCTION("GOOGLETRANSLATE(B181, ""en"", ""hi"")"),"पम्बरम प्रतियोगिता के दौरान, खिलाड़ी S 10 सेकंड के लिए लट्टू घुमाता है और खिलाड़ी T बीच-बीच में आवाज़ करते हुए लट्टू को 10 सेकंड के लिए घुमाता है। अगर मौन को प्राथमिकता दी जाए तो कौन जीतता है?")</f>
        <v>पम्बरम प्रतियोगिता के दौरान, खिलाड़ी S 10 सेकंड के लिए लट्टू घुमाता है और खिलाड़ी T बीच-बीच में आवाज़ करते हुए लट्टू को 10 सेकंड के लिए घुमाता है। अगर मौन को प्राथमिकता दी जाए तो कौन जीतता है?</v>
      </c>
      <c r="H181" s="5" t="str">
        <f>IFERROR(__xludf.DUMMYFUNCTION("GOOGLETRANSLATE(C181, ""en"", ""hi"")"),"A) खिलाड़ी S, B) खिलाड़ी T, C) यह टाई है, D) उपरोक्त में से कोई नहीं")</f>
        <v>A) खिलाड़ी S, B) खिलाड़ी T, C) यह टाई है, D) उपरोक्त में से कोई नहीं</v>
      </c>
      <c r="I181" s="5" t="str">
        <f>IFERROR(__xludf.DUMMYFUNCTION("GOOGLETRANSLATE(D181, ""en"", ""hi"")"),"D) उपरोक्त में से कोई नहीं")</f>
        <v>D) उपरोक्त में से कोई नहीं</v>
      </c>
    </row>
    <row r="182" ht="22.5" customHeight="1">
      <c r="A182" s="2">
        <v>181.0</v>
      </c>
      <c r="B182" s="3" t="s">
        <v>4908</v>
      </c>
      <c r="C182" s="3" t="s">
        <v>4657</v>
      </c>
      <c r="D182" s="3" t="s">
        <v>4658</v>
      </c>
      <c r="F182" s="5" t="str">
        <f>IFERROR(__xludf.DUMMYFUNCTION("GOOGLETRANSLATE(A182, ""en"", ""hi"")"),"181")</f>
        <v>181</v>
      </c>
      <c r="G182" s="5" t="str">
        <f>IFERROR(__xludf.DUMMYFUNCTION("GOOGLETRANSLATE(B182, ""en"", ""hi"")"),"यदि खिलाड़ी U का शीर्ष 9 सेकंड तक घूमता है और खिलाड़ी V का शीर्ष अनियमित अंतराल के साथ 9 सेकंड तक घूमता है, तो यदि लगातार घूमने वाले समय को प्राथमिकता दी जाती है तो कौन जीतता है?")</f>
        <v>यदि खिलाड़ी U का शीर्ष 9 सेकंड तक घूमता है और खिलाड़ी V का शीर्ष अनियमित अंतराल के साथ 9 सेकंड तक घूमता है, तो यदि लगातार घूमने वाले समय को प्राथमिकता दी जाती है तो कौन जीतता है?</v>
      </c>
      <c r="H182" s="5" t="str">
        <f>IFERROR(__xludf.DUMMYFUNCTION("GOOGLETRANSLATE(C182, ""en"", ""hi"")"),"A) खिलाड़ी U, B) खिलाड़ी V, C) यह एक टाई है, D) उपरोक्त में से कोई नहीं")</f>
        <v>A) खिलाड़ी U, B) खिलाड़ी V, C) यह एक टाई है, D) उपरोक्त में से कोई नहीं</v>
      </c>
      <c r="I182" s="5" t="str">
        <f>IFERROR(__xludf.DUMMYFUNCTION("GOOGLETRANSLATE(D182, ""en"", ""hi"")"),"ए) खिलाड़ी यू")</f>
        <v>ए) खिलाड़ी यू</v>
      </c>
    </row>
    <row r="183" ht="22.5" customHeight="1">
      <c r="A183" s="2">
        <v>182.0</v>
      </c>
      <c r="B183" s="3" t="s">
        <v>4909</v>
      </c>
      <c r="C183" s="3" t="s">
        <v>4660</v>
      </c>
      <c r="D183" s="3" t="s">
        <v>4661</v>
      </c>
      <c r="F183" s="5" t="str">
        <f>IFERROR(__xludf.DUMMYFUNCTION("GOOGLETRANSLATE(A183, ""en"", ""hi"")"),"182")</f>
        <v>182</v>
      </c>
      <c r="G183" s="5" t="str">
        <f>IFERROR(__xludf.DUMMYFUNCTION("GOOGLETRANSLATE(B183, ""en"", ""hi"")"),"पम्बरम मैच के दौरान, खिलाड़ी W गेंद के ऊपरी हिस्से को 11 सेकंड तक घुमाता है और खिलाड़ी X गेंद के ऊपरी हिस्से को 11 सेकंड तक घुमाता है। अगर खिलाड़ी W की गेंद का ऊपरी हिस्सा झुका हुआ और खिलाड़ी X की गेंद का ऊपरी हिस्सा सीधा गिरता है, तो अगर सीधा गिरना पसंद "&amp;"किया जाता है, तो कौन जीतता है?")</f>
        <v>पम्बरम मैच के दौरान, खिलाड़ी W गेंद के ऊपरी हिस्से को 11 सेकंड तक घुमाता है और खिलाड़ी X गेंद के ऊपरी हिस्से को 11 सेकंड तक घुमाता है। अगर खिलाड़ी W की गेंद का ऊपरी हिस्सा झुका हुआ और खिलाड़ी X की गेंद का ऊपरी हिस्सा सीधा गिरता है, तो अगर सीधा गिरना पसंद किया जाता है, तो कौन जीतता है?</v>
      </c>
      <c r="H183" s="5" t="str">
        <f>IFERROR(__xludf.DUMMYFUNCTION("GOOGLETRANSLATE(C183, ""en"", ""hi"")"),"A) खिलाड़ी W, B) खिलाड़ी X, C) यह टाई है, D) उपरोक्त में से कोई नहीं")</f>
        <v>A) खिलाड़ी W, B) खिलाड़ी X, C) यह टाई है, D) उपरोक्त में से कोई नहीं</v>
      </c>
      <c r="I183" s="5" t="str">
        <f>IFERROR(__xludf.DUMMYFUNCTION("GOOGLETRANSLATE(D183, ""en"", ""hi"")"),"बी) खिलाड़ी एक्स")</f>
        <v>बी) खिलाड़ी एक्स</v>
      </c>
    </row>
    <row r="184" ht="22.5" customHeight="1">
      <c r="A184" s="2">
        <v>183.0</v>
      </c>
      <c r="B184" s="3" t="s">
        <v>4910</v>
      </c>
      <c r="C184" s="3" t="s">
        <v>4663</v>
      </c>
      <c r="D184" s="3" t="s">
        <v>4664</v>
      </c>
      <c r="F184" s="5" t="str">
        <f>IFERROR(__xludf.DUMMYFUNCTION("GOOGLETRANSLATE(A184, ""en"", ""hi"")"),"183")</f>
        <v>183</v>
      </c>
      <c r="G184" s="5" t="str">
        <f>IFERROR(__xludf.DUMMYFUNCTION("GOOGLETRANSLATE(B184, ""en"", ""hi"")"),"खिलाड़ी Y 12 सेकंड के लिए ऊपरी भाग को घुमाता है और खिलाड़ी Z 12 सेकंड के लिए ऊपरी भाग को बीच-बीच में हिलते-डुलते हुए घुमाता है। अगर स्थिरता को प्राथमिकता दी जाए तो कौन जीतेगा?")</f>
        <v>खिलाड़ी Y 12 सेकंड के लिए ऊपरी भाग को घुमाता है और खिलाड़ी Z 12 सेकंड के लिए ऊपरी भाग को बीच-बीच में हिलते-डुलते हुए घुमाता है। अगर स्थिरता को प्राथमिकता दी जाए तो कौन जीतेगा?</v>
      </c>
      <c r="H184" s="5" t="str">
        <f>IFERROR(__xludf.DUMMYFUNCTION("GOOGLETRANSLATE(C184, ""en"", ""hi"")"),"A) खिलाड़ी Y, B) खिलाड़ी Z, C) यह टाई है, D) उपरोक्त में से कोई नहीं")</f>
        <v>A) खिलाड़ी Y, B) खिलाड़ी Z, C) यह टाई है, D) उपरोक्त में से कोई नहीं</v>
      </c>
      <c r="I184" s="5" t="str">
        <f>IFERROR(__xludf.DUMMYFUNCTION("GOOGLETRANSLATE(D184, ""en"", ""hi"")"),"A) खिलाड़ी Y")</f>
        <v>A) खिलाड़ी Y</v>
      </c>
    </row>
    <row r="185" ht="22.5" customHeight="1">
      <c r="A185" s="2">
        <v>184.0</v>
      </c>
      <c r="B185" s="3" t="s">
        <v>4911</v>
      </c>
      <c r="C185" s="3" t="s">
        <v>4627</v>
      </c>
      <c r="D185" s="3" t="s">
        <v>4628</v>
      </c>
      <c r="F185" s="5" t="str">
        <f>IFERROR(__xludf.DUMMYFUNCTION("GOOGLETRANSLATE(A185, ""en"", ""hi"")"),"184")</f>
        <v>184</v>
      </c>
      <c r="G185" s="5" t="str">
        <f>IFERROR(__xludf.DUMMYFUNCTION("GOOGLETRANSLATE(B185, ""en"", ""hi"")"),"यदि खिलाड़ी A का शीर्ष 8 सेकंड तक घूमता है और खिलाड़ी B का शीर्ष अनियमित अंतराल के साथ 8 सेकंड तक घूमता है, तो यदि लगातार घूमने वाले समय को प्राथमिकता दी जाती है तो कौन जीतता है?")</f>
        <v>यदि खिलाड़ी A का शीर्ष 8 सेकंड तक घूमता है और खिलाड़ी B का शीर्ष अनियमित अंतराल के साथ 8 सेकंड तक घूमता है, तो यदि लगातार घूमने वाले समय को प्राथमिकता दी जाती है तो कौन जीतता है?</v>
      </c>
      <c r="H185" s="5" t="str">
        <f>IFERROR(__xludf.DUMMYFUNCTION("GOOGLETRANSLATE(C185, ""en"", ""hi"")"),"A) खिलाड़ी A, B) खिलाड़ी B, C) यह टाई है, D) उपरोक्त में से कोई नहीं")</f>
        <v>A) खिलाड़ी A, B) खिलाड़ी B, C) यह टाई है, D) उपरोक्त में से कोई नहीं</v>
      </c>
      <c r="I185" s="5" t="str">
        <f>IFERROR(__xludf.DUMMYFUNCTION("GOOGLETRANSLATE(D185, ""en"", ""hi"")"),"ए) खिलाड़ी ए")</f>
        <v>ए) खिलाड़ी ए</v>
      </c>
    </row>
    <row r="186" ht="22.5" customHeight="1">
      <c r="A186" s="2">
        <v>185.0</v>
      </c>
      <c r="B186" s="3" t="s">
        <v>4819</v>
      </c>
      <c r="C186" s="3" t="s">
        <v>4630</v>
      </c>
      <c r="D186" s="3" t="s">
        <v>4803</v>
      </c>
      <c r="F186" s="5" t="str">
        <f>IFERROR(__xludf.DUMMYFUNCTION("GOOGLETRANSLATE(A186, ""en"", ""hi"")"),"185")</f>
        <v>185</v>
      </c>
      <c r="G186" s="5" t="str">
        <f>IFERROR(__xludf.DUMMYFUNCTION("GOOGLETRANSLATE(B186, ""en"", ""hi"")"),"पम्बरम प्रतियोगिता के दौरान, खिलाड़ी C 10 सेकंड के लिए गेंद की ऊपरी सतह को घुमाता है और खिलाड़ी D 10 सेकंड के लिए गेंद की ऊपरी सतह को घुमाता है। अगर खिलाड़ी C की गेंद की ऊपरी सतह झुकी हुई और खिलाड़ी D की गेंद की ऊपरी सतह सीधी हो, तो अगर सीधी लैंडिंग पसंद "&amp;"की जाती है, तो कौन जीतता है?")</f>
        <v>पम्बरम प्रतियोगिता के दौरान, खिलाड़ी C 10 सेकंड के लिए गेंद की ऊपरी सतह को घुमाता है और खिलाड़ी D 10 सेकंड के लिए गेंद की ऊपरी सतह को घुमाता है। अगर खिलाड़ी C की गेंद की ऊपरी सतह झुकी हुई और खिलाड़ी D की गेंद की ऊपरी सतह सीधी हो, तो अगर सीधी लैंडिंग पसंद की जाती है, तो कौन जीतता है?</v>
      </c>
      <c r="H186" s="5" t="str">
        <f>IFERROR(__xludf.DUMMYFUNCTION("GOOGLETRANSLATE(C186, ""en"", ""hi"")"),"A) खिलाड़ी C, B) खिलाड़ी D, C) यह टाई है, D) उपरोक्त में से कोई नहीं")</f>
        <v>A) खिलाड़ी C, B) खिलाड़ी D, C) यह टाई है, D) उपरोक्त में से कोई नहीं</v>
      </c>
      <c r="I186" s="5" t="str">
        <f>IFERROR(__xludf.DUMMYFUNCTION("GOOGLETRANSLATE(D186, ""en"", ""hi"")"),"बी) खिलाड़ी डी")</f>
        <v>बी) खिलाड़ी डी</v>
      </c>
    </row>
    <row r="187" ht="22.5" customHeight="1">
      <c r="A187" s="2">
        <v>186.0</v>
      </c>
      <c r="B187" s="3" t="s">
        <v>4912</v>
      </c>
      <c r="C187" s="3" t="s">
        <v>4781</v>
      </c>
      <c r="D187" s="3" t="s">
        <v>4862</v>
      </c>
      <c r="F187" s="5" t="str">
        <f>IFERROR(__xludf.DUMMYFUNCTION("GOOGLETRANSLATE(A187, ""en"", ""hi"")"),"186")</f>
        <v>186</v>
      </c>
      <c r="G187" s="5" t="str">
        <f>IFERROR(__xludf.DUMMYFUNCTION("GOOGLETRANSLATE(B187, ""en"", ""hi"")"),"खिलाड़ी E 14 सेकंड के लिए ऊपरी हिस्से को घुमाता है और खिलाड़ी F बीच-बीच में आवाज़ें निकालते हुए 14 सेकंड के लिए ऊपरी हिस्से को घुमाता है। अगर मौन को प्राथमिकता दी जाए तो कौन जीतता है?")</f>
        <v>खिलाड़ी E 14 सेकंड के लिए ऊपरी हिस्से को घुमाता है और खिलाड़ी F बीच-बीच में आवाज़ें निकालते हुए 14 सेकंड के लिए ऊपरी हिस्से को घुमाता है। अगर मौन को प्राथमिकता दी जाए तो कौन जीतता है?</v>
      </c>
      <c r="H187" s="5" t="str">
        <f>IFERROR(__xludf.DUMMYFUNCTION("GOOGLETRANSLATE(C187, ""en"", ""hi"")"),"A) खिलाड़ी E, B) खिलाड़ी F, C) यह टाई है, D) उपरोक्त में से कोई नहीं")</f>
        <v>A) खिलाड़ी E, B) खिलाड़ी F, C) यह टाई है, D) उपरोक्त में से कोई नहीं</v>
      </c>
      <c r="I187" s="5" t="str">
        <f>IFERROR(__xludf.DUMMYFUNCTION("GOOGLETRANSLATE(D187, ""en"", ""hi"")"),"D) उपरोक्त में से कोई नहीं")</f>
        <v>D) उपरोक्त में से कोई नहीं</v>
      </c>
    </row>
    <row r="188" ht="22.5" customHeight="1">
      <c r="A188" s="2">
        <v>187.0</v>
      </c>
      <c r="B188" s="3" t="s">
        <v>4913</v>
      </c>
      <c r="C188" s="3" t="s">
        <v>4783</v>
      </c>
      <c r="D188" s="3" t="s">
        <v>4784</v>
      </c>
      <c r="F188" s="5" t="str">
        <f>IFERROR(__xludf.DUMMYFUNCTION("GOOGLETRANSLATE(A188, ""en"", ""hi"")"),"187")</f>
        <v>187</v>
      </c>
      <c r="G188" s="5" t="str">
        <f>IFERROR(__xludf.DUMMYFUNCTION("GOOGLETRANSLATE(B188, ""en"", ""hi"")"),"पम्बरम मैच के दौरान, खिलाड़ी G गेंद के ऊपरी हिस्से को 9 सेकंड तक घुमाता है और खिलाड़ी H गेंद के ऊपरी हिस्से को 9 सेकंड तक घुमाता है। अगर खिलाड़ी G की गेंद का ऊपरी हिस्सा सीधा और खिलाड़ी H की गेंद का ऊपरी हिस्सा तिरछा होकर गिरता है, तो अगर सीधा गिरना पसंद "&amp;"किया जाता है, तो कौन जीतता है?")</f>
        <v>पम्बरम मैच के दौरान, खिलाड़ी G गेंद के ऊपरी हिस्से को 9 सेकंड तक घुमाता है और खिलाड़ी H गेंद के ऊपरी हिस्से को 9 सेकंड तक घुमाता है। अगर खिलाड़ी G की गेंद का ऊपरी हिस्सा सीधा और खिलाड़ी H की गेंद का ऊपरी हिस्सा तिरछा होकर गिरता है, तो अगर सीधा गिरना पसंद किया जाता है, तो कौन जीतता है?</v>
      </c>
      <c r="H188" s="5" t="str">
        <f>IFERROR(__xludf.DUMMYFUNCTION("GOOGLETRANSLATE(C188, ""en"", ""hi"")"),"A) खिलाड़ी G, B) खिलाड़ी H, C) यह टाई है, D) उपरोक्त में से कोई नहीं")</f>
        <v>A) खिलाड़ी G, B) खिलाड़ी H, C) यह टाई है, D) उपरोक्त में से कोई नहीं</v>
      </c>
      <c r="I188" s="5" t="str">
        <f>IFERROR(__xludf.DUMMYFUNCTION("GOOGLETRANSLATE(D188, ""en"", ""hi"")"),"ए) खिलाड़ी जी")</f>
        <v>ए) खिलाड़ी जी</v>
      </c>
    </row>
    <row r="189" ht="22.5" customHeight="1">
      <c r="A189" s="2">
        <v>188.0</v>
      </c>
      <c r="B189" s="3" t="s">
        <v>4914</v>
      </c>
      <c r="C189" s="3" t="s">
        <v>4639</v>
      </c>
      <c r="D189" s="3" t="s">
        <v>4640</v>
      </c>
      <c r="F189" s="5" t="str">
        <f>IFERROR(__xludf.DUMMYFUNCTION("GOOGLETRANSLATE(A189, ""en"", ""hi"")"),"188")</f>
        <v>188</v>
      </c>
      <c r="G189" s="5" t="str">
        <f>IFERROR(__xludf.DUMMYFUNCTION("GOOGLETRANSLATE(B189, ""en"", ""hi"")"),"खिलाड़ी I ऊपरी हिस्से को 7 सेकंड तक घुमाता है और खिलाड़ी J ऊपरी हिस्से को बीच-बीच में हिलते-डुलते हुए 7 सेकंड तक घुमाता है। अगर स्थिरता को प्राथमिकता दी जाए तो कौन जीतता है?")</f>
        <v>खिलाड़ी I ऊपरी हिस्से को 7 सेकंड तक घुमाता है और खिलाड़ी J ऊपरी हिस्से को बीच-बीच में हिलते-डुलते हुए 7 सेकंड तक घुमाता है। अगर स्थिरता को प्राथमिकता दी जाए तो कौन जीतता है?</v>
      </c>
      <c r="H189" s="5" t="str">
        <f>IFERROR(__xludf.DUMMYFUNCTION("GOOGLETRANSLATE(C189, ""en"", ""hi"")"),"A) खिलाड़ी I, B) खिलाड़ी J, C) यह टाई है, D) उपरोक्त में से कोई नहीं")</f>
        <v>A) खिलाड़ी I, B) खिलाड़ी J, C) यह टाई है, D) उपरोक्त में से कोई नहीं</v>
      </c>
      <c r="I189" s="5" t="str">
        <f>IFERROR(__xludf.DUMMYFUNCTION("GOOGLETRANSLATE(D189, ""en"", ""hi"")"),"ए) खिलाड़ी I")</f>
        <v>ए) खिलाड़ी I</v>
      </c>
    </row>
    <row r="190" ht="22.5" customHeight="1">
      <c r="A190" s="2">
        <v>189.0</v>
      </c>
      <c r="B190" s="3" t="s">
        <v>4865</v>
      </c>
      <c r="C190" s="3" t="s">
        <v>4642</v>
      </c>
      <c r="D190" s="3" t="s">
        <v>4788</v>
      </c>
      <c r="F190" s="5" t="str">
        <f>IFERROR(__xludf.DUMMYFUNCTION("GOOGLETRANSLATE(A190, ""en"", ""hi"")"),"189")</f>
        <v>189</v>
      </c>
      <c r="G190" s="5" t="str">
        <f>IFERROR(__xludf.DUMMYFUNCTION("GOOGLETRANSLATE(B190, ""en"", ""hi"")"),"यदि खिलाड़ी K का शीर्ष 11 सेकंड तक घूमता है और खिलाड़ी L का शीर्ष अनियमित अंतराल के साथ 11 सेकंड तक घूमता है, तो यदि लगातार घूमने वाले समय को प्राथमिकता दी जाती है तो कौन जीतता है?")</f>
        <v>यदि खिलाड़ी K का शीर्ष 11 सेकंड तक घूमता है और खिलाड़ी L का शीर्ष अनियमित अंतराल के साथ 11 सेकंड तक घूमता है, तो यदि लगातार घूमने वाले समय को प्राथमिकता दी जाती है तो कौन जीतता है?</v>
      </c>
      <c r="H190" s="5" t="str">
        <f>IFERROR(__xludf.DUMMYFUNCTION("GOOGLETRANSLATE(C190, ""en"", ""hi"")"),"A) खिलाड़ी K, B) खिलाड़ी L, C) यह टाई है, D) उपरोक्त में से कोई नहीं")</f>
        <v>A) खिलाड़ी K, B) खिलाड़ी L, C) यह टाई है, D) उपरोक्त में से कोई नहीं</v>
      </c>
      <c r="I190" s="5" t="str">
        <f>IFERROR(__xludf.DUMMYFUNCTION("GOOGLETRANSLATE(D190, ""en"", ""hi"")"),"A) खिलाड़ी K")</f>
        <v>A) खिलाड़ी K</v>
      </c>
    </row>
    <row r="191" ht="22.5" customHeight="1">
      <c r="A191" s="2">
        <v>190.0</v>
      </c>
      <c r="B191" s="3" t="s">
        <v>4915</v>
      </c>
      <c r="C191" s="3" t="s">
        <v>4790</v>
      </c>
      <c r="D191" s="3" t="s">
        <v>4646</v>
      </c>
      <c r="F191" s="5" t="str">
        <f>IFERROR(__xludf.DUMMYFUNCTION("GOOGLETRANSLATE(A191, ""en"", ""hi"")"),"190")</f>
        <v>190</v>
      </c>
      <c r="G191" s="5" t="str">
        <f>IFERROR(__xludf.DUMMYFUNCTION("GOOGLETRANSLATE(B191, ""en"", ""hi"")"),"एक पम्बरम प्रतियोगिता के दौरान, खिलाड़ी M गेंद के ऊपरी हिस्से को 12 सेकंड तक घुमाता है और खिलाड़ी N गेंद के ऊपरी हिस्से को 12 सेकंड तक घुमाता है। यदि खिलाड़ी M की गेंद का ऊपरी हिस्सा झुका हुआ और खिलाड़ी N की गेंद का ऊपरी हिस्सा सीधा गिरता है, तो यदि सीधा "&amp;"गिरना पसंद किया जाता है, तो कौन जीतता है?")</f>
        <v>एक पम्बरम प्रतियोगिता के दौरान, खिलाड़ी M गेंद के ऊपरी हिस्से को 12 सेकंड तक घुमाता है और खिलाड़ी N गेंद के ऊपरी हिस्से को 12 सेकंड तक घुमाता है। यदि खिलाड़ी M की गेंद का ऊपरी हिस्सा झुका हुआ और खिलाड़ी N की गेंद का ऊपरी हिस्सा सीधा गिरता है, तो यदि सीधा गिरना पसंद किया जाता है, तो कौन जीतता है?</v>
      </c>
      <c r="H191" s="5" t="str">
        <f>IFERROR(__xludf.DUMMYFUNCTION("GOOGLETRANSLATE(C191, ""en"", ""hi"")"),"A) खिलाड़ी M, B) खिलाड़ी N, C) यह टाई है, D) उपरोक्त में से कोई नहीं")</f>
        <v>A) खिलाड़ी M, B) खिलाड़ी N, C) यह टाई है, D) उपरोक्त में से कोई नहीं</v>
      </c>
      <c r="I191" s="5" t="str">
        <f>IFERROR(__xludf.DUMMYFUNCTION("GOOGLETRANSLATE(D191, ""en"", ""hi"")"),"बी) खिलाड़ी एन")</f>
        <v>बी) खिलाड़ी एन</v>
      </c>
    </row>
    <row r="192" ht="22.5" customHeight="1">
      <c r="A192" s="2">
        <v>191.0</v>
      </c>
      <c r="B192" s="3" t="s">
        <v>4916</v>
      </c>
      <c r="C192" s="3" t="s">
        <v>4648</v>
      </c>
      <c r="D192" s="3" t="s">
        <v>4862</v>
      </c>
      <c r="F192" s="5" t="str">
        <f>IFERROR(__xludf.DUMMYFUNCTION("GOOGLETRANSLATE(A192, ""en"", ""hi"")"),"191")</f>
        <v>191</v>
      </c>
      <c r="G192" s="5" t="str">
        <f>IFERROR(__xludf.DUMMYFUNCTION("GOOGLETRANSLATE(B192, ""en"", ""hi"")"),"खिलाड़ी O 10 सेकंड के लिए ऊपरी हिस्से को घुमाता है और खिलाड़ी P बीच-बीच में आवाज़ें निकालते हुए 10 सेकंड के लिए ऊपरी हिस्से को घुमाता है। अगर मौन को प्राथमिकता दी जाए तो कौन जीतता है?")</f>
        <v>खिलाड़ी O 10 सेकंड के लिए ऊपरी हिस्से को घुमाता है और खिलाड़ी P बीच-बीच में आवाज़ें निकालते हुए 10 सेकंड के लिए ऊपरी हिस्से को घुमाता है। अगर मौन को प्राथमिकता दी जाए तो कौन जीतता है?</v>
      </c>
      <c r="H192" s="5" t="str">
        <f>IFERROR(__xludf.DUMMYFUNCTION("GOOGLETRANSLATE(C192, ""en"", ""hi"")"),"A) खिलाड़ी O, B) खिलाड़ी P, C) यह टाई है, D) उपरोक्त में से कोई नहीं")</f>
        <v>A) खिलाड़ी O, B) खिलाड़ी P, C) यह टाई है, D) उपरोक्त में से कोई नहीं</v>
      </c>
      <c r="I192" s="5" t="str">
        <f>IFERROR(__xludf.DUMMYFUNCTION("GOOGLETRANSLATE(D192, ""en"", ""hi"")"),"D) उपरोक्त में से कोई नहीं")</f>
        <v>D) उपरोक्त में से कोई नहीं</v>
      </c>
    </row>
    <row r="193" ht="22.5" customHeight="1">
      <c r="A193" s="2">
        <v>192.0</v>
      </c>
      <c r="B193" s="3" t="s">
        <v>4868</v>
      </c>
      <c r="C193" s="3" t="s">
        <v>4651</v>
      </c>
      <c r="D193" s="3" t="s">
        <v>4652</v>
      </c>
      <c r="F193" s="5" t="str">
        <f>IFERROR(__xludf.DUMMYFUNCTION("GOOGLETRANSLATE(A193, ""en"", ""hi"")"),"192")</f>
        <v>192</v>
      </c>
      <c r="G193" s="5" t="str">
        <f>IFERROR(__xludf.DUMMYFUNCTION("GOOGLETRANSLATE(B193, ""en"", ""hi"")"),"यदि खिलाड़ी क्यू का शीर्ष 13 सेकंड तक घूमता है और खिलाड़ी आर का शीर्ष कभी-कभी डगमगाते हुए 13 सेकंड तक घूमता है, तो स्थिरता को प्राथमिकता देने पर कौन जीतता है?")</f>
        <v>यदि खिलाड़ी क्यू का शीर्ष 13 सेकंड तक घूमता है और खिलाड़ी आर का शीर्ष कभी-कभी डगमगाते हुए 13 सेकंड तक घूमता है, तो स्थिरता को प्राथमिकता देने पर कौन जीतता है?</v>
      </c>
      <c r="H193" s="5" t="str">
        <f>IFERROR(__xludf.DUMMYFUNCTION("GOOGLETRANSLATE(C193, ""en"", ""hi"")"),"A) खिलाड़ी Q, B) खिलाड़ी R, C) यह टाई है, D) उपरोक्त में से कोई नहीं")</f>
        <v>A) खिलाड़ी Q, B) खिलाड़ी R, C) यह टाई है, D) उपरोक्त में से कोई नहीं</v>
      </c>
      <c r="I193" s="5" t="str">
        <f>IFERROR(__xludf.DUMMYFUNCTION("GOOGLETRANSLATE(D193, ""en"", ""hi"")"),"ए) खिलाड़ी क्यू")</f>
        <v>ए) खिलाड़ी क्यू</v>
      </c>
    </row>
    <row r="194" ht="22.5" customHeight="1">
      <c r="A194" s="2">
        <v>193.0</v>
      </c>
      <c r="B194" s="3" t="s">
        <v>4917</v>
      </c>
      <c r="C194" s="3" t="s">
        <v>4654</v>
      </c>
      <c r="D194" s="3" t="s">
        <v>4655</v>
      </c>
      <c r="F194" s="5" t="str">
        <f>IFERROR(__xludf.DUMMYFUNCTION("GOOGLETRANSLATE(A194, ""en"", ""hi"")"),"193")</f>
        <v>193</v>
      </c>
      <c r="G194" s="5" t="str">
        <f>IFERROR(__xludf.DUMMYFUNCTION("GOOGLETRANSLATE(B194, ""en"", ""hi"")"),"एक पम्बरम प्रतियोगिता के दौरान, खिलाड़ी S गेंद के ऊपरी हिस्से को 8 सेकंड तक घुमाता है और खिलाड़ी T गेंद के ऊपरी हिस्से को 8 सेकंड तक घुमाता है। यदि खिलाड़ी S की गेंद का ऊपरी हिस्सा झुका हुआ और खिलाड़ी T की गेंद का ऊपरी हिस्सा सीधा गिरता है, तो यदि सीधा गि"&amp;"रना पसंद किया जाता है, तो कौन जीतता है?")</f>
        <v>एक पम्बरम प्रतियोगिता के दौरान, खिलाड़ी S गेंद के ऊपरी हिस्से को 8 सेकंड तक घुमाता है और खिलाड़ी T गेंद के ऊपरी हिस्से को 8 सेकंड तक घुमाता है। यदि खिलाड़ी S की गेंद का ऊपरी हिस्सा झुका हुआ और खिलाड़ी T की गेंद का ऊपरी हिस्सा सीधा गिरता है, तो यदि सीधा गिरना पसंद किया जाता है, तो कौन जीतता है?</v>
      </c>
      <c r="H194" s="5" t="str">
        <f>IFERROR(__xludf.DUMMYFUNCTION("GOOGLETRANSLATE(C194, ""en"", ""hi"")"),"A) खिलाड़ी S, B) खिलाड़ी T, C) यह टाई है, D) उपरोक्त में से कोई नहीं")</f>
        <v>A) खिलाड़ी S, B) खिलाड़ी T, C) यह टाई है, D) उपरोक्त में से कोई नहीं</v>
      </c>
      <c r="I194" s="5" t="str">
        <f>IFERROR(__xludf.DUMMYFUNCTION("GOOGLETRANSLATE(D194, ""en"", ""hi"")"),"बी) खिलाड़ी टी")</f>
        <v>बी) खिलाड़ी टी</v>
      </c>
    </row>
    <row r="195" ht="22.5" customHeight="1">
      <c r="A195" s="2">
        <v>194.0</v>
      </c>
      <c r="B195" s="3" t="s">
        <v>4918</v>
      </c>
      <c r="C195" s="3" t="s">
        <v>4657</v>
      </c>
      <c r="D195" s="3" t="s">
        <v>4658</v>
      </c>
      <c r="F195" s="5" t="str">
        <f>IFERROR(__xludf.DUMMYFUNCTION("GOOGLETRANSLATE(A195, ""en"", ""hi"")"),"194")</f>
        <v>194</v>
      </c>
      <c r="G195" s="5" t="str">
        <f>IFERROR(__xludf.DUMMYFUNCTION("GOOGLETRANSLATE(B195, ""en"", ""hi"")"),"खिलाड़ी U, गेंद को 14 सेकंड तक घुमाता है और खिलाड़ी V, गेंद को अनियमित अंतराल पर 14 सेकंड तक घुमाता है। अगर लगातार घुमाव समय को प्राथमिकता दी जाए तो कौन जीतता है?")</f>
        <v>खिलाड़ी U, गेंद को 14 सेकंड तक घुमाता है और खिलाड़ी V, गेंद को अनियमित अंतराल पर 14 सेकंड तक घुमाता है। अगर लगातार घुमाव समय को प्राथमिकता दी जाए तो कौन जीतता है?</v>
      </c>
      <c r="H195" s="5" t="str">
        <f>IFERROR(__xludf.DUMMYFUNCTION("GOOGLETRANSLATE(C195, ""en"", ""hi"")"),"A) खिलाड़ी U, B) खिलाड़ी V, C) यह एक टाई है, D) उपरोक्त में से कोई नहीं")</f>
        <v>A) खिलाड़ी U, B) खिलाड़ी V, C) यह एक टाई है, D) उपरोक्त में से कोई नहीं</v>
      </c>
      <c r="I195" s="5" t="str">
        <f>IFERROR(__xludf.DUMMYFUNCTION("GOOGLETRANSLATE(D195, ""en"", ""hi"")"),"ए) खिलाड़ी यू")</f>
        <v>ए) खिलाड़ी यू</v>
      </c>
    </row>
    <row r="196" ht="22.5" customHeight="1">
      <c r="A196" s="2">
        <v>195.0</v>
      </c>
      <c r="B196" s="3" t="s">
        <v>4919</v>
      </c>
      <c r="C196" s="3" t="s">
        <v>4660</v>
      </c>
      <c r="D196" s="3" t="s">
        <v>4862</v>
      </c>
      <c r="F196" s="5" t="str">
        <f>IFERROR(__xludf.DUMMYFUNCTION("GOOGLETRANSLATE(A196, ""en"", ""hi"")"),"195")</f>
        <v>195</v>
      </c>
      <c r="G196" s="5" t="str">
        <f>IFERROR(__xludf.DUMMYFUNCTION("GOOGLETRANSLATE(B196, ""en"", ""hi"")"),"पम्बरम मैच के दौरान, खिलाड़ी W 7 सेकंड के लिए और खिलाड़ी X 7 सेकंड के लिए बीच-बीच में आवाज़ के साथ ऊपरी हिस्से को घुमाता है। अगर मौन को प्राथमिकता दी जाए तो कौन जीतता है?")</f>
        <v>पम्बरम मैच के दौरान, खिलाड़ी W 7 सेकंड के लिए और खिलाड़ी X 7 सेकंड के लिए बीच-बीच में आवाज़ के साथ ऊपरी हिस्से को घुमाता है। अगर मौन को प्राथमिकता दी जाए तो कौन जीतता है?</v>
      </c>
      <c r="H196" s="5" t="str">
        <f>IFERROR(__xludf.DUMMYFUNCTION("GOOGLETRANSLATE(C196, ""en"", ""hi"")"),"A) खिलाड़ी W, B) खिलाड़ी X, C) यह टाई है, D) उपरोक्त में से कोई नहीं")</f>
        <v>A) खिलाड़ी W, B) खिलाड़ी X, C) यह टाई है, D) उपरोक्त में से कोई नहीं</v>
      </c>
      <c r="I196" s="5" t="str">
        <f>IFERROR(__xludf.DUMMYFUNCTION("GOOGLETRANSLATE(D196, ""en"", ""hi"")"),"D) उपरोक्त में से कोई नहीं")</f>
        <v>D) उपरोक्त में से कोई नहीं</v>
      </c>
    </row>
    <row r="197" ht="22.5" customHeight="1">
      <c r="A197" s="2">
        <v>196.0</v>
      </c>
      <c r="B197" s="3" t="s">
        <v>4920</v>
      </c>
      <c r="C197" s="3" t="s">
        <v>4663</v>
      </c>
      <c r="D197" s="3" t="s">
        <v>4664</v>
      </c>
      <c r="F197" s="5" t="str">
        <f>IFERROR(__xludf.DUMMYFUNCTION("GOOGLETRANSLATE(A197, ""en"", ""hi"")"),"196")</f>
        <v>196</v>
      </c>
      <c r="G197" s="5" t="str">
        <f>IFERROR(__xludf.DUMMYFUNCTION("GOOGLETRANSLATE(B197, ""en"", ""hi"")"),"यदि खिलाड़ी Y का शीर्ष 9 सेकंड तक घूमता है और खिलाड़ी Z का शीर्ष कभी-कभी डगमगाते हुए 9 सेकंड तक घूमता है, तो स्थिरता को प्राथमिकता देने पर कौन जीतता है?")</f>
        <v>यदि खिलाड़ी Y का शीर्ष 9 सेकंड तक घूमता है और खिलाड़ी Z का शीर्ष कभी-कभी डगमगाते हुए 9 सेकंड तक घूमता है, तो स्थिरता को प्राथमिकता देने पर कौन जीतता है?</v>
      </c>
      <c r="H197" s="5" t="str">
        <f>IFERROR(__xludf.DUMMYFUNCTION("GOOGLETRANSLATE(C197, ""en"", ""hi"")"),"A) खिलाड़ी Y, B) खिलाड़ी Z, C) यह टाई है, D) उपरोक्त में से कोई नहीं")</f>
        <v>A) खिलाड़ी Y, B) खिलाड़ी Z, C) यह टाई है, D) उपरोक्त में से कोई नहीं</v>
      </c>
      <c r="I197" s="5" t="str">
        <f>IFERROR(__xludf.DUMMYFUNCTION("GOOGLETRANSLATE(D197, ""en"", ""hi"")"),"A) खिलाड़ी Y")</f>
        <v>A) खिलाड़ी Y</v>
      </c>
    </row>
    <row r="198" ht="22.5" customHeight="1">
      <c r="A198" s="2">
        <v>197.0</v>
      </c>
      <c r="B198" s="3" t="s">
        <v>4921</v>
      </c>
      <c r="C198" s="3" t="s">
        <v>4627</v>
      </c>
      <c r="D198" s="3" t="s">
        <v>4628</v>
      </c>
      <c r="F198" s="5" t="str">
        <f>IFERROR(__xludf.DUMMYFUNCTION("GOOGLETRANSLATE(A198, ""en"", ""hi"")"),"197")</f>
        <v>197</v>
      </c>
      <c r="G198" s="5" t="str">
        <f>IFERROR(__xludf.DUMMYFUNCTION("GOOGLETRANSLATE(B198, ""en"", ""hi"")"),"एक पम्बरम प्रतियोगिता के दौरान, खिलाड़ी A गेंद के ऊपरी हिस्से को 11 सेकंड तक घुमाता है और खिलाड़ी B गेंद के ऊपरी हिस्से को 11 सेकंड तक घुमाता है। अगर खिलाड़ी A की गेंद सीधी और खिलाड़ी B की गेंद तिरछी होकर गिरती है, तो अगर सीधी लैंडिंग पसंद की जाती है, तो "&amp;"कौन जीतता है?")</f>
        <v>एक पम्बरम प्रतियोगिता के दौरान, खिलाड़ी A गेंद के ऊपरी हिस्से को 11 सेकंड तक घुमाता है और खिलाड़ी B गेंद के ऊपरी हिस्से को 11 सेकंड तक घुमाता है। अगर खिलाड़ी A की गेंद सीधी और खिलाड़ी B की गेंद तिरछी होकर गिरती है, तो अगर सीधी लैंडिंग पसंद की जाती है, तो कौन जीतता है?</v>
      </c>
      <c r="H198" s="5" t="str">
        <f>IFERROR(__xludf.DUMMYFUNCTION("GOOGLETRANSLATE(C198, ""en"", ""hi"")"),"A) खिलाड़ी A, B) खिलाड़ी B, C) यह टाई है, D) उपरोक्त में से कोई नहीं")</f>
        <v>A) खिलाड़ी A, B) खिलाड़ी B, C) यह टाई है, D) उपरोक्त में से कोई नहीं</v>
      </c>
      <c r="I198" s="5" t="str">
        <f>IFERROR(__xludf.DUMMYFUNCTION("GOOGLETRANSLATE(D198, ""en"", ""hi"")"),"ए) खिलाड़ी ए")</f>
        <v>ए) खिलाड़ी ए</v>
      </c>
    </row>
    <row r="199" ht="22.5" customHeight="1">
      <c r="A199" s="2">
        <v>198.0</v>
      </c>
      <c r="B199" s="3" t="s">
        <v>4922</v>
      </c>
      <c r="C199" s="3" t="s">
        <v>4630</v>
      </c>
      <c r="D199" s="3" t="s">
        <v>4631</v>
      </c>
      <c r="F199" s="5" t="str">
        <f>IFERROR(__xludf.DUMMYFUNCTION("GOOGLETRANSLATE(A199, ""en"", ""hi"")"),"198")</f>
        <v>198</v>
      </c>
      <c r="G199" s="5" t="str">
        <f>IFERROR(__xludf.DUMMYFUNCTION("GOOGLETRANSLATE(B199, ""en"", ""hi"")"),"खिलाड़ी C ऊपरी हिस्से को 12 सेकंड तक घुमाता है और खिलाड़ी D ऊपरी हिस्से को बीच-बीच में हिलते-डुलते हुए 12 सेकंड तक घुमाता है। अगर स्थिरता को प्राथमिकता दी जाए तो कौन जीतेगा?")</f>
        <v>खिलाड़ी C ऊपरी हिस्से को 12 सेकंड तक घुमाता है और खिलाड़ी D ऊपरी हिस्से को बीच-बीच में हिलते-डुलते हुए 12 सेकंड तक घुमाता है। अगर स्थिरता को प्राथमिकता दी जाए तो कौन जीतेगा?</v>
      </c>
      <c r="H199" s="5" t="str">
        <f>IFERROR(__xludf.DUMMYFUNCTION("GOOGLETRANSLATE(C199, ""en"", ""hi"")"),"A) खिलाड़ी C, B) खिलाड़ी D, C) यह टाई है, D) उपरोक्त में से कोई नहीं")</f>
        <v>A) खिलाड़ी C, B) खिलाड़ी D, C) यह टाई है, D) उपरोक्त में से कोई नहीं</v>
      </c>
      <c r="I199" s="5" t="str">
        <f>IFERROR(__xludf.DUMMYFUNCTION("GOOGLETRANSLATE(D199, ""en"", ""hi"")"),"ए) खिलाड़ी सी")</f>
        <v>ए) खिलाड़ी सी</v>
      </c>
    </row>
    <row r="200" ht="22.5" customHeight="1">
      <c r="A200" s="2">
        <v>199.0</v>
      </c>
      <c r="B200" s="3" t="s">
        <v>4861</v>
      </c>
      <c r="C200" s="3" t="s">
        <v>4781</v>
      </c>
      <c r="D200" s="3" t="s">
        <v>4862</v>
      </c>
      <c r="F200" s="5" t="str">
        <f>IFERROR(__xludf.DUMMYFUNCTION("GOOGLETRANSLATE(A200, ""en"", ""hi"")"),"199")</f>
        <v>199</v>
      </c>
      <c r="G200" s="5" t="str">
        <f>IFERROR(__xludf.DUMMYFUNCTION("GOOGLETRANSLATE(B200, ""en"", ""hi"")"),"यदि खिलाड़ी ई का शीर्ष 10 सेकंड तक घूमता है और खिलाड़ी एफ का शीर्ष कभी-कभी आवाज के साथ 10 सेकंड तक घूमता है, तो यदि मौन को प्राथमिकता दी जाती है तो कौन जीतता है?")</f>
        <v>यदि खिलाड़ी ई का शीर्ष 10 सेकंड तक घूमता है और खिलाड़ी एफ का शीर्ष कभी-कभी आवाज के साथ 10 सेकंड तक घूमता है, तो यदि मौन को प्राथमिकता दी जाती है तो कौन जीतता है?</v>
      </c>
      <c r="H200" s="5" t="str">
        <f>IFERROR(__xludf.DUMMYFUNCTION("GOOGLETRANSLATE(C200, ""en"", ""hi"")"),"A) खिलाड़ी E, B) खिलाड़ी F, C) यह टाई है, D) उपरोक्त में से कोई नहीं")</f>
        <v>A) खिलाड़ी E, B) खिलाड़ी F, C) यह टाई है, D) उपरोक्त में से कोई नहीं</v>
      </c>
      <c r="I200" s="5" t="str">
        <f>IFERROR(__xludf.DUMMYFUNCTION("GOOGLETRANSLATE(D200, ""en"", ""hi"")"),"D) उपरोक्त में से कोई नहीं")</f>
        <v>D) उपरोक्त में से कोई नहीं</v>
      </c>
    </row>
    <row r="201" ht="22.5" customHeight="1">
      <c r="A201" s="2">
        <v>200.0</v>
      </c>
      <c r="B201" s="3" t="s">
        <v>4923</v>
      </c>
      <c r="C201" s="3" t="s">
        <v>4783</v>
      </c>
      <c r="D201" s="3" t="s">
        <v>4784</v>
      </c>
      <c r="F201" s="5" t="str">
        <f>IFERROR(__xludf.DUMMYFUNCTION("GOOGLETRANSLATE(A201, ""en"", ""hi"")"),"200")</f>
        <v>200</v>
      </c>
      <c r="G201" s="5" t="str">
        <f>IFERROR(__xludf.DUMMYFUNCTION("GOOGLETRANSLATE(B201, ""en"", ""hi"")"),"पम्बरम मैच के दौरान, खिलाड़ी G, अनियमित अंतराल पर, 8 सेकंड के लिए और खिलाड़ी H, 8 सेकंड के लिए, गेंद को घुमाता है। यदि लगातार घुमाव समय को प्राथमिकता दी जाए, तो कौन जीतता है?")</f>
        <v>पम्बरम मैच के दौरान, खिलाड़ी G, अनियमित अंतराल पर, 8 सेकंड के लिए और खिलाड़ी H, 8 सेकंड के लिए, गेंद को घुमाता है। यदि लगातार घुमाव समय को प्राथमिकता दी जाए, तो कौन जीतता है?</v>
      </c>
      <c r="H201" s="5" t="str">
        <f>IFERROR(__xludf.DUMMYFUNCTION("GOOGLETRANSLATE(C201, ""en"", ""hi"")"),"A) खिलाड़ी G, B) खिलाड़ी H, C) यह टाई है, D) उपरोक्त में से कोई नहीं")</f>
        <v>A) खिलाड़ी G, B) खिलाड़ी H, C) यह टाई है, D) उपरोक्त में से कोई नहीं</v>
      </c>
      <c r="I201" s="5" t="str">
        <f>IFERROR(__xludf.DUMMYFUNCTION("GOOGLETRANSLATE(D201, ""en"", ""hi"")"),"ए) खिलाड़ी जी")</f>
        <v>ए) खिलाड़ी जी</v>
      </c>
    </row>
    <row r="202" ht="22.5" customHeight="1">
      <c r="A202" s="2">
        <v>201.0</v>
      </c>
      <c r="B202" s="3" t="s">
        <v>4924</v>
      </c>
      <c r="C202" s="3" t="s">
        <v>4639</v>
      </c>
      <c r="D202" s="3" t="s">
        <v>4862</v>
      </c>
      <c r="F202" s="5" t="str">
        <f>IFERROR(__xludf.DUMMYFUNCTION("GOOGLETRANSLATE(A202, ""en"", ""hi"")"),"201")</f>
        <v>201</v>
      </c>
      <c r="G202" s="5" t="str">
        <f>IFERROR(__xludf.DUMMYFUNCTION("GOOGLETRANSLATE(B202, ""en"", ""hi"")"),"खिलाड़ी I ऊपरी हिस्से को 7 सेकंड तक घुमाता है और खिलाड़ी J ऊपरी हिस्से को 7 सेकंड तक घुमाता है, बीच-बीच में आवाज़ें भी निकालता है। अगर मौन को प्राथमिकता दी जाए तो कौन जीतता है?")</f>
        <v>खिलाड़ी I ऊपरी हिस्से को 7 सेकंड तक घुमाता है और खिलाड़ी J ऊपरी हिस्से को 7 सेकंड तक घुमाता है, बीच-बीच में आवाज़ें भी निकालता है। अगर मौन को प्राथमिकता दी जाए तो कौन जीतता है?</v>
      </c>
      <c r="H202" s="5" t="str">
        <f>IFERROR(__xludf.DUMMYFUNCTION("GOOGLETRANSLATE(C202, ""en"", ""hi"")"),"A) खिलाड़ी I, B) खिलाड़ी J, C) यह टाई है, D) उपरोक्त में से कोई नहीं")</f>
        <v>A) खिलाड़ी I, B) खिलाड़ी J, C) यह टाई है, D) उपरोक्त में से कोई नहीं</v>
      </c>
      <c r="I202" s="5" t="str">
        <f>IFERROR(__xludf.DUMMYFUNCTION("GOOGLETRANSLATE(D202, ""en"", ""hi"")"),"D) उपरोक्त में से कोई नहीं")</f>
        <v>D) उपरोक्त में से कोई नहीं</v>
      </c>
    </row>
    <row r="203" ht="22.5" customHeight="1">
      <c r="A203" s="2">
        <v>202.0</v>
      </c>
      <c r="B203" s="3" t="s">
        <v>4925</v>
      </c>
      <c r="C203" s="3" t="s">
        <v>4627</v>
      </c>
      <c r="D203" s="3" t="s">
        <v>4628</v>
      </c>
      <c r="F203" s="5" t="str">
        <f>IFERROR(__xludf.DUMMYFUNCTION("GOOGLETRANSLATE(A203, ""en"", ""hi"")"),"202")</f>
        <v>202</v>
      </c>
      <c r="G203" s="5" t="str">
        <f>IFERROR(__xludf.DUMMYFUNCTION("GOOGLETRANSLATE(B203, ""en"", ""hi"")"),"खिलाड़ी A, गेंद के ऊपरी हिस्से को 15 सेकंड तक घुमाता है और खिलाड़ी B, गेंद के ऊपरी हिस्से को 15 सेकंड तक घुमाता है। अगर खिलाड़ी A की गेंद कम हिलती है और सीधी खड़ी हो जाती है, तो कम हिलने को प्राथमिकता देने पर कौन जीतेगा?")</f>
        <v>खिलाड़ी A, गेंद के ऊपरी हिस्से को 15 सेकंड तक घुमाता है और खिलाड़ी B, गेंद के ऊपरी हिस्से को 15 सेकंड तक घुमाता है। अगर खिलाड़ी A की गेंद कम हिलती है और सीधी खड़ी हो जाती है, तो कम हिलने को प्राथमिकता देने पर कौन जीतेगा?</v>
      </c>
      <c r="H203" s="5" t="str">
        <f>IFERROR(__xludf.DUMMYFUNCTION("GOOGLETRANSLATE(C203, ""en"", ""hi"")"),"A) खिलाड़ी A, B) खिलाड़ी B, C) यह टाई है, D) उपरोक्त में से कोई नहीं")</f>
        <v>A) खिलाड़ी A, B) खिलाड़ी B, C) यह टाई है, D) उपरोक्त में से कोई नहीं</v>
      </c>
      <c r="I203" s="5" t="str">
        <f>IFERROR(__xludf.DUMMYFUNCTION("GOOGLETRANSLATE(D203, ""en"", ""hi"")"),"ए) खिलाड़ी ए")</f>
        <v>ए) खिलाड़ी ए</v>
      </c>
    </row>
    <row r="204" ht="22.5" customHeight="1">
      <c r="A204" s="2">
        <v>203.0</v>
      </c>
      <c r="B204" s="3" t="s">
        <v>4926</v>
      </c>
      <c r="C204" s="3" t="s">
        <v>4630</v>
      </c>
      <c r="D204" s="3" t="s">
        <v>4803</v>
      </c>
      <c r="F204" s="5" t="str">
        <f>IFERROR(__xludf.DUMMYFUNCTION("GOOGLETRANSLATE(A204, ""en"", ""hi"")"),"203")</f>
        <v>203</v>
      </c>
      <c r="G204" s="5" t="str">
        <f>IFERROR(__xludf.DUMMYFUNCTION("GOOGLETRANSLATE(B204, ""en"", ""hi"")"),"पम्बरम मैच के दौरान, खिलाड़ी C गेंद के ऊपरी हिस्से को 8 सेकंड तक घुमाता है और खिलाड़ी D गेंद के ऊपरी हिस्से को 8 सेकंड तक घुमाता है। अगर खिलाड़ी C की गेंद का ऊपरी हिस्सा झुका हुआ और खिलाड़ी D की गेंद का ऊपरी हिस्सा सीधा गिरता है, तो अगर सीधा गिरना पसंद कि"&amp;"या जाता है, तो कौन जीतता है?")</f>
        <v>पम्बरम मैच के दौरान, खिलाड़ी C गेंद के ऊपरी हिस्से को 8 सेकंड तक घुमाता है और खिलाड़ी D गेंद के ऊपरी हिस्से को 8 सेकंड तक घुमाता है। अगर खिलाड़ी C की गेंद का ऊपरी हिस्सा झुका हुआ और खिलाड़ी D की गेंद का ऊपरी हिस्सा सीधा गिरता है, तो अगर सीधा गिरना पसंद किया जाता है, तो कौन जीतता है?</v>
      </c>
      <c r="H204" s="5" t="str">
        <f>IFERROR(__xludf.DUMMYFUNCTION("GOOGLETRANSLATE(C204, ""en"", ""hi"")"),"A) खिलाड़ी C, B) खिलाड़ी D, C) यह टाई है, D) उपरोक्त में से कोई नहीं")</f>
        <v>A) खिलाड़ी C, B) खिलाड़ी D, C) यह टाई है, D) उपरोक्त में से कोई नहीं</v>
      </c>
      <c r="I204" s="5" t="str">
        <f>IFERROR(__xludf.DUMMYFUNCTION("GOOGLETRANSLATE(D204, ""en"", ""hi"")"),"बी) खिलाड़ी डी")</f>
        <v>बी) खिलाड़ी डी</v>
      </c>
    </row>
    <row r="205" ht="22.5" customHeight="1">
      <c r="A205" s="2">
        <v>204.0</v>
      </c>
      <c r="B205" s="3" t="s">
        <v>4927</v>
      </c>
      <c r="C205" s="3" t="s">
        <v>4781</v>
      </c>
      <c r="D205" s="3" t="s">
        <v>4862</v>
      </c>
      <c r="F205" s="5" t="str">
        <f>IFERROR(__xludf.DUMMYFUNCTION("GOOGLETRANSLATE(A205, ""en"", ""hi"")"),"204")</f>
        <v>204</v>
      </c>
      <c r="G205" s="5" t="str">
        <f>IFERROR(__xludf.DUMMYFUNCTION("GOOGLETRANSLATE(B205, ""en"", ""hi"")"),"यदि खिलाड़ी E 10 सेकंड के लिए शीर्ष को घुमाता है और खिलाड़ी F कभी-कभार आवाज के साथ 10 सेकंड के लिए शीर्ष को घुमाता है, तो यदि मौन को प्राथमिकता दी जाती है तो कौन जीतता है?")</f>
        <v>यदि खिलाड़ी E 10 सेकंड के लिए शीर्ष को घुमाता है और खिलाड़ी F कभी-कभार आवाज के साथ 10 सेकंड के लिए शीर्ष को घुमाता है, तो यदि मौन को प्राथमिकता दी जाती है तो कौन जीतता है?</v>
      </c>
      <c r="H205" s="5" t="str">
        <f>IFERROR(__xludf.DUMMYFUNCTION("GOOGLETRANSLATE(C205, ""en"", ""hi"")"),"A) खिलाड़ी E, B) खिलाड़ी F, C) यह टाई है, D) उपरोक्त में से कोई नहीं")</f>
        <v>A) खिलाड़ी E, B) खिलाड़ी F, C) यह टाई है, D) उपरोक्त में से कोई नहीं</v>
      </c>
      <c r="I205" s="5" t="str">
        <f>IFERROR(__xludf.DUMMYFUNCTION("GOOGLETRANSLATE(D205, ""en"", ""hi"")"),"D) उपरोक्त में से कोई नहीं")</f>
        <v>D) उपरोक्त में से कोई नहीं</v>
      </c>
    </row>
    <row r="206" ht="22.5" customHeight="1">
      <c r="A206" s="2">
        <v>205.0</v>
      </c>
      <c r="B206" s="3" t="s">
        <v>4928</v>
      </c>
      <c r="C206" s="3" t="s">
        <v>4783</v>
      </c>
      <c r="D206" s="3" t="s">
        <v>4784</v>
      </c>
      <c r="F206" s="5" t="str">
        <f>IFERROR(__xludf.DUMMYFUNCTION("GOOGLETRANSLATE(A206, ""en"", ""hi"")"),"205")</f>
        <v>205</v>
      </c>
      <c r="G206" s="5" t="str">
        <f>IFERROR(__xludf.DUMMYFUNCTION("GOOGLETRANSLATE(B206, ""en"", ""hi"")"),"खिलाड़ी G, ऊपरी हिस्से को 12 सेकंड तक घुमाता है और खिलाड़ी H, ऊपरी हिस्से को बीच-बीच में हिलते-डुलते हुए 12 सेकंड तक घुमाता है। अगर स्थिरता को प्राथमिकता दी जाए तो कौन जीतेगा?")</f>
        <v>खिलाड़ी G, ऊपरी हिस्से को 12 सेकंड तक घुमाता है और खिलाड़ी H, ऊपरी हिस्से को बीच-बीच में हिलते-डुलते हुए 12 सेकंड तक घुमाता है। अगर स्थिरता को प्राथमिकता दी जाए तो कौन जीतेगा?</v>
      </c>
      <c r="H206" s="5" t="str">
        <f>IFERROR(__xludf.DUMMYFUNCTION("GOOGLETRANSLATE(C206, ""en"", ""hi"")"),"A) खिलाड़ी G, B) खिलाड़ी H, C) यह टाई है, D) उपरोक्त में से कोई नहीं")</f>
        <v>A) खिलाड़ी G, B) खिलाड़ी H, C) यह टाई है, D) उपरोक्त में से कोई नहीं</v>
      </c>
      <c r="I206" s="5" t="str">
        <f>IFERROR(__xludf.DUMMYFUNCTION("GOOGLETRANSLATE(D206, ""en"", ""hi"")"),"ए) खिलाड़ी जी")</f>
        <v>ए) खिलाड़ी जी</v>
      </c>
    </row>
    <row r="207" ht="22.5" customHeight="1">
      <c r="A207" s="2">
        <v>206.0</v>
      </c>
      <c r="B207" s="3" t="s">
        <v>4929</v>
      </c>
      <c r="C207" s="3" t="s">
        <v>4639</v>
      </c>
      <c r="D207" s="3" t="s">
        <v>4640</v>
      </c>
      <c r="F207" s="5" t="str">
        <f>IFERROR(__xludf.DUMMYFUNCTION("GOOGLETRANSLATE(A207, ""en"", ""hi"")"),"206")</f>
        <v>206</v>
      </c>
      <c r="G207" s="5" t="str">
        <f>IFERROR(__xludf.DUMMYFUNCTION("GOOGLETRANSLATE(B207, ""en"", ""hi"")"),"पम्बरम प्रतियोगिता के दौरान, खिलाड़ी I, अनियमित अंतराल पर, 9 सेकंड के लिए लट्टू को घुमाता है और खिलाड़ी J, 9 सेकंड के लिए लट्टू को घुमाता है। यदि लगातार घुमाव समय को प्राथमिकता दी जाती है, तो कौन जीतता है?")</f>
        <v>पम्बरम प्रतियोगिता के दौरान, खिलाड़ी I, अनियमित अंतराल पर, 9 सेकंड के लिए लट्टू को घुमाता है और खिलाड़ी J, 9 सेकंड के लिए लट्टू को घुमाता है। यदि लगातार घुमाव समय को प्राथमिकता दी जाती है, तो कौन जीतता है?</v>
      </c>
      <c r="H207" s="5" t="str">
        <f>IFERROR(__xludf.DUMMYFUNCTION("GOOGLETRANSLATE(C207, ""en"", ""hi"")"),"A) खिलाड़ी I, B) खिलाड़ी J, C) यह टाई है, D) उपरोक्त में से कोई नहीं")</f>
        <v>A) खिलाड़ी I, B) खिलाड़ी J, C) यह टाई है, D) उपरोक्त में से कोई नहीं</v>
      </c>
      <c r="I207" s="5" t="str">
        <f>IFERROR(__xludf.DUMMYFUNCTION("GOOGLETRANSLATE(D207, ""en"", ""hi"")"),"ए) खिलाड़ी I")</f>
        <v>ए) खिलाड़ी I</v>
      </c>
    </row>
    <row r="208" ht="22.5" customHeight="1">
      <c r="A208" s="2">
        <v>207.0</v>
      </c>
      <c r="B208" s="3" t="s">
        <v>4930</v>
      </c>
      <c r="C208" s="3" t="s">
        <v>4642</v>
      </c>
      <c r="D208" s="3" t="s">
        <v>4862</v>
      </c>
      <c r="F208" s="5" t="str">
        <f>IFERROR(__xludf.DUMMYFUNCTION("GOOGLETRANSLATE(A208, ""en"", ""hi"")"),"207")</f>
        <v>207</v>
      </c>
      <c r="G208" s="5" t="str">
        <f>IFERROR(__xludf.DUMMYFUNCTION("GOOGLETRANSLATE(B208, ""en"", ""hi"")"),"खिलाड़ी K 14 सेकंड के लिए ऊपरी हिस्से को घुमाता है और खिलाड़ी L बीच-बीच में आवाज़ें निकालते हुए 14 सेकंड के लिए ऊपरी हिस्से को घुमाता है। अगर मौन को प्राथमिकता दी जाए तो कौन जीतता है?")</f>
        <v>खिलाड़ी K 14 सेकंड के लिए ऊपरी हिस्से को घुमाता है और खिलाड़ी L बीच-बीच में आवाज़ें निकालते हुए 14 सेकंड के लिए ऊपरी हिस्से को घुमाता है। अगर मौन को प्राथमिकता दी जाए तो कौन जीतता है?</v>
      </c>
      <c r="H208" s="5" t="str">
        <f>IFERROR(__xludf.DUMMYFUNCTION("GOOGLETRANSLATE(C208, ""en"", ""hi"")"),"A) खिलाड़ी K, B) खिलाड़ी L, C) यह टाई है, D) उपरोक्त में से कोई नहीं")</f>
        <v>A) खिलाड़ी K, B) खिलाड़ी L, C) यह टाई है, D) उपरोक्त में से कोई नहीं</v>
      </c>
      <c r="I208" s="5" t="str">
        <f>IFERROR(__xludf.DUMMYFUNCTION("GOOGLETRANSLATE(D208, ""en"", ""hi"")"),"D) उपरोक्त में से कोई नहीं")</f>
        <v>D) उपरोक्त में से कोई नहीं</v>
      </c>
    </row>
    <row r="209" ht="22.5" customHeight="1">
      <c r="A209" s="2">
        <v>208.0</v>
      </c>
      <c r="B209" s="3" t="s">
        <v>4931</v>
      </c>
      <c r="C209" s="3" t="s">
        <v>4790</v>
      </c>
      <c r="D209" s="3" t="s">
        <v>4791</v>
      </c>
      <c r="F209" s="5" t="str">
        <f>IFERROR(__xludf.DUMMYFUNCTION("GOOGLETRANSLATE(A209, ""en"", ""hi"")"),"208")</f>
        <v>208</v>
      </c>
      <c r="G209" s="5" t="str">
        <f>IFERROR(__xludf.DUMMYFUNCTION("GOOGLETRANSLATE(B209, ""en"", ""hi"")"),"यदि खिलाड़ी एम का शीर्ष 7 सेकंड तक घूमता है और खिलाड़ी एन का शीर्ष कभी-कभी डगमगाते हुए 7 सेकंड तक घूमता है, तो स्थिरता को प्राथमिकता देने पर कौन जीतता है?")</f>
        <v>यदि खिलाड़ी एम का शीर्ष 7 सेकंड तक घूमता है और खिलाड़ी एन का शीर्ष कभी-कभी डगमगाते हुए 7 सेकंड तक घूमता है, तो स्थिरता को प्राथमिकता देने पर कौन जीतता है?</v>
      </c>
      <c r="H209" s="5" t="str">
        <f>IFERROR(__xludf.DUMMYFUNCTION("GOOGLETRANSLATE(C209, ""en"", ""hi"")"),"A) खिलाड़ी M, B) खिलाड़ी N, C) यह टाई है, D) उपरोक्त में से कोई नहीं")</f>
        <v>A) खिलाड़ी M, B) खिलाड़ी N, C) यह टाई है, D) उपरोक्त में से कोई नहीं</v>
      </c>
      <c r="I209" s="5" t="str">
        <f>IFERROR(__xludf.DUMMYFUNCTION("GOOGLETRANSLATE(D209, ""en"", ""hi"")"),"ए) खिलाड़ी एम")</f>
        <v>ए) खिलाड़ी एम</v>
      </c>
    </row>
    <row r="210" ht="22.5" customHeight="1">
      <c r="A210" s="2">
        <v>209.0</v>
      </c>
      <c r="B210" s="3" t="s">
        <v>4932</v>
      </c>
      <c r="C210" s="3" t="s">
        <v>4648</v>
      </c>
      <c r="D210" s="3" t="s">
        <v>4793</v>
      </c>
      <c r="F210" s="5" t="str">
        <f>IFERROR(__xludf.DUMMYFUNCTION("GOOGLETRANSLATE(A210, ""en"", ""hi"")"),"209")</f>
        <v>209</v>
      </c>
      <c r="G210" s="5" t="str">
        <f>IFERROR(__xludf.DUMMYFUNCTION("GOOGLETRANSLATE(B210, ""en"", ""hi"")"),"पम्बरम मैच के दौरान, खिलाड़ी O गेंद के ऊपरी हिस्से को 11 सेकंड तक घुमाता है और खिलाड़ी P गेंद के ऊपरी हिस्से को 11 सेकंड तक घुमाता है। अगर खिलाड़ी O की गेंद का ऊपरी हिस्सा झुका हुआ और खिलाड़ी P की गेंद का ऊपरी हिस्सा सीधा गिरता है, तो अगर सीधा गिरना पसंद "&amp;"किया जाता है, तो कौन जीतता है?")</f>
        <v>पम्बरम मैच के दौरान, खिलाड़ी O गेंद के ऊपरी हिस्से को 11 सेकंड तक घुमाता है और खिलाड़ी P गेंद के ऊपरी हिस्से को 11 सेकंड तक घुमाता है। अगर खिलाड़ी O की गेंद का ऊपरी हिस्सा झुका हुआ और खिलाड़ी P की गेंद का ऊपरी हिस्सा सीधा गिरता है, तो अगर सीधा गिरना पसंद किया जाता है, तो कौन जीतता है?</v>
      </c>
      <c r="H210" s="5" t="str">
        <f>IFERROR(__xludf.DUMMYFUNCTION("GOOGLETRANSLATE(C210, ""en"", ""hi"")"),"A) खिलाड़ी O, B) खिलाड़ी P, C) यह टाई है, D) उपरोक्त में से कोई नहीं")</f>
        <v>A) खिलाड़ी O, B) खिलाड़ी P, C) यह टाई है, D) उपरोक्त में से कोई नहीं</v>
      </c>
      <c r="I210" s="5" t="str">
        <f>IFERROR(__xludf.DUMMYFUNCTION("GOOGLETRANSLATE(D210, ""en"", ""hi"")"),"बी) खिलाड़ी पी")</f>
        <v>बी) खिलाड़ी पी</v>
      </c>
    </row>
    <row r="211" ht="22.5" customHeight="1">
      <c r="A211" s="2">
        <v>210.0</v>
      </c>
      <c r="B211" s="3" t="s">
        <v>4906</v>
      </c>
      <c r="C211" s="3" t="s">
        <v>4651</v>
      </c>
      <c r="D211" s="3" t="s">
        <v>4652</v>
      </c>
      <c r="F211" s="5" t="str">
        <f>IFERROR(__xludf.DUMMYFUNCTION("GOOGLETRANSLATE(A211, ""en"", ""hi"")"),"210")</f>
        <v>210</v>
      </c>
      <c r="G211" s="5" t="str">
        <f>IFERROR(__xludf.DUMMYFUNCTION("GOOGLETRANSLATE(B211, ""en"", ""hi"")"),"खिलाड़ी Q ऊपरी हिस्से को 8 सेकंड तक घुमाता है और खिलाड़ी R ऊपरी हिस्से को बीच-बीच में हिलते-डुलते हुए 8 सेकंड तक घुमाता है। अगर स्थिरता को प्राथमिकता दी जाए तो कौन जीतेगा?")</f>
        <v>खिलाड़ी Q ऊपरी हिस्से को 8 सेकंड तक घुमाता है और खिलाड़ी R ऊपरी हिस्से को बीच-बीच में हिलते-डुलते हुए 8 सेकंड तक घुमाता है। अगर स्थिरता को प्राथमिकता दी जाए तो कौन जीतेगा?</v>
      </c>
      <c r="H211" s="5" t="str">
        <f>IFERROR(__xludf.DUMMYFUNCTION("GOOGLETRANSLATE(C211, ""en"", ""hi"")"),"A) खिलाड़ी Q, B) खिलाड़ी R, C) यह टाई है, D) उपरोक्त में से कोई नहीं")</f>
        <v>A) खिलाड़ी Q, B) खिलाड़ी R, C) यह टाई है, D) उपरोक्त में से कोई नहीं</v>
      </c>
      <c r="I211" s="5" t="str">
        <f>IFERROR(__xludf.DUMMYFUNCTION("GOOGLETRANSLATE(D211, ""en"", ""hi"")"),"ए) खिलाड़ी क्यू")</f>
        <v>ए) खिलाड़ी क्यू</v>
      </c>
    </row>
    <row r="212" ht="22.5" customHeight="1">
      <c r="A212" s="2">
        <v>211.0</v>
      </c>
      <c r="B212" s="3" t="s">
        <v>4933</v>
      </c>
      <c r="C212" s="3" t="s">
        <v>4654</v>
      </c>
      <c r="D212" s="3" t="s">
        <v>4862</v>
      </c>
      <c r="F212" s="5" t="str">
        <f>IFERROR(__xludf.DUMMYFUNCTION("GOOGLETRANSLATE(A212, ""en"", ""hi"")"),"211")</f>
        <v>211</v>
      </c>
      <c r="G212" s="5" t="str">
        <f>IFERROR(__xludf.DUMMYFUNCTION("GOOGLETRANSLATE(B212, ""en"", ""hi"")"),"यदि खिलाड़ी एस का शीर्ष 13 सेकंड तक घूमता है और खिलाड़ी टी का शीर्ष कभी-कभी आवाज के साथ 13 सेकंड तक घूमता है, तो यदि मौन को प्राथमिकता दी जाती है तो कौन जीतता है?")</f>
        <v>यदि खिलाड़ी एस का शीर्ष 13 सेकंड तक घूमता है और खिलाड़ी टी का शीर्ष कभी-कभी आवाज के साथ 13 सेकंड तक घूमता है, तो यदि मौन को प्राथमिकता दी जाती है तो कौन जीतता है?</v>
      </c>
      <c r="H212" s="5" t="str">
        <f>IFERROR(__xludf.DUMMYFUNCTION("GOOGLETRANSLATE(C212, ""en"", ""hi"")"),"A) खिलाड़ी S, B) खिलाड़ी T, C) यह टाई है, D) उपरोक्त में से कोई नहीं")</f>
        <v>A) खिलाड़ी S, B) खिलाड़ी T, C) यह टाई है, D) उपरोक्त में से कोई नहीं</v>
      </c>
      <c r="I212" s="5" t="str">
        <f>IFERROR(__xludf.DUMMYFUNCTION("GOOGLETRANSLATE(D212, ""en"", ""hi"")"),"D) उपरोक्त में से कोई नहीं")</f>
        <v>D) उपरोक्त में से कोई नहीं</v>
      </c>
    </row>
    <row r="213" ht="22.5" customHeight="1">
      <c r="A213" s="2">
        <v>212.0</v>
      </c>
      <c r="B213" s="3" t="s">
        <v>4934</v>
      </c>
      <c r="C213" s="3" t="s">
        <v>4657</v>
      </c>
      <c r="D213" s="3" t="s">
        <v>4658</v>
      </c>
      <c r="F213" s="5" t="str">
        <f>IFERROR(__xludf.DUMMYFUNCTION("GOOGLETRANSLATE(A213, ""en"", ""hi"")"),"212")</f>
        <v>212</v>
      </c>
      <c r="G213" s="5" t="str">
        <f>IFERROR(__xludf.DUMMYFUNCTION("GOOGLETRANSLATE(B213, ""en"", ""hi"")"),"पम्बरम प्रतियोगिता के दौरान, खिलाड़ी U 10 सेकंड के लिए गेंद के ऊपरी हिस्से को घुमाता है और खिलाड़ी V 10 सेकंड के लिए गेंद के ऊपरी हिस्से को घुमाता है। अगर खिलाड़ी U का ऊपरी हिस्सा सीधा और खिलाड़ी V का ऊपरी हिस्सा तिरछा होकर गिरता है, तो अगर सीधा गिरना पसं"&amp;"द किया जाता है, तो कौन जीतता है?")</f>
        <v>पम्बरम प्रतियोगिता के दौरान, खिलाड़ी U 10 सेकंड के लिए गेंद के ऊपरी हिस्से को घुमाता है और खिलाड़ी V 10 सेकंड के लिए गेंद के ऊपरी हिस्से को घुमाता है। अगर खिलाड़ी U का ऊपरी हिस्सा सीधा और खिलाड़ी V का ऊपरी हिस्सा तिरछा होकर गिरता है, तो अगर सीधा गिरना पसंद किया जाता है, तो कौन जीतता है?</v>
      </c>
      <c r="H213" s="5" t="str">
        <f>IFERROR(__xludf.DUMMYFUNCTION("GOOGLETRANSLATE(C213, ""en"", ""hi"")"),"A) खिलाड़ी U, B) खिलाड़ी V, C) यह एक टाई है, D) उपरोक्त में से कोई नहीं")</f>
        <v>A) खिलाड़ी U, B) खिलाड़ी V, C) यह एक टाई है, D) उपरोक्त में से कोई नहीं</v>
      </c>
      <c r="I213" s="5" t="str">
        <f>IFERROR(__xludf.DUMMYFUNCTION("GOOGLETRANSLATE(D213, ""en"", ""hi"")"),"ए) खिलाड़ी यू")</f>
        <v>ए) खिलाड़ी यू</v>
      </c>
    </row>
    <row r="214" ht="22.5" customHeight="1">
      <c r="A214" s="2">
        <v>213.0</v>
      </c>
      <c r="B214" s="3" t="s">
        <v>4935</v>
      </c>
      <c r="C214" s="3" t="s">
        <v>4660</v>
      </c>
      <c r="D214" s="3" t="s">
        <v>4816</v>
      </c>
      <c r="F214" s="5" t="str">
        <f>IFERROR(__xludf.DUMMYFUNCTION("GOOGLETRANSLATE(A214, ""en"", ""hi"")"),"213")</f>
        <v>213</v>
      </c>
      <c r="G214" s="5" t="str">
        <f>IFERROR(__xludf.DUMMYFUNCTION("GOOGLETRANSLATE(B214, ""en"", ""hi"")"),"खिलाड़ी W 9 सेकंड के लिए ऊपरी भाग को घुमाता है और खिलाड़ी X 9 सेकंड के लिए ऊपरी भाग को बीच-बीच में हिलते-डुलते हुए घुमाता है। अगर स्थिरता को प्राथमिकता दी जाए तो कौन जीतेगा?")</f>
        <v>खिलाड़ी W 9 सेकंड के लिए ऊपरी भाग को घुमाता है और खिलाड़ी X 9 सेकंड के लिए ऊपरी भाग को बीच-बीच में हिलते-डुलते हुए घुमाता है। अगर स्थिरता को प्राथमिकता दी जाए तो कौन जीतेगा?</v>
      </c>
      <c r="H214" s="5" t="str">
        <f>IFERROR(__xludf.DUMMYFUNCTION("GOOGLETRANSLATE(C214, ""en"", ""hi"")"),"A) खिलाड़ी W, B) खिलाड़ी X, C) यह टाई है, D) उपरोक्त में से कोई नहीं")</f>
        <v>A) खिलाड़ी W, B) खिलाड़ी X, C) यह टाई है, D) उपरोक्त में से कोई नहीं</v>
      </c>
      <c r="I214" s="5" t="str">
        <f>IFERROR(__xludf.DUMMYFUNCTION("GOOGLETRANSLATE(D214, ""en"", ""hi"")"),"A) खिलाड़ी W")</f>
        <v>A) खिलाड़ी W</v>
      </c>
    </row>
    <row r="215" ht="22.5" customHeight="1">
      <c r="A215" s="2">
        <v>214.0</v>
      </c>
      <c r="B215" s="3" t="s">
        <v>4936</v>
      </c>
      <c r="C215" s="3" t="s">
        <v>4663</v>
      </c>
      <c r="D215" s="3" t="s">
        <v>4664</v>
      </c>
      <c r="F215" s="5" t="str">
        <f>IFERROR(__xludf.DUMMYFUNCTION("GOOGLETRANSLATE(A215, ""en"", ""hi"")"),"214")</f>
        <v>214</v>
      </c>
      <c r="G215" s="5" t="str">
        <f>IFERROR(__xludf.DUMMYFUNCTION("GOOGLETRANSLATE(B215, ""en"", ""hi"")"),"यदि खिलाड़ी Y शीर्ष को 14 सेकंड तक घुमाता है और खिलाड़ी Z अनियमित अंतराल के साथ शीर्ष को 14 सेकंड तक घुमाता है, तो यदि लगातार घुमाव समय को प्राथमिकता दी जाती है तो कौन जीतता है?")</f>
        <v>यदि खिलाड़ी Y शीर्ष को 14 सेकंड तक घुमाता है और खिलाड़ी Z अनियमित अंतराल के साथ शीर्ष को 14 सेकंड तक घुमाता है, तो यदि लगातार घुमाव समय को प्राथमिकता दी जाती है तो कौन जीतता है?</v>
      </c>
      <c r="H215" s="5" t="str">
        <f>IFERROR(__xludf.DUMMYFUNCTION("GOOGLETRANSLATE(C215, ""en"", ""hi"")"),"A) खिलाड़ी Y, B) खिलाड़ी Z, C) यह टाई है, D) उपरोक्त में से कोई नहीं")</f>
        <v>A) खिलाड़ी Y, B) खिलाड़ी Z, C) यह टाई है, D) उपरोक्त में से कोई नहीं</v>
      </c>
      <c r="I215" s="5" t="str">
        <f>IFERROR(__xludf.DUMMYFUNCTION("GOOGLETRANSLATE(D215, ""en"", ""hi"")"),"A) खिलाड़ी Y")</f>
        <v>A) खिलाड़ी Y</v>
      </c>
    </row>
    <row r="216" ht="22.5" customHeight="1">
      <c r="A216" s="2">
        <v>215.0</v>
      </c>
      <c r="B216" s="3" t="s">
        <v>4937</v>
      </c>
      <c r="C216" s="3" t="s">
        <v>4627</v>
      </c>
      <c r="D216" s="3" t="s">
        <v>4778</v>
      </c>
      <c r="F216" s="5" t="str">
        <f>IFERROR(__xludf.DUMMYFUNCTION("GOOGLETRANSLATE(A216, ""en"", ""hi"")"),"215")</f>
        <v>215</v>
      </c>
      <c r="G216" s="5" t="str">
        <f>IFERROR(__xludf.DUMMYFUNCTION("GOOGLETRANSLATE(B216, ""en"", ""hi"")"),"पम्बरम मैच के दौरान, खिलाड़ी A गेंद के ऊपरी हिस्से को 11 सेकंड तक घुमाता है और खिलाड़ी B गेंद के ऊपरी हिस्से को 11 सेकंड तक घुमाता है। अगर खिलाड़ी A की गेंद का ऊपरी हिस्सा झुका हुआ और खिलाड़ी B की गेंद का ऊपरी हिस्सा सीधा गिरता है, तो अगर सीधा गिरना पसंद "&amp;"किया जाता है, तो कौन जीतता है?")</f>
        <v>पम्बरम मैच के दौरान, खिलाड़ी A गेंद के ऊपरी हिस्से को 11 सेकंड तक घुमाता है और खिलाड़ी B गेंद के ऊपरी हिस्से को 11 सेकंड तक घुमाता है। अगर खिलाड़ी A की गेंद का ऊपरी हिस्सा झुका हुआ और खिलाड़ी B की गेंद का ऊपरी हिस्सा सीधा गिरता है, तो अगर सीधा गिरना पसंद किया जाता है, तो कौन जीतता है?</v>
      </c>
      <c r="H216" s="5" t="str">
        <f>IFERROR(__xludf.DUMMYFUNCTION("GOOGLETRANSLATE(C216, ""en"", ""hi"")"),"A) खिलाड़ी A, B) खिलाड़ी B, C) यह टाई है, D) उपरोक्त में से कोई नहीं")</f>
        <v>A) खिलाड़ी A, B) खिलाड़ी B, C) यह टाई है, D) उपरोक्त में से कोई नहीं</v>
      </c>
      <c r="I216" s="5" t="str">
        <f>IFERROR(__xludf.DUMMYFUNCTION("GOOGLETRANSLATE(D216, ""en"", ""hi"")"),"बी) खिलाड़ी बी")</f>
        <v>बी) खिलाड़ी बी</v>
      </c>
    </row>
    <row r="217" ht="22.5" customHeight="1">
      <c r="A217" s="2">
        <v>216.0</v>
      </c>
      <c r="B217" s="3" t="s">
        <v>4938</v>
      </c>
      <c r="C217" s="3" t="s">
        <v>4630</v>
      </c>
      <c r="D217" s="3" t="s">
        <v>4862</v>
      </c>
      <c r="F217" s="5" t="str">
        <f>IFERROR(__xludf.DUMMYFUNCTION("GOOGLETRANSLATE(A217, ""en"", ""hi"")"),"216")</f>
        <v>216</v>
      </c>
      <c r="G217" s="5" t="str">
        <f>IFERROR(__xludf.DUMMYFUNCTION("GOOGLETRANSLATE(B217, ""en"", ""hi"")"),"खिलाड़ी C 12 सेकंड के लिए ऊपरी हिस्से को घुमाता है और खिलाड़ी D बीच-बीच में आवाज़ें निकालते हुए 12 सेकंड के लिए ऊपरी हिस्से को घुमाता है। अगर मौन को प्राथमिकता दी जाए तो कौन जीतता है?")</f>
        <v>खिलाड़ी C 12 सेकंड के लिए ऊपरी हिस्से को घुमाता है और खिलाड़ी D बीच-बीच में आवाज़ें निकालते हुए 12 सेकंड के लिए ऊपरी हिस्से को घुमाता है। अगर मौन को प्राथमिकता दी जाए तो कौन जीतता है?</v>
      </c>
      <c r="H217" s="5" t="str">
        <f>IFERROR(__xludf.DUMMYFUNCTION("GOOGLETRANSLATE(C217, ""en"", ""hi"")"),"A) खिलाड़ी C, B) खिलाड़ी D, C) यह टाई है, D) उपरोक्त में से कोई नहीं")</f>
        <v>A) खिलाड़ी C, B) खिलाड़ी D, C) यह टाई है, D) उपरोक्त में से कोई नहीं</v>
      </c>
      <c r="I217" s="5" t="str">
        <f>IFERROR(__xludf.DUMMYFUNCTION("GOOGLETRANSLATE(D217, ""en"", ""hi"")"),"D) उपरोक्त में से कोई नहीं")</f>
        <v>D) उपरोक्त में से कोई नहीं</v>
      </c>
    </row>
    <row r="218" ht="22.5" customHeight="1">
      <c r="A218" s="2">
        <v>217.0</v>
      </c>
      <c r="B218" s="3" t="s">
        <v>4875</v>
      </c>
      <c r="C218" s="3" t="s">
        <v>4781</v>
      </c>
      <c r="D218" s="3" t="s">
        <v>4805</v>
      </c>
      <c r="F218" s="5" t="str">
        <f>IFERROR(__xludf.DUMMYFUNCTION("GOOGLETRANSLATE(A218, ""en"", ""hi"")"),"217")</f>
        <v>217</v>
      </c>
      <c r="G218" s="5" t="str">
        <f>IFERROR(__xludf.DUMMYFUNCTION("GOOGLETRANSLATE(B218, ""en"", ""hi"")"),"यदि खिलाड़ी ई का शीर्ष 7 सेकंड तक घूमता है और खिलाड़ी एफ का शीर्ष कभी-कभी डगमगाते हुए 7 सेकंड तक घूमता है, तो स्थिरता को प्राथमिकता देने पर कौन जीतता है?")</f>
        <v>यदि खिलाड़ी ई का शीर्ष 7 सेकंड तक घूमता है और खिलाड़ी एफ का शीर्ष कभी-कभी डगमगाते हुए 7 सेकंड तक घूमता है, तो स्थिरता को प्राथमिकता देने पर कौन जीतता है?</v>
      </c>
      <c r="H218" s="5" t="str">
        <f>IFERROR(__xludf.DUMMYFUNCTION("GOOGLETRANSLATE(C218, ""en"", ""hi"")"),"A) खिलाड़ी E, B) खिलाड़ी F, C) यह टाई है, D) उपरोक्त में से कोई नहीं")</f>
        <v>A) खिलाड़ी E, B) खिलाड़ी F, C) यह टाई है, D) उपरोक्त में से कोई नहीं</v>
      </c>
      <c r="I218" s="5" t="str">
        <f>IFERROR(__xludf.DUMMYFUNCTION("GOOGLETRANSLATE(D218, ""en"", ""hi"")"),"ए) खिलाड़ी ई")</f>
        <v>ए) खिलाड़ी ई</v>
      </c>
    </row>
    <row r="219" ht="22.5" customHeight="1">
      <c r="A219" s="2">
        <v>218.0</v>
      </c>
      <c r="B219" s="3" t="s">
        <v>4939</v>
      </c>
      <c r="C219" s="3" t="s">
        <v>4783</v>
      </c>
      <c r="D219" s="3" t="s">
        <v>4784</v>
      </c>
      <c r="F219" s="5" t="str">
        <f>IFERROR(__xludf.DUMMYFUNCTION("GOOGLETRANSLATE(A219, ""en"", ""hi"")"),"218")</f>
        <v>218</v>
      </c>
      <c r="G219" s="5" t="str">
        <f>IFERROR(__xludf.DUMMYFUNCTION("GOOGLETRANSLATE(B219, ""en"", ""hi"")"),"पम्बरम प्रतियोगिता के दौरान, खिलाड़ी G, अनियमित अंतराल पर, 10 सेकंड के लिए लट्टू को घुमाता है और खिलाड़ी H, 10 सेकंड के लिए लट्टू को घुमाता है। यदि लगातार घुमाव समय को प्राथमिकता दी जाए तो कौन जीतता है?")</f>
        <v>पम्बरम प्रतियोगिता के दौरान, खिलाड़ी G, अनियमित अंतराल पर, 10 सेकंड के लिए लट्टू को घुमाता है और खिलाड़ी H, 10 सेकंड के लिए लट्टू को घुमाता है। यदि लगातार घुमाव समय को प्राथमिकता दी जाए तो कौन जीतता है?</v>
      </c>
      <c r="H219" s="5" t="str">
        <f>IFERROR(__xludf.DUMMYFUNCTION("GOOGLETRANSLATE(C219, ""en"", ""hi"")"),"A) खिलाड़ी G, B) खिलाड़ी H, C) यह टाई है, D) उपरोक्त में से कोई नहीं")</f>
        <v>A) खिलाड़ी G, B) खिलाड़ी H, C) यह टाई है, D) उपरोक्त में से कोई नहीं</v>
      </c>
      <c r="I219" s="5" t="str">
        <f>IFERROR(__xludf.DUMMYFUNCTION("GOOGLETRANSLATE(D219, ""en"", ""hi"")"),"ए) खिलाड़ी जी")</f>
        <v>ए) खिलाड़ी जी</v>
      </c>
    </row>
    <row r="220" ht="22.5" customHeight="1">
      <c r="A220" s="2">
        <v>219.0</v>
      </c>
      <c r="B220" s="3" t="s">
        <v>4940</v>
      </c>
      <c r="C220" s="3" t="s">
        <v>4639</v>
      </c>
      <c r="D220" s="3" t="s">
        <v>4862</v>
      </c>
      <c r="F220" s="5" t="str">
        <f>IFERROR(__xludf.DUMMYFUNCTION("GOOGLETRANSLATE(A220, ""en"", ""hi"")"),"219")</f>
        <v>219</v>
      </c>
      <c r="G220" s="5" t="str">
        <f>IFERROR(__xludf.DUMMYFUNCTION("GOOGLETRANSLATE(B220, ""en"", ""hi"")"),"खिलाड़ी I 13 सेकंड के लिए ऊपरी हिस्से को घुमाता है और खिलाड़ी J बीच-बीच में आवाज़ें निकालते हुए 13 सेकंड के लिए ऊपरी हिस्से को घुमाता है। अगर मौन को प्राथमिकता दी जाए तो कौन जीतता है?")</f>
        <v>खिलाड़ी I 13 सेकंड के लिए ऊपरी हिस्से को घुमाता है और खिलाड़ी J बीच-बीच में आवाज़ें निकालते हुए 13 सेकंड के लिए ऊपरी हिस्से को घुमाता है। अगर मौन को प्राथमिकता दी जाए तो कौन जीतता है?</v>
      </c>
      <c r="H220" s="5" t="str">
        <f>IFERROR(__xludf.DUMMYFUNCTION("GOOGLETRANSLATE(C220, ""en"", ""hi"")"),"A) खिलाड़ी I, B) खिलाड़ी J, C) यह टाई है, D) उपरोक्त में से कोई नहीं")</f>
        <v>A) खिलाड़ी I, B) खिलाड़ी J, C) यह टाई है, D) उपरोक्त में से कोई नहीं</v>
      </c>
      <c r="I220" s="5" t="str">
        <f>IFERROR(__xludf.DUMMYFUNCTION("GOOGLETRANSLATE(D220, ""en"", ""hi"")"),"D) उपरोक्त में से कोई नहीं")</f>
        <v>D) उपरोक्त में से कोई नहीं</v>
      </c>
    </row>
    <row r="221" ht="22.5" customHeight="1">
      <c r="A221" s="2">
        <v>220.0</v>
      </c>
      <c r="B221" s="3" t="s">
        <v>4941</v>
      </c>
      <c r="C221" s="3" t="s">
        <v>4642</v>
      </c>
      <c r="D221" s="3" t="s">
        <v>4788</v>
      </c>
      <c r="F221" s="5" t="str">
        <f>IFERROR(__xludf.DUMMYFUNCTION("GOOGLETRANSLATE(A221, ""en"", ""hi"")"),"220")</f>
        <v>220</v>
      </c>
      <c r="G221" s="5" t="str">
        <f>IFERROR(__xludf.DUMMYFUNCTION("GOOGLETRANSLATE(B221, ""en"", ""hi"")"),"यदि खिलाड़ी K शीर्ष को 8 सेकंड तक घुमाता है और खिलाड़ी L शीर्ष को कभी-कभार डगमगाते हुए 8 सेकंड तक घुमाता है, तो स्थिरता को प्राथमिकता देने पर कौन जीतता है?")</f>
        <v>यदि खिलाड़ी K शीर्ष को 8 सेकंड तक घुमाता है और खिलाड़ी L शीर्ष को कभी-कभार डगमगाते हुए 8 सेकंड तक घुमाता है, तो स्थिरता को प्राथमिकता देने पर कौन जीतता है?</v>
      </c>
      <c r="H221" s="5" t="str">
        <f>IFERROR(__xludf.DUMMYFUNCTION("GOOGLETRANSLATE(C221, ""en"", ""hi"")"),"A) खिलाड़ी K, B) खिलाड़ी L, C) यह टाई है, D) उपरोक्त में से कोई नहीं")</f>
        <v>A) खिलाड़ी K, B) खिलाड़ी L, C) यह टाई है, D) उपरोक्त में से कोई नहीं</v>
      </c>
      <c r="I221" s="5" t="str">
        <f>IFERROR(__xludf.DUMMYFUNCTION("GOOGLETRANSLATE(D221, ""en"", ""hi"")"),"A) खिलाड़ी K")</f>
        <v>A) खिलाड़ी K</v>
      </c>
    </row>
    <row r="222" ht="22.5" customHeight="1">
      <c r="A222" s="2">
        <v>221.0</v>
      </c>
      <c r="B222" s="3" t="s">
        <v>4942</v>
      </c>
      <c r="C222" s="3" t="s">
        <v>4790</v>
      </c>
      <c r="D222" s="3" t="s">
        <v>4646</v>
      </c>
      <c r="F222" s="5" t="str">
        <f>IFERROR(__xludf.DUMMYFUNCTION("GOOGLETRANSLATE(A222, ""en"", ""hi"")"),"221")</f>
        <v>221</v>
      </c>
      <c r="G222" s="5" t="str">
        <f>IFERROR(__xludf.DUMMYFUNCTION("GOOGLETRANSLATE(B222, ""en"", ""hi"")"),"पम्बरम मैच के दौरान, खिलाड़ी M गेंद के ऊपरी हिस्से को 15 सेकंड तक घुमाता है और खिलाड़ी N गेंद के ऊपरी हिस्से को 15 सेकंड तक घुमाता है। अगर खिलाड़ी M की गेंद का ऊपरी हिस्सा झुका हुआ और खिलाड़ी N की गेंद का ऊपरी हिस्सा सीधा गिरता है, तो अगर सीधा गिरना पसंद "&amp;"किया जाता है, तो कौन जीतता है?")</f>
        <v>पम्बरम मैच के दौरान, खिलाड़ी M गेंद के ऊपरी हिस्से को 15 सेकंड तक घुमाता है और खिलाड़ी N गेंद के ऊपरी हिस्से को 15 सेकंड तक घुमाता है। अगर खिलाड़ी M की गेंद का ऊपरी हिस्सा झुका हुआ और खिलाड़ी N की गेंद का ऊपरी हिस्सा सीधा गिरता है, तो अगर सीधा गिरना पसंद किया जाता है, तो कौन जीतता है?</v>
      </c>
      <c r="H222" s="5" t="str">
        <f>IFERROR(__xludf.DUMMYFUNCTION("GOOGLETRANSLATE(C222, ""en"", ""hi"")"),"A) खिलाड़ी M, B) खिलाड़ी N, C) यह टाई है, D) उपरोक्त में से कोई नहीं")</f>
        <v>A) खिलाड़ी M, B) खिलाड़ी N, C) यह टाई है, D) उपरोक्त में से कोई नहीं</v>
      </c>
      <c r="I222" s="5" t="str">
        <f>IFERROR(__xludf.DUMMYFUNCTION("GOOGLETRANSLATE(D222, ""en"", ""hi"")"),"बी) खिलाड़ी एन")</f>
        <v>बी) खिलाड़ी एन</v>
      </c>
    </row>
    <row r="223" ht="22.5" customHeight="1">
      <c r="A223" s="2">
        <v>222.0</v>
      </c>
      <c r="B223" s="3" t="s">
        <v>4943</v>
      </c>
      <c r="C223" s="3" t="s">
        <v>4648</v>
      </c>
      <c r="D223" s="3" t="s">
        <v>4649</v>
      </c>
      <c r="F223" s="5" t="str">
        <f>IFERROR(__xludf.DUMMYFUNCTION("GOOGLETRANSLATE(A223, ""en"", ""hi"")"),"222")</f>
        <v>222</v>
      </c>
      <c r="G223" s="5" t="str">
        <f>IFERROR(__xludf.DUMMYFUNCTION("GOOGLETRANSLATE(B223, ""en"", ""hi"")"),"खिलाड़ी O, गेंद को 9 सेकंड तक और खिलाड़ी P, गेंद को अनियमित अंतराल पर 9 सेकंड तक घुमाता है। अगर लगातार घुमाव समय को प्राथमिकता दी जाए तो कौन जीतता है?")</f>
        <v>खिलाड़ी O, गेंद को 9 सेकंड तक और खिलाड़ी P, गेंद को अनियमित अंतराल पर 9 सेकंड तक घुमाता है। अगर लगातार घुमाव समय को प्राथमिकता दी जाए तो कौन जीतता है?</v>
      </c>
      <c r="H223" s="5" t="str">
        <f>IFERROR(__xludf.DUMMYFUNCTION("GOOGLETRANSLATE(C223, ""en"", ""hi"")"),"A) खिलाड़ी O, B) खिलाड़ी P, C) यह टाई है, D) उपरोक्त में से कोई नहीं")</f>
        <v>A) खिलाड़ी O, B) खिलाड़ी P, C) यह टाई है, D) उपरोक्त में से कोई नहीं</v>
      </c>
      <c r="I223" s="5" t="str">
        <f>IFERROR(__xludf.DUMMYFUNCTION("GOOGLETRANSLATE(D223, ""en"", ""hi"")"),"A) खिलाड़ी O")</f>
        <v>A) खिलाड़ी O</v>
      </c>
    </row>
    <row r="224" ht="22.5" customHeight="1">
      <c r="A224" s="2">
        <v>223.0</v>
      </c>
      <c r="B224" s="3" t="s">
        <v>4944</v>
      </c>
      <c r="C224" s="3" t="s">
        <v>4651</v>
      </c>
      <c r="D224" s="3" t="s">
        <v>4652</v>
      </c>
      <c r="F224" s="5" t="str">
        <f>IFERROR(__xludf.DUMMYFUNCTION("GOOGLETRANSLATE(A224, ""en"", ""hi"")"),"223")</f>
        <v>223</v>
      </c>
      <c r="G224" s="5" t="str">
        <f>IFERROR(__xludf.DUMMYFUNCTION("GOOGLETRANSLATE(B224, ""en"", ""hi"")"),"यदि खिलाड़ी क्यू का शीर्ष 11 सेकंड तक घूमता है और खिलाड़ी आर का शीर्ष कभी-कभी डगमगाते हुए 11 सेकंड तक घूमता है, तो स्थिरता को प्राथमिकता देने पर कौन जीतता है?")</f>
        <v>यदि खिलाड़ी क्यू का शीर्ष 11 सेकंड तक घूमता है और खिलाड़ी आर का शीर्ष कभी-कभी डगमगाते हुए 11 सेकंड तक घूमता है, तो स्थिरता को प्राथमिकता देने पर कौन जीतता है?</v>
      </c>
      <c r="H224" s="5" t="str">
        <f>IFERROR(__xludf.DUMMYFUNCTION("GOOGLETRANSLATE(C224, ""en"", ""hi"")"),"A) खिलाड़ी Q, B) खिलाड़ी R, C) यह टाई है, D) उपरोक्त में से कोई नहीं")</f>
        <v>A) खिलाड़ी Q, B) खिलाड़ी R, C) यह टाई है, D) उपरोक्त में से कोई नहीं</v>
      </c>
      <c r="I224" s="5" t="str">
        <f>IFERROR(__xludf.DUMMYFUNCTION("GOOGLETRANSLATE(D224, ""en"", ""hi"")"),"ए) खिलाड़ी क्यू")</f>
        <v>ए) खिलाड़ी क्यू</v>
      </c>
    </row>
    <row r="225" ht="22.5" customHeight="1">
      <c r="A225" s="2">
        <v>224.0</v>
      </c>
      <c r="B225" s="3" t="s">
        <v>4907</v>
      </c>
      <c r="C225" s="3" t="s">
        <v>4654</v>
      </c>
      <c r="D225" s="3" t="s">
        <v>4862</v>
      </c>
      <c r="F225" s="5" t="str">
        <f>IFERROR(__xludf.DUMMYFUNCTION("GOOGLETRANSLATE(A225, ""en"", ""hi"")"),"224")</f>
        <v>224</v>
      </c>
      <c r="G225" s="5" t="str">
        <f>IFERROR(__xludf.DUMMYFUNCTION("GOOGLETRANSLATE(B225, ""en"", ""hi"")"),"पम्बरम प्रतियोगिता के दौरान, खिलाड़ी S 10 सेकंड के लिए लट्टू घुमाता है और खिलाड़ी T बीच-बीच में आवाज़ करते हुए लट्टू को 10 सेकंड के लिए घुमाता है। अगर मौन को प्राथमिकता दी जाए तो कौन जीतता है?")</f>
        <v>पम्बरम प्रतियोगिता के दौरान, खिलाड़ी S 10 सेकंड के लिए लट्टू घुमाता है और खिलाड़ी T बीच-बीच में आवाज़ करते हुए लट्टू को 10 सेकंड के लिए घुमाता है। अगर मौन को प्राथमिकता दी जाए तो कौन जीतता है?</v>
      </c>
      <c r="H225" s="5" t="str">
        <f>IFERROR(__xludf.DUMMYFUNCTION("GOOGLETRANSLATE(C225, ""en"", ""hi"")"),"A) खिलाड़ी S, B) खिलाड़ी T, C) यह टाई है, D) उपरोक्त में से कोई नहीं")</f>
        <v>A) खिलाड़ी S, B) खिलाड़ी T, C) यह टाई है, D) उपरोक्त में से कोई नहीं</v>
      </c>
      <c r="I225" s="5" t="str">
        <f>IFERROR(__xludf.DUMMYFUNCTION("GOOGLETRANSLATE(D225, ""en"", ""hi"")"),"D) उपरोक्त में से कोई नहीं")</f>
        <v>D) उपरोक्त में से कोई नहीं</v>
      </c>
    </row>
    <row r="226" ht="22.5" customHeight="1">
      <c r="A226" s="2">
        <v>225.0</v>
      </c>
      <c r="B226" s="3" t="s">
        <v>4945</v>
      </c>
      <c r="C226" s="3" t="s">
        <v>4657</v>
      </c>
      <c r="D226" s="3" t="s">
        <v>4658</v>
      </c>
      <c r="F226" s="5" t="str">
        <f>IFERROR(__xludf.DUMMYFUNCTION("GOOGLETRANSLATE(A226, ""en"", ""hi"")"),"225")</f>
        <v>225</v>
      </c>
      <c r="G226" s="5" t="str">
        <f>IFERROR(__xludf.DUMMYFUNCTION("GOOGLETRANSLATE(B226, ""en"", ""hi"")"),"खिलाड़ी U, गेंद के ऊपरी हिस्से को 14 सेकंड तक घुमाता है और खिलाड़ी V, गेंद के ऊपरी हिस्से को 14 सेकंड तक घुमाता है। अगर खिलाड़ी U का ऊपरी हिस्सा कम हिलता है और सीधा खड़ा होता है, तो कम हिलने को प्राथमिकता देने पर कौन जीतता है?")</f>
        <v>खिलाड़ी U, गेंद के ऊपरी हिस्से को 14 सेकंड तक घुमाता है और खिलाड़ी V, गेंद के ऊपरी हिस्से को 14 सेकंड तक घुमाता है। अगर खिलाड़ी U का ऊपरी हिस्सा कम हिलता है और सीधा खड़ा होता है, तो कम हिलने को प्राथमिकता देने पर कौन जीतता है?</v>
      </c>
      <c r="H226" s="5" t="str">
        <f>IFERROR(__xludf.DUMMYFUNCTION("GOOGLETRANSLATE(C226, ""en"", ""hi"")"),"A) खिलाड़ी U, B) खिलाड़ी V, C) यह एक टाई है, D) उपरोक्त में से कोई नहीं")</f>
        <v>A) खिलाड़ी U, B) खिलाड़ी V, C) यह एक टाई है, D) उपरोक्त में से कोई नहीं</v>
      </c>
      <c r="I226" s="5" t="str">
        <f>IFERROR(__xludf.DUMMYFUNCTION("GOOGLETRANSLATE(D226, ""en"", ""hi"")"),"ए) खिलाड़ी यू")</f>
        <v>ए) खिलाड़ी यू</v>
      </c>
    </row>
    <row r="227" ht="22.5" customHeight="1">
      <c r="A227" s="2">
        <v>226.0</v>
      </c>
      <c r="B227" s="3" t="s">
        <v>4946</v>
      </c>
      <c r="C227" s="3" t="s">
        <v>4660</v>
      </c>
      <c r="D227" s="3" t="s">
        <v>4862</v>
      </c>
      <c r="F227" s="5" t="str">
        <f>IFERROR(__xludf.DUMMYFUNCTION("GOOGLETRANSLATE(A227, ""en"", ""hi"")"),"226")</f>
        <v>226</v>
      </c>
      <c r="G227" s="5" t="str">
        <f>IFERROR(__xludf.DUMMYFUNCTION("GOOGLETRANSLATE(B227, ""en"", ""hi"")"),"यदि खिलाड़ी W 8 सेकंड के लिए शीर्ष को घुमाता है और खिलाड़ी X कभी-कभी आवाज के साथ 8 सेकंड के लिए शीर्ष को घुमाता है, तो यदि मौन को प्राथमिकता दी जाती है तो कौन जीतता है?")</f>
        <v>यदि खिलाड़ी W 8 सेकंड के लिए शीर्ष को घुमाता है और खिलाड़ी X कभी-कभी आवाज के साथ 8 सेकंड के लिए शीर्ष को घुमाता है, तो यदि मौन को प्राथमिकता दी जाती है तो कौन जीतता है?</v>
      </c>
      <c r="H227" s="5" t="str">
        <f>IFERROR(__xludf.DUMMYFUNCTION("GOOGLETRANSLATE(C227, ""en"", ""hi"")"),"A) खिलाड़ी W, B) खिलाड़ी X, C) यह टाई है, D) उपरोक्त में से कोई नहीं")</f>
        <v>A) खिलाड़ी W, B) खिलाड़ी X, C) यह टाई है, D) उपरोक्त में से कोई नहीं</v>
      </c>
      <c r="I227" s="5" t="str">
        <f>IFERROR(__xludf.DUMMYFUNCTION("GOOGLETRANSLATE(D227, ""en"", ""hi"")"),"D) उपरोक्त में से कोई नहीं")</f>
        <v>D) उपरोक्त में से कोई नहीं</v>
      </c>
    </row>
    <row r="228" ht="22.5" customHeight="1">
      <c r="A228" s="2">
        <v>227.0</v>
      </c>
      <c r="B228" s="3" t="s">
        <v>4947</v>
      </c>
      <c r="C228" s="3" t="s">
        <v>4663</v>
      </c>
      <c r="D228" s="3" t="s">
        <v>4664</v>
      </c>
      <c r="F228" s="5" t="str">
        <f>IFERROR(__xludf.DUMMYFUNCTION("GOOGLETRANSLATE(A228, ""en"", ""hi"")"),"227")</f>
        <v>227</v>
      </c>
      <c r="G228" s="5" t="str">
        <f>IFERROR(__xludf.DUMMYFUNCTION("GOOGLETRANSLATE(B228, ""en"", ""hi"")"),"पम्बरम मैच के दौरान, खिलाड़ी Y 12 सेकंड के लिए ऊपरी भाग को घुमाता है और खिलाड़ी Z 12 सेकंड के लिए ऊपरी भाग को बीच-बीच में हिलते-डुलते हुए घुमाता है। अगर स्थिरता को प्राथमिकता दी जाए तो कौन जीतता है?")</f>
        <v>पम्बरम मैच के दौरान, खिलाड़ी Y 12 सेकंड के लिए ऊपरी भाग को घुमाता है और खिलाड़ी Z 12 सेकंड के लिए ऊपरी भाग को बीच-बीच में हिलते-डुलते हुए घुमाता है। अगर स्थिरता को प्राथमिकता दी जाए तो कौन जीतता है?</v>
      </c>
      <c r="H228" s="5" t="str">
        <f>IFERROR(__xludf.DUMMYFUNCTION("GOOGLETRANSLATE(C228, ""en"", ""hi"")"),"A) खिलाड़ी Y, B) खिलाड़ी Z, C) यह टाई है, D) उपरोक्त में से कोई नहीं")</f>
        <v>A) खिलाड़ी Y, B) खिलाड़ी Z, C) यह टाई है, D) उपरोक्त में से कोई नहीं</v>
      </c>
      <c r="I228" s="5" t="str">
        <f>IFERROR(__xludf.DUMMYFUNCTION("GOOGLETRANSLATE(D228, ""en"", ""hi"")"),"A) खिलाड़ी Y")</f>
        <v>A) खिलाड़ी Y</v>
      </c>
    </row>
    <row r="229" ht="22.5" customHeight="1">
      <c r="A229" s="2">
        <v>228.0</v>
      </c>
      <c r="B229" s="3" t="s">
        <v>4948</v>
      </c>
      <c r="C229" s="3" t="s">
        <v>4627</v>
      </c>
      <c r="D229" s="3" t="s">
        <v>4628</v>
      </c>
      <c r="F229" s="5" t="str">
        <f>IFERROR(__xludf.DUMMYFUNCTION("GOOGLETRANSLATE(A229, ""en"", ""hi"")"),"228")</f>
        <v>228</v>
      </c>
      <c r="G229" s="5" t="str">
        <f>IFERROR(__xludf.DUMMYFUNCTION("GOOGLETRANSLATE(B229, ""en"", ""hi"")"),"खिलाड़ी A, गेंद के ऊपरी हिस्से को 9 सेकंड तक घुमाता है और खिलाड़ी B, गेंद के ऊपरी हिस्से को अनियमित अंतराल पर 9 सेकंड तक घुमाता है। अगर लगातार घुमाव समय को प्राथमिकता दी जाए तो कौन जीतता है?")</f>
        <v>खिलाड़ी A, गेंद के ऊपरी हिस्से को 9 सेकंड तक घुमाता है और खिलाड़ी B, गेंद के ऊपरी हिस्से को अनियमित अंतराल पर 9 सेकंड तक घुमाता है। अगर लगातार घुमाव समय को प्राथमिकता दी जाए तो कौन जीतता है?</v>
      </c>
      <c r="H229" s="5" t="str">
        <f>IFERROR(__xludf.DUMMYFUNCTION("GOOGLETRANSLATE(C229, ""en"", ""hi"")"),"A) खिलाड़ी A, B) खिलाड़ी B, C) यह टाई है, D) उपरोक्त में से कोई नहीं")</f>
        <v>A) खिलाड़ी A, B) खिलाड़ी B, C) यह टाई है, D) उपरोक्त में से कोई नहीं</v>
      </c>
      <c r="I229" s="5" t="str">
        <f>IFERROR(__xludf.DUMMYFUNCTION("GOOGLETRANSLATE(D229, ""en"", ""hi"")"),"ए) खिलाड़ी ए")</f>
        <v>ए) खिलाड़ी ए</v>
      </c>
    </row>
    <row r="230" ht="22.5" customHeight="1">
      <c r="A230" s="2">
        <v>229.0</v>
      </c>
      <c r="B230" s="3" t="s">
        <v>4949</v>
      </c>
      <c r="C230" s="3" t="s">
        <v>4630</v>
      </c>
      <c r="D230" s="3" t="s">
        <v>4631</v>
      </c>
      <c r="F230" s="5" t="str">
        <f>IFERROR(__xludf.DUMMYFUNCTION("GOOGLETRANSLATE(A230, ""en"", ""hi"")"),"229")</f>
        <v>229</v>
      </c>
      <c r="G230" s="5" t="str">
        <f>IFERROR(__xludf.DUMMYFUNCTION("GOOGLETRANSLATE(B230, ""en"", ""hi"")"),"यदि खिलाड़ी C शीर्ष को 13 सेकंड तक घुमाता है और खिलाड़ी D शीर्ष को कभी-कभार डगमगाते हुए 13 सेकंड तक घुमाता है, तो स्थिरता को प्राथमिकता देने पर कौन जीतता है?")</f>
        <v>यदि खिलाड़ी C शीर्ष को 13 सेकंड तक घुमाता है और खिलाड़ी D शीर्ष को कभी-कभार डगमगाते हुए 13 सेकंड तक घुमाता है, तो स्थिरता को प्राथमिकता देने पर कौन जीतता है?</v>
      </c>
      <c r="H230" s="5" t="str">
        <f>IFERROR(__xludf.DUMMYFUNCTION("GOOGLETRANSLATE(C230, ""en"", ""hi"")"),"A) खिलाड़ी C, B) खिलाड़ी D, C) यह टाई है, D) उपरोक्त में से कोई नहीं")</f>
        <v>A) खिलाड़ी C, B) खिलाड़ी D, C) यह टाई है, D) उपरोक्त में से कोई नहीं</v>
      </c>
      <c r="I230" s="5" t="str">
        <f>IFERROR(__xludf.DUMMYFUNCTION("GOOGLETRANSLATE(D230, ""en"", ""hi"")"),"ए) खिलाड़ी सी")</f>
        <v>ए) खिलाड़ी सी</v>
      </c>
    </row>
    <row r="231" ht="22.5" customHeight="1">
      <c r="A231" s="2">
        <v>230.0</v>
      </c>
      <c r="B231" s="3" t="s">
        <v>4950</v>
      </c>
      <c r="C231" s="3" t="s">
        <v>4781</v>
      </c>
      <c r="D231" s="3" t="s">
        <v>4862</v>
      </c>
      <c r="F231" s="5" t="str">
        <f>IFERROR(__xludf.DUMMYFUNCTION("GOOGLETRANSLATE(A231, ""en"", ""hi"")"),"230")</f>
        <v>230</v>
      </c>
      <c r="G231" s="5" t="str">
        <f>IFERROR(__xludf.DUMMYFUNCTION("GOOGLETRANSLATE(B231, ""en"", ""hi"")"),"पम्बरम प्रतियोगिता के दौरान, खिलाड़ी E 11 सेकंड के लिए लट्टू घुमाता है और खिलाड़ी F बीच-बीच में आवाज़ें निकालते हुए 11 सेकंड के लिए लट्टू घुमाता है। अगर मौन को प्राथमिकता दी जाए तो कौन जीतता है?")</f>
        <v>पम्बरम प्रतियोगिता के दौरान, खिलाड़ी E 11 सेकंड के लिए लट्टू घुमाता है और खिलाड़ी F बीच-बीच में आवाज़ें निकालते हुए 11 सेकंड के लिए लट्टू घुमाता है। अगर मौन को प्राथमिकता दी जाए तो कौन जीतता है?</v>
      </c>
      <c r="H231" s="5" t="str">
        <f>IFERROR(__xludf.DUMMYFUNCTION("GOOGLETRANSLATE(C231, ""en"", ""hi"")"),"A) खिलाड़ी E, B) खिलाड़ी F, C) यह टाई है, D) उपरोक्त में से कोई नहीं")</f>
        <v>A) खिलाड़ी E, B) खिलाड़ी F, C) यह टाई है, D) उपरोक्त में से कोई नहीं</v>
      </c>
      <c r="I231" s="5" t="str">
        <f>IFERROR(__xludf.DUMMYFUNCTION("GOOGLETRANSLATE(D231, ""en"", ""hi"")"),"D) उपरोक्त में से कोई नहीं")</f>
        <v>D) उपरोक्त में से कोई नहीं</v>
      </c>
    </row>
    <row r="232" ht="22.5" customHeight="1">
      <c r="A232" s="2">
        <v>231.0</v>
      </c>
      <c r="B232" s="3" t="s">
        <v>4951</v>
      </c>
      <c r="C232" s="3" t="s">
        <v>4783</v>
      </c>
      <c r="D232" s="3" t="s">
        <v>4784</v>
      </c>
      <c r="F232" s="5" t="str">
        <f>IFERROR(__xludf.DUMMYFUNCTION("GOOGLETRANSLATE(A232, ""en"", ""hi"")"),"231")</f>
        <v>231</v>
      </c>
      <c r="G232" s="5" t="str">
        <f>IFERROR(__xludf.DUMMYFUNCTION("GOOGLETRANSLATE(B232, ""en"", ""hi"")"),"खिलाड़ी G ऊपरी हिस्से को 7 सेकंड तक घुमाता है और खिलाड़ी H ऊपरी हिस्से को बीच-बीच में हिलते-डुलते हुए 7 सेकंड तक घुमाता है। अगर स्थिरता को प्राथमिकता दी जाए तो कौन जीतेगा?")</f>
        <v>खिलाड़ी G ऊपरी हिस्से को 7 सेकंड तक घुमाता है और खिलाड़ी H ऊपरी हिस्से को बीच-बीच में हिलते-डुलते हुए 7 सेकंड तक घुमाता है। अगर स्थिरता को प्राथमिकता दी जाए तो कौन जीतेगा?</v>
      </c>
      <c r="H232" s="5" t="str">
        <f>IFERROR(__xludf.DUMMYFUNCTION("GOOGLETRANSLATE(C232, ""en"", ""hi"")"),"A) खिलाड़ी G, B) खिलाड़ी H, C) यह टाई है, D) उपरोक्त में से कोई नहीं")</f>
        <v>A) खिलाड़ी G, B) खिलाड़ी H, C) यह टाई है, D) उपरोक्त में से कोई नहीं</v>
      </c>
      <c r="I232" s="5" t="str">
        <f>IFERROR(__xludf.DUMMYFUNCTION("GOOGLETRANSLATE(D232, ""en"", ""hi"")"),"ए) खिलाड़ी जी")</f>
        <v>ए) खिलाड़ी जी</v>
      </c>
    </row>
    <row r="233" ht="22.5" customHeight="1">
      <c r="A233" s="2">
        <v>232.0</v>
      </c>
      <c r="B233" s="3" t="s">
        <v>4952</v>
      </c>
      <c r="C233" s="3" t="s">
        <v>4639</v>
      </c>
      <c r="D233" s="3" t="s">
        <v>4640</v>
      </c>
      <c r="F233" s="5" t="str">
        <f>IFERROR(__xludf.DUMMYFUNCTION("GOOGLETRANSLATE(A233, ""en"", ""hi"")"),"232")</f>
        <v>232</v>
      </c>
      <c r="G233" s="5" t="str">
        <f>IFERROR(__xludf.DUMMYFUNCTION("GOOGLETRANSLATE(B233, ""en"", ""hi"")"),"यदि खिलाड़ी I शीर्ष को 15 सेकंड तक घुमाता है और खिलाड़ी J शीर्ष को अनियमित अंतराल के साथ 15 सेकंड तक घुमाता है, तो यदि लगातार घुमाव समय को प्राथमिकता दी जाती है तो कौन जीतता है?")</f>
        <v>यदि खिलाड़ी I शीर्ष को 15 सेकंड तक घुमाता है और खिलाड़ी J शीर्ष को अनियमित अंतराल के साथ 15 सेकंड तक घुमाता है, तो यदि लगातार घुमाव समय को प्राथमिकता दी जाती है तो कौन जीतता है?</v>
      </c>
      <c r="H233" s="5" t="str">
        <f>IFERROR(__xludf.DUMMYFUNCTION("GOOGLETRANSLATE(C233, ""en"", ""hi"")"),"A) खिलाड़ी I, B) खिलाड़ी J, C) यह टाई है, D) उपरोक्त में से कोई नहीं")</f>
        <v>A) खिलाड़ी I, B) खिलाड़ी J, C) यह टाई है, D) उपरोक्त में से कोई नहीं</v>
      </c>
      <c r="I233" s="5" t="str">
        <f>IFERROR(__xludf.DUMMYFUNCTION("GOOGLETRANSLATE(D233, ""en"", ""hi"")"),"ए) खिलाड़ी I")</f>
        <v>ए) खिलाड़ी I</v>
      </c>
    </row>
    <row r="234" ht="22.5" customHeight="1">
      <c r="A234" s="2">
        <v>233.0</v>
      </c>
      <c r="B234" s="3" t="s">
        <v>4953</v>
      </c>
      <c r="C234" s="3" t="s">
        <v>4642</v>
      </c>
      <c r="D234" s="3" t="s">
        <v>4788</v>
      </c>
      <c r="F234" s="5" t="str">
        <f>IFERROR(__xludf.DUMMYFUNCTION("GOOGLETRANSLATE(A234, ""en"", ""hi"")"),"233")</f>
        <v>233</v>
      </c>
      <c r="G234" s="5" t="str">
        <f>IFERROR(__xludf.DUMMYFUNCTION("GOOGLETRANSLATE(B234, ""en"", ""hi"")"),"पम्बरम मैच के दौरान, खिलाड़ी K गेंद की ऊपरी सतह को 14 सेकंड तक घुमाता है और खिलाड़ी L गेंद की ऊपरी सतह को 14 सेकंड तक घुमाता है। अगर खिलाड़ी K की गेंद की ऊपरी सतह कम हिलती है और सीधी खड़ी हो जाती है, तो कम हिलने को प्राथमिकता देने पर कौन जीतता है?")</f>
        <v>पम्बरम मैच के दौरान, खिलाड़ी K गेंद की ऊपरी सतह को 14 सेकंड तक घुमाता है और खिलाड़ी L गेंद की ऊपरी सतह को 14 सेकंड तक घुमाता है। अगर खिलाड़ी K की गेंद की ऊपरी सतह कम हिलती है और सीधी खड़ी हो जाती है, तो कम हिलने को प्राथमिकता देने पर कौन जीतता है?</v>
      </c>
      <c r="H234" s="5" t="str">
        <f>IFERROR(__xludf.DUMMYFUNCTION("GOOGLETRANSLATE(C234, ""en"", ""hi"")"),"A) खिलाड़ी K, B) खिलाड़ी L, C) यह टाई है, D) उपरोक्त में से कोई नहीं")</f>
        <v>A) खिलाड़ी K, B) खिलाड़ी L, C) यह टाई है, D) उपरोक्त में से कोई नहीं</v>
      </c>
      <c r="I234" s="5" t="str">
        <f>IFERROR(__xludf.DUMMYFUNCTION("GOOGLETRANSLATE(D234, ""en"", ""hi"")"),"A) खिलाड़ी K")</f>
        <v>A) खिलाड़ी K</v>
      </c>
    </row>
    <row r="235" ht="22.5" customHeight="1">
      <c r="A235" s="2">
        <v>234.0</v>
      </c>
      <c r="B235" s="3" t="s">
        <v>4954</v>
      </c>
      <c r="C235" s="3" t="s">
        <v>4790</v>
      </c>
      <c r="D235" s="3" t="s">
        <v>4862</v>
      </c>
      <c r="F235" s="5" t="str">
        <f>IFERROR(__xludf.DUMMYFUNCTION("GOOGLETRANSLATE(A235, ""en"", ""hi"")"),"234")</f>
        <v>234</v>
      </c>
      <c r="G235" s="5" t="str">
        <f>IFERROR(__xludf.DUMMYFUNCTION("GOOGLETRANSLATE(B235, ""en"", ""hi"")"),"खिलाड़ी M 10 सेकंड के लिए ऊपरी हिस्से को घुमाता है और खिलाड़ी N बीच-बीच में आवाज़ें निकालते हुए 10 सेकंड के लिए ऊपरी हिस्से को घुमाता है। अगर मौन को प्राथमिकता दी जाए तो कौन जीतता है?")</f>
        <v>खिलाड़ी M 10 सेकंड के लिए ऊपरी हिस्से को घुमाता है और खिलाड़ी N बीच-बीच में आवाज़ें निकालते हुए 10 सेकंड के लिए ऊपरी हिस्से को घुमाता है। अगर मौन को प्राथमिकता दी जाए तो कौन जीतता है?</v>
      </c>
      <c r="H235" s="5" t="str">
        <f>IFERROR(__xludf.DUMMYFUNCTION("GOOGLETRANSLATE(C235, ""en"", ""hi"")"),"A) खिलाड़ी M, B) खिलाड़ी N, C) यह टाई है, D) उपरोक्त में से कोई नहीं")</f>
        <v>A) खिलाड़ी M, B) खिलाड़ी N, C) यह टाई है, D) उपरोक्त में से कोई नहीं</v>
      </c>
      <c r="I235" s="5" t="str">
        <f>IFERROR(__xludf.DUMMYFUNCTION("GOOGLETRANSLATE(D235, ""en"", ""hi"")"),"D) उपरोक्त में से कोई नहीं")</f>
        <v>D) उपरोक्त में से कोई नहीं</v>
      </c>
    </row>
    <row r="236" ht="22.5" customHeight="1">
      <c r="A236" s="2">
        <v>235.0</v>
      </c>
      <c r="B236" s="3" t="s">
        <v>4955</v>
      </c>
      <c r="C236" s="3" t="s">
        <v>4648</v>
      </c>
      <c r="D236" s="3" t="s">
        <v>4649</v>
      </c>
      <c r="F236" s="5" t="str">
        <f>IFERROR(__xludf.DUMMYFUNCTION("GOOGLETRANSLATE(A236, ""en"", ""hi"")"),"235")</f>
        <v>235</v>
      </c>
      <c r="G236" s="5" t="str">
        <f>IFERROR(__xludf.DUMMYFUNCTION("GOOGLETRANSLATE(B236, ""en"", ""hi"")"),"यदि खिलाड़ी O शीर्ष को 12 सेकंड तक घुमाता है और खिलाड़ी P शीर्ष को कभी-कभार डगमगाते हुए 12 सेकंड तक घुमाता है, तो स्थिरता को प्राथमिकता देने पर कौन जीतता है?")</f>
        <v>यदि खिलाड़ी O शीर्ष को 12 सेकंड तक घुमाता है और खिलाड़ी P शीर्ष को कभी-कभार डगमगाते हुए 12 सेकंड तक घुमाता है, तो स्थिरता को प्राथमिकता देने पर कौन जीतता है?</v>
      </c>
      <c r="H236" s="5" t="str">
        <f>IFERROR(__xludf.DUMMYFUNCTION("GOOGLETRANSLATE(C236, ""en"", ""hi"")"),"A) खिलाड़ी O, B) खिलाड़ी P, C) यह टाई है, D) उपरोक्त में से कोई नहीं")</f>
        <v>A) खिलाड़ी O, B) खिलाड़ी P, C) यह टाई है, D) उपरोक्त में से कोई नहीं</v>
      </c>
      <c r="I236" s="5" t="str">
        <f>IFERROR(__xludf.DUMMYFUNCTION("GOOGLETRANSLATE(D236, ""en"", ""hi"")"),"A) खिलाड़ी O")</f>
        <v>A) खिलाड़ी O</v>
      </c>
    </row>
    <row r="237" ht="22.5" customHeight="1">
      <c r="A237" s="2">
        <v>236.0</v>
      </c>
      <c r="B237" s="3" t="s">
        <v>4956</v>
      </c>
      <c r="C237" s="3" t="s">
        <v>4651</v>
      </c>
      <c r="D237" s="3" t="s">
        <v>4652</v>
      </c>
      <c r="F237" s="5" t="str">
        <f>IFERROR(__xludf.DUMMYFUNCTION("GOOGLETRANSLATE(A237, ""en"", ""hi"")"),"236")</f>
        <v>236</v>
      </c>
      <c r="G237" s="5" t="str">
        <f>IFERROR(__xludf.DUMMYFUNCTION("GOOGLETRANSLATE(B237, ""en"", ""hi"")"),"पम्बरम प्रतियोगिता के दौरान, खिलाड़ी Q, अनियमित अंतराल पर, 11 सेकंड के लिए लट्टू को घुमाता है और खिलाड़ी R, 11 सेकंड के लिए लट्टू को घुमाता है। यदि लगातार घुमाव समय को प्राथमिकता दी जाए तो कौन जीतता है?")</f>
        <v>पम्बरम प्रतियोगिता के दौरान, खिलाड़ी Q, अनियमित अंतराल पर, 11 सेकंड के लिए लट्टू को घुमाता है और खिलाड़ी R, 11 सेकंड के लिए लट्टू को घुमाता है। यदि लगातार घुमाव समय को प्राथमिकता दी जाए तो कौन जीतता है?</v>
      </c>
      <c r="H237" s="5" t="str">
        <f>IFERROR(__xludf.DUMMYFUNCTION("GOOGLETRANSLATE(C237, ""en"", ""hi"")"),"A) खिलाड़ी Q, B) खिलाड़ी R, C) यह टाई है, D) उपरोक्त में से कोई नहीं")</f>
        <v>A) खिलाड़ी Q, B) खिलाड़ी R, C) यह टाई है, D) उपरोक्त में से कोई नहीं</v>
      </c>
      <c r="I237" s="5" t="str">
        <f>IFERROR(__xludf.DUMMYFUNCTION("GOOGLETRANSLATE(D237, ""en"", ""hi"")"),"ए) खिलाड़ी क्यू")</f>
        <v>ए) खिलाड़ी क्यू</v>
      </c>
    </row>
    <row r="238" ht="22.5" customHeight="1">
      <c r="A238" s="2">
        <v>237.0</v>
      </c>
      <c r="B238" s="3" t="s">
        <v>4957</v>
      </c>
      <c r="C238" s="3" t="s">
        <v>4654</v>
      </c>
      <c r="D238" s="3" t="s">
        <v>4862</v>
      </c>
      <c r="F238" s="5" t="str">
        <f>IFERROR(__xludf.DUMMYFUNCTION("GOOGLETRANSLATE(A238, ""en"", ""hi"")"),"237")</f>
        <v>237</v>
      </c>
      <c r="G238" s="5" t="str">
        <f>IFERROR(__xludf.DUMMYFUNCTION("GOOGLETRANSLATE(B238, ""en"", ""hi"")"),"खिलाड़ी S 8 सेकंड के लिए ऊपरी हिस्से को घुमाता है और खिलाड़ी T बीच-बीच में आवाज़ें निकालते हुए 8 सेकंड के लिए ऊपरी हिस्से को घुमाता है। अगर मौन को प्राथमिकता दी जाए तो कौन जीतता है?")</f>
        <v>खिलाड़ी S 8 सेकंड के लिए ऊपरी हिस्से को घुमाता है और खिलाड़ी T बीच-बीच में आवाज़ें निकालते हुए 8 सेकंड के लिए ऊपरी हिस्से को घुमाता है। अगर मौन को प्राथमिकता दी जाए तो कौन जीतता है?</v>
      </c>
      <c r="H238" s="5" t="str">
        <f>IFERROR(__xludf.DUMMYFUNCTION("GOOGLETRANSLATE(C238, ""en"", ""hi"")"),"A) खिलाड़ी S, B) खिलाड़ी T, C) यह टाई है, D) उपरोक्त में से कोई नहीं")</f>
        <v>A) खिलाड़ी S, B) खिलाड़ी T, C) यह टाई है, D) उपरोक्त में से कोई नहीं</v>
      </c>
      <c r="I238" s="5" t="str">
        <f>IFERROR(__xludf.DUMMYFUNCTION("GOOGLETRANSLATE(D238, ""en"", ""hi"")"),"D) उपरोक्त में से कोई नहीं")</f>
        <v>D) उपरोक्त में से कोई नहीं</v>
      </c>
    </row>
    <row r="239" ht="22.5" customHeight="1">
      <c r="A239" s="2">
        <v>238.0</v>
      </c>
      <c r="B239" s="3" t="s">
        <v>4958</v>
      </c>
      <c r="C239" s="3" t="s">
        <v>4657</v>
      </c>
      <c r="D239" s="3" t="s">
        <v>4658</v>
      </c>
      <c r="F239" s="5" t="str">
        <f>IFERROR(__xludf.DUMMYFUNCTION("GOOGLETRANSLATE(A239, ""en"", ""hi"")"),"238")</f>
        <v>238</v>
      </c>
      <c r="G239" s="5" t="str">
        <f>IFERROR(__xludf.DUMMYFUNCTION("GOOGLETRANSLATE(B239, ""en"", ""hi"")"),"यदि खिलाड़ी U शीर्ष को 13 सेकंड तक घुमाता है और खिलाड़ी V शीर्ष को कभी-कभार डगमगाते हुए 13 सेकंड तक घुमाता है, तो स्थिरता को प्राथमिकता देने पर कौन जीतता है?")</f>
        <v>यदि खिलाड़ी U शीर्ष को 13 सेकंड तक घुमाता है और खिलाड़ी V शीर्ष को कभी-कभार डगमगाते हुए 13 सेकंड तक घुमाता है, तो स्थिरता को प्राथमिकता देने पर कौन जीतता है?</v>
      </c>
      <c r="H239" s="5" t="str">
        <f>IFERROR(__xludf.DUMMYFUNCTION("GOOGLETRANSLATE(C239, ""en"", ""hi"")"),"A) खिलाड़ी U, B) खिलाड़ी V, C) यह एक टाई है, D) उपरोक्त में से कोई नहीं")</f>
        <v>A) खिलाड़ी U, B) खिलाड़ी V, C) यह एक टाई है, D) उपरोक्त में से कोई नहीं</v>
      </c>
      <c r="I239" s="5" t="str">
        <f>IFERROR(__xludf.DUMMYFUNCTION("GOOGLETRANSLATE(D239, ""en"", ""hi"")"),"ए) खिलाड़ी यू")</f>
        <v>ए) खिलाड़ी यू</v>
      </c>
    </row>
    <row r="240" ht="22.5" customHeight="1">
      <c r="A240" s="2">
        <v>239.0</v>
      </c>
      <c r="B240" s="3" t="s">
        <v>4959</v>
      </c>
      <c r="C240" s="3" t="s">
        <v>4660</v>
      </c>
      <c r="D240" s="3" t="s">
        <v>4816</v>
      </c>
      <c r="F240" s="5" t="str">
        <f>IFERROR(__xludf.DUMMYFUNCTION("GOOGLETRANSLATE(A240, ""en"", ""hi"")"),"239")</f>
        <v>239</v>
      </c>
      <c r="G240" s="5" t="str">
        <f>IFERROR(__xludf.DUMMYFUNCTION("GOOGLETRANSLATE(B240, ""en"", ""hi"")"),"पम्बरम मैच के दौरान, खिलाड़ी W, अनियमित अंतराल पर, 9 सेकंड के लिए और खिलाड़ी X, 9 सेकंड के लिए, गेंद को घुमाता है। अगर लगातार घुमाव समय को प्राथमिकता दी जाए, तो कौन जीतता है?")</f>
        <v>पम्बरम मैच के दौरान, खिलाड़ी W, अनियमित अंतराल पर, 9 सेकंड के लिए और खिलाड़ी X, 9 सेकंड के लिए, गेंद को घुमाता है। अगर लगातार घुमाव समय को प्राथमिकता दी जाए, तो कौन जीतता है?</v>
      </c>
      <c r="H240" s="5" t="str">
        <f>IFERROR(__xludf.DUMMYFUNCTION("GOOGLETRANSLATE(C240, ""en"", ""hi"")"),"A) खिलाड़ी W, B) खिलाड़ी X, C) यह टाई है, D) उपरोक्त में से कोई नहीं")</f>
        <v>A) खिलाड़ी W, B) खिलाड़ी X, C) यह टाई है, D) उपरोक्त में से कोई नहीं</v>
      </c>
      <c r="I240" s="5" t="str">
        <f>IFERROR(__xludf.DUMMYFUNCTION("GOOGLETRANSLATE(D240, ""en"", ""hi"")"),"A) खिलाड़ी W")</f>
        <v>A) खिलाड़ी W</v>
      </c>
    </row>
    <row r="241" ht="22.5" customHeight="1">
      <c r="A241" s="2">
        <v>240.0</v>
      </c>
      <c r="B241" s="3" t="s">
        <v>4960</v>
      </c>
      <c r="C241" s="3" t="s">
        <v>4663</v>
      </c>
      <c r="D241" s="3" t="s">
        <v>4862</v>
      </c>
      <c r="F241" s="5" t="str">
        <f>IFERROR(__xludf.DUMMYFUNCTION("GOOGLETRANSLATE(A241, ""en"", ""hi"")"),"240")</f>
        <v>240</v>
      </c>
      <c r="G241" s="5" t="str">
        <f>IFERROR(__xludf.DUMMYFUNCTION("GOOGLETRANSLATE(B241, ""en"", ""hi"")"),"खिलाड़ी Y 14 सेकंड के लिए ऊपरी हिस्से को घुमाता है और खिलाड़ी Z बीच-बीच में आवाज़ें निकालते हुए 14 सेकंड के लिए ऊपरी हिस्से को घुमाता है। अगर मौन को प्राथमिकता दी जाए तो कौन जीतता है?")</f>
        <v>खिलाड़ी Y 14 सेकंड के लिए ऊपरी हिस्से को घुमाता है और खिलाड़ी Z बीच-बीच में आवाज़ें निकालते हुए 14 सेकंड के लिए ऊपरी हिस्से को घुमाता है। अगर मौन को प्राथमिकता दी जाए तो कौन जीतता है?</v>
      </c>
      <c r="H241" s="5" t="str">
        <f>IFERROR(__xludf.DUMMYFUNCTION("GOOGLETRANSLATE(C241, ""en"", ""hi"")"),"A) खिलाड़ी Y, B) खिलाड़ी Z, C) यह टाई है, D) उपरोक्त में से कोई नहीं")</f>
        <v>A) खिलाड़ी Y, B) खिलाड़ी Z, C) यह टाई है, D) उपरोक्त में से कोई नहीं</v>
      </c>
      <c r="I241" s="5" t="str">
        <f>IFERROR(__xludf.DUMMYFUNCTION("GOOGLETRANSLATE(D241, ""en"", ""hi"")"),"D) उपरोक्त में से कोई नहीं")</f>
        <v>D) उपरोक्त में से कोई नहीं</v>
      </c>
    </row>
    <row r="242" ht="22.5" customHeight="1">
      <c r="A242" s="2">
        <v>241.0</v>
      </c>
      <c r="B242" s="3" t="s">
        <v>4961</v>
      </c>
      <c r="C242" s="3" t="s">
        <v>4627</v>
      </c>
      <c r="D242" s="3" t="s">
        <v>4628</v>
      </c>
      <c r="F242" s="5" t="str">
        <f>IFERROR(__xludf.DUMMYFUNCTION("GOOGLETRANSLATE(A242, ""en"", ""hi"")"),"241")</f>
        <v>241</v>
      </c>
      <c r="G242" s="5" t="str">
        <f>IFERROR(__xludf.DUMMYFUNCTION("GOOGLETRANSLATE(B242, ""en"", ""hi"")"),"यदि खिलाड़ी A 12 सेकंड के लिए शीर्ष को घुमाता है और खिलाड़ी B कभी-कभी डगमगाते हुए 12 सेकंड के लिए शीर्ष को घुमाता है, तो स्थिरता को प्राथमिकता देने पर कौन जीतता है?")</f>
        <v>यदि खिलाड़ी A 12 सेकंड के लिए शीर्ष को घुमाता है और खिलाड़ी B कभी-कभी डगमगाते हुए 12 सेकंड के लिए शीर्ष को घुमाता है, तो स्थिरता को प्राथमिकता देने पर कौन जीतता है?</v>
      </c>
      <c r="H242" s="5" t="str">
        <f>IFERROR(__xludf.DUMMYFUNCTION("GOOGLETRANSLATE(C242, ""en"", ""hi"")"),"A) खिलाड़ी A, B) खिलाड़ी B, C) यह टाई है, D) उपरोक्त में से कोई नहीं")</f>
        <v>A) खिलाड़ी A, B) खिलाड़ी B, C) यह टाई है, D) उपरोक्त में से कोई नहीं</v>
      </c>
      <c r="I242" s="5" t="str">
        <f>IFERROR(__xludf.DUMMYFUNCTION("GOOGLETRANSLATE(D242, ""en"", ""hi"")"),"ए) खिलाड़ी ए")</f>
        <v>ए) खिलाड़ी ए</v>
      </c>
    </row>
    <row r="243" ht="22.5" customHeight="1">
      <c r="A243" s="2">
        <v>242.0</v>
      </c>
      <c r="B243" s="3" t="s">
        <v>4962</v>
      </c>
      <c r="C243" s="3" t="s">
        <v>4630</v>
      </c>
      <c r="D243" s="3" t="s">
        <v>4631</v>
      </c>
      <c r="F243" s="5" t="str">
        <f>IFERROR(__xludf.DUMMYFUNCTION("GOOGLETRANSLATE(A243, ""en"", ""hi"")"),"242")</f>
        <v>242</v>
      </c>
      <c r="G243" s="5" t="str">
        <f>IFERROR(__xludf.DUMMYFUNCTION("GOOGLETRANSLATE(B243, ""en"", ""hi"")"),"पम्बरम प्रतियोगिता के दौरान, खिलाड़ी C, अनियमित अंतराल पर, 7 सेकंड के लिए और खिलाड़ी D, 7 सेकंड के लिए, ऊपरी भाग को घुमाता है। यदि लगातार घुमाव समय को प्राथमिकता दी जाती है, तो कौन जीतता है?")</f>
        <v>पम्बरम प्रतियोगिता के दौरान, खिलाड़ी C, अनियमित अंतराल पर, 7 सेकंड के लिए और खिलाड़ी D, 7 सेकंड के लिए, ऊपरी भाग को घुमाता है। यदि लगातार घुमाव समय को प्राथमिकता दी जाती है, तो कौन जीतता है?</v>
      </c>
      <c r="H243" s="5" t="str">
        <f>IFERROR(__xludf.DUMMYFUNCTION("GOOGLETRANSLATE(C243, ""en"", ""hi"")"),"A) खिलाड़ी C, B) खिलाड़ी D, C) यह टाई है, D) उपरोक्त में से कोई नहीं")</f>
        <v>A) खिलाड़ी C, B) खिलाड़ी D, C) यह टाई है, D) उपरोक्त में से कोई नहीं</v>
      </c>
      <c r="I243" s="5" t="str">
        <f>IFERROR(__xludf.DUMMYFUNCTION("GOOGLETRANSLATE(D243, ""en"", ""hi"")"),"ए) खिलाड़ी सी")</f>
        <v>ए) खिलाड़ी सी</v>
      </c>
    </row>
    <row r="244" ht="22.5" customHeight="1">
      <c r="A244" s="2">
        <v>243.0</v>
      </c>
      <c r="B244" s="3" t="s">
        <v>4963</v>
      </c>
      <c r="C244" s="3" t="s">
        <v>4781</v>
      </c>
      <c r="D244" s="3" t="s">
        <v>4805</v>
      </c>
      <c r="F244" s="5" t="str">
        <f>IFERROR(__xludf.DUMMYFUNCTION("GOOGLETRANSLATE(A244, ""en"", ""hi"")"),"243")</f>
        <v>243</v>
      </c>
      <c r="G244" s="5" t="str">
        <f>IFERROR(__xludf.DUMMYFUNCTION("GOOGLETRANSLATE(B244, ""en"", ""hi"")"),"खिलाड़ी E 15 सेकंड के लिए ऊपरी भाग को घुमाता है और खिलाड़ी F 15 सेकंड के लिए ऊपरी भाग को बीच-बीच में हिलते-डुलते हुए घुमाता है। अगर स्थिरता को प्राथमिकता दी जाए तो कौन जीतेगा?")</f>
        <v>खिलाड़ी E 15 सेकंड के लिए ऊपरी भाग को घुमाता है और खिलाड़ी F 15 सेकंड के लिए ऊपरी भाग को बीच-बीच में हिलते-डुलते हुए घुमाता है। अगर स्थिरता को प्राथमिकता दी जाए तो कौन जीतेगा?</v>
      </c>
      <c r="H244" s="5" t="str">
        <f>IFERROR(__xludf.DUMMYFUNCTION("GOOGLETRANSLATE(C244, ""en"", ""hi"")"),"A) खिलाड़ी E, B) खिलाड़ी F, C) यह टाई है, D) उपरोक्त में से कोई नहीं")</f>
        <v>A) खिलाड़ी E, B) खिलाड़ी F, C) यह टाई है, D) उपरोक्त में से कोई नहीं</v>
      </c>
      <c r="I244" s="5" t="str">
        <f>IFERROR(__xludf.DUMMYFUNCTION("GOOGLETRANSLATE(D244, ""en"", ""hi"")"),"ए) खिलाड़ी ई")</f>
        <v>ए) खिलाड़ी ई</v>
      </c>
    </row>
    <row r="245" ht="22.5" customHeight="1">
      <c r="A245" s="2">
        <v>244.0</v>
      </c>
      <c r="B245" s="3" t="s">
        <v>4964</v>
      </c>
      <c r="C245" s="3" t="s">
        <v>4783</v>
      </c>
      <c r="D245" s="3" t="s">
        <v>4784</v>
      </c>
      <c r="F245" s="5" t="str">
        <f>IFERROR(__xludf.DUMMYFUNCTION("GOOGLETRANSLATE(A245, ""en"", ""hi"")"),"244")</f>
        <v>244</v>
      </c>
      <c r="G245" s="5" t="str">
        <f>IFERROR(__xludf.DUMMYFUNCTION("GOOGLETRANSLATE(B245, ""en"", ""hi"")"),"यदि खिलाड़ी G शीर्ष को 11 सेकंड तक घुमाता है और खिलाड़ी H शीर्ष को अनियमित अंतराल पर 11 सेकंड तक घुमाता है, तो यदि लगातार घुमाव समय को प्राथमिकता दी जाती है तो कौन जीतता है?")</f>
        <v>यदि खिलाड़ी G शीर्ष को 11 सेकंड तक घुमाता है और खिलाड़ी H शीर्ष को अनियमित अंतराल पर 11 सेकंड तक घुमाता है, तो यदि लगातार घुमाव समय को प्राथमिकता दी जाती है तो कौन जीतता है?</v>
      </c>
      <c r="H245" s="5" t="str">
        <f>IFERROR(__xludf.DUMMYFUNCTION("GOOGLETRANSLATE(C245, ""en"", ""hi"")"),"A) खिलाड़ी G, B) खिलाड़ी H, C) यह टाई है, D) उपरोक्त में से कोई नहीं")</f>
        <v>A) खिलाड़ी G, B) खिलाड़ी H, C) यह टाई है, D) उपरोक्त में से कोई नहीं</v>
      </c>
      <c r="I245" s="5" t="str">
        <f>IFERROR(__xludf.DUMMYFUNCTION("GOOGLETRANSLATE(D245, ""en"", ""hi"")"),"ए) खिलाड़ी जी")</f>
        <v>ए) खिलाड़ी जी</v>
      </c>
    </row>
    <row r="246" ht="22.5" customHeight="1">
      <c r="A246" s="2">
        <v>245.0</v>
      </c>
      <c r="B246" s="3" t="s">
        <v>4965</v>
      </c>
      <c r="C246" s="3" t="s">
        <v>4639</v>
      </c>
      <c r="D246" s="3" t="s">
        <v>4640</v>
      </c>
      <c r="F246" s="5" t="str">
        <f>IFERROR(__xludf.DUMMYFUNCTION("GOOGLETRANSLATE(A246, ""en"", ""hi"")"),"245")</f>
        <v>245</v>
      </c>
      <c r="G246" s="5" t="str">
        <f>IFERROR(__xludf.DUMMYFUNCTION("GOOGLETRANSLATE(B246, ""en"", ""hi"")"),"पम्बरम मैच के दौरान, खिलाड़ी I गेंद के ऊपरी हिस्से को 10 सेकंड तक घुमाता है और खिलाड़ी J गेंद के ऊपरी हिस्से को 10 सेकंड तक घुमाता है। अगर खिलाड़ी I की गेंद का ऊपरी हिस्सा सीधा और खिलाड़ी J की गेंद का ऊपरी हिस्सा तिरछा हो, तो अगर सीधा उतरना पसंद किया जाता"&amp;" है, तो कौन जीतता है?")</f>
        <v>पम्बरम मैच के दौरान, खिलाड़ी I गेंद के ऊपरी हिस्से को 10 सेकंड तक घुमाता है और खिलाड़ी J गेंद के ऊपरी हिस्से को 10 सेकंड तक घुमाता है। अगर खिलाड़ी I की गेंद का ऊपरी हिस्सा सीधा और खिलाड़ी J की गेंद का ऊपरी हिस्सा तिरछा हो, तो अगर सीधा उतरना पसंद किया जाता है, तो कौन जीतता है?</v>
      </c>
      <c r="H246" s="5" t="str">
        <f>IFERROR(__xludf.DUMMYFUNCTION("GOOGLETRANSLATE(C246, ""en"", ""hi"")"),"A) खिलाड़ी I, B) खिलाड़ी J, C) यह टाई है, D) उपरोक्त में से कोई नहीं")</f>
        <v>A) खिलाड़ी I, B) खिलाड़ी J, C) यह टाई है, D) उपरोक्त में से कोई नहीं</v>
      </c>
      <c r="I246" s="5" t="str">
        <f>IFERROR(__xludf.DUMMYFUNCTION("GOOGLETRANSLATE(D246, ""en"", ""hi"")"),"ए) खिलाड़ी I")</f>
        <v>ए) खिलाड़ी I</v>
      </c>
    </row>
    <row r="247" ht="22.5" customHeight="1">
      <c r="A247" s="2">
        <v>246.0</v>
      </c>
      <c r="B247" s="3" t="s">
        <v>4966</v>
      </c>
      <c r="C247" s="3" t="s">
        <v>4642</v>
      </c>
      <c r="D247" s="3" t="s">
        <v>4788</v>
      </c>
      <c r="F247" s="5" t="str">
        <f>IFERROR(__xludf.DUMMYFUNCTION("GOOGLETRANSLATE(A247, ""en"", ""hi"")"),"246")</f>
        <v>246</v>
      </c>
      <c r="G247" s="5" t="str">
        <f>IFERROR(__xludf.DUMMYFUNCTION("GOOGLETRANSLATE(B247, ""en"", ""hi"")"),"खिलाड़ी K, ऊपरी हिस्से को 9 सेकंड तक घुमाता है और खिलाड़ी L, ऊपरी हिस्से को बीच-बीच में हिलते-डुलते हुए 9 सेकंड तक घुमाता है। अगर स्थिरता को प्राथमिकता दी जाए तो कौन जीतेगा?")</f>
        <v>खिलाड़ी K, ऊपरी हिस्से को 9 सेकंड तक घुमाता है और खिलाड़ी L, ऊपरी हिस्से को बीच-बीच में हिलते-डुलते हुए 9 सेकंड तक घुमाता है। अगर स्थिरता को प्राथमिकता दी जाए तो कौन जीतेगा?</v>
      </c>
      <c r="H247" s="5" t="str">
        <f>IFERROR(__xludf.DUMMYFUNCTION("GOOGLETRANSLATE(C247, ""en"", ""hi"")"),"A) खिलाड़ी K, B) खिलाड़ी L, C) यह टाई है, D) उपरोक्त में से कोई नहीं")</f>
        <v>A) खिलाड़ी K, B) खिलाड़ी L, C) यह टाई है, D) उपरोक्त में से कोई नहीं</v>
      </c>
      <c r="I247" s="5" t="str">
        <f>IFERROR(__xludf.DUMMYFUNCTION("GOOGLETRANSLATE(D247, ""en"", ""hi"")"),"A) खिलाड़ी K")</f>
        <v>A) खिलाड़ी K</v>
      </c>
    </row>
    <row r="248" ht="22.5" customHeight="1">
      <c r="A248" s="2">
        <v>247.0</v>
      </c>
      <c r="B248" s="3" t="s">
        <v>4967</v>
      </c>
      <c r="C248" s="3" t="s">
        <v>4790</v>
      </c>
      <c r="D248" s="3" t="s">
        <v>4862</v>
      </c>
      <c r="F248" s="5" t="str">
        <f>IFERROR(__xludf.DUMMYFUNCTION("GOOGLETRANSLATE(A248, ""en"", ""hi"")"),"247")</f>
        <v>247</v>
      </c>
      <c r="G248" s="5" t="str">
        <f>IFERROR(__xludf.DUMMYFUNCTION("GOOGLETRANSLATE(B248, ""en"", ""hi"")"),"यदि खिलाड़ी एम 14 सेकंड के लिए शीर्ष को घुमाता है और खिलाड़ी एन कभी-कभी आवाज के साथ 14 सेकंड के लिए शीर्ष को घुमाता है, तो यदि मौन को प्राथमिकता दी जाती है तो कौन जीतता है?")</f>
        <v>यदि खिलाड़ी एम 14 सेकंड के लिए शीर्ष को घुमाता है और खिलाड़ी एन कभी-कभी आवाज के साथ 14 सेकंड के लिए शीर्ष को घुमाता है, तो यदि मौन को प्राथमिकता दी जाती है तो कौन जीतता है?</v>
      </c>
      <c r="H248" s="5" t="str">
        <f>IFERROR(__xludf.DUMMYFUNCTION("GOOGLETRANSLATE(C248, ""en"", ""hi"")"),"A) खिलाड़ी M, B) खिलाड़ी N, C) यह टाई है, D) उपरोक्त में से कोई नहीं")</f>
        <v>A) खिलाड़ी M, B) खिलाड़ी N, C) यह टाई है, D) उपरोक्त में से कोई नहीं</v>
      </c>
      <c r="I248" s="5" t="str">
        <f>IFERROR(__xludf.DUMMYFUNCTION("GOOGLETRANSLATE(D248, ""en"", ""hi"")"),"D) उपरोक्त में से कोई नहीं")</f>
        <v>D) उपरोक्त में से कोई नहीं</v>
      </c>
    </row>
    <row r="249" ht="22.5" customHeight="1">
      <c r="A249" s="2">
        <v>248.0</v>
      </c>
      <c r="B249" s="3" t="s">
        <v>4968</v>
      </c>
      <c r="C249" s="3" t="s">
        <v>4648</v>
      </c>
      <c r="D249" s="3" t="s">
        <v>4649</v>
      </c>
      <c r="F249" s="5" t="str">
        <f>IFERROR(__xludf.DUMMYFUNCTION("GOOGLETRANSLATE(A249, ""en"", ""hi"")"),"248")</f>
        <v>248</v>
      </c>
      <c r="G249" s="5" t="str">
        <f>IFERROR(__xludf.DUMMYFUNCTION("GOOGLETRANSLATE(B249, ""en"", ""hi"")"),"पम्बरम प्रतियोगिता के दौरान, खिलाड़ी O, 12 सेकंड के लिए ऊपरी भाग को घुमाता है और खिलाड़ी P, बीच-बीच में हिलते-डुलते हुए, 12 सेकंड के लिए ऊपरी भाग को घुमाता है। अगर स्थिरता को प्राथमिकता दी जाए तो कौन जीतता है?")</f>
        <v>पम्बरम प्रतियोगिता के दौरान, खिलाड़ी O, 12 सेकंड के लिए ऊपरी भाग को घुमाता है और खिलाड़ी P, बीच-बीच में हिलते-डुलते हुए, 12 सेकंड के लिए ऊपरी भाग को घुमाता है। अगर स्थिरता को प्राथमिकता दी जाए तो कौन जीतता है?</v>
      </c>
      <c r="H249" s="5" t="str">
        <f>IFERROR(__xludf.DUMMYFUNCTION("GOOGLETRANSLATE(C249, ""en"", ""hi"")"),"A) खिलाड़ी O, B) खिलाड़ी P, C) यह टाई है, D) उपरोक्त में से कोई नहीं")</f>
        <v>A) खिलाड़ी O, B) खिलाड़ी P, C) यह टाई है, D) उपरोक्त में से कोई नहीं</v>
      </c>
      <c r="I249" s="5" t="str">
        <f>IFERROR(__xludf.DUMMYFUNCTION("GOOGLETRANSLATE(D249, ""en"", ""hi"")"),"A) खिलाड़ी O")</f>
        <v>A) खिलाड़ी O</v>
      </c>
    </row>
    <row r="250" ht="22.5" customHeight="1">
      <c r="A250" s="2">
        <v>249.0</v>
      </c>
      <c r="B250" s="3" t="s">
        <v>4969</v>
      </c>
      <c r="C250" s="3" t="s">
        <v>4651</v>
      </c>
      <c r="D250" s="3" t="s">
        <v>4652</v>
      </c>
      <c r="F250" s="5" t="str">
        <f>IFERROR(__xludf.DUMMYFUNCTION("GOOGLETRANSLATE(A250, ""en"", ""hi"")"),"249")</f>
        <v>249</v>
      </c>
      <c r="G250" s="5" t="str">
        <f>IFERROR(__xludf.DUMMYFUNCTION("GOOGLETRANSLATE(B250, ""en"", ""hi"")"),"खिलाड़ी Q, गेंद के ऊपरी हिस्से को 8 सेकंड तक घुमाता है और खिलाड़ी R, गेंद के ऊपरी हिस्से को अनियमित अंतराल पर 8 सेकंड तक घुमाता है। अगर लगातार घुमाव समय को प्राथमिकता दी जाए तो कौन जीतता है?")</f>
        <v>खिलाड़ी Q, गेंद के ऊपरी हिस्से को 8 सेकंड तक घुमाता है और खिलाड़ी R, गेंद के ऊपरी हिस्से को अनियमित अंतराल पर 8 सेकंड तक घुमाता है। अगर लगातार घुमाव समय को प्राथमिकता दी जाए तो कौन जीतता है?</v>
      </c>
      <c r="H250" s="5" t="str">
        <f>IFERROR(__xludf.DUMMYFUNCTION("GOOGLETRANSLATE(C250, ""en"", ""hi"")"),"A) खिलाड़ी Q, B) खिलाड़ी R, C) यह टाई है, D) उपरोक्त में से कोई नहीं")</f>
        <v>A) खिलाड़ी Q, B) खिलाड़ी R, C) यह टाई है, D) उपरोक्त में से कोई नहीं</v>
      </c>
      <c r="I250" s="5" t="str">
        <f>IFERROR(__xludf.DUMMYFUNCTION("GOOGLETRANSLATE(D250, ""en"", ""hi"")"),"ए) खिलाड़ी क्यू")</f>
        <v>ए) खिलाड़ी क्यू</v>
      </c>
    </row>
    <row r="251" ht="22.5" customHeight="1">
      <c r="A251" s="2">
        <v>250.0</v>
      </c>
      <c r="B251" s="3" t="s">
        <v>4970</v>
      </c>
      <c r="C251" s="3" t="s">
        <v>4654</v>
      </c>
      <c r="D251" s="3" t="s">
        <v>4862</v>
      </c>
      <c r="F251" s="5" t="str">
        <f>IFERROR(__xludf.DUMMYFUNCTION("GOOGLETRANSLATE(A251, ""en"", ""hi"")"),"250")</f>
        <v>250</v>
      </c>
      <c r="G251" s="5" t="str">
        <f>IFERROR(__xludf.DUMMYFUNCTION("GOOGLETRANSLATE(B251, ""en"", ""hi"")"),"यदि खिलाड़ी S 13 सेकंड के लिए शीर्ष को घुमाता है और खिलाड़ी T कभी-कभार आवाज के साथ 13 सेकंड के लिए शीर्ष को घुमाता है, तो यदि मौन को प्राथमिकता दी जाती है तो कौन जीतता है?")</f>
        <v>यदि खिलाड़ी S 13 सेकंड के लिए शीर्ष को घुमाता है और खिलाड़ी T कभी-कभार आवाज के साथ 13 सेकंड के लिए शीर्ष को घुमाता है, तो यदि मौन को प्राथमिकता दी जाती है तो कौन जीतता है?</v>
      </c>
      <c r="H251" s="5" t="str">
        <f>IFERROR(__xludf.DUMMYFUNCTION("GOOGLETRANSLATE(C251, ""en"", ""hi"")"),"A) खिलाड़ी S, B) खिलाड़ी T, C) यह टाई है, D) उपरोक्त में से कोई नहीं")</f>
        <v>A) खिलाड़ी S, B) खिलाड़ी T, C) यह टाई है, D) उपरोक्त में से कोई नहीं</v>
      </c>
      <c r="I251" s="5" t="str">
        <f>IFERROR(__xludf.DUMMYFUNCTION("GOOGLETRANSLATE(D251, ""en"", ""hi"")"),"D) उपरोक्त में से कोई नहीं")</f>
        <v>D) उपरोक्त में से कोई नहीं</v>
      </c>
    </row>
    <row r="252" ht="22.5" customHeight="1">
      <c r="A252" s="2">
        <v>251.0</v>
      </c>
      <c r="B252" s="3" t="s">
        <v>4971</v>
      </c>
      <c r="C252" s="3" t="s">
        <v>4657</v>
      </c>
      <c r="D252" s="3" t="s">
        <v>4658</v>
      </c>
      <c r="F252" s="5" t="str">
        <f>IFERROR(__xludf.DUMMYFUNCTION("GOOGLETRANSLATE(A252, ""en"", ""hi"")"),"251")</f>
        <v>251</v>
      </c>
      <c r="G252" s="5" t="str">
        <f>IFERROR(__xludf.DUMMYFUNCTION("GOOGLETRANSLATE(B252, ""en"", ""hi"")"),"पम्बरम मैच के दौरान, खिलाड़ी U, 10 सेकंड के लिए ऊपरी भाग को घुमाता है और खिलाड़ी V, बीच-बीच में हिलते-डुलते हुए, 10 सेकंड के लिए ऊपरी भाग को घुमाता है। अगर स्थिरता को प्राथमिकता दी जाए तो कौन जीतता है?")</f>
        <v>पम्बरम मैच के दौरान, खिलाड़ी U, 10 सेकंड के लिए ऊपरी भाग को घुमाता है और खिलाड़ी V, बीच-बीच में हिलते-डुलते हुए, 10 सेकंड के लिए ऊपरी भाग को घुमाता है। अगर स्थिरता को प्राथमिकता दी जाए तो कौन जीतता है?</v>
      </c>
      <c r="H252" s="5" t="str">
        <f>IFERROR(__xludf.DUMMYFUNCTION("GOOGLETRANSLATE(C252, ""en"", ""hi"")"),"A) खिलाड़ी U, B) खिलाड़ी V, C) यह एक टाई है, D) उपरोक्त में से कोई नहीं")</f>
        <v>A) खिलाड़ी U, B) खिलाड़ी V, C) यह एक टाई है, D) उपरोक्त में से कोई नहीं</v>
      </c>
      <c r="I252" s="5" t="str">
        <f>IFERROR(__xludf.DUMMYFUNCTION("GOOGLETRANSLATE(D252, ""en"", ""hi"")"),"ए) खिलाड़ी यू")</f>
        <v>ए) खिलाड़ी यू</v>
      </c>
    </row>
    <row r="253" ht="22.5" customHeight="1">
      <c r="A253" s="2">
        <v>252.0</v>
      </c>
      <c r="B253" s="3" t="s">
        <v>4972</v>
      </c>
      <c r="C253" s="3" t="s">
        <v>4660</v>
      </c>
      <c r="D253" s="3" t="s">
        <v>4816</v>
      </c>
      <c r="F253" s="5" t="str">
        <f>IFERROR(__xludf.DUMMYFUNCTION("GOOGLETRANSLATE(A253, ""en"", ""hi"")"),"252")</f>
        <v>252</v>
      </c>
      <c r="G253" s="5" t="str">
        <f>IFERROR(__xludf.DUMMYFUNCTION("GOOGLETRANSLATE(B253, ""en"", ""hi"")"),"खिलाड़ी W, गेंद के ऊपरी हिस्से को 11 सेकंड तक घुमाता है और खिलाड़ी X, गेंद के ऊपरी हिस्से को अनियमित अंतराल पर 11 सेकंड तक घुमाता है। अगर लगातार घुमाव समय को प्राथमिकता दी जाए तो कौन जीतता है?")</f>
        <v>खिलाड़ी W, गेंद के ऊपरी हिस्से को 11 सेकंड तक घुमाता है और खिलाड़ी X, गेंद के ऊपरी हिस्से को अनियमित अंतराल पर 11 सेकंड तक घुमाता है। अगर लगातार घुमाव समय को प्राथमिकता दी जाए तो कौन जीतता है?</v>
      </c>
      <c r="H253" s="5" t="str">
        <f>IFERROR(__xludf.DUMMYFUNCTION("GOOGLETRANSLATE(C253, ""en"", ""hi"")"),"A) खिलाड़ी W, B) खिलाड़ी X, C) यह टाई है, D) उपरोक्त में से कोई नहीं")</f>
        <v>A) खिलाड़ी W, B) खिलाड़ी X, C) यह टाई है, D) उपरोक्त में से कोई नहीं</v>
      </c>
      <c r="I253" s="5" t="str">
        <f>IFERROR(__xludf.DUMMYFUNCTION("GOOGLETRANSLATE(D253, ""en"", ""hi"")"),"A) खिलाड़ी W")</f>
        <v>A) खिलाड़ी W</v>
      </c>
    </row>
    <row r="254" ht="22.5" customHeight="1">
      <c r="A254" s="2">
        <v>253.0</v>
      </c>
      <c r="B254" s="3" t="s">
        <v>4973</v>
      </c>
      <c r="C254" s="3" t="s">
        <v>4663</v>
      </c>
      <c r="D254" s="3" t="s">
        <v>4664</v>
      </c>
      <c r="F254" s="5" t="str">
        <f>IFERROR(__xludf.DUMMYFUNCTION("GOOGLETRANSLATE(A254, ""en"", ""hi"")"),"253")</f>
        <v>253</v>
      </c>
      <c r="G254" s="5" t="str">
        <f>IFERROR(__xludf.DUMMYFUNCTION("GOOGLETRANSLATE(B254, ""en"", ""hi"")"),"यदि खिलाड़ी Y शीर्ष को 7 सेकंड तक घुमाता है और खिलाड़ी Z शीर्ष को कभी-कभार डगमगाते हुए 7 सेकंड तक घुमाता है, तो स्थिरता को प्राथमिकता देने पर कौन जीतता है?")</f>
        <v>यदि खिलाड़ी Y शीर्ष को 7 सेकंड तक घुमाता है और खिलाड़ी Z शीर्ष को कभी-कभार डगमगाते हुए 7 सेकंड तक घुमाता है, तो स्थिरता को प्राथमिकता देने पर कौन जीतता है?</v>
      </c>
      <c r="H254" s="5" t="str">
        <f>IFERROR(__xludf.DUMMYFUNCTION("GOOGLETRANSLATE(C254, ""en"", ""hi"")"),"A) खिलाड़ी Y, B) खिलाड़ी Z, C) यह टाई है, D) उपरोक्त में से कोई नहीं")</f>
        <v>A) खिलाड़ी Y, B) खिलाड़ी Z, C) यह टाई है, D) उपरोक्त में से कोई नहीं</v>
      </c>
      <c r="I254" s="5" t="str">
        <f>IFERROR(__xludf.DUMMYFUNCTION("GOOGLETRANSLATE(D254, ""en"", ""hi"")"),"A) खिलाड़ी Y")</f>
        <v>A) खिलाड़ी Y</v>
      </c>
    </row>
    <row r="255" ht="22.5" customHeight="1">
      <c r="A255" s="2">
        <v>254.0</v>
      </c>
      <c r="B255" s="3" t="s">
        <v>4974</v>
      </c>
      <c r="C255" s="3" t="s">
        <v>4627</v>
      </c>
      <c r="D255" s="3" t="s">
        <v>4862</v>
      </c>
      <c r="F255" s="5" t="str">
        <f>IFERROR(__xludf.DUMMYFUNCTION("GOOGLETRANSLATE(A255, ""en"", ""hi"")"),"254")</f>
        <v>254</v>
      </c>
      <c r="G255" s="5" t="str">
        <f>IFERROR(__xludf.DUMMYFUNCTION("GOOGLETRANSLATE(B255, ""en"", ""hi"")"),"पम्बरम प्रतियोगिता के दौरान, खिलाड़ी A 14 सेकंड के लिए लट्टू को घुमाता है और खिलाड़ी B बीच-बीच में आवाज़ करते हुए 14 सेकंड के लिए लट्टू को घुमाता है। अगर मौन को प्राथमिकता दी जाए तो कौन जीतता है?")</f>
        <v>पम्बरम प्रतियोगिता के दौरान, खिलाड़ी A 14 सेकंड के लिए लट्टू को घुमाता है और खिलाड़ी B बीच-बीच में आवाज़ करते हुए 14 सेकंड के लिए लट्टू को घुमाता है। अगर मौन को प्राथमिकता दी जाए तो कौन जीतता है?</v>
      </c>
      <c r="H255" s="5" t="str">
        <f>IFERROR(__xludf.DUMMYFUNCTION("GOOGLETRANSLATE(C255, ""en"", ""hi"")"),"A) खिलाड़ी A, B) खिलाड़ी B, C) यह टाई है, D) उपरोक्त में से कोई नहीं")</f>
        <v>A) खिलाड़ी A, B) खिलाड़ी B, C) यह टाई है, D) उपरोक्त में से कोई नहीं</v>
      </c>
      <c r="I255" s="5" t="str">
        <f>IFERROR(__xludf.DUMMYFUNCTION("GOOGLETRANSLATE(D255, ""en"", ""hi"")"),"D) उपरोक्त में से कोई नहीं")</f>
        <v>D) उपरोक्त में से कोई नहीं</v>
      </c>
    </row>
    <row r="256" ht="22.5" customHeight="1">
      <c r="A256" s="2">
        <v>255.0</v>
      </c>
      <c r="B256" s="3" t="s">
        <v>4922</v>
      </c>
      <c r="C256" s="3" t="s">
        <v>4630</v>
      </c>
      <c r="D256" s="3" t="s">
        <v>4631</v>
      </c>
      <c r="F256" s="5" t="str">
        <f>IFERROR(__xludf.DUMMYFUNCTION("GOOGLETRANSLATE(A256, ""en"", ""hi"")"),"255")</f>
        <v>255</v>
      </c>
      <c r="G256" s="5" t="str">
        <f>IFERROR(__xludf.DUMMYFUNCTION("GOOGLETRANSLATE(B256, ""en"", ""hi"")"),"खिलाड़ी C ऊपरी हिस्से को 12 सेकंड तक घुमाता है और खिलाड़ी D ऊपरी हिस्से को बीच-बीच में हिलते-डुलते हुए 12 सेकंड तक घुमाता है। अगर स्थिरता को प्राथमिकता दी जाए तो कौन जीतेगा?")</f>
        <v>खिलाड़ी C ऊपरी हिस्से को 12 सेकंड तक घुमाता है और खिलाड़ी D ऊपरी हिस्से को बीच-बीच में हिलते-डुलते हुए 12 सेकंड तक घुमाता है। अगर स्थिरता को प्राथमिकता दी जाए तो कौन जीतेगा?</v>
      </c>
      <c r="H256" s="5" t="str">
        <f>IFERROR(__xludf.DUMMYFUNCTION("GOOGLETRANSLATE(C256, ""en"", ""hi"")"),"A) खिलाड़ी C, B) खिलाड़ी D, C) यह टाई है, D) उपरोक्त में से कोई नहीं")</f>
        <v>A) खिलाड़ी C, B) खिलाड़ी D, C) यह टाई है, D) उपरोक्त में से कोई नहीं</v>
      </c>
      <c r="I256" s="5" t="str">
        <f>IFERROR(__xludf.DUMMYFUNCTION("GOOGLETRANSLATE(D256, ""en"", ""hi"")"),"ए) खिलाड़ी सी")</f>
        <v>ए) खिलाड़ी सी</v>
      </c>
    </row>
    <row r="257" ht="22.5" customHeight="1">
      <c r="A257" s="2">
        <v>256.0</v>
      </c>
      <c r="B257" s="3" t="s">
        <v>4975</v>
      </c>
      <c r="C257" s="3" t="s">
        <v>4781</v>
      </c>
      <c r="D257" s="3" t="s">
        <v>4805</v>
      </c>
      <c r="F257" s="5" t="str">
        <f>IFERROR(__xludf.DUMMYFUNCTION("GOOGLETRANSLATE(A257, ""en"", ""hi"")"),"256")</f>
        <v>256</v>
      </c>
      <c r="G257" s="5" t="str">
        <f>IFERROR(__xludf.DUMMYFUNCTION("GOOGLETRANSLATE(B257, ""en"", ""hi"")"),"यदि खिलाड़ी E शीर्ष को 8 सेकंड तक घुमाता है और खिलाड़ी F शीर्ष को अनियमित अंतराल के साथ 8 सेकंड तक घुमाता है, तो यदि लगातार घुमाव समय को प्राथमिकता दी जाती है तो कौन जीतता है?")</f>
        <v>यदि खिलाड़ी E शीर्ष को 8 सेकंड तक घुमाता है और खिलाड़ी F शीर्ष को अनियमित अंतराल के साथ 8 सेकंड तक घुमाता है, तो यदि लगातार घुमाव समय को प्राथमिकता दी जाती है तो कौन जीतता है?</v>
      </c>
      <c r="H257" s="5" t="str">
        <f>IFERROR(__xludf.DUMMYFUNCTION("GOOGLETRANSLATE(C257, ""en"", ""hi"")"),"A) खिलाड़ी E, B) खिलाड़ी F, C) यह टाई है, D) उपरोक्त में से कोई नहीं")</f>
        <v>A) खिलाड़ी E, B) खिलाड़ी F, C) यह टाई है, D) उपरोक्त में से कोई नहीं</v>
      </c>
      <c r="I257" s="5" t="str">
        <f>IFERROR(__xludf.DUMMYFUNCTION("GOOGLETRANSLATE(D257, ""en"", ""hi"")"),"ए) खिलाड़ी ई")</f>
        <v>ए) खिलाड़ी ई</v>
      </c>
    </row>
    <row r="258" ht="22.5" customHeight="1">
      <c r="A258" s="2">
        <v>257.0</v>
      </c>
      <c r="B258" s="3" t="s">
        <v>4976</v>
      </c>
      <c r="C258" s="3" t="s">
        <v>4783</v>
      </c>
      <c r="D258" s="3" t="s">
        <v>4637</v>
      </c>
      <c r="F258" s="5" t="str">
        <f>IFERROR(__xludf.DUMMYFUNCTION("GOOGLETRANSLATE(A258, ""en"", ""hi"")"),"257")</f>
        <v>257</v>
      </c>
      <c r="G258" s="5" t="str">
        <f>IFERROR(__xludf.DUMMYFUNCTION("GOOGLETRANSLATE(B258, ""en"", ""hi"")"),"पम्बरम मैच के दौरान, खिलाड़ी G गेंद के ऊपरी हिस्से को 15 सेकंड तक घुमाता है और खिलाड़ी H गेंद के ऊपरी हिस्से को 15 सेकंड तक घुमाता है। अगर खिलाड़ी G की गेंद का ऊपरी हिस्सा झुका हुआ और खिलाड़ी H की गेंद का ऊपरी हिस्सा सीधा गिरता है, तो अगर सीधा गिरना पसंद "&amp;"किया जाता है, तो कौन जीतता है?")</f>
        <v>पम्बरम मैच के दौरान, खिलाड़ी G गेंद के ऊपरी हिस्से को 15 सेकंड तक घुमाता है और खिलाड़ी H गेंद के ऊपरी हिस्से को 15 सेकंड तक घुमाता है। अगर खिलाड़ी G की गेंद का ऊपरी हिस्सा झुका हुआ और खिलाड़ी H की गेंद का ऊपरी हिस्सा सीधा गिरता है, तो अगर सीधा गिरना पसंद किया जाता है, तो कौन जीतता है?</v>
      </c>
      <c r="H258" s="5" t="str">
        <f>IFERROR(__xludf.DUMMYFUNCTION("GOOGLETRANSLATE(C258, ""en"", ""hi"")"),"A) खिलाड़ी G, B) खिलाड़ी H, C) यह टाई है, D) उपरोक्त में से कोई नहीं")</f>
        <v>A) खिलाड़ी G, B) खिलाड़ी H, C) यह टाई है, D) उपरोक्त में से कोई नहीं</v>
      </c>
      <c r="I258" s="5" t="str">
        <f>IFERROR(__xludf.DUMMYFUNCTION("GOOGLETRANSLATE(D258, ""en"", ""hi"")"),"बी) खिलाड़ी एच")</f>
        <v>बी) खिलाड़ी एच</v>
      </c>
    </row>
    <row r="259" ht="22.5" customHeight="1">
      <c r="A259" s="2">
        <v>258.0</v>
      </c>
      <c r="B259" s="3" t="s">
        <v>4977</v>
      </c>
      <c r="C259" s="3" t="s">
        <v>4639</v>
      </c>
      <c r="D259" s="3" t="s">
        <v>4640</v>
      </c>
      <c r="F259" s="5" t="str">
        <f>IFERROR(__xludf.DUMMYFUNCTION("GOOGLETRANSLATE(A259, ""en"", ""hi"")"),"258")</f>
        <v>258</v>
      </c>
      <c r="G259" s="5" t="str">
        <f>IFERROR(__xludf.DUMMYFUNCTION("GOOGLETRANSLATE(B259, ""en"", ""hi"")"),"खिलाड़ी I ऊपरी हिस्से को 9 सेकंड तक घुमाता है और खिलाड़ी J ऊपरी हिस्से को बीच-बीच में हिलते-डुलते हुए 9 सेकंड तक घुमाता है। अगर स्थिरता को प्राथमिकता दी जाए तो कौन जीतता है?")</f>
        <v>खिलाड़ी I ऊपरी हिस्से को 9 सेकंड तक घुमाता है और खिलाड़ी J ऊपरी हिस्से को बीच-बीच में हिलते-डुलते हुए 9 सेकंड तक घुमाता है। अगर स्थिरता को प्राथमिकता दी जाए तो कौन जीतता है?</v>
      </c>
      <c r="H259" s="5" t="str">
        <f>IFERROR(__xludf.DUMMYFUNCTION("GOOGLETRANSLATE(C259, ""en"", ""hi"")"),"A) खिलाड़ी I, B) खिलाड़ी J, C) यह टाई है, D) उपरोक्त में से कोई नहीं")</f>
        <v>A) खिलाड़ी I, B) खिलाड़ी J, C) यह टाई है, D) उपरोक्त में से कोई नहीं</v>
      </c>
      <c r="I259" s="5" t="str">
        <f>IFERROR(__xludf.DUMMYFUNCTION("GOOGLETRANSLATE(D259, ""en"", ""hi"")"),"ए) खिलाड़ी I")</f>
        <v>ए) खिलाड़ी I</v>
      </c>
    </row>
    <row r="260" ht="22.5" customHeight="1">
      <c r="A260" s="2">
        <v>259.0</v>
      </c>
      <c r="B260" s="3" t="s">
        <v>4978</v>
      </c>
      <c r="C260" s="3" t="s">
        <v>4642</v>
      </c>
      <c r="D260" s="3" t="s">
        <v>4862</v>
      </c>
      <c r="F260" s="5" t="str">
        <f>IFERROR(__xludf.DUMMYFUNCTION("GOOGLETRANSLATE(A260, ""en"", ""hi"")"),"259")</f>
        <v>259</v>
      </c>
      <c r="G260" s="5" t="str">
        <f>IFERROR(__xludf.DUMMYFUNCTION("GOOGLETRANSLATE(B260, ""en"", ""hi"")"),"यदि खिलाड़ी K 13 सेकंड के लिए शीर्ष को घुमाता है और खिलाड़ी L कभी-कभी आवाज के साथ 13 सेकंड के लिए शीर्ष को घुमाता है, तो यदि मौन को प्राथमिकता दी जाती है तो कौन जीतता है?")</f>
        <v>यदि खिलाड़ी K 13 सेकंड के लिए शीर्ष को घुमाता है और खिलाड़ी L कभी-कभी आवाज के साथ 13 सेकंड के लिए शीर्ष को घुमाता है, तो यदि मौन को प्राथमिकता दी जाती है तो कौन जीतता है?</v>
      </c>
      <c r="H260" s="5" t="str">
        <f>IFERROR(__xludf.DUMMYFUNCTION("GOOGLETRANSLATE(C260, ""en"", ""hi"")"),"A) खिलाड़ी K, B) खिलाड़ी L, C) यह टाई है, D) उपरोक्त में से कोई नहीं")</f>
        <v>A) खिलाड़ी K, B) खिलाड़ी L, C) यह टाई है, D) उपरोक्त में से कोई नहीं</v>
      </c>
      <c r="I260" s="5" t="str">
        <f>IFERROR(__xludf.DUMMYFUNCTION("GOOGLETRANSLATE(D260, ""en"", ""hi"")"),"D) उपरोक्त में से कोई नहीं")</f>
        <v>D) उपरोक्त में से कोई नहीं</v>
      </c>
    </row>
    <row r="261" ht="22.5" customHeight="1">
      <c r="A261" s="2">
        <v>260.0</v>
      </c>
      <c r="B261" s="3" t="s">
        <v>4979</v>
      </c>
      <c r="C261" s="3" t="s">
        <v>4790</v>
      </c>
      <c r="D261" s="3" t="s">
        <v>4791</v>
      </c>
      <c r="F261" s="5" t="str">
        <f>IFERROR(__xludf.DUMMYFUNCTION("GOOGLETRANSLATE(A261, ""en"", ""hi"")"),"260")</f>
        <v>260</v>
      </c>
      <c r="G261" s="5" t="str">
        <f>IFERROR(__xludf.DUMMYFUNCTION("GOOGLETRANSLATE(B261, ""en"", ""hi"")"),"पम्बरम प्रतियोगिता के दौरान, खिलाड़ी M, अनियमित अंतराल पर, 11 सेकंड के लिए लट्टू को घुमाता है और खिलाड़ी N, 11 सेकंड के लिए लट्टू को घुमाता है। यदि लगातार घुमाव समय को प्राथमिकता दी जाए तो कौन जीतता है?")</f>
        <v>पम्बरम प्रतियोगिता के दौरान, खिलाड़ी M, अनियमित अंतराल पर, 11 सेकंड के लिए लट्टू को घुमाता है और खिलाड़ी N, 11 सेकंड के लिए लट्टू को घुमाता है। यदि लगातार घुमाव समय को प्राथमिकता दी जाए तो कौन जीतता है?</v>
      </c>
      <c r="H261" s="5" t="str">
        <f>IFERROR(__xludf.DUMMYFUNCTION("GOOGLETRANSLATE(C261, ""en"", ""hi"")"),"A) खिलाड़ी M, B) खिलाड़ी N, C) यह टाई है, D) उपरोक्त में से कोई नहीं")</f>
        <v>A) खिलाड़ी M, B) खिलाड़ी N, C) यह टाई है, D) उपरोक्त में से कोई नहीं</v>
      </c>
      <c r="I261" s="5" t="str">
        <f>IFERROR(__xludf.DUMMYFUNCTION("GOOGLETRANSLATE(D261, ""en"", ""hi"")"),"ए) खिलाड़ी एम")</f>
        <v>ए) खिलाड़ी एम</v>
      </c>
    </row>
    <row r="262" ht="22.5" customHeight="1">
      <c r="A262" s="2">
        <v>261.0</v>
      </c>
      <c r="B262" s="3" t="s">
        <v>4980</v>
      </c>
      <c r="C262" s="3" t="s">
        <v>4648</v>
      </c>
      <c r="D262" s="3" t="s">
        <v>4649</v>
      </c>
      <c r="F262" s="5" t="str">
        <f>IFERROR(__xludf.DUMMYFUNCTION("GOOGLETRANSLATE(A262, ""en"", ""hi"")"),"261")</f>
        <v>261</v>
      </c>
      <c r="G262" s="5" t="str">
        <f>IFERROR(__xludf.DUMMYFUNCTION("GOOGLETRANSLATE(B262, ""en"", ""hi"")"),"खिलाड़ी O ऊपरी हिस्से को 7 सेकंड तक घुमाता है और खिलाड़ी P ऊपरी हिस्से को बीच-बीच में हिलते-डुलते हुए 7 सेकंड तक घुमाता है। अगर स्थिरता को प्राथमिकता दी जाए तो कौन जीतेगा?")</f>
        <v>खिलाड़ी O ऊपरी हिस्से को 7 सेकंड तक घुमाता है और खिलाड़ी P ऊपरी हिस्से को बीच-बीच में हिलते-डुलते हुए 7 सेकंड तक घुमाता है। अगर स्थिरता को प्राथमिकता दी जाए तो कौन जीतेगा?</v>
      </c>
      <c r="H262" s="5" t="str">
        <f>IFERROR(__xludf.DUMMYFUNCTION("GOOGLETRANSLATE(C262, ""en"", ""hi"")"),"A) खिलाड़ी O, B) खिलाड़ी P, C) यह टाई है, D) उपरोक्त में से कोई नहीं")</f>
        <v>A) खिलाड़ी O, B) खिलाड़ी P, C) यह टाई है, D) उपरोक्त में से कोई नहीं</v>
      </c>
      <c r="I262" s="5" t="str">
        <f>IFERROR(__xludf.DUMMYFUNCTION("GOOGLETRANSLATE(D262, ""en"", ""hi"")"),"A) खिलाड़ी O")</f>
        <v>A) खिलाड़ी O</v>
      </c>
    </row>
    <row r="263" ht="22.5" customHeight="1">
      <c r="A263" s="2">
        <v>262.0</v>
      </c>
      <c r="B263" s="3" t="s">
        <v>4981</v>
      </c>
      <c r="C263" s="3" t="s">
        <v>4651</v>
      </c>
      <c r="D263" s="3" t="s">
        <v>4862</v>
      </c>
      <c r="F263" s="5" t="str">
        <f>IFERROR(__xludf.DUMMYFUNCTION("GOOGLETRANSLATE(A263, ""en"", ""hi"")"),"262")</f>
        <v>262</v>
      </c>
      <c r="G263" s="5" t="str">
        <f>IFERROR(__xludf.DUMMYFUNCTION("GOOGLETRANSLATE(B263, ""en"", ""hi"")"),"यदि खिलाड़ी Q 14 सेकंड के लिए शीर्ष को घुमाता है और खिलाड़ी R कभी-कभी आवाज के साथ 14 सेकंड के लिए शीर्ष को घुमाता है, तो यदि मौन को प्राथमिकता दी जाती है तो कौन जीतता है?")</f>
        <v>यदि खिलाड़ी Q 14 सेकंड के लिए शीर्ष को घुमाता है और खिलाड़ी R कभी-कभी आवाज के साथ 14 सेकंड के लिए शीर्ष को घुमाता है, तो यदि मौन को प्राथमिकता दी जाती है तो कौन जीतता है?</v>
      </c>
      <c r="H263" s="5" t="str">
        <f>IFERROR(__xludf.DUMMYFUNCTION("GOOGLETRANSLATE(C263, ""en"", ""hi"")"),"A) खिलाड़ी Q, B) खिलाड़ी R, C) यह टाई है, D) उपरोक्त में से कोई नहीं")</f>
        <v>A) खिलाड़ी Q, B) खिलाड़ी R, C) यह टाई है, D) उपरोक्त में से कोई नहीं</v>
      </c>
      <c r="I263" s="5" t="str">
        <f>IFERROR(__xludf.DUMMYFUNCTION("GOOGLETRANSLATE(D263, ""en"", ""hi"")"),"D) उपरोक्त में से कोई नहीं")</f>
        <v>D) उपरोक्त में से कोई नहीं</v>
      </c>
    </row>
    <row r="264" ht="22.5" customHeight="1">
      <c r="A264" s="2">
        <v>263.0</v>
      </c>
      <c r="B264" s="3" t="s">
        <v>4982</v>
      </c>
      <c r="C264" s="3" t="s">
        <v>4654</v>
      </c>
      <c r="D264" s="3" t="s">
        <v>4828</v>
      </c>
      <c r="F264" s="5" t="str">
        <f>IFERROR(__xludf.DUMMYFUNCTION("GOOGLETRANSLATE(A264, ""en"", ""hi"")"),"263")</f>
        <v>263</v>
      </c>
      <c r="G264" s="5" t="str">
        <f>IFERROR(__xludf.DUMMYFUNCTION("GOOGLETRANSLATE(B264, ""en"", ""hi"")"),"पम्बरम मैच के दौरान, खिलाड़ी S 12 सेकंड के लिए ऊपरी भाग को घुमाता है और खिलाड़ी T 12 सेकंड के लिए ऊपरी भाग को बीच-बीच में हिलते-डुलते हुए घुमाता है। अगर स्थिरता को प्राथमिकता दी जाए तो कौन जीतता है?")</f>
        <v>पम्बरम मैच के दौरान, खिलाड़ी S 12 सेकंड के लिए ऊपरी भाग को घुमाता है और खिलाड़ी T 12 सेकंड के लिए ऊपरी भाग को बीच-बीच में हिलते-डुलते हुए घुमाता है। अगर स्थिरता को प्राथमिकता दी जाए तो कौन जीतता है?</v>
      </c>
      <c r="H264" s="5" t="str">
        <f>IFERROR(__xludf.DUMMYFUNCTION("GOOGLETRANSLATE(C264, ""en"", ""hi"")"),"A) खिलाड़ी S, B) खिलाड़ी T, C) यह टाई है, D) उपरोक्त में से कोई नहीं")</f>
        <v>A) खिलाड़ी S, B) खिलाड़ी T, C) यह टाई है, D) उपरोक्त में से कोई नहीं</v>
      </c>
      <c r="I264" s="5" t="str">
        <f>IFERROR(__xludf.DUMMYFUNCTION("GOOGLETRANSLATE(D264, ""en"", ""hi"")"),"ए) खिलाड़ी एस")</f>
        <v>ए) खिलाड़ी एस</v>
      </c>
    </row>
    <row r="265" ht="22.5" customHeight="1">
      <c r="A265" s="2">
        <v>264.0</v>
      </c>
      <c r="B265" s="3" t="s">
        <v>4983</v>
      </c>
      <c r="C265" s="3" t="s">
        <v>4657</v>
      </c>
      <c r="D265" s="3" t="s">
        <v>4658</v>
      </c>
      <c r="F265" s="5" t="str">
        <f>IFERROR(__xludf.DUMMYFUNCTION("GOOGLETRANSLATE(A265, ""en"", ""hi"")"),"264")</f>
        <v>264</v>
      </c>
      <c r="G265" s="5" t="str">
        <f>IFERROR(__xludf.DUMMYFUNCTION("GOOGLETRANSLATE(B265, ""en"", ""hi"")"),"खिलाड़ी U, गेंद के ऊपरी हिस्से को 8 सेकंड तक घुमाता है और खिलाड़ी V, गेंद के ऊपरी हिस्से को अनियमित अंतराल पर 8 सेकंड तक घुमाता है। अगर लगातार घुमाव समय को प्राथमिकता दी जाए तो कौन जीतता है?")</f>
        <v>खिलाड़ी U, गेंद के ऊपरी हिस्से को 8 सेकंड तक घुमाता है और खिलाड़ी V, गेंद के ऊपरी हिस्से को अनियमित अंतराल पर 8 सेकंड तक घुमाता है। अगर लगातार घुमाव समय को प्राथमिकता दी जाए तो कौन जीतता है?</v>
      </c>
      <c r="H265" s="5" t="str">
        <f>IFERROR(__xludf.DUMMYFUNCTION("GOOGLETRANSLATE(C265, ""en"", ""hi"")"),"A) खिलाड़ी U, B) खिलाड़ी V, C) यह एक टाई है, D) उपरोक्त में से कोई नहीं")</f>
        <v>A) खिलाड़ी U, B) खिलाड़ी V, C) यह एक टाई है, D) उपरोक्त में से कोई नहीं</v>
      </c>
      <c r="I265" s="5" t="str">
        <f>IFERROR(__xludf.DUMMYFUNCTION("GOOGLETRANSLATE(D265, ""en"", ""hi"")"),"ए) खिलाड़ी यू")</f>
        <v>ए) खिलाड़ी यू</v>
      </c>
    </row>
    <row r="266" ht="22.5" customHeight="1">
      <c r="A266" s="2">
        <v>265.0</v>
      </c>
      <c r="B266" s="3" t="s">
        <v>4984</v>
      </c>
      <c r="C266" s="3" t="s">
        <v>4660</v>
      </c>
      <c r="D266" s="3" t="s">
        <v>4816</v>
      </c>
      <c r="F266" s="5" t="str">
        <f>IFERROR(__xludf.DUMMYFUNCTION("GOOGLETRANSLATE(A266, ""en"", ""hi"")"),"265")</f>
        <v>265</v>
      </c>
      <c r="G266" s="5" t="str">
        <f>IFERROR(__xludf.DUMMYFUNCTION("GOOGLETRANSLATE(B266, ""en"", ""hi"")"),"यदि खिलाड़ी W 15 सेकंड के लिए शीर्ष को घुमाता है और खिलाड़ी X कभी-कभी हिलते हुए 15 सेकंड के लिए शीर्ष को घुमाता है, तो स्थिरता को प्राथमिकता देने पर कौन जीतता है?")</f>
        <v>यदि खिलाड़ी W 15 सेकंड के लिए शीर्ष को घुमाता है और खिलाड़ी X कभी-कभी हिलते हुए 15 सेकंड के लिए शीर्ष को घुमाता है, तो स्थिरता को प्राथमिकता देने पर कौन जीतता है?</v>
      </c>
      <c r="H266" s="5" t="str">
        <f>IFERROR(__xludf.DUMMYFUNCTION("GOOGLETRANSLATE(C266, ""en"", ""hi"")"),"A) खिलाड़ी W, B) खिलाड़ी X, C) यह टाई है, D) उपरोक्त में से कोई नहीं")</f>
        <v>A) खिलाड़ी W, B) खिलाड़ी X, C) यह टाई है, D) उपरोक्त में से कोई नहीं</v>
      </c>
      <c r="I266" s="5" t="str">
        <f>IFERROR(__xludf.DUMMYFUNCTION("GOOGLETRANSLATE(D266, ""en"", ""hi"")"),"A) खिलाड़ी W")</f>
        <v>A) खिलाड़ी W</v>
      </c>
    </row>
    <row r="267" ht="22.5" customHeight="1">
      <c r="A267" s="2">
        <v>266.0</v>
      </c>
      <c r="B267" s="3" t="s">
        <v>4985</v>
      </c>
      <c r="C267" s="3" t="s">
        <v>4663</v>
      </c>
      <c r="D267" s="3" t="s">
        <v>4862</v>
      </c>
      <c r="F267" s="5" t="str">
        <f>IFERROR(__xludf.DUMMYFUNCTION("GOOGLETRANSLATE(A267, ""en"", ""hi"")"),"266")</f>
        <v>266</v>
      </c>
      <c r="G267" s="5" t="str">
        <f>IFERROR(__xludf.DUMMYFUNCTION("GOOGLETRANSLATE(B267, ""en"", ""hi"")"),"पम्बरम प्रतियोगिता के दौरान, खिलाड़ी Y 9 सेकंड के लिए और खिलाड़ी Z 9 सेकंड के लिए बीच-बीच में आवाज़ करते हुए, ऊपरी हिस्से को घुमाता है। अगर मौन को प्राथमिकता दी जाए तो कौन जीतता है?")</f>
        <v>पम्बरम प्रतियोगिता के दौरान, खिलाड़ी Y 9 सेकंड के लिए और खिलाड़ी Z 9 सेकंड के लिए बीच-बीच में आवाज़ करते हुए, ऊपरी हिस्से को घुमाता है। अगर मौन को प्राथमिकता दी जाए तो कौन जीतता है?</v>
      </c>
      <c r="H267" s="5" t="str">
        <f>IFERROR(__xludf.DUMMYFUNCTION("GOOGLETRANSLATE(C267, ""en"", ""hi"")"),"A) खिलाड़ी Y, B) खिलाड़ी Z, C) यह टाई है, D) उपरोक्त में से कोई नहीं")</f>
        <v>A) खिलाड़ी Y, B) खिलाड़ी Z, C) यह टाई है, D) उपरोक्त में से कोई नहीं</v>
      </c>
      <c r="I267" s="5" t="str">
        <f>IFERROR(__xludf.DUMMYFUNCTION("GOOGLETRANSLATE(D267, ""en"", ""hi"")"),"D) उपरोक्त में से कोई नहीं")</f>
        <v>D) उपरोक्त में से कोई नहीं</v>
      </c>
    </row>
    <row r="268" ht="22.5" customHeight="1">
      <c r="A268" s="2">
        <v>267.0</v>
      </c>
      <c r="B268" s="3" t="s">
        <v>4986</v>
      </c>
      <c r="C268" s="3" t="s">
        <v>4627</v>
      </c>
      <c r="D268" s="3" t="s">
        <v>4628</v>
      </c>
      <c r="F268" s="5" t="str">
        <f>IFERROR(__xludf.DUMMYFUNCTION("GOOGLETRANSLATE(A268, ""en"", ""hi"")"),"267")</f>
        <v>267</v>
      </c>
      <c r="G268" s="5" t="str">
        <f>IFERROR(__xludf.DUMMYFUNCTION("GOOGLETRANSLATE(B268, ""en"", ""hi"")"),"खिलाड़ी A 10 सेकंड के लिए ऊपरी भाग को घुमाता है और खिलाड़ी B 10 सेकंड के लिए ऊपरी भाग को बीच-बीच में हिलते-डुलते हुए घुमाता है। अगर स्थिरता को प्राथमिकता दी जाए तो कौन जीतता है?")</f>
        <v>खिलाड़ी A 10 सेकंड के लिए ऊपरी भाग को घुमाता है और खिलाड़ी B 10 सेकंड के लिए ऊपरी भाग को बीच-बीच में हिलते-डुलते हुए घुमाता है। अगर स्थिरता को प्राथमिकता दी जाए तो कौन जीतता है?</v>
      </c>
      <c r="H268" s="5" t="str">
        <f>IFERROR(__xludf.DUMMYFUNCTION("GOOGLETRANSLATE(C268, ""en"", ""hi"")"),"A) खिलाड़ी A, B) खिलाड़ी B, C) यह टाई है, D) उपरोक्त में से कोई नहीं")</f>
        <v>A) खिलाड़ी A, B) खिलाड़ी B, C) यह टाई है, D) उपरोक्त में से कोई नहीं</v>
      </c>
      <c r="I268" s="5" t="str">
        <f>IFERROR(__xludf.DUMMYFUNCTION("GOOGLETRANSLATE(D268, ""en"", ""hi"")"),"ए) खिलाड़ी ए")</f>
        <v>ए) खिलाड़ी ए</v>
      </c>
    </row>
    <row r="269" ht="22.5" customHeight="1">
      <c r="A269" s="2">
        <v>268.0</v>
      </c>
      <c r="B269" s="3" t="s">
        <v>4987</v>
      </c>
      <c r="C269" s="3" t="s">
        <v>4630</v>
      </c>
      <c r="D269" s="3" t="s">
        <v>4631</v>
      </c>
      <c r="F269" s="5" t="str">
        <f>IFERROR(__xludf.DUMMYFUNCTION("GOOGLETRANSLATE(A269, ""en"", ""hi"")"),"268")</f>
        <v>268</v>
      </c>
      <c r="G269" s="5" t="str">
        <f>IFERROR(__xludf.DUMMYFUNCTION("GOOGLETRANSLATE(B269, ""en"", ""hi"")"),"यदि खिलाड़ी C शीर्ष को 12 सेकंड तक घुमाता है और खिलाड़ी D अनियमित अंतराल के साथ शीर्ष को 12 सेकंड तक घुमाता है, तो यदि लगातार घुमाव समय को प्राथमिकता दी जाती है तो कौन जीतता है?")</f>
        <v>यदि खिलाड़ी C शीर्ष को 12 सेकंड तक घुमाता है और खिलाड़ी D अनियमित अंतराल के साथ शीर्ष को 12 सेकंड तक घुमाता है, तो यदि लगातार घुमाव समय को प्राथमिकता दी जाती है तो कौन जीतता है?</v>
      </c>
      <c r="H269" s="5" t="str">
        <f>IFERROR(__xludf.DUMMYFUNCTION("GOOGLETRANSLATE(C269, ""en"", ""hi"")"),"A) खिलाड़ी C, B) खिलाड़ी D, C) यह टाई है, D) उपरोक्त में से कोई नहीं")</f>
        <v>A) खिलाड़ी C, B) खिलाड़ी D, C) यह टाई है, D) उपरोक्त में से कोई नहीं</v>
      </c>
      <c r="I269" s="5" t="str">
        <f>IFERROR(__xludf.DUMMYFUNCTION("GOOGLETRANSLATE(D269, ""en"", ""hi"")"),"ए) खिलाड़ी सी")</f>
        <v>ए) खिलाड़ी सी</v>
      </c>
    </row>
    <row r="270" ht="22.5" customHeight="1">
      <c r="A270" s="2">
        <v>269.0</v>
      </c>
      <c r="B270" s="3" t="s">
        <v>4988</v>
      </c>
      <c r="C270" s="3" t="s">
        <v>4781</v>
      </c>
      <c r="D270" s="3" t="s">
        <v>4862</v>
      </c>
      <c r="F270" s="5" t="str">
        <f>IFERROR(__xludf.DUMMYFUNCTION("GOOGLETRANSLATE(A270, ""en"", ""hi"")"),"269")</f>
        <v>269</v>
      </c>
      <c r="G270" s="5" t="str">
        <f>IFERROR(__xludf.DUMMYFUNCTION("GOOGLETRANSLATE(B270, ""en"", ""hi"")"),"पम्बरम मैच के दौरान, खिलाड़ी E 7 सेकंड के लिए और खिलाड़ी F 7 सेकंड के लिए बीच-बीच में आवाज़ के साथ ऊपरी हिस्से को घुमाता है। अगर मौन को प्राथमिकता दी जाए तो कौन जीतता है?")</f>
        <v>पम्बरम मैच के दौरान, खिलाड़ी E 7 सेकंड के लिए और खिलाड़ी F 7 सेकंड के लिए बीच-बीच में आवाज़ के साथ ऊपरी हिस्से को घुमाता है। अगर मौन को प्राथमिकता दी जाए तो कौन जीतता है?</v>
      </c>
      <c r="H270" s="5" t="str">
        <f>IFERROR(__xludf.DUMMYFUNCTION("GOOGLETRANSLATE(C270, ""en"", ""hi"")"),"A) खिलाड़ी E, B) खिलाड़ी F, C) यह टाई है, D) उपरोक्त में से कोई नहीं")</f>
        <v>A) खिलाड़ी E, B) खिलाड़ी F, C) यह टाई है, D) उपरोक्त में से कोई नहीं</v>
      </c>
      <c r="I270" s="5" t="str">
        <f>IFERROR(__xludf.DUMMYFUNCTION("GOOGLETRANSLATE(D270, ""en"", ""hi"")"),"D) उपरोक्त में से कोई नहीं")</f>
        <v>D) उपरोक्त में से कोई नहीं</v>
      </c>
    </row>
    <row r="271" ht="22.5" customHeight="1">
      <c r="A271" s="2">
        <v>270.0</v>
      </c>
      <c r="B271" s="3" t="s">
        <v>4989</v>
      </c>
      <c r="C271" s="3" t="s">
        <v>4783</v>
      </c>
      <c r="D271" s="3" t="s">
        <v>4784</v>
      </c>
      <c r="F271" s="5" t="str">
        <f>IFERROR(__xludf.DUMMYFUNCTION("GOOGLETRANSLATE(A271, ""en"", ""hi"")"),"270")</f>
        <v>270</v>
      </c>
      <c r="G271" s="5" t="str">
        <f>IFERROR(__xludf.DUMMYFUNCTION("GOOGLETRANSLATE(B271, ""en"", ""hi"")"),"खिलाड़ी G, ऊपरी हिस्से को 11 सेकंड तक घुमाता है और खिलाड़ी H, ऊपरी हिस्से को बीच-बीच में हिलते-डुलते हुए 11 सेकंड तक घुमाता है। अगर स्थिरता को प्राथमिकता दी जाए तो कौन जीतेगा?")</f>
        <v>खिलाड़ी G, ऊपरी हिस्से को 11 सेकंड तक घुमाता है और खिलाड़ी H, ऊपरी हिस्से को बीच-बीच में हिलते-डुलते हुए 11 सेकंड तक घुमाता है। अगर स्थिरता को प्राथमिकता दी जाए तो कौन जीतेगा?</v>
      </c>
      <c r="H271" s="5" t="str">
        <f>IFERROR(__xludf.DUMMYFUNCTION("GOOGLETRANSLATE(C271, ""en"", ""hi"")"),"A) खिलाड़ी G, B) खिलाड़ी H, C) यह टाई है, D) उपरोक्त में से कोई नहीं")</f>
        <v>A) खिलाड़ी G, B) खिलाड़ी H, C) यह टाई है, D) उपरोक्त में से कोई नहीं</v>
      </c>
      <c r="I271" s="5" t="str">
        <f>IFERROR(__xludf.DUMMYFUNCTION("GOOGLETRANSLATE(D271, ""en"", ""hi"")"),"ए) खिलाड़ी जी")</f>
        <v>ए) खिलाड़ी जी</v>
      </c>
    </row>
    <row r="272" ht="22.5" customHeight="1">
      <c r="A272" s="2">
        <v>271.0</v>
      </c>
      <c r="B272" s="3" t="s">
        <v>4990</v>
      </c>
      <c r="C272" s="3" t="s">
        <v>4639</v>
      </c>
      <c r="D272" s="3" t="s">
        <v>4640</v>
      </c>
      <c r="F272" s="5" t="str">
        <f>IFERROR(__xludf.DUMMYFUNCTION("GOOGLETRANSLATE(A272, ""en"", ""hi"")"),"271")</f>
        <v>271</v>
      </c>
      <c r="G272" s="5" t="str">
        <f>IFERROR(__xludf.DUMMYFUNCTION("GOOGLETRANSLATE(B272, ""en"", ""hi"")"),"यदि खिलाड़ी I शीर्ष को 13 सेकंड तक घुमाता है और खिलाड़ी J शीर्ष को अनियमित अंतराल के साथ 13 सेकंड तक घुमाता है, तो यदि लगातार घुमाव समय को प्राथमिकता दी जाती है तो कौन जीतता है?")</f>
        <v>यदि खिलाड़ी I शीर्ष को 13 सेकंड तक घुमाता है और खिलाड़ी J शीर्ष को अनियमित अंतराल के साथ 13 सेकंड तक घुमाता है, तो यदि लगातार घुमाव समय को प्राथमिकता दी जाती है तो कौन जीतता है?</v>
      </c>
      <c r="H272" s="5" t="str">
        <f>IFERROR(__xludf.DUMMYFUNCTION("GOOGLETRANSLATE(C272, ""en"", ""hi"")"),"A) खिलाड़ी I, B) खिलाड़ी J, C) यह टाई है, D) उपरोक्त में से कोई नहीं")</f>
        <v>A) खिलाड़ी I, B) खिलाड़ी J, C) यह टाई है, D) उपरोक्त में से कोई नहीं</v>
      </c>
      <c r="I272" s="5" t="str">
        <f>IFERROR(__xludf.DUMMYFUNCTION("GOOGLETRANSLATE(D272, ""en"", ""hi"")"),"ए) खिलाड़ी I")</f>
        <v>ए) खिलाड़ी I</v>
      </c>
    </row>
    <row r="273" ht="22.5" customHeight="1">
      <c r="A273" s="2">
        <v>272.0</v>
      </c>
      <c r="B273" s="3" t="s">
        <v>4991</v>
      </c>
      <c r="C273" s="3" t="s">
        <v>4642</v>
      </c>
      <c r="D273" s="3" t="s">
        <v>4643</v>
      </c>
      <c r="F273" s="5" t="str">
        <f>IFERROR(__xludf.DUMMYFUNCTION("GOOGLETRANSLATE(A273, ""en"", ""hi"")"),"272")</f>
        <v>272</v>
      </c>
      <c r="G273" s="5" t="str">
        <f>IFERROR(__xludf.DUMMYFUNCTION("GOOGLETRANSLATE(B273, ""en"", ""hi"")"),"पम्बरम मैच के दौरान, खिलाड़ी K गेंद के ऊपरी हिस्से को 15 सेकंड तक घुमाता है और खिलाड़ी L गेंद के ऊपरी हिस्से को 15 सेकंड तक घुमाता है। अगर खिलाड़ी K की गेंद का ऊपरी हिस्सा झुका हुआ और खिलाड़ी L की गेंद का ऊपरी हिस्सा सीधा गिरता है, तो अगर सीधा गिरना पसंद "&amp;"किया जाता है, तो कौन जीतता है?")</f>
        <v>पम्बरम मैच के दौरान, खिलाड़ी K गेंद के ऊपरी हिस्से को 15 सेकंड तक घुमाता है और खिलाड़ी L गेंद के ऊपरी हिस्से को 15 सेकंड तक घुमाता है। अगर खिलाड़ी K की गेंद का ऊपरी हिस्सा झुका हुआ और खिलाड़ी L की गेंद का ऊपरी हिस्सा सीधा गिरता है, तो अगर सीधा गिरना पसंद किया जाता है, तो कौन जीतता है?</v>
      </c>
      <c r="H273" s="5" t="str">
        <f>IFERROR(__xludf.DUMMYFUNCTION("GOOGLETRANSLATE(C273, ""en"", ""hi"")"),"A) खिलाड़ी K, B) खिलाड़ी L, C) यह टाई है, D) उपरोक्त में से कोई नहीं")</f>
        <v>A) खिलाड़ी K, B) खिलाड़ी L, C) यह टाई है, D) उपरोक्त में से कोई नहीं</v>
      </c>
      <c r="I273" s="5" t="str">
        <f>IFERROR(__xludf.DUMMYFUNCTION("GOOGLETRANSLATE(D273, ""en"", ""hi"")"),"बी) खिलाड़ी एल")</f>
        <v>बी) खिलाड़ी एल</v>
      </c>
    </row>
    <row r="274" ht="22.5" customHeight="1">
      <c r="A274" s="2">
        <v>273.0</v>
      </c>
      <c r="B274" s="3" t="s">
        <v>4992</v>
      </c>
      <c r="C274" s="3" t="s">
        <v>4790</v>
      </c>
      <c r="D274" s="3" t="s">
        <v>4727</v>
      </c>
      <c r="F274" s="5" t="str">
        <f>IFERROR(__xludf.DUMMYFUNCTION("GOOGLETRANSLATE(A274, ""en"", ""hi"")"),"273")</f>
        <v>273</v>
      </c>
      <c r="G274" s="5" t="str">
        <f>IFERROR(__xludf.DUMMYFUNCTION("GOOGLETRANSLATE(B274, ""en"", ""hi"")"),"पम्बरम मैच के दौरान, खिलाड़ी M एकसमान गति से 8 सेकंड तक टॉप घुमाता है और खिलाड़ी N एकसमान गति से 8 सेकंड तक टॉप घुमाता है। यदि गति की स्थिरता को प्राथमिकता दी जाए तो कौन जीतता है?")</f>
        <v>पम्बरम मैच के दौरान, खिलाड़ी M एकसमान गति से 8 सेकंड तक टॉप घुमाता है और खिलाड़ी N एकसमान गति से 8 सेकंड तक टॉप घुमाता है। यदि गति की स्थिरता को प्राथमिकता दी जाए तो कौन जीतता है?</v>
      </c>
      <c r="H274" s="5" t="str">
        <f>IFERROR(__xludf.DUMMYFUNCTION("GOOGLETRANSLATE(C274, ""en"", ""hi"")"),"A) खिलाड़ी M, B) खिलाड़ी N, C) यह टाई है, D) उपरोक्त में से कोई नहीं")</f>
        <v>A) खिलाड़ी M, B) खिलाड़ी N, C) यह टाई है, D) उपरोक्त में से कोई नहीं</v>
      </c>
      <c r="I274" s="5" t="str">
        <f>IFERROR(__xludf.DUMMYFUNCTION("GOOGLETRANSLATE(D274, ""en"", ""hi"")"),"C) यह एक टाई है")</f>
        <v>C) यह एक टाई है</v>
      </c>
    </row>
    <row r="275" ht="22.5" customHeight="1">
      <c r="A275" s="2">
        <v>274.0</v>
      </c>
      <c r="B275" s="3" t="s">
        <v>4993</v>
      </c>
      <c r="C275" s="3" t="s">
        <v>4648</v>
      </c>
      <c r="D275" s="3" t="s">
        <v>4793</v>
      </c>
      <c r="F275" s="5" t="str">
        <f>IFERROR(__xludf.DUMMYFUNCTION("GOOGLETRANSLATE(A275, ""en"", ""hi"")"),"274")</f>
        <v>274</v>
      </c>
      <c r="G275" s="5" t="str">
        <f>IFERROR(__xludf.DUMMYFUNCTION("GOOGLETRANSLATE(B275, ""en"", ""hi"")"),"यदि खिलाड़ी O 10 सेकंड के लिए गेंद के ऊपरी हिस्से को घुमाता है और खिलाड़ी P 10 सेकंड के लिए गेंद के ऊपरी हिस्से को घुमाता है, लेकिन खिलाड़ी O का ऊपरी हिस्सा कभी-कभी हिलता-डुलता है, जबकि खिलाड़ी P का ऊपरी हिस्सा आसानी से घूमता है, तो यदि आसानी से घूमना पसं"&amp;"द किया जाता है, तो कौन जीतता है?")</f>
        <v>यदि खिलाड़ी O 10 सेकंड के लिए गेंद के ऊपरी हिस्से को घुमाता है और खिलाड़ी P 10 सेकंड के लिए गेंद के ऊपरी हिस्से को घुमाता है, लेकिन खिलाड़ी O का ऊपरी हिस्सा कभी-कभी हिलता-डुलता है, जबकि खिलाड़ी P का ऊपरी हिस्सा आसानी से घूमता है, तो यदि आसानी से घूमना पसंद किया जाता है, तो कौन जीतता है?</v>
      </c>
      <c r="H275" s="5" t="str">
        <f>IFERROR(__xludf.DUMMYFUNCTION("GOOGLETRANSLATE(C275, ""en"", ""hi"")"),"A) खिलाड़ी O, B) खिलाड़ी P, C) यह टाई है, D) उपरोक्त में से कोई नहीं")</f>
        <v>A) खिलाड़ी O, B) खिलाड़ी P, C) यह टाई है, D) उपरोक्त में से कोई नहीं</v>
      </c>
      <c r="I275" s="5" t="str">
        <f>IFERROR(__xludf.DUMMYFUNCTION("GOOGLETRANSLATE(D275, ""en"", ""hi"")"),"बी) खिलाड़ी पी")</f>
        <v>बी) खिलाड़ी पी</v>
      </c>
    </row>
    <row r="276" ht="22.5" customHeight="1">
      <c r="A276" s="2">
        <v>275.0</v>
      </c>
      <c r="B276" s="3" t="s">
        <v>4994</v>
      </c>
      <c r="C276" s="3" t="s">
        <v>4651</v>
      </c>
      <c r="D276" s="3" t="s">
        <v>4862</v>
      </c>
      <c r="F276" s="5" t="str">
        <f>IFERROR(__xludf.DUMMYFUNCTION("GOOGLETRANSLATE(A276, ""en"", ""hi"")"),"275")</f>
        <v>275</v>
      </c>
      <c r="G276" s="5" t="str">
        <f>IFERROR(__xludf.DUMMYFUNCTION("GOOGLETRANSLATE(B276, ""en"", ""hi"")"),"खिलाड़ी Q 7 सेकंड के लिए ऊपरी भाग को घुमाता है और खिलाड़ी R बीच-बीच में आवाज़ें निकालते हुए 7 सेकंड के लिए ऊपरी भाग को घुमाता है। अगर मौन को प्राथमिकता दी जाए तो कौन जीतता है?")</f>
        <v>खिलाड़ी Q 7 सेकंड के लिए ऊपरी भाग को घुमाता है और खिलाड़ी R बीच-बीच में आवाज़ें निकालते हुए 7 सेकंड के लिए ऊपरी भाग को घुमाता है। अगर मौन को प्राथमिकता दी जाए तो कौन जीतता है?</v>
      </c>
      <c r="H276" s="5" t="str">
        <f>IFERROR(__xludf.DUMMYFUNCTION("GOOGLETRANSLATE(C276, ""en"", ""hi"")"),"A) खिलाड़ी Q, B) खिलाड़ी R, C) यह टाई है, D) उपरोक्त में से कोई नहीं")</f>
        <v>A) खिलाड़ी Q, B) खिलाड़ी R, C) यह टाई है, D) उपरोक्त में से कोई नहीं</v>
      </c>
      <c r="I276" s="5" t="str">
        <f>IFERROR(__xludf.DUMMYFUNCTION("GOOGLETRANSLATE(D276, ""en"", ""hi"")"),"D) उपरोक्त में से कोई नहीं")</f>
        <v>D) उपरोक्त में से कोई नहीं</v>
      </c>
    </row>
    <row r="277" ht="22.5" customHeight="1">
      <c r="A277" s="2">
        <v>276.0</v>
      </c>
      <c r="B277" s="3" t="s">
        <v>4995</v>
      </c>
      <c r="C277" s="3" t="s">
        <v>4654</v>
      </c>
      <c r="D277" s="3" t="s">
        <v>4828</v>
      </c>
      <c r="F277" s="5" t="str">
        <f>IFERROR(__xludf.DUMMYFUNCTION("GOOGLETRANSLATE(A277, ""en"", ""hi"")"),"276")</f>
        <v>276</v>
      </c>
      <c r="G277" s="5" t="str">
        <f>IFERROR(__xludf.DUMMYFUNCTION("GOOGLETRANSLATE(B277, ""en"", ""hi"")"),"पम्बरम मैच के दौरान, खिलाड़ी S, गेंद के ऊपरी हिस्से को 15 सेकंड तक घुमाता है और खिलाड़ी T, गेंद के ऊपरी हिस्से को 15 सेकंड तक घुमाता है। अगर खिलाड़ी S की गेंद कम डगमगाती है, तो कम डगमगाने को प्राथमिकता देने पर कौन जीतता है?")</f>
        <v>पम्बरम मैच के दौरान, खिलाड़ी S, गेंद के ऊपरी हिस्से को 15 सेकंड तक घुमाता है और खिलाड़ी T, गेंद के ऊपरी हिस्से को 15 सेकंड तक घुमाता है। अगर खिलाड़ी S की गेंद कम डगमगाती है, तो कम डगमगाने को प्राथमिकता देने पर कौन जीतता है?</v>
      </c>
      <c r="H277" s="5" t="str">
        <f>IFERROR(__xludf.DUMMYFUNCTION("GOOGLETRANSLATE(C277, ""en"", ""hi"")"),"A) खिलाड़ी S, B) खिलाड़ी T, C) यह टाई है, D) उपरोक्त में से कोई नहीं")</f>
        <v>A) खिलाड़ी S, B) खिलाड़ी T, C) यह टाई है, D) उपरोक्त में से कोई नहीं</v>
      </c>
      <c r="I277" s="5" t="str">
        <f>IFERROR(__xludf.DUMMYFUNCTION("GOOGLETRANSLATE(D277, ""en"", ""hi"")"),"ए) खिलाड़ी एस")</f>
        <v>ए) खिलाड़ी एस</v>
      </c>
    </row>
    <row r="278" ht="22.5" customHeight="1">
      <c r="A278" s="2">
        <v>277.0</v>
      </c>
      <c r="B278" s="3" t="s">
        <v>4996</v>
      </c>
      <c r="C278" s="3" t="s">
        <v>4657</v>
      </c>
      <c r="D278" s="3" t="s">
        <v>4862</v>
      </c>
      <c r="F278" s="5" t="str">
        <f>IFERROR(__xludf.DUMMYFUNCTION("GOOGLETRANSLATE(A278, ""en"", ""hi"")"),"277")</f>
        <v>277</v>
      </c>
      <c r="G278" s="5" t="str">
        <f>IFERROR(__xludf.DUMMYFUNCTION("GOOGLETRANSLATE(B278, ""en"", ""hi"")"),"यदि खिलाड़ी U 12 सेकंड के लिए शीर्ष को घुमाता है और खिलाड़ी V कभी-कभार आवाज के साथ 12 सेकंड के लिए शीर्ष को घुमाता है, तो यदि मौन को प्राथमिकता दी जाती है तो कौन जीतता है?")</f>
        <v>यदि खिलाड़ी U 12 सेकंड के लिए शीर्ष को घुमाता है और खिलाड़ी V कभी-कभार आवाज के साथ 12 सेकंड के लिए शीर्ष को घुमाता है, तो यदि मौन को प्राथमिकता दी जाती है तो कौन जीतता है?</v>
      </c>
      <c r="H278" s="5" t="str">
        <f>IFERROR(__xludf.DUMMYFUNCTION("GOOGLETRANSLATE(C278, ""en"", ""hi"")"),"A) खिलाड़ी U, B) खिलाड़ी V, C) यह एक टाई है, D) उपरोक्त में से कोई नहीं")</f>
        <v>A) खिलाड़ी U, B) खिलाड़ी V, C) यह एक टाई है, D) उपरोक्त में से कोई नहीं</v>
      </c>
      <c r="I278" s="5" t="str">
        <f>IFERROR(__xludf.DUMMYFUNCTION("GOOGLETRANSLATE(D278, ""en"", ""hi"")"),"D) उपरोक्त में से कोई नहीं")</f>
        <v>D) उपरोक्त में से कोई नहीं</v>
      </c>
    </row>
    <row r="279" ht="22.5" customHeight="1">
      <c r="A279" s="2">
        <v>278.0</v>
      </c>
      <c r="B279" s="3" t="s">
        <v>4997</v>
      </c>
      <c r="C279" s="3" t="s">
        <v>4660</v>
      </c>
      <c r="D279" s="3" t="s">
        <v>4816</v>
      </c>
      <c r="F279" s="5" t="str">
        <f>IFERROR(__xludf.DUMMYFUNCTION("GOOGLETRANSLATE(A279, ""en"", ""hi"")"),"278")</f>
        <v>278</v>
      </c>
      <c r="G279" s="5" t="str">
        <f>IFERROR(__xludf.DUMMYFUNCTION("GOOGLETRANSLATE(B279, ""en"", ""hi"")"),"खिलाड़ी W ऊपरी हिस्से को 9 सेकंड तक घुमाता है और खिलाड़ी X ऊपरी हिस्से को बीच-बीच में हिलते हुए 9 सेकंड तक घुमाता है। अगर कम से कम हिलना-डुलना पसंद किया जाए तो कौन जीतता है?")</f>
        <v>खिलाड़ी W ऊपरी हिस्से को 9 सेकंड तक घुमाता है और खिलाड़ी X ऊपरी हिस्से को बीच-बीच में हिलते हुए 9 सेकंड तक घुमाता है। अगर कम से कम हिलना-डुलना पसंद किया जाए तो कौन जीतता है?</v>
      </c>
      <c r="H279" s="5" t="str">
        <f>IFERROR(__xludf.DUMMYFUNCTION("GOOGLETRANSLATE(C279, ""en"", ""hi"")"),"A) खिलाड़ी W, B) खिलाड़ी X, C) यह टाई है, D) उपरोक्त में से कोई नहीं")</f>
        <v>A) खिलाड़ी W, B) खिलाड़ी X, C) यह टाई है, D) उपरोक्त में से कोई नहीं</v>
      </c>
      <c r="I279" s="5" t="str">
        <f>IFERROR(__xludf.DUMMYFUNCTION("GOOGLETRANSLATE(D279, ""en"", ""hi"")"),"A) खिलाड़ी W")</f>
        <v>A) खिलाड़ी W</v>
      </c>
    </row>
    <row r="280" ht="22.5" customHeight="1">
      <c r="A280" s="2">
        <v>279.0</v>
      </c>
      <c r="B280" s="3" t="s">
        <v>4998</v>
      </c>
      <c r="C280" s="3" t="s">
        <v>4663</v>
      </c>
      <c r="D280" s="3" t="s">
        <v>4800</v>
      </c>
      <c r="F280" s="5" t="str">
        <f>IFERROR(__xludf.DUMMYFUNCTION("GOOGLETRANSLATE(A280, ""en"", ""hi"")"),"279")</f>
        <v>279</v>
      </c>
      <c r="G280" s="5" t="str">
        <f>IFERROR(__xludf.DUMMYFUNCTION("GOOGLETRANSLATE(B280, ""en"", ""hi"")"),"एक पम्बरम प्रतियोगिता के दौरान, खिलाड़ी Y 8 सेकंड के लिए लट्टू घुमाता है और खिलाड़ी Z 8 सेकंड के लिए लट्टू घुमाता है। यदि खिलाड़ी Z का लट्टू अधिक स्थिरता के साथ घूमता है, तो स्थिरता को प्राथमिकता देने पर कौन जीतता है?")</f>
        <v>एक पम्बरम प्रतियोगिता के दौरान, खिलाड़ी Y 8 सेकंड के लिए लट्टू घुमाता है और खिलाड़ी Z 8 सेकंड के लिए लट्टू घुमाता है। यदि खिलाड़ी Z का लट्टू अधिक स्थिरता के साथ घूमता है, तो स्थिरता को प्राथमिकता देने पर कौन जीतता है?</v>
      </c>
      <c r="H280" s="5" t="str">
        <f>IFERROR(__xludf.DUMMYFUNCTION("GOOGLETRANSLATE(C280, ""en"", ""hi"")"),"A) खिलाड़ी Y, B) खिलाड़ी Z, C) यह टाई है, D) उपरोक्त में से कोई नहीं")</f>
        <v>A) खिलाड़ी Y, B) खिलाड़ी Z, C) यह टाई है, D) उपरोक्त में से कोई नहीं</v>
      </c>
      <c r="I280" s="5" t="str">
        <f>IFERROR(__xludf.DUMMYFUNCTION("GOOGLETRANSLATE(D280, ""en"", ""hi"")"),"बी) खिलाड़ी जेड")</f>
        <v>बी) खिलाड़ी जेड</v>
      </c>
    </row>
    <row r="281" ht="22.5" customHeight="1">
      <c r="A281" s="2">
        <v>280.0</v>
      </c>
      <c r="B281" s="3" t="s">
        <v>4999</v>
      </c>
      <c r="C281" s="3" t="s">
        <v>4627</v>
      </c>
      <c r="D281" s="3" t="s">
        <v>4628</v>
      </c>
      <c r="F281" s="5" t="str">
        <f>IFERROR(__xludf.DUMMYFUNCTION("GOOGLETRANSLATE(A281, ""en"", ""hi"")"),"280")</f>
        <v>280</v>
      </c>
      <c r="G281" s="5" t="str">
        <f>IFERROR(__xludf.DUMMYFUNCTION("GOOGLETRANSLATE(B281, ""en"", ""hi"")"),"यदि खिलाड़ी A शीर्ष को 14 सेकंड तक घुमाता है और खिलाड़ी B शीर्ष को अनियमित अंतराल पर 14 सेकंड तक घुमाता है, तो यदि लगातार घुमाव को प्राथमिकता दी जाती है तो कौन जीतता है?")</f>
        <v>यदि खिलाड़ी A शीर्ष को 14 सेकंड तक घुमाता है और खिलाड़ी B शीर्ष को अनियमित अंतराल पर 14 सेकंड तक घुमाता है, तो यदि लगातार घुमाव को प्राथमिकता दी जाती है तो कौन जीतता है?</v>
      </c>
      <c r="H281" s="5" t="str">
        <f>IFERROR(__xludf.DUMMYFUNCTION("GOOGLETRANSLATE(C281, ""en"", ""hi"")"),"A) खिलाड़ी A, B) खिलाड़ी B, C) यह टाई है, D) उपरोक्त में से कोई नहीं")</f>
        <v>A) खिलाड़ी A, B) खिलाड़ी B, C) यह टाई है, D) उपरोक्त में से कोई नहीं</v>
      </c>
      <c r="I281" s="5" t="str">
        <f>IFERROR(__xludf.DUMMYFUNCTION("GOOGLETRANSLATE(D281, ""en"", ""hi"")"),"ए) खिलाड़ी ए")</f>
        <v>ए) खिलाड़ी ए</v>
      </c>
    </row>
    <row r="282" ht="22.5" customHeight="1">
      <c r="A282" s="2">
        <v>281.0</v>
      </c>
      <c r="B282" s="3" t="s">
        <v>5000</v>
      </c>
      <c r="C282" s="3" t="s">
        <v>4630</v>
      </c>
      <c r="D282" s="3" t="s">
        <v>4631</v>
      </c>
      <c r="F282" s="5" t="str">
        <f>IFERROR(__xludf.DUMMYFUNCTION("GOOGLETRANSLATE(A282, ""en"", ""hi"")"),"281")</f>
        <v>281</v>
      </c>
      <c r="G282" s="5" t="str">
        <f>IFERROR(__xludf.DUMMYFUNCTION("GOOGLETRANSLATE(B282, ""en"", ""hi"")"),"खिलाड़ी C 10 सेकंड के लिए ऊपरी भाग को घुमाता है और खिलाड़ी D 10 सेकंड के लिए ऊपरी भाग को बीच-बीच में हिलते-डुलते हुए घुमाता है। अगर स्थिरता को प्राथमिकता दी जाए तो कौन जीतेगा?")</f>
        <v>खिलाड़ी C 10 सेकंड के लिए ऊपरी भाग को घुमाता है और खिलाड़ी D 10 सेकंड के लिए ऊपरी भाग को बीच-बीच में हिलते-डुलते हुए घुमाता है। अगर स्थिरता को प्राथमिकता दी जाए तो कौन जीतेगा?</v>
      </c>
      <c r="H282" s="5" t="str">
        <f>IFERROR(__xludf.DUMMYFUNCTION("GOOGLETRANSLATE(C282, ""en"", ""hi"")"),"A) खिलाड़ी C, B) खिलाड़ी D, C) यह टाई है, D) उपरोक्त में से कोई नहीं")</f>
        <v>A) खिलाड़ी C, B) खिलाड़ी D, C) यह टाई है, D) उपरोक्त में से कोई नहीं</v>
      </c>
      <c r="I282" s="5" t="str">
        <f>IFERROR(__xludf.DUMMYFUNCTION("GOOGLETRANSLATE(D282, ""en"", ""hi"")"),"ए) खिलाड़ी सी")</f>
        <v>ए) खिलाड़ी सी</v>
      </c>
    </row>
    <row r="283" ht="22.5" customHeight="1">
      <c r="A283" s="2">
        <v>282.0</v>
      </c>
      <c r="B283" s="3" t="s">
        <v>5001</v>
      </c>
      <c r="C283" s="3" t="s">
        <v>4781</v>
      </c>
      <c r="D283" s="3" t="s">
        <v>4727</v>
      </c>
      <c r="F283" s="5" t="str">
        <f>IFERROR(__xludf.DUMMYFUNCTION("GOOGLETRANSLATE(A283, ""en"", ""hi"")"),"282")</f>
        <v>282</v>
      </c>
      <c r="G283" s="5" t="str">
        <f>IFERROR(__xludf.DUMMYFUNCTION("GOOGLETRANSLATE(B283, ""en"", ""hi"")"),"पम्बरम मैच के दौरान, खिलाड़ी E, शीर्ष को 11 सेकंड तक और खिलाड़ी F, शीर्ष को 11 सेकंड तक एकसमान गति से घुमाता है। यदि गति की स्थिरता को प्राथमिकता दी जाए तो कौन जीतता है?")</f>
        <v>पम्बरम मैच के दौरान, खिलाड़ी E, शीर्ष को 11 सेकंड तक और खिलाड़ी F, शीर्ष को 11 सेकंड तक एकसमान गति से घुमाता है। यदि गति की स्थिरता को प्राथमिकता दी जाए तो कौन जीतता है?</v>
      </c>
      <c r="H283" s="5" t="str">
        <f>IFERROR(__xludf.DUMMYFUNCTION("GOOGLETRANSLATE(C283, ""en"", ""hi"")"),"A) खिलाड़ी E, B) खिलाड़ी F, C) यह टाई है, D) उपरोक्त में से कोई नहीं")</f>
        <v>A) खिलाड़ी E, B) खिलाड़ी F, C) यह टाई है, D) उपरोक्त में से कोई नहीं</v>
      </c>
      <c r="I283" s="5" t="str">
        <f>IFERROR(__xludf.DUMMYFUNCTION("GOOGLETRANSLATE(D283, ""en"", ""hi"")"),"C) यह एक टाई है")</f>
        <v>C) यह एक टाई है</v>
      </c>
    </row>
    <row r="284" ht="22.5" customHeight="1">
      <c r="A284" s="2">
        <v>283.0</v>
      </c>
      <c r="B284" s="3" t="s">
        <v>5002</v>
      </c>
      <c r="C284" s="3" t="s">
        <v>4783</v>
      </c>
      <c r="D284" s="3" t="s">
        <v>4862</v>
      </c>
      <c r="F284" s="5" t="str">
        <f>IFERROR(__xludf.DUMMYFUNCTION("GOOGLETRANSLATE(A284, ""en"", ""hi"")"),"283")</f>
        <v>283</v>
      </c>
      <c r="G284" s="5" t="str">
        <f>IFERROR(__xludf.DUMMYFUNCTION("GOOGLETRANSLATE(B284, ""en"", ""hi"")"),"यदि खिलाड़ी G 13 सेकंड के लिए शीर्ष को घुमाता है और खिलाड़ी H कभी-कभार आवाज के साथ 13 सेकंड के लिए शीर्ष को घुमाता है, तो यदि मौन को प्राथमिकता दी जाती है तो कौन जीतता है?")</f>
        <v>यदि खिलाड़ी G 13 सेकंड के लिए शीर्ष को घुमाता है और खिलाड़ी H कभी-कभार आवाज के साथ 13 सेकंड के लिए शीर्ष को घुमाता है, तो यदि मौन को प्राथमिकता दी जाती है तो कौन जीतता है?</v>
      </c>
      <c r="H284" s="5" t="str">
        <f>IFERROR(__xludf.DUMMYFUNCTION("GOOGLETRANSLATE(C284, ""en"", ""hi"")"),"A) खिलाड़ी G, B) खिलाड़ी H, C) यह टाई है, D) उपरोक्त में से कोई नहीं")</f>
        <v>A) खिलाड़ी G, B) खिलाड़ी H, C) यह टाई है, D) उपरोक्त में से कोई नहीं</v>
      </c>
      <c r="I284" s="5" t="str">
        <f>IFERROR(__xludf.DUMMYFUNCTION("GOOGLETRANSLATE(D284, ""en"", ""hi"")"),"D) उपरोक्त में से कोई नहीं")</f>
        <v>D) उपरोक्त में से कोई नहीं</v>
      </c>
    </row>
    <row r="285" ht="22.5" customHeight="1">
      <c r="A285" s="2">
        <v>284.0</v>
      </c>
      <c r="B285" s="3" t="s">
        <v>5003</v>
      </c>
      <c r="C285" s="3" t="s">
        <v>4639</v>
      </c>
      <c r="D285" s="3" t="s">
        <v>4640</v>
      </c>
      <c r="F285" s="5" t="str">
        <f>IFERROR(__xludf.DUMMYFUNCTION("GOOGLETRANSLATE(A285, ""en"", ""hi"")"),"284")</f>
        <v>284</v>
      </c>
      <c r="G285" s="5" t="str">
        <f>IFERROR(__xludf.DUMMYFUNCTION("GOOGLETRANSLATE(B285, ""en"", ""hi"")"),"खिलाड़ी I ऊपरी हिस्से को 7 सेकंड तक घुमाता है और खिलाड़ी J ऊपरी हिस्से को कभी-कभार हिलते हुए 7 सेकंड तक घुमाता है। अगर न्यूनतम हिलना-डुलना पसंद किया जाता है, तो कौन जीतता है?")</f>
        <v>खिलाड़ी I ऊपरी हिस्से को 7 सेकंड तक घुमाता है और खिलाड़ी J ऊपरी हिस्से को कभी-कभार हिलते हुए 7 सेकंड तक घुमाता है। अगर न्यूनतम हिलना-डुलना पसंद किया जाता है, तो कौन जीतता है?</v>
      </c>
      <c r="H285" s="5" t="str">
        <f>IFERROR(__xludf.DUMMYFUNCTION("GOOGLETRANSLATE(C285, ""en"", ""hi"")"),"A) खिलाड़ी I, B) खिलाड़ी J, C) यह टाई है, D) उपरोक्त में से कोई नहीं")</f>
        <v>A) खिलाड़ी I, B) खिलाड़ी J, C) यह टाई है, D) उपरोक्त में से कोई नहीं</v>
      </c>
      <c r="I285" s="5" t="str">
        <f>IFERROR(__xludf.DUMMYFUNCTION("GOOGLETRANSLATE(D285, ""en"", ""hi"")"),"ए) खिलाड़ी I")</f>
        <v>ए) खिलाड़ी I</v>
      </c>
    </row>
    <row r="286" ht="22.5" customHeight="1">
      <c r="A286" s="2">
        <v>285.0</v>
      </c>
      <c r="B286" s="3" t="s">
        <v>5004</v>
      </c>
      <c r="C286" s="3" t="s">
        <v>4642</v>
      </c>
      <c r="D286" s="3" t="s">
        <v>4788</v>
      </c>
      <c r="F286" s="5" t="str">
        <f>IFERROR(__xludf.DUMMYFUNCTION("GOOGLETRANSLATE(A286, ""en"", ""hi"")"),"285")</f>
        <v>285</v>
      </c>
      <c r="G286" s="5" t="str">
        <f>IFERROR(__xludf.DUMMYFUNCTION("GOOGLETRANSLATE(B286, ""en"", ""hi"")"),"पम्बरम प्रतियोगिता के दौरान, खिलाड़ी K, गेंद के ऊपरी हिस्से को 12 सेकंड तक घुमाता है और खिलाड़ी L, गेंद के ऊपरी हिस्से को 12 सेकंड तक घुमाता है। यदि खिलाड़ी K का ऊपरी हिस्सा आसानी से घूमता है और खिलाड़ी L का ऊपरी हिस्सा कभी-कभी डगमगाता है, तो अगर आसानी से"&amp;" घूमना पसंद किया जाता है, तो कौन जीतता है?")</f>
        <v>पम्बरम प्रतियोगिता के दौरान, खिलाड़ी K, गेंद के ऊपरी हिस्से को 12 सेकंड तक घुमाता है और खिलाड़ी L, गेंद के ऊपरी हिस्से को 12 सेकंड तक घुमाता है। यदि खिलाड़ी K का ऊपरी हिस्सा आसानी से घूमता है और खिलाड़ी L का ऊपरी हिस्सा कभी-कभी डगमगाता है, तो अगर आसानी से घूमना पसंद किया जाता है, तो कौन जीतता है?</v>
      </c>
      <c r="H286" s="5" t="str">
        <f>IFERROR(__xludf.DUMMYFUNCTION("GOOGLETRANSLATE(C286, ""en"", ""hi"")"),"A) खिलाड़ी K, B) खिलाड़ी L, C) यह टाई है, D) उपरोक्त में से कोई नहीं")</f>
        <v>A) खिलाड़ी K, B) खिलाड़ी L, C) यह टाई है, D) उपरोक्त में से कोई नहीं</v>
      </c>
      <c r="I286" s="5" t="str">
        <f>IFERROR(__xludf.DUMMYFUNCTION("GOOGLETRANSLATE(D286, ""en"", ""hi"")"),"A) खिलाड़ी K")</f>
        <v>A) खिलाड़ी K</v>
      </c>
    </row>
    <row r="287" ht="22.5" customHeight="1">
      <c r="A287" s="2">
        <v>286.0</v>
      </c>
      <c r="B287" s="3" t="s">
        <v>5005</v>
      </c>
      <c r="C287" s="3" t="s">
        <v>4790</v>
      </c>
      <c r="D287" s="3" t="s">
        <v>4791</v>
      </c>
      <c r="F287" s="5" t="str">
        <f>IFERROR(__xludf.DUMMYFUNCTION("GOOGLETRANSLATE(A287, ""en"", ""hi"")"),"286")</f>
        <v>286</v>
      </c>
      <c r="G287" s="5" t="str">
        <f>IFERROR(__xludf.DUMMYFUNCTION("GOOGLETRANSLATE(B287, ""en"", ""hi"")"),"यदि खिलाड़ी एम 14 सेकंड के लिए शीर्ष को घुमाता है और खिलाड़ी एन कभी-कभी हिलते हुए 14 सेकंड के लिए शीर्ष को घुमाता है, तो स्थिरता को प्राथमिकता देने पर कौन जीतता है?")</f>
        <v>यदि खिलाड़ी एम 14 सेकंड के लिए शीर्ष को घुमाता है और खिलाड़ी एन कभी-कभी हिलते हुए 14 सेकंड के लिए शीर्ष को घुमाता है, तो स्थिरता को प्राथमिकता देने पर कौन जीतता है?</v>
      </c>
      <c r="H287" s="5" t="str">
        <f>IFERROR(__xludf.DUMMYFUNCTION("GOOGLETRANSLATE(C287, ""en"", ""hi"")"),"A) खिलाड़ी M, B) खिलाड़ी N, C) यह टाई है, D) उपरोक्त में से कोई नहीं")</f>
        <v>A) खिलाड़ी M, B) खिलाड़ी N, C) यह टाई है, D) उपरोक्त में से कोई नहीं</v>
      </c>
      <c r="I287" s="5" t="str">
        <f>IFERROR(__xludf.DUMMYFUNCTION("GOOGLETRANSLATE(D287, ""en"", ""hi"")"),"ए) खिलाड़ी एम")</f>
        <v>ए) खिलाड़ी एम</v>
      </c>
    </row>
    <row r="288" ht="22.5" customHeight="1">
      <c r="A288" s="2">
        <v>287.0</v>
      </c>
      <c r="B288" s="3" t="s">
        <v>5006</v>
      </c>
      <c r="C288" s="3" t="s">
        <v>4648</v>
      </c>
      <c r="D288" s="3" t="s">
        <v>4862</v>
      </c>
      <c r="F288" s="5" t="str">
        <f>IFERROR(__xludf.DUMMYFUNCTION("GOOGLETRANSLATE(A288, ""en"", ""hi"")"),"287")</f>
        <v>287</v>
      </c>
      <c r="G288" s="5" t="str">
        <f>IFERROR(__xludf.DUMMYFUNCTION("GOOGLETRANSLATE(B288, ""en"", ""hi"")"),"खिलाड़ी O, 9 सेकंड के लिए ऊपरी हिस्से को घुमाता है और खिलाड़ी P, बीच-बीच में आवाज़ें निकालते हुए, 9 सेकंड के लिए ऊपरी हिस्से को घुमाता है। अगर मौन को प्राथमिकता दी जाए तो कौन जीतता है?")</f>
        <v>खिलाड़ी O, 9 सेकंड के लिए ऊपरी हिस्से को घुमाता है और खिलाड़ी P, बीच-बीच में आवाज़ें निकालते हुए, 9 सेकंड के लिए ऊपरी हिस्से को घुमाता है। अगर मौन को प्राथमिकता दी जाए तो कौन जीतता है?</v>
      </c>
      <c r="H288" s="5" t="str">
        <f>IFERROR(__xludf.DUMMYFUNCTION("GOOGLETRANSLATE(C288, ""en"", ""hi"")"),"A) खिलाड़ी O, B) खिलाड़ी P, C) यह टाई है, D) उपरोक्त में से कोई नहीं")</f>
        <v>A) खिलाड़ी O, B) खिलाड़ी P, C) यह टाई है, D) उपरोक्त में से कोई नहीं</v>
      </c>
      <c r="I288" s="5" t="str">
        <f>IFERROR(__xludf.DUMMYFUNCTION("GOOGLETRANSLATE(D288, ""en"", ""hi"")"),"D) उपरोक्त में से कोई नहीं")</f>
        <v>D) उपरोक्त में से कोई नहीं</v>
      </c>
    </row>
    <row r="289" ht="22.5" customHeight="1">
      <c r="A289" s="2">
        <v>288.0</v>
      </c>
      <c r="B289" s="3" t="s">
        <v>5007</v>
      </c>
      <c r="C289" s="3" t="s">
        <v>4651</v>
      </c>
      <c r="D289" s="3" t="s">
        <v>4652</v>
      </c>
      <c r="F289" s="5" t="str">
        <f>IFERROR(__xludf.DUMMYFUNCTION("GOOGLETRANSLATE(A289, ""en"", ""hi"")"),"288")</f>
        <v>288</v>
      </c>
      <c r="G289" s="5" t="str">
        <f>IFERROR(__xludf.DUMMYFUNCTION("GOOGLETRANSLATE(B289, ""en"", ""hi"")"),"पम्बरम मैच के दौरान, खिलाड़ी Q, कम कंपन के साथ, 15 सेकंड के लिए ऊपरी भाग को घुमाता है और खिलाड़ी R, 15 सेकंड के लिए ऊपरी भाग को घुमाता है। अगर कम कंपन को प्राथमिकता दी जाए तो कौन जीतता है?")</f>
        <v>पम्बरम मैच के दौरान, खिलाड़ी Q, कम कंपन के साथ, 15 सेकंड के लिए ऊपरी भाग को घुमाता है और खिलाड़ी R, 15 सेकंड के लिए ऊपरी भाग को घुमाता है। अगर कम कंपन को प्राथमिकता दी जाए तो कौन जीतता है?</v>
      </c>
      <c r="H289" s="5" t="str">
        <f>IFERROR(__xludf.DUMMYFUNCTION("GOOGLETRANSLATE(C289, ""en"", ""hi"")"),"A) खिलाड़ी Q, B) खिलाड़ी R, C) यह टाई है, D) उपरोक्त में से कोई नहीं")</f>
        <v>A) खिलाड़ी Q, B) खिलाड़ी R, C) यह टाई है, D) उपरोक्त में से कोई नहीं</v>
      </c>
      <c r="I289" s="5" t="str">
        <f>IFERROR(__xludf.DUMMYFUNCTION("GOOGLETRANSLATE(D289, ""en"", ""hi"")"),"ए) खिलाड़ी क्यू")</f>
        <v>ए) खिलाड़ी क्यू</v>
      </c>
    </row>
    <row r="290" ht="22.5" customHeight="1">
      <c r="A290" s="2">
        <v>289.0</v>
      </c>
      <c r="B290" s="3" t="s">
        <v>5008</v>
      </c>
      <c r="C290" s="3" t="s">
        <v>4654</v>
      </c>
      <c r="D290" s="3" t="s">
        <v>4727</v>
      </c>
      <c r="F290" s="5" t="str">
        <f>IFERROR(__xludf.DUMMYFUNCTION("GOOGLETRANSLATE(A290, ""en"", ""hi"")"),"289")</f>
        <v>289</v>
      </c>
      <c r="G290" s="5" t="str">
        <f>IFERROR(__xludf.DUMMYFUNCTION("GOOGLETRANSLATE(B290, ""en"", ""hi"")"),"यदि खिलाड़ी S शीर्ष को 8 सेकंड तक घुमाता है और खिलाड़ी T शीर्ष को 8 सेकंड तक एकसमान गति से घुमाता है, तो यदि गति की स्थिरता को प्राथमिकता दी जाती है तो कौन जीतता है?")</f>
        <v>यदि खिलाड़ी S शीर्ष को 8 सेकंड तक घुमाता है और खिलाड़ी T शीर्ष को 8 सेकंड तक एकसमान गति से घुमाता है, तो यदि गति की स्थिरता को प्राथमिकता दी जाती है तो कौन जीतता है?</v>
      </c>
      <c r="H290" s="5" t="str">
        <f>IFERROR(__xludf.DUMMYFUNCTION("GOOGLETRANSLATE(C290, ""en"", ""hi"")"),"A) खिलाड़ी S, B) खिलाड़ी T, C) यह टाई है, D) उपरोक्त में से कोई नहीं")</f>
        <v>A) खिलाड़ी S, B) खिलाड़ी T, C) यह टाई है, D) उपरोक्त में से कोई नहीं</v>
      </c>
      <c r="I290" s="5" t="str">
        <f>IFERROR(__xludf.DUMMYFUNCTION("GOOGLETRANSLATE(D290, ""en"", ""hi"")"),"C) यह एक टाई है")</f>
        <v>C) यह एक टाई है</v>
      </c>
    </row>
    <row r="291" ht="22.5" customHeight="1">
      <c r="A291" s="2">
        <v>290.0</v>
      </c>
      <c r="B291" s="3" t="s">
        <v>5009</v>
      </c>
      <c r="C291" s="3" t="s">
        <v>4657</v>
      </c>
      <c r="D291" s="3" t="s">
        <v>4658</v>
      </c>
      <c r="F291" s="5" t="str">
        <f>IFERROR(__xludf.DUMMYFUNCTION("GOOGLETRANSLATE(A291, ""en"", ""hi"")"),"290")</f>
        <v>290</v>
      </c>
      <c r="G291" s="5" t="str">
        <f>IFERROR(__xludf.DUMMYFUNCTION("GOOGLETRANSLATE(B291, ""en"", ""hi"")"),"खिलाड़ी U, ऊपरी हिस्से को 11 सेकंड तक घुमाता है और खिलाड़ी V, ऊपरी हिस्से को बीच-बीच में हिलते हुए 11 सेकंड तक घुमाता है। अगर कम से कम हिलना-डुलना पसंद किया जाए तो कौन जीतता है?")</f>
        <v>खिलाड़ी U, ऊपरी हिस्से को 11 सेकंड तक घुमाता है और खिलाड़ी V, ऊपरी हिस्से को बीच-बीच में हिलते हुए 11 सेकंड तक घुमाता है। अगर कम से कम हिलना-डुलना पसंद किया जाए तो कौन जीतता है?</v>
      </c>
      <c r="H291" s="5" t="str">
        <f>IFERROR(__xludf.DUMMYFUNCTION("GOOGLETRANSLATE(C291, ""en"", ""hi"")"),"A) खिलाड़ी U, B) खिलाड़ी V, C) यह एक टाई है, D) उपरोक्त में से कोई नहीं")</f>
        <v>A) खिलाड़ी U, B) खिलाड़ी V, C) यह एक टाई है, D) उपरोक्त में से कोई नहीं</v>
      </c>
      <c r="I291" s="5" t="str">
        <f>IFERROR(__xludf.DUMMYFUNCTION("GOOGLETRANSLATE(D291, ""en"", ""hi"")"),"ए) खिलाड़ी यू")</f>
        <v>ए) खिलाड़ी यू</v>
      </c>
    </row>
    <row r="292" ht="22.5" customHeight="1">
      <c r="A292" s="2">
        <v>291.0</v>
      </c>
      <c r="B292" s="3" t="s">
        <v>5010</v>
      </c>
      <c r="C292" s="3" t="s">
        <v>4660</v>
      </c>
      <c r="D292" s="3" t="s">
        <v>4862</v>
      </c>
      <c r="F292" s="5" t="str">
        <f>IFERROR(__xludf.DUMMYFUNCTION("GOOGLETRANSLATE(A292, ""en"", ""hi"")"),"291")</f>
        <v>291</v>
      </c>
      <c r="G292" s="5" t="str">
        <f>IFERROR(__xludf.DUMMYFUNCTION("GOOGLETRANSLATE(B292, ""en"", ""hi"")"),"पम्बरम प्रतियोगिता के दौरान, खिलाड़ी W 7 सेकंड के लिए लट्टू घुमाता है और खिलाड़ी X बीच-बीच में आवाज़ करते हुए 7 सेकंड के लिए लट्टू घुमाता है। अगर मौन को प्राथमिकता दी जाए तो कौन जीतता है?")</f>
        <v>पम्बरम प्रतियोगिता के दौरान, खिलाड़ी W 7 सेकंड के लिए लट्टू घुमाता है और खिलाड़ी X बीच-बीच में आवाज़ करते हुए 7 सेकंड के लिए लट्टू घुमाता है। अगर मौन को प्राथमिकता दी जाए तो कौन जीतता है?</v>
      </c>
      <c r="H292" s="5" t="str">
        <f>IFERROR(__xludf.DUMMYFUNCTION("GOOGLETRANSLATE(C292, ""en"", ""hi"")"),"A) खिलाड़ी W, B) खिलाड़ी X, C) यह टाई है, D) उपरोक्त में से कोई नहीं")</f>
        <v>A) खिलाड़ी W, B) खिलाड़ी X, C) यह टाई है, D) उपरोक्त में से कोई नहीं</v>
      </c>
      <c r="I292" s="5" t="str">
        <f>IFERROR(__xludf.DUMMYFUNCTION("GOOGLETRANSLATE(D292, ""en"", ""hi"")"),"D) उपरोक्त में से कोई नहीं")</f>
        <v>D) उपरोक्त में से कोई नहीं</v>
      </c>
    </row>
    <row r="293" ht="22.5" customHeight="1">
      <c r="A293" s="2">
        <v>292.0</v>
      </c>
      <c r="B293" s="3" t="s">
        <v>5011</v>
      </c>
      <c r="C293" s="3" t="s">
        <v>4663</v>
      </c>
      <c r="D293" s="3" t="s">
        <v>4664</v>
      </c>
      <c r="F293" s="5" t="str">
        <f>IFERROR(__xludf.DUMMYFUNCTION("GOOGLETRANSLATE(A293, ""en"", ""hi"")"),"292")</f>
        <v>292</v>
      </c>
      <c r="G293" s="5" t="str">
        <f>IFERROR(__xludf.DUMMYFUNCTION("GOOGLETRANSLATE(B293, ""en"", ""hi"")"),"यदि खिलाड़ी Y 12 सेकंड के लिए शीर्ष को घुमाता है और खिलाड़ी Z अनियमित अंतराल के साथ 12 सेकंड के लिए शीर्ष को घुमाता है, तो यदि लगातार घूमना पसंद किया जाता है तो कौन जीतता है?")</f>
        <v>यदि खिलाड़ी Y 12 सेकंड के लिए शीर्ष को घुमाता है और खिलाड़ी Z अनियमित अंतराल के साथ 12 सेकंड के लिए शीर्ष को घुमाता है, तो यदि लगातार घूमना पसंद किया जाता है तो कौन जीतता है?</v>
      </c>
      <c r="H293" s="5" t="str">
        <f>IFERROR(__xludf.DUMMYFUNCTION("GOOGLETRANSLATE(C293, ""en"", ""hi"")"),"A) खिलाड़ी Y, B) खिलाड़ी Z, C) यह टाई है, D) उपरोक्त में से कोई नहीं")</f>
        <v>A) खिलाड़ी Y, B) खिलाड़ी Z, C) यह टाई है, D) उपरोक्त में से कोई नहीं</v>
      </c>
      <c r="I293" s="5" t="str">
        <f>IFERROR(__xludf.DUMMYFUNCTION("GOOGLETRANSLATE(D293, ""en"", ""hi"")"),"A) खिलाड़ी Y")</f>
        <v>A) खिलाड़ी Y</v>
      </c>
    </row>
    <row r="294" ht="22.5" customHeight="1">
      <c r="A294" s="2">
        <v>293.0</v>
      </c>
      <c r="B294" s="3" t="s">
        <v>4986</v>
      </c>
      <c r="C294" s="3" t="s">
        <v>4627</v>
      </c>
      <c r="D294" s="3" t="s">
        <v>4628</v>
      </c>
      <c r="F294" s="5" t="str">
        <f>IFERROR(__xludf.DUMMYFUNCTION("GOOGLETRANSLATE(A294, ""en"", ""hi"")"),"293")</f>
        <v>293</v>
      </c>
      <c r="G294" s="5" t="str">
        <f>IFERROR(__xludf.DUMMYFUNCTION("GOOGLETRANSLATE(B294, ""en"", ""hi"")"),"खिलाड़ी A 10 सेकंड के लिए ऊपरी भाग को घुमाता है और खिलाड़ी B 10 सेकंड के लिए ऊपरी भाग को बीच-बीच में हिलते-डुलते हुए घुमाता है। अगर स्थिरता को प्राथमिकता दी जाए तो कौन जीतता है?")</f>
        <v>खिलाड़ी A 10 सेकंड के लिए ऊपरी भाग को घुमाता है और खिलाड़ी B 10 सेकंड के लिए ऊपरी भाग को बीच-बीच में हिलते-डुलते हुए घुमाता है। अगर स्थिरता को प्राथमिकता दी जाए तो कौन जीतता है?</v>
      </c>
      <c r="H294" s="5" t="str">
        <f>IFERROR(__xludf.DUMMYFUNCTION("GOOGLETRANSLATE(C294, ""en"", ""hi"")"),"A) खिलाड़ी A, B) खिलाड़ी B, C) यह टाई है, D) उपरोक्त में से कोई नहीं")</f>
        <v>A) खिलाड़ी A, B) खिलाड़ी B, C) यह टाई है, D) उपरोक्त में से कोई नहीं</v>
      </c>
      <c r="I294" s="5" t="str">
        <f>IFERROR(__xludf.DUMMYFUNCTION("GOOGLETRANSLATE(D294, ""en"", ""hi"")"),"ए) खिलाड़ी ए")</f>
        <v>ए) खिलाड़ी ए</v>
      </c>
    </row>
    <row r="295" ht="22.5" customHeight="1">
      <c r="A295" s="2">
        <v>294.0</v>
      </c>
      <c r="B295" s="3" t="s">
        <v>5012</v>
      </c>
      <c r="C295" s="3" t="s">
        <v>4630</v>
      </c>
      <c r="D295" s="3" t="s">
        <v>4862</v>
      </c>
      <c r="F295" s="5" t="str">
        <f>IFERROR(__xludf.DUMMYFUNCTION("GOOGLETRANSLATE(A295, ""en"", ""hi"")"),"294")</f>
        <v>294</v>
      </c>
      <c r="G295" s="5" t="str">
        <f>IFERROR(__xludf.DUMMYFUNCTION("GOOGLETRANSLATE(B295, ""en"", ""hi"")"),"पम्बरम मैच के दौरान, खिलाड़ी C 13 सेकंड के लिए और खिलाड़ी D 13 सेकंड के लिए बीच-बीच में आवाज़ के साथ टोप घुमाता है। अगर मौन को प्राथमिकता दी जाए तो कौन जीतता है?")</f>
        <v>पम्बरम मैच के दौरान, खिलाड़ी C 13 सेकंड के लिए और खिलाड़ी D 13 सेकंड के लिए बीच-बीच में आवाज़ के साथ टोप घुमाता है। अगर मौन को प्राथमिकता दी जाए तो कौन जीतता है?</v>
      </c>
      <c r="H295" s="5" t="str">
        <f>IFERROR(__xludf.DUMMYFUNCTION("GOOGLETRANSLATE(C295, ""en"", ""hi"")"),"A) खिलाड़ी C, B) खिलाड़ी D, C) यह टाई है, D) उपरोक्त में से कोई नहीं")</f>
        <v>A) खिलाड़ी C, B) खिलाड़ी D, C) यह टाई है, D) उपरोक्त में से कोई नहीं</v>
      </c>
      <c r="I295" s="5" t="str">
        <f>IFERROR(__xludf.DUMMYFUNCTION("GOOGLETRANSLATE(D295, ""en"", ""hi"")"),"D) उपरोक्त में से कोई नहीं")</f>
        <v>D) उपरोक्त में से कोई नहीं</v>
      </c>
    </row>
    <row r="296" ht="22.5" customHeight="1">
      <c r="A296" s="2">
        <v>295.0</v>
      </c>
      <c r="B296" s="3" t="s">
        <v>5013</v>
      </c>
      <c r="C296" s="3" t="s">
        <v>4781</v>
      </c>
      <c r="D296" s="3" t="s">
        <v>4805</v>
      </c>
      <c r="F296" s="5" t="str">
        <f>IFERROR(__xludf.DUMMYFUNCTION("GOOGLETRANSLATE(A296, ""en"", ""hi"")"),"295")</f>
        <v>295</v>
      </c>
      <c r="G296" s="5" t="str">
        <f>IFERROR(__xludf.DUMMYFUNCTION("GOOGLETRANSLATE(B296, ""en"", ""hi"")"),"यदि खिलाड़ी E शीर्ष को 14 सेकंड तक घुमाता है और खिलाड़ी F शीर्ष को कभी-कभी हिलते हुए 14 सेकंड तक घुमाता है, तो स्थिरता को प्राथमिकता देने पर कौन जीतता है?")</f>
        <v>यदि खिलाड़ी E शीर्ष को 14 सेकंड तक घुमाता है और खिलाड़ी F शीर्ष को कभी-कभी हिलते हुए 14 सेकंड तक घुमाता है, तो स्थिरता को प्राथमिकता देने पर कौन जीतता है?</v>
      </c>
      <c r="H296" s="5" t="str">
        <f>IFERROR(__xludf.DUMMYFUNCTION("GOOGLETRANSLATE(C296, ""en"", ""hi"")"),"A) खिलाड़ी E, B) खिलाड़ी F, C) यह टाई है, D) उपरोक्त में से कोई नहीं")</f>
        <v>A) खिलाड़ी E, B) खिलाड़ी F, C) यह टाई है, D) उपरोक्त में से कोई नहीं</v>
      </c>
      <c r="I296" s="5" t="str">
        <f>IFERROR(__xludf.DUMMYFUNCTION("GOOGLETRANSLATE(D296, ""en"", ""hi"")"),"ए) खिलाड़ी ई")</f>
        <v>ए) खिलाड़ी ई</v>
      </c>
    </row>
    <row r="297" ht="22.5" customHeight="1">
      <c r="A297" s="2">
        <v>296.0</v>
      </c>
      <c r="B297" s="3" t="s">
        <v>5014</v>
      </c>
      <c r="C297" s="3" t="s">
        <v>4783</v>
      </c>
      <c r="D297" s="3" t="s">
        <v>4862</v>
      </c>
      <c r="F297" s="5" t="str">
        <f>IFERROR(__xludf.DUMMYFUNCTION("GOOGLETRANSLATE(A297, ""en"", ""hi"")"),"296")</f>
        <v>296</v>
      </c>
      <c r="G297" s="5" t="str">
        <f>IFERROR(__xludf.DUMMYFUNCTION("GOOGLETRANSLATE(B297, ""en"", ""hi"")"),"खिलाड़ी G 9 सेकंड के लिए ऊपरी हिस्से को घुमाता है और खिलाड़ी H बीच-बीच में आवाज़ें निकालते हुए 9 सेकंड के लिए ऊपरी हिस्से को घुमाता है। अगर मौन को प्राथमिकता दी जाए तो कौन जीतता है?")</f>
        <v>खिलाड़ी G 9 सेकंड के लिए ऊपरी हिस्से को घुमाता है और खिलाड़ी H बीच-बीच में आवाज़ें निकालते हुए 9 सेकंड के लिए ऊपरी हिस्से को घुमाता है। अगर मौन को प्राथमिकता दी जाए तो कौन जीतता है?</v>
      </c>
      <c r="H297" s="5" t="str">
        <f>IFERROR(__xludf.DUMMYFUNCTION("GOOGLETRANSLATE(C297, ""en"", ""hi"")"),"A) खिलाड़ी G, B) खिलाड़ी H, C) यह टाई है, D) उपरोक्त में से कोई नहीं")</f>
        <v>A) खिलाड़ी G, B) खिलाड़ी H, C) यह टाई है, D) उपरोक्त में से कोई नहीं</v>
      </c>
      <c r="I297" s="5" t="str">
        <f>IFERROR(__xludf.DUMMYFUNCTION("GOOGLETRANSLATE(D297, ""en"", ""hi"")"),"D) उपरोक्त में से कोई नहीं")</f>
        <v>D) उपरोक्त में से कोई नहीं</v>
      </c>
    </row>
    <row r="298" ht="22.5" customHeight="1">
      <c r="A298" s="2">
        <v>297.0</v>
      </c>
      <c r="B298" s="3" t="s">
        <v>5015</v>
      </c>
      <c r="C298" s="3" t="s">
        <v>4639</v>
      </c>
      <c r="D298" s="3" t="s">
        <v>4727</v>
      </c>
      <c r="F298" s="5" t="str">
        <f>IFERROR(__xludf.DUMMYFUNCTION("GOOGLETRANSLATE(A298, ""en"", ""hi"")"),"297")</f>
        <v>297</v>
      </c>
      <c r="G298" s="5" t="str">
        <f>IFERROR(__xludf.DUMMYFUNCTION("GOOGLETRANSLATE(B298, ""en"", ""hi"")"),"पम्बरम प्रतियोगिता के दौरान, खिलाड़ी I और खिलाड़ी J, एकसमान गति से 7 सेकंड तक लट्टू घुमाते हैं। यदि गति की स्थिरता को प्राथमिकता दी जाती है, तो कौन जीतता है?")</f>
        <v>पम्बरम प्रतियोगिता के दौरान, खिलाड़ी I और खिलाड़ी J, एकसमान गति से 7 सेकंड तक लट्टू घुमाते हैं। यदि गति की स्थिरता को प्राथमिकता दी जाती है, तो कौन जीतता है?</v>
      </c>
      <c r="H298" s="5" t="str">
        <f>IFERROR(__xludf.DUMMYFUNCTION("GOOGLETRANSLATE(C298, ""en"", ""hi"")"),"A) खिलाड़ी I, B) खिलाड़ी J, C) यह टाई है, D) उपरोक्त में से कोई नहीं")</f>
        <v>A) खिलाड़ी I, B) खिलाड़ी J, C) यह टाई है, D) उपरोक्त में से कोई नहीं</v>
      </c>
      <c r="I298" s="5" t="str">
        <f>IFERROR(__xludf.DUMMYFUNCTION("GOOGLETRANSLATE(D298, ""en"", ""hi"")"),"C) यह एक टाई है")</f>
        <v>C) यह एक टाई है</v>
      </c>
    </row>
    <row r="299" ht="22.5" customHeight="1">
      <c r="A299" s="2">
        <v>298.0</v>
      </c>
      <c r="B299" s="3" t="s">
        <v>5016</v>
      </c>
      <c r="C299" s="3" t="s">
        <v>4642</v>
      </c>
      <c r="D299" s="3" t="s">
        <v>4788</v>
      </c>
      <c r="F299" s="5" t="str">
        <f>IFERROR(__xludf.DUMMYFUNCTION("GOOGLETRANSLATE(A299, ""en"", ""hi"")"),"298")</f>
        <v>298</v>
      </c>
      <c r="G299" s="5" t="str">
        <f>IFERROR(__xludf.DUMMYFUNCTION("GOOGLETRANSLATE(B299, ""en"", ""hi"")"),"यदि खिलाड़ी K शीर्ष को 10 सेकंड तक घुमाता है और खिलाड़ी L शीर्ष को कभी-कभार हिलते हुए 10 सेकंड तक घुमाता है, तो यदि न्यूनतम हिलना पसंद किया जाता है तो कौन जीतता है?")</f>
        <v>यदि खिलाड़ी K शीर्ष को 10 सेकंड तक घुमाता है और खिलाड़ी L शीर्ष को कभी-कभार हिलते हुए 10 सेकंड तक घुमाता है, तो यदि न्यूनतम हिलना पसंद किया जाता है तो कौन जीतता है?</v>
      </c>
      <c r="H299" s="5" t="str">
        <f>IFERROR(__xludf.DUMMYFUNCTION("GOOGLETRANSLATE(C299, ""en"", ""hi"")"),"A) खिलाड़ी K, B) खिलाड़ी L, C) यह टाई है, D) उपरोक्त में से कोई नहीं")</f>
        <v>A) खिलाड़ी K, B) खिलाड़ी L, C) यह टाई है, D) उपरोक्त में से कोई नहीं</v>
      </c>
      <c r="I299" s="5" t="str">
        <f>IFERROR(__xludf.DUMMYFUNCTION("GOOGLETRANSLATE(D299, ""en"", ""hi"")"),"A) खिलाड़ी K")</f>
        <v>A) खिलाड़ी K</v>
      </c>
    </row>
    <row r="300" ht="22.5" customHeight="1">
      <c r="A300" s="2">
        <v>299.0</v>
      </c>
      <c r="B300" s="3" t="s">
        <v>5017</v>
      </c>
      <c r="C300" s="3" t="s">
        <v>4790</v>
      </c>
      <c r="D300" s="3" t="s">
        <v>4862</v>
      </c>
      <c r="F300" s="5" t="str">
        <f>IFERROR(__xludf.DUMMYFUNCTION("GOOGLETRANSLATE(A300, ""en"", ""hi"")"),"299")</f>
        <v>299</v>
      </c>
      <c r="G300" s="5" t="str">
        <f>IFERROR(__xludf.DUMMYFUNCTION("GOOGLETRANSLATE(B300, ""en"", ""hi"")"),"खिलाड़ी M 12 सेकंड के लिए ऊपरी हिस्से को घुमाता है और खिलाड़ी N बीच-बीच में आवाज़ें निकालते हुए 12 सेकंड के लिए ऊपरी हिस्से को घुमाता है। अगर मौन को प्राथमिकता दी जाए तो कौन जीतता है?")</f>
        <v>खिलाड़ी M 12 सेकंड के लिए ऊपरी हिस्से को घुमाता है और खिलाड़ी N बीच-बीच में आवाज़ें निकालते हुए 12 सेकंड के लिए ऊपरी हिस्से को घुमाता है। अगर मौन को प्राथमिकता दी जाए तो कौन जीतता है?</v>
      </c>
      <c r="H300" s="5" t="str">
        <f>IFERROR(__xludf.DUMMYFUNCTION("GOOGLETRANSLATE(C300, ""en"", ""hi"")"),"A) खिलाड़ी M, B) खिलाड़ी N, C) यह टाई है, D) उपरोक्त में से कोई नहीं")</f>
        <v>A) खिलाड़ी M, B) खिलाड़ी N, C) यह टाई है, D) उपरोक्त में से कोई नहीं</v>
      </c>
      <c r="I300" s="5" t="str">
        <f>IFERROR(__xludf.DUMMYFUNCTION("GOOGLETRANSLATE(D300, ""en"", ""hi"")"),"D) उपरोक्त में से कोई नहीं")</f>
        <v>D) उपरोक्त में से कोई नहीं</v>
      </c>
    </row>
    <row r="301" ht="22.5" customHeight="1">
      <c r="A301" s="2">
        <v>300.0</v>
      </c>
      <c r="B301" s="3" t="s">
        <v>5018</v>
      </c>
      <c r="C301" s="3" t="s">
        <v>4648</v>
      </c>
      <c r="D301" s="3" t="s">
        <v>4649</v>
      </c>
      <c r="F301" s="5" t="str">
        <f>IFERROR(__xludf.DUMMYFUNCTION("GOOGLETRANSLATE(A301, ""en"", ""hi"")"),"300")</f>
        <v>300</v>
      </c>
      <c r="G301" s="5" t="str">
        <f>IFERROR(__xludf.DUMMYFUNCTION("GOOGLETRANSLATE(B301, ""en"", ""hi"")"),"पम्बरम मैच के दौरान, खिलाड़ी O गेंद के ऊपरी हिस्से को 15 सेकंड तक घुमाता है और खिलाड़ी P गेंद के ऊपरी हिस्से को 15 सेकंड तक घुमाता है। अगर खिलाड़ी P की गेंद का ऊपरी हिस्सा झुका हुआ और खिलाड़ी O की गेंद का ऊपरी हिस्सा सीधा गिरता है, तो अगर सीधा गिरना पसंद "&amp;"किया जाता है, तो कौन जीतता है?")</f>
        <v>पम्बरम मैच के दौरान, खिलाड़ी O गेंद के ऊपरी हिस्से को 15 सेकंड तक घुमाता है और खिलाड़ी P गेंद के ऊपरी हिस्से को 15 सेकंड तक घुमाता है। अगर खिलाड़ी P की गेंद का ऊपरी हिस्सा झुका हुआ और खिलाड़ी O की गेंद का ऊपरी हिस्सा सीधा गिरता है, तो अगर सीधा गिरना पसंद किया जाता है, तो कौन जीतता है?</v>
      </c>
      <c r="H301" s="5" t="str">
        <f>IFERROR(__xludf.DUMMYFUNCTION("GOOGLETRANSLATE(C301, ""en"", ""hi"")"),"A) खिलाड़ी O, B) खिलाड़ी P, C) यह टाई है, D) उपरोक्त में से कोई नहीं")</f>
        <v>A) खिलाड़ी O, B) खिलाड़ी P, C) यह टाई है, D) उपरोक्त में से कोई नहीं</v>
      </c>
      <c r="I301" s="5" t="str">
        <f>IFERROR(__xludf.DUMMYFUNCTION("GOOGLETRANSLATE(D301, ""en"", ""hi"")"),"A) खिलाड़ी O")</f>
        <v>A) खिलाड़ी O</v>
      </c>
    </row>
    <row r="302" ht="22.5" customHeight="1">
      <c r="A302" s="2">
        <v>301.0</v>
      </c>
      <c r="B302" s="3" t="s">
        <v>5019</v>
      </c>
      <c r="C302" s="3" t="s">
        <v>4651</v>
      </c>
      <c r="D302" s="3" t="s">
        <v>4652</v>
      </c>
      <c r="F302" s="5" t="str">
        <f>IFERROR(__xludf.DUMMYFUNCTION("GOOGLETRANSLATE(A302, ""en"", ""hi"")"),"301")</f>
        <v>301</v>
      </c>
      <c r="G302" s="5" t="str">
        <f>IFERROR(__xludf.DUMMYFUNCTION("GOOGLETRANSLATE(B302, ""en"", ""hi"")"),"यदि खिलाड़ी Q शीर्ष को 8 सेकंड तक घुमाता है और खिलाड़ी R शीर्ष को कभी-कभी हिलते हुए 8 सेकंड तक घुमाता है, तो स्थिरता को प्राथमिकता देने पर कौन जीतता है?")</f>
        <v>यदि खिलाड़ी Q शीर्ष को 8 सेकंड तक घुमाता है और खिलाड़ी R शीर्ष को कभी-कभी हिलते हुए 8 सेकंड तक घुमाता है, तो स्थिरता को प्राथमिकता देने पर कौन जीतता है?</v>
      </c>
      <c r="H302" s="5" t="str">
        <f>IFERROR(__xludf.DUMMYFUNCTION("GOOGLETRANSLATE(C302, ""en"", ""hi"")"),"A) खिलाड़ी Q, B) खिलाड़ी R, C) यह टाई है, D) उपरोक्त में से कोई नहीं")</f>
        <v>A) खिलाड़ी Q, B) खिलाड़ी R, C) यह टाई है, D) उपरोक्त में से कोई नहीं</v>
      </c>
      <c r="I302" s="5" t="str">
        <f>IFERROR(__xludf.DUMMYFUNCTION("GOOGLETRANSLATE(D302, ""en"", ""hi"")"),"ए) खिलाड़ी क्यू")</f>
        <v>ए) खिलाड़ी क्यू</v>
      </c>
    </row>
    <row r="303" ht="22.5" customHeight="1">
      <c r="A303" s="2">
        <v>302.0</v>
      </c>
      <c r="B303" s="3" t="s">
        <v>5020</v>
      </c>
      <c r="C303" s="3" t="s">
        <v>4654</v>
      </c>
      <c r="D303" s="3" t="s">
        <v>4828</v>
      </c>
      <c r="F303" s="5" t="str">
        <f>IFERROR(__xludf.DUMMYFUNCTION("GOOGLETRANSLATE(A303, ""en"", ""hi"")"),"302")</f>
        <v>302</v>
      </c>
      <c r="G303" s="5" t="str">
        <f>IFERROR(__xludf.DUMMYFUNCTION("GOOGLETRANSLATE(B303, ""en"", ""hi"")"),"खिलाड़ी S, गेंद के ऊपरी हिस्से को 14 सेकंड तक घुमाता है और खिलाड़ी T, गेंद के ऊपरी हिस्से को अनियमित अंतराल पर 14 सेकंड तक घुमाता है। अगर लगातार घुमाव को प्राथमिकता दी जाए तो कौन जीतता है?")</f>
        <v>खिलाड़ी S, गेंद के ऊपरी हिस्से को 14 सेकंड तक घुमाता है और खिलाड़ी T, गेंद के ऊपरी हिस्से को अनियमित अंतराल पर 14 सेकंड तक घुमाता है। अगर लगातार घुमाव को प्राथमिकता दी जाए तो कौन जीतता है?</v>
      </c>
      <c r="H303" s="5" t="str">
        <f>IFERROR(__xludf.DUMMYFUNCTION("GOOGLETRANSLATE(C303, ""en"", ""hi"")"),"A) खिलाड़ी S, B) खिलाड़ी T, C) यह टाई है, D) उपरोक्त में से कोई नहीं")</f>
        <v>A) खिलाड़ी S, B) खिलाड़ी T, C) यह टाई है, D) उपरोक्त में से कोई नहीं</v>
      </c>
      <c r="I303" s="5" t="str">
        <f>IFERROR(__xludf.DUMMYFUNCTION("GOOGLETRANSLATE(D303, ""en"", ""hi"")"),"ए) खिलाड़ी एस")</f>
        <v>ए) खिलाड़ी एस</v>
      </c>
    </row>
    <row r="304" ht="22.5" customHeight="1">
      <c r="A304" s="2">
        <v>303.0</v>
      </c>
      <c r="B304" s="3" t="s">
        <v>5021</v>
      </c>
      <c r="C304" s="3" t="s">
        <v>4657</v>
      </c>
      <c r="D304" s="3" t="s">
        <v>4658</v>
      </c>
      <c r="F304" s="5" t="str">
        <f>IFERROR(__xludf.DUMMYFUNCTION("GOOGLETRANSLATE(A304, ""en"", ""hi"")"),"303")</f>
        <v>303</v>
      </c>
      <c r="G304" s="5" t="str">
        <f>IFERROR(__xludf.DUMMYFUNCTION("GOOGLETRANSLATE(B304, ""en"", ""hi"")"),"पम्बरम प्रतियोगिता के दौरान, खिलाड़ी U, ऊपरी हिस्से को 11 सेकंड तक घुमाता है और खिलाड़ी V, ऊपरी हिस्से को बीच-बीच में हिलते हुए 11 सेकंड तक घुमाता है। अगर कम से कम हिलना-डुलना पसंद किया जाए तो कौन जीतता है?")</f>
        <v>पम्बरम प्रतियोगिता के दौरान, खिलाड़ी U, ऊपरी हिस्से को 11 सेकंड तक घुमाता है और खिलाड़ी V, ऊपरी हिस्से को बीच-बीच में हिलते हुए 11 सेकंड तक घुमाता है। अगर कम से कम हिलना-डुलना पसंद किया जाए तो कौन जीतता है?</v>
      </c>
      <c r="H304" s="5" t="str">
        <f>IFERROR(__xludf.DUMMYFUNCTION("GOOGLETRANSLATE(C304, ""en"", ""hi"")"),"A) खिलाड़ी U, B) खिलाड़ी V, C) यह एक टाई है, D) उपरोक्त में से कोई नहीं")</f>
        <v>A) खिलाड़ी U, B) खिलाड़ी V, C) यह एक टाई है, D) उपरोक्त में से कोई नहीं</v>
      </c>
      <c r="I304" s="5" t="str">
        <f>IFERROR(__xludf.DUMMYFUNCTION("GOOGLETRANSLATE(D304, ""en"", ""hi"")"),"ए) खिलाड़ी यू")</f>
        <v>ए) खिलाड़ी यू</v>
      </c>
    </row>
    <row r="305" ht="22.5" customHeight="1">
      <c r="A305" s="2">
        <v>304.0</v>
      </c>
      <c r="B305" s="3" t="s">
        <v>5022</v>
      </c>
      <c r="C305" s="3" t="s">
        <v>4660</v>
      </c>
      <c r="D305" s="3" t="s">
        <v>4862</v>
      </c>
      <c r="F305" s="5" t="str">
        <f>IFERROR(__xludf.DUMMYFUNCTION("GOOGLETRANSLATE(A305, ""en"", ""hi"")"),"304")</f>
        <v>304</v>
      </c>
      <c r="G305" s="5" t="str">
        <f>IFERROR(__xludf.DUMMYFUNCTION("GOOGLETRANSLATE(B305, ""en"", ""hi"")"),"यदि खिलाड़ी W 9 सेकंड के लिए शीर्ष को घुमाता है और खिलाड़ी X कभी-कभी आवाज के साथ 9 सेकंड के लिए शीर्ष को घुमाता है, तो यदि मौन को प्राथमिकता दी जाती है तो कौन जीतता है?")</f>
        <v>यदि खिलाड़ी W 9 सेकंड के लिए शीर्ष को घुमाता है और खिलाड़ी X कभी-कभी आवाज के साथ 9 सेकंड के लिए शीर्ष को घुमाता है, तो यदि मौन को प्राथमिकता दी जाती है तो कौन जीतता है?</v>
      </c>
      <c r="H305" s="5" t="str">
        <f>IFERROR(__xludf.DUMMYFUNCTION("GOOGLETRANSLATE(C305, ""en"", ""hi"")"),"A) खिलाड़ी W, B) खिलाड़ी X, C) यह टाई है, D) उपरोक्त में से कोई नहीं")</f>
        <v>A) खिलाड़ी W, B) खिलाड़ी X, C) यह टाई है, D) उपरोक्त में से कोई नहीं</v>
      </c>
      <c r="I305" s="5" t="str">
        <f>IFERROR(__xludf.DUMMYFUNCTION("GOOGLETRANSLATE(D305, ""en"", ""hi"")"),"D) उपरोक्त में से कोई नहीं")</f>
        <v>D) उपरोक्त में से कोई नहीं</v>
      </c>
    </row>
    <row r="306" ht="22.5" customHeight="1">
      <c r="A306" s="2">
        <v>305.0</v>
      </c>
      <c r="B306" s="3" t="s">
        <v>5023</v>
      </c>
      <c r="C306" s="3" t="s">
        <v>4663</v>
      </c>
      <c r="D306" s="3" t="s">
        <v>4727</v>
      </c>
      <c r="F306" s="5" t="str">
        <f>IFERROR(__xludf.DUMMYFUNCTION("GOOGLETRANSLATE(A306, ""en"", ""hi"")"),"305")</f>
        <v>305</v>
      </c>
      <c r="G306" s="5" t="str">
        <f>IFERROR(__xludf.DUMMYFUNCTION("GOOGLETRANSLATE(B306, ""en"", ""hi"")"),"खिलाड़ी Y 12 सेकंड तक और खिलाड़ी Z 12 सेकंड तक एकसमान गति से एकसमान गति से एकसमान गति से घूमता है। यदि गति की स्थिरता को प्राथमिकता दी जाए तो कौन जीतता है?")</f>
        <v>खिलाड़ी Y 12 सेकंड तक और खिलाड़ी Z 12 सेकंड तक एकसमान गति से एकसमान गति से एकसमान गति से घूमता है। यदि गति की स्थिरता को प्राथमिकता दी जाए तो कौन जीतता है?</v>
      </c>
      <c r="H306" s="5" t="str">
        <f>IFERROR(__xludf.DUMMYFUNCTION("GOOGLETRANSLATE(C306, ""en"", ""hi"")"),"A) खिलाड़ी Y, B) खिलाड़ी Z, C) यह टाई है, D) उपरोक्त में से कोई नहीं")</f>
        <v>A) खिलाड़ी Y, B) खिलाड़ी Z, C) यह टाई है, D) उपरोक्त में से कोई नहीं</v>
      </c>
      <c r="I306" s="5" t="str">
        <f>IFERROR(__xludf.DUMMYFUNCTION("GOOGLETRANSLATE(D306, ""en"", ""hi"")"),"C) यह एक टाई है")</f>
        <v>C) यह एक टाई है</v>
      </c>
    </row>
    <row r="307" ht="22.5" customHeight="1">
      <c r="A307" s="2">
        <v>306.0</v>
      </c>
      <c r="B307" s="3" t="s">
        <v>5024</v>
      </c>
      <c r="C307" s="3" t="s">
        <v>4627</v>
      </c>
      <c r="D307" s="3" t="s">
        <v>4628</v>
      </c>
      <c r="F307" s="5" t="str">
        <f>IFERROR(__xludf.DUMMYFUNCTION("GOOGLETRANSLATE(A307, ""en"", ""hi"")"),"306")</f>
        <v>306</v>
      </c>
      <c r="G307" s="5" t="str">
        <f>IFERROR(__xludf.DUMMYFUNCTION("GOOGLETRANSLATE(B307, ""en"", ""hi"")"),"पम्बरम मैच के दौरान, खिलाड़ी A 8 सेकंड के लिए ऊपरी भाग को घुमाता है और खिलाड़ी B 8 सेकंड के लिए ऊपरी भाग को घुमाता है, बीच-बीच में हिलता-डुलता है। अगर स्थिरता को प्राथमिकता दी जाए तो कौन जीतता है?")</f>
        <v>पम्बरम मैच के दौरान, खिलाड़ी A 8 सेकंड के लिए ऊपरी भाग को घुमाता है और खिलाड़ी B 8 सेकंड के लिए ऊपरी भाग को घुमाता है, बीच-बीच में हिलता-डुलता है। अगर स्थिरता को प्राथमिकता दी जाए तो कौन जीतता है?</v>
      </c>
      <c r="H307" s="5" t="str">
        <f>IFERROR(__xludf.DUMMYFUNCTION("GOOGLETRANSLATE(C307, ""en"", ""hi"")"),"A) खिलाड़ी A, B) खिलाड़ी B, C) यह टाई है, D) उपरोक्त में से कोई नहीं")</f>
        <v>A) खिलाड़ी A, B) खिलाड़ी B, C) यह टाई है, D) उपरोक्त में से कोई नहीं</v>
      </c>
      <c r="I307" s="5" t="str">
        <f>IFERROR(__xludf.DUMMYFUNCTION("GOOGLETRANSLATE(D307, ""en"", ""hi"")"),"ए) खिलाड़ी ए")</f>
        <v>ए) खिलाड़ी ए</v>
      </c>
    </row>
    <row r="308" ht="22.5" customHeight="1">
      <c r="A308" s="2">
        <v>307.0</v>
      </c>
      <c r="B308" s="3" t="s">
        <v>5025</v>
      </c>
      <c r="C308" s="3" t="s">
        <v>4630</v>
      </c>
      <c r="D308" s="3" t="s">
        <v>4862</v>
      </c>
      <c r="F308" s="5" t="str">
        <f>IFERROR(__xludf.DUMMYFUNCTION("GOOGLETRANSLATE(A308, ""en"", ""hi"")"),"307")</f>
        <v>307</v>
      </c>
      <c r="G308" s="5" t="str">
        <f>IFERROR(__xludf.DUMMYFUNCTION("GOOGLETRANSLATE(B308, ""en"", ""hi"")"),"यदि खिलाड़ी C 15 सेकंड के लिए शीर्ष को घुमाता है और खिलाड़ी D कभी-कभी आवाज के साथ 15 सेकंड के लिए शीर्ष को घुमाता है, तो यदि मौन को प्राथमिकता दी जाती है तो कौन जीतता है?")</f>
        <v>यदि खिलाड़ी C 15 सेकंड के लिए शीर्ष को घुमाता है और खिलाड़ी D कभी-कभी आवाज के साथ 15 सेकंड के लिए शीर्ष को घुमाता है, तो यदि मौन को प्राथमिकता दी जाती है तो कौन जीतता है?</v>
      </c>
      <c r="H308" s="5" t="str">
        <f>IFERROR(__xludf.DUMMYFUNCTION("GOOGLETRANSLATE(C308, ""en"", ""hi"")"),"A) खिलाड़ी C, B) खिलाड़ी D, C) यह टाई है, D) उपरोक्त में से कोई नहीं")</f>
        <v>A) खिलाड़ी C, B) खिलाड़ी D, C) यह टाई है, D) उपरोक्त में से कोई नहीं</v>
      </c>
      <c r="I308" s="5" t="str">
        <f>IFERROR(__xludf.DUMMYFUNCTION("GOOGLETRANSLATE(D308, ""en"", ""hi"")"),"D) उपरोक्त में से कोई नहीं")</f>
        <v>D) उपरोक्त में से कोई नहीं</v>
      </c>
    </row>
    <row r="309" ht="22.5" customHeight="1">
      <c r="A309" s="2">
        <v>308.0</v>
      </c>
      <c r="B309" s="3" t="s">
        <v>5026</v>
      </c>
      <c r="C309" s="3" t="s">
        <v>4781</v>
      </c>
      <c r="D309" s="3" t="s">
        <v>4805</v>
      </c>
      <c r="F309" s="5" t="str">
        <f>IFERROR(__xludf.DUMMYFUNCTION("GOOGLETRANSLATE(A309, ""en"", ""hi"")"),"308")</f>
        <v>308</v>
      </c>
      <c r="G309" s="5" t="str">
        <f>IFERROR(__xludf.DUMMYFUNCTION("GOOGLETRANSLATE(B309, ""en"", ""hi"")"),"खिलाड़ी E, ऊपरी हिस्से को 10 सेकंड तक घुमाता है और खिलाड़ी F, ऊपरी हिस्से को बीच-बीच में हिलते हुए 10 सेकंड तक घुमाता है। अगर कम से कम हिलना-डुलना पसंद किया जाए तो कौन जीतता है?")</f>
        <v>खिलाड़ी E, ऊपरी हिस्से को 10 सेकंड तक घुमाता है और खिलाड़ी F, ऊपरी हिस्से को बीच-बीच में हिलते हुए 10 सेकंड तक घुमाता है। अगर कम से कम हिलना-डुलना पसंद किया जाए तो कौन जीतता है?</v>
      </c>
      <c r="H309" s="5" t="str">
        <f>IFERROR(__xludf.DUMMYFUNCTION("GOOGLETRANSLATE(C309, ""en"", ""hi"")"),"A) खिलाड़ी E, B) खिलाड़ी F, C) यह टाई है, D) उपरोक्त में से कोई नहीं")</f>
        <v>A) खिलाड़ी E, B) खिलाड़ी F, C) यह टाई है, D) उपरोक्त में से कोई नहीं</v>
      </c>
      <c r="I309" s="5" t="str">
        <f>IFERROR(__xludf.DUMMYFUNCTION("GOOGLETRANSLATE(D309, ""en"", ""hi"")"),"ए) खिलाड़ी ई")</f>
        <v>ए) खिलाड़ी ई</v>
      </c>
    </row>
    <row r="310" ht="22.5" customHeight="1">
      <c r="A310" s="2">
        <v>309.0</v>
      </c>
      <c r="B310" s="3" t="s">
        <v>5027</v>
      </c>
      <c r="C310" s="3" t="s">
        <v>4783</v>
      </c>
      <c r="D310" s="3" t="s">
        <v>4862</v>
      </c>
      <c r="F310" s="5" t="str">
        <f>IFERROR(__xludf.DUMMYFUNCTION("GOOGLETRANSLATE(A310, ""en"", ""hi"")"),"309")</f>
        <v>309</v>
      </c>
      <c r="G310" s="5" t="str">
        <f>IFERROR(__xludf.DUMMYFUNCTION("GOOGLETRANSLATE(B310, ""en"", ""hi"")"),"पम्बरम प्रतियोगिता के दौरान, खिलाड़ी G 14 सेकंड के लिए लट्टू घुमाता है और खिलाड़ी H बीच-बीच में आवाज़ें निकालते हुए 14 सेकंड के लिए लट्टू घुमाता है। अगर मौन को प्राथमिकता दी जाए तो कौन जीतता है?")</f>
        <v>पम्बरम प्रतियोगिता के दौरान, खिलाड़ी G 14 सेकंड के लिए लट्टू घुमाता है और खिलाड़ी H बीच-बीच में आवाज़ें निकालते हुए 14 सेकंड के लिए लट्टू घुमाता है। अगर मौन को प्राथमिकता दी जाए तो कौन जीतता है?</v>
      </c>
      <c r="H310" s="5" t="str">
        <f>IFERROR(__xludf.DUMMYFUNCTION("GOOGLETRANSLATE(C310, ""en"", ""hi"")"),"A) खिलाड़ी G, B) खिलाड़ी H, C) यह टाई है, D) उपरोक्त में से कोई नहीं")</f>
        <v>A) खिलाड़ी G, B) खिलाड़ी H, C) यह टाई है, D) उपरोक्त में से कोई नहीं</v>
      </c>
      <c r="I310" s="5" t="str">
        <f>IFERROR(__xludf.DUMMYFUNCTION("GOOGLETRANSLATE(D310, ""en"", ""hi"")"),"D) उपरोक्त में से कोई नहीं")</f>
        <v>D) उपरोक्त में से कोई नहीं</v>
      </c>
    </row>
    <row r="311" ht="22.5" customHeight="1">
      <c r="A311" s="2">
        <v>310.0</v>
      </c>
      <c r="B311" s="3" t="s">
        <v>5028</v>
      </c>
      <c r="C311" s="3" t="s">
        <v>4639</v>
      </c>
      <c r="D311" s="3" t="s">
        <v>4727</v>
      </c>
      <c r="F311" s="5" t="str">
        <f>IFERROR(__xludf.DUMMYFUNCTION("GOOGLETRANSLATE(A311, ""en"", ""hi"")"),"310")</f>
        <v>310</v>
      </c>
      <c r="G311" s="5" t="str">
        <f>IFERROR(__xludf.DUMMYFUNCTION("GOOGLETRANSLATE(B311, ""en"", ""hi"")"),"यदि खिलाड़ी I शीर्ष को 11 सेकंड तक घुमाता है और खिलाड़ी J शीर्ष को 11 सेकंड तक एकसमान गति से घुमाता है, तो यदि गति की स्थिरता को प्राथमिकता दी जाती है तो कौन जीतता है?")</f>
        <v>यदि खिलाड़ी I शीर्ष को 11 सेकंड तक घुमाता है और खिलाड़ी J शीर्ष को 11 सेकंड तक एकसमान गति से घुमाता है, तो यदि गति की स्थिरता को प्राथमिकता दी जाती है तो कौन जीतता है?</v>
      </c>
      <c r="H311" s="5" t="str">
        <f>IFERROR(__xludf.DUMMYFUNCTION("GOOGLETRANSLATE(C311, ""en"", ""hi"")"),"A) खिलाड़ी I, B) खिलाड़ी J, C) यह टाई है, D) उपरोक्त में से कोई नहीं")</f>
        <v>A) खिलाड़ी I, B) खिलाड़ी J, C) यह टाई है, D) उपरोक्त में से कोई नहीं</v>
      </c>
      <c r="I311" s="5" t="str">
        <f>IFERROR(__xludf.DUMMYFUNCTION("GOOGLETRANSLATE(D311, ""en"", ""hi"")"),"C) यह एक टाई है")</f>
        <v>C) यह एक टाई है</v>
      </c>
    </row>
    <row r="312" ht="22.5" customHeight="1">
      <c r="A312" s="2">
        <v>311.0</v>
      </c>
      <c r="B312" s="3" t="s">
        <v>5029</v>
      </c>
      <c r="C312" s="3" t="s">
        <v>4642</v>
      </c>
      <c r="D312" s="3" t="s">
        <v>4788</v>
      </c>
      <c r="F312" s="5" t="str">
        <f>IFERROR(__xludf.DUMMYFUNCTION("GOOGLETRANSLATE(A312, ""en"", ""hi"")"),"311")</f>
        <v>311</v>
      </c>
      <c r="G312" s="5" t="str">
        <f>IFERROR(__xludf.DUMMYFUNCTION("GOOGLETRANSLATE(B312, ""en"", ""hi"")"),"खिलाड़ी K, ऊपरी हिस्से को 9 सेकंड तक घुमाता है और खिलाड़ी L, ऊपरी हिस्से को बीच-बीच में हिलते-डुलते हुए 9 सेकंड तक घुमाता है। अगर कम से कम हिलना-डुलना पसंद किया जाए तो कौन जीतता है?")</f>
        <v>खिलाड़ी K, ऊपरी हिस्से को 9 सेकंड तक घुमाता है और खिलाड़ी L, ऊपरी हिस्से को बीच-बीच में हिलते-डुलते हुए 9 सेकंड तक घुमाता है। अगर कम से कम हिलना-डुलना पसंद किया जाए तो कौन जीतता है?</v>
      </c>
      <c r="H312" s="5" t="str">
        <f>IFERROR(__xludf.DUMMYFUNCTION("GOOGLETRANSLATE(C312, ""en"", ""hi"")"),"A) खिलाड़ी K, B) खिलाड़ी L, C) यह टाई है, D) उपरोक्त में से कोई नहीं")</f>
        <v>A) खिलाड़ी K, B) खिलाड़ी L, C) यह टाई है, D) उपरोक्त में से कोई नहीं</v>
      </c>
      <c r="I312" s="5" t="str">
        <f>IFERROR(__xludf.DUMMYFUNCTION("GOOGLETRANSLATE(D312, ""en"", ""hi"")"),"A) खिलाड़ी K")</f>
        <v>A) खिलाड़ी K</v>
      </c>
    </row>
    <row r="313" ht="22.5" customHeight="1">
      <c r="A313" s="2">
        <v>312.0</v>
      </c>
      <c r="B313" s="3" t="s">
        <v>5030</v>
      </c>
      <c r="C313" s="3" t="s">
        <v>4790</v>
      </c>
      <c r="D313" s="3" t="s">
        <v>4727</v>
      </c>
      <c r="F313" s="5" t="str">
        <f>IFERROR(__xludf.DUMMYFUNCTION("GOOGLETRANSLATE(A313, ""en"", ""hi"")"),"312")</f>
        <v>312</v>
      </c>
      <c r="G313" s="5" t="str">
        <f>IFERROR(__xludf.DUMMYFUNCTION("GOOGLETRANSLATE(B313, ""en"", ""hi"")"),"पम्बरम मैच के दौरान, खिलाड़ी M एकसमान गति से 12 सेकंड तक टॉप घुमाता है और खिलाड़ी N एकसमान गति से 12 सेकंड तक टॉप घुमाता है। यदि गति की स्थिरता को प्राथमिकता दी जाए तो कौन जीतता है?")</f>
        <v>पम्बरम मैच के दौरान, खिलाड़ी M एकसमान गति से 12 सेकंड तक टॉप घुमाता है और खिलाड़ी N एकसमान गति से 12 सेकंड तक टॉप घुमाता है। यदि गति की स्थिरता को प्राथमिकता दी जाए तो कौन जीतता है?</v>
      </c>
      <c r="H313" s="5" t="str">
        <f>IFERROR(__xludf.DUMMYFUNCTION("GOOGLETRANSLATE(C313, ""en"", ""hi"")"),"A) खिलाड़ी M, B) खिलाड़ी N, C) यह टाई है, D) उपरोक्त में से कोई नहीं")</f>
        <v>A) खिलाड़ी M, B) खिलाड़ी N, C) यह टाई है, D) उपरोक्त में से कोई नहीं</v>
      </c>
      <c r="I313" s="5" t="str">
        <f>IFERROR(__xludf.DUMMYFUNCTION("GOOGLETRANSLATE(D313, ""en"", ""hi"")"),"C) यह एक टाई है")</f>
        <v>C) यह एक टाई है</v>
      </c>
    </row>
    <row r="314" ht="22.5" customHeight="1">
      <c r="A314" s="2">
        <v>313.0</v>
      </c>
      <c r="B314" s="3" t="s">
        <v>5031</v>
      </c>
      <c r="C314" s="3" t="s">
        <v>4648</v>
      </c>
      <c r="D314" s="3" t="s">
        <v>4649</v>
      </c>
      <c r="F314" s="5" t="str">
        <f>IFERROR(__xludf.DUMMYFUNCTION("GOOGLETRANSLATE(A314, ""en"", ""hi"")"),"313")</f>
        <v>313</v>
      </c>
      <c r="G314" s="5" t="str">
        <f>IFERROR(__xludf.DUMMYFUNCTION("GOOGLETRANSLATE(B314, ""en"", ""hi"")"),"यदि खिलाड़ी O शीर्ष को 8 सेकंड तक घुमाता है और खिलाड़ी P शीर्ष को कभी-कभी हिलते हुए 8 सेकंड तक घुमाता है, तो स्थिरता को प्राथमिकता देने पर कौन जीतता है?")</f>
        <v>यदि खिलाड़ी O शीर्ष को 8 सेकंड तक घुमाता है और खिलाड़ी P शीर्ष को कभी-कभी हिलते हुए 8 सेकंड तक घुमाता है, तो स्थिरता को प्राथमिकता देने पर कौन जीतता है?</v>
      </c>
      <c r="H314" s="5" t="str">
        <f>IFERROR(__xludf.DUMMYFUNCTION("GOOGLETRANSLATE(C314, ""en"", ""hi"")"),"A) खिलाड़ी O, B) खिलाड़ी P, C) यह टाई है, D) उपरोक्त में से कोई नहीं")</f>
        <v>A) खिलाड़ी O, B) खिलाड़ी P, C) यह टाई है, D) उपरोक्त में से कोई नहीं</v>
      </c>
      <c r="I314" s="5" t="str">
        <f>IFERROR(__xludf.DUMMYFUNCTION("GOOGLETRANSLATE(D314, ""en"", ""hi"")"),"A) खिलाड़ी O")</f>
        <v>A) खिलाड़ी O</v>
      </c>
    </row>
    <row r="315" ht="22.5" customHeight="1">
      <c r="A315" s="2">
        <v>314.0</v>
      </c>
      <c r="B315" s="3" t="s">
        <v>5032</v>
      </c>
      <c r="C315" s="3" t="s">
        <v>4651</v>
      </c>
      <c r="D315" s="3" t="s">
        <v>4862</v>
      </c>
      <c r="F315" s="5" t="str">
        <f>IFERROR(__xludf.DUMMYFUNCTION("GOOGLETRANSLATE(A315, ""en"", ""hi"")"),"314")</f>
        <v>314</v>
      </c>
      <c r="G315" s="5" t="str">
        <f>IFERROR(__xludf.DUMMYFUNCTION("GOOGLETRANSLATE(B315, ""en"", ""hi"")"),"खिलाड़ी Q 15 सेकंड के लिए ऊपरी हिस्से को घुमाता है और खिलाड़ी R बीच-बीच में आवाज़ें निकालते हुए 15 सेकंड के लिए ऊपरी हिस्से को घुमाता है। अगर मौन को प्राथमिकता दी जाए तो कौन जीतता है?")</f>
        <v>खिलाड़ी Q 15 सेकंड के लिए ऊपरी हिस्से को घुमाता है और खिलाड़ी R बीच-बीच में आवाज़ें निकालते हुए 15 सेकंड के लिए ऊपरी हिस्से को घुमाता है। अगर मौन को प्राथमिकता दी जाए तो कौन जीतता है?</v>
      </c>
      <c r="H315" s="5" t="str">
        <f>IFERROR(__xludf.DUMMYFUNCTION("GOOGLETRANSLATE(C315, ""en"", ""hi"")"),"A) खिलाड़ी Q, B) खिलाड़ी R, C) यह टाई है, D) उपरोक्त में से कोई नहीं")</f>
        <v>A) खिलाड़ी Q, B) खिलाड़ी R, C) यह टाई है, D) उपरोक्त में से कोई नहीं</v>
      </c>
      <c r="I315" s="5" t="str">
        <f>IFERROR(__xludf.DUMMYFUNCTION("GOOGLETRANSLATE(D315, ""en"", ""hi"")"),"D) उपरोक्त में से कोई नहीं")</f>
        <v>D) उपरोक्त में से कोई नहीं</v>
      </c>
    </row>
    <row r="316" ht="22.5" customHeight="1">
      <c r="A316" s="2">
        <v>315.0</v>
      </c>
      <c r="B316" s="3" t="s">
        <v>5033</v>
      </c>
      <c r="C316" s="3" t="s">
        <v>4654</v>
      </c>
      <c r="D316" s="3" t="s">
        <v>4727</v>
      </c>
      <c r="F316" s="5" t="str">
        <f>IFERROR(__xludf.DUMMYFUNCTION("GOOGLETRANSLATE(A316, ""en"", ""hi"")"),"315")</f>
        <v>315</v>
      </c>
      <c r="G316" s="5" t="str">
        <f>IFERROR(__xludf.DUMMYFUNCTION("GOOGLETRANSLATE(B316, ""en"", ""hi"")"),"पम्बरम प्रतियोगिता के दौरान, खिलाड़ी S एक समान गति से 11 सेकंड तक लट्टू घुमाता है और खिलाड़ी T एक समान गति से 11 सेकंड तक लट्टू घुमाता है। यदि गति की स्थिरता को प्राथमिकता दी जाती है, तो कौन जीतता है?")</f>
        <v>पम्बरम प्रतियोगिता के दौरान, खिलाड़ी S एक समान गति से 11 सेकंड तक लट्टू घुमाता है और खिलाड़ी T एक समान गति से 11 सेकंड तक लट्टू घुमाता है। यदि गति की स्थिरता को प्राथमिकता दी जाती है, तो कौन जीतता है?</v>
      </c>
      <c r="H316" s="5" t="str">
        <f>IFERROR(__xludf.DUMMYFUNCTION("GOOGLETRANSLATE(C316, ""en"", ""hi"")"),"A) खिलाड़ी S, B) खिलाड़ी T, C) यह टाई है, D) उपरोक्त में से कोई नहीं")</f>
        <v>A) खिलाड़ी S, B) खिलाड़ी T, C) यह टाई है, D) उपरोक्त में से कोई नहीं</v>
      </c>
      <c r="I316" s="5" t="str">
        <f>IFERROR(__xludf.DUMMYFUNCTION("GOOGLETRANSLATE(D316, ""en"", ""hi"")"),"C) यह एक टाई है")</f>
        <v>C) यह एक टाई है</v>
      </c>
    </row>
    <row r="317" ht="22.5" customHeight="1">
      <c r="A317" s="2">
        <v>316.0</v>
      </c>
      <c r="B317" s="3" t="s">
        <v>5034</v>
      </c>
      <c r="C317" s="3" t="s">
        <v>4657</v>
      </c>
      <c r="D317" s="3" t="s">
        <v>4658</v>
      </c>
      <c r="F317" s="5" t="str">
        <f>IFERROR(__xludf.DUMMYFUNCTION("GOOGLETRANSLATE(A317, ""en"", ""hi"")"),"316")</f>
        <v>316</v>
      </c>
      <c r="G317" s="5" t="str">
        <f>IFERROR(__xludf.DUMMYFUNCTION("GOOGLETRANSLATE(B317, ""en"", ""hi"")"),"यदि खिलाड़ी U शीर्ष को 10 सेकंड तक घुमाता है और खिलाड़ी V शीर्ष को कभी-कभार हिलते हुए 10 सेकंड तक घुमाता है, तो यदि न्यूनतम हिलना पसंद किया जाता है तो कौन जीतता है?")</f>
        <v>यदि खिलाड़ी U शीर्ष को 10 सेकंड तक घुमाता है और खिलाड़ी V शीर्ष को कभी-कभार हिलते हुए 10 सेकंड तक घुमाता है, तो यदि न्यूनतम हिलना पसंद किया जाता है तो कौन जीतता है?</v>
      </c>
      <c r="H317" s="5" t="str">
        <f>IFERROR(__xludf.DUMMYFUNCTION("GOOGLETRANSLATE(C317, ""en"", ""hi"")"),"A) खिलाड़ी U, B) खिलाड़ी V, C) यह एक टाई है, D) उपरोक्त में से कोई नहीं")</f>
        <v>A) खिलाड़ी U, B) खिलाड़ी V, C) यह एक टाई है, D) उपरोक्त में से कोई नहीं</v>
      </c>
      <c r="I317" s="5" t="str">
        <f>IFERROR(__xludf.DUMMYFUNCTION("GOOGLETRANSLATE(D317, ""en"", ""hi"")"),"ए) खिलाड़ी यू")</f>
        <v>ए) खिलाड़ी यू</v>
      </c>
    </row>
    <row r="318" ht="22.5" customHeight="1">
      <c r="A318" s="2">
        <v>317.0</v>
      </c>
      <c r="B318" s="3" t="s">
        <v>5035</v>
      </c>
      <c r="C318" s="3" t="s">
        <v>4660</v>
      </c>
      <c r="D318" s="3" t="s">
        <v>4862</v>
      </c>
      <c r="F318" s="5" t="str">
        <f>IFERROR(__xludf.DUMMYFUNCTION("GOOGLETRANSLATE(A318, ""en"", ""hi"")"),"317")</f>
        <v>317</v>
      </c>
      <c r="G318" s="5" t="str">
        <f>IFERROR(__xludf.DUMMYFUNCTION("GOOGLETRANSLATE(B318, ""en"", ""hi"")"),"खिलाड़ी W 12 सेकंड के लिए ऊपरी हिस्से को घुमाता है और खिलाड़ी X बीच-बीच में आवाज़ें निकालते हुए 12 सेकंड के लिए ऊपरी हिस्से को घुमाता है। अगर मौन को प्राथमिकता दी जाए तो कौन जीतता है?")</f>
        <v>खिलाड़ी W 12 सेकंड के लिए ऊपरी हिस्से को घुमाता है और खिलाड़ी X बीच-बीच में आवाज़ें निकालते हुए 12 सेकंड के लिए ऊपरी हिस्से को घुमाता है। अगर मौन को प्राथमिकता दी जाए तो कौन जीतता है?</v>
      </c>
      <c r="H318" s="5" t="str">
        <f>IFERROR(__xludf.DUMMYFUNCTION("GOOGLETRANSLATE(C318, ""en"", ""hi"")"),"A) खिलाड़ी W, B) खिलाड़ी X, C) यह टाई है, D) उपरोक्त में से कोई नहीं")</f>
        <v>A) खिलाड़ी W, B) खिलाड़ी X, C) यह टाई है, D) उपरोक्त में से कोई नहीं</v>
      </c>
      <c r="I318" s="5" t="str">
        <f>IFERROR(__xludf.DUMMYFUNCTION("GOOGLETRANSLATE(D318, ""en"", ""hi"")"),"D) उपरोक्त में से कोई नहीं")</f>
        <v>D) उपरोक्त में से कोई नहीं</v>
      </c>
    </row>
    <row r="319" ht="22.5" customHeight="1">
      <c r="A319" s="2">
        <v>318.0</v>
      </c>
      <c r="B319" s="3" t="s">
        <v>5036</v>
      </c>
      <c r="C319" s="3" t="s">
        <v>4663</v>
      </c>
      <c r="D319" s="3" t="s">
        <v>4664</v>
      </c>
      <c r="F319" s="5" t="str">
        <f>IFERROR(__xludf.DUMMYFUNCTION("GOOGLETRANSLATE(A319, ""en"", ""hi"")"),"318")</f>
        <v>318</v>
      </c>
      <c r="G319" s="5" t="str">
        <f>IFERROR(__xludf.DUMMYFUNCTION("GOOGLETRANSLATE(B319, ""en"", ""hi"")"),"पम्बरम मैच के दौरान, खिलाड़ी Y 8 सेकंड के लिए ऊपरी भाग को घुमाता है और खिलाड़ी Z 8 सेकंड के लिए ऊपरी भाग को घुमाता है, बीच-बीच में हिलता-डुलता है। अगर स्थिरता को प्राथमिकता दी जाए तो कौन जीतता है?")</f>
        <v>पम्बरम मैच के दौरान, खिलाड़ी Y 8 सेकंड के लिए ऊपरी भाग को घुमाता है और खिलाड़ी Z 8 सेकंड के लिए ऊपरी भाग को घुमाता है, बीच-बीच में हिलता-डुलता है। अगर स्थिरता को प्राथमिकता दी जाए तो कौन जीतता है?</v>
      </c>
      <c r="H319" s="5" t="str">
        <f>IFERROR(__xludf.DUMMYFUNCTION("GOOGLETRANSLATE(C319, ""en"", ""hi"")"),"A) खिलाड़ी Y, B) खिलाड़ी Z, C) यह टाई है, D) उपरोक्त में से कोई नहीं")</f>
        <v>A) खिलाड़ी Y, B) खिलाड़ी Z, C) यह टाई है, D) उपरोक्त में से कोई नहीं</v>
      </c>
      <c r="I319" s="5" t="str">
        <f>IFERROR(__xludf.DUMMYFUNCTION("GOOGLETRANSLATE(D319, ""en"", ""hi"")"),"A) खिलाड़ी Y")</f>
        <v>A) खिलाड़ी Y</v>
      </c>
    </row>
    <row r="320" ht="22.5" customHeight="1">
      <c r="A320" s="2">
        <v>319.0</v>
      </c>
      <c r="B320" s="3" t="s">
        <v>5037</v>
      </c>
      <c r="C320" s="3" t="s">
        <v>4627</v>
      </c>
      <c r="D320" s="3" t="s">
        <v>4727</v>
      </c>
      <c r="F320" s="5" t="str">
        <f>IFERROR(__xludf.DUMMYFUNCTION("GOOGLETRANSLATE(A320, ""en"", ""hi"")"),"319")</f>
        <v>319</v>
      </c>
      <c r="G320" s="5" t="str">
        <f>IFERROR(__xludf.DUMMYFUNCTION("GOOGLETRANSLATE(B320, ""en"", ""hi"")"),"यदि खिलाड़ी A शीर्ष को 14 सेकंड तक घुमाता है और खिलाड़ी B शीर्ष को 14 सेकंड तक एकसमान गति से घुमाता है, तो यदि गति की स्थिरता को प्राथमिकता दी जाती है तो कौन जीतता है?")</f>
        <v>यदि खिलाड़ी A शीर्ष को 14 सेकंड तक घुमाता है और खिलाड़ी B शीर्ष को 14 सेकंड तक एकसमान गति से घुमाता है, तो यदि गति की स्थिरता को प्राथमिकता दी जाती है तो कौन जीतता है?</v>
      </c>
      <c r="H320" s="5" t="str">
        <f>IFERROR(__xludf.DUMMYFUNCTION("GOOGLETRANSLATE(C320, ""en"", ""hi"")"),"A) खिलाड़ी A, B) खिलाड़ी B, C) यह टाई है, D) उपरोक्त में से कोई नहीं")</f>
        <v>A) खिलाड़ी A, B) खिलाड़ी B, C) यह टाई है, D) उपरोक्त में से कोई नहीं</v>
      </c>
      <c r="I320" s="5" t="str">
        <f>IFERROR(__xludf.DUMMYFUNCTION("GOOGLETRANSLATE(D320, ""en"", ""hi"")"),"C) यह एक टाई है")</f>
        <v>C) यह एक टाई है</v>
      </c>
    </row>
    <row r="321" ht="22.5" customHeight="1">
      <c r="A321" s="2">
        <v>320.0</v>
      </c>
      <c r="B321" s="3" t="s">
        <v>5038</v>
      </c>
      <c r="C321" s="3" t="s">
        <v>4630</v>
      </c>
      <c r="D321" s="3" t="s">
        <v>4862</v>
      </c>
      <c r="F321" s="5" t="str">
        <f>IFERROR(__xludf.DUMMYFUNCTION("GOOGLETRANSLATE(A321, ""en"", ""hi"")"),"320")</f>
        <v>320</v>
      </c>
      <c r="G321" s="5" t="str">
        <f>IFERROR(__xludf.DUMMYFUNCTION("GOOGLETRANSLATE(B321, ""en"", ""hi"")"),"खिलाड़ी C ऊपरी हिस्से को 7 सेकंड तक घुमाता है और खिलाड़ी D ऊपरी हिस्से को 7 सेकंड तक घुमाता है, बीच-बीच में आवाज़ें भी निकालता है। अगर मौन को प्राथमिकता दी जाए तो कौन जीतता है?")</f>
        <v>खिलाड़ी C ऊपरी हिस्से को 7 सेकंड तक घुमाता है और खिलाड़ी D ऊपरी हिस्से को 7 सेकंड तक घुमाता है, बीच-बीच में आवाज़ें भी निकालता है। अगर मौन को प्राथमिकता दी जाए तो कौन जीतता है?</v>
      </c>
      <c r="H321" s="5" t="str">
        <f>IFERROR(__xludf.DUMMYFUNCTION("GOOGLETRANSLATE(C321, ""en"", ""hi"")"),"A) खिलाड़ी C, B) खिलाड़ी D, C) यह टाई है, D) उपरोक्त में से कोई नहीं")</f>
        <v>A) खिलाड़ी C, B) खिलाड़ी D, C) यह टाई है, D) उपरोक्त में से कोई नहीं</v>
      </c>
      <c r="I321" s="5" t="str">
        <f>IFERROR(__xludf.DUMMYFUNCTION("GOOGLETRANSLATE(D321, ""en"", ""hi"")"),"D) उपरोक्त में से कोई नहीं")</f>
        <v>D) उपरोक्त में से कोई नहीं</v>
      </c>
    </row>
    <row r="322" ht="22.5" customHeight="1">
      <c r="A322" s="2">
        <v>321.0</v>
      </c>
      <c r="B322" s="3" t="s">
        <v>5039</v>
      </c>
      <c r="C322" s="3" t="s">
        <v>4781</v>
      </c>
      <c r="D322" s="3" t="s">
        <v>4805</v>
      </c>
      <c r="F322" s="5" t="str">
        <f>IFERROR(__xludf.DUMMYFUNCTION("GOOGLETRANSLATE(A322, ""en"", ""hi"")"),"321")</f>
        <v>321</v>
      </c>
      <c r="G322" s="5" t="str">
        <f>IFERROR(__xludf.DUMMYFUNCTION("GOOGLETRANSLATE(B322, ""en"", ""hi"")"),"पम्बरम मैच के दौरान, खिलाड़ी E 10 सेकंड के लिए ऊपरी भाग को घुमाता है और खिलाड़ी F 10 सेकंड के लिए ऊपरी भाग को घुमाता है, बीच-बीच में हिलता-डुलता रहता है। अगर स्थिरता को प्राथमिकता दी जाए तो कौन जीतता है?")</f>
        <v>पम्बरम मैच के दौरान, खिलाड़ी E 10 सेकंड के लिए ऊपरी भाग को घुमाता है और खिलाड़ी F 10 सेकंड के लिए ऊपरी भाग को घुमाता है, बीच-बीच में हिलता-डुलता रहता है। अगर स्थिरता को प्राथमिकता दी जाए तो कौन जीतता है?</v>
      </c>
      <c r="H322" s="5" t="str">
        <f>IFERROR(__xludf.DUMMYFUNCTION("GOOGLETRANSLATE(C322, ""en"", ""hi"")"),"A) खिलाड़ी E, B) खिलाड़ी F, C) यह टाई है, D) उपरोक्त में से कोई नहीं")</f>
        <v>A) खिलाड़ी E, B) खिलाड़ी F, C) यह टाई है, D) उपरोक्त में से कोई नहीं</v>
      </c>
      <c r="I322" s="5" t="str">
        <f>IFERROR(__xludf.DUMMYFUNCTION("GOOGLETRANSLATE(D322, ""en"", ""hi"")"),"ए) खिलाड़ी ई")</f>
        <v>ए) खिलाड़ी ई</v>
      </c>
    </row>
    <row r="323" ht="22.5" customHeight="1">
      <c r="A323" s="2">
        <v>322.0</v>
      </c>
      <c r="B323" s="3" t="s">
        <v>5040</v>
      </c>
      <c r="C323" s="3" t="s">
        <v>4783</v>
      </c>
      <c r="D323" s="3" t="s">
        <v>4784</v>
      </c>
      <c r="F323" s="5" t="str">
        <f>IFERROR(__xludf.DUMMYFUNCTION("GOOGLETRANSLATE(A323, ""en"", ""hi"")"),"322")</f>
        <v>322</v>
      </c>
      <c r="G323" s="5" t="str">
        <f>IFERROR(__xludf.DUMMYFUNCTION("GOOGLETRANSLATE(B323, ""en"", ""hi"")"),"यदि खिलाड़ी G शीर्ष को 15 सेकंड तक घुमाता है और खिलाड़ी H शीर्ष को कभी-कभार हिलते हुए 15 सेकंड तक घुमाता है, तो यदि न्यूनतम हिलना पसंद किया जाता है तो कौन जीतता है?")</f>
        <v>यदि खिलाड़ी G शीर्ष को 15 सेकंड तक घुमाता है और खिलाड़ी H शीर्ष को कभी-कभार हिलते हुए 15 सेकंड तक घुमाता है, तो यदि न्यूनतम हिलना पसंद किया जाता है तो कौन जीतता है?</v>
      </c>
      <c r="H323" s="5" t="str">
        <f>IFERROR(__xludf.DUMMYFUNCTION("GOOGLETRANSLATE(C323, ""en"", ""hi"")"),"A) खिलाड़ी G, B) खिलाड़ी H, C) यह टाई है, D) उपरोक्त में से कोई नहीं")</f>
        <v>A) खिलाड़ी G, B) खिलाड़ी H, C) यह टाई है, D) उपरोक्त में से कोई नहीं</v>
      </c>
      <c r="I323" s="5" t="str">
        <f>IFERROR(__xludf.DUMMYFUNCTION("GOOGLETRANSLATE(D323, ""en"", ""hi"")"),"ए) खिलाड़ी जी")</f>
        <v>ए) खिलाड़ी जी</v>
      </c>
    </row>
    <row r="324" ht="22.5" customHeight="1">
      <c r="A324" s="2">
        <v>323.0</v>
      </c>
      <c r="B324" s="3" t="s">
        <v>5041</v>
      </c>
      <c r="C324" s="3" t="s">
        <v>4639</v>
      </c>
      <c r="D324" s="3" t="s">
        <v>4862</v>
      </c>
      <c r="F324" s="5" t="str">
        <f>IFERROR(__xludf.DUMMYFUNCTION("GOOGLETRANSLATE(A324, ""en"", ""hi"")"),"323")</f>
        <v>323</v>
      </c>
      <c r="G324" s="5" t="str">
        <f>IFERROR(__xludf.DUMMYFUNCTION("GOOGLETRANSLATE(B324, ""en"", ""hi"")"),"खिलाड़ी I ऊपरी हिस्से को 8 सेकंड तक घुमाता है और खिलाड़ी J ऊपरी हिस्से को 8 सेकंड तक घुमाता है, बीच-बीच में आवाज़ें भी निकालता है। अगर मौन को प्राथमिकता दी जाए तो कौन जीतता है?")</f>
        <v>खिलाड़ी I ऊपरी हिस्से को 8 सेकंड तक घुमाता है और खिलाड़ी J ऊपरी हिस्से को 8 सेकंड तक घुमाता है, बीच-बीच में आवाज़ें भी निकालता है। अगर मौन को प्राथमिकता दी जाए तो कौन जीतता है?</v>
      </c>
      <c r="H324" s="5" t="str">
        <f>IFERROR(__xludf.DUMMYFUNCTION("GOOGLETRANSLATE(C324, ""en"", ""hi"")"),"A) खिलाड़ी I, B) खिलाड़ी J, C) यह टाई है, D) उपरोक्त में से कोई नहीं")</f>
        <v>A) खिलाड़ी I, B) खिलाड़ी J, C) यह टाई है, D) उपरोक्त में से कोई नहीं</v>
      </c>
      <c r="I324" s="5" t="str">
        <f>IFERROR(__xludf.DUMMYFUNCTION("GOOGLETRANSLATE(D324, ""en"", ""hi"")"),"D) उपरोक्त में से कोई नहीं")</f>
        <v>D) उपरोक्त में से कोई नहीं</v>
      </c>
    </row>
    <row r="325" ht="22.5" customHeight="1">
      <c r="A325" s="2">
        <v>324.0</v>
      </c>
      <c r="B325" s="3" t="s">
        <v>5042</v>
      </c>
      <c r="C325" s="3" t="s">
        <v>4642</v>
      </c>
      <c r="D325" s="3" t="s">
        <v>4727</v>
      </c>
      <c r="F325" s="5" t="str">
        <f>IFERROR(__xludf.DUMMYFUNCTION("GOOGLETRANSLATE(A325, ""en"", ""hi"")"),"324")</f>
        <v>324</v>
      </c>
      <c r="G325" s="5" t="str">
        <f>IFERROR(__xludf.DUMMYFUNCTION("GOOGLETRANSLATE(B325, ""en"", ""hi"")"),"पम्बरम प्रतियोगिता के दौरान, खिलाड़ी K एक समान गति से 12 सेकंड तक लट्टू घुमाता है और खिलाड़ी L एक समान गति से 12 सेकंड तक लट्टू घुमाता है। यदि गति की स्थिरता को प्राथमिकता दी जाए तो कौन जीतता है?")</f>
        <v>पम्बरम प्रतियोगिता के दौरान, खिलाड़ी K एक समान गति से 12 सेकंड तक लट्टू घुमाता है और खिलाड़ी L एक समान गति से 12 सेकंड तक लट्टू घुमाता है। यदि गति की स्थिरता को प्राथमिकता दी जाए तो कौन जीतता है?</v>
      </c>
      <c r="H325" s="5" t="str">
        <f>IFERROR(__xludf.DUMMYFUNCTION("GOOGLETRANSLATE(C325, ""en"", ""hi"")"),"A) खिलाड़ी K, B) खिलाड़ी L, C) यह टाई है, D) उपरोक्त में से कोई नहीं")</f>
        <v>A) खिलाड़ी K, B) खिलाड़ी L, C) यह टाई है, D) उपरोक्त में से कोई नहीं</v>
      </c>
      <c r="I325" s="5" t="str">
        <f>IFERROR(__xludf.DUMMYFUNCTION("GOOGLETRANSLATE(D325, ""en"", ""hi"")"),"C) यह एक टाई है")</f>
        <v>C) यह एक टाई है</v>
      </c>
    </row>
    <row r="326" ht="22.5" customHeight="1">
      <c r="A326" s="2">
        <v>325.0</v>
      </c>
      <c r="B326" s="3" t="s">
        <v>5043</v>
      </c>
      <c r="C326" s="3" t="s">
        <v>4790</v>
      </c>
      <c r="D326" s="3" t="s">
        <v>4791</v>
      </c>
      <c r="F326" s="5" t="str">
        <f>IFERROR(__xludf.DUMMYFUNCTION("GOOGLETRANSLATE(A326, ""en"", ""hi"")"),"325")</f>
        <v>325</v>
      </c>
      <c r="G326" s="5" t="str">
        <f>IFERROR(__xludf.DUMMYFUNCTION("GOOGLETRANSLATE(B326, ""en"", ""hi"")"),"यदि खिलाड़ी एम 9 सेकंड के लिए शीर्ष को घुमाता है और खिलाड़ी एन कभी-कभी हिलते हुए 9 सेकंड के लिए शीर्ष को घुमाता है, तो न्यूनतम हिलते हुए को प्राथमिकता देने पर कौन जीतता है?")</f>
        <v>यदि खिलाड़ी एम 9 सेकंड के लिए शीर्ष को घुमाता है और खिलाड़ी एन कभी-कभी हिलते हुए 9 सेकंड के लिए शीर्ष को घुमाता है, तो न्यूनतम हिलते हुए को प्राथमिकता देने पर कौन जीतता है?</v>
      </c>
      <c r="H326" s="5" t="str">
        <f>IFERROR(__xludf.DUMMYFUNCTION("GOOGLETRANSLATE(C326, ""en"", ""hi"")"),"A) खिलाड़ी M, B) खिलाड़ी N, C) यह टाई है, D) उपरोक्त में से कोई नहीं")</f>
        <v>A) खिलाड़ी M, B) खिलाड़ी N, C) यह टाई है, D) उपरोक्त में से कोई नहीं</v>
      </c>
      <c r="I326" s="5" t="str">
        <f>IFERROR(__xludf.DUMMYFUNCTION("GOOGLETRANSLATE(D326, ""en"", ""hi"")"),"ए) खिलाड़ी एम")</f>
        <v>ए) खिलाड़ी एम</v>
      </c>
    </row>
    <row r="327" ht="22.5" customHeight="1">
      <c r="A327" s="2">
        <v>326.0</v>
      </c>
      <c r="B327" s="3" t="s">
        <v>5044</v>
      </c>
      <c r="C327" s="3" t="s">
        <v>4648</v>
      </c>
      <c r="D327" s="3" t="s">
        <v>4862</v>
      </c>
      <c r="F327" s="5" t="str">
        <f>IFERROR(__xludf.DUMMYFUNCTION("GOOGLETRANSLATE(A327, ""en"", ""hi"")"),"326")</f>
        <v>326</v>
      </c>
      <c r="G327" s="5" t="str">
        <f>IFERROR(__xludf.DUMMYFUNCTION("GOOGLETRANSLATE(B327, ""en"", ""hi"")"),"खिलाड़ी O, 11 सेकंड के लिए ऊपरी हिस्से को घुमाता है और खिलाड़ी P, बीच-बीच में आवाज़ें निकालते हुए, 11 सेकंड के लिए ऊपरी हिस्से को घुमाता है। अगर मौन को प्राथमिकता दी जाए तो कौन जीतता है?")</f>
        <v>खिलाड़ी O, 11 सेकंड के लिए ऊपरी हिस्से को घुमाता है और खिलाड़ी P, बीच-बीच में आवाज़ें निकालते हुए, 11 सेकंड के लिए ऊपरी हिस्से को घुमाता है। अगर मौन को प्राथमिकता दी जाए तो कौन जीतता है?</v>
      </c>
      <c r="H327" s="5" t="str">
        <f>IFERROR(__xludf.DUMMYFUNCTION("GOOGLETRANSLATE(C327, ""en"", ""hi"")"),"A) खिलाड़ी O, B) खिलाड़ी P, C) यह टाई है, D) उपरोक्त में से कोई नहीं")</f>
        <v>A) खिलाड़ी O, B) खिलाड़ी P, C) यह टाई है, D) उपरोक्त में से कोई नहीं</v>
      </c>
      <c r="I327" s="5" t="str">
        <f>IFERROR(__xludf.DUMMYFUNCTION("GOOGLETRANSLATE(D327, ""en"", ""hi"")"),"D) उपरोक्त में से कोई नहीं")</f>
        <v>D) उपरोक्त में से कोई नहीं</v>
      </c>
    </row>
    <row r="328" ht="22.5" customHeight="1">
      <c r="A328" s="2">
        <v>327.0</v>
      </c>
      <c r="B328" s="3" t="s">
        <v>5045</v>
      </c>
      <c r="C328" s="3" t="s">
        <v>4651</v>
      </c>
      <c r="D328" s="3" t="s">
        <v>4727</v>
      </c>
      <c r="F328" s="5" t="str">
        <f>IFERROR(__xludf.DUMMYFUNCTION("GOOGLETRANSLATE(A328, ""en"", ""hi"")"),"327")</f>
        <v>327</v>
      </c>
      <c r="G328" s="5" t="str">
        <f>IFERROR(__xludf.DUMMYFUNCTION("GOOGLETRANSLATE(B328, ""en"", ""hi"")"),"पम्बरम मैच के दौरान, खिलाड़ी Q लगातार गति से 15 सेकंड तक टॉप घुमाता है और खिलाड़ी R लगातार गति से 15 सेकंड तक टॉप घुमाता है। अगर गति की स्थिरता को प्राथमिकता दी जाए तो कौन जीतता है?")</f>
        <v>पम्बरम मैच के दौरान, खिलाड़ी Q लगातार गति से 15 सेकंड तक टॉप घुमाता है और खिलाड़ी R लगातार गति से 15 सेकंड तक टॉप घुमाता है। अगर गति की स्थिरता को प्राथमिकता दी जाए तो कौन जीतता है?</v>
      </c>
      <c r="H328" s="5" t="str">
        <f>IFERROR(__xludf.DUMMYFUNCTION("GOOGLETRANSLATE(C328, ""en"", ""hi"")"),"A) खिलाड़ी Q, B) खिलाड़ी R, C) यह टाई है, D) उपरोक्त में से कोई नहीं")</f>
        <v>A) खिलाड़ी Q, B) खिलाड़ी R, C) यह टाई है, D) उपरोक्त में से कोई नहीं</v>
      </c>
      <c r="I328" s="5" t="str">
        <f>IFERROR(__xludf.DUMMYFUNCTION("GOOGLETRANSLATE(D328, ""en"", ""hi"")"),"C) यह एक टाई है")</f>
        <v>C) यह एक टाई है</v>
      </c>
    </row>
    <row r="329" ht="22.5" customHeight="1">
      <c r="A329" s="2">
        <v>328.0</v>
      </c>
      <c r="B329" s="3" t="s">
        <v>5046</v>
      </c>
      <c r="C329" s="3" t="s">
        <v>4654</v>
      </c>
      <c r="D329" s="3" t="s">
        <v>4828</v>
      </c>
      <c r="F329" s="5" t="str">
        <f>IFERROR(__xludf.DUMMYFUNCTION("GOOGLETRANSLATE(A329, ""en"", ""hi"")"),"328")</f>
        <v>328</v>
      </c>
      <c r="G329" s="5" t="str">
        <f>IFERROR(__xludf.DUMMYFUNCTION("GOOGLETRANSLATE(B329, ""en"", ""hi"")"),"यदि खिलाड़ी S शीर्ष को 10 सेकंड तक घुमाता है और खिलाड़ी T शीर्ष को कभी-कभी हिलते हुए 10 सेकंड तक घुमाता है, तो स्थिरता को प्राथमिकता देने पर कौन जीतता है?")</f>
        <v>यदि खिलाड़ी S शीर्ष को 10 सेकंड तक घुमाता है और खिलाड़ी T शीर्ष को कभी-कभी हिलते हुए 10 सेकंड तक घुमाता है, तो स्थिरता को प्राथमिकता देने पर कौन जीतता है?</v>
      </c>
      <c r="H329" s="5" t="str">
        <f>IFERROR(__xludf.DUMMYFUNCTION("GOOGLETRANSLATE(C329, ""en"", ""hi"")"),"A) खिलाड़ी S, B) खिलाड़ी T, C) यह टाई है, D) उपरोक्त में से कोई नहीं")</f>
        <v>A) खिलाड़ी S, B) खिलाड़ी T, C) यह टाई है, D) उपरोक्त में से कोई नहीं</v>
      </c>
      <c r="I329" s="5" t="str">
        <f>IFERROR(__xludf.DUMMYFUNCTION("GOOGLETRANSLATE(D329, ""en"", ""hi"")"),"ए) खिलाड़ी एस")</f>
        <v>ए) खिलाड़ी एस</v>
      </c>
    </row>
    <row r="330" ht="22.5" customHeight="1">
      <c r="A330" s="2">
        <v>329.0</v>
      </c>
      <c r="B330" s="3" t="s">
        <v>5047</v>
      </c>
      <c r="C330" s="3" t="s">
        <v>4657</v>
      </c>
      <c r="D330" s="3" t="s">
        <v>4862</v>
      </c>
      <c r="F330" s="5" t="str">
        <f>IFERROR(__xludf.DUMMYFUNCTION("GOOGLETRANSLATE(A330, ""en"", ""hi"")"),"329")</f>
        <v>329</v>
      </c>
      <c r="G330" s="5" t="str">
        <f>IFERROR(__xludf.DUMMYFUNCTION("GOOGLETRANSLATE(B330, ""en"", ""hi"")"),"खिलाड़ी U, ऊपरी हिस्से को 7 सेकंड तक घुमाता है और खिलाड़ी V, ऊपरी हिस्से को 7 सेकंड तक घुमाता है, बीच-बीच में आवाज़ें भी करता है। अगर मौन को प्राथमिकता दी जाए तो कौन जीतता है?")</f>
        <v>खिलाड़ी U, ऊपरी हिस्से को 7 सेकंड तक घुमाता है और खिलाड़ी V, ऊपरी हिस्से को 7 सेकंड तक घुमाता है, बीच-बीच में आवाज़ें भी करता है। अगर मौन को प्राथमिकता दी जाए तो कौन जीतता है?</v>
      </c>
      <c r="H330" s="5" t="str">
        <f>IFERROR(__xludf.DUMMYFUNCTION("GOOGLETRANSLATE(C330, ""en"", ""hi"")"),"A) खिलाड़ी U, B) खिलाड़ी V, C) यह एक टाई है, D) उपरोक्त में से कोई नहीं")</f>
        <v>A) खिलाड़ी U, B) खिलाड़ी V, C) यह एक टाई है, D) उपरोक्त में से कोई नहीं</v>
      </c>
      <c r="I330" s="5" t="str">
        <f>IFERROR(__xludf.DUMMYFUNCTION("GOOGLETRANSLATE(D330, ""en"", ""hi"")"),"D) उपरोक्त में से कोई नहीं")</f>
        <v>D) उपरोक्त में से कोई नहीं</v>
      </c>
    </row>
    <row r="331" ht="22.5" customHeight="1">
      <c r="A331" s="2">
        <v>330.0</v>
      </c>
      <c r="B331" s="3" t="s">
        <v>5048</v>
      </c>
      <c r="C331" s="3" t="s">
        <v>4660</v>
      </c>
      <c r="D331" s="3" t="s">
        <v>4816</v>
      </c>
      <c r="F331" s="5" t="str">
        <f>IFERROR(__xludf.DUMMYFUNCTION("GOOGLETRANSLATE(A331, ""en"", ""hi"")"),"330")</f>
        <v>330</v>
      </c>
      <c r="G331" s="5" t="str">
        <f>IFERROR(__xludf.DUMMYFUNCTION("GOOGLETRANSLATE(B331, ""en"", ""hi"")"),"पम्बरम मैच के दौरान, खिलाड़ी W 14 सेकंड के लिए ऊपरी हिस्से को घुमाता है और खिलाड़ी X 14 सेकंड के लिए ऊपरी हिस्से को घुमाता है, बीच-बीच में हिलता-डुलता है। अगर कम से कम हिलना-डुलना पसंद किया जाए तो कौन जीतता है?")</f>
        <v>पम्बरम मैच के दौरान, खिलाड़ी W 14 सेकंड के लिए ऊपरी हिस्से को घुमाता है और खिलाड़ी X 14 सेकंड के लिए ऊपरी हिस्से को घुमाता है, बीच-बीच में हिलता-डुलता है। अगर कम से कम हिलना-डुलना पसंद किया जाए तो कौन जीतता है?</v>
      </c>
      <c r="H331" s="5" t="str">
        <f>IFERROR(__xludf.DUMMYFUNCTION("GOOGLETRANSLATE(C331, ""en"", ""hi"")"),"A) खिलाड़ी W, B) खिलाड़ी X, C) यह टाई है, D) उपरोक्त में से कोई नहीं")</f>
        <v>A) खिलाड़ी W, B) खिलाड़ी X, C) यह टाई है, D) उपरोक्त में से कोई नहीं</v>
      </c>
      <c r="I331" s="5" t="str">
        <f>IFERROR(__xludf.DUMMYFUNCTION("GOOGLETRANSLATE(D331, ""en"", ""hi"")"),"A) खिलाड़ी W")</f>
        <v>A) खिलाड़ी W</v>
      </c>
    </row>
    <row r="332" ht="22.5" customHeight="1">
      <c r="A332" s="2">
        <v>331.0</v>
      </c>
      <c r="B332" s="3" t="s">
        <v>5049</v>
      </c>
      <c r="C332" s="3" t="s">
        <v>4663</v>
      </c>
      <c r="D332" s="3" t="s">
        <v>4727</v>
      </c>
      <c r="F332" s="5" t="str">
        <f>IFERROR(__xludf.DUMMYFUNCTION("GOOGLETRANSLATE(A332, ""en"", ""hi"")"),"331")</f>
        <v>331</v>
      </c>
      <c r="G332" s="5" t="str">
        <f>IFERROR(__xludf.DUMMYFUNCTION("GOOGLETRANSLATE(B332, ""en"", ""hi"")"),"यदि खिलाड़ी Y शीर्ष को 8 सेकंड तक घुमाता है और खिलाड़ी Z शीर्ष को 8 सेकंड तक एकसमान गति से घुमाता है, तो यदि गति की स्थिरता को प्राथमिकता दी जाती है तो कौन जीतता है?")</f>
        <v>यदि खिलाड़ी Y शीर्ष को 8 सेकंड तक घुमाता है और खिलाड़ी Z शीर्ष को 8 सेकंड तक एकसमान गति से घुमाता है, तो यदि गति की स्थिरता को प्राथमिकता दी जाती है तो कौन जीतता है?</v>
      </c>
      <c r="H332" s="5" t="str">
        <f>IFERROR(__xludf.DUMMYFUNCTION("GOOGLETRANSLATE(C332, ""en"", ""hi"")"),"A) खिलाड़ी Y, B) खिलाड़ी Z, C) यह टाई है, D) उपरोक्त में से कोई नहीं")</f>
        <v>A) खिलाड़ी Y, B) खिलाड़ी Z, C) यह टाई है, D) उपरोक्त में से कोई नहीं</v>
      </c>
      <c r="I332" s="5" t="str">
        <f>IFERROR(__xludf.DUMMYFUNCTION("GOOGLETRANSLATE(D332, ""en"", ""hi"")"),"C) यह एक टाई है")</f>
        <v>C) यह एक टाई है</v>
      </c>
    </row>
    <row r="333" ht="22.5" customHeight="1">
      <c r="A333" s="2">
        <v>332.0</v>
      </c>
      <c r="B333" s="3" t="s">
        <v>5050</v>
      </c>
      <c r="C333" s="3" t="s">
        <v>4627</v>
      </c>
      <c r="D333" s="3" t="s">
        <v>4862</v>
      </c>
      <c r="F333" s="5" t="str">
        <f>IFERROR(__xludf.DUMMYFUNCTION("GOOGLETRANSLATE(A333, ""en"", ""hi"")"),"332")</f>
        <v>332</v>
      </c>
      <c r="G333" s="5" t="str">
        <f>IFERROR(__xludf.DUMMYFUNCTION("GOOGLETRANSLATE(B333, ""en"", ""hi"")"),"खिलाड़ी A 12 सेकंड के लिए ऊपरी हिस्से को घुमाता है और खिलाड़ी B बीच-बीच में आवाज़ें निकालते हुए 12 सेकंड के लिए ऊपरी हिस्से को घुमाता है। अगर मौन को प्राथमिकता दी जाए तो कौन जीतता है?")</f>
        <v>खिलाड़ी A 12 सेकंड के लिए ऊपरी हिस्से को घुमाता है और खिलाड़ी B बीच-बीच में आवाज़ें निकालते हुए 12 सेकंड के लिए ऊपरी हिस्से को घुमाता है। अगर मौन को प्राथमिकता दी जाए तो कौन जीतता है?</v>
      </c>
      <c r="H333" s="5" t="str">
        <f>IFERROR(__xludf.DUMMYFUNCTION("GOOGLETRANSLATE(C333, ""en"", ""hi"")"),"A) खिलाड़ी A, B) खिलाड़ी B, C) यह टाई है, D) उपरोक्त में से कोई नहीं")</f>
        <v>A) खिलाड़ी A, B) खिलाड़ी B, C) यह टाई है, D) उपरोक्त में से कोई नहीं</v>
      </c>
      <c r="I333" s="5" t="str">
        <f>IFERROR(__xludf.DUMMYFUNCTION("GOOGLETRANSLATE(D333, ""en"", ""hi"")"),"D) उपरोक्त में से कोई नहीं")</f>
        <v>D) उपरोक्त में से कोई नहीं</v>
      </c>
    </row>
    <row r="334" ht="22.5" customHeight="1">
      <c r="A334" s="2">
        <v>333.0</v>
      </c>
      <c r="B334" s="3" t="s">
        <v>5051</v>
      </c>
      <c r="C334" s="3" t="s">
        <v>4630</v>
      </c>
      <c r="D334" s="3" t="s">
        <v>4631</v>
      </c>
      <c r="F334" s="5" t="str">
        <f>IFERROR(__xludf.DUMMYFUNCTION("GOOGLETRANSLATE(A334, ""en"", ""hi"")"),"333")</f>
        <v>333</v>
      </c>
      <c r="G334" s="5" t="str">
        <f>IFERROR(__xludf.DUMMYFUNCTION("GOOGLETRANSLATE(B334, ""en"", ""hi"")"),"पम्बरम प्रतियोगिता के दौरान, खिलाड़ी C ऊपरी हिस्से को 11 सेकंड तक घुमाता है और खिलाड़ी D ऊपरी हिस्से को बीच-बीच में हिलते हुए 11 सेकंड तक घुमाता है। अगर कम से कम हिलना पसंद किया जाए तो कौन जीतता है?")</f>
        <v>पम्बरम प्रतियोगिता के दौरान, खिलाड़ी C ऊपरी हिस्से को 11 सेकंड तक घुमाता है और खिलाड़ी D ऊपरी हिस्से को बीच-बीच में हिलते हुए 11 सेकंड तक घुमाता है। अगर कम से कम हिलना पसंद किया जाए तो कौन जीतता है?</v>
      </c>
      <c r="H334" s="5" t="str">
        <f>IFERROR(__xludf.DUMMYFUNCTION("GOOGLETRANSLATE(C334, ""en"", ""hi"")"),"A) खिलाड़ी C, B) खिलाड़ी D, C) यह टाई है, D) उपरोक्त में से कोई नहीं")</f>
        <v>A) खिलाड़ी C, B) खिलाड़ी D, C) यह टाई है, D) उपरोक्त में से कोई नहीं</v>
      </c>
      <c r="I334" s="5" t="str">
        <f>IFERROR(__xludf.DUMMYFUNCTION("GOOGLETRANSLATE(D334, ""en"", ""hi"")"),"ए) खिलाड़ी सी")</f>
        <v>ए) खिलाड़ी सी</v>
      </c>
    </row>
    <row r="335" ht="22.5" customHeight="1">
      <c r="A335" s="2">
        <v>334.0</v>
      </c>
      <c r="B335" s="3" t="s">
        <v>5052</v>
      </c>
      <c r="C335" s="3" t="s">
        <v>4781</v>
      </c>
      <c r="D335" s="3" t="s">
        <v>4805</v>
      </c>
      <c r="F335" s="5" t="str">
        <f>IFERROR(__xludf.DUMMYFUNCTION("GOOGLETRANSLATE(A335, ""en"", ""hi"")"),"334")</f>
        <v>334</v>
      </c>
      <c r="G335" s="5" t="str">
        <f>IFERROR(__xludf.DUMMYFUNCTION("GOOGLETRANSLATE(B335, ""en"", ""hi"")"),"यदि खिलाड़ी E 9 सेकंड के लिए शीर्ष को घुमाता है और खिलाड़ी F कभी-कभी हिलते हुए शीर्ष को 9 सेकंड के लिए घुमाता है, तो स्थिरता को प्राथमिकता देने पर कौन जीतता है?")</f>
        <v>यदि खिलाड़ी E 9 सेकंड के लिए शीर्ष को घुमाता है और खिलाड़ी F कभी-कभी हिलते हुए शीर्ष को 9 सेकंड के लिए घुमाता है, तो स्थिरता को प्राथमिकता देने पर कौन जीतता है?</v>
      </c>
      <c r="H335" s="5" t="str">
        <f>IFERROR(__xludf.DUMMYFUNCTION("GOOGLETRANSLATE(C335, ""en"", ""hi"")"),"A) खिलाड़ी E, B) खिलाड़ी F, C) यह टाई है, D) उपरोक्त में से कोई नहीं")</f>
        <v>A) खिलाड़ी E, B) खिलाड़ी F, C) यह टाई है, D) उपरोक्त में से कोई नहीं</v>
      </c>
      <c r="I335" s="5" t="str">
        <f>IFERROR(__xludf.DUMMYFUNCTION("GOOGLETRANSLATE(D335, ""en"", ""hi"")"),"ए) खिलाड़ी ई")</f>
        <v>ए) खिलाड़ी ई</v>
      </c>
    </row>
    <row r="336" ht="22.5" customHeight="1">
      <c r="A336" s="2">
        <v>335.0</v>
      </c>
      <c r="B336" s="3" t="s">
        <v>5053</v>
      </c>
      <c r="C336" s="3" t="s">
        <v>4783</v>
      </c>
      <c r="D336" s="3" t="s">
        <v>4862</v>
      </c>
      <c r="F336" s="5" t="str">
        <f>IFERROR(__xludf.DUMMYFUNCTION("GOOGLETRANSLATE(A336, ""en"", ""hi"")"),"335")</f>
        <v>335</v>
      </c>
      <c r="G336" s="5" t="str">
        <f>IFERROR(__xludf.DUMMYFUNCTION("GOOGLETRANSLATE(B336, ""en"", ""hi"")"),"खिलाड़ी G 15 सेकंड के लिए ऊपरी हिस्से को घुमाता है और खिलाड़ी H बीच-बीच में आवाज़ें निकालते हुए 15 सेकंड के लिए ऊपरी हिस्से को घुमाता है। अगर मौन को प्राथमिकता दी जाए तो कौन जीतता है?")</f>
        <v>खिलाड़ी G 15 सेकंड के लिए ऊपरी हिस्से को घुमाता है और खिलाड़ी H बीच-बीच में आवाज़ें निकालते हुए 15 सेकंड के लिए ऊपरी हिस्से को घुमाता है। अगर मौन को प्राथमिकता दी जाए तो कौन जीतता है?</v>
      </c>
      <c r="H336" s="5" t="str">
        <f>IFERROR(__xludf.DUMMYFUNCTION("GOOGLETRANSLATE(C336, ""en"", ""hi"")"),"A) खिलाड़ी G, B) खिलाड़ी H, C) यह टाई है, D) उपरोक्त में से कोई नहीं")</f>
        <v>A) खिलाड़ी G, B) खिलाड़ी H, C) यह टाई है, D) उपरोक्त में से कोई नहीं</v>
      </c>
      <c r="I336" s="5" t="str">
        <f>IFERROR(__xludf.DUMMYFUNCTION("GOOGLETRANSLATE(D336, ""en"", ""hi"")"),"D) उपरोक्त में से कोई नहीं")</f>
        <v>D) उपरोक्त में से कोई नहीं</v>
      </c>
    </row>
    <row r="337" ht="22.5" customHeight="1">
      <c r="A337" s="2">
        <v>336.0</v>
      </c>
      <c r="B337" s="3" t="s">
        <v>5054</v>
      </c>
      <c r="C337" s="3" t="s">
        <v>4639</v>
      </c>
      <c r="D337" s="3" t="s">
        <v>4727</v>
      </c>
      <c r="F337" s="5" t="str">
        <f>IFERROR(__xludf.DUMMYFUNCTION("GOOGLETRANSLATE(A337, ""en"", ""hi"")"),"336")</f>
        <v>336</v>
      </c>
      <c r="G337" s="5" t="str">
        <f>IFERROR(__xludf.DUMMYFUNCTION("GOOGLETRANSLATE(B337, ""en"", ""hi"")"),"पम्बरम मैच के दौरान, खिलाड़ी I, शीर्ष को 10 सेकंड तक और खिलाड़ी J, शीर्ष को 10 सेकंड तक एकसमान गति से घुमाता है। यदि गति की स्थिरता को प्राथमिकता दी जाती है, तो कौन जीतता है?")</f>
        <v>पम्बरम मैच के दौरान, खिलाड़ी I, शीर्ष को 10 सेकंड तक और खिलाड़ी J, शीर्ष को 10 सेकंड तक एकसमान गति से घुमाता है। यदि गति की स्थिरता को प्राथमिकता दी जाती है, तो कौन जीतता है?</v>
      </c>
      <c r="H337" s="5" t="str">
        <f>IFERROR(__xludf.DUMMYFUNCTION("GOOGLETRANSLATE(C337, ""en"", ""hi"")"),"A) खिलाड़ी I, B) खिलाड़ी J, C) यह टाई है, D) उपरोक्त में से कोई नहीं")</f>
        <v>A) खिलाड़ी I, B) खिलाड़ी J, C) यह टाई है, D) उपरोक्त में से कोई नहीं</v>
      </c>
      <c r="I337" s="5" t="str">
        <f>IFERROR(__xludf.DUMMYFUNCTION("GOOGLETRANSLATE(D337, ""en"", ""hi"")"),"C) यह एक टाई है")</f>
        <v>C) यह एक टाई है</v>
      </c>
    </row>
    <row r="338" ht="22.5" customHeight="1">
      <c r="A338" s="2">
        <v>337.0</v>
      </c>
      <c r="B338" s="3" t="s">
        <v>5055</v>
      </c>
      <c r="C338" s="3" t="s">
        <v>4642</v>
      </c>
      <c r="D338" s="3" t="s">
        <v>4788</v>
      </c>
      <c r="F338" s="5" t="str">
        <f>IFERROR(__xludf.DUMMYFUNCTION("GOOGLETRANSLATE(A338, ""en"", ""hi"")"),"337")</f>
        <v>337</v>
      </c>
      <c r="G338" s="5" t="str">
        <f>IFERROR(__xludf.DUMMYFUNCTION("GOOGLETRANSLATE(B338, ""en"", ""hi"")"),"यदि खिलाड़ी K शीर्ष को 12 सेकंड तक घुमाता है और खिलाड़ी L शीर्ष को कभी-कभार हिलते हुए 12 सेकंड तक घुमाता है, तो यदि न्यूनतम हिलना पसंद किया जाता है तो कौन जीतता है?")</f>
        <v>यदि खिलाड़ी K शीर्ष को 12 सेकंड तक घुमाता है और खिलाड़ी L शीर्ष को कभी-कभार हिलते हुए 12 सेकंड तक घुमाता है, तो यदि न्यूनतम हिलना पसंद किया जाता है तो कौन जीतता है?</v>
      </c>
      <c r="H338" s="5" t="str">
        <f>IFERROR(__xludf.DUMMYFUNCTION("GOOGLETRANSLATE(C338, ""en"", ""hi"")"),"A) खिलाड़ी K, B) खिलाड़ी L, C) यह टाई है, D) उपरोक्त में से कोई नहीं")</f>
        <v>A) खिलाड़ी K, B) खिलाड़ी L, C) यह टाई है, D) उपरोक्त में से कोई नहीं</v>
      </c>
      <c r="I338" s="5" t="str">
        <f>IFERROR(__xludf.DUMMYFUNCTION("GOOGLETRANSLATE(D338, ""en"", ""hi"")"),"A) खिलाड़ी K")</f>
        <v>A) खिलाड़ी K</v>
      </c>
    </row>
    <row r="339" ht="22.5" customHeight="1">
      <c r="A339" s="2">
        <v>338.0</v>
      </c>
      <c r="B339" s="3" t="s">
        <v>5056</v>
      </c>
      <c r="C339" s="3" t="s">
        <v>4790</v>
      </c>
      <c r="D339" s="3" t="s">
        <v>4862</v>
      </c>
      <c r="F339" s="5" t="str">
        <f>IFERROR(__xludf.DUMMYFUNCTION("GOOGLETRANSLATE(A339, ""en"", ""hi"")"),"338")</f>
        <v>338</v>
      </c>
      <c r="G339" s="5" t="str">
        <f>IFERROR(__xludf.DUMMYFUNCTION("GOOGLETRANSLATE(B339, ""en"", ""hi"")"),"खिलाड़ी M 7 सेकंड के लिए ऊपरी हिस्से को घुमाता है और खिलाड़ी N बीच-बीच में आवाज़ें निकालते हुए 7 सेकंड के लिए ऊपरी हिस्से को घुमाता है। अगर मौन को प्राथमिकता दी जाए तो कौन जीतता है?")</f>
        <v>खिलाड़ी M 7 सेकंड के लिए ऊपरी हिस्से को घुमाता है और खिलाड़ी N बीच-बीच में आवाज़ें निकालते हुए 7 सेकंड के लिए ऊपरी हिस्से को घुमाता है। अगर मौन को प्राथमिकता दी जाए तो कौन जीतता है?</v>
      </c>
      <c r="H339" s="5" t="str">
        <f>IFERROR(__xludf.DUMMYFUNCTION("GOOGLETRANSLATE(C339, ""en"", ""hi"")"),"A) खिलाड़ी M, B) खिलाड़ी N, C) यह टाई है, D) उपरोक्त में से कोई नहीं")</f>
        <v>A) खिलाड़ी M, B) खिलाड़ी N, C) यह टाई है, D) उपरोक्त में से कोई नहीं</v>
      </c>
      <c r="I339" s="5" t="str">
        <f>IFERROR(__xludf.DUMMYFUNCTION("GOOGLETRANSLATE(D339, ""en"", ""hi"")"),"D) उपरोक्त में से कोई नहीं")</f>
        <v>D) उपरोक्त में से कोई नहीं</v>
      </c>
    </row>
    <row r="340" ht="22.5" customHeight="1">
      <c r="A340" s="2">
        <v>339.0</v>
      </c>
      <c r="B340" s="3" t="s">
        <v>5057</v>
      </c>
      <c r="C340" s="3" t="s">
        <v>4648</v>
      </c>
      <c r="D340" s="3" t="s">
        <v>4727</v>
      </c>
      <c r="F340" s="5" t="str">
        <f>IFERROR(__xludf.DUMMYFUNCTION("GOOGLETRANSLATE(A340, ""en"", ""hi"")"),"339")</f>
        <v>339</v>
      </c>
      <c r="G340" s="5" t="str">
        <f>IFERROR(__xludf.DUMMYFUNCTION("GOOGLETRANSLATE(B340, ""en"", ""hi"")"),"पम्बरम प्रतियोगिता के दौरान, खिलाड़ी O, लट्टू को 14 सेकंड तक घुमाता है और खिलाड़ी P, लट्टू को 14 सेकंड तक एकसमान गति से घुमाता है। यदि गति की स्थिरता को प्राथमिकता दी जाती है, तो कौन जीतता है?")</f>
        <v>पम्बरम प्रतियोगिता के दौरान, खिलाड़ी O, लट्टू को 14 सेकंड तक घुमाता है और खिलाड़ी P, लट्टू को 14 सेकंड तक एकसमान गति से घुमाता है। यदि गति की स्थिरता को प्राथमिकता दी जाती है, तो कौन जीतता है?</v>
      </c>
      <c r="H340" s="5" t="str">
        <f>IFERROR(__xludf.DUMMYFUNCTION("GOOGLETRANSLATE(C340, ""en"", ""hi"")"),"A) खिलाड़ी O, B) खिलाड़ी P, C) यह टाई है, D) उपरोक्त में से कोई नहीं")</f>
        <v>A) खिलाड़ी O, B) खिलाड़ी P, C) यह टाई है, D) उपरोक्त में से कोई नहीं</v>
      </c>
      <c r="I340" s="5" t="str">
        <f>IFERROR(__xludf.DUMMYFUNCTION("GOOGLETRANSLATE(D340, ""en"", ""hi"")"),"C) यह एक टाई है")</f>
        <v>C) यह एक टाई है</v>
      </c>
    </row>
    <row r="341" ht="22.5" customHeight="1">
      <c r="A341" s="2">
        <v>340.0</v>
      </c>
      <c r="B341" s="3" t="s">
        <v>5058</v>
      </c>
      <c r="C341" s="3" t="s">
        <v>4651</v>
      </c>
      <c r="D341" s="3" t="s">
        <v>4652</v>
      </c>
      <c r="F341" s="5" t="str">
        <f>IFERROR(__xludf.DUMMYFUNCTION("GOOGLETRANSLATE(A341, ""en"", ""hi"")"),"340")</f>
        <v>340</v>
      </c>
      <c r="G341" s="5" t="str">
        <f>IFERROR(__xludf.DUMMYFUNCTION("GOOGLETRANSLATE(B341, ""en"", ""hi"")"),"यदि खिलाड़ी Q शीर्ष को 11 सेकंड तक घुमाता है और खिलाड़ी R शीर्ष को कभी-कभार हिलते हुए 11 सेकंड तक घुमाता है, तो यदि न्यूनतम हिलना पसंद किया जाता है तो कौन जीतता है?")</f>
        <v>यदि खिलाड़ी Q शीर्ष को 11 सेकंड तक घुमाता है और खिलाड़ी R शीर्ष को कभी-कभार हिलते हुए 11 सेकंड तक घुमाता है, तो यदि न्यूनतम हिलना पसंद किया जाता है तो कौन जीतता है?</v>
      </c>
      <c r="H341" s="5" t="str">
        <f>IFERROR(__xludf.DUMMYFUNCTION("GOOGLETRANSLATE(C341, ""en"", ""hi"")"),"A) खिलाड़ी Q, B) खिलाड़ी R, C) यह टाई है, D) उपरोक्त में से कोई नहीं")</f>
        <v>A) खिलाड़ी Q, B) खिलाड़ी R, C) यह टाई है, D) उपरोक्त में से कोई नहीं</v>
      </c>
      <c r="I341" s="5" t="str">
        <f>IFERROR(__xludf.DUMMYFUNCTION("GOOGLETRANSLATE(D341, ""en"", ""hi"")"),"ए) खिलाड़ी क्यू")</f>
        <v>ए) खिलाड़ी क्यू</v>
      </c>
    </row>
    <row r="342" ht="22.5" customHeight="1">
      <c r="A342" s="2">
        <v>341.0</v>
      </c>
      <c r="B342" s="3" t="s">
        <v>4957</v>
      </c>
      <c r="C342" s="3" t="s">
        <v>4654</v>
      </c>
      <c r="D342" s="3" t="s">
        <v>4862</v>
      </c>
      <c r="F342" s="5" t="str">
        <f>IFERROR(__xludf.DUMMYFUNCTION("GOOGLETRANSLATE(A342, ""en"", ""hi"")"),"341")</f>
        <v>341</v>
      </c>
      <c r="G342" s="5" t="str">
        <f>IFERROR(__xludf.DUMMYFUNCTION("GOOGLETRANSLATE(B342, ""en"", ""hi"")"),"खिलाड़ी S 8 सेकंड के लिए ऊपरी हिस्से को घुमाता है और खिलाड़ी T बीच-बीच में आवाज़ें निकालते हुए 8 सेकंड के लिए ऊपरी हिस्से को घुमाता है। अगर मौन को प्राथमिकता दी जाए तो कौन जीतता है?")</f>
        <v>खिलाड़ी S 8 सेकंड के लिए ऊपरी हिस्से को घुमाता है और खिलाड़ी T बीच-बीच में आवाज़ें निकालते हुए 8 सेकंड के लिए ऊपरी हिस्से को घुमाता है। अगर मौन को प्राथमिकता दी जाए तो कौन जीतता है?</v>
      </c>
      <c r="H342" s="5" t="str">
        <f>IFERROR(__xludf.DUMMYFUNCTION("GOOGLETRANSLATE(C342, ""en"", ""hi"")"),"A) खिलाड़ी S, B) खिलाड़ी T, C) यह टाई है, D) उपरोक्त में से कोई नहीं")</f>
        <v>A) खिलाड़ी S, B) खिलाड़ी T, C) यह टाई है, D) उपरोक्त में से कोई नहीं</v>
      </c>
      <c r="I342" s="5" t="str">
        <f>IFERROR(__xludf.DUMMYFUNCTION("GOOGLETRANSLATE(D342, ""en"", ""hi"")"),"D) उपरोक्त में से कोई नहीं")</f>
        <v>D) उपरोक्त में से कोई नहीं</v>
      </c>
    </row>
    <row r="343" ht="22.5" customHeight="1">
      <c r="A343" s="2">
        <v>342.0</v>
      </c>
      <c r="B343" s="3" t="s">
        <v>5059</v>
      </c>
      <c r="C343" s="3" t="s">
        <v>4657</v>
      </c>
      <c r="D343" s="3" t="s">
        <v>4658</v>
      </c>
      <c r="F343" s="5" t="str">
        <f>IFERROR(__xludf.DUMMYFUNCTION("GOOGLETRANSLATE(A343, ""en"", ""hi"")"),"342")</f>
        <v>342</v>
      </c>
      <c r="G343" s="5" t="str">
        <f>IFERROR(__xludf.DUMMYFUNCTION("GOOGLETRANSLATE(B343, ""en"", ""hi"")"),"पम्बरम मैच के दौरान, खिलाड़ी U, 15 सेकंड के लिए ऊपरी हिस्से को घुमाता है और खिलाड़ी V, 15 सेकंड के लिए ऊपरी हिस्से को घुमाता है, बीच-बीच में हिलता-डुलता है। अगर कम से कम हिलना-डुलना पसंद किया जाए तो कौन जीतता है?")</f>
        <v>पम्बरम मैच के दौरान, खिलाड़ी U, 15 सेकंड के लिए ऊपरी हिस्से को घुमाता है और खिलाड़ी V, 15 सेकंड के लिए ऊपरी हिस्से को घुमाता है, बीच-बीच में हिलता-डुलता है। अगर कम से कम हिलना-डुलना पसंद किया जाए तो कौन जीतता है?</v>
      </c>
      <c r="H343" s="5" t="str">
        <f>IFERROR(__xludf.DUMMYFUNCTION("GOOGLETRANSLATE(C343, ""en"", ""hi"")"),"A) खिलाड़ी U, B) खिलाड़ी V, C) यह एक टाई है, D) उपरोक्त में से कोई नहीं")</f>
        <v>A) खिलाड़ी U, B) खिलाड़ी V, C) यह एक टाई है, D) उपरोक्त में से कोई नहीं</v>
      </c>
      <c r="I343" s="5" t="str">
        <f>IFERROR(__xludf.DUMMYFUNCTION("GOOGLETRANSLATE(D343, ""en"", ""hi"")"),"ए) खिलाड़ी यू")</f>
        <v>ए) खिलाड़ी यू</v>
      </c>
    </row>
    <row r="344" ht="22.5" customHeight="1">
      <c r="A344" s="2">
        <v>343.0</v>
      </c>
      <c r="B344" s="3" t="s">
        <v>5060</v>
      </c>
      <c r="C344" s="3" t="s">
        <v>4660</v>
      </c>
      <c r="D344" s="3" t="s">
        <v>4816</v>
      </c>
      <c r="F344" s="5" t="str">
        <f>IFERROR(__xludf.DUMMYFUNCTION("GOOGLETRANSLATE(A344, ""en"", ""hi"")"),"343")</f>
        <v>343</v>
      </c>
      <c r="G344" s="5" t="str">
        <f>IFERROR(__xludf.DUMMYFUNCTION("GOOGLETRANSLATE(B344, ""en"", ""hi"")"),"यदि खिलाड़ी W 10 सेकंड के लिए शीर्ष को घुमाता है और खिलाड़ी X कभी-कभी हिलते हुए 10 सेकंड के लिए शीर्ष को घुमाता है, तो स्थिरता को प्राथमिकता देने पर कौन जीतता है?")</f>
        <v>यदि खिलाड़ी W 10 सेकंड के लिए शीर्ष को घुमाता है और खिलाड़ी X कभी-कभी हिलते हुए 10 सेकंड के लिए शीर्ष को घुमाता है, तो स्थिरता को प्राथमिकता देने पर कौन जीतता है?</v>
      </c>
      <c r="H344" s="5" t="str">
        <f>IFERROR(__xludf.DUMMYFUNCTION("GOOGLETRANSLATE(C344, ""en"", ""hi"")"),"A) खिलाड़ी W, B) खिलाड़ी X, C) यह टाई है, D) उपरोक्त में से कोई नहीं")</f>
        <v>A) खिलाड़ी W, B) खिलाड़ी X, C) यह टाई है, D) उपरोक्त में से कोई नहीं</v>
      </c>
      <c r="I344" s="5" t="str">
        <f>IFERROR(__xludf.DUMMYFUNCTION("GOOGLETRANSLATE(D344, ""en"", ""hi"")"),"A) खिलाड़ी W")</f>
        <v>A) खिलाड़ी W</v>
      </c>
    </row>
    <row r="345" ht="22.5" customHeight="1">
      <c r="A345" s="2">
        <v>344.0</v>
      </c>
      <c r="B345" s="3" t="s">
        <v>5023</v>
      </c>
      <c r="C345" s="3" t="s">
        <v>4663</v>
      </c>
      <c r="D345" s="3" t="s">
        <v>4727</v>
      </c>
      <c r="F345" s="5" t="str">
        <f>IFERROR(__xludf.DUMMYFUNCTION("GOOGLETRANSLATE(A345, ""en"", ""hi"")"),"344")</f>
        <v>344</v>
      </c>
      <c r="G345" s="5" t="str">
        <f>IFERROR(__xludf.DUMMYFUNCTION("GOOGLETRANSLATE(B345, ""en"", ""hi"")"),"खिलाड़ी Y 12 सेकंड तक और खिलाड़ी Z 12 सेकंड तक एकसमान गति से एकसमान गति से एकसमान गति से घूमता है। यदि गति की स्थिरता को प्राथमिकता दी जाए तो कौन जीतता है?")</f>
        <v>खिलाड़ी Y 12 सेकंड तक और खिलाड़ी Z 12 सेकंड तक एकसमान गति से एकसमान गति से एकसमान गति से घूमता है। यदि गति की स्थिरता को प्राथमिकता दी जाए तो कौन जीतता है?</v>
      </c>
      <c r="H345" s="5" t="str">
        <f>IFERROR(__xludf.DUMMYFUNCTION("GOOGLETRANSLATE(C345, ""en"", ""hi"")"),"A) खिलाड़ी Y, B) खिलाड़ी Z, C) यह टाई है, D) उपरोक्त में से कोई नहीं")</f>
        <v>A) खिलाड़ी Y, B) खिलाड़ी Z, C) यह टाई है, D) उपरोक्त में से कोई नहीं</v>
      </c>
      <c r="I345" s="5" t="str">
        <f>IFERROR(__xludf.DUMMYFUNCTION("GOOGLETRANSLATE(D345, ""en"", ""hi"")"),"C) यह एक टाई है")</f>
        <v>C) यह एक टाई है</v>
      </c>
    </row>
    <row r="346" ht="22.5" customHeight="1">
      <c r="A346" s="2">
        <v>345.0</v>
      </c>
      <c r="B346" s="3" t="s">
        <v>5061</v>
      </c>
      <c r="C346" s="3" t="s">
        <v>4627</v>
      </c>
      <c r="D346" s="3" t="s">
        <v>4862</v>
      </c>
      <c r="F346" s="5" t="str">
        <f>IFERROR(__xludf.DUMMYFUNCTION("GOOGLETRANSLATE(A346, ""en"", ""hi"")"),"345")</f>
        <v>345</v>
      </c>
      <c r="G346" s="5" t="str">
        <f>IFERROR(__xludf.DUMMYFUNCTION("GOOGLETRANSLATE(B346, ""en"", ""hi"")"),"पम्बरम मैच के दौरान, खिलाड़ी A 14 सेकंड के लिए और खिलाड़ी B 14 सेकंड के लिए बीच-बीच में आवाज़ करते हुए, गेंद को घुमाता है। अगर मौन को प्राथमिकता दी जाए तो कौन जीतता है?")</f>
        <v>पम्बरम मैच के दौरान, खिलाड़ी A 14 सेकंड के लिए और खिलाड़ी B 14 सेकंड के लिए बीच-बीच में आवाज़ करते हुए, गेंद को घुमाता है। अगर मौन को प्राथमिकता दी जाए तो कौन जीतता है?</v>
      </c>
      <c r="H346" s="5" t="str">
        <f>IFERROR(__xludf.DUMMYFUNCTION("GOOGLETRANSLATE(C346, ""en"", ""hi"")"),"A) खिलाड़ी A, B) खिलाड़ी B, C) यह टाई है, D) उपरोक्त में से कोई नहीं")</f>
        <v>A) खिलाड़ी A, B) खिलाड़ी B, C) यह टाई है, D) उपरोक्त में से कोई नहीं</v>
      </c>
      <c r="I346" s="5" t="str">
        <f>IFERROR(__xludf.DUMMYFUNCTION("GOOGLETRANSLATE(D346, ""en"", ""hi"")"),"D) उपरोक्त में से कोई नहीं")</f>
        <v>D) उपरोक्त में से कोई नहीं</v>
      </c>
    </row>
    <row r="347" ht="22.5" customHeight="1">
      <c r="A347" s="2">
        <v>346.0</v>
      </c>
      <c r="B347" s="3" t="s">
        <v>5062</v>
      </c>
      <c r="C347" s="3" t="s">
        <v>4627</v>
      </c>
      <c r="D347" s="3" t="s">
        <v>4628</v>
      </c>
      <c r="F347" s="5" t="str">
        <f>IFERROR(__xludf.DUMMYFUNCTION("GOOGLETRANSLATE(A347, ""en"", ""hi"")"),"346")</f>
        <v>346</v>
      </c>
      <c r="G347" s="5" t="str">
        <f>IFERROR(__xludf.DUMMYFUNCTION("GOOGLETRANSLATE(B347, ""en"", ""hi"")"),"खिलाड़ी A लगातार गति से 7 सेकंड तक लट्टू को घुमाता है, जबकि खिलाड़ी B अनियमित अंतराल पर 7 सेकंड तक लट्टू को घुमाता है। अगर निरंतरता को प्राथमिकता दी जाए तो कौन जीतता है?")</f>
        <v>खिलाड़ी A लगातार गति से 7 सेकंड तक लट्टू को घुमाता है, जबकि खिलाड़ी B अनियमित अंतराल पर 7 सेकंड तक लट्टू को घुमाता है। अगर निरंतरता को प्राथमिकता दी जाए तो कौन जीतता है?</v>
      </c>
      <c r="H347" s="5" t="str">
        <f>IFERROR(__xludf.DUMMYFUNCTION("GOOGLETRANSLATE(C347, ""en"", ""hi"")"),"A) खिलाड़ी A, B) खिलाड़ी B, C) यह टाई है, D) उपरोक्त में से कोई नहीं")</f>
        <v>A) खिलाड़ी A, B) खिलाड़ी B, C) यह टाई है, D) उपरोक्त में से कोई नहीं</v>
      </c>
      <c r="I347" s="5" t="str">
        <f>IFERROR(__xludf.DUMMYFUNCTION("GOOGLETRANSLATE(D347, ""en"", ""hi"")"),"ए) खिलाड़ी ए")</f>
        <v>ए) खिलाड़ी ए</v>
      </c>
    </row>
    <row r="348" ht="22.5" customHeight="1">
      <c r="A348" s="2">
        <v>347.0</v>
      </c>
      <c r="B348" s="3" t="s">
        <v>5063</v>
      </c>
      <c r="C348" s="3" t="s">
        <v>4630</v>
      </c>
      <c r="D348" s="3" t="s">
        <v>4631</v>
      </c>
      <c r="F348" s="5" t="str">
        <f>IFERROR(__xludf.DUMMYFUNCTION("GOOGLETRANSLATE(A348, ""en"", ""hi"")"),"347")</f>
        <v>347</v>
      </c>
      <c r="G348" s="5" t="str">
        <f>IFERROR(__xludf.DUMMYFUNCTION("GOOGLETRANSLATE(B348, ""en"", ""hi"")"),"पम्बरम मैच के दौरान, खिलाड़ी C न्यूनतम कंपन के साथ 12 सेकंड तक ऊपरी भाग को घुमाता है, और खिलाड़ी D कभी-कभार कंपन के साथ 12 सेकंड तक ऊपरी भाग को घुमाता है। यदि न्यूनतम कंपन को प्राथमिकता दी जाती है, तो कौन जीतता है?")</f>
        <v>पम्बरम मैच के दौरान, खिलाड़ी C न्यूनतम कंपन के साथ 12 सेकंड तक ऊपरी भाग को घुमाता है, और खिलाड़ी D कभी-कभार कंपन के साथ 12 सेकंड तक ऊपरी भाग को घुमाता है। यदि न्यूनतम कंपन को प्राथमिकता दी जाती है, तो कौन जीतता है?</v>
      </c>
      <c r="H348" s="5" t="str">
        <f>IFERROR(__xludf.DUMMYFUNCTION("GOOGLETRANSLATE(C348, ""en"", ""hi"")"),"A) खिलाड़ी C, B) खिलाड़ी D, C) यह टाई है, D) उपरोक्त में से कोई नहीं")</f>
        <v>A) खिलाड़ी C, B) खिलाड़ी D, C) यह टाई है, D) उपरोक्त में से कोई नहीं</v>
      </c>
      <c r="I348" s="5" t="str">
        <f>IFERROR(__xludf.DUMMYFUNCTION("GOOGLETRANSLATE(D348, ""en"", ""hi"")"),"ए) खिलाड़ी सी")</f>
        <v>ए) खिलाड़ी सी</v>
      </c>
    </row>
    <row r="349" ht="22.5" customHeight="1">
      <c r="A349" s="2">
        <v>348.0</v>
      </c>
      <c r="B349" s="3" t="s">
        <v>5064</v>
      </c>
      <c r="C349" s="3" t="s">
        <v>4781</v>
      </c>
      <c r="D349" s="3" t="s">
        <v>4805</v>
      </c>
      <c r="F349" s="5" t="str">
        <f>IFERROR(__xludf.DUMMYFUNCTION("GOOGLETRANSLATE(A349, ""en"", ""hi"")"),"348")</f>
        <v>348</v>
      </c>
      <c r="G349" s="5" t="str">
        <f>IFERROR(__xludf.DUMMYFUNCTION("GOOGLETRANSLATE(B349, ""en"", ""hi"")"),"खिलाड़ी E 10 सेकंड के लिए ऊपरी हिस्से को घुमाता है और खिलाड़ी F 10 सेकंड के लिए ऊपरी हिस्से को घुमाता है, जिससे खिलाड़ी F की ऊपरी हिस्से से ज़्यादा आवाज़ निकलती है। अगर शांति पसंद की जाए तो कौन जीतता है?")</f>
        <v>खिलाड़ी E 10 सेकंड के लिए ऊपरी हिस्से को घुमाता है और खिलाड़ी F 10 सेकंड के लिए ऊपरी हिस्से को घुमाता है, जिससे खिलाड़ी F की ऊपरी हिस्से से ज़्यादा आवाज़ निकलती है। अगर शांति पसंद की जाए तो कौन जीतता है?</v>
      </c>
      <c r="H349" s="5" t="str">
        <f>IFERROR(__xludf.DUMMYFUNCTION("GOOGLETRANSLATE(C349, ""en"", ""hi"")"),"A) खिलाड़ी E, B) खिलाड़ी F, C) यह टाई है, D) उपरोक्त में से कोई नहीं")</f>
        <v>A) खिलाड़ी E, B) खिलाड़ी F, C) यह टाई है, D) उपरोक्त में से कोई नहीं</v>
      </c>
      <c r="I349" s="5" t="str">
        <f>IFERROR(__xludf.DUMMYFUNCTION("GOOGLETRANSLATE(D349, ""en"", ""hi"")"),"ए) खिलाड़ी ई")</f>
        <v>ए) खिलाड़ी ई</v>
      </c>
    </row>
    <row r="350" ht="22.5" customHeight="1">
      <c r="A350" s="2">
        <v>349.0</v>
      </c>
      <c r="B350" s="3" t="s">
        <v>5065</v>
      </c>
      <c r="C350" s="3" t="s">
        <v>4783</v>
      </c>
      <c r="D350" s="3" t="s">
        <v>4784</v>
      </c>
      <c r="F350" s="5" t="str">
        <f>IFERROR(__xludf.DUMMYFUNCTION("GOOGLETRANSLATE(A350, ""en"", ""hi"")"),"349")</f>
        <v>349</v>
      </c>
      <c r="G350" s="5" t="str">
        <f>IFERROR(__xludf.DUMMYFUNCTION("GOOGLETRANSLATE(B350, ""en"", ""hi"")"),"यदि खिलाड़ी G 14 सेकंड के लिए गेंद के ऊपरी हिस्से को घुमाता है और खिलाड़ी H 14 सेकंड के लिए गेंद के ऊपरी हिस्से को घुमाता है, लेकिन खिलाड़ी G का ऊपरी हिस्सा सीधा खड़ा रहता है, जबकि खिलाड़ी H का ऊपरी हिस्सा झुका हुआ रहता है, तो यदि सीधा उतरना पसंद किया जात"&amp;"ा है तो कौन जीतता है?")</f>
        <v>यदि खिलाड़ी G 14 सेकंड के लिए गेंद के ऊपरी हिस्से को घुमाता है और खिलाड़ी H 14 सेकंड के लिए गेंद के ऊपरी हिस्से को घुमाता है, लेकिन खिलाड़ी G का ऊपरी हिस्सा सीधा खड़ा रहता है, जबकि खिलाड़ी H का ऊपरी हिस्सा झुका हुआ रहता है, तो यदि सीधा उतरना पसंद किया जाता है तो कौन जीतता है?</v>
      </c>
      <c r="H350" s="5" t="str">
        <f>IFERROR(__xludf.DUMMYFUNCTION("GOOGLETRANSLATE(C350, ""en"", ""hi"")"),"A) खिलाड़ी G, B) खिलाड़ी H, C) यह टाई है, D) उपरोक्त में से कोई नहीं")</f>
        <v>A) खिलाड़ी G, B) खिलाड़ी H, C) यह टाई है, D) उपरोक्त में से कोई नहीं</v>
      </c>
      <c r="I350" s="5" t="str">
        <f>IFERROR(__xludf.DUMMYFUNCTION("GOOGLETRANSLATE(D350, ""en"", ""hi"")"),"ए) खिलाड़ी जी")</f>
        <v>ए) खिलाड़ी जी</v>
      </c>
    </row>
    <row r="351" ht="22.5" customHeight="1">
      <c r="A351" s="2">
        <v>350.0</v>
      </c>
      <c r="B351" s="3" t="s">
        <v>5066</v>
      </c>
      <c r="C351" s="3" t="s">
        <v>4639</v>
      </c>
      <c r="D351" s="3" t="s">
        <v>4640</v>
      </c>
      <c r="F351" s="5" t="str">
        <f>IFERROR(__xludf.DUMMYFUNCTION("GOOGLETRANSLATE(A351, ""en"", ""hi"")"),"350")</f>
        <v>350</v>
      </c>
      <c r="G351" s="5" t="str">
        <f>IFERROR(__xludf.DUMMYFUNCTION("GOOGLETRANSLATE(B351, ""en"", ""hi"")"),"खिलाड़ी I लगातार गति के साथ 8 सेकंड तक ऊपरी भाग को घुमाता है, और खिलाड़ी J बीच-बीच में हिलते हुए 8 सेकंड तक ऊपरी भाग को घुमाता है। अगर स्थिरता को प्राथमिकता दी जाए तो कौन जीतता है?")</f>
        <v>खिलाड़ी I लगातार गति के साथ 8 सेकंड तक ऊपरी भाग को घुमाता है, और खिलाड़ी J बीच-बीच में हिलते हुए 8 सेकंड तक ऊपरी भाग को घुमाता है। अगर स्थिरता को प्राथमिकता दी जाए तो कौन जीतता है?</v>
      </c>
      <c r="H351" s="5" t="str">
        <f>IFERROR(__xludf.DUMMYFUNCTION("GOOGLETRANSLATE(C351, ""en"", ""hi"")"),"A) खिलाड़ी I, B) खिलाड़ी J, C) यह टाई है, D) उपरोक्त में से कोई नहीं")</f>
        <v>A) खिलाड़ी I, B) खिलाड़ी J, C) यह टाई है, D) उपरोक्त में से कोई नहीं</v>
      </c>
      <c r="I351" s="5" t="str">
        <f>IFERROR(__xludf.DUMMYFUNCTION("GOOGLETRANSLATE(D351, ""en"", ""hi"")"),"ए) खिलाड़ी I")</f>
        <v>ए) खिलाड़ी I</v>
      </c>
    </row>
    <row r="352" ht="22.5" customHeight="1">
      <c r="A352" s="2">
        <v>351.0</v>
      </c>
      <c r="B352" s="3" t="s">
        <v>5067</v>
      </c>
      <c r="C352" s="3" t="s">
        <v>4642</v>
      </c>
      <c r="D352" s="3" t="s">
        <v>4643</v>
      </c>
      <c r="F352" s="5" t="str">
        <f>IFERROR(__xludf.DUMMYFUNCTION("GOOGLETRANSLATE(A352, ""en"", ""hi"")"),"351")</f>
        <v>351</v>
      </c>
      <c r="G352" s="5" t="str">
        <f>IFERROR(__xludf.DUMMYFUNCTION("GOOGLETRANSLATE(B352, ""en"", ""hi"")"),"पम्बरम मैच के दौरान, खिलाड़ी K, गेंद के ऊपरी हिस्से को 11 सेकंड तक घुमाता है और खिलाड़ी L, गेंद के ऊपरी हिस्से को 11 सेकंड तक घुमाता है। अगर खिलाड़ी L की गेंद कम हिलती है, तो कम से कम हिलना पसंद करने पर कौन जीतता है?")</f>
        <v>पम्बरम मैच के दौरान, खिलाड़ी K, गेंद के ऊपरी हिस्से को 11 सेकंड तक घुमाता है और खिलाड़ी L, गेंद के ऊपरी हिस्से को 11 सेकंड तक घुमाता है। अगर खिलाड़ी L की गेंद कम हिलती है, तो कम से कम हिलना पसंद करने पर कौन जीतता है?</v>
      </c>
      <c r="H352" s="5" t="str">
        <f>IFERROR(__xludf.DUMMYFUNCTION("GOOGLETRANSLATE(C352, ""en"", ""hi"")"),"A) खिलाड़ी K, B) खिलाड़ी L, C) यह टाई है, D) उपरोक्त में से कोई नहीं")</f>
        <v>A) खिलाड़ी K, B) खिलाड़ी L, C) यह टाई है, D) उपरोक्त में से कोई नहीं</v>
      </c>
      <c r="I352" s="5" t="str">
        <f>IFERROR(__xludf.DUMMYFUNCTION("GOOGLETRANSLATE(D352, ""en"", ""hi"")"),"बी) खिलाड़ी एल")</f>
        <v>बी) खिलाड़ी एल</v>
      </c>
    </row>
    <row r="353" ht="22.5" customHeight="1">
      <c r="A353" s="2">
        <v>352.0</v>
      </c>
      <c r="B353" s="3" t="s">
        <v>5068</v>
      </c>
      <c r="C353" s="3" t="s">
        <v>4790</v>
      </c>
      <c r="D353" s="3" t="s">
        <v>4862</v>
      </c>
      <c r="F353" s="5" t="str">
        <f>IFERROR(__xludf.DUMMYFUNCTION("GOOGLETRANSLATE(A353, ""en"", ""hi"")"),"352")</f>
        <v>352</v>
      </c>
      <c r="G353" s="5" t="str">
        <f>IFERROR(__xludf.DUMMYFUNCTION("GOOGLETRANSLATE(B353, ""en"", ""hi"")"),"यदि खिलाड़ी एम 9 सेकंड के लिए शीर्ष को घुमाता है और खिलाड़ी एन कभी-कभी आवाज के साथ 9 सेकंड के लिए शीर्ष को घुमाता है, तो यदि मौन को प्राथमिकता दी जाती है तो कौन जीतता है?")</f>
        <v>यदि खिलाड़ी एम 9 सेकंड के लिए शीर्ष को घुमाता है और खिलाड़ी एन कभी-कभी आवाज के साथ 9 सेकंड के लिए शीर्ष को घुमाता है, तो यदि मौन को प्राथमिकता दी जाती है तो कौन जीतता है?</v>
      </c>
      <c r="H353" s="5" t="str">
        <f>IFERROR(__xludf.DUMMYFUNCTION("GOOGLETRANSLATE(C353, ""en"", ""hi"")"),"A) खिलाड़ी M, B) खिलाड़ी N, C) यह टाई है, D) उपरोक्त में से कोई नहीं")</f>
        <v>A) खिलाड़ी M, B) खिलाड़ी N, C) यह टाई है, D) उपरोक्त में से कोई नहीं</v>
      </c>
      <c r="I353" s="5" t="str">
        <f>IFERROR(__xludf.DUMMYFUNCTION("GOOGLETRANSLATE(D353, ""en"", ""hi"")"),"D) उपरोक्त में से कोई नहीं")</f>
        <v>D) उपरोक्त में से कोई नहीं</v>
      </c>
    </row>
    <row r="354" ht="22.5" customHeight="1">
      <c r="A354" s="2">
        <v>353.0</v>
      </c>
      <c r="B354" s="3" t="s">
        <v>5069</v>
      </c>
      <c r="C354" s="3" t="s">
        <v>4648</v>
      </c>
      <c r="D354" s="3" t="s">
        <v>4649</v>
      </c>
      <c r="F354" s="5" t="str">
        <f>IFERROR(__xludf.DUMMYFUNCTION("GOOGLETRANSLATE(A354, ""en"", ""hi"")"),"353")</f>
        <v>353</v>
      </c>
      <c r="G354" s="5" t="str">
        <f>IFERROR(__xludf.DUMMYFUNCTION("GOOGLETRANSLATE(B354, ""en"", ""hi"")"),"खिलाड़ी O, गेंद को 13 सेकंड तक घुमाता है और खिलाड़ी P, गेंद को 13 सेकंड तक घुमाता है। अगर खिलाड़ी O की गेंद की गति एक समान रहती है, तो गति की स्थिरता को प्राथमिकता देने पर कौन जीतता है?")</f>
        <v>खिलाड़ी O, गेंद को 13 सेकंड तक घुमाता है और खिलाड़ी P, गेंद को 13 सेकंड तक घुमाता है। अगर खिलाड़ी O की गेंद की गति एक समान रहती है, तो गति की स्थिरता को प्राथमिकता देने पर कौन जीतता है?</v>
      </c>
      <c r="H354" s="5" t="str">
        <f>IFERROR(__xludf.DUMMYFUNCTION("GOOGLETRANSLATE(C354, ""en"", ""hi"")"),"A) खिलाड़ी O, B) खिलाड़ी P, C) यह टाई है, D) उपरोक्त में से कोई नहीं")</f>
        <v>A) खिलाड़ी O, B) खिलाड़ी P, C) यह टाई है, D) उपरोक्त में से कोई नहीं</v>
      </c>
      <c r="I354" s="5" t="str">
        <f>IFERROR(__xludf.DUMMYFUNCTION("GOOGLETRANSLATE(D354, ""en"", ""hi"")"),"A) खिलाड़ी O")</f>
        <v>A) खिलाड़ी O</v>
      </c>
    </row>
    <row r="355" ht="22.5" customHeight="1">
      <c r="A355" s="2">
        <v>354.0</v>
      </c>
      <c r="B355" s="3" t="s">
        <v>5070</v>
      </c>
      <c r="C355" s="3" t="s">
        <v>4651</v>
      </c>
      <c r="D355" s="3" t="s">
        <v>4652</v>
      </c>
      <c r="F355" s="5" t="str">
        <f>IFERROR(__xludf.DUMMYFUNCTION("GOOGLETRANSLATE(A355, ""en"", ""hi"")"),"354")</f>
        <v>354</v>
      </c>
      <c r="G355" s="5" t="str">
        <f>IFERROR(__xludf.DUMMYFUNCTION("GOOGLETRANSLATE(B355, ""en"", ""hi"")"),"पम्बरम प्रतियोगिता के दौरान, खिलाड़ी Q 10 सेकंड के लिए गेंद की ऊपरी सतह को घुमाता है और खिलाड़ी R 10 सेकंड के लिए गेंद की ऊपरी सतह को घुमाता है। यदि खिलाड़ी Q की गेंद की ऊपरी सतह सीधी और खिलाड़ी R की गेंद की ऊपरी सतह तिरछी हो, तो यदि सीधी लैंडिंग को प्राथ"&amp;"मिकता दी जाती है, तो कौन जीतता है?")</f>
        <v>पम्बरम प्रतियोगिता के दौरान, खिलाड़ी Q 10 सेकंड के लिए गेंद की ऊपरी सतह को घुमाता है और खिलाड़ी R 10 सेकंड के लिए गेंद की ऊपरी सतह को घुमाता है। यदि खिलाड़ी Q की गेंद की ऊपरी सतह सीधी और खिलाड़ी R की गेंद की ऊपरी सतह तिरछी हो, तो यदि सीधी लैंडिंग को प्राथमिकता दी जाती है, तो कौन जीतता है?</v>
      </c>
      <c r="H355" s="5" t="str">
        <f>IFERROR(__xludf.DUMMYFUNCTION("GOOGLETRANSLATE(C355, ""en"", ""hi"")"),"A) खिलाड़ी Q, B) खिलाड़ी R, C) यह टाई है, D) उपरोक्त में से कोई नहीं")</f>
        <v>A) खिलाड़ी Q, B) खिलाड़ी R, C) यह टाई है, D) उपरोक्त में से कोई नहीं</v>
      </c>
      <c r="I355" s="5" t="str">
        <f>IFERROR(__xludf.DUMMYFUNCTION("GOOGLETRANSLATE(D355, ""en"", ""hi"")"),"ए) खिलाड़ी क्यू")</f>
        <v>ए) खिलाड़ी क्यू</v>
      </c>
    </row>
    <row r="356" ht="22.5" customHeight="1">
      <c r="A356" s="2">
        <v>355.0</v>
      </c>
      <c r="B356" s="3" t="s">
        <v>5071</v>
      </c>
      <c r="C356" s="3" t="s">
        <v>4654</v>
      </c>
      <c r="D356" s="3" t="s">
        <v>4828</v>
      </c>
      <c r="F356" s="5" t="str">
        <f>IFERROR(__xludf.DUMMYFUNCTION("GOOGLETRANSLATE(A356, ""en"", ""hi"")"),"355")</f>
        <v>355</v>
      </c>
      <c r="G356" s="5" t="str">
        <f>IFERROR(__xludf.DUMMYFUNCTION("GOOGLETRANSLATE(B356, ""en"", ""hi"")"),"यदि खिलाड़ी S शीर्ष को 8 सेकंड तक लगातार गति से घुमाता है और खिलाड़ी T शीर्ष को 8 सेकंड तक कभी-कभार हिलते हुए घुमाता है, तो यदि स्थिरता को प्राथमिकता दी जाती है तो कौन जीतता है?")</f>
        <v>यदि खिलाड़ी S शीर्ष को 8 सेकंड तक लगातार गति से घुमाता है और खिलाड़ी T शीर्ष को 8 सेकंड तक कभी-कभार हिलते हुए घुमाता है, तो यदि स्थिरता को प्राथमिकता दी जाती है तो कौन जीतता है?</v>
      </c>
      <c r="H356" s="5" t="str">
        <f>IFERROR(__xludf.DUMMYFUNCTION("GOOGLETRANSLATE(C356, ""en"", ""hi"")"),"A) खिलाड़ी S, B) खिलाड़ी T, C) यह टाई है, D) उपरोक्त में से कोई नहीं")</f>
        <v>A) खिलाड़ी S, B) खिलाड़ी T, C) यह टाई है, D) उपरोक्त में से कोई नहीं</v>
      </c>
      <c r="I356" s="5" t="str">
        <f>IFERROR(__xludf.DUMMYFUNCTION("GOOGLETRANSLATE(D356, ""en"", ""hi"")"),"ए) खिलाड़ी एस")</f>
        <v>ए) खिलाड़ी एस</v>
      </c>
    </row>
    <row r="357" ht="22.5" customHeight="1">
      <c r="A357" s="2">
        <v>356.0</v>
      </c>
      <c r="B357" s="3" t="s">
        <v>5072</v>
      </c>
      <c r="C357" s="3" t="s">
        <v>4657</v>
      </c>
      <c r="D357" s="3" t="s">
        <v>4814</v>
      </c>
      <c r="F357" s="5" t="str">
        <f>IFERROR(__xludf.DUMMYFUNCTION("GOOGLETRANSLATE(A357, ""en"", ""hi"")"),"356")</f>
        <v>356</v>
      </c>
      <c r="G357" s="5" t="str">
        <f>IFERROR(__xludf.DUMMYFUNCTION("GOOGLETRANSLATE(B357, ""en"", ""hi"")"),"खिलाड़ी U, कभी-कभार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f>
        <v>खिलाड़ी U, कभी-कभार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v>
      </c>
      <c r="H357" s="5" t="str">
        <f>IFERROR(__xludf.DUMMYFUNCTION("GOOGLETRANSLATE(C357, ""en"", ""hi"")"),"A) खिलाड़ी U, B) खिलाड़ी V, C) यह एक टाई है, D) उपरोक्त में से कोई नहीं")</f>
        <v>A) खिलाड़ी U, B) खिलाड़ी V, C) यह एक टाई है, D) उपरोक्त में से कोई नहीं</v>
      </c>
      <c r="I357" s="5" t="str">
        <f>IFERROR(__xludf.DUMMYFUNCTION("GOOGLETRANSLATE(D357, ""en"", ""hi"")"),"बी) खिलाड़ी वी")</f>
        <v>बी) खिलाड़ी वी</v>
      </c>
    </row>
    <row r="358" ht="22.5" customHeight="1">
      <c r="A358" s="2">
        <v>357.0</v>
      </c>
      <c r="B358" s="3" t="s">
        <v>5073</v>
      </c>
      <c r="C358" s="3" t="s">
        <v>4660</v>
      </c>
      <c r="D358" s="3" t="s">
        <v>4661</v>
      </c>
      <c r="F358" s="5" t="str">
        <f>IFERROR(__xludf.DUMMYFUNCTION("GOOGLETRANSLATE(A358, ""en"", ""hi"")"),"357")</f>
        <v>357</v>
      </c>
      <c r="G358" s="5" t="str">
        <f>IFERROR(__xludf.DUMMYFUNCTION("GOOGLETRANSLATE(B358, ""en"", ""hi"")"),"पम्बरम मैच के दौरान, खिलाड़ी W बीच-बीच में आवाज़ के साथ 7 सेकंड के लिए लट्टू घुमाता है, और खिलाड़ी X 7 सेकंड के लिए चुपचाप लट्टू घुमाता है। अगर मौन को प्राथमिकता दी जाए तो कौन जीतता है?")</f>
        <v>पम्बरम मैच के दौरान, खिलाड़ी W बीच-बीच में आवाज़ के साथ 7 सेकंड के लिए लट्टू घुमाता है, और खिलाड़ी X 7 सेकंड के लिए चुपचाप लट्टू घुमाता है। अगर मौन को प्राथमिकता दी जाए तो कौन जीतता है?</v>
      </c>
      <c r="H358" s="5" t="str">
        <f>IFERROR(__xludf.DUMMYFUNCTION("GOOGLETRANSLATE(C358, ""en"", ""hi"")"),"A) खिलाड़ी W, B) खिलाड़ी X, C) यह टाई है, D) उपरोक्त में से कोई नहीं")</f>
        <v>A) खिलाड़ी W, B) खिलाड़ी X, C) यह टाई है, D) उपरोक्त में से कोई नहीं</v>
      </c>
      <c r="I358" s="5" t="str">
        <f>IFERROR(__xludf.DUMMYFUNCTION("GOOGLETRANSLATE(D358, ""en"", ""hi"")"),"बी) खिलाड़ी एक्स")</f>
        <v>बी) खिलाड़ी एक्स</v>
      </c>
    </row>
    <row r="359" ht="22.5" customHeight="1">
      <c r="A359" s="2">
        <v>358.0</v>
      </c>
      <c r="B359" s="3" t="s">
        <v>5023</v>
      </c>
      <c r="C359" s="3" t="s">
        <v>4663</v>
      </c>
      <c r="D359" s="3" t="s">
        <v>4727</v>
      </c>
      <c r="F359" s="5" t="str">
        <f>IFERROR(__xludf.DUMMYFUNCTION("GOOGLETRANSLATE(A359, ""en"", ""hi"")"),"358")</f>
        <v>358</v>
      </c>
      <c r="G359" s="5" t="str">
        <f>IFERROR(__xludf.DUMMYFUNCTION("GOOGLETRANSLATE(B359, ""en"", ""hi"")"),"खिलाड़ी Y 12 सेकंड तक और खिलाड़ी Z 12 सेकंड तक एकसमान गति से एकसमान गति से एकसमान गति से घूमता है। यदि गति की स्थिरता को प्राथमिकता दी जाए तो कौन जीतता है?")</f>
        <v>खिलाड़ी Y 12 सेकंड तक और खिलाड़ी Z 12 सेकंड तक एकसमान गति से एकसमान गति से एकसमान गति से घूमता है। यदि गति की स्थिरता को प्राथमिकता दी जाए तो कौन जीतता है?</v>
      </c>
      <c r="H359" s="5" t="str">
        <f>IFERROR(__xludf.DUMMYFUNCTION("GOOGLETRANSLATE(C359, ""en"", ""hi"")"),"A) खिलाड़ी Y, B) खिलाड़ी Z, C) यह टाई है, D) उपरोक्त में से कोई नहीं")</f>
        <v>A) खिलाड़ी Y, B) खिलाड़ी Z, C) यह टाई है, D) उपरोक्त में से कोई नहीं</v>
      </c>
      <c r="I359" s="5" t="str">
        <f>IFERROR(__xludf.DUMMYFUNCTION("GOOGLETRANSLATE(D359, ""en"", ""hi"")"),"C) यह एक टाई है")</f>
        <v>C) यह एक टाई है</v>
      </c>
    </row>
    <row r="360" ht="22.5" customHeight="1">
      <c r="A360" s="2">
        <v>359.0</v>
      </c>
      <c r="B360" s="3" t="s">
        <v>5074</v>
      </c>
      <c r="C360" s="3" t="s">
        <v>4627</v>
      </c>
      <c r="D360" s="3" t="s">
        <v>4628</v>
      </c>
      <c r="F360" s="5" t="str">
        <f>IFERROR(__xludf.DUMMYFUNCTION("GOOGLETRANSLATE(A360, ""en"", ""hi"")"),"359")</f>
        <v>359</v>
      </c>
      <c r="G360" s="5" t="str">
        <f>IFERROR(__xludf.DUMMYFUNCTION("GOOGLETRANSLATE(B360, ""en"", ""hi"")"),"यदि खिलाड़ी A शीर्ष को 14 सेकंड तक घुमाता है और खिलाड़ी B शीर्ष को कभी-कभार हिलते हुए 14 सेकंड तक घुमाता है, तो यदि न्यूनतम हिलना पसंद किया जाता है तो कौन जीतता है?")</f>
        <v>यदि खिलाड़ी A शीर्ष को 14 सेकंड तक घुमाता है और खिलाड़ी B शीर्ष को कभी-कभार हिलते हुए 14 सेकंड तक घुमाता है, तो यदि न्यूनतम हिलना पसंद किया जाता है तो कौन जीतता है?</v>
      </c>
      <c r="H360" s="5" t="str">
        <f>IFERROR(__xludf.DUMMYFUNCTION("GOOGLETRANSLATE(C360, ""en"", ""hi"")"),"A) खिलाड़ी A, B) खिलाड़ी B, C) यह टाई है, D) उपरोक्त में से कोई नहीं")</f>
        <v>A) खिलाड़ी A, B) खिलाड़ी B, C) यह टाई है, D) उपरोक्त में से कोई नहीं</v>
      </c>
      <c r="I360" s="5" t="str">
        <f>IFERROR(__xludf.DUMMYFUNCTION("GOOGLETRANSLATE(D360, ""en"", ""hi"")"),"ए) खिलाड़ी ए")</f>
        <v>ए) खिलाड़ी ए</v>
      </c>
    </row>
    <row r="361" ht="22.5" customHeight="1">
      <c r="A361" s="2">
        <v>360.0</v>
      </c>
      <c r="B361" s="3" t="s">
        <v>5075</v>
      </c>
      <c r="C361" s="3" t="s">
        <v>4630</v>
      </c>
      <c r="D361" s="3" t="s">
        <v>4862</v>
      </c>
      <c r="F361" s="5" t="str">
        <f>IFERROR(__xludf.DUMMYFUNCTION("GOOGLETRANSLATE(A361, ""en"", ""hi"")"),"360")</f>
        <v>360</v>
      </c>
      <c r="G361" s="5" t="str">
        <f>IFERROR(__xludf.DUMMYFUNCTION("GOOGLETRANSLATE(B361, ""en"", ""hi"")"),"पम्बरम मैच के दौरान, खिलाड़ी C 10 सेकंड के लिए और खिलाड़ी D 10 सेकंड के लिए बीच-बीच में आवाज़ करते हुए, टोप को घुमाता है। अगर मौन को प्राथमिकता दी जाए तो कौन जीतता है?")</f>
        <v>पम्बरम मैच के दौरान, खिलाड़ी C 10 सेकंड के लिए और खिलाड़ी D 10 सेकंड के लिए बीच-बीच में आवाज़ करते हुए, टोप को घुमाता है। अगर मौन को प्राथमिकता दी जाए तो कौन जीतता है?</v>
      </c>
      <c r="H361" s="5" t="str">
        <f>IFERROR(__xludf.DUMMYFUNCTION("GOOGLETRANSLATE(C361, ""en"", ""hi"")"),"A) खिलाड़ी C, B) खिलाड़ी D, C) यह टाई है, D) उपरोक्त में से कोई नहीं")</f>
        <v>A) खिलाड़ी C, B) खिलाड़ी D, C) यह टाई है, D) उपरोक्त में से कोई नहीं</v>
      </c>
      <c r="I361" s="5" t="str">
        <f>IFERROR(__xludf.DUMMYFUNCTION("GOOGLETRANSLATE(D361, ""en"", ""hi"")"),"D) उपरोक्त में से कोई नहीं")</f>
        <v>D) उपरोक्त में से कोई नहीं</v>
      </c>
    </row>
    <row r="362" ht="22.5" customHeight="1">
      <c r="A362" s="2">
        <v>361.0</v>
      </c>
      <c r="B362" s="3" t="s">
        <v>5076</v>
      </c>
      <c r="C362" s="3" t="s">
        <v>4781</v>
      </c>
      <c r="D362" s="3" t="s">
        <v>4805</v>
      </c>
      <c r="F362" s="5" t="str">
        <f>IFERROR(__xludf.DUMMYFUNCTION("GOOGLETRANSLATE(A362, ""en"", ""hi"")"),"361")</f>
        <v>361</v>
      </c>
      <c r="G362" s="5" t="str">
        <f>IFERROR(__xludf.DUMMYFUNCTION("GOOGLETRANSLATE(B362, ""en"", ""hi"")"),"खिलाड़ी E ऊपरी हिस्से को 8 सेकंड तक घुमाता है और खिलाड़ी F ऊपरी हिस्से को बीच-बीच में हिलते हुए 8 सेकंड तक घुमाता है। अगर स्थिरता को प्राथमिकता दी जाए तो कौन जीतता है?")</f>
        <v>खिलाड़ी E ऊपरी हिस्से को 8 सेकंड तक घुमाता है और खिलाड़ी F ऊपरी हिस्से को बीच-बीच में हिलते हुए 8 सेकंड तक घुमाता है। अगर स्थिरता को प्राथमिकता दी जाए तो कौन जीतता है?</v>
      </c>
      <c r="H362" s="5" t="str">
        <f>IFERROR(__xludf.DUMMYFUNCTION("GOOGLETRANSLATE(C362, ""en"", ""hi"")"),"A) खिलाड़ी E, B) खिलाड़ी F, C) यह टाई है, D) उपरोक्त में से कोई नहीं")</f>
        <v>A) खिलाड़ी E, B) खिलाड़ी F, C) यह टाई है, D) उपरोक्त में से कोई नहीं</v>
      </c>
      <c r="I362" s="5" t="str">
        <f>IFERROR(__xludf.DUMMYFUNCTION("GOOGLETRANSLATE(D362, ""en"", ""hi"")"),"ए) खिलाड़ी ई")</f>
        <v>ए) खिलाड़ी ई</v>
      </c>
    </row>
    <row r="363" ht="22.5" customHeight="1">
      <c r="A363" s="2">
        <v>362.0</v>
      </c>
      <c r="B363" s="3" t="s">
        <v>5077</v>
      </c>
      <c r="C363" s="3" t="s">
        <v>4783</v>
      </c>
      <c r="D363" s="3" t="s">
        <v>4784</v>
      </c>
      <c r="F363" s="5" t="str">
        <f>IFERROR(__xludf.DUMMYFUNCTION("GOOGLETRANSLATE(A363, ""en"", ""hi"")"),"362")</f>
        <v>362</v>
      </c>
      <c r="G363" s="5" t="str">
        <f>IFERROR(__xludf.DUMMYFUNCTION("GOOGLETRANSLATE(B363, ""en"", ""hi"")"),"यदि खिलाड़ी G न्यूनतम कंपन के साथ 11 सेकंड के लिए शीर्ष को घुमाता है और खिलाड़ी H कभी-कभार कंपन के साथ 11 सेकंड के लिए शीर्ष को घुमाता है, तो न्यूनतम कंपन को प्राथमिकता देने पर कौन जीतता है?")</f>
        <v>यदि खिलाड़ी G न्यूनतम कंपन के साथ 11 सेकंड के लिए शीर्ष को घुमाता है और खिलाड़ी H कभी-कभार कंपन के साथ 11 सेकंड के लिए शीर्ष को घुमाता है, तो न्यूनतम कंपन को प्राथमिकता देने पर कौन जीतता है?</v>
      </c>
      <c r="H363" s="5" t="str">
        <f>IFERROR(__xludf.DUMMYFUNCTION("GOOGLETRANSLATE(C363, ""en"", ""hi"")"),"A) खिलाड़ी G, B) खिलाड़ी H, C) यह टाई है, D) उपरोक्त में से कोई नहीं")</f>
        <v>A) खिलाड़ी G, B) खिलाड़ी H, C) यह टाई है, D) उपरोक्त में से कोई नहीं</v>
      </c>
      <c r="I363" s="5" t="str">
        <f>IFERROR(__xludf.DUMMYFUNCTION("GOOGLETRANSLATE(D363, ""en"", ""hi"")"),"ए) खिलाड़ी जी")</f>
        <v>ए) खिलाड़ी जी</v>
      </c>
    </row>
    <row r="364" ht="22.5" customHeight="1">
      <c r="A364" s="2">
        <v>363.0</v>
      </c>
      <c r="B364" s="3" t="s">
        <v>5078</v>
      </c>
      <c r="C364" s="3" t="s">
        <v>4639</v>
      </c>
      <c r="D364" s="3" t="s">
        <v>4862</v>
      </c>
      <c r="F364" s="5" t="str">
        <f>IFERROR(__xludf.DUMMYFUNCTION("GOOGLETRANSLATE(A364, ""en"", ""hi"")"),"363")</f>
        <v>363</v>
      </c>
      <c r="G364" s="5" t="str">
        <f>IFERROR(__xludf.DUMMYFUNCTION("GOOGLETRANSLATE(B364, ""en"", ""hi"")"),"खिलाड़ी I, 9 सेकंड के लिए ऊपरी भाग को घुमाता है और खिलाड़ी J, बीच-बीच में आवाज़ें निकालते हुए, 9 सेकंड के लिए ऊपरी भाग को घुमाता है। अगर मौन को प्राथमिकता दी जाए तो कौन जीतता है?")</f>
        <v>खिलाड़ी I, 9 सेकंड के लिए ऊपरी भाग को घुमाता है और खिलाड़ी J, बीच-बीच में आवाज़ें निकालते हुए, 9 सेकंड के लिए ऊपरी भाग को घुमाता है। अगर मौन को प्राथमिकता दी जाए तो कौन जीतता है?</v>
      </c>
      <c r="H364" s="5" t="str">
        <f>IFERROR(__xludf.DUMMYFUNCTION("GOOGLETRANSLATE(C364, ""en"", ""hi"")"),"A) खिलाड़ी I, B) खिलाड़ी J, C) यह टाई है, D) उपरोक्त में से कोई नहीं")</f>
        <v>A) खिलाड़ी I, B) खिलाड़ी J, C) यह टाई है, D) उपरोक्त में से कोई नहीं</v>
      </c>
      <c r="I364" s="5" t="str">
        <f>IFERROR(__xludf.DUMMYFUNCTION("GOOGLETRANSLATE(D364, ""en"", ""hi"")"),"D) उपरोक्त में से कोई नहीं")</f>
        <v>D) उपरोक्त में से कोई नहीं</v>
      </c>
    </row>
    <row r="365" ht="22.5" customHeight="1">
      <c r="A365" s="2">
        <v>364.0</v>
      </c>
      <c r="B365" s="3" t="s">
        <v>5079</v>
      </c>
      <c r="C365" s="3" t="s">
        <v>4642</v>
      </c>
      <c r="D365" s="3" t="s">
        <v>4788</v>
      </c>
      <c r="F365" s="5" t="str">
        <f>IFERROR(__xludf.DUMMYFUNCTION("GOOGLETRANSLATE(A365, ""en"", ""hi"")"),"364")</f>
        <v>364</v>
      </c>
      <c r="G365" s="5" t="str">
        <f>IFERROR(__xludf.DUMMYFUNCTION("GOOGLETRANSLATE(B365, ""en"", ""hi"")"),"पम्बरम मैच के दौरान, खिलाड़ी K लगातार गति के साथ 12 सेकंड तक टॉप घुमाता है और खिलाड़ी L कभी-कभी हिलते हुए टॉप को 12 सेकंड तक घुमाता है। अगर गति की स्थिरता को प्राथमिकता दी जाए तो कौन जीतता है?")</f>
        <v>पम्बरम मैच के दौरान, खिलाड़ी K लगातार गति के साथ 12 सेकंड तक टॉप घुमाता है और खिलाड़ी L कभी-कभी हिलते हुए टॉप को 12 सेकंड तक घुमाता है। अगर गति की स्थिरता को प्राथमिकता दी जाए तो कौन जीतता है?</v>
      </c>
      <c r="H365" s="5" t="str">
        <f>IFERROR(__xludf.DUMMYFUNCTION("GOOGLETRANSLATE(C365, ""en"", ""hi"")"),"A) खिलाड़ी K, B) खिलाड़ी L, C) यह टाई है, D) उपरोक्त में से कोई नहीं")</f>
        <v>A) खिलाड़ी K, B) खिलाड़ी L, C) यह टाई है, D) उपरोक्त में से कोई नहीं</v>
      </c>
      <c r="I365" s="5" t="str">
        <f>IFERROR(__xludf.DUMMYFUNCTION("GOOGLETRANSLATE(D365, ""en"", ""hi"")"),"A) खिलाड़ी K")</f>
        <v>A) खिलाड़ी K</v>
      </c>
    </row>
    <row r="366" ht="22.5" customHeight="1">
      <c r="A366" s="2">
        <v>365.0</v>
      </c>
      <c r="B366" s="3" t="s">
        <v>5080</v>
      </c>
      <c r="C366" s="3" t="s">
        <v>4790</v>
      </c>
      <c r="D366" s="3" t="s">
        <v>4791</v>
      </c>
      <c r="F366" s="5" t="str">
        <f>IFERROR(__xludf.DUMMYFUNCTION("GOOGLETRANSLATE(A366, ""en"", ""hi"")"),"365")</f>
        <v>365</v>
      </c>
      <c r="G366" s="5" t="str">
        <f>IFERROR(__xludf.DUMMYFUNCTION("GOOGLETRANSLATE(B366, ""en"", ""hi"")"),"खिलाड़ी M लगातार गति से 15 सेकंड तक ऊपरी भाग को घुमाता है और खिलाड़ी N बीच-बीच में हिलते हुए 15 सेकंड तक ऊपरी भाग को घुमाता है। अगर न्यूनतम हिलना पसंद किया जाए तो कौन जीतता है?")</f>
        <v>खिलाड़ी M लगातार गति से 15 सेकंड तक ऊपरी भाग को घुमाता है और खिलाड़ी N बीच-बीच में हिलते हुए 15 सेकंड तक ऊपरी भाग को घुमाता है। अगर न्यूनतम हिलना पसंद किया जाए तो कौन जीतता है?</v>
      </c>
      <c r="H366" s="5" t="str">
        <f>IFERROR(__xludf.DUMMYFUNCTION("GOOGLETRANSLATE(C366, ""en"", ""hi"")"),"A) खिलाड़ी M, B) खिलाड़ी N, C) यह टाई है, D) उपरोक्त में से कोई नहीं")</f>
        <v>A) खिलाड़ी M, B) खिलाड़ी N, C) यह टाई है, D) उपरोक्त में से कोई नहीं</v>
      </c>
      <c r="I366" s="5" t="str">
        <f>IFERROR(__xludf.DUMMYFUNCTION("GOOGLETRANSLATE(D366, ""en"", ""hi"")"),"ए) खिलाड़ी एम")</f>
        <v>ए) खिलाड़ी एम</v>
      </c>
    </row>
    <row r="367" ht="22.5" customHeight="1">
      <c r="A367" s="2">
        <v>366.0</v>
      </c>
      <c r="B367" s="3" t="s">
        <v>5081</v>
      </c>
      <c r="C367" s="3" t="s">
        <v>4648</v>
      </c>
      <c r="D367" s="3" t="s">
        <v>4862</v>
      </c>
      <c r="F367" s="5" t="str">
        <f>IFERROR(__xludf.DUMMYFUNCTION("GOOGLETRANSLATE(A367, ""en"", ""hi"")"),"366")</f>
        <v>366</v>
      </c>
      <c r="G367" s="5" t="str">
        <f>IFERROR(__xludf.DUMMYFUNCTION("GOOGLETRANSLATE(B367, ""en"", ""hi"")"),"यदि खिलाड़ी O 7 सेकंड के लिए शीर्ष को घुमाता है और खिलाड़ी P कभी-कभी आवाज के साथ 7 सेकंड के लिए शीर्ष को घुमाता है, तो यदि मौन को प्राथमिकता दी जाती है तो कौन जीतता है?")</f>
        <v>यदि खिलाड़ी O 7 सेकंड के लिए शीर्ष को घुमाता है और खिलाड़ी P कभी-कभी आवाज के साथ 7 सेकंड के लिए शीर्ष को घुमाता है, तो यदि मौन को प्राथमिकता दी जाती है तो कौन जीतता है?</v>
      </c>
      <c r="H367" s="5" t="str">
        <f>IFERROR(__xludf.DUMMYFUNCTION("GOOGLETRANSLATE(C367, ""en"", ""hi"")"),"A) खिलाड़ी O, B) खिलाड़ी P, C) यह टाई है, D) उपरोक्त में से कोई नहीं")</f>
        <v>A) खिलाड़ी O, B) खिलाड़ी P, C) यह टाई है, D) उपरोक्त में से कोई नहीं</v>
      </c>
      <c r="I367" s="5" t="str">
        <f>IFERROR(__xludf.DUMMYFUNCTION("GOOGLETRANSLATE(D367, ""en"", ""hi"")"),"D) उपरोक्त में से कोई नहीं")</f>
        <v>D) उपरोक्त में से कोई नहीं</v>
      </c>
    </row>
    <row r="368" ht="22.5" customHeight="1">
      <c r="A368" s="2">
        <v>367.0</v>
      </c>
      <c r="B368" s="3" t="s">
        <v>5082</v>
      </c>
      <c r="C368" s="3" t="s">
        <v>4651</v>
      </c>
      <c r="D368" s="3" t="s">
        <v>4652</v>
      </c>
      <c r="F368" s="5" t="str">
        <f>IFERROR(__xludf.DUMMYFUNCTION("GOOGLETRANSLATE(A368, ""en"", ""hi"")"),"367")</f>
        <v>367</v>
      </c>
      <c r="G368" s="5" t="str">
        <f>IFERROR(__xludf.DUMMYFUNCTION("GOOGLETRANSLATE(B368, ""en"", ""hi"")"),"पम्बरम मैच के दौरान, खिलाड़ी Q 10 सेकंड के लिए ऊपरी भाग को घुमाता है और खिलाड़ी R 10 सेकंड के लिए ऊपरी भाग को घुमाता है, बीच-बीच में हिलता-डुलता रहता है। अगर स्थिरता को प्राथमिकता दी जाए तो कौन जीतता है?")</f>
        <v>पम्बरम मैच के दौरान, खिलाड़ी Q 10 सेकंड के लिए ऊपरी भाग को घुमाता है और खिलाड़ी R 10 सेकंड के लिए ऊपरी भाग को घुमाता है, बीच-बीच में हिलता-डुलता रहता है। अगर स्थिरता को प्राथमिकता दी जाए तो कौन जीतता है?</v>
      </c>
      <c r="H368" s="5" t="str">
        <f>IFERROR(__xludf.DUMMYFUNCTION("GOOGLETRANSLATE(C368, ""en"", ""hi"")"),"A) खिलाड़ी Q, B) खिलाड़ी R, C) यह टाई है, D) उपरोक्त में से कोई नहीं")</f>
        <v>A) खिलाड़ी Q, B) खिलाड़ी R, C) यह टाई है, D) उपरोक्त में से कोई नहीं</v>
      </c>
      <c r="I368" s="5" t="str">
        <f>IFERROR(__xludf.DUMMYFUNCTION("GOOGLETRANSLATE(D368, ""en"", ""hi"")"),"ए) खिलाड़ी क्यू")</f>
        <v>ए) खिलाड़ी क्यू</v>
      </c>
    </row>
    <row r="369" ht="22.5" customHeight="1">
      <c r="A369" s="2">
        <v>368.0</v>
      </c>
      <c r="B369" s="3" t="s">
        <v>5083</v>
      </c>
      <c r="C369" s="3" t="s">
        <v>4654</v>
      </c>
      <c r="D369" s="3" t="s">
        <v>4727</v>
      </c>
      <c r="F369" s="5" t="str">
        <f>IFERROR(__xludf.DUMMYFUNCTION("GOOGLETRANSLATE(A369, ""en"", ""hi"")"),"368")</f>
        <v>368</v>
      </c>
      <c r="G369" s="5" t="str">
        <f>IFERROR(__xludf.DUMMYFUNCTION("GOOGLETRANSLATE(B369, ""en"", ""hi"")"),"खिलाड़ी S, शीर्ष को 8 सेकंड तक घुमाता है और खिलाड़ी T, शीर्ष को 8 सेकंड तक एकसमान गति से घुमाता है। यदि गति की स्थिरता को प्राथमिकता दी जाती है, तो कौन जीतता है?")</f>
        <v>खिलाड़ी S, शीर्ष को 8 सेकंड तक घुमाता है और खिलाड़ी T, शीर्ष को 8 सेकंड तक एकसमान गति से घुमाता है। यदि गति की स्थिरता को प्राथमिकता दी जाती है, तो कौन जीतता है?</v>
      </c>
      <c r="H369" s="5" t="str">
        <f>IFERROR(__xludf.DUMMYFUNCTION("GOOGLETRANSLATE(C369, ""en"", ""hi"")"),"A) खिलाड़ी S, B) खिलाड़ी T, C) यह टाई है, D) उपरोक्त में से कोई नहीं")</f>
        <v>A) खिलाड़ी S, B) खिलाड़ी T, C) यह टाई है, D) उपरोक्त में से कोई नहीं</v>
      </c>
      <c r="I369" s="5" t="str">
        <f>IFERROR(__xludf.DUMMYFUNCTION("GOOGLETRANSLATE(D369, ""en"", ""hi"")"),"C) यह एक टाई है")</f>
        <v>C) यह एक टाई है</v>
      </c>
    </row>
    <row r="370" ht="22.5" customHeight="1">
      <c r="A370" s="2">
        <v>369.0</v>
      </c>
      <c r="B370" s="3" t="s">
        <v>5084</v>
      </c>
      <c r="C370" s="3" t="s">
        <v>4657</v>
      </c>
      <c r="D370" s="3" t="s">
        <v>4862</v>
      </c>
      <c r="F370" s="5" t="str">
        <f>IFERROR(__xludf.DUMMYFUNCTION("GOOGLETRANSLATE(A370, ""en"", ""hi"")"),"369")</f>
        <v>369</v>
      </c>
      <c r="G370" s="5" t="str">
        <f>IFERROR(__xludf.DUMMYFUNCTION("GOOGLETRANSLATE(B370, ""en"", ""hi"")"),"यदि खिलाड़ी U 14 सेकंड के लिए शीर्ष को घुमाता है और खिलाड़ी V कभी-कभार आवाज के साथ 14 सेकंड के लिए शीर्ष को घुमाता है, तो यदि मौन को प्राथमिकता दी जाती है तो कौन जीतता है?")</f>
        <v>यदि खिलाड़ी U 14 सेकंड के लिए शीर्ष को घुमाता है और खिलाड़ी V कभी-कभार आवाज के साथ 14 सेकंड के लिए शीर्ष को घुमाता है, तो यदि मौन को प्राथमिकता दी जाती है तो कौन जीतता है?</v>
      </c>
      <c r="H370" s="5" t="str">
        <f>IFERROR(__xludf.DUMMYFUNCTION("GOOGLETRANSLATE(C370, ""en"", ""hi"")"),"A) खिलाड़ी U, B) खिलाड़ी V, C) यह एक टाई है, D) उपरोक्त में से कोई नहीं")</f>
        <v>A) खिलाड़ी U, B) खिलाड़ी V, C) यह एक टाई है, D) उपरोक्त में से कोई नहीं</v>
      </c>
      <c r="I370" s="5" t="str">
        <f>IFERROR(__xludf.DUMMYFUNCTION("GOOGLETRANSLATE(D370, ""en"", ""hi"")"),"D) उपरोक्त में से कोई नहीं")</f>
        <v>D) उपरोक्त में से कोई नहीं</v>
      </c>
    </row>
    <row r="371" ht="22.5" customHeight="1">
      <c r="A371" s="2">
        <v>370.0</v>
      </c>
      <c r="B371" s="3" t="s">
        <v>5085</v>
      </c>
      <c r="C371" s="3" t="s">
        <v>4660</v>
      </c>
      <c r="D371" s="3" t="s">
        <v>4816</v>
      </c>
      <c r="F371" s="5" t="str">
        <f>IFERROR(__xludf.DUMMYFUNCTION("GOOGLETRANSLATE(A371, ""en"", ""hi"")"),"370")</f>
        <v>370</v>
      </c>
      <c r="G371" s="5" t="str">
        <f>IFERROR(__xludf.DUMMYFUNCTION("GOOGLETRANSLATE(B371, ""en"", ""hi"")"),"खिलाड़ी W लगातार गति के साथ 12 सेकंड तक ऊपरी भाग को घुमाता है, और खिलाड़ी X कभी-कभी हिलते हुए ऊपरी भाग को 12 सेकंड तक घुमाता है। अगर गति की स्थिरता को प्राथमिकता दी जाए तो कौन जीतता है?")</f>
        <v>खिलाड़ी W लगातार गति के साथ 12 सेकंड तक ऊपरी भाग को घुमाता है, और खिलाड़ी X कभी-कभी हिलते हुए ऊपरी भाग को 12 सेकंड तक घुमाता है। अगर गति की स्थिरता को प्राथमिकता दी जाए तो कौन जीतता है?</v>
      </c>
      <c r="H371" s="5" t="str">
        <f>IFERROR(__xludf.DUMMYFUNCTION("GOOGLETRANSLATE(C371, ""en"", ""hi"")"),"A) खिलाड़ी W, B) खिलाड़ी X, C) यह टाई है, D) उपरोक्त में से कोई नहीं")</f>
        <v>A) खिलाड़ी W, B) खिलाड़ी X, C) यह टाई है, D) उपरोक्त में से कोई नहीं</v>
      </c>
      <c r="I371" s="5" t="str">
        <f>IFERROR(__xludf.DUMMYFUNCTION("GOOGLETRANSLATE(D371, ""en"", ""hi"")"),"A) खिलाड़ी W")</f>
        <v>A) खिलाड़ी W</v>
      </c>
    </row>
    <row r="372" ht="22.5" customHeight="1">
      <c r="A372" s="2">
        <v>371.0</v>
      </c>
      <c r="B372" s="3" t="s">
        <v>5086</v>
      </c>
      <c r="C372" s="3" t="s">
        <v>4663</v>
      </c>
      <c r="D372" s="3" t="s">
        <v>4800</v>
      </c>
      <c r="F372" s="5" t="str">
        <f>IFERROR(__xludf.DUMMYFUNCTION("GOOGLETRANSLATE(A372, ""en"", ""hi"")"),"371")</f>
        <v>371</v>
      </c>
      <c r="G372" s="5" t="str">
        <f>IFERROR(__xludf.DUMMYFUNCTION("GOOGLETRANSLATE(B372, ""en"", ""hi"")"),"पम्बरम प्रतियोगिता के दौरान, खिलाड़ी Y कभी-कभार हिलते हुए ऊपरी हिस्से को 7 सेकंड तक घुमाता है और खिलाड़ी Z कम से कम हिलते हुए ऊपरी हिस्से को 7 सेकंड तक घुमाता है। अगर न्यूनतम हिलना पसंद किया जाता है तो कौन जीतता है?")</f>
        <v>पम्बरम प्रतियोगिता के दौरान, खिलाड़ी Y कभी-कभार हिलते हुए ऊपरी हिस्से को 7 सेकंड तक घुमाता है और खिलाड़ी Z कम से कम हिलते हुए ऊपरी हिस्से को 7 सेकंड तक घुमाता है। अगर न्यूनतम हिलना पसंद किया जाता है तो कौन जीतता है?</v>
      </c>
      <c r="H372" s="5" t="str">
        <f>IFERROR(__xludf.DUMMYFUNCTION("GOOGLETRANSLATE(C372, ""en"", ""hi"")"),"A) खिलाड़ी Y, B) खिलाड़ी Z, C) यह टाई है, D) उपरोक्त में से कोई नहीं")</f>
        <v>A) खिलाड़ी Y, B) खिलाड़ी Z, C) यह टाई है, D) उपरोक्त में से कोई नहीं</v>
      </c>
      <c r="I372" s="5" t="str">
        <f>IFERROR(__xludf.DUMMYFUNCTION("GOOGLETRANSLATE(D372, ""en"", ""hi"")"),"बी) खिलाड़ी जेड")</f>
        <v>बी) खिलाड़ी जेड</v>
      </c>
    </row>
    <row r="373" ht="22.5" customHeight="1">
      <c r="A373" s="2">
        <v>372.0</v>
      </c>
      <c r="B373" s="3" t="s">
        <v>5087</v>
      </c>
      <c r="C373" s="3" t="s">
        <v>4627</v>
      </c>
      <c r="D373" s="3" t="s">
        <v>4778</v>
      </c>
      <c r="F373" s="5" t="str">
        <f>IFERROR(__xludf.DUMMYFUNCTION("GOOGLETRANSLATE(A373, ""en"", ""hi"")"),"372")</f>
        <v>372</v>
      </c>
      <c r="G373" s="5" t="str">
        <f>IFERROR(__xludf.DUMMYFUNCTION("GOOGLETRANSLATE(B373, ""en"", ""hi"")"),"खिलाड़ी A बीच-बीच में आवाज़ के साथ 8 सेकंड तक लट्टू को घुमाता है, और खिलाड़ी B 8 सेकंड तक लट्टू को चुपचाप घुमाता है। अगर मौन को प्राथमिकता दी जाए तो कौन जीतता है?")</f>
        <v>खिलाड़ी A बीच-बीच में आवाज़ के साथ 8 सेकंड तक लट्टू को घुमाता है, और खिलाड़ी B 8 सेकंड तक लट्टू को चुपचाप घुमाता है। अगर मौन को प्राथमिकता दी जाए तो कौन जीतता है?</v>
      </c>
      <c r="H373" s="5" t="str">
        <f>IFERROR(__xludf.DUMMYFUNCTION("GOOGLETRANSLATE(C373, ""en"", ""hi"")"),"A) खिलाड़ी A, B) खिलाड़ी B, C) यह टाई है, D) उपरोक्त में से कोई नहीं")</f>
        <v>A) खिलाड़ी A, B) खिलाड़ी B, C) यह टाई है, D) उपरोक्त में से कोई नहीं</v>
      </c>
      <c r="I373" s="5" t="str">
        <f>IFERROR(__xludf.DUMMYFUNCTION("GOOGLETRANSLATE(D373, ""en"", ""hi"")"),"बी) खिलाड़ी बी")</f>
        <v>बी) खिलाड़ी बी</v>
      </c>
    </row>
    <row r="374" ht="22.5" customHeight="1">
      <c r="A374" s="2">
        <v>373.0</v>
      </c>
      <c r="B374" s="3" t="s">
        <v>5088</v>
      </c>
      <c r="C374" s="3" t="s">
        <v>4630</v>
      </c>
      <c r="D374" s="3" t="s">
        <v>4803</v>
      </c>
      <c r="F374" s="5" t="str">
        <f>IFERROR(__xludf.DUMMYFUNCTION("GOOGLETRANSLATE(A374, ""en"", ""hi"")"),"373")</f>
        <v>373</v>
      </c>
      <c r="G374" s="5" t="str">
        <f>IFERROR(__xludf.DUMMYFUNCTION("GOOGLETRANSLATE(B374, ""en"", ""hi"")"),"यदि खिलाड़ी C कभी-कभार हिलते हुए 11 सेकंड तक गेंद को घुमाता है और खिलाड़ी D लगातार गति के साथ 11 सेकंड तक गेंद को घुमाता है, तो यदि गति की स्थिरता को प्राथमिकता दी जाती है तो कौन जीतता है?")</f>
        <v>यदि खिलाड़ी C कभी-कभार हिलते हुए 11 सेकंड तक गेंद को घुमाता है और खिलाड़ी D लगातार गति के साथ 11 सेकंड तक गेंद को घुमाता है, तो यदि गति की स्थिरता को प्राथमिकता दी जाती है तो कौन जीतता है?</v>
      </c>
      <c r="H374" s="5" t="str">
        <f>IFERROR(__xludf.DUMMYFUNCTION("GOOGLETRANSLATE(C374, ""en"", ""hi"")"),"A) खिलाड़ी C, B) खिलाड़ी D, C) यह टाई है, D) उपरोक्त में से कोई नहीं")</f>
        <v>A) खिलाड़ी C, B) खिलाड़ी D, C) यह टाई है, D) उपरोक्त में से कोई नहीं</v>
      </c>
      <c r="I374" s="5" t="str">
        <f>IFERROR(__xludf.DUMMYFUNCTION("GOOGLETRANSLATE(D374, ""en"", ""hi"")"),"बी) खिलाड़ी डी")</f>
        <v>बी) खिलाड़ी डी</v>
      </c>
    </row>
    <row r="375" ht="22.5" customHeight="1">
      <c r="A375" s="2">
        <v>374.0</v>
      </c>
      <c r="B375" s="3" t="s">
        <v>5089</v>
      </c>
      <c r="C375" s="3" t="s">
        <v>4781</v>
      </c>
      <c r="D375" s="3" t="s">
        <v>4805</v>
      </c>
      <c r="F375" s="5" t="str">
        <f>IFERROR(__xludf.DUMMYFUNCTION("GOOGLETRANSLATE(A375, ""en"", ""hi"")"),"374")</f>
        <v>374</v>
      </c>
      <c r="G375" s="5" t="str">
        <f>IFERROR(__xludf.DUMMYFUNCTION("GOOGLETRANSLATE(B375, ""en"", ""hi"")"),"पम्बरम मैच के दौरान, खिलाड़ी E, कम से कम कंपन के साथ 15 सेकंड तक ऊपरी हिस्से को घुमाता है और खिलाड़ी F, बीच-बीच में आवाज़ के साथ 15 सेकंड तक ऊपरी हिस्से को घुमाता है। अगर न्यूनतम कंपन को प्राथमिकता दी जाए तो कौन जीतता है?")</f>
        <v>पम्बरम मैच के दौरान, खिलाड़ी E, कम से कम कंपन के साथ 15 सेकंड तक ऊपरी हिस्से को घुमाता है और खिलाड़ी F, बीच-बीच में आवाज़ के साथ 15 सेकंड तक ऊपरी हिस्से को घुमाता है। अगर न्यूनतम कंपन को प्राथमिकता दी जाए तो कौन जीतता है?</v>
      </c>
      <c r="H375" s="5" t="str">
        <f>IFERROR(__xludf.DUMMYFUNCTION("GOOGLETRANSLATE(C375, ""en"", ""hi"")"),"A) खिलाड़ी E, B) खिलाड़ी F, C) यह टाई है, D) उपरोक्त में से कोई नहीं")</f>
        <v>A) खिलाड़ी E, B) खिलाड़ी F, C) यह टाई है, D) उपरोक्त में से कोई नहीं</v>
      </c>
      <c r="I375" s="5" t="str">
        <f>IFERROR(__xludf.DUMMYFUNCTION("GOOGLETRANSLATE(D375, ""en"", ""hi"")"),"ए) खिलाड़ी ई")</f>
        <v>ए) खिलाड़ी ई</v>
      </c>
    </row>
    <row r="376" ht="22.5" customHeight="1">
      <c r="A376" s="2">
        <v>375.0</v>
      </c>
      <c r="B376" s="3" t="s">
        <v>5090</v>
      </c>
      <c r="C376" s="3" t="s">
        <v>4783</v>
      </c>
      <c r="D376" s="3" t="s">
        <v>4784</v>
      </c>
      <c r="F376" s="5" t="str">
        <f>IFERROR(__xludf.DUMMYFUNCTION("GOOGLETRANSLATE(A376, ""en"", ""hi"")"),"375")</f>
        <v>375</v>
      </c>
      <c r="G376" s="5" t="str">
        <f>IFERROR(__xludf.DUMMYFUNCTION("GOOGLETRANSLATE(B376, ""en"", ""hi"")"),"खिलाड़ी G, गेंद के ऊपरी हिस्से को 10 सेकंड तक घुमाता है और खिलाड़ी H, गेंद के ऊपरी हिस्से को 10 सेकंड तक घुमाता है। अगर खिलाड़ी G का ऊपरी हिस्सा कम हिलता है, तो कम से कम हिलना पसंद करने पर कौन जीतता है?")</f>
        <v>खिलाड़ी G, गेंद के ऊपरी हिस्से को 10 सेकंड तक घुमाता है और खिलाड़ी H, गेंद के ऊपरी हिस्से को 10 सेकंड तक घुमाता है। अगर खिलाड़ी G का ऊपरी हिस्सा कम हिलता है, तो कम से कम हिलना पसंद करने पर कौन जीतता है?</v>
      </c>
      <c r="H376" s="5" t="str">
        <f>IFERROR(__xludf.DUMMYFUNCTION("GOOGLETRANSLATE(C376, ""en"", ""hi"")"),"A) खिलाड़ी G, B) खिलाड़ी H, C) यह टाई है, D) उपरोक्त में से कोई नहीं")</f>
        <v>A) खिलाड़ी G, B) खिलाड़ी H, C) यह टाई है, D) उपरोक्त में से कोई नहीं</v>
      </c>
      <c r="I376" s="5" t="str">
        <f>IFERROR(__xludf.DUMMYFUNCTION("GOOGLETRANSLATE(D376, ""en"", ""hi"")"),"ए) खिलाड़ी जी")</f>
        <v>ए) खिलाड़ी जी</v>
      </c>
    </row>
    <row r="377" ht="22.5" customHeight="1">
      <c r="A377" s="2">
        <v>376.0</v>
      </c>
      <c r="B377" s="3" t="s">
        <v>5091</v>
      </c>
      <c r="C377" s="3" t="s">
        <v>4639</v>
      </c>
      <c r="D377" s="3" t="s">
        <v>4640</v>
      </c>
      <c r="F377" s="5" t="str">
        <f>IFERROR(__xludf.DUMMYFUNCTION("GOOGLETRANSLATE(A377, ""en"", ""hi"")"),"376")</f>
        <v>376</v>
      </c>
      <c r="G377" s="5" t="str">
        <f>IFERROR(__xludf.DUMMYFUNCTION("GOOGLETRANSLATE(B377, ""en"", ""hi"")"),"यदि खिलाड़ी I शीर्ष को 8 सेकंड तक लगातार गति से घुमाता है और खिलाड़ी J शीर्ष को कभी-कभार हिलते हुए 8 सेकंड तक घुमाता है, तो स्थिरता को प्राथमिकता देने पर कौन जीतता है?")</f>
        <v>यदि खिलाड़ी I शीर्ष को 8 सेकंड तक लगातार गति से घुमाता है और खिलाड़ी J शीर्ष को कभी-कभार हिलते हुए 8 सेकंड तक घुमाता है, तो स्थिरता को प्राथमिकता देने पर कौन जीतता है?</v>
      </c>
      <c r="H377" s="5" t="str">
        <f>IFERROR(__xludf.DUMMYFUNCTION("GOOGLETRANSLATE(C377, ""en"", ""hi"")"),"A) खिलाड़ी I, B) खिलाड़ी J, C) यह टाई है, D) उपरोक्त में से कोई नहीं")</f>
        <v>A) खिलाड़ी I, B) खिलाड़ी J, C) यह टाई है, D) उपरोक्त में से कोई नहीं</v>
      </c>
      <c r="I377" s="5" t="str">
        <f>IFERROR(__xludf.DUMMYFUNCTION("GOOGLETRANSLATE(D377, ""en"", ""hi"")"),"ए) खिलाड़ी I")</f>
        <v>ए) खिलाड़ी I</v>
      </c>
    </row>
    <row r="378" ht="22.5" customHeight="1">
      <c r="A378" s="2">
        <v>377.0</v>
      </c>
      <c r="B378" s="3" t="s">
        <v>4891</v>
      </c>
      <c r="C378" s="3" t="s">
        <v>4642</v>
      </c>
      <c r="D378" s="3" t="s">
        <v>4862</v>
      </c>
      <c r="F378" s="5" t="str">
        <f>IFERROR(__xludf.DUMMYFUNCTION("GOOGLETRANSLATE(A378, ""en"", ""hi"")"),"377")</f>
        <v>377</v>
      </c>
      <c r="G378" s="5" t="str">
        <f>IFERROR(__xludf.DUMMYFUNCTION("GOOGLETRANSLATE(B378, ""en"", ""hi"")"),"खिलाड़ी K, 12 सेकंड के लिए ऊपरी हिस्से को घुमाता है और खिलाड़ी L, बीच-बीच में आवाज़ें निकालते हुए, 12 सेकंड के लिए ऊपरी हिस्से को घुमाता है। अगर मौन को प्राथमिकता दी जाए तो कौन जीतता है?")</f>
        <v>खिलाड़ी K, 12 सेकंड के लिए ऊपरी हिस्से को घुमाता है और खिलाड़ी L, बीच-बीच में आवाज़ें निकालते हुए, 12 सेकंड के लिए ऊपरी हिस्से को घुमाता है। अगर मौन को प्राथमिकता दी जाए तो कौन जीतता है?</v>
      </c>
      <c r="H378" s="5" t="str">
        <f>IFERROR(__xludf.DUMMYFUNCTION("GOOGLETRANSLATE(C378, ""en"", ""hi"")"),"A) खिलाड़ी K, B) खिलाड़ी L, C) यह टाई है, D) उपरोक्त में से कोई नहीं")</f>
        <v>A) खिलाड़ी K, B) खिलाड़ी L, C) यह टाई है, D) उपरोक्त में से कोई नहीं</v>
      </c>
      <c r="I378" s="5" t="str">
        <f>IFERROR(__xludf.DUMMYFUNCTION("GOOGLETRANSLATE(D378, ""en"", ""hi"")"),"D) उपरोक्त में से कोई नहीं")</f>
        <v>D) उपरोक्त में से कोई नहीं</v>
      </c>
    </row>
    <row r="379" ht="22.5" customHeight="1">
      <c r="A379" s="2">
        <v>378.0</v>
      </c>
      <c r="B379" s="3" t="s">
        <v>5092</v>
      </c>
      <c r="C379" s="3" t="s">
        <v>4790</v>
      </c>
      <c r="D379" s="3" t="s">
        <v>4646</v>
      </c>
      <c r="F379" s="5" t="str">
        <f>IFERROR(__xludf.DUMMYFUNCTION("GOOGLETRANSLATE(A379, ""en"", ""hi"")"),"378")</f>
        <v>378</v>
      </c>
      <c r="G379" s="5" t="str">
        <f>IFERROR(__xludf.DUMMYFUNCTION("GOOGLETRANSLATE(B379, ""en"", ""hi"")"),"पम्बरम प्रतियोगिता के दौरान, खिलाड़ी M कभी-कभार हिलते हुए ऊपरी हिस्से को 7 सेकंड तक घुमाता है, और खिलाड़ी N कम से कम हिलते हुए ऊपरी हिस्से को 7 सेकंड तक घुमाता है। अगर कम से कम हिलना पसंद किया जाता है, तो कौन जीतता है?")</f>
        <v>पम्बरम प्रतियोगिता के दौरान, खिलाड़ी M कभी-कभार हिलते हुए ऊपरी हिस्से को 7 सेकंड तक घुमाता है, और खिलाड़ी N कम से कम हिलते हुए ऊपरी हिस्से को 7 सेकंड तक घुमाता है। अगर कम से कम हिलना पसंद किया जाता है, तो कौन जीतता है?</v>
      </c>
      <c r="H379" s="5" t="str">
        <f>IFERROR(__xludf.DUMMYFUNCTION("GOOGLETRANSLATE(C379, ""en"", ""hi"")"),"A) खिलाड़ी M, B) खिलाड़ी N, C) यह टाई है, D) उपरोक्त में से कोई नहीं")</f>
        <v>A) खिलाड़ी M, B) खिलाड़ी N, C) यह टाई है, D) उपरोक्त में से कोई नहीं</v>
      </c>
      <c r="I379" s="5" t="str">
        <f>IFERROR(__xludf.DUMMYFUNCTION("GOOGLETRANSLATE(D379, ""en"", ""hi"")"),"बी) खिलाड़ी एन")</f>
        <v>बी) खिलाड़ी एन</v>
      </c>
    </row>
    <row r="380" ht="22.5" customHeight="1">
      <c r="A380" s="2">
        <v>379.0</v>
      </c>
      <c r="B380" s="3" t="s">
        <v>5093</v>
      </c>
      <c r="C380" s="3" t="s">
        <v>4648</v>
      </c>
      <c r="D380" s="3" t="s">
        <v>4649</v>
      </c>
      <c r="F380" s="5" t="str">
        <f>IFERROR(__xludf.DUMMYFUNCTION("GOOGLETRANSLATE(A380, ""en"", ""hi"")"),"379")</f>
        <v>379</v>
      </c>
      <c r="G380" s="5" t="str">
        <f>IFERROR(__xludf.DUMMYFUNCTION("GOOGLETRANSLATE(B380, ""en"", ""hi"")"),"यदि खिलाड़ी O शीर्ष को 15 सेकंड तक लगातार गति से घुमाता है और खिलाड़ी P शीर्ष को कभी-कभार हिलते हुए 15 सेकंड तक घुमाता है, तो यदि न्यूनतम हिलना पसंद किया जाता है तो कौन जीतता है?")</f>
        <v>यदि खिलाड़ी O शीर्ष को 15 सेकंड तक लगातार गति से घुमाता है और खिलाड़ी P शीर्ष को कभी-कभार हिलते हुए 15 सेकंड तक घुमाता है, तो यदि न्यूनतम हिलना पसंद किया जाता है तो कौन जीतता है?</v>
      </c>
      <c r="H380" s="5" t="str">
        <f>IFERROR(__xludf.DUMMYFUNCTION("GOOGLETRANSLATE(C380, ""en"", ""hi"")"),"A) खिलाड़ी O, B) खिलाड़ी P, C) यह टाई है, D) उपरोक्त में से कोई नहीं")</f>
        <v>A) खिलाड़ी O, B) खिलाड़ी P, C) यह टाई है, D) उपरोक्त में से कोई नहीं</v>
      </c>
      <c r="I380" s="5" t="str">
        <f>IFERROR(__xludf.DUMMYFUNCTION("GOOGLETRANSLATE(D380, ""en"", ""hi"")"),"A) खिलाड़ी O")</f>
        <v>A) खिलाड़ी O</v>
      </c>
    </row>
    <row r="381" ht="22.5" customHeight="1">
      <c r="A381" s="2">
        <v>380.0</v>
      </c>
      <c r="B381" s="3" t="s">
        <v>5094</v>
      </c>
      <c r="C381" s="3" t="s">
        <v>4651</v>
      </c>
      <c r="D381" s="3" t="s">
        <v>4862</v>
      </c>
      <c r="F381" s="5" t="str">
        <f>IFERROR(__xludf.DUMMYFUNCTION("GOOGLETRANSLATE(A381, ""en"", ""hi"")"),"380")</f>
        <v>380</v>
      </c>
      <c r="G381" s="5" t="str">
        <f>IFERROR(__xludf.DUMMYFUNCTION("GOOGLETRANSLATE(B381, ""en"", ""hi"")"),"खिलाड़ी Q 11 सेकंड के लिए ऊपरी हिस्से को घुमाता है और खिलाड़ी R बीच-बीच में आवाज़ें निकालते हुए 11 सेकंड के लिए ऊपरी हिस्से को घुमाता है। अगर मौन को प्राथमिकता दी जाए तो कौन जीतता है?")</f>
        <v>खिलाड़ी Q 11 सेकंड के लिए ऊपरी हिस्से को घुमाता है और खिलाड़ी R बीच-बीच में आवाज़ें निकालते हुए 11 सेकंड के लिए ऊपरी हिस्से को घुमाता है। अगर मौन को प्राथमिकता दी जाए तो कौन जीतता है?</v>
      </c>
      <c r="H381" s="5" t="str">
        <f>IFERROR(__xludf.DUMMYFUNCTION("GOOGLETRANSLATE(C381, ""en"", ""hi"")"),"A) खिलाड़ी Q, B) खिलाड़ी R, C) यह टाई है, D) उपरोक्त में से कोई नहीं")</f>
        <v>A) खिलाड़ी Q, B) खिलाड़ी R, C) यह टाई है, D) उपरोक्त में से कोई नहीं</v>
      </c>
      <c r="I381" s="5" t="str">
        <f>IFERROR(__xludf.DUMMYFUNCTION("GOOGLETRANSLATE(D381, ""en"", ""hi"")"),"D) उपरोक्त में से कोई नहीं")</f>
        <v>D) उपरोक्त में से कोई नहीं</v>
      </c>
    </row>
    <row r="382" ht="22.5" customHeight="1">
      <c r="A382" s="2">
        <v>381.0</v>
      </c>
      <c r="B382" s="3" t="s">
        <v>5095</v>
      </c>
      <c r="C382" s="3" t="s">
        <v>4654</v>
      </c>
      <c r="D382" s="3" t="s">
        <v>4828</v>
      </c>
      <c r="F382" s="5" t="str">
        <f>IFERROR(__xludf.DUMMYFUNCTION("GOOGLETRANSLATE(A382, ""en"", ""hi"")"),"381")</f>
        <v>381</v>
      </c>
      <c r="G382" s="5" t="str">
        <f>IFERROR(__xludf.DUMMYFUNCTION("GOOGLETRANSLATE(B382, ""en"", ""hi"")"),"पम्बरम मैच के दौरान, खिलाड़ी S गेंद के ऊपरी हिस्से को 14 सेकंड तक घुमाता है और खिलाड़ी T गेंद के ऊपरी हिस्से को 14 सेकंड तक घुमाता है। अगर खिलाड़ी S की गेंद का ऊपरी हिस्सा सीधा और खिलाड़ी T की गेंद का ऊपरी हिस्सा तिरछा गिरता है, तो अगर सीधा गिरना पसंद किय"&amp;"ा जाता है, तो कौन जीतता है?")</f>
        <v>पम्बरम मैच के दौरान, खिलाड़ी S गेंद के ऊपरी हिस्से को 14 सेकंड तक घुमाता है और खिलाड़ी T गेंद के ऊपरी हिस्से को 14 सेकंड तक घुमाता है। अगर खिलाड़ी S की गेंद का ऊपरी हिस्सा सीधा और खिलाड़ी T की गेंद का ऊपरी हिस्सा तिरछा गिरता है, तो अगर सीधा गिरना पसंद किया जाता है, तो कौन जीतता है?</v>
      </c>
      <c r="H382" s="5" t="str">
        <f>IFERROR(__xludf.DUMMYFUNCTION("GOOGLETRANSLATE(C382, ""en"", ""hi"")"),"A) खिलाड़ी S, B) खिलाड़ी T, C) यह टाई है, D) उपरोक्त में से कोई नहीं")</f>
        <v>A) खिलाड़ी S, B) खिलाड़ी T, C) यह टाई है, D) उपरोक्त में से कोई नहीं</v>
      </c>
      <c r="I382" s="5" t="str">
        <f>IFERROR(__xludf.DUMMYFUNCTION("GOOGLETRANSLATE(D382, ""en"", ""hi"")"),"ए) खिलाड़ी एस")</f>
        <v>ए) खिलाड़ी एस</v>
      </c>
    </row>
    <row r="383" ht="22.5" customHeight="1">
      <c r="A383" s="2">
        <v>382.0</v>
      </c>
      <c r="B383" s="3" t="s">
        <v>5096</v>
      </c>
      <c r="C383" s="3" t="s">
        <v>4657</v>
      </c>
      <c r="D383" s="3" t="s">
        <v>4658</v>
      </c>
      <c r="F383" s="5" t="str">
        <f>IFERROR(__xludf.DUMMYFUNCTION("GOOGLETRANSLATE(A383, ""en"", ""hi"")"),"382")</f>
        <v>382</v>
      </c>
      <c r="G383" s="5" t="str">
        <f>IFERROR(__xludf.DUMMYFUNCTION("GOOGLETRANSLATE(B383, ""en"", ""hi"")"),"यदि खिलाड़ी U न्यूनतम कंपन के साथ 10 सेकंड के लिए शीर्ष को घुमाता है और खिलाड़ी V कभी-कभार कंपन के साथ 10 सेकंड के लिए शीर्ष को घुमाता है, तो न्यूनतम कंपन को प्राथमिकता देने पर कौन जीतता है?")</f>
        <v>यदि खिलाड़ी U न्यूनतम कंपन के साथ 10 सेकंड के लिए शीर्ष को घुमाता है और खिलाड़ी V कभी-कभार कंपन के साथ 10 सेकंड के लिए शीर्ष को घुमाता है, तो न्यूनतम कंपन को प्राथमिकता देने पर कौन जीतता है?</v>
      </c>
      <c r="H383" s="5" t="str">
        <f>IFERROR(__xludf.DUMMYFUNCTION("GOOGLETRANSLATE(C383, ""en"", ""hi"")"),"A) खिलाड़ी U, B) खिलाड़ी V, C) यह एक टाई है, D) उपरोक्त में से कोई नहीं")</f>
        <v>A) खिलाड़ी U, B) खिलाड़ी V, C) यह एक टाई है, D) उपरोक्त में से कोई नहीं</v>
      </c>
      <c r="I383" s="5" t="str">
        <f>IFERROR(__xludf.DUMMYFUNCTION("GOOGLETRANSLATE(D383, ""en"", ""hi"")"),"ए) खिलाड़ी यू")</f>
        <v>ए) खिलाड़ी यू</v>
      </c>
    </row>
    <row r="384" ht="22.5" customHeight="1">
      <c r="A384" s="2">
        <v>383.0</v>
      </c>
      <c r="B384" s="3" t="s">
        <v>5097</v>
      </c>
      <c r="C384" s="3" t="s">
        <v>4660</v>
      </c>
      <c r="D384" s="3" t="s">
        <v>4727</v>
      </c>
      <c r="F384" s="5" t="str">
        <f>IFERROR(__xludf.DUMMYFUNCTION("GOOGLETRANSLATE(A384, ""en"", ""hi"")"),"383")</f>
        <v>383</v>
      </c>
      <c r="G384" s="5" t="str">
        <f>IFERROR(__xludf.DUMMYFUNCTION("GOOGLETRANSLATE(B384, ""en"", ""hi"")"),"खिलाड़ी W शीर्ष को 8 सेकंड तक घुमाता है और खिलाड़ी X शीर्ष को 8 सेकंड तक एकसमान गति से घुमाता है। यदि गति की स्थिरता को प्राथमिकता दी जाती है, तो कौन जीतता है?")</f>
        <v>खिलाड़ी W शीर्ष को 8 सेकंड तक घुमाता है और खिलाड़ी X शीर्ष को 8 सेकंड तक एकसमान गति से घुमाता है। यदि गति की स्थिरता को प्राथमिकता दी जाती है, तो कौन जीतता है?</v>
      </c>
      <c r="H384" s="5" t="str">
        <f>IFERROR(__xludf.DUMMYFUNCTION("GOOGLETRANSLATE(C384, ""en"", ""hi"")"),"A) खिलाड़ी W, B) खिलाड़ी X, C) यह टाई है, D) उपरोक्त में से कोई नहीं")</f>
        <v>A) खिलाड़ी W, B) खिलाड़ी X, C) यह टाई है, D) उपरोक्त में से कोई नहीं</v>
      </c>
      <c r="I384" s="5" t="str">
        <f>IFERROR(__xludf.DUMMYFUNCTION("GOOGLETRANSLATE(D384, ""en"", ""hi"")"),"C) यह एक टाई है")</f>
        <v>C) यह एक टाई है</v>
      </c>
    </row>
    <row r="385" ht="22.5" customHeight="1">
      <c r="A385" s="2">
        <v>384.0</v>
      </c>
      <c r="B385" s="3" t="s">
        <v>5098</v>
      </c>
      <c r="C385" s="3" t="s">
        <v>4663</v>
      </c>
      <c r="D385" s="3" t="s">
        <v>4800</v>
      </c>
      <c r="F385" s="5" t="str">
        <f>IFERROR(__xludf.DUMMYFUNCTION("GOOGLETRANSLATE(A385, ""en"", ""hi"")"),"384")</f>
        <v>384</v>
      </c>
      <c r="G385" s="5" t="str">
        <f>IFERROR(__xludf.DUMMYFUNCTION("GOOGLETRANSLATE(B385, ""en"", ""hi"")"),"पम्बरम प्रतियोगिता के दौरान, खिलाड़ी Y कभी-कभी हिलते हुए लट्टू को 12 सेकंड तक घुमाता है और खिलाड़ी Z लगातार गति के साथ लट्टू को 12 सेकंड तक घुमाता है। अगर गति की स्थिरता को प्राथमिकता दी जाए तो कौन जीतता है?")</f>
        <v>पम्बरम प्रतियोगिता के दौरान, खिलाड़ी Y कभी-कभी हिलते हुए लट्टू को 12 सेकंड तक घुमाता है और खिलाड़ी Z लगातार गति के साथ लट्टू को 12 सेकंड तक घुमाता है। अगर गति की स्थिरता को प्राथमिकता दी जाए तो कौन जीतता है?</v>
      </c>
      <c r="H385" s="5" t="str">
        <f>IFERROR(__xludf.DUMMYFUNCTION("GOOGLETRANSLATE(C385, ""en"", ""hi"")"),"A) खिलाड़ी Y, B) खिलाड़ी Z, C) यह टाई है, D) उपरोक्त में से कोई नहीं")</f>
        <v>A) खिलाड़ी Y, B) खिलाड़ी Z, C) यह टाई है, D) उपरोक्त में से कोई नहीं</v>
      </c>
      <c r="I385" s="5" t="str">
        <f>IFERROR(__xludf.DUMMYFUNCTION("GOOGLETRANSLATE(D385, ""en"", ""hi"")"),"बी) खिलाड़ी जेड")</f>
        <v>बी) खिलाड़ी जेड</v>
      </c>
    </row>
    <row r="386" ht="22.5" customHeight="1">
      <c r="A386" s="2">
        <v>385.0</v>
      </c>
      <c r="B386" s="3" t="s">
        <v>5099</v>
      </c>
      <c r="C386" s="3" t="s">
        <v>4627</v>
      </c>
      <c r="D386" s="3" t="s">
        <v>4778</v>
      </c>
      <c r="F386" s="5" t="str">
        <f>IFERROR(__xludf.DUMMYFUNCTION("GOOGLETRANSLATE(A386, ""en"", ""hi"")"),"385")</f>
        <v>385</v>
      </c>
      <c r="G386" s="5" t="str">
        <f>IFERROR(__xludf.DUMMYFUNCTION("GOOGLETRANSLATE(B386, ""en"", ""hi"")"),"यदि खिलाड़ी A कभी-कभार आवाज के साथ 9 सेकंड के लिए शीर्ष को घुमाता है और खिलाड़ी B 9 सेकंड के लिए शीर्ष को मौन में घुमाता है, तो यदि मौन को प्राथमिकता दी जाती है तो कौन जीतता है?")</f>
        <v>यदि खिलाड़ी A कभी-कभार आवाज के साथ 9 सेकंड के लिए शीर्ष को घुमाता है और खिलाड़ी B 9 सेकंड के लिए शीर्ष को मौन में घुमाता है, तो यदि मौन को प्राथमिकता दी जाती है तो कौन जीतता है?</v>
      </c>
      <c r="H386" s="5" t="str">
        <f>IFERROR(__xludf.DUMMYFUNCTION("GOOGLETRANSLATE(C386, ""en"", ""hi"")"),"A) खिलाड़ी A, B) खिलाड़ी B, C) यह टाई है, D) उपरोक्त में से कोई नहीं")</f>
        <v>A) खिलाड़ी A, B) खिलाड़ी B, C) यह टाई है, D) उपरोक्त में से कोई नहीं</v>
      </c>
      <c r="I386" s="5" t="str">
        <f>IFERROR(__xludf.DUMMYFUNCTION("GOOGLETRANSLATE(D386, ""en"", ""hi"")"),"बी) खिलाड़ी बी")</f>
        <v>बी) खिलाड़ी बी</v>
      </c>
    </row>
    <row r="387" ht="22.5" customHeight="1">
      <c r="A387" s="2">
        <v>386.0</v>
      </c>
      <c r="B387" s="3" t="s">
        <v>5100</v>
      </c>
      <c r="C387" s="3" t="s">
        <v>4630</v>
      </c>
      <c r="D387" s="3" t="s">
        <v>4727</v>
      </c>
      <c r="F387" s="5" t="str">
        <f>IFERROR(__xludf.DUMMYFUNCTION("GOOGLETRANSLATE(A387, ""en"", ""hi"")"),"386")</f>
        <v>386</v>
      </c>
      <c r="G387" s="5" t="str">
        <f>IFERROR(__xludf.DUMMYFUNCTION("GOOGLETRANSLATE(B387, ""en"", ""hi"")"),"खिलाड़ी C, ऊपरी हिस्से को 15 सेकंड तक घुमाता है और खिलाड़ी D, ऊपरी हिस्से को न्यूनतम कंपन के साथ 15 सेकंड तक घुमाता है। यदि न्यूनतम कंपन को प्राथमिकता दी जाती है, तो कौन जीतता है?")</f>
        <v>खिलाड़ी C, ऊपरी हिस्से को 15 सेकंड तक घुमाता है और खिलाड़ी D, ऊपरी हिस्से को न्यूनतम कंपन के साथ 15 सेकंड तक घुमाता है। यदि न्यूनतम कंपन को प्राथमिकता दी जाती है, तो कौन जीतता है?</v>
      </c>
      <c r="H387" s="5" t="str">
        <f>IFERROR(__xludf.DUMMYFUNCTION("GOOGLETRANSLATE(C387, ""en"", ""hi"")"),"A) खिलाड़ी C, B) खिलाड़ी D, C) यह टाई है, D) उपरोक्त में से कोई नहीं")</f>
        <v>A) खिलाड़ी C, B) खिलाड़ी D, C) यह टाई है, D) उपरोक्त में से कोई नहीं</v>
      </c>
      <c r="I387" s="5" t="str">
        <f>IFERROR(__xludf.DUMMYFUNCTION("GOOGLETRANSLATE(D387, ""en"", ""hi"")"),"C) यह एक टाई है")</f>
        <v>C) यह एक टाई है</v>
      </c>
    </row>
    <row r="388" ht="22.5" customHeight="1">
      <c r="A388" s="2">
        <v>387.0</v>
      </c>
      <c r="B388" s="3" t="s">
        <v>5101</v>
      </c>
      <c r="C388" s="3" t="s">
        <v>4781</v>
      </c>
      <c r="D388" s="3" t="s">
        <v>4805</v>
      </c>
      <c r="F388" s="5" t="str">
        <f>IFERROR(__xludf.DUMMYFUNCTION("GOOGLETRANSLATE(A388, ""en"", ""hi"")"),"387")</f>
        <v>387</v>
      </c>
      <c r="G388" s="5" t="str">
        <f>IFERROR(__xludf.DUMMYFUNCTION("GOOGLETRANSLATE(B388, ""en"", ""hi"")"),"पम्बरम मैच के दौरान, खिलाड़ी E ऊपरी हिस्से को 7 सेकंड तक घुमाता है और खिलाड़ी F ऊपरी हिस्से को कभी-कभी हिलते हुए 7 सेकंड तक घुमाता है। अगर स्थिरता को प्राथमिकता दी जाए तो कौन जीतता है?")</f>
        <v>पम्बरम मैच के दौरान, खिलाड़ी E ऊपरी हिस्से को 7 सेकंड तक घुमाता है और खिलाड़ी F ऊपरी हिस्से को कभी-कभी हिलते हुए 7 सेकंड तक घुमाता है। अगर स्थिरता को प्राथमिकता दी जाए तो कौन जीतता है?</v>
      </c>
      <c r="H388" s="5" t="str">
        <f>IFERROR(__xludf.DUMMYFUNCTION("GOOGLETRANSLATE(C388, ""en"", ""hi"")"),"A) खिलाड़ी E, B) खिलाड़ी F, C) यह टाई है, D) उपरोक्त में से कोई नहीं")</f>
        <v>A) खिलाड़ी E, B) खिलाड़ी F, C) यह टाई है, D) उपरोक्त में से कोई नहीं</v>
      </c>
      <c r="I388" s="5" t="str">
        <f>IFERROR(__xludf.DUMMYFUNCTION("GOOGLETRANSLATE(D388, ""en"", ""hi"")"),"ए) खिलाड़ी ई")</f>
        <v>ए) खिलाड़ी ई</v>
      </c>
    </row>
    <row r="389" ht="22.5" customHeight="1">
      <c r="A389" s="2">
        <v>388.0</v>
      </c>
      <c r="B389" s="3" t="s">
        <v>5102</v>
      </c>
      <c r="C389" s="3" t="s">
        <v>4783</v>
      </c>
      <c r="D389" s="3" t="s">
        <v>4784</v>
      </c>
      <c r="F389" s="5" t="str">
        <f>IFERROR(__xludf.DUMMYFUNCTION("GOOGLETRANSLATE(A389, ""en"", ""hi"")"),"388")</f>
        <v>388</v>
      </c>
      <c r="G389" s="5" t="str">
        <f>IFERROR(__xludf.DUMMYFUNCTION("GOOGLETRANSLATE(B389, ""en"", ""hi"")"),"यदि खिलाड़ी G लगातार गति के साथ 11 सेकंड तक शीर्ष को घुमाता है और खिलाड़ी H कभी-कभार ध्वनि के साथ 11 सेकंड तक शीर्ष को घुमाता है, तो यदि गति की स्थिरता को प्राथमिकता दी जाती है तो कौन जीतता है?")</f>
        <v>यदि खिलाड़ी G लगातार गति के साथ 11 सेकंड तक शीर्ष को घुमाता है और खिलाड़ी H कभी-कभार ध्वनि के साथ 11 सेकंड तक शीर्ष को घुमाता है, तो यदि गति की स्थिरता को प्राथमिकता दी जाती है तो कौन जीतता है?</v>
      </c>
      <c r="H389" s="5" t="str">
        <f>IFERROR(__xludf.DUMMYFUNCTION("GOOGLETRANSLATE(C389, ""en"", ""hi"")"),"A) खिलाड़ी G, B) खिलाड़ी H, C) यह टाई है, D) उपरोक्त में से कोई नहीं")</f>
        <v>A) खिलाड़ी G, B) खिलाड़ी H, C) यह टाई है, D) उपरोक्त में से कोई नहीं</v>
      </c>
      <c r="I389" s="5" t="str">
        <f>IFERROR(__xludf.DUMMYFUNCTION("GOOGLETRANSLATE(D389, ""en"", ""hi"")"),"ए) खिलाड़ी जी")</f>
        <v>ए) खिलाड़ी जी</v>
      </c>
    </row>
    <row r="390" ht="22.5" customHeight="1">
      <c r="A390" s="2">
        <v>389.0</v>
      </c>
      <c r="B390" s="3" t="s">
        <v>5103</v>
      </c>
      <c r="C390" s="3" t="s">
        <v>4639</v>
      </c>
      <c r="D390" s="3" t="s">
        <v>4640</v>
      </c>
      <c r="F390" s="5" t="str">
        <f>IFERROR(__xludf.DUMMYFUNCTION("GOOGLETRANSLATE(A390, ""en"", ""hi"")"),"389")</f>
        <v>389</v>
      </c>
      <c r="G390" s="5" t="str">
        <f>IFERROR(__xludf.DUMMYFUNCTION("GOOGLETRANSLATE(B390, ""en"", ""hi"")"),"खिलाड़ी I, न्यूनतम कंपन के साथ 8 सेकंड के लिए ऊपरी भाग को घुमाता है और खिलाड़ी J, कभी-कभी कंपन के साथ 8 सेकंड के लिए ऊपरी भाग को घुमाता है। यदि न्यूनतम कंपन को प्राथमिकता दी जाती है, तो कौन जीतता है?")</f>
        <v>खिलाड़ी I, न्यूनतम कंपन के साथ 8 सेकंड के लिए ऊपरी भाग को घुमाता है और खिलाड़ी J, कभी-कभी कंपन के साथ 8 सेकंड के लिए ऊपरी भाग को घुमाता है। यदि न्यूनतम कंपन को प्राथमिकता दी जाती है, तो कौन जीतता है?</v>
      </c>
      <c r="H390" s="5" t="str">
        <f>IFERROR(__xludf.DUMMYFUNCTION("GOOGLETRANSLATE(C390, ""en"", ""hi"")"),"A) खिलाड़ी I, B) खिलाड़ी J, C) यह टाई है, D) उपरोक्त में से कोई नहीं")</f>
        <v>A) खिलाड़ी I, B) खिलाड़ी J, C) यह टाई है, D) उपरोक्त में से कोई नहीं</v>
      </c>
      <c r="I390" s="5" t="str">
        <f>IFERROR(__xludf.DUMMYFUNCTION("GOOGLETRANSLATE(D390, ""en"", ""hi"")"),"ए) खिलाड़ी I")</f>
        <v>ए) खिलाड़ी I</v>
      </c>
    </row>
    <row r="391" ht="22.5" customHeight="1">
      <c r="A391" s="2">
        <v>390.0</v>
      </c>
      <c r="B391" s="3" t="s">
        <v>5104</v>
      </c>
      <c r="C391" s="3" t="s">
        <v>4642</v>
      </c>
      <c r="D391" s="3" t="s">
        <v>4862</v>
      </c>
      <c r="F391" s="5" t="str">
        <f>IFERROR(__xludf.DUMMYFUNCTION("GOOGLETRANSLATE(A391, ""en"", ""hi"")"),"390")</f>
        <v>390</v>
      </c>
      <c r="G391" s="5" t="str">
        <f>IFERROR(__xludf.DUMMYFUNCTION("GOOGLETRANSLATE(B391, ""en"", ""hi"")"),"पम्बरम मैच के दौरान, खिलाड़ी K 12 सेकंड के लिए और खिलाड़ी L 12 सेकंड के लिए बीच-बीच में आवाज़ के साथ टोप घुमाता है। अगर मौन को प्राथमिकता दी जाए तो कौन जीतता है?")</f>
        <v>पम्बरम मैच के दौरान, खिलाड़ी K 12 सेकंड के लिए और खिलाड़ी L 12 सेकंड के लिए बीच-बीच में आवाज़ के साथ टोप घुमाता है। अगर मौन को प्राथमिकता दी जाए तो कौन जीतता है?</v>
      </c>
      <c r="H391" s="5" t="str">
        <f>IFERROR(__xludf.DUMMYFUNCTION("GOOGLETRANSLATE(C391, ""en"", ""hi"")"),"A) खिलाड़ी K, B) खिलाड़ी L, C) यह टाई है, D) उपरोक्त में से कोई नहीं")</f>
        <v>A) खिलाड़ी K, B) खिलाड़ी L, C) यह टाई है, D) उपरोक्त में से कोई नहीं</v>
      </c>
      <c r="I391" s="5" t="str">
        <f>IFERROR(__xludf.DUMMYFUNCTION("GOOGLETRANSLATE(D391, ""en"", ""hi"")"),"D) उपरोक्त में से कोई नहीं")</f>
        <v>D) उपरोक्त में से कोई नहीं</v>
      </c>
    </row>
    <row r="392" ht="22.5" customHeight="1">
      <c r="A392" s="2">
        <v>391.0</v>
      </c>
      <c r="B392" s="3" t="s">
        <v>5105</v>
      </c>
      <c r="C392" s="3" t="s">
        <v>4790</v>
      </c>
      <c r="D392" s="3" t="s">
        <v>4727</v>
      </c>
      <c r="F392" s="5" t="str">
        <f>IFERROR(__xludf.DUMMYFUNCTION("GOOGLETRANSLATE(A392, ""en"", ""hi"")"),"391")</f>
        <v>391</v>
      </c>
      <c r="G392" s="5" t="str">
        <f>IFERROR(__xludf.DUMMYFUNCTION("GOOGLETRANSLATE(B392, ""en"", ""hi"")"),"यदि खिलाड़ी M शीर्ष को 15 सेकंड तक घुमाता है और खिलाड़ी N शीर्ष को 15 सेकंड तक एकसमान गति से घुमाता है, तो यदि गति की स्थिरता को प्राथमिकता दी जाती है तो कौन जीतता है?")</f>
        <v>यदि खिलाड़ी M शीर्ष को 15 सेकंड तक घुमाता है और खिलाड़ी N शीर्ष को 15 सेकंड तक एकसमान गति से घुमाता है, तो यदि गति की स्थिरता को प्राथमिकता दी जाती है तो कौन जीतता है?</v>
      </c>
      <c r="H392" s="5" t="str">
        <f>IFERROR(__xludf.DUMMYFUNCTION("GOOGLETRANSLATE(C392, ""en"", ""hi"")"),"A) खिलाड़ी M, B) खिलाड़ी N, C) यह टाई है, D) उपरोक्त में से कोई नहीं")</f>
        <v>A) खिलाड़ी M, B) खिलाड़ी N, C) यह टाई है, D) उपरोक्त में से कोई नहीं</v>
      </c>
      <c r="I392" s="5" t="str">
        <f>IFERROR(__xludf.DUMMYFUNCTION("GOOGLETRANSLATE(D392, ""en"", ""hi"")"),"C) यह एक टाई है")</f>
        <v>C) यह एक टाई है</v>
      </c>
    </row>
    <row r="393" ht="22.5" customHeight="1">
      <c r="A393" s="2">
        <v>392.0</v>
      </c>
      <c r="B393" s="3" t="s">
        <v>5106</v>
      </c>
      <c r="C393" s="3" t="s">
        <v>4648</v>
      </c>
      <c r="D393" s="3" t="s">
        <v>4649</v>
      </c>
      <c r="F393" s="5" t="str">
        <f>IFERROR(__xludf.DUMMYFUNCTION("GOOGLETRANSLATE(A393, ""en"", ""hi"")"),"392")</f>
        <v>392</v>
      </c>
      <c r="G393" s="5" t="str">
        <f>IFERROR(__xludf.DUMMYFUNCTION("GOOGLETRANSLATE(B393, ""en"", ""hi"")"),"खिलाड़ी O, ऊपरी हिस्से को 10 सेकंड तक घुमाता है और खिलाड़ी P, ऊपरी हिस्से को बीच-बीच में हिलते हुए 10 सेकंड तक घुमाता है। अगर स्थिरता को प्राथमिकता दी जाए तो कौन जीतता है?")</f>
        <v>खिलाड़ी O, ऊपरी हिस्से को 10 सेकंड तक घुमाता है और खिलाड़ी P, ऊपरी हिस्से को बीच-बीच में हिलते हुए 10 सेकंड तक घुमाता है। अगर स्थिरता को प्राथमिकता दी जाए तो कौन जीतता है?</v>
      </c>
      <c r="H393" s="5" t="str">
        <f>IFERROR(__xludf.DUMMYFUNCTION("GOOGLETRANSLATE(C393, ""en"", ""hi"")"),"A) खिलाड़ी O, B) खिलाड़ी P, C) यह टाई है, D) उपरोक्त में से कोई नहीं")</f>
        <v>A) खिलाड़ी O, B) खिलाड़ी P, C) यह टाई है, D) उपरोक्त में से कोई नहीं</v>
      </c>
      <c r="I393" s="5" t="str">
        <f>IFERROR(__xludf.DUMMYFUNCTION("GOOGLETRANSLATE(D393, ""en"", ""hi"")"),"A) खिलाड़ी O")</f>
        <v>A) खिलाड़ी O</v>
      </c>
    </row>
    <row r="394" ht="22.5" customHeight="1">
      <c r="A394" s="2">
        <v>393.0</v>
      </c>
      <c r="B394" s="3" t="s">
        <v>5107</v>
      </c>
      <c r="C394" s="3" t="s">
        <v>4651</v>
      </c>
      <c r="D394" s="3" t="s">
        <v>4795</v>
      </c>
      <c r="F394" s="5" t="str">
        <f>IFERROR(__xludf.DUMMYFUNCTION("GOOGLETRANSLATE(A394, ""en"", ""hi"")"),"393")</f>
        <v>393</v>
      </c>
      <c r="G394" s="5" t="str">
        <f>IFERROR(__xludf.DUMMYFUNCTION("GOOGLETRANSLATE(B394, ""en"", ""hi"")"),"पम्बरम मैच के दौरान, खिलाड़ी Q बीच-बीच में आवाज़ के साथ 7 सेकंड के लिए ऊपरी हिस्से को घुमाता है, और खिलाड़ी R न्यूनतम कंपन के साथ 7 सेकंड के लिए ऊपरी हिस्से को घुमाता है। यदि न्यूनतम कंपन को प्राथमिकता दी जाती है, तो कौन जीतता है?")</f>
        <v>पम्बरम मैच के दौरान, खिलाड़ी Q बीच-बीच में आवाज़ के साथ 7 सेकंड के लिए ऊपरी हिस्से को घुमाता है, और खिलाड़ी R न्यूनतम कंपन के साथ 7 सेकंड के लिए ऊपरी हिस्से को घुमाता है। यदि न्यूनतम कंपन को प्राथमिकता दी जाती है, तो कौन जीतता है?</v>
      </c>
      <c r="H394" s="5" t="str">
        <f>IFERROR(__xludf.DUMMYFUNCTION("GOOGLETRANSLATE(C394, ""en"", ""hi"")"),"A) खिलाड़ी Q, B) खिलाड़ी R, C) यह टाई है, D) उपरोक्त में से कोई नहीं")</f>
        <v>A) खिलाड़ी Q, B) खिलाड़ी R, C) यह टाई है, D) उपरोक्त में से कोई नहीं</v>
      </c>
      <c r="I394" s="5" t="str">
        <f>IFERROR(__xludf.DUMMYFUNCTION("GOOGLETRANSLATE(D394, ""en"", ""hi"")"),"बी) खिलाड़ी आर")</f>
        <v>बी) खिलाड़ी आर</v>
      </c>
    </row>
    <row r="395" ht="22.5" customHeight="1">
      <c r="A395" s="2">
        <v>394.0</v>
      </c>
      <c r="B395" s="3" t="s">
        <v>5108</v>
      </c>
      <c r="C395" s="3" t="s">
        <v>4654</v>
      </c>
      <c r="D395" s="3" t="s">
        <v>4828</v>
      </c>
      <c r="F395" s="5" t="str">
        <f>IFERROR(__xludf.DUMMYFUNCTION("GOOGLETRANSLATE(A395, ""en"", ""hi"")"),"394")</f>
        <v>394</v>
      </c>
      <c r="G395" s="5" t="str">
        <f>IFERROR(__xludf.DUMMYFUNCTION("GOOGLETRANSLATE(B395, ""en"", ""hi"")"),"यदि खिलाड़ी S शीर्ष को 14 सेकंड तक लगातार गति से घुमाता है और खिलाड़ी T शीर्ष को कभी-कभार हिलते हुए 14 सेकंड तक घुमाता है, तो यदि न्यूनतम हिलना पसंद किया जाता है तो कौन जीतता है?")</f>
        <v>यदि खिलाड़ी S शीर्ष को 14 सेकंड तक लगातार गति से घुमाता है और खिलाड़ी T शीर्ष को कभी-कभार हिलते हुए 14 सेकंड तक घुमाता है, तो यदि न्यूनतम हिलना पसंद किया जाता है तो कौन जीतता है?</v>
      </c>
      <c r="H395" s="5" t="str">
        <f>IFERROR(__xludf.DUMMYFUNCTION("GOOGLETRANSLATE(C395, ""en"", ""hi"")"),"A) खिलाड़ी S, B) खिलाड़ी T, C) यह टाई है, D) उपरोक्त में से कोई नहीं")</f>
        <v>A) खिलाड़ी S, B) खिलाड़ी T, C) यह टाई है, D) उपरोक्त में से कोई नहीं</v>
      </c>
      <c r="I395" s="5" t="str">
        <f>IFERROR(__xludf.DUMMYFUNCTION("GOOGLETRANSLATE(D395, ""en"", ""hi"")"),"ए) खिलाड़ी एस")</f>
        <v>ए) खिलाड़ी एस</v>
      </c>
    </row>
    <row r="396" ht="22.5" customHeight="1">
      <c r="A396" s="2">
        <v>395.0</v>
      </c>
      <c r="B396" s="3" t="s">
        <v>4895</v>
      </c>
      <c r="C396" s="3" t="s">
        <v>4657</v>
      </c>
      <c r="D396" s="3" t="s">
        <v>4862</v>
      </c>
      <c r="F396" s="5" t="str">
        <f>IFERROR(__xludf.DUMMYFUNCTION("GOOGLETRANSLATE(A396, ""en"", ""hi"")"),"395")</f>
        <v>395</v>
      </c>
      <c r="G396" s="5" t="str">
        <f>IFERROR(__xludf.DUMMYFUNCTION("GOOGLETRANSLATE(B396, ""en"", ""hi"")"),"खिलाड़ी U, 9 सेकंड के लिए ऊपरी हिस्से को घुमाता है और खिलाड़ी V, बीच-बीच में आवाज़ें निकालते हुए, 9 सेकंड के लिए ऊपरी हिस्से को घुमाता है। अगर मौन को प्राथमिकता दी जाए तो कौन जीतता है?")</f>
        <v>खिलाड़ी U, 9 सेकंड के लिए ऊपरी हिस्से को घुमाता है और खिलाड़ी V, बीच-बीच में आवाज़ें निकालते हुए, 9 सेकंड के लिए ऊपरी हिस्से को घुमाता है। अगर मौन को प्राथमिकता दी जाए तो कौन जीतता है?</v>
      </c>
      <c r="H396" s="5" t="str">
        <f>IFERROR(__xludf.DUMMYFUNCTION("GOOGLETRANSLATE(C396, ""en"", ""hi"")"),"A) खिलाड़ी U, B) खिलाड़ी V, C) यह एक टाई है, D) उपरोक्त में से कोई नहीं")</f>
        <v>A) खिलाड़ी U, B) खिलाड़ी V, C) यह एक टाई है, D) उपरोक्त में से कोई नहीं</v>
      </c>
      <c r="I396" s="5" t="str">
        <f>IFERROR(__xludf.DUMMYFUNCTION("GOOGLETRANSLATE(D396, ""en"", ""hi"")"),"D) उपरोक्त में से कोई नहीं")</f>
        <v>D) उपरोक्त में से कोई नहीं</v>
      </c>
    </row>
    <row r="397" ht="22.5" customHeight="1">
      <c r="A397" s="2">
        <v>396.0</v>
      </c>
      <c r="B397" s="3" t="s">
        <v>5109</v>
      </c>
      <c r="C397" s="3" t="s">
        <v>4660</v>
      </c>
      <c r="D397" s="3" t="s">
        <v>4816</v>
      </c>
      <c r="F397" s="5" t="str">
        <f>IFERROR(__xludf.DUMMYFUNCTION("GOOGLETRANSLATE(A397, ""en"", ""hi"")"),"396")</f>
        <v>396</v>
      </c>
      <c r="G397" s="5" t="str">
        <f>IFERROR(__xludf.DUMMYFUNCTION("GOOGLETRANSLATE(B397, ""en"", ""hi"")"),"पम्बरम प्रतियोगिता के दौरान, खिलाड़ी W, न्यूनतम कंपन के साथ 11 सेकंड तक ऊपरी भाग को घुमाता है और खिलाड़ी X, कभी-कभार कंपन के साथ 11 सेकंड तक ऊपरी भाग को घुमाता है। यदि न्यूनतम कंपन को प्राथमिकता दी जाती है, तो कौन जीतता है?")</f>
        <v>पम्बरम प्रतियोगिता के दौरान, खिलाड़ी W, न्यूनतम कंपन के साथ 11 सेकंड तक ऊपरी भाग को घुमाता है और खिलाड़ी X, कभी-कभार कंपन के साथ 11 सेकंड तक ऊपरी भाग को घुमाता है। यदि न्यूनतम कंपन को प्राथमिकता दी जाती है, तो कौन जीतता है?</v>
      </c>
      <c r="H397" s="5" t="str">
        <f>IFERROR(__xludf.DUMMYFUNCTION("GOOGLETRANSLATE(C397, ""en"", ""hi"")"),"A) खिलाड़ी W, B) खिलाड़ी X, C) यह टाई है, D) उपरोक्त में से कोई नहीं")</f>
        <v>A) खिलाड़ी W, B) खिलाड़ी X, C) यह टाई है, D) उपरोक्त में से कोई नहीं</v>
      </c>
      <c r="I397" s="5" t="str">
        <f>IFERROR(__xludf.DUMMYFUNCTION("GOOGLETRANSLATE(D397, ""en"", ""hi"")"),"A) खिलाड़ी W")</f>
        <v>A) खिलाड़ी W</v>
      </c>
    </row>
    <row r="398" ht="22.5" customHeight="1">
      <c r="A398" s="2">
        <v>397.0</v>
      </c>
      <c r="B398" s="3" t="s">
        <v>5110</v>
      </c>
      <c r="C398" s="3" t="s">
        <v>4663</v>
      </c>
      <c r="D398" s="3" t="s">
        <v>4800</v>
      </c>
      <c r="F398" s="5" t="str">
        <f>IFERROR(__xludf.DUMMYFUNCTION("GOOGLETRANSLATE(A398, ""en"", ""hi"")"),"397")</f>
        <v>397</v>
      </c>
      <c r="G398" s="5" t="str">
        <f>IFERROR(__xludf.DUMMYFUNCTION("GOOGLETRANSLATE(B398, ""en"", ""hi"")"),"खिलाड़ी Y कभी-कभी हिलते हुए ऊपरी हिस्से को 8 सेकंड तक घुमाता है और खिलाड़ी Z लगातार गति के साथ ऊपरी हिस्से को 8 सेकंड तक घुमाता है। अगर गति की स्थिरता को प्राथमिकता दी जाए तो कौन जीतता है?")</f>
        <v>खिलाड़ी Y कभी-कभी हिलते हुए ऊपरी हिस्से को 8 सेकंड तक घुमाता है और खिलाड़ी Z लगातार गति के साथ ऊपरी हिस्से को 8 सेकंड तक घुमाता है। अगर गति की स्थिरता को प्राथमिकता दी जाए तो कौन जीतता है?</v>
      </c>
      <c r="H398" s="5" t="str">
        <f>IFERROR(__xludf.DUMMYFUNCTION("GOOGLETRANSLATE(C398, ""en"", ""hi"")"),"A) खिलाड़ी Y, B) खिलाड़ी Z, C) यह टाई है, D) उपरोक्त में से कोई नहीं")</f>
        <v>A) खिलाड़ी Y, B) खिलाड़ी Z, C) यह टाई है, D) उपरोक्त में से कोई नहीं</v>
      </c>
      <c r="I398" s="5" t="str">
        <f>IFERROR(__xludf.DUMMYFUNCTION("GOOGLETRANSLATE(D398, ""en"", ""hi"")"),"बी) खिलाड़ी जेड")</f>
        <v>बी) खिलाड़ी जेड</v>
      </c>
    </row>
    <row r="399" ht="22.5" customHeight="1">
      <c r="A399" s="2">
        <v>398.0</v>
      </c>
      <c r="B399" s="3" t="s">
        <v>5111</v>
      </c>
      <c r="C399" s="3" t="s">
        <v>4627</v>
      </c>
      <c r="D399" s="3" t="s">
        <v>4628</v>
      </c>
      <c r="F399" s="5" t="str">
        <f>IFERROR(__xludf.DUMMYFUNCTION("GOOGLETRANSLATE(A399, ""en"", ""hi"")"),"398")</f>
        <v>398</v>
      </c>
      <c r="G399" s="5" t="str">
        <f>IFERROR(__xludf.DUMMYFUNCTION("GOOGLETRANSLATE(B399, ""en"", ""hi"")"),"यदि खिलाड़ी A न्यूनतम कंपन के साथ 12 सेकंड तक शीर्ष को घुमाता है और खिलाड़ी B कभी-कभार ध्वनि के साथ 12 सेकंड तक शीर्ष को घुमाता है, तो न्यूनतम कंपन को प्राथमिकता दिए जाने पर कौन जीतता है?")</f>
        <v>यदि खिलाड़ी A न्यूनतम कंपन के साथ 12 सेकंड तक शीर्ष को घुमाता है और खिलाड़ी B कभी-कभार ध्वनि के साथ 12 सेकंड तक शीर्ष को घुमाता है, तो न्यूनतम कंपन को प्राथमिकता दिए जाने पर कौन जीतता है?</v>
      </c>
      <c r="H399" s="5" t="str">
        <f>IFERROR(__xludf.DUMMYFUNCTION("GOOGLETRANSLATE(C399, ""en"", ""hi"")"),"A) खिलाड़ी A, B) खिलाड़ी B, C) यह टाई है, D) उपरोक्त में से कोई नहीं")</f>
        <v>A) खिलाड़ी A, B) खिलाड़ी B, C) यह टाई है, D) उपरोक्त में से कोई नहीं</v>
      </c>
      <c r="I399" s="5" t="str">
        <f>IFERROR(__xludf.DUMMYFUNCTION("GOOGLETRANSLATE(D399, ""en"", ""hi"")"),"ए) खिलाड़ी ए")</f>
        <v>ए) खिलाड़ी ए</v>
      </c>
    </row>
    <row r="400" ht="22.5" customHeight="1">
      <c r="A400" s="2">
        <v>399.0</v>
      </c>
      <c r="B400" s="3" t="s">
        <v>5112</v>
      </c>
      <c r="C400" s="3" t="s">
        <v>4630</v>
      </c>
      <c r="D400" s="3" t="s">
        <v>4631</v>
      </c>
      <c r="F400" s="5" t="str">
        <f>IFERROR(__xludf.DUMMYFUNCTION("GOOGLETRANSLATE(A400, ""en"", ""hi"")"),"399")</f>
        <v>399</v>
      </c>
      <c r="G400" s="5" t="str">
        <f>IFERROR(__xludf.DUMMYFUNCTION("GOOGLETRANSLATE(B400, ""en"", ""hi"")"),"खिलाड़ी C 10 सेकंड के लिए ऊपरी हिस्से को घुमाता है और खिलाड़ी D 10 सेकंड के लिए ऊपरी हिस्से को बीच-बीच में हिलते हुए घुमाता है। अगर स्थिरता को प्राथमिकता दी जाए तो कौन जीतता है?")</f>
        <v>खिलाड़ी C 10 सेकंड के लिए ऊपरी हिस्से को घुमाता है और खिलाड़ी D 10 सेकंड के लिए ऊपरी हिस्से को बीच-बीच में हिलते हुए घुमाता है। अगर स्थिरता को प्राथमिकता दी जाए तो कौन जीतता है?</v>
      </c>
      <c r="H400" s="5" t="str">
        <f>IFERROR(__xludf.DUMMYFUNCTION("GOOGLETRANSLATE(C400, ""en"", ""hi"")"),"A) खिलाड़ी C, B) खिलाड़ी D, C) यह टाई है, D) उपरोक्त में से कोई नहीं")</f>
        <v>A) खिलाड़ी C, B) खिलाड़ी D, C) यह टाई है, D) उपरोक्त में से कोई नहीं</v>
      </c>
      <c r="I400" s="5" t="str">
        <f>IFERROR(__xludf.DUMMYFUNCTION("GOOGLETRANSLATE(D400, ""en"", ""hi"")"),"ए) खिलाड़ी सी")</f>
        <v>ए) खिलाड़ी सी</v>
      </c>
    </row>
    <row r="401" ht="22.5" customHeight="1">
      <c r="A401" s="2">
        <v>400.0</v>
      </c>
      <c r="B401" s="3" t="s">
        <v>5113</v>
      </c>
      <c r="C401" s="3" t="s">
        <v>4781</v>
      </c>
      <c r="D401" s="3" t="s">
        <v>4634</v>
      </c>
      <c r="F401" s="5" t="str">
        <f>IFERROR(__xludf.DUMMYFUNCTION("GOOGLETRANSLATE(A401, ""en"", ""hi"")"),"400")</f>
        <v>400</v>
      </c>
      <c r="G401" s="5" t="str">
        <f>IFERROR(__xludf.DUMMYFUNCTION("GOOGLETRANSLATE(B401, ""en"", ""hi"")"),"पम्बरम मैच के दौरान, खिलाड़ी E लगातार गति से 15 सेकंड तक टॉप को घुमाता है, और खिलाड़ी F न्यूनतम कंपन के साथ 15 सेकंड तक टॉप को घुमाता है। यदि न्यूनतम कंपन को प्राथमिकता दी जाती है, तो कौन जीतता है?")</f>
        <v>पम्बरम मैच के दौरान, खिलाड़ी E लगातार गति से 15 सेकंड तक टॉप को घुमाता है, और खिलाड़ी F न्यूनतम कंपन के साथ 15 सेकंड तक टॉप को घुमाता है। यदि न्यूनतम कंपन को प्राथमिकता दी जाती है, तो कौन जीतता है?</v>
      </c>
      <c r="H401" s="5" t="str">
        <f>IFERROR(__xludf.DUMMYFUNCTION("GOOGLETRANSLATE(C401, ""en"", ""hi"")"),"A) खिलाड़ी E, B) खिलाड़ी F, C) यह टाई है, D) उपरोक्त में से कोई नहीं")</f>
        <v>A) खिलाड़ी E, B) खिलाड़ी F, C) यह टाई है, D) उपरोक्त में से कोई नहीं</v>
      </c>
      <c r="I401" s="5" t="str">
        <f>IFERROR(__xludf.DUMMYFUNCTION("GOOGLETRANSLATE(D401, ""en"", ""hi"")"),"बी) खिलाड़ी एफ")</f>
        <v>बी) खिलाड़ी एफ</v>
      </c>
    </row>
    <row r="402" ht="22.5" customHeight="1">
      <c r="A402" s="2">
        <v>401.0</v>
      </c>
      <c r="B402" s="3" t="s">
        <v>5114</v>
      </c>
      <c r="C402" s="3" t="s">
        <v>4783</v>
      </c>
      <c r="D402" s="3" t="s">
        <v>4637</v>
      </c>
      <c r="F402" s="5" t="str">
        <f>IFERROR(__xludf.DUMMYFUNCTION("GOOGLETRANSLATE(A402, ""en"", ""hi"")"),"401")</f>
        <v>401</v>
      </c>
      <c r="G402" s="5" t="str">
        <f>IFERROR(__xludf.DUMMYFUNCTION("GOOGLETRANSLATE(B402, ""en"", ""hi"")"),"यदि खिलाड़ी G कभी-कभार आवाज के साथ 8 सेकंड के लिए शीर्ष को घुमाता है और खिलाड़ी H 8 सेकंड के लिए शीर्ष को मौन में घुमाता है, तो यदि मौन को प्राथमिकता दी जाती है तो कौन जीतता है?")</f>
        <v>यदि खिलाड़ी G कभी-कभार आवाज के साथ 8 सेकंड के लिए शीर्ष को घुमाता है और खिलाड़ी H 8 सेकंड के लिए शीर्ष को मौन में घुमाता है, तो यदि मौन को प्राथमिकता दी जाती है तो कौन जीतता है?</v>
      </c>
      <c r="H402" s="5" t="str">
        <f>IFERROR(__xludf.DUMMYFUNCTION("GOOGLETRANSLATE(C402, ""en"", ""hi"")"),"A) खिलाड़ी G, B) खिलाड़ी H, C) यह टाई है, D) उपरोक्त में से कोई नहीं")</f>
        <v>A) खिलाड़ी G, B) खिलाड़ी H, C) यह टाई है, D) उपरोक्त में से कोई नहीं</v>
      </c>
      <c r="I402" s="5" t="str">
        <f>IFERROR(__xludf.DUMMYFUNCTION("GOOGLETRANSLATE(D402, ""en"", ""hi"")"),"बी) खिलाड़ी एच")</f>
        <v>बी) खिलाड़ी एच</v>
      </c>
    </row>
    <row r="403" ht="22.5" customHeight="1">
      <c r="A403" s="2">
        <v>402.0</v>
      </c>
      <c r="B403" s="3" t="s">
        <v>5115</v>
      </c>
      <c r="C403" s="3" t="s">
        <v>4639</v>
      </c>
      <c r="D403" s="3" t="s">
        <v>4786</v>
      </c>
      <c r="F403" s="5" t="str">
        <f>IFERROR(__xludf.DUMMYFUNCTION("GOOGLETRANSLATE(A403, ""en"", ""hi"")"),"402")</f>
        <v>402</v>
      </c>
      <c r="G403" s="5" t="str">
        <f>IFERROR(__xludf.DUMMYFUNCTION("GOOGLETRANSLATE(B403, ""en"", ""hi"")"),"खिलाड़ी I, बीच-बीच में हिलते हुए, 12 सेकंड तक ऊपरी हिस्से को घुमाता है और खिलाड़ी J, लगातार गति के साथ 12 सेकंड तक ऊपरी हिस्से को घुमाता है। अगर गति की स्थिरता को प्राथमिकता दी जाए तो कौन जीतता है?")</f>
        <v>खिलाड़ी I, बीच-बीच में हिलते हुए, 12 सेकंड तक ऊपरी हिस्से को घुमाता है और खिलाड़ी J, लगातार गति के साथ 12 सेकंड तक ऊपरी हिस्से को घुमाता है। अगर गति की स्थिरता को प्राथमिकता दी जाए तो कौन जीतता है?</v>
      </c>
      <c r="H403" s="5" t="str">
        <f>IFERROR(__xludf.DUMMYFUNCTION("GOOGLETRANSLATE(C403, ""en"", ""hi"")"),"A) खिलाड़ी I, B) खिलाड़ी J, C) यह टाई है, D) उपरोक्त में से कोई नहीं")</f>
        <v>A) खिलाड़ी I, B) खिलाड़ी J, C) यह टाई है, D) उपरोक्त में से कोई नहीं</v>
      </c>
      <c r="I403" s="5" t="str">
        <f>IFERROR(__xludf.DUMMYFUNCTION("GOOGLETRANSLATE(D403, ""en"", ""hi"")"),"बी) खिलाड़ी जे")</f>
        <v>बी) खिलाड़ी जे</v>
      </c>
    </row>
    <row r="404" ht="22.5" customHeight="1">
      <c r="A404" s="2">
        <v>403.0</v>
      </c>
      <c r="B404" s="3" t="s">
        <v>5116</v>
      </c>
      <c r="C404" s="3" t="s">
        <v>4642</v>
      </c>
      <c r="D404" s="3" t="s">
        <v>4788</v>
      </c>
      <c r="F404" s="5" t="str">
        <f>IFERROR(__xludf.DUMMYFUNCTION("GOOGLETRANSLATE(A404, ""en"", ""hi"")"),"403")</f>
        <v>403</v>
      </c>
      <c r="G404" s="5" t="str">
        <f>IFERROR(__xludf.DUMMYFUNCTION("GOOGLETRANSLATE(B404, ""en"", ""hi"")"),"पम्बरम प्रतियोगिता के दौरान, खिलाड़ी K, न्यूनतम कंपन के साथ 14 सेकंड तक लट्टू को घुमाता है, और खिलाड़ी L, बीच-बीच में आवाज़ के साथ 14 सेकंड तक लट्टू को घुमाता है। अगर न्यूनतम कंपन को प्राथमिकता दी जाती है, तो कौन जीतता है?")</f>
        <v>पम्बरम प्रतियोगिता के दौरान, खिलाड़ी K, न्यूनतम कंपन के साथ 14 सेकंड तक लट्टू को घुमाता है, और खिलाड़ी L, बीच-बीच में आवाज़ के साथ 14 सेकंड तक लट्टू को घुमाता है। अगर न्यूनतम कंपन को प्राथमिकता दी जाती है, तो कौन जीतता है?</v>
      </c>
      <c r="H404" s="5" t="str">
        <f>IFERROR(__xludf.DUMMYFUNCTION("GOOGLETRANSLATE(C404, ""en"", ""hi"")"),"A) खिलाड़ी K, B) खिलाड़ी L, C) यह टाई है, D) उपरोक्त में से कोई नहीं")</f>
        <v>A) खिलाड़ी K, B) खिलाड़ी L, C) यह टाई है, D) उपरोक्त में से कोई नहीं</v>
      </c>
      <c r="I404" s="5" t="str">
        <f>IFERROR(__xludf.DUMMYFUNCTION("GOOGLETRANSLATE(D404, ""en"", ""hi"")"),"A) खिलाड़ी K")</f>
        <v>A) खिलाड़ी K</v>
      </c>
    </row>
    <row r="405" ht="22.5" customHeight="1">
      <c r="A405" s="2">
        <v>404.0</v>
      </c>
      <c r="B405" s="3" t="s">
        <v>5117</v>
      </c>
      <c r="C405" s="3" t="s">
        <v>4790</v>
      </c>
      <c r="D405" s="3" t="s">
        <v>4791</v>
      </c>
      <c r="F405" s="5" t="str">
        <f>IFERROR(__xludf.DUMMYFUNCTION("GOOGLETRANSLATE(A405, ""en"", ""hi"")"),"404")</f>
        <v>404</v>
      </c>
      <c r="G405" s="5" t="str">
        <f>IFERROR(__xludf.DUMMYFUNCTION("GOOGLETRANSLATE(B405, ""en"", ""hi"")"),"खिलाड़ी M ऊपरी हिस्से को 9 सेकंड तक घुमाता है और खिलाड़ी N ऊपरी हिस्से को बीच-बीच में हिलते हुए 9 सेकंड तक घुमाता है। अगर स्थिरता को प्राथमिकता दी जाए तो कौन जीतता है?")</f>
        <v>खिलाड़ी M ऊपरी हिस्से को 9 सेकंड तक घुमाता है और खिलाड़ी N ऊपरी हिस्से को बीच-बीच में हिलते हुए 9 सेकंड तक घुमाता है। अगर स्थिरता को प्राथमिकता दी जाए तो कौन जीतता है?</v>
      </c>
      <c r="H405" s="5" t="str">
        <f>IFERROR(__xludf.DUMMYFUNCTION("GOOGLETRANSLATE(C405, ""en"", ""hi"")"),"A) खिलाड़ी M, B) खिलाड़ी N, C) यह टाई है, D) उपरोक्त में से कोई नहीं")</f>
        <v>A) खिलाड़ी M, B) खिलाड़ी N, C) यह टाई है, D) उपरोक्त में से कोई नहीं</v>
      </c>
      <c r="I405" s="5" t="str">
        <f>IFERROR(__xludf.DUMMYFUNCTION("GOOGLETRANSLATE(D405, ""en"", ""hi"")"),"ए) खिलाड़ी एम")</f>
        <v>ए) खिलाड़ी एम</v>
      </c>
    </row>
    <row r="406" ht="22.5" customHeight="1">
      <c r="A406" s="2">
        <v>405.0</v>
      </c>
      <c r="B406" s="3" t="s">
        <v>5118</v>
      </c>
      <c r="C406" s="3" t="s">
        <v>4648</v>
      </c>
      <c r="D406" s="3" t="s">
        <v>4649</v>
      </c>
      <c r="F406" s="5" t="str">
        <f>IFERROR(__xludf.DUMMYFUNCTION("GOOGLETRANSLATE(A406, ""en"", ""hi"")"),"405")</f>
        <v>405</v>
      </c>
      <c r="G406" s="5" t="str">
        <f>IFERROR(__xludf.DUMMYFUNCTION("GOOGLETRANSLATE(B406, ""en"", ""hi"")"),"यदि खिलाड़ी O शीर्ष को 10 सेकंड तक एकसमान गति से घुमाता है और खिलाड़ी P शीर्ष को 10 सेकंड तक कभी-कभार हिलते हुए घुमाता है, तो यदि गति की स्थिरता को प्राथमिकता दी जाती है तो कौन जीतता है?")</f>
        <v>यदि खिलाड़ी O शीर्ष को 10 सेकंड तक एकसमान गति से घुमाता है और खिलाड़ी P शीर्ष को 10 सेकंड तक कभी-कभार हिलते हुए घुमाता है, तो यदि गति की स्थिरता को प्राथमिकता दी जाती है तो कौन जीतता है?</v>
      </c>
      <c r="H406" s="5" t="str">
        <f>IFERROR(__xludf.DUMMYFUNCTION("GOOGLETRANSLATE(C406, ""en"", ""hi"")"),"A) खिलाड़ी O, B) खिलाड़ी P, C) यह टाई है, D) उपरोक्त में से कोई नहीं")</f>
        <v>A) खिलाड़ी O, B) खिलाड़ी P, C) यह टाई है, D) उपरोक्त में से कोई नहीं</v>
      </c>
      <c r="I406" s="5" t="str">
        <f>IFERROR(__xludf.DUMMYFUNCTION("GOOGLETRANSLATE(D406, ""en"", ""hi"")"),"A) खिलाड़ी O")</f>
        <v>A) खिलाड़ी O</v>
      </c>
    </row>
    <row r="407" ht="22.5" customHeight="1">
      <c r="A407" s="2">
        <v>406.0</v>
      </c>
      <c r="B407" s="3" t="s">
        <v>4994</v>
      </c>
      <c r="C407" s="3" t="s">
        <v>4651</v>
      </c>
      <c r="D407" s="3" t="s">
        <v>4862</v>
      </c>
      <c r="F407" s="5" t="str">
        <f>IFERROR(__xludf.DUMMYFUNCTION("GOOGLETRANSLATE(A407, ""en"", ""hi"")"),"406")</f>
        <v>406</v>
      </c>
      <c r="G407" s="5" t="str">
        <f>IFERROR(__xludf.DUMMYFUNCTION("GOOGLETRANSLATE(B407, ""en"", ""hi"")"),"खिलाड़ी Q 7 सेकंड के लिए ऊपरी भाग को घुमाता है और खिलाड़ी R बीच-बीच में आवाज़ें निकालते हुए 7 सेकंड के लिए ऊपरी भाग को घुमाता है। अगर मौन को प्राथमिकता दी जाए तो कौन जीतता है?")</f>
        <v>खिलाड़ी Q 7 सेकंड के लिए ऊपरी भाग को घुमाता है और खिलाड़ी R बीच-बीच में आवाज़ें निकालते हुए 7 सेकंड के लिए ऊपरी भाग को घुमाता है। अगर मौन को प्राथमिकता दी जाए तो कौन जीतता है?</v>
      </c>
      <c r="H407" s="5" t="str">
        <f>IFERROR(__xludf.DUMMYFUNCTION("GOOGLETRANSLATE(C407, ""en"", ""hi"")"),"A) खिलाड़ी Q, B) खिलाड़ी R, C) यह टाई है, D) उपरोक्त में से कोई नहीं")</f>
        <v>A) खिलाड़ी Q, B) खिलाड़ी R, C) यह टाई है, D) उपरोक्त में से कोई नहीं</v>
      </c>
      <c r="I407" s="5" t="str">
        <f>IFERROR(__xludf.DUMMYFUNCTION("GOOGLETRANSLATE(D407, ""en"", ""hi"")"),"D) उपरोक्त में से कोई नहीं")</f>
        <v>D) उपरोक्त में से कोई नहीं</v>
      </c>
    </row>
    <row r="408" ht="22.5" customHeight="1">
      <c r="A408" s="2">
        <v>407.0</v>
      </c>
      <c r="B408" s="3" t="s">
        <v>5119</v>
      </c>
      <c r="C408" s="3" t="s">
        <v>4654</v>
      </c>
      <c r="D408" s="3" t="s">
        <v>4828</v>
      </c>
      <c r="F408" s="5" t="str">
        <f>IFERROR(__xludf.DUMMYFUNCTION("GOOGLETRANSLATE(A408, ""en"", ""hi"")"),"407")</f>
        <v>407</v>
      </c>
      <c r="G408" s="5" t="str">
        <f>IFERROR(__xludf.DUMMYFUNCTION("GOOGLETRANSLATE(B408, ""en"", ""hi"")"),"पम्बरम मैच के दौरान, खिलाड़ी S, न्यूनतम कंपन के साथ 12 सेकंड तक ऊपरी भाग को घुमाता है, और खिलाड़ी T, बीच-बीच में आवाज़ के साथ 12 सेकंड तक ऊपरी भाग को घुमाता है। यदि न्यूनतम कंपन को प्राथमिकता दी जाती है, तो कौन जीतता है?")</f>
        <v>पम्बरम मैच के दौरान, खिलाड़ी S, न्यूनतम कंपन के साथ 12 सेकंड तक ऊपरी भाग को घुमाता है, और खिलाड़ी T, बीच-बीच में आवाज़ के साथ 12 सेकंड तक ऊपरी भाग को घुमाता है। यदि न्यूनतम कंपन को प्राथमिकता दी जाती है, तो कौन जीतता है?</v>
      </c>
      <c r="H408" s="5" t="str">
        <f>IFERROR(__xludf.DUMMYFUNCTION("GOOGLETRANSLATE(C408, ""en"", ""hi"")"),"A) खिलाड़ी S, B) खिलाड़ी T, C) यह टाई है, D) उपरोक्त में से कोई नहीं")</f>
        <v>A) खिलाड़ी S, B) खिलाड़ी T, C) यह टाई है, D) उपरोक्त में से कोई नहीं</v>
      </c>
      <c r="I408" s="5" t="str">
        <f>IFERROR(__xludf.DUMMYFUNCTION("GOOGLETRANSLATE(D408, ""en"", ""hi"")"),"ए) खिलाड़ी एस")</f>
        <v>ए) खिलाड़ी एस</v>
      </c>
    </row>
    <row r="409" ht="22.5" customHeight="1">
      <c r="A409" s="2">
        <v>408.0</v>
      </c>
      <c r="B409" s="3" t="s">
        <v>5120</v>
      </c>
      <c r="C409" s="3" t="s">
        <v>4657</v>
      </c>
      <c r="D409" s="3" t="s">
        <v>4814</v>
      </c>
      <c r="F409" s="5" t="str">
        <f>IFERROR(__xludf.DUMMYFUNCTION("GOOGLETRANSLATE(A409, ""en"", ""hi"")"),"408")</f>
        <v>408</v>
      </c>
      <c r="G409" s="5" t="str">
        <f>IFERROR(__xludf.DUMMYFUNCTION("GOOGLETRANSLATE(B409, ""en"", ""hi"")"),"खिलाड़ी U, कभी-कभार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f>
        <v>खिलाड़ी U, कभी-कभार हिलते हुए, 15 सेकंड के लिए ऊपरी हिस्से को घुमाता है और खिलाड़ी V, कम से कम हिलते हुए, 15 सेकंड के लिए ऊपरी हिस्से को घुमाता है। अगर कम से कम हिलना पसंद किया जाता है, तो कौन जीतता है?</v>
      </c>
      <c r="H409" s="5" t="str">
        <f>IFERROR(__xludf.DUMMYFUNCTION("GOOGLETRANSLATE(C409, ""en"", ""hi"")"),"A) खिलाड़ी U, B) खिलाड़ी V, C) यह एक टाई है, D) उपरोक्त में से कोई नहीं")</f>
        <v>A) खिलाड़ी U, B) खिलाड़ी V, C) यह एक टाई है, D) उपरोक्त में से कोई नहीं</v>
      </c>
      <c r="I409" s="5" t="str">
        <f>IFERROR(__xludf.DUMMYFUNCTION("GOOGLETRANSLATE(D409, ""en"", ""hi"")"),"बी) खिलाड़ी वी")</f>
        <v>बी) खिलाड़ी वी</v>
      </c>
    </row>
    <row r="410" ht="22.5" customHeight="1">
      <c r="A410" s="2">
        <v>409.0</v>
      </c>
      <c r="B410" s="3" t="s">
        <v>5121</v>
      </c>
      <c r="C410" s="3" t="s">
        <v>4660</v>
      </c>
      <c r="D410" s="3" t="s">
        <v>4816</v>
      </c>
      <c r="F410" s="5" t="str">
        <f>IFERROR(__xludf.DUMMYFUNCTION("GOOGLETRANSLATE(A410, ""en"", ""hi"")"),"409")</f>
        <v>409</v>
      </c>
      <c r="G410" s="5" t="str">
        <f>IFERROR(__xludf.DUMMYFUNCTION("GOOGLETRANSLATE(B410, ""en"", ""hi"")"),"यदि खिलाड़ी W शीर्ष को 8 सेकंड तक लगातार गति से घुमाता है और खिलाड़ी X शीर्ष को 8 सेकंड तक कभी-कभार हिलते हुए घुमाता है, तो स्थिरता को प्राथमिकता देने पर कौन जीतता है?")</f>
        <v>यदि खिलाड़ी W शीर्ष को 8 सेकंड तक लगातार गति से घुमाता है और खिलाड़ी X शीर्ष को 8 सेकंड तक कभी-कभार हिलते हुए घुमाता है, तो स्थिरता को प्राथमिकता देने पर कौन जीतता है?</v>
      </c>
      <c r="H410" s="5" t="str">
        <f>IFERROR(__xludf.DUMMYFUNCTION("GOOGLETRANSLATE(C410, ""en"", ""hi"")"),"A) खिलाड़ी W, B) खिलाड़ी X, C) यह टाई है, D) उपरोक्त में से कोई नहीं")</f>
        <v>A) खिलाड़ी W, B) खिलाड़ी X, C) यह टाई है, D) उपरोक्त में से कोई नहीं</v>
      </c>
      <c r="I410" s="5" t="str">
        <f>IFERROR(__xludf.DUMMYFUNCTION("GOOGLETRANSLATE(D410, ""en"", ""hi"")"),"A) खिलाड़ी W")</f>
        <v>A) खिलाड़ी W</v>
      </c>
    </row>
    <row r="411" ht="22.5" customHeight="1">
      <c r="A411" s="2">
        <v>410.0</v>
      </c>
      <c r="B411" s="3" t="s">
        <v>5122</v>
      </c>
      <c r="C411" s="3" t="s">
        <v>4663</v>
      </c>
      <c r="D411" s="3" t="s">
        <v>4664</v>
      </c>
      <c r="F411" s="5" t="str">
        <f>IFERROR(__xludf.DUMMYFUNCTION("GOOGLETRANSLATE(A411, ""en"", ""hi"")"),"410")</f>
        <v>410</v>
      </c>
      <c r="G411" s="5" t="str">
        <f>IFERROR(__xludf.DUMMYFUNCTION("GOOGLETRANSLATE(B411, ""en"", ""hi"")"),"पम्बरम प्रतियोगिता के दौरान, खिलाड़ी Y न्यूनतम कंपन के साथ 10 सेकंड तक लट्टू को घुमाता है और खिलाड़ी Z बीच-बीच में आवाज़ के साथ 10 सेकंड तक लट्टू को घुमाता है। अगर न्यूनतम कंपन को प्राथमिकता दी जाती है तो कौन जीतता है?")</f>
        <v>पम्बरम प्रतियोगिता के दौरान, खिलाड़ी Y न्यूनतम कंपन के साथ 10 सेकंड तक लट्टू को घुमाता है और खिलाड़ी Z बीच-बीच में आवाज़ के साथ 10 सेकंड तक लट्टू को घुमाता है। अगर न्यूनतम कंपन को प्राथमिकता दी जाती है तो कौन जीतता है?</v>
      </c>
      <c r="H411" s="5" t="str">
        <f>IFERROR(__xludf.DUMMYFUNCTION("GOOGLETRANSLATE(C411, ""en"", ""hi"")"),"A) खिलाड़ी Y, B) खिलाड़ी Z, C) यह टाई है, D) उपरोक्त में से कोई नहीं")</f>
        <v>A) खिलाड़ी Y, B) खिलाड़ी Z, C) यह टाई है, D) उपरोक्त में से कोई नहीं</v>
      </c>
      <c r="I411" s="5" t="str">
        <f>IFERROR(__xludf.DUMMYFUNCTION("GOOGLETRANSLATE(D411, ""en"", ""hi"")"),"A) खिलाड़ी Y")</f>
        <v>A) खिलाड़ी Y</v>
      </c>
    </row>
    <row r="412" ht="22.5" customHeight="1">
      <c r="A412" s="2">
        <v>411.0</v>
      </c>
      <c r="B412" s="3" t="s">
        <v>5123</v>
      </c>
      <c r="C412" s="3" t="s">
        <v>4627</v>
      </c>
      <c r="D412" s="3" t="s">
        <v>4628</v>
      </c>
      <c r="F412" s="5" t="str">
        <f>IFERROR(__xludf.DUMMYFUNCTION("GOOGLETRANSLATE(A412, ""en"", ""hi"")"),"411")</f>
        <v>411</v>
      </c>
      <c r="G412" s="5" t="str">
        <f>IFERROR(__xludf.DUMMYFUNCTION("GOOGLETRANSLATE(B412, ""en"", ""hi"")"),"खिलाड़ी A, ऊपरी हिस्से को 11 सेकंड तक घुमाता है और खिलाड़ी B, ऊपरी हिस्से को बीच-बीच में हिलते हुए 11 सेकंड तक घुमाता है। अगर स्थिरता को प्राथमिकता दी जाए तो कौन जीतता है?")</f>
        <v>खिलाड़ी A, ऊपरी हिस्से को 11 सेकंड तक घुमाता है और खिलाड़ी B, ऊपरी हिस्से को बीच-बीच में हिलते हुए 11 सेकंड तक घुमाता है। अगर स्थिरता को प्राथमिकता दी जाए तो कौन जीतता है?</v>
      </c>
      <c r="H412" s="5" t="str">
        <f>IFERROR(__xludf.DUMMYFUNCTION("GOOGLETRANSLATE(C412, ""en"", ""hi"")"),"A) खिलाड़ी A, B) खिलाड़ी B, C) यह टाई है, D) उपरोक्त में से कोई नहीं")</f>
        <v>A) खिलाड़ी A, B) खिलाड़ी B, C) यह टाई है, D) उपरोक्त में से कोई नहीं</v>
      </c>
      <c r="I412" s="5" t="str">
        <f>IFERROR(__xludf.DUMMYFUNCTION("GOOGLETRANSLATE(D412, ""en"", ""hi"")"),"ए) खिलाड़ी ए")</f>
        <v>ए) खिलाड़ी ए</v>
      </c>
    </row>
    <row r="413" ht="22.5" customHeight="1">
      <c r="A413" s="2">
        <v>412.0</v>
      </c>
      <c r="B413" s="3" t="s">
        <v>5124</v>
      </c>
      <c r="C413" s="3" t="s">
        <v>4630</v>
      </c>
      <c r="D413" s="3" t="s">
        <v>4803</v>
      </c>
      <c r="F413" s="5" t="str">
        <f>IFERROR(__xludf.DUMMYFUNCTION("GOOGLETRANSLATE(A413, ""en"", ""hi"")"),"412")</f>
        <v>412</v>
      </c>
      <c r="G413" s="5" t="str">
        <f>IFERROR(__xludf.DUMMYFUNCTION("GOOGLETRANSLATE(B413, ""en"", ""hi"")"),"यदि खिलाड़ी C कभी-कभार आवाज के साथ 7 सेकंड के लिए शीर्ष को घुमाता है और खिलाड़ी D न्यूनतम कंपन के साथ 7 सेकंड के लिए शीर्ष को घुमाता है, तो न्यूनतम कंपन को प्राथमिकता दिए जाने पर कौन जीतता है?")</f>
        <v>यदि खिलाड़ी C कभी-कभार आवाज के साथ 7 सेकंड के लिए शीर्ष को घुमाता है और खिलाड़ी D न्यूनतम कंपन के साथ 7 सेकंड के लिए शीर्ष को घुमाता है, तो न्यूनतम कंपन को प्राथमिकता दिए जाने पर कौन जीतता है?</v>
      </c>
      <c r="H413" s="5" t="str">
        <f>IFERROR(__xludf.DUMMYFUNCTION("GOOGLETRANSLATE(C413, ""en"", ""hi"")"),"A) खिलाड़ी C, B) खिलाड़ी D, C) यह टाई है, D) उपरोक्त में से कोई नहीं")</f>
        <v>A) खिलाड़ी C, B) खिलाड़ी D, C) यह टाई है, D) उपरोक्त में से कोई नहीं</v>
      </c>
      <c r="I413" s="5" t="str">
        <f>IFERROR(__xludf.DUMMYFUNCTION("GOOGLETRANSLATE(D413, ""en"", ""hi"")"),"बी) खिलाड़ी डी")</f>
        <v>बी) खिलाड़ी डी</v>
      </c>
    </row>
    <row r="414" ht="22.5" customHeight="1">
      <c r="A414" s="2">
        <v>413.0</v>
      </c>
      <c r="B414" s="3" t="s">
        <v>5125</v>
      </c>
      <c r="C414" s="3" t="s">
        <v>4781</v>
      </c>
      <c r="D414" s="3" t="s">
        <v>4805</v>
      </c>
      <c r="F414" s="5" t="str">
        <f>IFERROR(__xludf.DUMMYFUNCTION("GOOGLETRANSLATE(A414, ""en"", ""hi"")"),"413")</f>
        <v>413</v>
      </c>
      <c r="G414" s="5" t="str">
        <f>IFERROR(__xludf.DUMMYFUNCTION("GOOGLETRANSLATE(B414, ""en"", ""hi"")"),"पम्बरम मैच के दौरान, खिलाड़ी E लगातार गति के साथ 14 सेकंड तक टॉप घुमाता है और खिलाड़ी F कभी-कभी हिलते हुए टॉप को 14 सेकंड तक घुमाता है। अगर गति की स्थिरता को प्राथमिकता दी जाए तो कौन जीतता है?")</f>
        <v>पम्बरम मैच के दौरान, खिलाड़ी E लगातार गति के साथ 14 सेकंड तक टॉप घुमाता है और खिलाड़ी F कभी-कभी हिलते हुए टॉप को 14 सेकंड तक घुमाता है। अगर गति की स्थिरता को प्राथमिकता दी जाए तो कौन जीतता है?</v>
      </c>
      <c r="H414" s="5" t="str">
        <f>IFERROR(__xludf.DUMMYFUNCTION("GOOGLETRANSLATE(C414, ""en"", ""hi"")"),"A) खिलाड़ी E, B) खिलाड़ी F, C) यह टाई है, D) उपरोक्त में से कोई नहीं")</f>
        <v>A) खिलाड़ी E, B) खिलाड़ी F, C) यह टाई है, D) उपरोक्त में से कोई नहीं</v>
      </c>
      <c r="I414" s="5" t="str">
        <f>IFERROR(__xludf.DUMMYFUNCTION("GOOGLETRANSLATE(D414, ""en"", ""hi"")"),"ए) खिलाड़ी ई")</f>
        <v>ए) खिलाड़ी ई</v>
      </c>
    </row>
    <row r="415" ht="22.5" customHeight="1">
      <c r="A415" s="2">
        <v>414.0</v>
      </c>
      <c r="B415" s="3" t="s">
        <v>5126</v>
      </c>
      <c r="C415" s="3" t="s">
        <v>4783</v>
      </c>
      <c r="D415" s="3" t="s">
        <v>4784</v>
      </c>
      <c r="F415" s="5" t="str">
        <f>IFERROR(__xludf.DUMMYFUNCTION("GOOGLETRANSLATE(A415, ""en"", ""hi"")"),"414")</f>
        <v>414</v>
      </c>
      <c r="G415" s="5" t="str">
        <f>IFERROR(__xludf.DUMMYFUNCTION("GOOGLETRANSLATE(B415, ""en"", ""hi"")"),"खिलाड़ी G, कम से कम कंपन के साथ 10 सेकंड तक ऊपरी हिस्से को घुमाता है और खिलाड़ी H, बीच-बीच में आवाज़ के साथ 10 सेकंड तक ऊपरी हिस्से को घुमाता है। अगर न्यूनतम कंपन को प्राथमिकता दी जाती है, तो कौन जीतता है?")</f>
        <v>खिलाड़ी G, कम से कम कंपन के साथ 10 सेकंड तक ऊपरी हिस्से को घुमाता है और खिलाड़ी H, बीच-बीच में आवाज़ के साथ 10 सेकंड तक ऊपरी हिस्से को घुमाता है। अगर न्यूनतम कंपन को प्राथमिकता दी जाती है, तो कौन जीतता है?</v>
      </c>
      <c r="H415" s="5" t="str">
        <f>IFERROR(__xludf.DUMMYFUNCTION("GOOGLETRANSLATE(C415, ""en"", ""hi"")"),"A) खिलाड़ी G, B) खिलाड़ी H, C) यह टाई है, D) उपरोक्त में से कोई नहीं")</f>
        <v>A) खिलाड़ी G, B) खिलाड़ी H, C) यह टाई है, D) उपरोक्त में से कोई नहीं</v>
      </c>
      <c r="I415" s="5" t="str">
        <f>IFERROR(__xludf.DUMMYFUNCTION("GOOGLETRANSLATE(D415, ""en"", ""hi"")"),"ए) खिलाड़ी जी")</f>
        <v>ए) खिलाड़ी जी</v>
      </c>
    </row>
    <row r="416" ht="22.5" customHeight="1">
      <c r="A416" s="2">
        <v>415.0</v>
      </c>
      <c r="B416" s="3" t="s">
        <v>5127</v>
      </c>
      <c r="C416" s="3" t="s">
        <v>4639</v>
      </c>
      <c r="D416" s="3" t="s">
        <v>4640</v>
      </c>
      <c r="F416" s="5" t="str">
        <f>IFERROR(__xludf.DUMMYFUNCTION("GOOGLETRANSLATE(A416, ""en"", ""hi"")"),"415")</f>
        <v>415</v>
      </c>
      <c r="G416" s="5" t="str">
        <f>IFERROR(__xludf.DUMMYFUNCTION("GOOGLETRANSLATE(B416, ""en"", ""hi"")"),"यदि खिलाड़ी I शीर्ष को 12 सेकंड तक एकसमान गति से घुमाता है और खिलाड़ी J शीर्ष को 12 सेकंड तक कभी-कभार हिलते हुए घुमाता है, तो यदि गति की स्थिरता को प्राथमिकता दी जाती है तो कौन जीतता है?")</f>
        <v>यदि खिलाड़ी I शीर्ष को 12 सेकंड तक एकसमान गति से घुमाता है और खिलाड़ी J शीर्ष को 12 सेकंड तक कभी-कभार हिलते हुए घुमाता है, तो यदि गति की स्थिरता को प्राथमिकता दी जाती है तो कौन जीतता है?</v>
      </c>
      <c r="H416" s="5" t="str">
        <f>IFERROR(__xludf.DUMMYFUNCTION("GOOGLETRANSLATE(C416, ""en"", ""hi"")"),"A) खिलाड़ी I, B) खिलाड़ी J, C) यह टाई है, D) उपरोक्त में से कोई नहीं")</f>
        <v>A) खिलाड़ी I, B) खिलाड़ी J, C) यह टाई है, D) उपरोक्त में से कोई नहीं</v>
      </c>
      <c r="I416" s="5" t="str">
        <f>IFERROR(__xludf.DUMMYFUNCTION("GOOGLETRANSLATE(D416, ""en"", ""hi"")"),"ए) खिलाड़ी I")</f>
        <v>ए) खिलाड़ी I</v>
      </c>
    </row>
    <row r="417" ht="22.5" customHeight="1">
      <c r="A417" s="2">
        <v>416.0</v>
      </c>
      <c r="B417" s="3" t="s">
        <v>5128</v>
      </c>
      <c r="C417" s="3" t="s">
        <v>4642</v>
      </c>
      <c r="D417" s="3" t="s">
        <v>4862</v>
      </c>
      <c r="F417" s="5" t="str">
        <f>IFERROR(__xludf.DUMMYFUNCTION("GOOGLETRANSLATE(A417, ""en"", ""hi"")"),"416")</f>
        <v>416</v>
      </c>
      <c r="G417" s="5" t="str">
        <f>IFERROR(__xludf.DUMMYFUNCTION("GOOGLETRANSLATE(B417, ""en"", ""hi"")"),"पम्बरम मैच के दौरान, खिलाड़ी K 8 सेकंड के लिए और खिलाड़ी L 8 सेकंड के लिए बीच-बीच में आवाज़ के साथ ऊपरी हिस्से को घुमाता है। अगर मौन को प्राथमिकता दी जाए तो कौन जीतता है?")</f>
        <v>पम्बरम मैच के दौरान, खिलाड़ी K 8 सेकंड के लिए और खिलाड़ी L 8 सेकंड के लिए बीच-बीच में आवाज़ के साथ ऊपरी हिस्से को घुमाता है। अगर मौन को प्राथमिकता दी जाए तो कौन जीतता है?</v>
      </c>
      <c r="H417" s="5" t="str">
        <f>IFERROR(__xludf.DUMMYFUNCTION("GOOGLETRANSLATE(C417, ""en"", ""hi"")"),"A) खिलाड़ी K, B) खिलाड़ी L, C) यह टाई है, D) उपरोक्त में से कोई नहीं")</f>
        <v>A) खिलाड़ी K, B) खिलाड़ी L, C) यह टाई है, D) उपरोक्त में से कोई नहीं</v>
      </c>
      <c r="I417" s="5" t="str">
        <f>IFERROR(__xludf.DUMMYFUNCTION("GOOGLETRANSLATE(D417, ""en"", ""hi"")"),"D) उपरोक्त में से कोई नहीं")</f>
        <v>D) उपरोक्त में से कोई नहीं</v>
      </c>
    </row>
    <row r="418" ht="22.5" customHeight="1">
      <c r="A418" s="2">
        <v>417.0</v>
      </c>
      <c r="B418" s="3" t="s">
        <v>5129</v>
      </c>
      <c r="C418" s="3" t="s">
        <v>4790</v>
      </c>
      <c r="D418" s="3" t="s">
        <v>4646</v>
      </c>
      <c r="F418" s="5" t="str">
        <f>IFERROR(__xludf.DUMMYFUNCTION("GOOGLETRANSLATE(A418, ""en"", ""hi"")"),"417")</f>
        <v>417</v>
      </c>
      <c r="G418" s="5" t="str">
        <f>IFERROR(__xludf.DUMMYFUNCTION("GOOGLETRANSLATE(B418, ""en"", ""hi"")"),"खिलाड़ी M ऊपरी हिस्से को बीच-बीच में हिलते हुए 15 सेकंड तक घुमाता है और खिलाड़ी N ऊपरी हिस्से को कम से कम हिलते हुए 15 सेकंड तक घुमाता है। अगर न्यूनतम हिलना पसंद किया जाता है तो कौन जीतता है?")</f>
        <v>खिलाड़ी M ऊपरी हिस्से को बीच-बीच में हिलते हुए 15 सेकंड तक घुमाता है और खिलाड़ी N ऊपरी हिस्से को कम से कम हिलते हुए 15 सेकंड तक घुमाता है। अगर न्यूनतम हिलना पसंद किया जाता है तो कौन जीतता है?</v>
      </c>
      <c r="H418" s="5" t="str">
        <f>IFERROR(__xludf.DUMMYFUNCTION("GOOGLETRANSLATE(C418, ""en"", ""hi"")"),"A) खिलाड़ी M, B) खिलाड़ी N, C) यह टाई है, D) उपरोक्त में से कोई नहीं")</f>
        <v>A) खिलाड़ी M, B) खिलाड़ी N, C) यह टाई है, D) उपरोक्त में से कोई नहीं</v>
      </c>
      <c r="I418" s="5" t="str">
        <f>IFERROR(__xludf.DUMMYFUNCTION("GOOGLETRANSLATE(D418, ""en"", ""hi"")"),"बी) खिलाड़ी एन")</f>
        <v>बी) खिलाड़ी एन</v>
      </c>
    </row>
    <row r="419" ht="22.5" customHeight="1">
      <c r="A419" s="2">
        <v>418.0</v>
      </c>
      <c r="B419" s="3" t="s">
        <v>5130</v>
      </c>
      <c r="C419" s="3" t="s">
        <v>4648</v>
      </c>
      <c r="D419" s="3" t="s">
        <v>4793</v>
      </c>
      <c r="F419" s="5" t="str">
        <f>IFERROR(__xludf.DUMMYFUNCTION("GOOGLETRANSLATE(A419, ""en"", ""hi"")"),"418")</f>
        <v>418</v>
      </c>
      <c r="G419" s="5" t="str">
        <f>IFERROR(__xludf.DUMMYFUNCTION("GOOGLETRANSLATE(B419, ""en"", ""hi"")"),"यदि खिलाड़ी O कभी-कभार आवाज के साथ 11 सेकंड तक लट्टू को घुमाता है और खिलाड़ी P 11 सेकंड तक लट्टू को चुपचाप घुमाता है, तो यदि मौन को प्राथमिकता दी जाती है तो कौन जीतता है?")</f>
        <v>यदि खिलाड़ी O कभी-कभार आवाज के साथ 11 सेकंड तक लट्टू को घुमाता है और खिलाड़ी P 11 सेकंड तक लट्टू को चुपचाप घुमाता है, तो यदि मौन को प्राथमिकता दी जाती है तो कौन जीतता है?</v>
      </c>
      <c r="H419" s="5" t="str">
        <f>IFERROR(__xludf.DUMMYFUNCTION("GOOGLETRANSLATE(C419, ""en"", ""hi"")"),"A) खिलाड़ी O, B) खिलाड़ी P, C) यह टाई है, D) उपरोक्त में से कोई नहीं")</f>
        <v>A) खिलाड़ी O, B) खिलाड़ी P, C) यह टाई है, D) उपरोक्त में से कोई नहीं</v>
      </c>
      <c r="I419" s="5" t="str">
        <f>IFERROR(__xludf.DUMMYFUNCTION("GOOGLETRANSLATE(D419, ""en"", ""hi"")"),"बी) खिलाड़ी पी")</f>
        <v>बी) खिलाड़ी पी</v>
      </c>
    </row>
    <row r="420" ht="22.5" customHeight="1">
      <c r="A420" s="2">
        <v>419.0</v>
      </c>
      <c r="B420" s="3" t="s">
        <v>5131</v>
      </c>
      <c r="C420" s="3" t="s">
        <v>4651</v>
      </c>
      <c r="D420" s="3" t="s">
        <v>4652</v>
      </c>
      <c r="F420" s="5" t="str">
        <f>IFERROR(__xludf.DUMMYFUNCTION("GOOGLETRANSLATE(A420, ""en"", ""hi"")"),"419")</f>
        <v>419</v>
      </c>
      <c r="G420" s="5" t="str">
        <f>IFERROR(__xludf.DUMMYFUNCTION("GOOGLETRANSLATE(B420, ""en"", ""hi"")"),"पम्बरम प्रतियोगिता के दौरान, खिलाड़ी Q न्यूनतम कंपन के साथ 9 सेकंड तक ऊपरी भाग को घुमाता है और खिलाड़ी R कभी-कभार कंपन के साथ 9 सेकंड तक ऊपरी भाग को घुमाता है। यदि न्यूनतम कंपन को प्राथमिकता दी जाती है तो कौन जीतता है?")</f>
        <v>पम्बरम प्रतियोगिता के दौरान, खिलाड़ी Q न्यूनतम कंपन के साथ 9 सेकंड तक ऊपरी भाग को घुमाता है और खिलाड़ी R कभी-कभार कंपन के साथ 9 सेकंड तक ऊपरी भाग को घुमाता है। यदि न्यूनतम कंपन को प्राथमिकता दी जाती है तो कौन जीतता है?</v>
      </c>
      <c r="H420" s="5" t="str">
        <f>IFERROR(__xludf.DUMMYFUNCTION("GOOGLETRANSLATE(C420, ""en"", ""hi"")"),"A) खिलाड़ी Q, B) खिलाड़ी R, C) यह टाई है, D) उपरोक्त में से कोई नहीं")</f>
        <v>A) खिलाड़ी Q, B) खिलाड़ी R, C) यह टाई है, D) उपरोक्त में से कोई नहीं</v>
      </c>
      <c r="I420" s="5" t="str">
        <f>IFERROR(__xludf.DUMMYFUNCTION("GOOGLETRANSLATE(D420, ""en"", ""hi"")"),"ए) खिलाड़ी क्यू")</f>
        <v>ए) खिलाड़ी क्यू</v>
      </c>
    </row>
    <row r="421" ht="22.5" customHeight="1">
      <c r="A421" s="2">
        <v>420.0</v>
      </c>
      <c r="B421" s="3" t="s">
        <v>5132</v>
      </c>
      <c r="C421" s="3" t="s">
        <v>4654</v>
      </c>
      <c r="D421" s="3" t="s">
        <v>4655</v>
      </c>
      <c r="F421" s="5" t="str">
        <f>IFERROR(__xludf.DUMMYFUNCTION("GOOGLETRANSLATE(A421, ""en"", ""hi"")"),"420")</f>
        <v>420</v>
      </c>
      <c r="G421" s="5" t="str">
        <f>IFERROR(__xludf.DUMMYFUNCTION("GOOGLETRANSLATE(B421, ""en"", ""hi"")"),"खिलाड़ी S कभी-कभी हिलते हुए ऊपरी हिस्से को 12 सेकंड तक घुमाता है और खिलाड़ी T लगातार गति के साथ ऊपरी हिस्से को 12 सेकंड तक घुमाता है। अगर गति की स्थिरता को प्राथमिकता दी जाए तो कौन जीतता है?")</f>
        <v>खिलाड़ी S कभी-कभी हिलते हुए ऊपरी हिस्से को 12 सेकंड तक घुमाता है और खिलाड़ी T लगातार गति के साथ ऊपरी हिस्से को 12 सेकंड तक घुमाता है। अगर गति की स्थिरता को प्राथमिकता दी जाए तो कौन जीतता है?</v>
      </c>
      <c r="H421" s="5" t="str">
        <f>IFERROR(__xludf.DUMMYFUNCTION("GOOGLETRANSLATE(C421, ""en"", ""hi"")"),"A) खिलाड़ी S, B) खिलाड़ी T, C) यह टाई है, D) उपरोक्त में से कोई नहीं")</f>
        <v>A) खिलाड़ी S, B) खिलाड़ी T, C) यह टाई है, D) उपरोक्त में से कोई नहीं</v>
      </c>
      <c r="I421" s="5" t="str">
        <f>IFERROR(__xludf.DUMMYFUNCTION("GOOGLETRANSLATE(D421, ""en"", ""hi"")"),"बी) खिलाड़ी टी")</f>
        <v>बी) खिलाड़ी टी</v>
      </c>
    </row>
    <row r="422" ht="22.5" customHeight="1">
      <c r="A422" s="2">
        <v>421.0</v>
      </c>
      <c r="B422" s="3" t="s">
        <v>5133</v>
      </c>
      <c r="C422" s="3" t="s">
        <v>4627</v>
      </c>
      <c r="D422" s="3" t="s">
        <v>4628</v>
      </c>
      <c r="F422" s="5" t="str">
        <f>IFERROR(__xludf.DUMMYFUNCTION("GOOGLETRANSLATE(A422, ""en"", ""hi"")"),"421")</f>
        <v>421</v>
      </c>
      <c r="G422" s="5" t="str">
        <f>IFERROR(__xludf.DUMMYFUNCTION("GOOGLETRANSLATE(B422, ""en"", ""hi"")"),"खिलाड़ी A लगातार गति के साथ 10 सेकंड तक ऊपरी हिस्से को घुमाता है, जबकि खिलाड़ी B कभी-कभी हिलते हुए ऊपरी हिस्से को 10 सेकंड तक घुमाता है। अगर गति की स्थिरता को प्राथमिकता दी जाए तो कौन जीतता है?")</f>
        <v>खिलाड़ी A लगातार गति के साथ 10 सेकंड तक ऊपरी हिस्से को घुमाता है, जबकि खिलाड़ी B कभी-कभी हिलते हुए ऊपरी हिस्से को 10 सेकंड तक घुमाता है। अगर गति की स्थिरता को प्राथमिकता दी जाए तो कौन जीतता है?</v>
      </c>
      <c r="H422" s="5" t="str">
        <f>IFERROR(__xludf.DUMMYFUNCTION("GOOGLETRANSLATE(C422, ""en"", ""hi"")"),"A) खिलाड़ी A, B) खिलाड़ी B, C) यह टाई है, D) उपरोक्त में से कोई नहीं")</f>
        <v>A) खिलाड़ी A, B) खिलाड़ी B, C) यह टाई है, D) उपरोक्त में से कोई नहीं</v>
      </c>
      <c r="I422" s="5" t="str">
        <f>IFERROR(__xludf.DUMMYFUNCTION("GOOGLETRANSLATE(D422, ""en"", ""hi"")"),"ए) खिलाड़ी ए")</f>
        <v>ए) खिलाड़ी ए</v>
      </c>
    </row>
    <row r="423" ht="22.5" customHeight="1">
      <c r="A423" s="2">
        <v>422.0</v>
      </c>
      <c r="B423" s="3" t="s">
        <v>5134</v>
      </c>
      <c r="C423" s="3" t="s">
        <v>4630</v>
      </c>
      <c r="D423" s="3" t="s">
        <v>4803</v>
      </c>
      <c r="F423" s="5" t="str">
        <f>IFERROR(__xludf.DUMMYFUNCTION("GOOGLETRANSLATE(A423, ""en"", ""hi"")"),"422")</f>
        <v>422</v>
      </c>
      <c r="G423" s="5" t="str">
        <f>IFERROR(__xludf.DUMMYFUNCTION("GOOGLETRANSLATE(B423, ""en"", ""hi"")"),"पम्बरम मैच के दौरान, खिलाड़ी C कभी-कभी हिलते हुए ऊपरी हिस्से को 8 सेकंड तक घुमाता है, और खिलाड़ी D लगातार गति के साथ ऊपरी हिस्से को 8 सेकंड तक घुमाता है। अगर स्थिरता को प्राथमिकता दी जाए तो कौन जीतता है?")</f>
        <v>पम्बरम मैच के दौरान, खिलाड़ी C कभी-कभी हिलते हुए ऊपरी हिस्से को 8 सेकंड तक घुमाता है, और खिलाड़ी D लगातार गति के साथ ऊपरी हिस्से को 8 सेकंड तक घुमाता है। अगर स्थिरता को प्राथमिकता दी जाए तो कौन जीतता है?</v>
      </c>
      <c r="H423" s="5" t="str">
        <f>IFERROR(__xludf.DUMMYFUNCTION("GOOGLETRANSLATE(C423, ""en"", ""hi"")"),"A) खिलाड़ी C, B) खिलाड़ी D, C) यह टाई है, D) उपरोक्त में से कोई नहीं")</f>
        <v>A) खिलाड़ी C, B) खिलाड़ी D, C) यह टाई है, D) उपरोक्त में से कोई नहीं</v>
      </c>
      <c r="I423" s="5" t="str">
        <f>IFERROR(__xludf.DUMMYFUNCTION("GOOGLETRANSLATE(D423, ""en"", ""hi"")"),"बी) खिलाड़ी डी")</f>
        <v>बी) खिलाड़ी डी</v>
      </c>
    </row>
    <row r="424" ht="22.5" customHeight="1">
      <c r="A424" s="2">
        <v>423.0</v>
      </c>
      <c r="B424" s="3" t="s">
        <v>5135</v>
      </c>
      <c r="C424" s="3" t="s">
        <v>4781</v>
      </c>
      <c r="D424" s="3" t="s">
        <v>4805</v>
      </c>
      <c r="F424" s="5" t="str">
        <f>IFERROR(__xludf.DUMMYFUNCTION("GOOGLETRANSLATE(A424, ""en"", ""hi"")"),"423")</f>
        <v>423</v>
      </c>
      <c r="G424" s="5" t="str">
        <f>IFERROR(__xludf.DUMMYFUNCTION("GOOGLETRANSLATE(B424, ""en"", ""hi"")"),"खिलाड़ी E, कम से कम कंपन के साथ 12 सेकंड तक ऊपरी हिस्से को घुमाता है और खिलाड़ी F, बीच-बीच में आवाज़ के साथ 12 सेकंड तक ऊपरी हिस्से को घुमाता है। अगर न्यूनतम कंपन को प्राथमिकता दी जाती है, तो कौन जीतता है?")</f>
        <v>खिलाड़ी E, कम से कम कंपन के साथ 12 सेकंड तक ऊपरी हिस्से को घुमाता है और खिलाड़ी F, बीच-बीच में आवाज़ के साथ 12 सेकंड तक ऊपरी हिस्से को घुमाता है। अगर न्यूनतम कंपन को प्राथमिकता दी जाती है, तो कौन जीतता है?</v>
      </c>
      <c r="H424" s="5" t="str">
        <f>IFERROR(__xludf.DUMMYFUNCTION("GOOGLETRANSLATE(C424, ""en"", ""hi"")"),"A) खिलाड़ी E, B) खिलाड़ी F, C) यह टाई है, D) उपरोक्त में से कोई नहीं")</f>
        <v>A) खिलाड़ी E, B) खिलाड़ी F, C) यह टाई है, D) उपरोक्त में से कोई नहीं</v>
      </c>
      <c r="I424" s="5" t="str">
        <f>IFERROR(__xludf.DUMMYFUNCTION("GOOGLETRANSLATE(D424, ""en"", ""hi"")"),"ए) खिलाड़ी ई")</f>
        <v>ए) खिलाड़ी ई</v>
      </c>
    </row>
    <row r="425" ht="22.5" customHeight="1">
      <c r="A425" s="2">
        <v>424.0</v>
      </c>
      <c r="B425" s="3" t="s">
        <v>5136</v>
      </c>
      <c r="C425" s="3" t="s">
        <v>4783</v>
      </c>
      <c r="D425" s="3" t="s">
        <v>4862</v>
      </c>
      <c r="F425" s="5" t="str">
        <f>IFERROR(__xludf.DUMMYFUNCTION("GOOGLETRANSLATE(A425, ""en"", ""hi"")"),"424")</f>
        <v>424</v>
      </c>
      <c r="G425" s="5" t="str">
        <f>IFERROR(__xludf.DUMMYFUNCTION("GOOGLETRANSLATE(B425, ""en"", ""hi"")"),"यदि खिलाड़ी G कभी-कभार आवाज के साथ 9 सेकंड के लिए शीर्ष को घुमाता है और खिलाड़ी H न्यूनतम कंपन के साथ 9 सेकंड के लिए शीर्ष को घुमाता है, तो यदि मौन को प्राथमिकता दी जाती है तो कौन जीतता है?")</f>
        <v>यदि खिलाड़ी G कभी-कभार आवाज के साथ 9 सेकंड के लिए शीर्ष को घुमाता है और खिलाड़ी H न्यूनतम कंपन के साथ 9 सेकंड के लिए शीर्ष को घुमाता है, तो यदि मौन को प्राथमिकता दी जाती है तो कौन जीतता है?</v>
      </c>
      <c r="H425" s="5" t="str">
        <f>IFERROR(__xludf.DUMMYFUNCTION("GOOGLETRANSLATE(C425, ""en"", ""hi"")"),"A) खिलाड़ी G, B) खिलाड़ी H, C) यह टाई है, D) उपरोक्त में से कोई नहीं")</f>
        <v>A) खिलाड़ी G, B) खिलाड़ी H, C) यह टाई है, D) उपरोक्त में से कोई नहीं</v>
      </c>
      <c r="I425" s="5" t="str">
        <f>IFERROR(__xludf.DUMMYFUNCTION("GOOGLETRANSLATE(D425, ""en"", ""hi"")"),"D) उपरोक्त में से कोई नहीं")</f>
        <v>D) उपरोक्त में से कोई नहीं</v>
      </c>
    </row>
    <row r="426" ht="22.5" customHeight="1">
      <c r="A426" s="2">
        <v>425.0</v>
      </c>
      <c r="B426" s="3" t="s">
        <v>5137</v>
      </c>
      <c r="C426" s="3" t="s">
        <v>4639</v>
      </c>
      <c r="D426" s="3" t="s">
        <v>4640</v>
      </c>
      <c r="F426" s="5" t="str">
        <f>IFERROR(__xludf.DUMMYFUNCTION("GOOGLETRANSLATE(A426, ""en"", ""hi"")"),"425")</f>
        <v>425</v>
      </c>
      <c r="G426" s="5" t="str">
        <f>IFERROR(__xludf.DUMMYFUNCTION("GOOGLETRANSLATE(B426, ""en"", ""hi"")"),"पम्बरम प्रतियोगिता के दौरान, खिलाड़ी I लगातार गति से 11 सेकंड तक लट्टू को घुमाता है, और खिलाड़ी J बीच-बीच में हिलते हुए लट्टू को 11 सेकंड तक घुमाता है। अगर कम से कम हिलना-डुलना पसंद किया जाए तो कौन जीतता है?")</f>
        <v>पम्बरम प्रतियोगिता के दौरान, खिलाड़ी I लगातार गति से 11 सेकंड तक लट्टू को घुमाता है, और खिलाड़ी J बीच-बीच में हिलते हुए लट्टू को 11 सेकंड तक घुमाता है। अगर कम से कम हिलना-डुलना पसंद किया जाए तो कौन जीतता है?</v>
      </c>
      <c r="H426" s="5" t="str">
        <f>IFERROR(__xludf.DUMMYFUNCTION("GOOGLETRANSLATE(C426, ""en"", ""hi"")"),"A) खिलाड़ी I, B) खिलाड़ी J, C) यह टाई है, D) उपरोक्त में से कोई नहीं")</f>
        <v>A) खिलाड़ी I, B) खिलाड़ी J, C) यह टाई है, D) उपरोक्त में से कोई नहीं</v>
      </c>
      <c r="I426" s="5" t="str">
        <f>IFERROR(__xludf.DUMMYFUNCTION("GOOGLETRANSLATE(D426, ""en"", ""hi"")"),"ए) खिलाड़ी I")</f>
        <v>ए) खिलाड़ी I</v>
      </c>
    </row>
    <row r="427" ht="22.5" customHeight="1">
      <c r="A427" s="2">
        <v>426.0</v>
      </c>
      <c r="B427" s="3" t="s">
        <v>5138</v>
      </c>
      <c r="C427" s="3" t="s">
        <v>4642</v>
      </c>
      <c r="D427" s="3" t="s">
        <v>4788</v>
      </c>
      <c r="F427" s="5" t="str">
        <f>IFERROR(__xludf.DUMMYFUNCTION("GOOGLETRANSLATE(A427, ""en"", ""hi"")"),"426")</f>
        <v>426</v>
      </c>
      <c r="G427" s="5" t="str">
        <f>IFERROR(__xludf.DUMMYFUNCTION("GOOGLETRANSLATE(B427, ""en"", ""hi"")"),"खिलाड़ी K, कम से कम हिलते हुए 15 सेकंड तक ऊपरी हिस्से को घुमाता है, जबकि खिलाड़ी L, कभी-कभार हिलते हुए 15 सेकंड तक ऊपरी हिस्से को घुमाता है। अगर न्यूनतम हिलना पसंद किया जाता है, तो कौन जीतता है?")</f>
        <v>खिलाड़ी K, कम से कम हिलते हुए 15 सेकंड तक ऊपरी हिस्से को घुमाता है, जबकि खिलाड़ी L, कभी-कभार हिलते हुए 15 सेकंड तक ऊपरी हिस्से को घुमाता है। अगर न्यूनतम हिलना पसंद किया जाता है, तो कौन जीतता है?</v>
      </c>
      <c r="H427" s="5" t="str">
        <f>IFERROR(__xludf.DUMMYFUNCTION("GOOGLETRANSLATE(C427, ""en"", ""hi"")"),"A) खिलाड़ी K, B) खिलाड़ी L, C) यह टाई है, D) उपरोक्त में से कोई नहीं")</f>
        <v>A) खिलाड़ी K, B) खिलाड़ी L, C) यह टाई है, D) उपरोक्त में से कोई नहीं</v>
      </c>
      <c r="I427" s="5" t="str">
        <f>IFERROR(__xludf.DUMMYFUNCTION("GOOGLETRANSLATE(D427, ""en"", ""hi"")"),"A) खिलाड़ी K")</f>
        <v>A) खिलाड़ी K</v>
      </c>
    </row>
    <row r="428" ht="22.5" customHeight="1">
      <c r="A428" s="2">
        <v>427.0</v>
      </c>
      <c r="B428" s="3" t="s">
        <v>5139</v>
      </c>
      <c r="C428" s="3" t="s">
        <v>4790</v>
      </c>
      <c r="D428" s="3" t="s">
        <v>4791</v>
      </c>
      <c r="F428" s="5" t="str">
        <f>IFERROR(__xludf.DUMMYFUNCTION("GOOGLETRANSLATE(A428, ""en"", ""hi"")"),"427")</f>
        <v>427</v>
      </c>
      <c r="G428" s="5" t="str">
        <f>IFERROR(__xludf.DUMMYFUNCTION("GOOGLETRANSLATE(B428, ""en"", ""hi"")"),"यदि खिलाड़ी M शीर्ष को 8 सेकंड तक लगातार गति से घुमाता है और खिलाड़ी N शीर्ष को 8 सेकंड तक कभी-कभार आवाज के साथ घुमाता है, तो स्थिरता को प्राथमिकता देने पर कौन जीतता है?")</f>
        <v>यदि खिलाड़ी M शीर्ष को 8 सेकंड तक लगातार गति से घुमाता है और खिलाड़ी N शीर्ष को 8 सेकंड तक कभी-कभार आवाज के साथ घुमाता है, तो स्थिरता को प्राथमिकता देने पर कौन जीतता है?</v>
      </c>
      <c r="H428" s="5" t="str">
        <f>IFERROR(__xludf.DUMMYFUNCTION("GOOGLETRANSLATE(C428, ""en"", ""hi"")"),"A) खिलाड़ी M, B) खिलाड़ी N, C) यह टाई है, D) उपरोक्त में से कोई नहीं")</f>
        <v>A) खिलाड़ी M, B) खिलाड़ी N, C) यह टाई है, D) उपरोक्त में से कोई नहीं</v>
      </c>
      <c r="I428" s="5" t="str">
        <f>IFERROR(__xludf.DUMMYFUNCTION("GOOGLETRANSLATE(D428, ""en"", ""hi"")"),"ए) खिलाड़ी एम")</f>
        <v>ए) खिलाड़ी एम</v>
      </c>
    </row>
    <row r="429" ht="22.5" customHeight="1">
      <c r="A429" s="2">
        <v>428.0</v>
      </c>
      <c r="B429" s="3" t="s">
        <v>5140</v>
      </c>
      <c r="C429" s="3" t="s">
        <v>4648</v>
      </c>
      <c r="D429" s="3" t="s">
        <v>4793</v>
      </c>
      <c r="F429" s="5" t="str">
        <f>IFERROR(__xludf.DUMMYFUNCTION("GOOGLETRANSLATE(A429, ""en"", ""hi"")"),"428")</f>
        <v>428</v>
      </c>
      <c r="G429" s="5" t="str">
        <f>IFERROR(__xludf.DUMMYFUNCTION("GOOGLETRANSLATE(B429, ""en"", ""hi"")"),"खिलाड़ी O बीच-बीच में आवाज़ के साथ 7 सेकंड तक लट्टू घुमाता है, जबकि खिलाड़ी P लगातार गति के साथ 7 सेकंड तक लट्टू घुमाता है। अगर गति की स्थिरता को प्राथमिकता दी जाए तो कौन जीतता है?")</f>
        <v>खिलाड़ी O बीच-बीच में आवाज़ के साथ 7 सेकंड तक लट्टू घुमाता है, जबकि खिलाड़ी P लगातार गति के साथ 7 सेकंड तक लट्टू घुमाता है। अगर गति की स्थिरता को प्राथमिकता दी जाए तो कौन जीतता है?</v>
      </c>
      <c r="H429" s="5" t="str">
        <f>IFERROR(__xludf.DUMMYFUNCTION("GOOGLETRANSLATE(C429, ""en"", ""hi"")"),"A) खिलाड़ी O, B) खिलाड़ी P, C) यह टाई है, D) उपरोक्त में से कोई नहीं")</f>
        <v>A) खिलाड़ी O, B) खिलाड़ी P, C) यह टाई है, D) उपरोक्त में से कोई नहीं</v>
      </c>
      <c r="I429" s="5" t="str">
        <f>IFERROR(__xludf.DUMMYFUNCTION("GOOGLETRANSLATE(D429, ""en"", ""hi"")"),"बी) खिलाड़ी पी")</f>
        <v>बी) खिलाड़ी पी</v>
      </c>
    </row>
    <row r="430" ht="22.5" customHeight="1">
      <c r="A430" s="2">
        <v>429.0</v>
      </c>
      <c r="B430" s="3" t="s">
        <v>5141</v>
      </c>
      <c r="C430" s="3" t="s">
        <v>4651</v>
      </c>
      <c r="D430" s="3" t="s">
        <v>4795</v>
      </c>
      <c r="F430" s="5" t="str">
        <f>IFERROR(__xludf.DUMMYFUNCTION("GOOGLETRANSLATE(A430, ""en"", ""hi"")"),"429")</f>
        <v>429</v>
      </c>
      <c r="G430" s="5" t="str">
        <f>IFERROR(__xludf.DUMMYFUNCTION("GOOGLETRANSLATE(B430, ""en"", ""hi"")"),"पम्बरम मैच के दौरान, खिलाड़ी Q कभी-कभार हिलते हुए 10 सेकंड के लिए ऊपरी हिस्से को घुमाता है, और खिलाड़ी R कम से कम हिलते हुए 10 सेकंड के लिए ऊपरी हिस्से को घुमाता है। अगर कम से कम हिलना पसंद किया जाता है, तो कौन जीतता है?")</f>
        <v>पम्बरम मैच के दौरान, खिलाड़ी Q कभी-कभार हिलते हुए 10 सेकंड के लिए ऊपरी हिस्से को घुमाता है, और खिलाड़ी R कम से कम हिलते हुए 10 सेकंड के लिए ऊपरी हिस्से को घुमाता है। अगर कम से कम हिलना पसंद किया जाता है, तो कौन जीतता है?</v>
      </c>
      <c r="H430" s="5" t="str">
        <f>IFERROR(__xludf.DUMMYFUNCTION("GOOGLETRANSLATE(C430, ""en"", ""hi"")"),"A) खिलाड़ी Q, B) खिलाड़ी R, C) यह टाई है, D) उपरोक्त में से कोई नहीं")</f>
        <v>A) खिलाड़ी Q, B) खिलाड़ी R, C) यह टाई है, D) उपरोक्त में से कोई नहीं</v>
      </c>
      <c r="I430" s="5" t="str">
        <f>IFERROR(__xludf.DUMMYFUNCTION("GOOGLETRANSLATE(D430, ""en"", ""hi"")"),"बी) खिलाड़ी आर")</f>
        <v>बी) खिलाड़ी आर</v>
      </c>
    </row>
    <row r="431" ht="22.5" customHeight="1">
      <c r="A431" s="2">
        <v>430.0</v>
      </c>
      <c r="B431" s="3" t="s">
        <v>5142</v>
      </c>
      <c r="C431" s="3" t="s">
        <v>4654</v>
      </c>
      <c r="D431" s="3" t="s">
        <v>4828</v>
      </c>
      <c r="F431" s="5" t="str">
        <f>IFERROR(__xludf.DUMMYFUNCTION("GOOGLETRANSLATE(A431, ""en"", ""hi"")"),"430")</f>
        <v>430</v>
      </c>
      <c r="G431" s="5" t="str">
        <f>IFERROR(__xludf.DUMMYFUNCTION("GOOGLETRANSLATE(B431, ""en"", ""hi"")"),"खिलाड़ी S, न्यूनतम कंपन के साथ 13 सेकंड तक ऊपरी भाग को घुमाता है, जबकि खिलाड़ी T, कभी-कभार कंपन के साथ 13 सेकंड तक ऊपरी भाग को घुमाता है। अगर स्थिरता को प्राथमिकता दी जाए तो कौन जीतता है?")</f>
        <v>खिलाड़ी S, न्यूनतम कंपन के साथ 13 सेकंड तक ऊपरी भाग को घुमाता है, जबकि खिलाड़ी T, कभी-कभार कंपन के साथ 13 सेकंड तक ऊपरी भाग को घुमाता है। अगर स्थिरता को प्राथमिकता दी जाए तो कौन जीतता है?</v>
      </c>
      <c r="H431" s="5" t="str">
        <f>IFERROR(__xludf.DUMMYFUNCTION("GOOGLETRANSLATE(C431, ""en"", ""hi"")"),"A) खिलाड़ी S, B) खिलाड़ी T, C) यह टाई है, D) उपरोक्त में से कोई नहीं")</f>
        <v>A) खिलाड़ी S, B) खिलाड़ी T, C) यह टाई है, D) उपरोक्त में से कोई नहीं</v>
      </c>
      <c r="I431" s="5" t="str">
        <f>IFERROR(__xludf.DUMMYFUNCTION("GOOGLETRANSLATE(D431, ""en"", ""hi"")"),"ए) खिलाड़ी एस")</f>
        <v>ए) खिलाड़ी एस</v>
      </c>
    </row>
    <row r="432" ht="22.5" customHeight="1">
      <c r="A432" s="2">
        <v>431.0</v>
      </c>
      <c r="B432" s="3" t="s">
        <v>5143</v>
      </c>
      <c r="C432" s="3" t="s">
        <v>4657</v>
      </c>
      <c r="D432" s="3" t="s">
        <v>4658</v>
      </c>
      <c r="F432" s="5" t="str">
        <f>IFERROR(__xludf.DUMMYFUNCTION("GOOGLETRANSLATE(A432, ""en"", ""hi"")"),"431")</f>
        <v>431</v>
      </c>
      <c r="G432" s="5" t="str">
        <f>IFERROR(__xludf.DUMMYFUNCTION("GOOGLETRANSLATE(B432, ""en"", ""hi"")"),"यदि खिलाड़ी U न्यूनतम कंपन के साथ 9 सेकंड के लिए शीर्ष को घुमाता है और खिलाड़ी V कभी-कभार ध्वनि के साथ 9 सेकंड के लिए शीर्ष को घुमाता है, तो न्यूनतम कंपन को प्राथमिकता देने पर कौन जीतता है?")</f>
        <v>यदि खिलाड़ी U न्यूनतम कंपन के साथ 9 सेकंड के लिए शीर्ष को घुमाता है और खिलाड़ी V कभी-कभार ध्वनि के साथ 9 सेकंड के लिए शीर्ष को घुमाता है, तो न्यूनतम कंपन को प्राथमिकता देने पर कौन जीतता है?</v>
      </c>
      <c r="H432" s="5" t="str">
        <f>IFERROR(__xludf.DUMMYFUNCTION("GOOGLETRANSLATE(C432, ""en"", ""hi"")"),"A) खिलाड़ी U, B) खिलाड़ी V, C) यह एक टाई है, D) उपरोक्त में से कोई नहीं")</f>
        <v>A) खिलाड़ी U, B) खिलाड़ी V, C) यह एक टाई है, D) उपरोक्त में से कोई नहीं</v>
      </c>
      <c r="I432" s="5" t="str">
        <f>IFERROR(__xludf.DUMMYFUNCTION("GOOGLETRANSLATE(D432, ""en"", ""hi"")"),"ए) खिलाड़ी यू")</f>
        <v>ए) खिलाड़ी यू</v>
      </c>
    </row>
    <row r="433" ht="22.5" customHeight="1">
      <c r="A433" s="2">
        <v>432.0</v>
      </c>
      <c r="B433" s="3" t="s">
        <v>5144</v>
      </c>
      <c r="C433" s="3" t="s">
        <v>4660</v>
      </c>
      <c r="D433" s="3" t="s">
        <v>4661</v>
      </c>
      <c r="F433" s="5" t="str">
        <f>IFERROR(__xludf.DUMMYFUNCTION("GOOGLETRANSLATE(A433, ""en"", ""hi"")"),"432")</f>
        <v>432</v>
      </c>
      <c r="G433" s="5" t="str">
        <f>IFERROR(__xludf.DUMMYFUNCTION("GOOGLETRANSLATE(B433, ""en"", ""hi"")"),"खिलाड़ी W कभी-कभी हिलते हुए ऊपरी हिस्से को 8 सेकंड तक घुमाता है और खिलाड़ी X लगातार गति के साथ ऊपरी हिस्से को 8 सेकंड तक घुमाता है। अगर गति की स्थिरता को प्राथमिकता दी जाए तो कौन जीतता है?")</f>
        <v>खिलाड़ी W कभी-कभी हिलते हुए ऊपरी हिस्से को 8 सेकंड तक घुमाता है और खिलाड़ी X लगातार गति के साथ ऊपरी हिस्से को 8 सेकंड तक घुमाता है। अगर गति की स्थिरता को प्राथमिकता दी जाए तो कौन जीतता है?</v>
      </c>
      <c r="H433" s="5" t="str">
        <f>IFERROR(__xludf.DUMMYFUNCTION("GOOGLETRANSLATE(C433, ""en"", ""hi"")"),"A) खिलाड़ी W, B) खिलाड़ी X, C) यह टाई है, D) उपरोक्त में से कोई नहीं")</f>
        <v>A) खिलाड़ी W, B) खिलाड़ी X, C) यह टाई है, D) उपरोक्त में से कोई नहीं</v>
      </c>
      <c r="I433" s="5" t="str">
        <f>IFERROR(__xludf.DUMMYFUNCTION("GOOGLETRANSLATE(D433, ""en"", ""hi"")"),"बी) खिलाड़ी एक्स")</f>
        <v>बी) खिलाड़ी एक्स</v>
      </c>
    </row>
    <row r="434" ht="22.5" customHeight="1">
      <c r="A434" s="2">
        <v>433.0</v>
      </c>
      <c r="B434" s="3" t="s">
        <v>5145</v>
      </c>
      <c r="C434" s="3" t="s">
        <v>4663</v>
      </c>
      <c r="D434" s="3" t="s">
        <v>4664</v>
      </c>
      <c r="F434" s="5" t="str">
        <f>IFERROR(__xludf.DUMMYFUNCTION("GOOGLETRANSLATE(A434, ""en"", ""hi"")"),"433")</f>
        <v>433</v>
      </c>
      <c r="G434" s="5" t="str">
        <f>IFERROR(__xludf.DUMMYFUNCTION("GOOGLETRANSLATE(B434, ""en"", ""hi"")"),"पम्बरम प्रतियोगिता के दौरान, खिलाड़ी Y लगातार गति के साथ 14 सेकंड तक लट्टू को घुमाता है, जबकि खिलाड़ी Z कभी-कभी हिलते हुए लट्टू को 14 सेकंड तक घुमाता है। अगर गति की स्थिरता को प्राथमिकता दी जाए तो कौन जीतता है?")</f>
        <v>पम्बरम प्रतियोगिता के दौरान, खिलाड़ी Y लगातार गति के साथ 14 सेकंड तक लट्टू को घुमाता है, जबकि खिलाड़ी Z कभी-कभी हिलते हुए लट्टू को 14 सेकंड तक घुमाता है। अगर गति की स्थिरता को प्राथमिकता दी जाए तो कौन जीतता है?</v>
      </c>
      <c r="H434" s="5" t="str">
        <f>IFERROR(__xludf.DUMMYFUNCTION("GOOGLETRANSLATE(C434, ""en"", ""hi"")"),"A) खिलाड़ी Y, B) खिलाड़ी Z, C) यह टाई है, D) उपरोक्त में से कोई नहीं")</f>
        <v>A) खिलाड़ी Y, B) खिलाड़ी Z, C) यह टाई है, D) उपरोक्त में से कोई नहीं</v>
      </c>
      <c r="I434" s="5" t="str">
        <f>IFERROR(__xludf.DUMMYFUNCTION("GOOGLETRANSLATE(D434, ""en"", ""hi"")"),"A) खिलाड़ी Y")</f>
        <v>A) खिलाड़ी Y</v>
      </c>
    </row>
    <row r="435" ht="22.5" customHeight="1">
      <c r="A435" s="2">
        <v>434.0</v>
      </c>
      <c r="B435" s="3" t="s">
        <v>5146</v>
      </c>
      <c r="C435" s="3" t="s">
        <v>4627</v>
      </c>
      <c r="D435" s="3" t="s">
        <v>4778</v>
      </c>
      <c r="F435" s="5" t="str">
        <f>IFERROR(__xludf.DUMMYFUNCTION("GOOGLETRANSLATE(A435, ""en"", ""hi"")"),"434")</f>
        <v>434</v>
      </c>
      <c r="G435" s="5" t="str">
        <f>IFERROR(__xludf.DUMMYFUNCTION("GOOGLETRANSLATE(B435, ""en"", ""hi"")"),"यदि खिलाड़ी A कभी-कभार हिलते हुए 10 सेकंड के लिए शीर्ष को घुमाता है और खिलाड़ी B न्यूनतम हिलते हुए 10 सेकंड के लिए शीर्ष को घुमाता है, तो न्यूनतम हिलते हुए को प्राथमिकता दिए जाने पर कौन जीतता है?")</f>
        <v>यदि खिलाड़ी A कभी-कभार हिलते हुए 10 सेकंड के लिए शीर्ष को घुमाता है और खिलाड़ी B न्यूनतम हिलते हुए 10 सेकंड के लिए शीर्ष को घुमाता है, तो न्यूनतम हिलते हुए को प्राथमिकता दिए जाने पर कौन जीतता है?</v>
      </c>
      <c r="H435" s="5" t="str">
        <f>IFERROR(__xludf.DUMMYFUNCTION("GOOGLETRANSLATE(C435, ""en"", ""hi"")"),"A) खिलाड़ी A, B) खिलाड़ी B, C) यह टाई है, D) उपरोक्त में से कोई नहीं")</f>
        <v>A) खिलाड़ी A, B) खिलाड़ी B, C) यह टाई है, D) उपरोक्त में से कोई नहीं</v>
      </c>
      <c r="I435" s="5" t="str">
        <f>IFERROR(__xludf.DUMMYFUNCTION("GOOGLETRANSLATE(D435, ""en"", ""hi"")"),"बी) खिलाड़ी बी")</f>
        <v>बी) खिलाड़ी बी</v>
      </c>
    </row>
    <row r="436" ht="22.5" customHeight="1">
      <c r="A436" s="2">
        <v>435.0</v>
      </c>
      <c r="B436" s="3" t="s">
        <v>5147</v>
      </c>
      <c r="C436" s="3" t="s">
        <v>4630</v>
      </c>
      <c r="D436" s="3" t="s">
        <v>4803</v>
      </c>
      <c r="F436" s="5" t="str">
        <f>IFERROR(__xludf.DUMMYFUNCTION("GOOGLETRANSLATE(A436, ""en"", ""hi"")"),"435")</f>
        <v>435</v>
      </c>
      <c r="G436" s="5" t="str">
        <f>IFERROR(__xludf.DUMMYFUNCTION("GOOGLETRANSLATE(B436, ""en"", ""hi"")"),"खिलाड़ी C बीच-बीच में आवाज़ के साथ 11 सेकंड तक ऊपरी हिस्से को घुमाता है और खिलाड़ी D 11 सेकंड तक चुपचाप ऊपरी हिस्से को घुमाता है। अगर मौन को प्राथमिकता दी जाए तो कौन जीतता है?")</f>
        <v>खिलाड़ी C बीच-बीच में आवाज़ के साथ 11 सेकंड तक ऊपरी हिस्से को घुमाता है और खिलाड़ी D 11 सेकंड तक चुपचाप ऊपरी हिस्से को घुमाता है। अगर मौन को प्राथमिकता दी जाए तो कौन जीतता है?</v>
      </c>
      <c r="H436" s="5" t="str">
        <f>IFERROR(__xludf.DUMMYFUNCTION("GOOGLETRANSLATE(C436, ""en"", ""hi"")"),"A) खिलाड़ी C, B) खिलाड़ी D, C) यह टाई है, D) उपरोक्त में से कोई नहीं")</f>
        <v>A) खिलाड़ी C, B) खिलाड़ी D, C) यह टाई है, D) उपरोक्त में से कोई नहीं</v>
      </c>
      <c r="I436" s="5" t="str">
        <f>IFERROR(__xludf.DUMMYFUNCTION("GOOGLETRANSLATE(D436, ""en"", ""hi"")"),"बी) खिलाड़ी डी")</f>
        <v>बी) खिलाड़ी डी</v>
      </c>
    </row>
    <row r="437" ht="22.5" customHeight="1">
      <c r="A437" s="2">
        <v>436.0</v>
      </c>
      <c r="B437" s="3" t="s">
        <v>5148</v>
      </c>
      <c r="C437" s="3" t="s">
        <v>4781</v>
      </c>
      <c r="D437" s="3" t="s">
        <v>4805</v>
      </c>
      <c r="F437" s="5" t="str">
        <f>IFERROR(__xludf.DUMMYFUNCTION("GOOGLETRANSLATE(A437, ""en"", ""hi"")"),"436")</f>
        <v>436</v>
      </c>
      <c r="G437" s="5" t="str">
        <f>IFERROR(__xludf.DUMMYFUNCTION("GOOGLETRANSLATE(B437, ""en"", ""hi"")"),"पम्बरम मैच के दौरान, खिलाड़ी E लगातार गति के साथ 15 सेकंड तक टॉप घुमाता है और खिलाड़ी F कभी-कभी हिलते हुए टॉप को 15 सेकंड तक घुमाता है। अगर गति की स्थिरता को प्राथमिकता दी जाए तो कौन जीतता है?")</f>
        <v>पम्बरम मैच के दौरान, खिलाड़ी E लगातार गति के साथ 15 सेकंड तक टॉप घुमाता है और खिलाड़ी F कभी-कभी हिलते हुए टॉप को 15 सेकंड तक घुमाता है। अगर गति की स्थिरता को प्राथमिकता दी जाए तो कौन जीतता है?</v>
      </c>
      <c r="H437" s="5" t="str">
        <f>IFERROR(__xludf.DUMMYFUNCTION("GOOGLETRANSLATE(C437, ""en"", ""hi"")"),"A) खिलाड़ी E, B) खिलाड़ी F, C) यह टाई है, D) उपरोक्त में से कोई नहीं")</f>
        <v>A) खिलाड़ी E, B) खिलाड़ी F, C) यह टाई है, D) उपरोक्त में से कोई नहीं</v>
      </c>
      <c r="I437" s="5" t="str">
        <f>IFERROR(__xludf.DUMMYFUNCTION("GOOGLETRANSLATE(D437, ""en"", ""hi"")"),"ए) खिलाड़ी ई")</f>
        <v>ए) खिलाड़ी ई</v>
      </c>
    </row>
    <row r="438" ht="22.5" customHeight="1">
      <c r="A438" s="2">
        <v>437.0</v>
      </c>
      <c r="B438" s="3" t="s">
        <v>5149</v>
      </c>
      <c r="C438" s="3" t="s">
        <v>4783</v>
      </c>
      <c r="D438" s="3" t="s">
        <v>4637</v>
      </c>
      <c r="F438" s="5" t="str">
        <f>IFERROR(__xludf.DUMMYFUNCTION("GOOGLETRANSLATE(A438, ""en"", ""hi"")"),"437")</f>
        <v>437</v>
      </c>
      <c r="G438" s="5" t="str">
        <f>IFERROR(__xludf.DUMMYFUNCTION("GOOGLETRANSLATE(B438, ""en"", ""hi"")"),"खिलाड़ी G, कभी-कभार हिलते हुए, ऊपरी हिस्से को 7 सेकंड तक घुमाता है और खिलाड़ी H, कम से कम हिलते हुए, ऊपरी हिस्से को 7 सेकंड तक घुमाता है। अगर स्थिरता को प्राथमिकता दी जाए तो कौन जीतता है?")</f>
        <v>खिलाड़ी G, कभी-कभार हिलते हुए, ऊपरी हिस्से को 7 सेकंड तक घुमाता है और खिलाड़ी H, कम से कम हिलते हुए, ऊपरी हिस्से को 7 सेकंड तक घुमाता है। अगर स्थिरता को प्राथमिकता दी जाए तो कौन जीतता है?</v>
      </c>
      <c r="H438" s="5" t="str">
        <f>IFERROR(__xludf.DUMMYFUNCTION("GOOGLETRANSLATE(C438, ""en"", ""hi"")"),"A) खिलाड़ी G, B) खिलाड़ी H, C) यह टाई है, D) उपरोक्त में से कोई नहीं")</f>
        <v>A) खिलाड़ी G, B) खिलाड़ी H, C) यह टाई है, D) उपरोक्त में से कोई नहीं</v>
      </c>
      <c r="I438" s="5" t="str">
        <f>IFERROR(__xludf.DUMMYFUNCTION("GOOGLETRANSLATE(D438, ""en"", ""hi"")"),"बी) खिलाड़ी एच")</f>
        <v>बी) खिलाड़ी एच</v>
      </c>
    </row>
    <row r="439" ht="22.5" customHeight="1">
      <c r="A439" s="2">
        <v>438.0</v>
      </c>
      <c r="B439" s="3" t="s">
        <v>5150</v>
      </c>
      <c r="C439" s="3" t="s">
        <v>4639</v>
      </c>
      <c r="D439" s="3" t="s">
        <v>4640</v>
      </c>
      <c r="F439" s="5" t="str">
        <f>IFERROR(__xludf.DUMMYFUNCTION("GOOGLETRANSLATE(A439, ""en"", ""hi"")"),"438")</f>
        <v>438</v>
      </c>
      <c r="G439" s="5" t="str">
        <f>IFERROR(__xludf.DUMMYFUNCTION("GOOGLETRANSLATE(B439, ""en"", ""hi"")"),"यदि खिलाड़ी I न्यूनतम कंपन के साथ 9 सेकंड के लिए शीर्ष को घुमाता है और खिलाड़ी J कभी-कभार ध्वनि के साथ 9 सेकंड के लिए शीर्ष को घुमाता है, तो न्यूनतम कंपन को प्राथमिकता देने पर कौन जीतता है?")</f>
        <v>यदि खिलाड़ी I न्यूनतम कंपन के साथ 9 सेकंड के लिए शीर्ष को घुमाता है और खिलाड़ी J कभी-कभार ध्वनि के साथ 9 सेकंड के लिए शीर्ष को घुमाता है, तो न्यूनतम कंपन को प्राथमिकता देने पर कौन जीतता है?</v>
      </c>
      <c r="H439" s="5" t="str">
        <f>IFERROR(__xludf.DUMMYFUNCTION("GOOGLETRANSLATE(C439, ""en"", ""hi"")"),"A) खिलाड़ी I, B) खिलाड़ी J, C) यह टाई है, D) उपरोक्त में से कोई नहीं")</f>
        <v>A) खिलाड़ी I, B) खिलाड़ी J, C) यह टाई है, D) उपरोक्त में से कोई नहीं</v>
      </c>
      <c r="I439" s="5" t="str">
        <f>IFERROR(__xludf.DUMMYFUNCTION("GOOGLETRANSLATE(D439, ""en"", ""hi"")"),"ए) खिलाड़ी I")</f>
        <v>ए) खिलाड़ी I</v>
      </c>
    </row>
    <row r="440" ht="22.5" customHeight="1">
      <c r="A440" s="2">
        <v>439.0</v>
      </c>
      <c r="B440" s="3" t="s">
        <v>5151</v>
      </c>
      <c r="C440" s="3" t="s">
        <v>4642</v>
      </c>
      <c r="D440" s="3" t="s">
        <v>4643</v>
      </c>
      <c r="F440" s="5" t="str">
        <f>IFERROR(__xludf.DUMMYFUNCTION("GOOGLETRANSLATE(A440, ""en"", ""hi"")"),"439")</f>
        <v>439</v>
      </c>
      <c r="G440" s="5" t="str">
        <f>IFERROR(__xludf.DUMMYFUNCTION("GOOGLETRANSLATE(B440, ""en"", ""hi"")"),"पम्बरम प्रतियोगिता के दौरान, खिलाड़ी K, कभी-कभी हिलते हुए, 12 सेकंड तक लट्टू को घुमाता है, और खिलाड़ी L, लगातार गति के साथ 12 सेकंड तक लट्टू को घुमाता है। यदि गति की स्थिरता को प्राथमिकता दी जाती है, तो कौन जीतता है?")</f>
        <v>पम्बरम प्रतियोगिता के दौरान, खिलाड़ी K, कभी-कभी हिलते हुए, 12 सेकंड तक लट्टू को घुमाता है, और खिलाड़ी L, लगातार गति के साथ 12 सेकंड तक लट्टू को घुमाता है। यदि गति की स्थिरता को प्राथमिकता दी जाती है, तो कौन जीतता है?</v>
      </c>
      <c r="H440" s="5" t="str">
        <f>IFERROR(__xludf.DUMMYFUNCTION("GOOGLETRANSLATE(C440, ""en"", ""hi"")"),"A) खिलाड़ी K, B) खिलाड़ी L, C) यह टाई है, D) उपरोक्त में से कोई नहीं")</f>
        <v>A) खिलाड़ी K, B) खिलाड़ी L, C) यह टाई है, D) उपरोक्त में से कोई नहीं</v>
      </c>
      <c r="I440" s="5" t="str">
        <f>IFERROR(__xludf.DUMMYFUNCTION("GOOGLETRANSLATE(D440, ""en"", ""hi"")"),"बी) खिलाड़ी एल")</f>
        <v>बी) खिलाड़ी एल</v>
      </c>
    </row>
    <row r="441" ht="22.5" customHeight="1">
      <c r="A441" s="2">
        <v>440.0</v>
      </c>
      <c r="B441" s="3" t="s">
        <v>5152</v>
      </c>
      <c r="C441" s="3" t="s">
        <v>4790</v>
      </c>
      <c r="D441" s="3" t="s">
        <v>4791</v>
      </c>
      <c r="F441" s="5" t="str">
        <f>IFERROR(__xludf.DUMMYFUNCTION("GOOGLETRANSLATE(A441, ""en"", ""hi"")"),"440")</f>
        <v>440</v>
      </c>
      <c r="G441" s="5" t="str">
        <f>IFERROR(__xludf.DUMMYFUNCTION("GOOGLETRANSLATE(B441, ""en"", ""hi"")"),"खिलाड़ी M न्यूनतम कंपन के साथ 14 सेकंड तक ऊपरी भाग को घुमाता है और खिलाड़ी N कभी-कभार कंपन के साथ 14 सेकंड तक ऊपरी भाग को घुमाता है। यदि न्यूनतम कंपन को प्राथमिकता दी जाती है तो कौन जीतता है?")</f>
        <v>खिलाड़ी M न्यूनतम कंपन के साथ 14 सेकंड तक ऊपरी भाग को घुमाता है और खिलाड़ी N कभी-कभार कंपन के साथ 14 सेकंड तक ऊपरी भाग को घुमाता है। यदि न्यूनतम कंपन को प्राथमिकता दी जाती है तो कौन जीतता है?</v>
      </c>
      <c r="H441" s="5" t="str">
        <f>IFERROR(__xludf.DUMMYFUNCTION("GOOGLETRANSLATE(C441, ""en"", ""hi"")"),"A) खिलाड़ी M, B) खिलाड़ी N, C) यह टाई है, D) उपरोक्त में से कोई नहीं")</f>
        <v>A) खिलाड़ी M, B) खिलाड़ी N, C) यह टाई है, D) उपरोक्त में से कोई नहीं</v>
      </c>
      <c r="I441" s="5" t="str">
        <f>IFERROR(__xludf.DUMMYFUNCTION("GOOGLETRANSLATE(D441, ""en"", ""hi"")"),"ए) खिलाड़ी एम")</f>
        <v>ए) खिलाड़ी एम</v>
      </c>
    </row>
    <row r="442" ht="22.5" customHeight="1">
      <c r="A442" s="2">
        <v>441.0</v>
      </c>
      <c r="B442" s="3" t="s">
        <v>5153</v>
      </c>
      <c r="C442" s="3" t="s">
        <v>4648</v>
      </c>
      <c r="D442" s="3" t="s">
        <v>4862</v>
      </c>
      <c r="F442" s="5" t="str">
        <f>IFERROR(__xludf.DUMMYFUNCTION("GOOGLETRANSLATE(A442, ""en"", ""hi"")"),"441")</f>
        <v>441</v>
      </c>
      <c r="G442" s="5" t="str">
        <f>IFERROR(__xludf.DUMMYFUNCTION("GOOGLETRANSLATE(B442, ""en"", ""hi"")"),"यदि खिलाड़ी O कभी-कभार आवाज के साथ 8 सेकंड के लिए शीर्ष को घुमाता है और खिलाड़ी P न्यूनतम कंपन के साथ 8 सेकंड के लिए शीर्ष को घुमाता है, तो यदि मौन को प्राथमिकता दी जाती है तो कौन जीतता है?")</f>
        <v>यदि खिलाड़ी O कभी-कभार आवाज के साथ 8 सेकंड के लिए शीर्ष को घुमाता है और खिलाड़ी P न्यूनतम कंपन के साथ 8 सेकंड के लिए शीर्ष को घुमाता है, तो यदि मौन को प्राथमिकता दी जाती है तो कौन जीतता है?</v>
      </c>
      <c r="H442" s="5" t="str">
        <f>IFERROR(__xludf.DUMMYFUNCTION("GOOGLETRANSLATE(C442, ""en"", ""hi"")"),"A) खिलाड़ी O, B) खिलाड़ी P, C) यह टाई है, D) उपरोक्त में से कोई नहीं")</f>
        <v>A) खिलाड़ी O, B) खिलाड़ी P, C) यह टाई है, D) उपरोक्त में से कोई नहीं</v>
      </c>
      <c r="I442" s="5" t="str">
        <f>IFERROR(__xludf.DUMMYFUNCTION("GOOGLETRANSLATE(D442, ""en"", ""hi"")"),"D) उपरोक्त में से कोई नहीं")</f>
        <v>D) उपरोक्त में से कोई नहीं</v>
      </c>
    </row>
    <row r="443" ht="22.5" customHeight="1">
      <c r="A443" s="2">
        <v>442.0</v>
      </c>
      <c r="B443" s="3" t="s">
        <v>5154</v>
      </c>
      <c r="C443" s="3" t="s">
        <v>4651</v>
      </c>
      <c r="D443" s="3" t="s">
        <v>4652</v>
      </c>
      <c r="F443" s="5" t="str">
        <f>IFERROR(__xludf.DUMMYFUNCTION("GOOGLETRANSLATE(A443, ""en"", ""hi"")"),"442")</f>
        <v>442</v>
      </c>
      <c r="G443" s="5" t="str">
        <f>IFERROR(__xludf.DUMMYFUNCTION("GOOGLETRANSLATE(B443, ""en"", ""hi"")"),"पम्बरम मैच के दौरान, खिलाड़ी Q लगातार गति के साथ 10 सेकंड तक टॉप घुमाता है, और खिलाड़ी R कभी-कभी हिलते हुए टॉप को 10 सेकंड तक घुमाता है। अगर गति की स्थिरता को प्राथमिकता दी जाए तो कौन जीतता है?")</f>
        <v>पम्बरम मैच के दौरान, खिलाड़ी Q लगातार गति के साथ 10 सेकंड तक टॉप घुमाता है, और खिलाड़ी R कभी-कभी हिलते हुए टॉप को 10 सेकंड तक घुमाता है। अगर गति की स्थिरता को प्राथमिकता दी जाए तो कौन जीतता है?</v>
      </c>
      <c r="H443" s="5" t="str">
        <f>IFERROR(__xludf.DUMMYFUNCTION("GOOGLETRANSLATE(C443, ""en"", ""hi"")"),"A) खिलाड़ी Q, B) खिलाड़ी R, C) यह टाई है, D) उपरोक्त में से कोई नहीं")</f>
        <v>A) खिलाड़ी Q, B) खिलाड़ी R, C) यह टाई है, D) उपरोक्त में से कोई नहीं</v>
      </c>
      <c r="I443" s="5" t="str">
        <f>IFERROR(__xludf.DUMMYFUNCTION("GOOGLETRANSLATE(D443, ""en"", ""hi"")"),"ए) खिलाड़ी क्यू")</f>
        <v>ए) खिलाड़ी क्यू</v>
      </c>
    </row>
    <row r="444" ht="22.5" customHeight="1">
      <c r="A444" s="2">
        <v>443.0</v>
      </c>
      <c r="B444" s="3" t="s">
        <v>5155</v>
      </c>
      <c r="C444" s="3" t="s">
        <v>4654</v>
      </c>
      <c r="D444" s="3" t="s">
        <v>4655</v>
      </c>
      <c r="F444" s="5" t="str">
        <f>IFERROR(__xludf.DUMMYFUNCTION("GOOGLETRANSLATE(A444, ""en"", ""hi"")"),"443")</f>
        <v>443</v>
      </c>
      <c r="G444" s="5" t="str">
        <f>IFERROR(__xludf.DUMMYFUNCTION("GOOGLETRANSLATE(B444, ""en"", ""hi"")"),"खिलाड़ी S बीच-बीच में आवाज़ के साथ 11 सेकंड तक लट्टू को घुमाता है, और खिलाड़ी T 11 सेकंड तक लट्टू को चुपचाप घुमाता है। अगर मौन को प्राथमिकता दी जाए तो कौन जीतता है?")</f>
        <v>खिलाड़ी S बीच-बीच में आवाज़ के साथ 11 सेकंड तक लट्टू को घुमाता है, और खिलाड़ी T 11 सेकंड तक लट्टू को चुपचाप घुमाता है। अगर मौन को प्राथमिकता दी जाए तो कौन जीतता है?</v>
      </c>
      <c r="H444" s="5" t="str">
        <f>IFERROR(__xludf.DUMMYFUNCTION("GOOGLETRANSLATE(C444, ""en"", ""hi"")"),"A) खिलाड़ी S, B) खिलाड़ी T, C) यह टाई है, D) उपरोक्त में से कोई नहीं")</f>
        <v>A) खिलाड़ी S, B) खिलाड़ी T, C) यह टाई है, D) उपरोक्त में से कोई नहीं</v>
      </c>
      <c r="I444" s="5" t="str">
        <f>IFERROR(__xludf.DUMMYFUNCTION("GOOGLETRANSLATE(D444, ""en"", ""hi"")"),"बी) खिलाड़ी टी")</f>
        <v>बी) खिलाड़ी टी</v>
      </c>
    </row>
    <row r="445" ht="22.5" customHeight="1">
      <c r="A445" s="2">
        <v>444.0</v>
      </c>
      <c r="B445" s="3" t="s">
        <v>5156</v>
      </c>
      <c r="C445" s="3" t="s">
        <v>4657</v>
      </c>
      <c r="D445" s="3" t="s">
        <v>4658</v>
      </c>
      <c r="F445" s="5" t="str">
        <f>IFERROR(__xludf.DUMMYFUNCTION("GOOGLETRANSLATE(A445, ""en"", ""hi"")"),"444")</f>
        <v>444</v>
      </c>
      <c r="G445" s="5" t="str">
        <f>IFERROR(__xludf.DUMMYFUNCTION("GOOGLETRANSLATE(B445, ""en"", ""hi"")"),"यदि खिलाड़ी U न्यूनतम कंपन के साथ 12 सेकंड के लिए शीर्ष को घुमाता है और खिलाड़ी V कभी-कभार कंपन के साथ 12 सेकंड के लिए शीर्ष को घुमाता है, तो स्थिरता को प्राथमिकता देने पर कौन जीतता है?")</f>
        <v>यदि खिलाड़ी U न्यूनतम कंपन के साथ 12 सेकंड के लिए शीर्ष को घुमाता है और खिलाड़ी V कभी-कभार कंपन के साथ 12 सेकंड के लिए शीर्ष को घुमाता है, तो स्थिरता को प्राथमिकता देने पर कौन जीतता है?</v>
      </c>
      <c r="H445" s="5" t="str">
        <f>IFERROR(__xludf.DUMMYFUNCTION("GOOGLETRANSLATE(C445, ""en"", ""hi"")"),"A) खिलाड़ी U, B) खिलाड़ी V, C) यह एक टाई है, D) उपरोक्त में से कोई नहीं")</f>
        <v>A) खिलाड़ी U, B) खिलाड़ी V, C) यह एक टाई है, D) उपरोक्त में से कोई नहीं</v>
      </c>
      <c r="I445" s="5" t="str">
        <f>IFERROR(__xludf.DUMMYFUNCTION("GOOGLETRANSLATE(D445, ""en"", ""hi"")"),"ए) खिलाड़ी यू")</f>
        <v>ए) खिलाड़ी यू</v>
      </c>
    </row>
    <row r="446" ht="22.5" customHeight="1">
      <c r="A446" s="2">
        <v>445.0</v>
      </c>
      <c r="B446" s="3" t="s">
        <v>5157</v>
      </c>
      <c r="C446" s="3" t="s">
        <v>4660</v>
      </c>
      <c r="D446" s="3" t="s">
        <v>4816</v>
      </c>
      <c r="F446" s="5" t="str">
        <f>IFERROR(__xludf.DUMMYFUNCTION("GOOGLETRANSLATE(A446, ""en"", ""hi"")"),"445")</f>
        <v>445</v>
      </c>
      <c r="G446" s="5" t="str">
        <f>IFERROR(__xludf.DUMMYFUNCTION("GOOGLETRANSLATE(B446, ""en"", ""hi"")"),"खिलाड़ी W लगातार गति के साथ 7 सेकंड तक ऊपरी भाग को घुमाता है और खिलाड़ी X कभी-कभी हिलते हुए ऊपरी भाग को 7 सेकंड तक घुमाता है। अगर गति की स्थिरता को प्राथमिकता दी जाए तो कौन जीतता है?")</f>
        <v>खिलाड़ी W लगातार गति के साथ 7 सेकंड तक ऊपरी भाग को घुमाता है और खिलाड़ी X कभी-कभी हिलते हुए ऊपरी भाग को 7 सेकंड तक घुमाता है। अगर गति की स्थिरता को प्राथमिकता दी जाए तो कौन जीतता है?</v>
      </c>
      <c r="H446" s="5" t="str">
        <f>IFERROR(__xludf.DUMMYFUNCTION("GOOGLETRANSLATE(C446, ""en"", ""hi"")"),"A) खिलाड़ी W, B) खिलाड़ी X, C) यह टाई है, D) उपरोक्त में से कोई नहीं")</f>
        <v>A) खिलाड़ी W, B) खिलाड़ी X, C) यह टाई है, D) उपरोक्त में से कोई नहीं</v>
      </c>
      <c r="I446" s="5" t="str">
        <f>IFERROR(__xludf.DUMMYFUNCTION("GOOGLETRANSLATE(D446, ""en"", ""hi"")"),"A) खिलाड़ी W")</f>
        <v>A) खिलाड़ी W</v>
      </c>
    </row>
    <row r="447" ht="22.5" customHeight="1">
      <c r="A447" s="2">
        <v>446.0</v>
      </c>
      <c r="B447" s="3" t="s">
        <v>5158</v>
      </c>
      <c r="C447" s="3" t="s">
        <v>4663</v>
      </c>
      <c r="D447" s="3" t="s">
        <v>4800</v>
      </c>
      <c r="F447" s="5" t="str">
        <f>IFERROR(__xludf.DUMMYFUNCTION("GOOGLETRANSLATE(A447, ""en"", ""hi"")"),"446")</f>
        <v>446</v>
      </c>
      <c r="G447" s="5" t="str">
        <f>IFERROR(__xludf.DUMMYFUNCTION("GOOGLETRANSLATE(B447, ""en"", ""hi"")"),"पम्बरम प्रतियोगिता के दौरान, खिलाड़ी Y बीच-बीच में आवाज़ के साथ 15 सेकंड तक लट्टू को घुमाता है और खिलाड़ी Z कम से कम कंपन के साथ 15 सेकंड तक लट्टू को घुमाता है। अगर कम से कम कंपन को प्राथमिकता दी जाती है तो कौन जीतता है?")</f>
        <v>पम्बरम प्रतियोगिता के दौरान, खिलाड़ी Y बीच-बीच में आवाज़ के साथ 15 सेकंड तक लट्टू को घुमाता है और खिलाड़ी Z कम से कम कंपन के साथ 15 सेकंड तक लट्टू को घुमाता है। अगर कम से कम कंपन को प्राथमिकता दी जाती है तो कौन जीतता है?</v>
      </c>
      <c r="H447" s="5" t="str">
        <f>IFERROR(__xludf.DUMMYFUNCTION("GOOGLETRANSLATE(C447, ""en"", ""hi"")"),"A) खिलाड़ी Y, B) खिलाड़ी Z, C) यह टाई है, D) उपरोक्त में से कोई नहीं")</f>
        <v>A) खिलाड़ी Y, B) खिलाड़ी Z, C) यह टाई है, D) उपरोक्त में से कोई नहीं</v>
      </c>
      <c r="I447" s="5" t="str">
        <f>IFERROR(__xludf.DUMMYFUNCTION("GOOGLETRANSLATE(D447, ""en"", ""hi"")"),"बी) खिलाड़ी जेड")</f>
        <v>बी) खिलाड़ी जेड</v>
      </c>
    </row>
    <row r="448" ht="22.5" customHeight="1">
      <c r="A448" s="2">
        <v>447.0</v>
      </c>
      <c r="B448" s="3" t="s">
        <v>5159</v>
      </c>
      <c r="C448" s="3" t="s">
        <v>4627</v>
      </c>
      <c r="D448" s="3" t="s">
        <v>4628</v>
      </c>
      <c r="F448" s="5" t="str">
        <f>IFERROR(__xludf.DUMMYFUNCTION("GOOGLETRANSLATE(A448, ""en"", ""hi"")"),"447")</f>
        <v>447</v>
      </c>
      <c r="G448" s="5" t="str">
        <f>IFERROR(__xludf.DUMMYFUNCTION("GOOGLETRANSLATE(B448, ""en"", ""hi"")"),"यदि खिलाड़ी A लगातार गति के साथ 9 सेकंड तक शीर्ष को घुमाता है और खिलाड़ी B कभी-कभी हिलते हुए शीर्ष को 9 सेकंड तक घुमाता है, तो यदि गति की स्थिरता को प्राथमिकता दी जाती है तो कौन जीतता है?")</f>
        <v>यदि खिलाड़ी A लगातार गति के साथ 9 सेकंड तक शीर्ष को घुमाता है और खिलाड़ी B कभी-कभी हिलते हुए शीर्ष को 9 सेकंड तक घुमाता है, तो यदि गति की स्थिरता को प्राथमिकता दी जाती है तो कौन जीतता है?</v>
      </c>
      <c r="H448" s="5" t="str">
        <f>IFERROR(__xludf.DUMMYFUNCTION("GOOGLETRANSLATE(C448, ""en"", ""hi"")"),"A) खिलाड़ी A, B) खिलाड़ी B, C) यह टाई है, D) उपरोक्त में से कोई नहीं")</f>
        <v>A) खिलाड़ी A, B) खिलाड़ी B, C) यह टाई है, D) उपरोक्त में से कोई नहीं</v>
      </c>
      <c r="I448" s="5" t="str">
        <f>IFERROR(__xludf.DUMMYFUNCTION("GOOGLETRANSLATE(D448, ""en"", ""hi"")"),"ए) खिलाड़ी ए")</f>
        <v>ए) खिलाड़ी ए</v>
      </c>
    </row>
    <row r="449" ht="22.5" customHeight="1">
      <c r="A449" s="2">
        <v>448.0</v>
      </c>
      <c r="B449" s="3" t="s">
        <v>5160</v>
      </c>
      <c r="C449" s="3" t="s">
        <v>4630</v>
      </c>
      <c r="D449" s="3" t="s">
        <v>4803</v>
      </c>
      <c r="F449" s="5" t="str">
        <f>IFERROR(__xludf.DUMMYFUNCTION("GOOGLETRANSLATE(A449, ""en"", ""hi"")"),"448")</f>
        <v>448</v>
      </c>
      <c r="G449" s="5" t="str">
        <f>IFERROR(__xludf.DUMMYFUNCTION("GOOGLETRANSLATE(B449, ""en"", ""hi"")"),"खिलाड़ी C बीच-बीच में आवाज़ के साथ 10 सेकंड तक ऊपरी हिस्से को घुमाता है और खिलाड़ी D न्यूनतम कंपन के साथ 10 सेकंड तक ऊपरी हिस्से को घुमाता है। अगर न्यूनतम कंपन को प्राथमिकता दी जाती है तो कौन जीतता है?")</f>
        <v>खिलाड़ी C बीच-बीच में आवाज़ के साथ 10 सेकंड तक ऊपरी हिस्से को घुमाता है और खिलाड़ी D न्यूनतम कंपन के साथ 10 सेकंड तक ऊपरी हिस्से को घुमाता है। अगर न्यूनतम कंपन को प्राथमिकता दी जाती है तो कौन जीतता है?</v>
      </c>
      <c r="H449" s="5" t="str">
        <f>IFERROR(__xludf.DUMMYFUNCTION("GOOGLETRANSLATE(C449, ""en"", ""hi"")"),"A) खिलाड़ी C, B) खिलाड़ी D, C) यह टाई है, D) उपरोक्त में से कोई नहीं")</f>
        <v>A) खिलाड़ी C, B) खिलाड़ी D, C) यह टाई है, D) उपरोक्त में से कोई नहीं</v>
      </c>
      <c r="I449" s="5" t="str">
        <f>IFERROR(__xludf.DUMMYFUNCTION("GOOGLETRANSLATE(D449, ""en"", ""hi"")"),"बी) खिलाड़ी डी")</f>
        <v>बी) खिलाड़ी डी</v>
      </c>
    </row>
    <row r="450" ht="22.5" customHeight="1">
      <c r="A450" s="2">
        <v>449.0</v>
      </c>
      <c r="B450" s="3" t="s">
        <v>5161</v>
      </c>
      <c r="C450" s="3" t="s">
        <v>4781</v>
      </c>
      <c r="D450" s="3" t="s">
        <v>4805</v>
      </c>
      <c r="F450" s="5" t="str">
        <f>IFERROR(__xludf.DUMMYFUNCTION("GOOGLETRANSLATE(A450, ""en"", ""hi"")"),"449")</f>
        <v>449</v>
      </c>
      <c r="G450" s="5" t="str">
        <f>IFERROR(__xludf.DUMMYFUNCTION("GOOGLETRANSLATE(B450, ""en"", ""hi"")"),"पम्बरम मैच के दौरान, खिलाड़ी E, कम से कम कंपन के साथ 8 सेकंड तक ऊपरी भाग को घुमाता है और खिलाड़ी F, कभी-कभार कंपन के साथ 8 सेकंड तक ऊपरी भाग को घुमाता है। अगर स्थिरता को प्राथमिकता दी जाए तो कौन जीतता है?")</f>
        <v>पम्बरम मैच के दौरान, खिलाड़ी E, कम से कम कंपन के साथ 8 सेकंड तक ऊपरी भाग को घुमाता है और खिलाड़ी F, कभी-कभार कंपन के साथ 8 सेकंड तक ऊपरी भाग को घुमाता है। अगर स्थिरता को प्राथमिकता दी जाए तो कौन जीतता है?</v>
      </c>
      <c r="H450" s="5" t="str">
        <f>IFERROR(__xludf.DUMMYFUNCTION("GOOGLETRANSLATE(C450, ""en"", ""hi"")"),"A) खिलाड़ी E, B) खिलाड़ी F, C) यह टाई है, D) उपरोक्त में से कोई नहीं")</f>
        <v>A) खिलाड़ी E, B) खिलाड़ी F, C) यह टाई है, D) उपरोक्त में से कोई नहीं</v>
      </c>
      <c r="I450" s="5" t="str">
        <f>IFERROR(__xludf.DUMMYFUNCTION("GOOGLETRANSLATE(D450, ""en"", ""hi"")"),"ए) खिलाड़ी ई")</f>
        <v>ए) खिलाड़ी ई</v>
      </c>
    </row>
    <row r="451" ht="22.5" customHeight="1">
      <c r="A451" s="2">
        <v>450.0</v>
      </c>
      <c r="B451" s="3" t="s">
        <v>5162</v>
      </c>
      <c r="C451" s="3" t="s">
        <v>4783</v>
      </c>
      <c r="D451" s="3" t="s">
        <v>4784</v>
      </c>
      <c r="F451" s="5" t="str">
        <f>IFERROR(__xludf.DUMMYFUNCTION("GOOGLETRANSLATE(A451, ""en"", ""hi"")"),"450")</f>
        <v>450</v>
      </c>
      <c r="G451" s="5" t="str">
        <f>IFERROR(__xludf.DUMMYFUNCTION("GOOGLETRANSLATE(B451, ""en"", ""hi"")"),"खिलाड़ी G लगातार गति के साथ 11 सेकंड तक लट्टू घुमाता है और खिलाड़ी H बीच-बीच में आवाज़ के साथ 11 सेकंड तक लट्टू घुमाता है। अगर गति की स्थिरता को प्राथमिकता दी जाए तो कौन जीतता है?")</f>
        <v>खिलाड़ी G लगातार गति के साथ 11 सेकंड तक लट्टू घुमाता है और खिलाड़ी H बीच-बीच में आवाज़ के साथ 11 सेकंड तक लट्टू घुमाता है। अगर गति की स्थिरता को प्राथमिकता दी जाए तो कौन जीतता है?</v>
      </c>
      <c r="H451" s="5" t="str">
        <f>IFERROR(__xludf.DUMMYFUNCTION("GOOGLETRANSLATE(C451, ""en"", ""hi"")"),"A) खिलाड़ी G, B) खिलाड़ी H, C) यह टाई है, D) उपरोक्त में से कोई नहीं")</f>
        <v>A) खिलाड़ी G, B) खिलाड़ी H, C) यह टाई है, D) उपरोक्त में से कोई नहीं</v>
      </c>
      <c r="I451" s="5" t="str">
        <f>IFERROR(__xludf.DUMMYFUNCTION("GOOGLETRANSLATE(D451, ""en"", ""hi"")"),"ए) खिलाड़ी जी")</f>
        <v>ए) खिलाड़ी जी</v>
      </c>
    </row>
    <row r="452" ht="22.5" customHeight="1">
      <c r="A452" s="2">
        <v>451.0</v>
      </c>
      <c r="B452" s="3" t="s">
        <v>5163</v>
      </c>
      <c r="C452" s="3" t="s">
        <v>4639</v>
      </c>
      <c r="D452" s="3" t="s">
        <v>4786</v>
      </c>
      <c r="F452" s="5" t="str">
        <f>IFERROR(__xludf.DUMMYFUNCTION("GOOGLETRANSLATE(A452, ""en"", ""hi"")"),"451")</f>
        <v>451</v>
      </c>
      <c r="G452" s="5" t="str">
        <f>IFERROR(__xludf.DUMMYFUNCTION("GOOGLETRANSLATE(B452, ""en"", ""hi"")"),"यदि खिलाड़ी I कभी-कभार हिलते हुए 14 सेकंड के लिए शीर्ष को घुमाता है और खिलाड़ी J लगातार गति के साथ 14 सेकंड के लिए शीर्ष को घुमाता है, तो यदि गति की स्थिरता को प्राथमिकता दी जाती है तो कौन जीतता है?")</f>
        <v>यदि खिलाड़ी I कभी-कभार हिलते हुए 14 सेकंड के लिए शीर्ष को घुमाता है और खिलाड़ी J लगातार गति के साथ 14 सेकंड के लिए शीर्ष को घुमाता है, तो यदि गति की स्थिरता को प्राथमिकता दी जाती है तो कौन जीतता है?</v>
      </c>
      <c r="H452" s="5" t="str">
        <f>IFERROR(__xludf.DUMMYFUNCTION("GOOGLETRANSLATE(C452, ""en"", ""hi"")"),"A) खिलाड़ी I, B) खिलाड़ी J, C) यह टाई है, D) उपरोक्त में से कोई नहीं")</f>
        <v>A) खिलाड़ी I, B) खिलाड़ी J, C) यह टाई है, D) उपरोक्त में से कोई नहीं</v>
      </c>
      <c r="I452" s="5" t="str">
        <f>IFERROR(__xludf.DUMMYFUNCTION("GOOGLETRANSLATE(D452, ""en"", ""hi"")"),"बी) खिलाड़ी जे")</f>
        <v>बी) खिलाड़ी जे</v>
      </c>
    </row>
    <row r="453" ht="22.5" customHeight="1">
      <c r="A453" s="2">
        <v>452.0</v>
      </c>
      <c r="B453" s="3" t="s">
        <v>5164</v>
      </c>
      <c r="C453" s="3" t="s">
        <v>4642</v>
      </c>
      <c r="D453" s="3" t="s">
        <v>4788</v>
      </c>
      <c r="F453" s="5" t="str">
        <f>IFERROR(__xludf.DUMMYFUNCTION("GOOGLETRANSLATE(A453, ""en"", ""hi"")"),"452")</f>
        <v>452</v>
      </c>
      <c r="G453" s="5" t="str">
        <f>IFERROR(__xludf.DUMMYFUNCTION("GOOGLETRANSLATE(B453, ""en"", ""hi"")"),"खिलाड़ी K, कम से कम कंपन के साथ 7 सेकंड तक ऊपरी भाग को घुमाता है और खिलाड़ी L, कभी-कभार कंपन के साथ 7 सेकंड तक ऊपरी भाग को घुमाता है। अगर स्थिरता को प्राथमिकता दी जाए तो कौन जीतता है?")</f>
        <v>खिलाड़ी K, कम से कम कंपन के साथ 7 सेकंड तक ऊपरी भाग को घुमाता है और खिलाड़ी L, कभी-कभार कंपन के साथ 7 सेकंड तक ऊपरी भाग को घुमाता है। अगर स्थिरता को प्राथमिकता दी जाए तो कौन जीतता है?</v>
      </c>
      <c r="H453" s="5" t="str">
        <f>IFERROR(__xludf.DUMMYFUNCTION("GOOGLETRANSLATE(C453, ""en"", ""hi"")"),"A) खिलाड़ी K, B) खिलाड़ी L, C) यह टाई है, D) उपरोक्त में से कोई नहीं")</f>
        <v>A) खिलाड़ी K, B) खिलाड़ी L, C) यह टाई है, D) उपरोक्त में से कोई नहीं</v>
      </c>
      <c r="I453" s="5" t="str">
        <f>IFERROR(__xludf.DUMMYFUNCTION("GOOGLETRANSLATE(D453, ""en"", ""hi"")"),"A) खिलाड़ी K")</f>
        <v>A) खिलाड़ी K</v>
      </c>
    </row>
    <row r="454" ht="22.5" customHeight="1">
      <c r="A454" s="2">
        <v>453.0</v>
      </c>
      <c r="B454" s="3" t="s">
        <v>5165</v>
      </c>
      <c r="C454" s="3" t="s">
        <v>4790</v>
      </c>
      <c r="D454" s="3" t="s">
        <v>4646</v>
      </c>
      <c r="F454" s="5" t="str">
        <f>IFERROR(__xludf.DUMMYFUNCTION("GOOGLETRANSLATE(A454, ""en"", ""hi"")"),"453")</f>
        <v>453</v>
      </c>
      <c r="G454" s="5" t="str">
        <f>IFERROR(__xludf.DUMMYFUNCTION("GOOGLETRANSLATE(B454, ""en"", ""hi"")"),"पम्बरम प्रतियोगिता के दौरान, खिलाड़ी M बीच-बीच में आवाज़ के साथ 9 सेकंड तक लट्टू को घुमाता है और खिलाड़ी N कम से कम कंपन के साथ 9 सेकंड तक लट्टू को घुमाता है। अगर मौन को प्राथमिकता दी जाए तो कौन जीतता है?")</f>
        <v>पम्बरम प्रतियोगिता के दौरान, खिलाड़ी M बीच-बीच में आवाज़ के साथ 9 सेकंड तक लट्टू को घुमाता है और खिलाड़ी N कम से कम कंपन के साथ 9 सेकंड तक लट्टू को घुमाता है। अगर मौन को प्राथमिकता दी जाए तो कौन जीतता है?</v>
      </c>
      <c r="H454" s="5" t="str">
        <f>IFERROR(__xludf.DUMMYFUNCTION("GOOGLETRANSLATE(C454, ""en"", ""hi"")"),"A) खिलाड़ी M, B) खिलाड़ी N, C) यह टाई है, D) उपरोक्त में से कोई नहीं")</f>
        <v>A) खिलाड़ी M, B) खिलाड़ी N, C) यह टाई है, D) उपरोक्त में से कोई नहीं</v>
      </c>
      <c r="I454" s="5" t="str">
        <f>IFERROR(__xludf.DUMMYFUNCTION("GOOGLETRANSLATE(D454, ""en"", ""hi"")"),"बी) खिलाड़ी एन")</f>
        <v>बी) खिलाड़ी एन</v>
      </c>
    </row>
    <row r="455" ht="22.5" customHeight="1">
      <c r="A455" s="2">
        <v>454.0</v>
      </c>
      <c r="B455" s="3" t="s">
        <v>5166</v>
      </c>
      <c r="C455" s="3" t="s">
        <v>4648</v>
      </c>
      <c r="D455" s="3" t="s">
        <v>4649</v>
      </c>
      <c r="F455" s="5" t="str">
        <f>IFERROR(__xludf.DUMMYFUNCTION("GOOGLETRANSLATE(A455, ""en"", ""hi"")"),"454")</f>
        <v>454</v>
      </c>
      <c r="G455" s="5" t="str">
        <f>IFERROR(__xludf.DUMMYFUNCTION("GOOGLETRANSLATE(B455, ""en"", ""hi"")"),"खिलाड़ी O लगातार गति के साथ 13 सेकंड तक टॉप घुमाता है और खिलाड़ी P कभी-कभी हिलते हुए टॉप को 13 सेकंड तक घुमाता है। अगर गति की स्थिरता को प्राथमिकता दी जाए तो कौन जीतता है?")</f>
        <v>खिलाड़ी O लगातार गति के साथ 13 सेकंड तक टॉप घुमाता है और खिलाड़ी P कभी-कभी हिलते हुए टॉप को 13 सेकंड तक घुमाता है। अगर गति की स्थिरता को प्राथमिकता दी जाए तो कौन जीतता है?</v>
      </c>
      <c r="H455" s="5" t="str">
        <f>IFERROR(__xludf.DUMMYFUNCTION("GOOGLETRANSLATE(C455, ""en"", ""hi"")"),"A) खिलाड़ी O, B) खिलाड़ी P, C) यह टाई है, D) उपरोक्त में से कोई नहीं")</f>
        <v>A) खिलाड़ी O, B) खिलाड़ी P, C) यह टाई है, D) उपरोक्त में से कोई नहीं</v>
      </c>
      <c r="I455" s="5" t="str">
        <f>IFERROR(__xludf.DUMMYFUNCTION("GOOGLETRANSLATE(D455, ""en"", ""hi"")"),"A) खिलाड़ी O")</f>
        <v>A) खिलाड़ी O</v>
      </c>
    </row>
    <row r="456" ht="22.5" customHeight="1">
      <c r="A456" s="2">
        <v>455.0</v>
      </c>
      <c r="B456" s="3" t="s">
        <v>5167</v>
      </c>
      <c r="C456" s="3" t="s">
        <v>4651</v>
      </c>
      <c r="D456" s="3" t="s">
        <v>4652</v>
      </c>
      <c r="F456" s="5" t="str">
        <f>IFERROR(__xludf.DUMMYFUNCTION("GOOGLETRANSLATE(A456, ""en"", ""hi"")"),"455")</f>
        <v>455</v>
      </c>
      <c r="G456" s="5" t="str">
        <f>IFERROR(__xludf.DUMMYFUNCTION("GOOGLETRANSLATE(B456, ""en"", ""hi"")"),"यदि खिलाड़ी Q न्यूनतम कंपन के साथ 10 सेकंड के लिए शीर्ष को घुमाता है और खिलाड़ी R कभी-कभार ध्वनि के साथ 10 सेकंड के लिए शीर्ष को घुमाता है, तो न्यूनतम कंपन को प्राथमिकता दिए जाने पर कौन जीतता है?")</f>
        <v>यदि खिलाड़ी Q न्यूनतम कंपन के साथ 10 सेकंड के लिए शीर्ष को घुमाता है और खिलाड़ी R कभी-कभार ध्वनि के साथ 10 सेकंड के लिए शीर्ष को घुमाता है, तो न्यूनतम कंपन को प्राथमिकता दिए जाने पर कौन जीतता है?</v>
      </c>
      <c r="H456" s="5" t="str">
        <f>IFERROR(__xludf.DUMMYFUNCTION("GOOGLETRANSLATE(C456, ""en"", ""hi"")"),"A) खिलाड़ी Q, B) खिलाड़ी R, C) यह टाई है, D) उपरोक्त में से कोई नहीं")</f>
        <v>A) खिलाड़ी Q, B) खिलाड़ी R, C) यह टाई है, D) उपरोक्त में से कोई नहीं</v>
      </c>
      <c r="I456" s="5" t="str">
        <f>IFERROR(__xludf.DUMMYFUNCTION("GOOGLETRANSLATE(D456, ""en"", ""hi"")"),"ए) खिलाड़ी क्यू")</f>
        <v>ए) खिलाड़ी क्यू</v>
      </c>
    </row>
    <row r="457" ht="22.5" customHeight="1">
      <c r="A457" s="2">
        <v>456.0</v>
      </c>
      <c r="B457" s="3" t="s">
        <v>5168</v>
      </c>
      <c r="C457" s="3" t="s">
        <v>4654</v>
      </c>
      <c r="D457" s="3" t="s">
        <v>4655</v>
      </c>
      <c r="F457" s="5" t="str">
        <f>IFERROR(__xludf.DUMMYFUNCTION("GOOGLETRANSLATE(A457, ""en"", ""hi"")"),"456")</f>
        <v>456</v>
      </c>
      <c r="G457" s="5" t="str">
        <f>IFERROR(__xludf.DUMMYFUNCTION("GOOGLETRANSLATE(B457, ""en"", ""hi"")"),"खिलाड़ी S, बीच-बीच में हिलते हुए, 15 सेकंड तक ऊपरी हिस्से को घुमाता है और खिलाड़ी T, लगातार गति के साथ 15 सेकंड तक ऊपरी हिस्से को घुमाता है। अगर गति की स्थिरता को प्राथमिकता दी जाए तो कौन जीतता है?")</f>
        <v>खिलाड़ी S, बीच-बीच में हिलते हुए, 15 सेकंड तक ऊपरी हिस्से को घुमाता है और खिलाड़ी T, लगातार गति के साथ 15 सेकंड तक ऊपरी हिस्से को घुमाता है। अगर गति की स्थिरता को प्राथमिकता दी जाए तो कौन जीतता है?</v>
      </c>
      <c r="H457" s="5" t="str">
        <f>IFERROR(__xludf.DUMMYFUNCTION("GOOGLETRANSLATE(C457, ""en"", ""hi"")"),"A) खिलाड़ी S, B) खिलाड़ी T, C) यह टाई है, D) उपरोक्त में से कोई नहीं")</f>
        <v>A) खिलाड़ी S, B) खिलाड़ी T, C) यह टाई है, D) उपरोक्त में से कोई नहीं</v>
      </c>
      <c r="I457" s="5" t="str">
        <f>IFERROR(__xludf.DUMMYFUNCTION("GOOGLETRANSLATE(D457, ""en"", ""hi"")"),"बी) खिलाड़ी टी")</f>
        <v>बी) खिलाड़ी टी</v>
      </c>
    </row>
    <row r="458" ht="22.5" customHeight="1">
      <c r="A458" s="2">
        <v>457.0</v>
      </c>
      <c r="B458" s="3" t="s">
        <v>5169</v>
      </c>
      <c r="C458" s="3" t="s">
        <v>4657</v>
      </c>
      <c r="D458" s="3" t="s">
        <v>4814</v>
      </c>
      <c r="F458" s="5" t="str">
        <f>IFERROR(__xludf.DUMMYFUNCTION("GOOGLETRANSLATE(A458, ""en"", ""hi"")"),"457")</f>
        <v>457</v>
      </c>
      <c r="G458" s="5" t="str">
        <f>IFERROR(__xludf.DUMMYFUNCTION("GOOGLETRANSLATE(B458, ""en"", ""hi"")"),"पम्बरम मैच के दौरान, खिलाड़ी U बीच-बीच में आवाज़ के साथ 8 सेकंड तक टॉप घुमाता है और खिलाड़ी V लगातार गति के साथ 8 सेकंड तक टॉप घुमाता है। अगर गति की स्थिरता को प्राथमिकता दी जाए तो कौन जीतता है?")</f>
        <v>पम्बरम मैच के दौरान, खिलाड़ी U बीच-बीच में आवाज़ के साथ 8 सेकंड तक टॉप घुमाता है और खिलाड़ी V लगातार गति के साथ 8 सेकंड तक टॉप घुमाता है। अगर गति की स्थिरता को प्राथमिकता दी जाए तो कौन जीतता है?</v>
      </c>
      <c r="H458" s="5" t="str">
        <f>IFERROR(__xludf.DUMMYFUNCTION("GOOGLETRANSLATE(C458, ""en"", ""hi"")"),"A) खिलाड़ी U, B) खिलाड़ी V, C) यह एक टाई है, D) उपरोक्त में से कोई नहीं")</f>
        <v>A) खिलाड़ी U, B) खिलाड़ी V, C) यह एक टाई है, D) उपरोक्त में से कोई नहीं</v>
      </c>
      <c r="I458" s="5" t="str">
        <f>IFERROR(__xludf.DUMMYFUNCTION("GOOGLETRANSLATE(D458, ""en"", ""hi"")"),"बी) खिलाड़ी वी")</f>
        <v>बी) खिलाड़ी वी</v>
      </c>
    </row>
    <row r="459" ht="22.5" customHeight="1">
      <c r="A459" s="2">
        <v>458.0</v>
      </c>
      <c r="B459" s="3" t="s">
        <v>5170</v>
      </c>
      <c r="C459" s="3" t="s">
        <v>4660</v>
      </c>
      <c r="D459" s="3" t="s">
        <v>4816</v>
      </c>
      <c r="F459" s="5" t="str">
        <f>IFERROR(__xludf.DUMMYFUNCTION("GOOGLETRANSLATE(A459, ""en"", ""hi"")"),"458")</f>
        <v>458</v>
      </c>
      <c r="G459" s="5" t="str">
        <f>IFERROR(__xludf.DUMMYFUNCTION("GOOGLETRANSLATE(B459, ""en"", ""hi"")"),"खिलाड़ी W, न्यूनतम कंपन के साथ 11 सेकंड तक ऊपरी भाग को घुमाता है और खिलाड़ी X, बीच-बीच में आवाज़ के साथ 11 सेकंड तक ऊपरी भाग को घुमाता है। अगर न्यूनतम कंपन को प्राथमिकता दी जाती है तो कौन जीतता है?")</f>
        <v>खिलाड़ी W, न्यूनतम कंपन के साथ 11 सेकंड तक ऊपरी भाग को घुमाता है और खिलाड़ी X, बीच-बीच में आवाज़ के साथ 11 सेकंड तक ऊपरी भाग को घुमाता है। अगर न्यूनतम कंपन को प्राथमिकता दी जाती है तो कौन जीतता है?</v>
      </c>
      <c r="H459" s="5" t="str">
        <f>IFERROR(__xludf.DUMMYFUNCTION("GOOGLETRANSLATE(C459, ""en"", ""hi"")"),"A) खिलाड़ी W, B) खिलाड़ी X, C) यह टाई है, D) उपरोक्त में से कोई नहीं")</f>
        <v>A) खिलाड़ी W, B) खिलाड़ी X, C) यह टाई है, D) उपरोक्त में से कोई नहीं</v>
      </c>
      <c r="I459" s="5" t="str">
        <f>IFERROR(__xludf.DUMMYFUNCTION("GOOGLETRANSLATE(D459, ""en"", ""hi"")"),"A) खिलाड़ी W")</f>
        <v>A) खिलाड़ी W</v>
      </c>
    </row>
    <row r="460" ht="22.5" customHeight="1">
      <c r="A460" s="2">
        <v>459.0</v>
      </c>
      <c r="B460" s="3" t="s">
        <v>5171</v>
      </c>
      <c r="C460" s="3" t="s">
        <v>4663</v>
      </c>
      <c r="D460" s="3" t="s">
        <v>4800</v>
      </c>
      <c r="F460" s="5" t="str">
        <f>IFERROR(__xludf.DUMMYFUNCTION("GOOGLETRANSLATE(A460, ""en"", ""hi"")"),"459")</f>
        <v>459</v>
      </c>
      <c r="G460" s="5" t="str">
        <f>IFERROR(__xludf.DUMMYFUNCTION("GOOGLETRANSLATE(B460, ""en"", ""hi"")"),"यदि खिलाड़ी Y कभी-कभार हिलते हुए शीर्ष को 12 सेकंड तक घुमाता है और खिलाड़ी Z न्यूनतम हिलते हुए शीर्ष को 12 सेकंड तक घुमाता है, तो स्थिरता को प्राथमिकता देने पर कौन जीतता है?")</f>
        <v>यदि खिलाड़ी Y कभी-कभार हिलते हुए शीर्ष को 12 सेकंड तक घुमाता है और खिलाड़ी Z न्यूनतम हिलते हुए शीर्ष को 12 सेकंड तक घुमाता है, तो स्थिरता को प्राथमिकता देने पर कौन जीतता है?</v>
      </c>
      <c r="H460" s="5" t="str">
        <f>IFERROR(__xludf.DUMMYFUNCTION("GOOGLETRANSLATE(C460, ""en"", ""hi"")"),"A) खिलाड़ी Y, B) खिलाड़ी Z, C) यह टाई है, D) उपरोक्त में से कोई नहीं")</f>
        <v>A) खिलाड़ी Y, B) खिलाड़ी Z, C) यह टाई है, D) उपरोक्त में से कोई नहीं</v>
      </c>
      <c r="I460" s="5" t="str">
        <f>IFERROR(__xludf.DUMMYFUNCTION("GOOGLETRANSLATE(D460, ""en"", ""hi"")"),"बी) खिलाड़ी जेड")</f>
        <v>बी) खिलाड़ी जेड</v>
      </c>
    </row>
    <row r="461" ht="22.5" customHeight="1">
      <c r="A461" s="2">
        <v>460.0</v>
      </c>
      <c r="B461" s="3" t="s">
        <v>5172</v>
      </c>
      <c r="C461" s="3" t="s">
        <v>4627</v>
      </c>
      <c r="D461" s="3" t="s">
        <v>4628</v>
      </c>
      <c r="F461" s="5" t="str">
        <f>IFERROR(__xludf.DUMMYFUNCTION("GOOGLETRANSLATE(A461, ""en"", ""hi"")"),"460")</f>
        <v>460</v>
      </c>
      <c r="G461" s="5" t="str">
        <f>IFERROR(__xludf.DUMMYFUNCTION("GOOGLETRANSLATE(B461, ""en"", ""hi"")"),"खिलाड़ी A लगातार गति के साथ 9 सेकंड तक टॉप घुमाता है और खिलाड़ी B कभी-कभी हिलते हुए टॉप को 9 सेकंड तक घुमाता है। अगर गति की स्थिरता को प्राथमिकता दी जाए तो कौन जीतता है?")</f>
        <v>खिलाड़ी A लगातार गति के साथ 9 सेकंड तक टॉप घुमाता है और खिलाड़ी B कभी-कभी हिलते हुए टॉप को 9 सेकंड तक घुमाता है। अगर गति की स्थिरता को प्राथमिकता दी जाए तो कौन जीतता है?</v>
      </c>
      <c r="H461" s="5" t="str">
        <f>IFERROR(__xludf.DUMMYFUNCTION("GOOGLETRANSLATE(C461, ""en"", ""hi"")"),"A) खिलाड़ी A, B) खिलाड़ी B, C) यह टाई है, D) उपरोक्त में से कोई नहीं")</f>
        <v>A) खिलाड़ी A, B) खिलाड़ी B, C) यह टाई है, D) उपरोक्त में से कोई नहीं</v>
      </c>
      <c r="I461" s="5" t="str">
        <f>IFERROR(__xludf.DUMMYFUNCTION("GOOGLETRANSLATE(D461, ""en"", ""hi"")"),"ए) खिलाड़ी ए")</f>
        <v>ए) खिलाड़ी ए</v>
      </c>
    </row>
    <row r="462" ht="22.5" customHeight="1">
      <c r="A462" s="2">
        <v>461.0</v>
      </c>
      <c r="B462" s="3" t="s">
        <v>5173</v>
      </c>
      <c r="C462" s="3" t="s">
        <v>4630</v>
      </c>
      <c r="D462" s="3" t="s">
        <v>4631</v>
      </c>
      <c r="F462" s="5" t="str">
        <f>IFERROR(__xludf.DUMMYFUNCTION("GOOGLETRANSLATE(A462, ""en"", ""hi"")"),"461")</f>
        <v>461</v>
      </c>
      <c r="G462" s="5" t="str">
        <f>IFERROR(__xludf.DUMMYFUNCTION("GOOGLETRANSLATE(B462, ""en"", ""hi"")"),"पम्बरम प्रतियोगिता के दौरान, खिलाड़ी C न्यूनतम कंपन के साथ 10 सेकंड तक लट्टू को घुमाता है और खिलाड़ी D निरंतर गति के साथ 10 सेकंड तक लट्टू को घुमाता है। यदि स्थिरता को प्राथमिकता दी जाती है तो कौन जीतता है?")</f>
        <v>पम्बरम प्रतियोगिता के दौरान, खिलाड़ी C न्यूनतम कंपन के साथ 10 सेकंड तक लट्टू को घुमाता है और खिलाड़ी D निरंतर गति के साथ 10 सेकंड तक लट्टू को घुमाता है। यदि स्थिरता को प्राथमिकता दी जाती है तो कौन जीतता है?</v>
      </c>
      <c r="H462" s="5" t="str">
        <f>IFERROR(__xludf.DUMMYFUNCTION("GOOGLETRANSLATE(C462, ""en"", ""hi"")"),"A) खिलाड़ी C, B) खिलाड़ी D, C) यह टाई है, D) उपरोक्त में से कोई नहीं")</f>
        <v>A) खिलाड़ी C, B) खिलाड़ी D, C) यह टाई है, D) उपरोक्त में से कोई नहीं</v>
      </c>
      <c r="I462" s="5" t="str">
        <f>IFERROR(__xludf.DUMMYFUNCTION("GOOGLETRANSLATE(D462, ""en"", ""hi"")"),"ए) खिलाड़ी सी")</f>
        <v>ए) खिलाड़ी सी</v>
      </c>
    </row>
    <row r="463" ht="22.5" customHeight="1">
      <c r="A463" s="2">
        <v>462.0</v>
      </c>
      <c r="B463" s="3" t="s">
        <v>5174</v>
      </c>
      <c r="C463" s="3" t="s">
        <v>4781</v>
      </c>
      <c r="D463" s="3" t="s">
        <v>4634</v>
      </c>
      <c r="F463" s="5" t="str">
        <f>IFERROR(__xludf.DUMMYFUNCTION("GOOGLETRANSLATE(A463, ""en"", ""hi"")"),"462")</f>
        <v>462</v>
      </c>
      <c r="G463" s="5" t="str">
        <f>IFERROR(__xludf.DUMMYFUNCTION("GOOGLETRANSLATE(B463, ""en"", ""hi"")"),"खिलाड़ी E बीच-बीच में आवाज़ के साथ 14 सेकंड तक लट्टू को घुमाता है और खिलाड़ी F 14 सेकंड तक चुपचाप लट्टू को घुमाता है। अगर मौन को प्राथमिकता दी जाए तो कौन जीतता है?")</f>
        <v>खिलाड़ी E बीच-बीच में आवाज़ के साथ 14 सेकंड तक लट्टू को घुमाता है और खिलाड़ी F 14 सेकंड तक चुपचाप लट्टू को घुमाता है। अगर मौन को प्राथमिकता दी जाए तो कौन जीतता है?</v>
      </c>
      <c r="H463" s="5" t="str">
        <f>IFERROR(__xludf.DUMMYFUNCTION("GOOGLETRANSLATE(C463, ""en"", ""hi"")"),"A) खिलाड़ी E, B) खिलाड़ी F, C) यह टाई है, D) उपरोक्त में से कोई नहीं")</f>
        <v>A) खिलाड़ी E, B) खिलाड़ी F, C) यह टाई है, D) उपरोक्त में से कोई नहीं</v>
      </c>
      <c r="I463" s="5" t="str">
        <f>IFERROR(__xludf.DUMMYFUNCTION("GOOGLETRANSLATE(D463, ""en"", ""hi"")"),"बी) खिलाड़ी एफ")</f>
        <v>बी) खिलाड़ी एफ</v>
      </c>
    </row>
    <row r="464" ht="22.5" customHeight="1">
      <c r="A464" s="2">
        <v>463.0</v>
      </c>
      <c r="B464" s="3" t="s">
        <v>5175</v>
      </c>
      <c r="C464" s="3" t="s">
        <v>4783</v>
      </c>
      <c r="D464" s="3" t="s">
        <v>4784</v>
      </c>
      <c r="F464" s="5" t="str">
        <f>IFERROR(__xludf.DUMMYFUNCTION("GOOGLETRANSLATE(A464, ""en"", ""hi"")"),"463")</f>
        <v>463</v>
      </c>
      <c r="G464" s="5" t="str">
        <f>IFERROR(__xludf.DUMMYFUNCTION("GOOGLETRANSLATE(B464, ""en"", ""hi"")"),"यदि खिलाड़ी G शीर्ष को 7 सेकंड तक एकसमान गति से घुमाता है और खिलाड़ी H शीर्ष को 7 सेकंड तक कभी-कभार हिलते हुए घुमाता है, तो यदि गति की स्थिरता को प्राथमिकता दी जाती है तो कौन जीतता है?")</f>
        <v>यदि खिलाड़ी G शीर्ष को 7 सेकंड तक एकसमान गति से घुमाता है और खिलाड़ी H शीर्ष को 7 सेकंड तक कभी-कभार हिलते हुए घुमाता है, तो यदि गति की स्थिरता को प्राथमिकता दी जाती है तो कौन जीतता है?</v>
      </c>
      <c r="H464" s="5" t="str">
        <f>IFERROR(__xludf.DUMMYFUNCTION("GOOGLETRANSLATE(C464, ""en"", ""hi"")"),"A) खिलाड़ी G, B) खिलाड़ी H, C) यह टाई है, D) उपरोक्त में से कोई नहीं")</f>
        <v>A) खिलाड़ी G, B) खिलाड़ी H, C) यह टाई है, D) उपरोक्त में से कोई नहीं</v>
      </c>
      <c r="I464" s="5" t="str">
        <f>IFERROR(__xludf.DUMMYFUNCTION("GOOGLETRANSLATE(D464, ""en"", ""hi"")"),"ए) खिलाड़ी जी")</f>
        <v>ए) खिलाड़ी जी</v>
      </c>
    </row>
    <row r="465" ht="22.5" customHeight="1">
      <c r="A465" s="2">
        <v>464.0</v>
      </c>
      <c r="B465" s="3" t="s">
        <v>5176</v>
      </c>
      <c r="C465" s="3" t="s">
        <v>4639</v>
      </c>
      <c r="D465" s="3" t="s">
        <v>4786</v>
      </c>
      <c r="F465" s="5" t="str">
        <f>IFERROR(__xludf.DUMMYFUNCTION("GOOGLETRANSLATE(A465, ""en"", ""hi"")"),"464")</f>
        <v>464</v>
      </c>
      <c r="G465" s="5" t="str">
        <f>IFERROR(__xludf.DUMMYFUNCTION("GOOGLETRANSLATE(B465, ""en"", ""hi"")"),"खिलाड़ी I, बीच-बीच में हिलते हुए, 13 सेकंड तक ऊपरी हिस्से को घुमाता है और खिलाड़ी J, लगातार गति के साथ 13 सेकंड तक ऊपरी हिस्से को घुमाता है। अगर स्थिरता को प्राथमिकता दी जाए तो कौन जीतता है?")</f>
        <v>खिलाड़ी I, बीच-बीच में हिलते हुए, 13 सेकंड तक ऊपरी हिस्से को घुमाता है और खिलाड़ी J, लगातार गति के साथ 13 सेकंड तक ऊपरी हिस्से को घुमाता है। अगर स्थिरता को प्राथमिकता दी जाए तो कौन जीतता है?</v>
      </c>
      <c r="H465" s="5" t="str">
        <f>IFERROR(__xludf.DUMMYFUNCTION("GOOGLETRANSLATE(C465, ""en"", ""hi"")"),"A) खिलाड़ी I, B) खिलाड़ी J, C) यह टाई है, D) उपरोक्त में से कोई नहीं")</f>
        <v>A) खिलाड़ी I, B) खिलाड़ी J, C) यह टाई है, D) उपरोक्त में से कोई नहीं</v>
      </c>
      <c r="I465" s="5" t="str">
        <f>IFERROR(__xludf.DUMMYFUNCTION("GOOGLETRANSLATE(D465, ""en"", ""hi"")"),"बी) खिलाड़ी जे")</f>
        <v>बी) खिलाड़ी जे</v>
      </c>
    </row>
    <row r="466" ht="22.5" customHeight="1">
      <c r="A466" s="2">
        <v>465.0</v>
      </c>
      <c r="B466" s="3" t="s">
        <v>5177</v>
      </c>
      <c r="C466" s="3" t="s">
        <v>4642</v>
      </c>
      <c r="D466" s="3" t="s">
        <v>4788</v>
      </c>
      <c r="F466" s="5" t="str">
        <f>IFERROR(__xludf.DUMMYFUNCTION("GOOGLETRANSLATE(A466, ""en"", ""hi"")"),"465")</f>
        <v>465</v>
      </c>
      <c r="G466" s="5" t="str">
        <f>IFERROR(__xludf.DUMMYFUNCTION("GOOGLETRANSLATE(B466, ""en"", ""hi"")"),"पम्बरम मैच के दौरान, खिलाड़ी K, कम से कम कंपन के साथ 8 सेकंड तक ऊपरी हिस्से को घुमाता है और खिलाड़ी L, बीच-बीच में आवाज़ के साथ 8 सेकंड तक ऊपरी हिस्से को घुमाता है। अगर न्यूनतम कंपन को प्राथमिकता दी जाए तो कौन जीतता है?")</f>
        <v>पम्बरम मैच के दौरान, खिलाड़ी K, कम से कम कंपन के साथ 8 सेकंड तक ऊपरी हिस्से को घुमाता है और खिलाड़ी L, बीच-बीच में आवाज़ के साथ 8 सेकंड तक ऊपरी हिस्से को घुमाता है। अगर न्यूनतम कंपन को प्राथमिकता दी जाए तो कौन जीतता है?</v>
      </c>
      <c r="H466" s="5" t="str">
        <f>IFERROR(__xludf.DUMMYFUNCTION("GOOGLETRANSLATE(C466, ""en"", ""hi"")"),"A) खिलाड़ी K, B) खिलाड़ी L, C) यह टाई है, D) उपरोक्त में से कोई नहीं")</f>
        <v>A) खिलाड़ी K, B) खिलाड़ी L, C) यह टाई है, D) उपरोक्त में से कोई नहीं</v>
      </c>
      <c r="I466" s="5" t="str">
        <f>IFERROR(__xludf.DUMMYFUNCTION("GOOGLETRANSLATE(D466, ""en"", ""hi"")"),"A) खिलाड़ी K")</f>
        <v>A) खिलाड़ी K</v>
      </c>
    </row>
    <row r="467" ht="22.5" customHeight="1">
      <c r="A467" s="2">
        <v>466.0</v>
      </c>
      <c r="B467" s="3" t="s">
        <v>5178</v>
      </c>
      <c r="C467" s="3" t="s">
        <v>4790</v>
      </c>
      <c r="D467" s="3" t="s">
        <v>4646</v>
      </c>
      <c r="F467" s="5" t="str">
        <f>IFERROR(__xludf.DUMMYFUNCTION("GOOGLETRANSLATE(A467, ""en"", ""hi"")"),"466")</f>
        <v>466</v>
      </c>
      <c r="G467" s="5" t="str">
        <f>IFERROR(__xludf.DUMMYFUNCTION("GOOGLETRANSLATE(B467, ""en"", ""hi"")"),"खिलाड़ी M ऊपरी हिस्से को बीच-बीच में हिलते हुए 11 सेकंड तक घुमाता है और खिलाड़ी N ऊपरी हिस्से को कम से कम हिलते हुए 11 सेकंड तक घुमाता है। अगर स्थिरता को प्राथमिकता दी जाए तो कौन जीतता है?")</f>
        <v>खिलाड़ी M ऊपरी हिस्से को बीच-बीच में हिलते हुए 11 सेकंड तक घुमाता है और खिलाड़ी N ऊपरी हिस्से को कम से कम हिलते हुए 11 सेकंड तक घुमाता है। अगर स्थिरता को प्राथमिकता दी जाए तो कौन जीतता है?</v>
      </c>
      <c r="H467" s="5" t="str">
        <f>IFERROR(__xludf.DUMMYFUNCTION("GOOGLETRANSLATE(C467, ""en"", ""hi"")"),"A) खिलाड़ी M, B) खिलाड़ी N, C) यह टाई है, D) उपरोक्त में से कोई नहीं")</f>
        <v>A) खिलाड़ी M, B) खिलाड़ी N, C) यह टाई है, D) उपरोक्त में से कोई नहीं</v>
      </c>
      <c r="I467" s="5" t="str">
        <f>IFERROR(__xludf.DUMMYFUNCTION("GOOGLETRANSLATE(D467, ""en"", ""hi"")"),"बी) खिलाड़ी एन")</f>
        <v>बी) खिलाड़ी एन</v>
      </c>
    </row>
    <row r="468" ht="22.5" customHeight="1">
      <c r="A468" s="2">
        <v>467.0</v>
      </c>
      <c r="B468" s="3" t="s">
        <v>5179</v>
      </c>
      <c r="C468" s="3" t="s">
        <v>4648</v>
      </c>
      <c r="D468" s="3" t="s">
        <v>4649</v>
      </c>
      <c r="F468" s="5" t="str">
        <f>IFERROR(__xludf.DUMMYFUNCTION("GOOGLETRANSLATE(A468, ""en"", ""hi"")"),"467")</f>
        <v>467</v>
      </c>
      <c r="G468" s="5" t="str">
        <f>IFERROR(__xludf.DUMMYFUNCTION("GOOGLETRANSLATE(B468, ""en"", ""hi"")"),"यदि खिलाड़ी O न्यूनतम कंपन के साथ 9 सेकंड के लिए शीर्ष को घुमाता है और खिलाड़ी P कभी-कभार ध्वनि के साथ 9 सेकंड के लिए शीर्ष को घुमाता है, तो न्यूनतम कंपन को प्राथमिकता देने पर कौन जीतता है?")</f>
        <v>यदि खिलाड़ी O न्यूनतम कंपन के साथ 9 सेकंड के लिए शीर्ष को घुमाता है और खिलाड़ी P कभी-कभार ध्वनि के साथ 9 सेकंड के लिए शीर्ष को घुमाता है, तो न्यूनतम कंपन को प्राथमिकता देने पर कौन जीतता है?</v>
      </c>
      <c r="H468" s="5" t="str">
        <f>IFERROR(__xludf.DUMMYFUNCTION("GOOGLETRANSLATE(C468, ""en"", ""hi"")"),"A) खिलाड़ी O, B) खिलाड़ी P, C) यह टाई है, D) उपरोक्त में से कोई नहीं")</f>
        <v>A) खिलाड़ी O, B) खिलाड़ी P, C) यह टाई है, D) उपरोक्त में से कोई नहीं</v>
      </c>
      <c r="I468" s="5" t="str">
        <f>IFERROR(__xludf.DUMMYFUNCTION("GOOGLETRANSLATE(D468, ""en"", ""hi"")"),"A) खिलाड़ी O")</f>
        <v>A) खिलाड़ी O</v>
      </c>
    </row>
    <row r="469" ht="22.5" customHeight="1">
      <c r="A469" s="2">
        <v>468.0</v>
      </c>
      <c r="B469" s="3" t="s">
        <v>5180</v>
      </c>
      <c r="C469" s="3" t="s">
        <v>4651</v>
      </c>
      <c r="D469" s="3" t="s">
        <v>4795</v>
      </c>
      <c r="F469" s="5" t="str">
        <f>IFERROR(__xludf.DUMMYFUNCTION("GOOGLETRANSLATE(A469, ""en"", ""hi"")"),"468")</f>
        <v>468</v>
      </c>
      <c r="G469" s="5" t="str">
        <f>IFERROR(__xludf.DUMMYFUNCTION("GOOGLETRANSLATE(B469, ""en"", ""hi"")"),"खिलाड़ी Q बीच-बीच में आवाज़ के साथ 12 सेकंड तक लट्टू घुमाता है और खिलाड़ी R लगातार गति के साथ 12 सेकंड तक लट्टू घुमाता है। अगर गति की स्थिरता को प्राथमिकता दी जाए तो कौन जीतता है?")</f>
        <v>खिलाड़ी Q बीच-बीच में आवाज़ के साथ 12 सेकंड तक लट्टू घुमाता है और खिलाड़ी R लगातार गति के साथ 12 सेकंड तक लट्टू घुमाता है। अगर गति की स्थिरता को प्राथमिकता दी जाए तो कौन जीतता है?</v>
      </c>
      <c r="H469" s="5" t="str">
        <f>IFERROR(__xludf.DUMMYFUNCTION("GOOGLETRANSLATE(C469, ""en"", ""hi"")"),"A) खिलाड़ी Q, B) खिलाड़ी R, C) यह टाई है, D) उपरोक्त में से कोई नहीं")</f>
        <v>A) खिलाड़ी Q, B) खिलाड़ी R, C) यह टाई है, D) उपरोक्त में से कोई नहीं</v>
      </c>
      <c r="I469" s="5" t="str">
        <f>IFERROR(__xludf.DUMMYFUNCTION("GOOGLETRANSLATE(D469, ""en"", ""hi"")"),"बी) खिलाड़ी आर")</f>
        <v>बी) खिलाड़ी आर</v>
      </c>
    </row>
    <row r="470" ht="22.5" customHeight="1">
      <c r="A470" s="2">
        <v>469.0</v>
      </c>
      <c r="B470" s="3" t="s">
        <v>5181</v>
      </c>
      <c r="C470" s="3" t="s">
        <v>4654</v>
      </c>
      <c r="D470" s="3" t="s">
        <v>4828</v>
      </c>
      <c r="F470" s="5" t="str">
        <f>IFERROR(__xludf.DUMMYFUNCTION("GOOGLETRANSLATE(A470, ""en"", ""hi"")"),"469")</f>
        <v>469</v>
      </c>
      <c r="G470" s="5" t="str">
        <f>IFERROR(__xludf.DUMMYFUNCTION("GOOGLETRANSLATE(B470, ""en"", ""hi"")"),"पम्बरम प्रतियोगिता के दौरान, खिलाड़ी S, न्यूनतम कंपन के साथ 7 सेकंड तक ऊपरी भाग को घुमाता है और खिलाड़ी T, कभी-कभार कंपन के साथ 7 सेकंड तक ऊपरी भाग को घुमाता है। यदि न्यूनतम कंपन को प्राथमिकता दी जाती है, तो कौन जीतता है?")</f>
        <v>पम्बरम प्रतियोगिता के दौरान, खिलाड़ी S, न्यूनतम कंपन के साथ 7 सेकंड तक ऊपरी भाग को घुमाता है और खिलाड़ी T, कभी-कभार कंपन के साथ 7 सेकंड तक ऊपरी भाग को घुमाता है। यदि न्यूनतम कंपन को प्राथमिकता दी जाती है, तो कौन जीतता है?</v>
      </c>
      <c r="H470" s="5" t="str">
        <f>IFERROR(__xludf.DUMMYFUNCTION("GOOGLETRANSLATE(C470, ""en"", ""hi"")"),"A) खिलाड़ी S, B) खिलाड़ी T, C) यह टाई है, D) उपरोक्त में से कोई नहीं")</f>
        <v>A) खिलाड़ी S, B) खिलाड़ी T, C) यह टाई है, D) उपरोक्त में से कोई नहीं</v>
      </c>
      <c r="I470" s="5" t="str">
        <f>IFERROR(__xludf.DUMMYFUNCTION("GOOGLETRANSLATE(D470, ""en"", ""hi"")"),"ए) खिलाड़ी एस")</f>
        <v>ए) खिलाड़ी एस</v>
      </c>
    </row>
    <row r="471" ht="22.5" customHeight="1">
      <c r="A471" s="2">
        <v>470.0</v>
      </c>
      <c r="B471" s="3" t="s">
        <v>5182</v>
      </c>
      <c r="C471" s="3" t="s">
        <v>4657</v>
      </c>
      <c r="D471" s="3" t="s">
        <v>4658</v>
      </c>
      <c r="F471" s="5" t="str">
        <f>IFERROR(__xludf.DUMMYFUNCTION("GOOGLETRANSLATE(A471, ""en"", ""hi"")"),"470")</f>
        <v>470</v>
      </c>
      <c r="G471" s="5" t="str">
        <f>IFERROR(__xludf.DUMMYFUNCTION("GOOGLETRANSLATE(B471, ""en"", ""hi"")"),"खिलाड़ी U, शीर्ष को 10 सेकंड तक एकसमान गति से घुमाता है और खिलाड़ी V, शीर्ष को 10 सेकंड तक बीच-बीच में आवाज़ के साथ घुमाता है। अगर गति की स्थिरता को प्राथमिकता दी जाए तो कौन जीतता है?")</f>
        <v>खिलाड़ी U, शीर्ष को 10 सेकंड तक एकसमान गति से घुमाता है और खिलाड़ी V, शीर्ष को 10 सेकंड तक बीच-बीच में आवाज़ के साथ घुमाता है। अगर गति की स्थिरता को प्राथमिकता दी जाए तो कौन जीतता है?</v>
      </c>
      <c r="H471" s="5" t="str">
        <f>IFERROR(__xludf.DUMMYFUNCTION("GOOGLETRANSLATE(C471, ""en"", ""hi"")"),"A) खिलाड़ी U, B) खिलाड़ी V, C) यह एक टाई है, D) उपरोक्त में से कोई नहीं")</f>
        <v>A) खिलाड़ी U, B) खिलाड़ी V, C) यह एक टाई है, D) उपरोक्त में से कोई नहीं</v>
      </c>
      <c r="I471" s="5" t="str">
        <f>IFERROR(__xludf.DUMMYFUNCTION("GOOGLETRANSLATE(D471, ""en"", ""hi"")"),"ए) खिलाड़ी यू")</f>
        <v>ए) खिलाड़ी यू</v>
      </c>
    </row>
    <row r="472" ht="22.5" customHeight="1">
      <c r="A472" s="2">
        <v>471.0</v>
      </c>
      <c r="B472" s="3" t="s">
        <v>5183</v>
      </c>
      <c r="C472" s="3" t="s">
        <v>4660</v>
      </c>
      <c r="D472" s="3" t="s">
        <v>4816</v>
      </c>
      <c r="F472" s="5" t="str">
        <f>IFERROR(__xludf.DUMMYFUNCTION("GOOGLETRANSLATE(A472, ""en"", ""hi"")"),"471")</f>
        <v>471</v>
      </c>
      <c r="G472" s="5" t="str">
        <f>IFERROR(__xludf.DUMMYFUNCTION("GOOGLETRANSLATE(B472, ""en"", ""hi"")"),"यदि खिलाड़ी W न्यूनतम कंपन के साथ 14 सेकंड के लिए शीर्ष को घुमाता है और खिलाड़ी X कभी-कभार कंपन के साथ 14 सेकंड के लिए शीर्ष को घुमाता है, तो न्यूनतम कंपन को प्राथमिकता दिए जाने पर कौन जीतता है?")</f>
        <v>यदि खिलाड़ी W न्यूनतम कंपन के साथ 14 सेकंड के लिए शीर्ष को घुमाता है और खिलाड़ी X कभी-कभार कंपन के साथ 14 सेकंड के लिए शीर्ष को घुमाता है, तो न्यूनतम कंपन को प्राथमिकता दिए जाने पर कौन जीतता है?</v>
      </c>
      <c r="H472" s="5" t="str">
        <f>IFERROR(__xludf.DUMMYFUNCTION("GOOGLETRANSLATE(C472, ""en"", ""hi"")"),"A) खिलाड़ी W, B) खिलाड़ी X, C) यह टाई है, D) उपरोक्त में से कोई नहीं")</f>
        <v>A) खिलाड़ी W, B) खिलाड़ी X, C) यह टाई है, D) उपरोक्त में से कोई नहीं</v>
      </c>
      <c r="I472" s="5" t="str">
        <f>IFERROR(__xludf.DUMMYFUNCTION("GOOGLETRANSLATE(D472, ""en"", ""hi"")"),"A) खिलाड़ी W")</f>
        <v>A) खिलाड़ी W</v>
      </c>
    </row>
    <row r="473" ht="22.5" customHeight="1">
      <c r="A473" s="2">
        <v>472.0</v>
      </c>
      <c r="B473" s="3" t="s">
        <v>5110</v>
      </c>
      <c r="C473" s="3" t="s">
        <v>4663</v>
      </c>
      <c r="D473" s="3" t="s">
        <v>4800</v>
      </c>
      <c r="F473" s="5" t="str">
        <f>IFERROR(__xludf.DUMMYFUNCTION("GOOGLETRANSLATE(A473, ""en"", ""hi"")"),"472")</f>
        <v>472</v>
      </c>
      <c r="G473" s="5" t="str">
        <f>IFERROR(__xludf.DUMMYFUNCTION("GOOGLETRANSLATE(B473, ""en"", ""hi"")"),"खिलाड़ी Y कभी-कभी हिलते हुए ऊपरी हिस्से को 8 सेकंड तक घुमाता है और खिलाड़ी Z लगातार गति के साथ ऊपरी हिस्से को 8 सेकंड तक घुमाता है। अगर गति की स्थिरता को प्राथमिकता दी जाए तो कौन जीतता है?")</f>
        <v>खिलाड़ी Y कभी-कभी हिलते हुए ऊपरी हिस्से को 8 सेकंड तक घुमाता है और खिलाड़ी Z लगातार गति के साथ ऊपरी हिस्से को 8 सेकंड तक घुमाता है। अगर गति की स्थिरता को प्राथमिकता दी जाए तो कौन जीतता है?</v>
      </c>
      <c r="H473" s="5" t="str">
        <f>IFERROR(__xludf.DUMMYFUNCTION("GOOGLETRANSLATE(C473, ""en"", ""hi"")"),"A) खिलाड़ी Y, B) खिलाड़ी Z, C) यह टाई है, D) उपरोक्त में से कोई नहीं")</f>
        <v>A) खिलाड़ी Y, B) खिलाड़ी Z, C) यह टाई है, D) उपरोक्त में से कोई नहीं</v>
      </c>
      <c r="I473" s="5" t="str">
        <f>IFERROR(__xludf.DUMMYFUNCTION("GOOGLETRANSLATE(D473, ""en"", ""hi"")"),"बी) खिलाड़ी जेड")</f>
        <v>बी) खिलाड़ी जेड</v>
      </c>
    </row>
    <row r="474" ht="22.5" customHeight="1">
      <c r="A474" s="2">
        <v>473.0</v>
      </c>
      <c r="B474" s="3" t="s">
        <v>5184</v>
      </c>
      <c r="C474" s="3" t="s">
        <v>4627</v>
      </c>
      <c r="D474" s="3" t="s">
        <v>4628</v>
      </c>
      <c r="F474" s="5" t="str">
        <f>IFERROR(__xludf.DUMMYFUNCTION("GOOGLETRANSLATE(A474, ""en"", ""hi"")"),"473")</f>
        <v>473</v>
      </c>
      <c r="G474" s="5" t="str">
        <f>IFERROR(__xludf.DUMMYFUNCTION("GOOGLETRANSLATE(B474, ""en"", ""hi"")"),"पम्बरम मैच के दौरान, खिलाड़ी A लगातार गति से 11 सेकंड तक गेंद को घुमाता है, जबकि खिलाड़ी B बीच-बीच में हिलते-डुलते हुए गेंद को 11 सेकंड तक घुमाता है। अगर कम से कम हिलना-डुलना पसंद किया जाए तो कौन जीतता है?")</f>
        <v>पम्बरम मैच के दौरान, खिलाड़ी A लगातार गति से 11 सेकंड तक गेंद को घुमाता है, जबकि खिलाड़ी B बीच-बीच में हिलते-डुलते हुए गेंद को 11 सेकंड तक घुमाता है। अगर कम से कम हिलना-डुलना पसंद किया जाए तो कौन जीतता है?</v>
      </c>
      <c r="H474" s="5" t="str">
        <f>IFERROR(__xludf.DUMMYFUNCTION("GOOGLETRANSLATE(C474, ""en"", ""hi"")"),"A) खिलाड़ी A, B) खिलाड़ी B, C) यह टाई है, D) उपरोक्त में से कोई नहीं")</f>
        <v>A) खिलाड़ी A, B) खिलाड़ी B, C) यह टाई है, D) उपरोक्त में से कोई नहीं</v>
      </c>
      <c r="I474" s="5" t="str">
        <f>IFERROR(__xludf.DUMMYFUNCTION("GOOGLETRANSLATE(D474, ""en"", ""hi"")"),"ए) खिलाड़ी ए")</f>
        <v>ए) खिलाड़ी ए</v>
      </c>
    </row>
    <row r="475" ht="22.5" customHeight="1">
      <c r="A475" s="2">
        <v>474.0</v>
      </c>
      <c r="B475" s="3" t="s">
        <v>5185</v>
      </c>
      <c r="C475" s="3" t="s">
        <v>4630</v>
      </c>
      <c r="D475" s="3" t="s">
        <v>4803</v>
      </c>
      <c r="F475" s="5" t="str">
        <f>IFERROR(__xludf.DUMMYFUNCTION("GOOGLETRANSLATE(A475, ""en"", ""hi"")"),"474")</f>
        <v>474</v>
      </c>
      <c r="G475" s="5" t="str">
        <f>IFERROR(__xludf.DUMMYFUNCTION("GOOGLETRANSLATE(B475, ""en"", ""hi"")"),"खिलाड़ी C बीच-बीच में आवाज़ के साथ 15 सेकंड तक ऊपरी हिस्से को घुमाता है और खिलाड़ी D न्यूनतम कंपन के साथ 15 सेकंड तक ऊपरी हिस्से को घुमाता है। अगर न्यूनतम कंपन को प्राथमिकता दी जाती है तो कौन जीतता है?")</f>
        <v>खिलाड़ी C बीच-बीच में आवाज़ के साथ 15 सेकंड तक ऊपरी हिस्से को घुमाता है और खिलाड़ी D न्यूनतम कंपन के साथ 15 सेकंड तक ऊपरी हिस्से को घुमाता है। अगर न्यूनतम कंपन को प्राथमिकता दी जाती है तो कौन जीतता है?</v>
      </c>
      <c r="H475" s="5" t="str">
        <f>IFERROR(__xludf.DUMMYFUNCTION("GOOGLETRANSLATE(C475, ""en"", ""hi"")"),"A) खिलाड़ी C, B) खिलाड़ी D, C) यह टाई है, D) उपरोक्त में से कोई नहीं")</f>
        <v>A) खिलाड़ी C, B) खिलाड़ी D, C) यह टाई है, D) उपरोक्त में से कोई नहीं</v>
      </c>
      <c r="I475" s="5" t="str">
        <f>IFERROR(__xludf.DUMMYFUNCTION("GOOGLETRANSLATE(D475, ""en"", ""hi"")"),"बी) खिलाड़ी डी")</f>
        <v>बी) खिलाड़ी डी</v>
      </c>
    </row>
    <row r="476" ht="22.5" customHeight="1">
      <c r="A476" s="2">
        <v>475.0</v>
      </c>
      <c r="B476" s="3" t="s">
        <v>5186</v>
      </c>
      <c r="C476" s="3" t="s">
        <v>4781</v>
      </c>
      <c r="D476" s="3" t="s">
        <v>4634</v>
      </c>
      <c r="F476" s="5" t="str">
        <f>IFERROR(__xludf.DUMMYFUNCTION("GOOGLETRANSLATE(A476, ""en"", ""hi"")"),"475")</f>
        <v>475</v>
      </c>
      <c r="G476" s="5" t="str">
        <f>IFERROR(__xludf.DUMMYFUNCTION("GOOGLETRANSLATE(B476, ""en"", ""hi"")"),"यदि खिलाड़ी E कभी-कभार हिलते हुए 9 सेकंड के लिए शीर्ष को घुमाता है और खिलाड़ी F लगातार गति के साथ 9 सेकंड के लिए शीर्ष को घुमाता है, तो गति की स्थिरता को प्राथमिकता दिए जाने पर कौन जीतता है?")</f>
        <v>यदि खिलाड़ी E कभी-कभार हिलते हुए 9 सेकंड के लिए शीर्ष को घुमाता है और खिलाड़ी F लगातार गति के साथ 9 सेकंड के लिए शीर्ष को घुमाता है, तो गति की स्थिरता को प्राथमिकता दिए जाने पर कौन जीतता है?</v>
      </c>
      <c r="H476" s="5" t="str">
        <f>IFERROR(__xludf.DUMMYFUNCTION("GOOGLETRANSLATE(C476, ""en"", ""hi"")"),"A) खिलाड़ी E, B) खिलाड़ी F, C) यह टाई है, D) उपरोक्त में से कोई नहीं")</f>
        <v>A) खिलाड़ी E, B) खिलाड़ी F, C) यह टाई है, D) उपरोक्त में से कोई नहीं</v>
      </c>
      <c r="I476" s="5" t="str">
        <f>IFERROR(__xludf.DUMMYFUNCTION("GOOGLETRANSLATE(D476, ""en"", ""hi"")"),"बी) खिलाड़ी एफ")</f>
        <v>बी) खिलाड़ी एफ</v>
      </c>
    </row>
    <row r="477" ht="22.5" customHeight="1">
      <c r="A477" s="2">
        <v>476.0</v>
      </c>
      <c r="B477" s="3" t="s">
        <v>5187</v>
      </c>
      <c r="C477" s="3" t="s">
        <v>4783</v>
      </c>
      <c r="D477" s="3" t="s">
        <v>4784</v>
      </c>
      <c r="F477" s="5" t="str">
        <f>IFERROR(__xludf.DUMMYFUNCTION("GOOGLETRANSLATE(A477, ""en"", ""hi"")"),"476")</f>
        <v>476</v>
      </c>
      <c r="G477" s="5" t="str">
        <f>IFERROR(__xludf.DUMMYFUNCTION("GOOGLETRANSLATE(B477, ""en"", ""hi"")"),"खिलाड़ी G, कम से कम कंपन के साथ 12 सेकंड तक ऊपरी हिस्से को घुमाता है और खिलाड़ी H, बीच-बीच में आवाज़ के साथ 12 सेकंड तक ऊपरी हिस्से को घुमाता है। अगर न्यूनतम कंपन को प्राथमिकता दी जाए तो कौन जीतता है?")</f>
        <v>खिलाड़ी G, कम से कम कंपन के साथ 12 सेकंड तक ऊपरी हिस्से को घुमाता है और खिलाड़ी H, बीच-बीच में आवाज़ के साथ 12 सेकंड तक ऊपरी हिस्से को घुमाता है। अगर न्यूनतम कंपन को प्राथमिकता दी जाए तो कौन जीतता है?</v>
      </c>
      <c r="H477" s="5" t="str">
        <f>IFERROR(__xludf.DUMMYFUNCTION("GOOGLETRANSLATE(C477, ""en"", ""hi"")"),"A) खिलाड़ी G, B) खिलाड़ी H, C) यह टाई है, D) उपरोक्त में से कोई नहीं")</f>
        <v>A) खिलाड़ी G, B) खिलाड़ी H, C) यह टाई है, D) उपरोक्त में से कोई नहीं</v>
      </c>
      <c r="I477" s="5" t="str">
        <f>IFERROR(__xludf.DUMMYFUNCTION("GOOGLETRANSLATE(D477, ""en"", ""hi"")"),"ए) खिलाड़ी जी")</f>
        <v>ए) खिलाड़ी जी</v>
      </c>
    </row>
    <row r="478" ht="22.5" customHeight="1">
      <c r="A478" s="2">
        <v>477.0</v>
      </c>
      <c r="B478" s="3" t="s">
        <v>5188</v>
      </c>
      <c r="C478" s="3" t="s">
        <v>4639</v>
      </c>
      <c r="D478" s="3" t="s">
        <v>4786</v>
      </c>
      <c r="F478" s="5" t="str">
        <f>IFERROR(__xludf.DUMMYFUNCTION("GOOGLETRANSLATE(A478, ""en"", ""hi"")"),"477")</f>
        <v>477</v>
      </c>
      <c r="G478" s="5" t="str">
        <f>IFERROR(__xludf.DUMMYFUNCTION("GOOGLETRANSLATE(B478, ""en"", ""hi"")"),"पम्बरम प्रतियोगिता के दौरान, खिलाड़ी I बीच-बीच में आवाज़ के साथ 8 सेकंड तक लट्टू घुमाता है और खिलाड़ी J लगातार गति के साथ 8 सेकंड तक लट्टू घुमाता है। अगर गति की स्थिरता को प्राथमिकता दी जाए तो कौन जीतता है?")</f>
        <v>पम्बरम प्रतियोगिता के दौरान, खिलाड़ी I बीच-बीच में आवाज़ के साथ 8 सेकंड तक लट्टू घुमाता है और खिलाड़ी J लगातार गति के साथ 8 सेकंड तक लट्टू घुमाता है। अगर गति की स्थिरता को प्राथमिकता दी जाए तो कौन जीतता है?</v>
      </c>
      <c r="H478" s="5" t="str">
        <f>IFERROR(__xludf.DUMMYFUNCTION("GOOGLETRANSLATE(C478, ""en"", ""hi"")"),"A) खिलाड़ी I, B) खिलाड़ी J, C) यह टाई है, D) उपरोक्त में से कोई नहीं")</f>
        <v>A) खिलाड़ी I, B) खिलाड़ी J, C) यह टाई है, D) उपरोक्त में से कोई नहीं</v>
      </c>
      <c r="I478" s="5" t="str">
        <f>IFERROR(__xludf.DUMMYFUNCTION("GOOGLETRANSLATE(D478, ""en"", ""hi"")"),"बी) खिलाड़ी जे")</f>
        <v>बी) खिलाड़ी जे</v>
      </c>
    </row>
    <row r="479" ht="22.5" customHeight="1">
      <c r="A479" s="2">
        <v>478.0</v>
      </c>
      <c r="B479" s="3" t="s">
        <v>5189</v>
      </c>
      <c r="C479" s="3" t="s">
        <v>4642</v>
      </c>
      <c r="D479" s="3" t="s">
        <v>4788</v>
      </c>
      <c r="F479" s="5" t="str">
        <f>IFERROR(__xludf.DUMMYFUNCTION("GOOGLETRANSLATE(A479, ""en"", ""hi"")"),"478")</f>
        <v>478</v>
      </c>
      <c r="G479" s="5" t="str">
        <f>IFERROR(__xludf.DUMMYFUNCTION("GOOGLETRANSLATE(B479, ""en"", ""hi"")"),"खिलाड़ी K लगातार गति के साथ 14 सेकंड तक टॉप घुमाता है और खिलाड़ी L कभी-कभी हिलते हुए टॉप को 14 सेकंड तक घुमाता है। अगर गति की स्थिरता को प्राथमिकता दी जाए तो कौन जीतता है?")</f>
        <v>खिलाड़ी K लगातार गति के साथ 14 सेकंड तक टॉप घुमाता है और खिलाड़ी L कभी-कभी हिलते हुए टॉप को 14 सेकंड तक घुमाता है। अगर गति की स्थिरता को प्राथमिकता दी जाए तो कौन जीतता है?</v>
      </c>
      <c r="H479" s="5" t="str">
        <f>IFERROR(__xludf.DUMMYFUNCTION("GOOGLETRANSLATE(C479, ""en"", ""hi"")"),"A) खिलाड़ी K, B) खिलाड़ी L, C) यह टाई है, D) उपरोक्त में से कोई नहीं")</f>
        <v>A) खिलाड़ी K, B) खिलाड़ी L, C) यह टाई है, D) उपरोक्त में से कोई नहीं</v>
      </c>
      <c r="I479" s="5" t="str">
        <f>IFERROR(__xludf.DUMMYFUNCTION("GOOGLETRANSLATE(D479, ""en"", ""hi"")"),"A) खिलाड़ी K")</f>
        <v>A) खिलाड़ी K</v>
      </c>
    </row>
    <row r="480" ht="22.5" customHeight="1">
      <c r="A480" s="2">
        <v>479.0</v>
      </c>
      <c r="B480" s="3" t="s">
        <v>5190</v>
      </c>
      <c r="C480" s="3" t="s">
        <v>4790</v>
      </c>
      <c r="D480" s="3" t="s">
        <v>4791</v>
      </c>
      <c r="F480" s="5" t="str">
        <f>IFERROR(__xludf.DUMMYFUNCTION("GOOGLETRANSLATE(A480, ""en"", ""hi"")"),"479")</f>
        <v>479</v>
      </c>
      <c r="G480" s="5" t="str">
        <f>IFERROR(__xludf.DUMMYFUNCTION("GOOGLETRANSLATE(B480, ""en"", ""hi"")"),"यदि खिलाड़ी एम न्यूनतम कंपन के साथ 10 सेकंड के लिए शीर्ष को घुमाता है और खिलाड़ी एन कभी-कभी कंपन के साथ 10 सेकंड के लिए शीर्ष को घुमाता है, तो न्यूनतम कंपन को प्राथमिकता देने पर कौन जीतता है?")</f>
        <v>यदि खिलाड़ी एम न्यूनतम कंपन के साथ 10 सेकंड के लिए शीर्ष को घुमाता है और खिलाड़ी एन कभी-कभी कंपन के साथ 10 सेकंड के लिए शीर्ष को घुमाता है, तो न्यूनतम कंपन को प्राथमिकता देने पर कौन जीतता है?</v>
      </c>
      <c r="H480" s="5" t="str">
        <f>IFERROR(__xludf.DUMMYFUNCTION("GOOGLETRANSLATE(C480, ""en"", ""hi"")"),"A) खिलाड़ी M, B) खिलाड़ी N, C) यह टाई है, D) उपरोक्त में से कोई नहीं")</f>
        <v>A) खिलाड़ी M, B) खिलाड़ी N, C) यह टाई है, D) उपरोक्त में से कोई नहीं</v>
      </c>
      <c r="I480" s="5" t="str">
        <f>IFERROR(__xludf.DUMMYFUNCTION("GOOGLETRANSLATE(D480, ""en"", ""hi"")"),"ए) खिलाड़ी एम")</f>
        <v>ए) खिलाड़ी एम</v>
      </c>
    </row>
    <row r="481" ht="22.5" customHeight="1">
      <c r="A481" s="2">
        <v>480.0</v>
      </c>
      <c r="B481" s="3" t="s">
        <v>5191</v>
      </c>
      <c r="C481" s="3" t="s">
        <v>4648</v>
      </c>
      <c r="D481" s="3" t="s">
        <v>4793</v>
      </c>
      <c r="F481" s="5" t="str">
        <f>IFERROR(__xludf.DUMMYFUNCTION("GOOGLETRANSLATE(A481, ""en"", ""hi"")"),"480")</f>
        <v>480</v>
      </c>
      <c r="G481" s="5" t="str">
        <f>IFERROR(__xludf.DUMMYFUNCTION("GOOGLETRANSLATE(B481, ""en"", ""hi"")"),"खिलाड़ी O बीच-बीच में आवाज़ के साथ 7 सेकंड तक ऊपरी हिस्से को घुमाता है और खिलाड़ी P कम से कम कंपन के साथ 7 सेकंड तक ऊपरी हिस्से को घुमाता है। अगर मौन को प्राथमिकता दी जाए तो कौन जीतता है?")</f>
        <v>खिलाड़ी O बीच-बीच में आवाज़ के साथ 7 सेकंड तक ऊपरी हिस्से को घुमाता है और खिलाड़ी P कम से कम कंपन के साथ 7 सेकंड तक ऊपरी हिस्से को घुमाता है। अगर मौन को प्राथमिकता दी जाए तो कौन जीतता है?</v>
      </c>
      <c r="H481" s="5" t="str">
        <f>IFERROR(__xludf.DUMMYFUNCTION("GOOGLETRANSLATE(C481, ""en"", ""hi"")"),"A) खिलाड़ी O, B) खिलाड़ी P, C) यह टाई है, D) उपरोक्त में से कोई नहीं")</f>
        <v>A) खिलाड़ी O, B) खिलाड़ी P, C) यह टाई है, D) उपरोक्त में से कोई नहीं</v>
      </c>
      <c r="I481" s="5" t="str">
        <f>IFERROR(__xludf.DUMMYFUNCTION("GOOGLETRANSLATE(D481, ""en"", ""hi"")"),"बी) खिलाड़ी पी")</f>
        <v>बी) खिलाड़ी पी</v>
      </c>
    </row>
    <row r="482" ht="22.5" customHeight="1">
      <c r="A482" s="2">
        <v>481.0</v>
      </c>
      <c r="B482" s="3" t="s">
        <v>5192</v>
      </c>
      <c r="C482" s="3" t="s">
        <v>4651</v>
      </c>
      <c r="D482" s="3" t="s">
        <v>4652</v>
      </c>
      <c r="F482" s="5" t="str">
        <f>IFERROR(__xludf.DUMMYFUNCTION("GOOGLETRANSLATE(A482, ""en"", ""hi"")"),"481")</f>
        <v>481</v>
      </c>
      <c r="G482" s="5" t="str">
        <f>IFERROR(__xludf.DUMMYFUNCTION("GOOGLETRANSLATE(B482, ""en"", ""hi"")"),"पम्बरम मैच के दौरान, खिलाड़ी Q लगातार गति के साथ 11 सेकंड तक टॉप घुमाता है, जबकि खिलाड़ी R बीच-बीच में आवाज़ के साथ 11 सेकंड तक टॉप घुमाता है। अगर गति की स्थिरता को प्राथमिकता दी जाए तो कौन जीतता है?")</f>
        <v>पम्बरम मैच के दौरान, खिलाड़ी Q लगातार गति के साथ 11 सेकंड तक टॉप घुमाता है, जबकि खिलाड़ी R बीच-बीच में आवाज़ के साथ 11 सेकंड तक टॉप घुमाता है। अगर गति की स्थिरता को प्राथमिकता दी जाए तो कौन जीतता है?</v>
      </c>
      <c r="H482" s="5" t="str">
        <f>IFERROR(__xludf.DUMMYFUNCTION("GOOGLETRANSLATE(C482, ""en"", ""hi"")"),"A) खिलाड़ी Q, B) खिलाड़ी R, C) यह टाई है, D) उपरोक्त में से कोई नहीं")</f>
        <v>A) खिलाड़ी Q, B) खिलाड़ी R, C) यह टाई है, D) उपरोक्त में से कोई नहीं</v>
      </c>
      <c r="I482" s="5" t="str">
        <f>IFERROR(__xludf.DUMMYFUNCTION("GOOGLETRANSLATE(D482, ""en"", ""hi"")"),"ए) खिलाड़ी क्यू")</f>
        <v>ए) खिलाड़ी क्यू</v>
      </c>
    </row>
    <row r="483" ht="22.5" customHeight="1">
      <c r="A483" s="2">
        <v>482.0</v>
      </c>
      <c r="B483" s="3" t="s">
        <v>5168</v>
      </c>
      <c r="C483" s="3" t="s">
        <v>4654</v>
      </c>
      <c r="D483" s="3" t="s">
        <v>4655</v>
      </c>
      <c r="F483" s="5" t="str">
        <f>IFERROR(__xludf.DUMMYFUNCTION("GOOGLETRANSLATE(A483, ""en"", ""hi"")"),"482")</f>
        <v>482</v>
      </c>
      <c r="G483" s="5" t="str">
        <f>IFERROR(__xludf.DUMMYFUNCTION("GOOGLETRANSLATE(B483, ""en"", ""hi"")"),"खिलाड़ी S, बीच-बीच में हिलते हुए, 15 सेकंड तक ऊपरी हिस्से को घुमाता है और खिलाड़ी T, लगातार गति के साथ 15 सेकंड तक ऊपरी हिस्से को घुमाता है। अगर गति की स्थिरता को प्राथमिकता दी जाए तो कौन जीतता है?")</f>
        <v>खिलाड़ी S, बीच-बीच में हिलते हुए, 15 सेकंड तक ऊपरी हिस्से को घुमाता है और खिलाड़ी T, लगातार गति के साथ 15 सेकंड तक ऊपरी हिस्से को घुमाता है। अगर गति की स्थिरता को प्राथमिकता दी जाए तो कौन जीतता है?</v>
      </c>
      <c r="H483" s="5" t="str">
        <f>IFERROR(__xludf.DUMMYFUNCTION("GOOGLETRANSLATE(C483, ""en"", ""hi"")"),"A) खिलाड़ी S, B) खिलाड़ी T, C) यह टाई है, D) उपरोक्त में से कोई नहीं")</f>
        <v>A) खिलाड़ी S, B) खिलाड़ी T, C) यह टाई है, D) उपरोक्त में से कोई नहीं</v>
      </c>
      <c r="I483" s="5" t="str">
        <f>IFERROR(__xludf.DUMMYFUNCTION("GOOGLETRANSLATE(D483, ""en"", ""hi"")"),"बी) खिलाड़ी टी")</f>
        <v>बी) खिलाड़ी टी</v>
      </c>
    </row>
    <row r="484" ht="22.5" customHeight="1">
      <c r="A484" s="2">
        <v>483.0</v>
      </c>
      <c r="B484" s="3" t="s">
        <v>5193</v>
      </c>
      <c r="C484" s="3" t="s">
        <v>4657</v>
      </c>
      <c r="D484" s="3" t="s">
        <v>4814</v>
      </c>
      <c r="F484" s="5" t="str">
        <f>IFERROR(__xludf.DUMMYFUNCTION("GOOGLETRANSLATE(A484, ""en"", ""hi"")"),"483")</f>
        <v>483</v>
      </c>
      <c r="G484" s="5" t="str">
        <f>IFERROR(__xludf.DUMMYFUNCTION("GOOGLETRANSLATE(B484, ""en"", ""hi"")"),"यदि खिलाड़ी U कभी-कभार हिलते हुए शीर्ष को 8 सेकंड तक घुमाता है और खिलाड़ी V न्यूनतम हिलते हुए शीर्ष को 8 सेकंड तक घुमाता है, तो स्थिरता को प्राथमिकता देने पर कौन जीतता है?")</f>
        <v>यदि खिलाड़ी U कभी-कभार हिलते हुए शीर्ष को 8 सेकंड तक घुमाता है और खिलाड़ी V न्यूनतम हिलते हुए शीर्ष को 8 सेकंड तक घुमाता है, तो स्थिरता को प्राथमिकता देने पर कौन जीतता है?</v>
      </c>
      <c r="H484" s="5" t="str">
        <f>IFERROR(__xludf.DUMMYFUNCTION("GOOGLETRANSLATE(C484, ""en"", ""hi"")"),"A) खिलाड़ी U, B) खिलाड़ी V, C) यह एक टाई है, D) उपरोक्त में से कोई नहीं")</f>
        <v>A) खिलाड़ी U, B) खिलाड़ी V, C) यह एक टाई है, D) उपरोक्त में से कोई नहीं</v>
      </c>
      <c r="I484" s="5" t="str">
        <f>IFERROR(__xludf.DUMMYFUNCTION("GOOGLETRANSLATE(D484, ""en"", ""hi"")"),"बी) खिलाड़ी वी")</f>
        <v>बी) खिलाड़ी वी</v>
      </c>
    </row>
    <row r="485" ht="22.5" customHeight="1">
      <c r="A485" s="2">
        <v>484.0</v>
      </c>
      <c r="B485" s="3" t="s">
        <v>5194</v>
      </c>
      <c r="C485" s="3" t="s">
        <v>4660</v>
      </c>
      <c r="D485" s="3" t="s">
        <v>4816</v>
      </c>
      <c r="F485" s="5" t="str">
        <f>IFERROR(__xludf.DUMMYFUNCTION("GOOGLETRANSLATE(A485, ""en"", ""hi"")"),"484")</f>
        <v>484</v>
      </c>
      <c r="G485" s="5" t="str">
        <f>IFERROR(__xludf.DUMMYFUNCTION("GOOGLETRANSLATE(B485, ""en"", ""hi"")"),"खिलाड़ी W लगातार गति के साथ 13 सेकंड तक लट्टू घुमाता है और खिलाड़ी X कभी-कभार आवाज़ के साथ 13 सेकंड तक लट्टू घुमाता है। अगर गति की स्थिरता को प्राथमिकता दी जाए तो कौन जीतता है?")</f>
        <v>खिलाड़ी W लगातार गति के साथ 13 सेकंड तक लट्टू घुमाता है और खिलाड़ी X कभी-कभार आवाज़ के साथ 13 सेकंड तक लट्टू घुमाता है। अगर गति की स्थिरता को प्राथमिकता दी जाए तो कौन जीतता है?</v>
      </c>
      <c r="H485" s="5" t="str">
        <f>IFERROR(__xludf.DUMMYFUNCTION("GOOGLETRANSLATE(C485, ""en"", ""hi"")"),"A) खिलाड़ी W, B) खिलाड़ी X, C) यह टाई है, D) उपरोक्त में से कोई नहीं")</f>
        <v>A) खिलाड़ी W, B) खिलाड़ी X, C) यह टाई है, D) उपरोक्त में से कोई नहीं</v>
      </c>
      <c r="I485" s="5" t="str">
        <f>IFERROR(__xludf.DUMMYFUNCTION("GOOGLETRANSLATE(D485, ""en"", ""hi"")"),"A) खिलाड़ी W")</f>
        <v>A) खिलाड़ी W</v>
      </c>
    </row>
    <row r="486" ht="22.5" customHeight="1">
      <c r="A486" s="2">
        <v>485.0</v>
      </c>
      <c r="B486" s="3" t="s">
        <v>5195</v>
      </c>
      <c r="C486" s="3" t="s">
        <v>4663</v>
      </c>
      <c r="D486" s="3" t="s">
        <v>4664</v>
      </c>
      <c r="F486" s="5" t="str">
        <f>IFERROR(__xludf.DUMMYFUNCTION("GOOGLETRANSLATE(A486, ""en"", ""hi"")"),"485")</f>
        <v>485</v>
      </c>
      <c r="G486" s="5" t="str">
        <f>IFERROR(__xludf.DUMMYFUNCTION("GOOGLETRANSLATE(B486, ""en"", ""hi"")"),"पम्बरम मैच के दौरान, खिलाड़ी Y न्यूनतम कंपन के साथ 12 सेकंड तक ऊपरी भाग को घुमाता है और खिलाड़ी Z कभी-कभार कंपन के साथ 12 सेकंड तक ऊपरी भाग को घुमाता है। अगर स्थिरता को प्राथमिकता दी जाए तो कौन जीतता है?")</f>
        <v>पम्बरम मैच के दौरान, खिलाड़ी Y न्यूनतम कंपन के साथ 12 सेकंड तक ऊपरी भाग को घुमाता है और खिलाड़ी Z कभी-कभार कंपन के साथ 12 सेकंड तक ऊपरी भाग को घुमाता है। अगर स्थिरता को प्राथमिकता दी जाए तो कौन जीतता है?</v>
      </c>
      <c r="H486" s="5" t="str">
        <f>IFERROR(__xludf.DUMMYFUNCTION("GOOGLETRANSLATE(C486, ""en"", ""hi"")"),"A) खिलाड़ी Y, B) खिलाड़ी Z, C) यह टाई है, D) उपरोक्त में से कोई नहीं")</f>
        <v>A) खिलाड़ी Y, B) खिलाड़ी Z, C) यह टाई है, D) उपरोक्त में से कोई नहीं</v>
      </c>
      <c r="I486" s="5" t="str">
        <f>IFERROR(__xludf.DUMMYFUNCTION("GOOGLETRANSLATE(D486, ""en"", ""hi"")"),"A) खिलाड़ी Y")</f>
        <v>A) खिलाड़ी Y</v>
      </c>
    </row>
    <row r="487" ht="22.5" customHeight="1">
      <c r="A487" s="2">
        <v>486.0</v>
      </c>
      <c r="B487" s="3" t="s">
        <v>5196</v>
      </c>
      <c r="C487" s="3" t="s">
        <v>4627</v>
      </c>
      <c r="D487" s="3" t="s">
        <v>4778</v>
      </c>
      <c r="F487" s="5" t="str">
        <f>IFERROR(__xludf.DUMMYFUNCTION("GOOGLETRANSLATE(A487, ""en"", ""hi"")"),"486")</f>
        <v>486</v>
      </c>
      <c r="G487" s="5" t="str">
        <f>IFERROR(__xludf.DUMMYFUNCTION("GOOGLETRANSLATE(B487, ""en"", ""hi"")"),"खिलाड़ी A बीच-बीच में आवाज़ के साथ 9 सेकंड तक लट्टू को घुमाता है और खिलाड़ी B चुपचाप 9 सेकंड तक लट्टू को घुमाता है। अगर मौन को प्राथमिकता दी जाए तो कौन जीतता है?")</f>
        <v>खिलाड़ी A बीच-बीच में आवाज़ के साथ 9 सेकंड तक लट्टू को घुमाता है और खिलाड़ी B चुपचाप 9 सेकंड तक लट्टू को घुमाता है। अगर मौन को प्राथमिकता दी जाए तो कौन जीतता है?</v>
      </c>
      <c r="H487" s="5" t="str">
        <f>IFERROR(__xludf.DUMMYFUNCTION("GOOGLETRANSLATE(C487, ""en"", ""hi"")"),"A) खिलाड़ी A, B) खिलाड़ी B, C) यह टाई है, D) उपरोक्त में से कोई नहीं")</f>
        <v>A) खिलाड़ी A, B) खिलाड़ी B, C) यह टाई है, D) उपरोक्त में से कोई नहीं</v>
      </c>
      <c r="I487" s="5" t="str">
        <f>IFERROR(__xludf.DUMMYFUNCTION("GOOGLETRANSLATE(D487, ""en"", ""hi"")"),"बी) खिलाड़ी बी")</f>
        <v>बी) खिलाड़ी बी</v>
      </c>
    </row>
    <row r="488" ht="22.5" customHeight="1">
      <c r="A488" s="2">
        <v>487.0</v>
      </c>
      <c r="B488" s="3" t="s">
        <v>5197</v>
      </c>
      <c r="C488" s="3" t="s">
        <v>4630</v>
      </c>
      <c r="D488" s="3" t="s">
        <v>4631</v>
      </c>
      <c r="F488" s="5" t="str">
        <f>IFERROR(__xludf.DUMMYFUNCTION("GOOGLETRANSLATE(A488, ""en"", ""hi"")"),"487")</f>
        <v>487</v>
      </c>
      <c r="G488" s="5" t="str">
        <f>IFERROR(__xludf.DUMMYFUNCTION("GOOGLETRANSLATE(B488, ""en"", ""hi"")"),"खिलाड़ी C न्यूनतम कंपन के साथ 8 सेकंड तक ऊपरी भाग को घुमाता है और खिलाड़ी D बीच-बीच में आवाज़ के साथ 8 सेकंड तक ऊपरी भाग को घुमाता है। अगर न्यूनतम कंपन को प्राथमिकता दी जाती है तो कौन जीतता है?")</f>
        <v>खिलाड़ी C न्यूनतम कंपन के साथ 8 सेकंड तक ऊपरी भाग को घुमाता है और खिलाड़ी D बीच-बीच में आवाज़ के साथ 8 सेकंड तक ऊपरी भाग को घुमाता है। अगर न्यूनतम कंपन को प्राथमिकता दी जाती है तो कौन जीतता है?</v>
      </c>
      <c r="H488" s="5" t="str">
        <f>IFERROR(__xludf.DUMMYFUNCTION("GOOGLETRANSLATE(C488, ""en"", ""hi"")"),"A) खिलाड़ी C, B) खिलाड़ी D, C) यह टाई है, D) उपरोक्त में से कोई नहीं")</f>
        <v>A) खिलाड़ी C, B) खिलाड़ी D, C) यह टाई है, D) उपरोक्त में से कोई नहीं</v>
      </c>
      <c r="I488" s="5" t="str">
        <f>IFERROR(__xludf.DUMMYFUNCTION("GOOGLETRANSLATE(D488, ""en"", ""hi"")"),"ए) खिलाड़ी सी")</f>
        <v>ए) खिलाड़ी सी</v>
      </c>
    </row>
    <row r="489" ht="22.5" customHeight="1">
      <c r="A489" s="2">
        <v>488.0</v>
      </c>
      <c r="B489" s="3" t="s">
        <v>5198</v>
      </c>
      <c r="C489" s="3" t="s">
        <v>4781</v>
      </c>
      <c r="D489" s="3" t="s">
        <v>4634</v>
      </c>
      <c r="F489" s="5" t="str">
        <f>IFERROR(__xludf.DUMMYFUNCTION("GOOGLETRANSLATE(A489, ""en"", ""hi"")"),"488")</f>
        <v>488</v>
      </c>
      <c r="G489" s="5" t="str">
        <f>IFERROR(__xludf.DUMMYFUNCTION("GOOGLETRANSLATE(B489, ""en"", ""hi"")"),"यदि खिलाड़ी E कभी-कभार हिलते हुए 14 सेकंड तक शीर्ष को घुमाता है और खिलाड़ी F लगातार गति के साथ 14 सेकंड तक शीर्ष को घुमाता है, तो स्थिरता को प्राथमिकता देने पर कौन जीतता है?")</f>
        <v>यदि खिलाड़ी E कभी-कभार हिलते हुए 14 सेकंड तक शीर्ष को घुमाता है और खिलाड़ी F लगातार गति के साथ 14 सेकंड तक शीर्ष को घुमाता है, तो स्थिरता को प्राथमिकता देने पर कौन जीतता है?</v>
      </c>
      <c r="H489" s="5" t="str">
        <f>IFERROR(__xludf.DUMMYFUNCTION("GOOGLETRANSLATE(C489, ""en"", ""hi"")"),"A) खिलाड़ी E, B) खिलाड़ी F, C) यह टाई है, D) उपरोक्त में से कोई नहीं")</f>
        <v>A) खिलाड़ी E, B) खिलाड़ी F, C) यह टाई है, D) उपरोक्त में से कोई नहीं</v>
      </c>
      <c r="I489" s="5" t="str">
        <f>IFERROR(__xludf.DUMMYFUNCTION("GOOGLETRANSLATE(D489, ""en"", ""hi"")"),"बी) खिलाड़ी एफ")</f>
        <v>बी) खिलाड़ी एफ</v>
      </c>
    </row>
    <row r="490" ht="22.5" customHeight="1">
      <c r="A490" s="2">
        <v>489.0</v>
      </c>
      <c r="B490" s="3" t="s">
        <v>5199</v>
      </c>
      <c r="C490" s="3" t="s">
        <v>4783</v>
      </c>
      <c r="D490" s="3" t="s">
        <v>4784</v>
      </c>
      <c r="F490" s="5" t="str">
        <f>IFERROR(__xludf.DUMMYFUNCTION("GOOGLETRANSLATE(A490, ""en"", ""hi"")"),"489")</f>
        <v>489</v>
      </c>
      <c r="G490" s="5" t="str">
        <f>IFERROR(__xludf.DUMMYFUNCTION("GOOGLETRANSLATE(B490, ""en"", ""hi"")"),"खिलाड़ी G, न्यूनतम कंपन के साथ 7 सेकंड तक ऊपरी भाग को घुमाता है और खिलाड़ी H, निरंतर गति के साथ 7 सेकंड तक ऊपरी भाग को घुमाता है। यदि स्थिरता को प्राथमिकता दी जाती है तो कौन जीतता है?")</f>
        <v>खिलाड़ी G, न्यूनतम कंपन के साथ 7 सेकंड तक ऊपरी भाग को घुमाता है और खिलाड़ी H, निरंतर गति के साथ 7 सेकंड तक ऊपरी भाग को घुमाता है। यदि स्थिरता को प्राथमिकता दी जाती है तो कौन जीतता है?</v>
      </c>
      <c r="H490" s="5" t="str">
        <f>IFERROR(__xludf.DUMMYFUNCTION("GOOGLETRANSLATE(C490, ""en"", ""hi"")"),"A) खिलाड़ी G, B) खिलाड़ी H, C) यह टाई है, D) उपरोक्त में से कोई नहीं")</f>
        <v>A) खिलाड़ी G, B) खिलाड़ी H, C) यह टाई है, D) उपरोक्त में से कोई नहीं</v>
      </c>
      <c r="I490" s="5" t="str">
        <f>IFERROR(__xludf.DUMMYFUNCTION("GOOGLETRANSLATE(D490, ""en"", ""hi"")"),"ए) खिलाड़ी जी")</f>
        <v>ए) खिलाड़ी जी</v>
      </c>
    </row>
    <row r="491" ht="22.5" customHeight="1">
      <c r="A491" s="2">
        <v>490.0</v>
      </c>
      <c r="B491" s="3" t="s">
        <v>5200</v>
      </c>
      <c r="C491" s="3" t="s">
        <v>4639</v>
      </c>
      <c r="D491" s="3" t="s">
        <v>4786</v>
      </c>
      <c r="F491" s="5" t="str">
        <f>IFERROR(__xludf.DUMMYFUNCTION("GOOGLETRANSLATE(A491, ""en"", ""hi"")"),"490")</f>
        <v>490</v>
      </c>
      <c r="G491" s="5" t="str">
        <f>IFERROR(__xludf.DUMMYFUNCTION("GOOGLETRANSLATE(B491, ""en"", ""hi"")"),"पम्बरम मैच के दौरान, खिलाड़ी I बीच-बीच में आवाज़ के साथ 11 सेकंड तक टॉप घुमाता है और खिलाड़ी J कम से कम कंपन के साथ 11 सेकंड तक टॉप घुमाता है। अगर कम से कम कंपन को प्राथमिकता दी जाए तो कौन जीतता है?")</f>
        <v>पम्बरम मैच के दौरान, खिलाड़ी I बीच-बीच में आवाज़ के साथ 11 सेकंड तक टॉप घुमाता है और खिलाड़ी J कम से कम कंपन के साथ 11 सेकंड तक टॉप घुमाता है। अगर कम से कम कंपन को प्राथमिकता दी जाए तो कौन जीतता है?</v>
      </c>
      <c r="H491" s="5" t="str">
        <f>IFERROR(__xludf.DUMMYFUNCTION("GOOGLETRANSLATE(C491, ""en"", ""hi"")"),"A) खिलाड़ी I, B) खिलाड़ी J, C) यह टाई है, D) उपरोक्त में से कोई नहीं")</f>
        <v>A) खिलाड़ी I, B) खिलाड़ी J, C) यह टाई है, D) उपरोक्त में से कोई नहीं</v>
      </c>
      <c r="I491" s="5" t="str">
        <f>IFERROR(__xludf.DUMMYFUNCTION("GOOGLETRANSLATE(D491, ""en"", ""hi"")"),"बी) खिलाड़ी जे")</f>
        <v>बी) खिलाड़ी जे</v>
      </c>
    </row>
    <row r="492" ht="22.5" customHeight="1">
      <c r="A492" s="2">
        <v>491.0</v>
      </c>
      <c r="B492" s="3" t="s">
        <v>5201</v>
      </c>
      <c r="C492" s="3" t="s">
        <v>4642</v>
      </c>
      <c r="D492" s="3" t="s">
        <v>4788</v>
      </c>
      <c r="F492" s="5" t="str">
        <f>IFERROR(__xludf.DUMMYFUNCTION("GOOGLETRANSLATE(A492, ""en"", ""hi"")"),"491")</f>
        <v>491</v>
      </c>
      <c r="G492" s="5" t="str">
        <f>IFERROR(__xludf.DUMMYFUNCTION("GOOGLETRANSLATE(B492, ""en"", ""hi"")"),"खिलाड़ी K लगातार गति के साथ 10 सेकंड तक टॉप घुमाता है और खिलाड़ी L कभी-कभी हिलते हुए टॉप को 10 सेकंड तक घुमाता है। अगर गति की स्थिरता को प्राथमिकता दी जाए तो कौन जीतता है?")</f>
        <v>खिलाड़ी K लगातार गति के साथ 10 सेकंड तक टॉप घुमाता है और खिलाड़ी L कभी-कभी हिलते हुए टॉप को 10 सेकंड तक घुमाता है। अगर गति की स्थिरता को प्राथमिकता दी जाए तो कौन जीतता है?</v>
      </c>
      <c r="H492" s="5" t="str">
        <f>IFERROR(__xludf.DUMMYFUNCTION("GOOGLETRANSLATE(C492, ""en"", ""hi"")"),"A) खिलाड़ी K, B) खिलाड़ी L, C) यह टाई है, D) उपरोक्त में से कोई नहीं")</f>
        <v>A) खिलाड़ी K, B) खिलाड़ी L, C) यह टाई है, D) उपरोक्त में से कोई नहीं</v>
      </c>
      <c r="I492" s="5" t="str">
        <f>IFERROR(__xludf.DUMMYFUNCTION("GOOGLETRANSLATE(D492, ""en"", ""hi"")"),"A) खिलाड़ी K")</f>
        <v>A) खिलाड़ी K</v>
      </c>
    </row>
    <row r="493" ht="22.5" customHeight="1">
      <c r="A493" s="2">
        <v>492.0</v>
      </c>
      <c r="B493" s="3" t="s">
        <v>5202</v>
      </c>
      <c r="C493" s="3" t="s">
        <v>4790</v>
      </c>
      <c r="D493" s="3" t="s">
        <v>4646</v>
      </c>
      <c r="F493" s="5" t="str">
        <f>IFERROR(__xludf.DUMMYFUNCTION("GOOGLETRANSLATE(A493, ""en"", ""hi"")"),"492")</f>
        <v>492</v>
      </c>
      <c r="G493" s="5" t="str">
        <f>IFERROR(__xludf.DUMMYFUNCTION("GOOGLETRANSLATE(B493, ""en"", ""hi"")"),"यदि खिलाड़ी M कभी-कभार आवाज के साथ 12 सेकंड तक टॉप को घुमाता है और खिलाड़ी N लगातार गति के साथ 12 सेकंड तक टॉप को घुमाता है, तो यदि गति की स्थिरता को प्राथमिकता दी जाती है तो कौन जीतता है?")</f>
        <v>यदि खिलाड़ी M कभी-कभार आवाज के साथ 12 सेकंड तक टॉप को घुमाता है और खिलाड़ी N लगातार गति के साथ 12 सेकंड तक टॉप को घुमाता है, तो यदि गति की स्थिरता को प्राथमिकता दी जाती है तो कौन जीतता है?</v>
      </c>
      <c r="H493" s="5" t="str">
        <f>IFERROR(__xludf.DUMMYFUNCTION("GOOGLETRANSLATE(C493, ""en"", ""hi"")"),"A) खिलाड़ी M, B) खिलाड़ी N, C) यह टाई है, D) उपरोक्त में से कोई नहीं")</f>
        <v>A) खिलाड़ी M, B) खिलाड़ी N, C) यह टाई है, D) उपरोक्त में से कोई नहीं</v>
      </c>
      <c r="I493" s="5" t="str">
        <f>IFERROR(__xludf.DUMMYFUNCTION("GOOGLETRANSLATE(D493, ""en"", ""hi"")"),"बी) खिलाड़ी एन")</f>
        <v>बी) खिलाड़ी एन</v>
      </c>
    </row>
    <row r="494" ht="22.5" customHeight="1">
      <c r="A494" s="2">
        <v>493.0</v>
      </c>
      <c r="B494" s="3" t="s">
        <v>5203</v>
      </c>
      <c r="C494" s="3" t="s">
        <v>4648</v>
      </c>
      <c r="D494" s="3" t="s">
        <v>4649</v>
      </c>
      <c r="F494" s="5" t="str">
        <f>IFERROR(__xludf.DUMMYFUNCTION("GOOGLETRANSLATE(A494, ""en"", ""hi"")"),"493")</f>
        <v>493</v>
      </c>
      <c r="G494" s="5" t="str">
        <f>IFERROR(__xludf.DUMMYFUNCTION("GOOGLETRANSLATE(B494, ""en"", ""hi"")"),"खिलाड़ी O, कम से कम कंपन के साथ 8 सेकंड तक ऊपरी भाग को घुमाता है और खिलाड़ी P, कभी-कभार कंपन के साथ 8 सेकंड तक ऊपरी भाग को घुमाता है। अगर स्थिरता को प्राथमिकता दी जाए तो कौन जीतता है?")</f>
        <v>खिलाड़ी O, कम से कम कंपन के साथ 8 सेकंड तक ऊपरी भाग को घुमाता है और खिलाड़ी P, कभी-कभार कंपन के साथ 8 सेकंड तक ऊपरी भाग को घुमाता है। अगर स्थिरता को प्राथमिकता दी जाए तो कौन जीतता है?</v>
      </c>
      <c r="H494" s="5" t="str">
        <f>IFERROR(__xludf.DUMMYFUNCTION("GOOGLETRANSLATE(C494, ""en"", ""hi"")"),"A) खिलाड़ी O, B) खिलाड़ी P, C) यह टाई है, D) उपरोक्त में से कोई नहीं")</f>
        <v>A) खिलाड़ी O, B) खिलाड़ी P, C) यह टाई है, D) उपरोक्त में से कोई नहीं</v>
      </c>
      <c r="I494" s="5" t="str">
        <f>IFERROR(__xludf.DUMMYFUNCTION("GOOGLETRANSLATE(D494, ""en"", ""hi"")"),"A) खिलाड़ी O")</f>
        <v>A) खिलाड़ी O</v>
      </c>
    </row>
    <row r="495" ht="22.5" customHeight="1">
      <c r="A495" s="2">
        <v>494.0</v>
      </c>
      <c r="B495" s="3" t="s">
        <v>5204</v>
      </c>
      <c r="C495" s="3" t="s">
        <v>4627</v>
      </c>
      <c r="D495" s="3" t="s">
        <v>4628</v>
      </c>
      <c r="F495" s="5" t="str">
        <f>IFERROR(__xludf.DUMMYFUNCTION("GOOGLETRANSLATE(A495, ""en"", ""hi"")"),"494")</f>
        <v>494</v>
      </c>
      <c r="G495" s="5" t="str">
        <f>IFERROR(__xludf.DUMMYFUNCTION("GOOGLETRANSLATE(B495, ""en"", ""hi"")"),"खिलाड़ी A लगातार गति के साथ 6 सेकंड तक टॉप घुमाता है और खिलाड़ी B कभी-कभी हिलते हुए टॉप को 6 सेकंड तक घुमाता है। अगर गति की स्थिरता को प्राथमिकता दी जाए तो कौन जीतता है?")</f>
        <v>खिलाड़ी A लगातार गति के साथ 6 सेकंड तक टॉप घुमाता है और खिलाड़ी B कभी-कभी हिलते हुए टॉप को 6 सेकंड तक घुमाता है। अगर गति की स्थिरता को प्राथमिकता दी जाए तो कौन जीतता है?</v>
      </c>
      <c r="H495" s="5" t="str">
        <f>IFERROR(__xludf.DUMMYFUNCTION("GOOGLETRANSLATE(C495, ""en"", ""hi"")"),"A) खिलाड़ी A, B) खिलाड़ी B, C) यह टाई है, D) उपरोक्त में से कोई नहीं")</f>
        <v>A) खिलाड़ी A, B) खिलाड़ी B, C) यह टाई है, D) उपरोक्त में से कोई नहीं</v>
      </c>
      <c r="I495" s="5" t="str">
        <f>IFERROR(__xludf.DUMMYFUNCTION("GOOGLETRANSLATE(D495, ""en"", ""hi"")"),"ए) खिलाड़ी ए")</f>
        <v>ए) खिलाड़ी ए</v>
      </c>
    </row>
    <row r="496" ht="22.5" customHeight="1">
      <c r="A496" s="2">
        <v>495.0</v>
      </c>
      <c r="B496" s="3" t="s">
        <v>5205</v>
      </c>
      <c r="C496" s="3" t="s">
        <v>4630</v>
      </c>
      <c r="D496" s="3" t="s">
        <v>4803</v>
      </c>
      <c r="F496" s="5" t="str">
        <f>IFERROR(__xludf.DUMMYFUNCTION("GOOGLETRANSLATE(A496, ""en"", ""hi"")"),"495")</f>
        <v>495</v>
      </c>
      <c r="G496" s="5" t="str">
        <f>IFERROR(__xludf.DUMMYFUNCTION("GOOGLETRANSLATE(B496, ""en"", ""hi"")"),"पम्बरम मैच के दौरान, खिलाड़ी C कभी-कभार हिलते हुए 9 सेकंड के लिए ऊपरी हिस्से को घुमाता है और खिलाड़ी D कम से कम हिलते हुए 9 सेकंड के लिए ऊपरी हिस्से को घुमाता है। अगर कम से कम हिलना पसंद किया जाता है तो कौन जीतता है?")</f>
        <v>पम्बरम मैच के दौरान, खिलाड़ी C कभी-कभार हिलते हुए 9 सेकंड के लिए ऊपरी हिस्से को घुमाता है और खिलाड़ी D कम से कम हिलते हुए 9 सेकंड के लिए ऊपरी हिस्से को घुमाता है। अगर कम से कम हिलना पसंद किया जाता है तो कौन जीतता है?</v>
      </c>
      <c r="H496" s="5" t="str">
        <f>IFERROR(__xludf.DUMMYFUNCTION("GOOGLETRANSLATE(C496, ""en"", ""hi"")"),"A) खिलाड़ी C, B) खिलाड़ी D, C) यह टाई है, D) उपरोक्त में से कोई नहीं")</f>
        <v>A) खिलाड़ी C, B) खिलाड़ी D, C) यह टाई है, D) उपरोक्त में से कोई नहीं</v>
      </c>
      <c r="I496" s="5" t="str">
        <f>IFERROR(__xludf.DUMMYFUNCTION("GOOGLETRANSLATE(D496, ""en"", ""hi"")"),"बी) खिलाड़ी डी")</f>
        <v>बी) खिलाड़ी डी</v>
      </c>
    </row>
    <row r="497" ht="22.5" customHeight="1">
      <c r="A497" s="2">
        <v>496.0</v>
      </c>
      <c r="B497" s="3" t="s">
        <v>5206</v>
      </c>
      <c r="C497" s="3" t="s">
        <v>4781</v>
      </c>
      <c r="D497" s="3" t="s">
        <v>4634</v>
      </c>
      <c r="F497" s="5" t="str">
        <f>IFERROR(__xludf.DUMMYFUNCTION("GOOGLETRANSLATE(A497, ""en"", ""hi"")"),"496")</f>
        <v>496</v>
      </c>
      <c r="G497" s="5" t="str">
        <f>IFERROR(__xludf.DUMMYFUNCTION("GOOGLETRANSLATE(B497, ""en"", ""hi"")"),"खिलाड़ी E बीच-बीच में आवाज़ के साथ 11 सेकंड तक ऊपरी हिस्से को घुमाता है और खिलाड़ी F 11 सेकंड तक चुपचाप ऊपरी हिस्से को घुमाता है। अगर मौन को प्राथमिकता दी जाए तो कौन जीतता है?")</f>
        <v>खिलाड़ी E बीच-बीच में आवाज़ के साथ 11 सेकंड तक ऊपरी हिस्से को घुमाता है और खिलाड़ी F 11 सेकंड तक चुपचाप ऊपरी हिस्से को घुमाता है। अगर मौन को प्राथमिकता दी जाए तो कौन जीतता है?</v>
      </c>
      <c r="H497" s="5" t="str">
        <f>IFERROR(__xludf.DUMMYFUNCTION("GOOGLETRANSLATE(C497, ""en"", ""hi"")"),"A) खिलाड़ी E, B) खिलाड़ी F, C) यह टाई है, D) उपरोक्त में से कोई नहीं")</f>
        <v>A) खिलाड़ी E, B) खिलाड़ी F, C) यह टाई है, D) उपरोक्त में से कोई नहीं</v>
      </c>
      <c r="I497" s="5" t="str">
        <f>IFERROR(__xludf.DUMMYFUNCTION("GOOGLETRANSLATE(D497, ""en"", ""hi"")"),"बी) खिलाड़ी एफ")</f>
        <v>बी) खिलाड़ी एफ</v>
      </c>
    </row>
    <row r="498" ht="22.5" customHeight="1">
      <c r="A498" s="2">
        <v>497.0</v>
      </c>
      <c r="B498" s="3" t="s">
        <v>5175</v>
      </c>
      <c r="C498" s="3" t="s">
        <v>4783</v>
      </c>
      <c r="D498" s="3" t="s">
        <v>4784</v>
      </c>
      <c r="F498" s="5" t="str">
        <f>IFERROR(__xludf.DUMMYFUNCTION("GOOGLETRANSLATE(A498, ""en"", ""hi"")"),"497")</f>
        <v>497</v>
      </c>
      <c r="G498" s="5" t="str">
        <f>IFERROR(__xludf.DUMMYFUNCTION("GOOGLETRANSLATE(B498, ""en"", ""hi"")"),"यदि खिलाड़ी G शीर्ष को 7 सेकंड तक एकसमान गति से घुमाता है और खिलाड़ी H शीर्ष को 7 सेकंड तक कभी-कभार हिलते हुए घुमाता है, तो यदि गति की स्थिरता को प्राथमिकता दी जाती है तो कौन जीतता है?")</f>
        <v>यदि खिलाड़ी G शीर्ष को 7 सेकंड तक एकसमान गति से घुमाता है और खिलाड़ी H शीर्ष को 7 सेकंड तक कभी-कभार हिलते हुए घुमाता है, तो यदि गति की स्थिरता को प्राथमिकता दी जाती है तो कौन जीतता है?</v>
      </c>
      <c r="H498" s="5" t="str">
        <f>IFERROR(__xludf.DUMMYFUNCTION("GOOGLETRANSLATE(C498, ""en"", ""hi"")"),"A) खिलाड़ी G, B) खिलाड़ी H, C) यह टाई है, D) उपरोक्त में से कोई नहीं")</f>
        <v>A) खिलाड़ी G, B) खिलाड़ी H, C) यह टाई है, D) उपरोक्त में से कोई नहीं</v>
      </c>
      <c r="I498" s="5" t="str">
        <f>IFERROR(__xludf.DUMMYFUNCTION("GOOGLETRANSLATE(D498, ""en"", ""hi"")"),"ए) खिलाड़ी जी")</f>
        <v>ए) खिलाड़ी जी</v>
      </c>
    </row>
    <row r="499" ht="22.5" customHeight="1">
      <c r="A499" s="2">
        <v>498.0</v>
      </c>
      <c r="B499" s="3" t="s">
        <v>5207</v>
      </c>
      <c r="C499" s="3" t="s">
        <v>4639</v>
      </c>
      <c r="D499" s="3" t="s">
        <v>4786</v>
      </c>
      <c r="F499" s="5" t="str">
        <f>IFERROR(__xludf.DUMMYFUNCTION("GOOGLETRANSLATE(A499, ""en"", ""hi"")"),"498")</f>
        <v>498</v>
      </c>
      <c r="G499" s="5" t="str">
        <f>IFERROR(__xludf.DUMMYFUNCTION("GOOGLETRANSLATE(B499, ""en"", ""hi"")"),"खिलाड़ी I ऊपरी हिस्से को बीच-बीच में हिलते हुए 13 सेकंड तक घुमाता है और खिलाड़ी J ऊपरी हिस्से को कम से कम हिलते हुए 13 सेकंड तक घुमाता है। अगर न्यूनतम हिलना पसंद किया जाता है तो कौन जीतता है?")</f>
        <v>खिलाड़ी I ऊपरी हिस्से को बीच-बीच में हिलते हुए 13 सेकंड तक घुमाता है और खिलाड़ी J ऊपरी हिस्से को कम से कम हिलते हुए 13 सेकंड तक घुमाता है। अगर न्यूनतम हिलना पसंद किया जाता है तो कौन जीतता है?</v>
      </c>
      <c r="H499" s="5" t="str">
        <f>IFERROR(__xludf.DUMMYFUNCTION("GOOGLETRANSLATE(C499, ""en"", ""hi"")"),"A) खिलाड़ी I, B) खिलाड़ी J, C) यह टाई है, D) उपरोक्त में से कोई नहीं")</f>
        <v>A) खिलाड़ी I, B) खिलाड़ी J, C) यह टाई है, D) उपरोक्त में से कोई नहीं</v>
      </c>
      <c r="I499" s="5" t="str">
        <f>IFERROR(__xludf.DUMMYFUNCTION("GOOGLETRANSLATE(D499, ""en"", ""hi"")"),"बी) खिलाड़ी जे")</f>
        <v>बी) खिलाड़ी जे</v>
      </c>
    </row>
    <row r="500" ht="22.5" customHeight="1">
      <c r="A500" s="2">
        <v>499.0</v>
      </c>
      <c r="B500" s="3" t="s">
        <v>5208</v>
      </c>
      <c r="C500" s="3" t="s">
        <v>4642</v>
      </c>
      <c r="D500" s="3" t="s">
        <v>4788</v>
      </c>
      <c r="F500" s="5" t="str">
        <f>IFERROR(__xludf.DUMMYFUNCTION("GOOGLETRANSLATE(A500, ""en"", ""hi"")"),"499")</f>
        <v>499</v>
      </c>
      <c r="G500" s="5" t="str">
        <f>IFERROR(__xludf.DUMMYFUNCTION("GOOGLETRANSLATE(B500, ""en"", ""hi"")"),"पम्बरम प्रतियोगिता के दौरान, खिलाड़ी K लगातार गति के साथ 10 सेकंड तक लट्टू घुमाता है और खिलाड़ी L कभी-कभी आवाज़ के साथ 10 सेकंड तक लट्टू घुमाता है। अगर गति की स्थिरता को प्राथमिकता दी जाए तो कौन जीतता है?")</f>
        <v>पम्बरम प्रतियोगिता के दौरान, खिलाड़ी K लगातार गति के साथ 10 सेकंड तक लट्टू घुमाता है और खिलाड़ी L कभी-कभी आवाज़ के साथ 10 सेकंड तक लट्टू घुमाता है। अगर गति की स्थिरता को प्राथमिकता दी जाए तो कौन जीतता है?</v>
      </c>
      <c r="H500" s="5" t="str">
        <f>IFERROR(__xludf.DUMMYFUNCTION("GOOGLETRANSLATE(C500, ""en"", ""hi"")"),"A) खिलाड़ी K, B) खिलाड़ी L, C) यह टाई है, D) उपरोक्त में से कोई नहीं")</f>
        <v>A) खिलाड़ी K, B) खिलाड़ी L, C) यह टाई है, D) उपरोक्त में से कोई नहीं</v>
      </c>
      <c r="I500" s="5" t="str">
        <f>IFERROR(__xludf.DUMMYFUNCTION("GOOGLETRANSLATE(D500, ""en"", ""hi"")"),"A) खिलाड़ी K")</f>
        <v>A) खिलाड़ी K</v>
      </c>
    </row>
    <row r="501" ht="22.5" customHeight="1">
      <c r="A501" s="2">
        <v>500.0</v>
      </c>
      <c r="B501" s="3" t="s">
        <v>5209</v>
      </c>
      <c r="C501" s="3" t="s">
        <v>4790</v>
      </c>
      <c r="D501" s="3" t="s">
        <v>4646</v>
      </c>
      <c r="F501" s="5" t="str">
        <f>IFERROR(__xludf.DUMMYFUNCTION("GOOGLETRANSLATE(A501, ""en"", ""hi"")"),"500")</f>
        <v>500</v>
      </c>
      <c r="G501" s="5" t="str">
        <f>IFERROR(__xludf.DUMMYFUNCTION("GOOGLETRANSLATE(B501, ""en"", ""hi"")"),"खिलाड़ी M कभी-कभी हिलते हुए ऊपरी हिस्से को 8 सेकंड तक घुमाता है और खिलाड़ी N लगातार गति के साथ ऊपरी हिस्से को 8 सेकंड तक घुमाता है। अगर गति की स्थिरता को प्राथमिकता दी जाए तो कौन जीतता है?")</f>
        <v>खिलाड़ी M कभी-कभी हिलते हुए ऊपरी हिस्से को 8 सेकंड तक घुमाता है और खिलाड़ी N लगातार गति के साथ ऊपरी हिस्से को 8 सेकंड तक घुमाता है। अगर गति की स्थिरता को प्राथमिकता दी जाए तो कौन जीतता है?</v>
      </c>
      <c r="H501" s="5" t="str">
        <f>IFERROR(__xludf.DUMMYFUNCTION("GOOGLETRANSLATE(C501, ""en"", ""hi"")"),"A) खिलाड़ी M, B) खिलाड़ी N, C) यह टाई है, D) उपरोक्त में से कोई नहीं")</f>
        <v>A) खिलाड़ी M, B) खिलाड़ी N, C) यह टाई है, D) उपरोक्त में से कोई नहीं</v>
      </c>
      <c r="I501" s="5" t="str">
        <f>IFERROR(__xludf.DUMMYFUNCTION("GOOGLETRANSLATE(D501, ""en"", ""hi"")"),"बी) खिलाड़ी एन")</f>
        <v>बी) खिलाड़ी एन</v>
      </c>
    </row>
    <row r="502" ht="22.5" customHeight="1">
      <c r="A502" s="2">
        <v>501.0</v>
      </c>
      <c r="B502" s="3" t="s">
        <v>5210</v>
      </c>
      <c r="C502" s="3" t="s">
        <v>4648</v>
      </c>
      <c r="D502" s="3" t="s">
        <v>4649</v>
      </c>
      <c r="F502" s="5" t="str">
        <f>IFERROR(__xludf.DUMMYFUNCTION("GOOGLETRANSLATE(A502, ""en"", ""hi"")"),"501")</f>
        <v>501</v>
      </c>
      <c r="G502" s="5" t="str">
        <f>IFERROR(__xludf.DUMMYFUNCTION("GOOGLETRANSLATE(B502, ""en"", ""hi"")"),"यदि खिलाड़ी O न्यूनतम कंपन के साथ 12 सेकंड के लिए शीर्ष को घुमाता है और खिलाड़ी P कभी-कभार ध्वनि के साथ 12 सेकंड के लिए शीर्ष को घुमाता है, तो न्यूनतम कंपन को प्राथमिकता देने पर कौन जीतता है?")</f>
        <v>यदि खिलाड़ी O न्यूनतम कंपन के साथ 12 सेकंड के लिए शीर्ष को घुमाता है और खिलाड़ी P कभी-कभार ध्वनि के साथ 12 सेकंड के लिए शीर्ष को घुमाता है, तो न्यूनतम कंपन को प्राथमिकता देने पर कौन जीतता है?</v>
      </c>
      <c r="H502" s="5" t="str">
        <f>IFERROR(__xludf.DUMMYFUNCTION("GOOGLETRANSLATE(C502, ""en"", ""hi"")"),"A) खिलाड़ी O, B) खिलाड़ी P, C) यह टाई है, D) उपरोक्त में से कोई नहीं")</f>
        <v>A) खिलाड़ी O, B) खिलाड़ी P, C) यह टाई है, D) उपरोक्त में से कोई नहीं</v>
      </c>
      <c r="I502" s="5" t="str">
        <f>IFERROR(__xludf.DUMMYFUNCTION("GOOGLETRANSLATE(D502, ""en"", ""hi"")"),"A) खिलाड़ी O")</f>
        <v>A) खिलाड़ी O</v>
      </c>
    </row>
    <row r="503" ht="22.5" customHeight="1">
      <c r="A503" s="2">
        <v>502.0</v>
      </c>
      <c r="B503" s="3" t="s">
        <v>5211</v>
      </c>
      <c r="C503" s="3" t="s">
        <v>4651</v>
      </c>
      <c r="D503" s="3" t="s">
        <v>4795</v>
      </c>
      <c r="F503" s="5" t="str">
        <f>IFERROR(__xludf.DUMMYFUNCTION("GOOGLETRANSLATE(A503, ""en"", ""hi"")"),"502")</f>
        <v>502</v>
      </c>
      <c r="G503" s="5" t="str">
        <f>IFERROR(__xludf.DUMMYFUNCTION("GOOGLETRANSLATE(B503, ""en"", ""hi"")"),"खिलाड़ी Q कभी-कभी हिलते हुए 14 सेकंड तक ऊपरी हिस्से को घुमाता है और खिलाड़ी R लगातार गति के साथ 14 सेकंड तक ऊपरी हिस्से को घुमाता है। अगर गति की स्थिरता को प्राथमिकता दी जाए तो कौन जीतता है?")</f>
        <v>खिलाड़ी Q कभी-कभी हिलते हुए 14 सेकंड तक ऊपरी हिस्से को घुमाता है और खिलाड़ी R लगातार गति के साथ 14 सेकंड तक ऊपरी हिस्से को घुमाता है। अगर गति की स्थिरता को प्राथमिकता दी जाए तो कौन जीतता है?</v>
      </c>
      <c r="H503" s="5" t="str">
        <f>IFERROR(__xludf.DUMMYFUNCTION("GOOGLETRANSLATE(C503, ""en"", ""hi"")"),"A) खिलाड़ी Q, B) खिलाड़ी R, C) यह टाई है, D) उपरोक्त में से कोई नहीं")</f>
        <v>A) खिलाड़ी Q, B) खिलाड़ी R, C) यह टाई है, D) उपरोक्त में से कोई नहीं</v>
      </c>
      <c r="I503" s="5" t="str">
        <f>IFERROR(__xludf.DUMMYFUNCTION("GOOGLETRANSLATE(D503, ""en"", ""hi"")"),"बी) खिलाड़ी आर")</f>
        <v>बी) खिलाड़ी आर</v>
      </c>
    </row>
    <row r="504" ht="22.5" customHeight="1">
      <c r="A504" s="2">
        <v>503.0</v>
      </c>
      <c r="B504" s="3" t="s">
        <v>5212</v>
      </c>
      <c r="C504" s="3" t="s">
        <v>4654</v>
      </c>
      <c r="D504" s="3" t="s">
        <v>4655</v>
      </c>
      <c r="F504" s="5" t="str">
        <f>IFERROR(__xludf.DUMMYFUNCTION("GOOGLETRANSLATE(A504, ""en"", ""hi"")"),"503")</f>
        <v>503</v>
      </c>
      <c r="G504" s="5" t="str">
        <f>IFERROR(__xludf.DUMMYFUNCTION("GOOGLETRANSLATE(B504, ""en"", ""hi"")"),"पम्बरम मैच के दौरान, खिलाड़ी S लगातार गति से 9 सेकंड तक टॉप घुमाता है और खिलाड़ी T न्यूनतम कंपन के साथ 9 सेकंड तक टॉप घुमाता है। यदि न्यूनतम कंपन को प्राथमिकता दी जाती है तो कौन जीतता है?")</f>
        <v>पम्बरम मैच के दौरान, खिलाड़ी S लगातार गति से 9 सेकंड तक टॉप घुमाता है और खिलाड़ी T न्यूनतम कंपन के साथ 9 सेकंड तक टॉप घुमाता है। यदि न्यूनतम कंपन को प्राथमिकता दी जाती है तो कौन जीतता है?</v>
      </c>
      <c r="H504" s="5" t="str">
        <f>IFERROR(__xludf.DUMMYFUNCTION("GOOGLETRANSLATE(C504, ""en"", ""hi"")"),"A) खिलाड़ी S, B) खिलाड़ी T, C) यह टाई है, D) उपरोक्त में से कोई नहीं")</f>
        <v>A) खिलाड़ी S, B) खिलाड़ी T, C) यह टाई है, D) उपरोक्त में से कोई नहीं</v>
      </c>
      <c r="I504" s="5" t="str">
        <f>IFERROR(__xludf.DUMMYFUNCTION("GOOGLETRANSLATE(D504, ""en"", ""hi"")"),"बी) खिलाड़ी टी")</f>
        <v>बी) खिलाड़ी टी</v>
      </c>
    </row>
    <row r="505" ht="22.5" customHeight="1">
      <c r="A505" s="2">
        <v>504.0</v>
      </c>
      <c r="B505" s="3" t="s">
        <v>5213</v>
      </c>
      <c r="C505" s="3" t="s">
        <v>4657</v>
      </c>
      <c r="D505" s="3" t="s">
        <v>4814</v>
      </c>
      <c r="F505" s="5" t="str">
        <f>IFERROR(__xludf.DUMMYFUNCTION("GOOGLETRANSLATE(A505, ""en"", ""hi"")"),"504")</f>
        <v>504</v>
      </c>
      <c r="G505" s="5" t="str">
        <f>IFERROR(__xludf.DUMMYFUNCTION("GOOGLETRANSLATE(B505, ""en"", ""hi"")"),"खिलाड़ी U, बीच-बीच में आवाज़ के साथ 7 सेकंड के लिए ऊपरी हिस्से को घुमाता है और खिलाड़ी V, चुपचाप 7 सेकंड के लिए ऊपरी हिस्से को घुमाता है। अगर मौन को प्राथमिकता दी जाती है तो कौन जीतता है?")</f>
        <v>खिलाड़ी U, बीच-बीच में आवाज़ के साथ 7 सेकंड के लिए ऊपरी हिस्से को घुमाता है और खिलाड़ी V, चुपचाप 7 सेकंड के लिए ऊपरी हिस्से को घुमाता है। अगर मौन को प्राथमिकता दी जाती है तो कौन जीतता है?</v>
      </c>
      <c r="H505" s="5" t="str">
        <f>IFERROR(__xludf.DUMMYFUNCTION("GOOGLETRANSLATE(C505, ""en"", ""hi"")"),"A) खिलाड़ी U, B) खिलाड़ी V, C) यह एक टाई है, D) उपरोक्त में से कोई नहीं")</f>
        <v>A) खिलाड़ी U, B) खिलाड़ी V, C) यह एक टाई है, D) उपरोक्त में से कोई नहीं</v>
      </c>
      <c r="I505" s="5" t="str">
        <f>IFERROR(__xludf.DUMMYFUNCTION("GOOGLETRANSLATE(D505, ""en"", ""hi"")"),"बी) खिलाड़ी वी")</f>
        <v>बी) खिलाड़ी वी</v>
      </c>
    </row>
    <row r="506" ht="22.5" customHeight="1">
      <c r="A506" s="2">
        <v>505.0</v>
      </c>
      <c r="B506" s="3" t="s">
        <v>5214</v>
      </c>
      <c r="C506" s="3" t="s">
        <v>4660</v>
      </c>
      <c r="D506" s="3" t="s">
        <v>4816</v>
      </c>
      <c r="F506" s="5" t="str">
        <f>IFERROR(__xludf.DUMMYFUNCTION("GOOGLETRANSLATE(A506, ""en"", ""hi"")"),"505")</f>
        <v>505</v>
      </c>
      <c r="G506" s="5" t="str">
        <f>IFERROR(__xludf.DUMMYFUNCTION("GOOGLETRANSLATE(B506, ""en"", ""hi"")"),"यदि खिलाड़ी W शीर्ष को 15 सेकंड तक एकसमान गति से घुमाता है और खिलाड़ी X शीर्ष को 15 सेकंड तक कभी-कभार हिलते हुए घुमाता है, तो यदि गति की स्थिरता को प्राथमिकता दी जाती है तो कौन जीतता है?")</f>
        <v>यदि खिलाड़ी W शीर्ष को 15 सेकंड तक एकसमान गति से घुमाता है और खिलाड़ी X शीर्ष को 15 सेकंड तक कभी-कभार हिलते हुए घुमाता है, तो यदि गति की स्थिरता को प्राथमिकता दी जाती है तो कौन जीतता है?</v>
      </c>
      <c r="H506" s="5" t="str">
        <f>IFERROR(__xludf.DUMMYFUNCTION("GOOGLETRANSLATE(C506, ""en"", ""hi"")"),"A) खिलाड़ी W, B) खिलाड़ी X, C) यह टाई है, D) उपरोक्त में से कोई नहीं")</f>
        <v>A) खिलाड़ी W, B) खिलाड़ी X, C) यह टाई है, D) उपरोक्त में से कोई नहीं</v>
      </c>
      <c r="I506" s="5" t="str">
        <f>IFERROR(__xludf.DUMMYFUNCTION("GOOGLETRANSLATE(D506, ""en"", ""hi"")"),"A) खिलाड़ी W")</f>
        <v>A) खिलाड़ी W</v>
      </c>
    </row>
    <row r="507" ht="22.5" customHeight="1">
      <c r="A507" s="2">
        <v>506.0</v>
      </c>
      <c r="B507" s="3" t="s">
        <v>5215</v>
      </c>
      <c r="C507" s="3" t="s">
        <v>4663</v>
      </c>
      <c r="D507" s="3" t="s">
        <v>4664</v>
      </c>
      <c r="F507" s="5" t="str">
        <f>IFERROR(__xludf.DUMMYFUNCTION("GOOGLETRANSLATE(A507, ""en"", ""hi"")"),"506")</f>
        <v>506</v>
      </c>
      <c r="G507" s="5" t="str">
        <f>IFERROR(__xludf.DUMMYFUNCTION("GOOGLETRANSLATE(B507, ""en"", ""hi"")"),"खिलाड़ी Y न्यूनतम कंपन के साथ 8 सेकंड तक ऊपरी भाग को घुमाता है और खिलाड़ी Z निरंतर गति के साथ 8 सेकंड तक ऊपरी भाग को घुमाता है। यदि न्यूनतम कंपन को प्राथमिकता दी जाती है तो कौन जीतता है?")</f>
        <v>खिलाड़ी Y न्यूनतम कंपन के साथ 8 सेकंड तक ऊपरी भाग को घुमाता है और खिलाड़ी Z निरंतर गति के साथ 8 सेकंड तक ऊपरी भाग को घुमाता है। यदि न्यूनतम कंपन को प्राथमिकता दी जाती है तो कौन जीतता है?</v>
      </c>
      <c r="H507" s="5" t="str">
        <f>IFERROR(__xludf.DUMMYFUNCTION("GOOGLETRANSLATE(C507, ""en"", ""hi"")"),"A) खिलाड़ी Y, B) खिलाड़ी Z, C) यह टाई है, D) उपरोक्त में से कोई नहीं")</f>
        <v>A) खिलाड़ी Y, B) खिलाड़ी Z, C) यह टाई है, D) उपरोक्त में से कोई नहीं</v>
      </c>
      <c r="I507" s="5" t="str">
        <f>IFERROR(__xludf.DUMMYFUNCTION("GOOGLETRANSLATE(D507, ""en"", ""hi"")"),"A) खिलाड़ी Y")</f>
        <v>A) खिलाड़ी Y</v>
      </c>
    </row>
    <row r="508" ht="22.5" customHeight="1">
      <c r="A508" s="2">
        <v>507.0</v>
      </c>
      <c r="B508" s="3" t="s">
        <v>5216</v>
      </c>
      <c r="C508" s="3" t="s">
        <v>4627</v>
      </c>
      <c r="D508" s="3" t="s">
        <v>4778</v>
      </c>
      <c r="F508" s="5" t="str">
        <f>IFERROR(__xludf.DUMMYFUNCTION("GOOGLETRANSLATE(A508, ""en"", ""hi"")"),"507")</f>
        <v>507</v>
      </c>
      <c r="G508" s="5" t="str">
        <f>IFERROR(__xludf.DUMMYFUNCTION("GOOGLETRANSLATE(B508, ""en"", ""hi"")"),"पम्बरम प्रतियोगिता के दौरान, खिलाड़ी A कभी-कभी हिलते हुए लट्टू को 11 सेकंड तक घुमाता है और खिलाड़ी B लगातार गति के साथ लट्टू को 11 सेकंड तक घुमाता है। अगर गति की स्थिरता को प्राथमिकता दी जाए तो कौन जीतता है?")</f>
        <v>पम्बरम प्रतियोगिता के दौरान, खिलाड़ी A कभी-कभी हिलते हुए लट्टू को 11 सेकंड तक घुमाता है और खिलाड़ी B लगातार गति के साथ लट्टू को 11 सेकंड तक घुमाता है। अगर गति की स्थिरता को प्राथमिकता दी जाए तो कौन जीतता है?</v>
      </c>
      <c r="H508" s="5" t="str">
        <f>IFERROR(__xludf.DUMMYFUNCTION("GOOGLETRANSLATE(C508, ""en"", ""hi"")"),"A) खिलाड़ी A, B) खिलाड़ी B, C) यह टाई है, D) उपरोक्त में से कोई नहीं")</f>
        <v>A) खिलाड़ी A, B) खिलाड़ी B, C) यह टाई है, D) उपरोक्त में से कोई नहीं</v>
      </c>
      <c r="I508" s="5" t="str">
        <f>IFERROR(__xludf.DUMMYFUNCTION("GOOGLETRANSLATE(D508, ""en"", ""hi"")"),"बी) खिलाड़ी बी")</f>
        <v>बी) खिलाड़ी बी</v>
      </c>
    </row>
    <row r="509" ht="22.5" customHeight="1">
      <c r="A509" s="2">
        <v>508.0</v>
      </c>
      <c r="B509" s="3" t="s">
        <v>5217</v>
      </c>
      <c r="C509" s="3" t="s">
        <v>4630</v>
      </c>
      <c r="D509" s="3" t="s">
        <v>4631</v>
      </c>
      <c r="F509" s="5" t="str">
        <f>IFERROR(__xludf.DUMMYFUNCTION("GOOGLETRANSLATE(A509, ""en"", ""hi"")"),"508")</f>
        <v>508</v>
      </c>
      <c r="G509" s="5" t="str">
        <f>IFERROR(__xludf.DUMMYFUNCTION("GOOGLETRANSLATE(B509, ""en"", ""hi"")"),"खिलाड़ी C न्यूनतम कंपन के साथ 12 सेकंड तक ऊपरी हिस्से को घुमाता है और खिलाड़ी D बीच-बीच में आवाज़ के साथ 12 सेकंड तक ऊपरी हिस्से को घुमाता है। अगर न्यूनतम कंपन को प्राथमिकता दी जाती है तो कौन जीतता है?")</f>
        <v>खिलाड़ी C न्यूनतम कंपन के साथ 12 सेकंड तक ऊपरी हिस्से को घुमाता है और खिलाड़ी D बीच-बीच में आवाज़ के साथ 12 सेकंड तक ऊपरी हिस्से को घुमाता है। अगर न्यूनतम कंपन को प्राथमिकता दी जाती है तो कौन जीतता है?</v>
      </c>
      <c r="H509" s="5" t="str">
        <f>IFERROR(__xludf.DUMMYFUNCTION("GOOGLETRANSLATE(C509, ""en"", ""hi"")"),"A) खिलाड़ी C, B) खिलाड़ी D, C) यह टाई है, D) उपरोक्त में से कोई नहीं")</f>
        <v>A) खिलाड़ी C, B) खिलाड़ी D, C) यह टाई है, D) उपरोक्त में से कोई नहीं</v>
      </c>
      <c r="I509" s="5" t="str">
        <f>IFERROR(__xludf.DUMMYFUNCTION("GOOGLETRANSLATE(D509, ""en"", ""hi"")"),"ए) खिलाड़ी सी")</f>
        <v>ए) खिलाड़ी सी</v>
      </c>
    </row>
    <row r="510" ht="22.5" customHeight="1">
      <c r="A510" s="2">
        <v>509.0</v>
      </c>
      <c r="B510" s="3" t="s">
        <v>5218</v>
      </c>
      <c r="C510" s="3" t="s">
        <v>4781</v>
      </c>
      <c r="D510" s="3" t="s">
        <v>4634</v>
      </c>
      <c r="F510" s="5" t="str">
        <f>IFERROR(__xludf.DUMMYFUNCTION("GOOGLETRANSLATE(A510, ""en"", ""hi"")"),"509")</f>
        <v>509</v>
      </c>
      <c r="G510" s="5" t="str">
        <f>IFERROR(__xludf.DUMMYFUNCTION("GOOGLETRANSLATE(B510, ""en"", ""hi"")"),"यदि खिलाड़ी E कभी-कभार आवाज के साथ 10 सेकंड के लिए शीर्ष को घुमाता है और खिलाड़ी F 10 सेकंड के लिए शीर्ष को मौन में घुमाता है, तो यदि मौन को प्राथमिकता दी जाती है तो कौन जीतता है?")</f>
        <v>यदि खिलाड़ी E कभी-कभार आवाज के साथ 10 सेकंड के लिए शीर्ष को घुमाता है और खिलाड़ी F 10 सेकंड के लिए शीर्ष को मौन में घुमाता है, तो यदि मौन को प्राथमिकता दी जाती है तो कौन जीतता है?</v>
      </c>
      <c r="H510" s="5" t="str">
        <f>IFERROR(__xludf.DUMMYFUNCTION("GOOGLETRANSLATE(C510, ""en"", ""hi"")"),"A) खिलाड़ी E, B) खिलाड़ी F, C) यह टाई है, D) उपरोक्त में से कोई नहीं")</f>
        <v>A) खिलाड़ी E, B) खिलाड़ी F, C) यह टाई है, D) उपरोक्त में से कोई नहीं</v>
      </c>
      <c r="I510" s="5" t="str">
        <f>IFERROR(__xludf.DUMMYFUNCTION("GOOGLETRANSLATE(D510, ""en"", ""hi"")"),"बी) खिलाड़ी एफ")</f>
        <v>बी) खिलाड़ी एफ</v>
      </c>
    </row>
    <row r="511" ht="22.5" customHeight="1">
      <c r="A511" s="2">
        <v>510.0</v>
      </c>
      <c r="B511" s="3" t="s">
        <v>5219</v>
      </c>
      <c r="C511" s="3" t="s">
        <v>4783</v>
      </c>
      <c r="D511" s="3" t="s">
        <v>4637</v>
      </c>
      <c r="F511" s="5" t="str">
        <f>IFERROR(__xludf.DUMMYFUNCTION("GOOGLETRANSLATE(A511, ""en"", ""hi"")"),"510")</f>
        <v>510</v>
      </c>
      <c r="G511" s="5" t="str">
        <f>IFERROR(__xludf.DUMMYFUNCTION("GOOGLETRANSLATE(B511, ""en"", ""hi"")"),"खिलाड़ी G, कभी-कभार हिलते हुए, 14 सेकंड तक ऊपरी हिस्से को घुमाता है और खिलाड़ी H, लगातार गति के साथ 14 सेकंड तक ऊपरी हिस्से को घुमाता है। अगर न्यूनतम हिलना-डुलना पसंद किया जाता है, तो कौन जीतता है?")</f>
        <v>खिलाड़ी G, कभी-कभार हिलते हुए, 14 सेकंड तक ऊपरी हिस्से को घुमाता है और खिलाड़ी H, लगातार गति के साथ 14 सेकंड तक ऊपरी हिस्से को घुमाता है। अगर न्यूनतम हिलना-डुलना पसंद किया जाता है, तो कौन जीतता है?</v>
      </c>
      <c r="H511" s="5" t="str">
        <f>IFERROR(__xludf.DUMMYFUNCTION("GOOGLETRANSLATE(C511, ""en"", ""hi"")"),"A) खिलाड़ी G, B) खिलाड़ी H, C) यह टाई है, D) उपरोक्त में से कोई नहीं")</f>
        <v>A) खिलाड़ी G, B) खिलाड़ी H, C) यह टाई है, D) उपरोक्त में से कोई नहीं</v>
      </c>
      <c r="I511" s="5" t="str">
        <f>IFERROR(__xludf.DUMMYFUNCTION("GOOGLETRANSLATE(D511, ""en"", ""hi"")"),"बी) खिलाड़ी एच")</f>
        <v>बी) खिलाड़ी एच</v>
      </c>
    </row>
    <row r="512" ht="22.5" customHeight="1">
      <c r="A512" s="2">
        <v>511.0</v>
      </c>
      <c r="B512" s="3" t="s">
        <v>5220</v>
      </c>
      <c r="C512" s="3" t="s">
        <v>4639</v>
      </c>
      <c r="D512" s="3" t="s">
        <v>4640</v>
      </c>
      <c r="F512" s="5" t="str">
        <f>IFERROR(__xludf.DUMMYFUNCTION("GOOGLETRANSLATE(A512, ""en"", ""hi"")"),"511")</f>
        <v>511</v>
      </c>
      <c r="G512" s="5" t="str">
        <f>IFERROR(__xludf.DUMMYFUNCTION("GOOGLETRANSLATE(B512, ""en"", ""hi"")"),"पम्बरम मैच के दौरान, खिलाड़ी I लगातार गति के साथ 7 सेकंड तक टॉप घुमाता है और खिलाड़ी J कभी-कभी आवाज़ के साथ 7 सेकंड तक टॉप घुमाता है। अगर गति की स्थिरता को प्राथमिकता दी जाए तो कौन जीतता है?")</f>
        <v>पम्बरम मैच के दौरान, खिलाड़ी I लगातार गति के साथ 7 सेकंड तक टॉप घुमाता है और खिलाड़ी J कभी-कभी आवाज़ के साथ 7 सेकंड तक टॉप घुमाता है। अगर गति की स्थिरता को प्राथमिकता दी जाए तो कौन जीतता है?</v>
      </c>
      <c r="H512" s="5" t="str">
        <f>IFERROR(__xludf.DUMMYFUNCTION("GOOGLETRANSLATE(C512, ""en"", ""hi"")"),"A) खिलाड़ी I, B) खिलाड़ी J, C) यह टाई है, D) उपरोक्त में से कोई नहीं")</f>
        <v>A) खिलाड़ी I, B) खिलाड़ी J, C) यह टाई है, D) उपरोक्त में से कोई नहीं</v>
      </c>
      <c r="I512" s="5" t="str">
        <f>IFERROR(__xludf.DUMMYFUNCTION("GOOGLETRANSLATE(D512, ""en"", ""hi"")"),"ए) खिलाड़ी I")</f>
        <v>ए) खिलाड़ी I</v>
      </c>
    </row>
    <row r="513" ht="22.5" customHeight="1">
      <c r="A513" s="2">
        <v>512.0</v>
      </c>
      <c r="B513" s="3" t="s">
        <v>5221</v>
      </c>
      <c r="C513" s="3" t="s">
        <v>4642</v>
      </c>
      <c r="D513" s="3" t="s">
        <v>4788</v>
      </c>
      <c r="F513" s="5" t="str">
        <f>IFERROR(__xludf.DUMMYFUNCTION("GOOGLETRANSLATE(A513, ""en"", ""hi"")"),"512")</f>
        <v>512</v>
      </c>
      <c r="G513" s="5" t="str">
        <f>IFERROR(__xludf.DUMMYFUNCTION("GOOGLETRANSLATE(B513, ""en"", ""hi"")"),"खिलाड़ी K, न्यूनतम कंपन के साथ 9 सेकंड तक ऊपरी भाग को घुमाता है और खिलाड़ी L, कभी-कभार कंपन के साथ 9 सेकंड तक ऊपरी भाग को घुमाता है। अगर स्थिरता को प्राथमिकता दी जाए तो कौन जीतता है?")</f>
        <v>खिलाड़ी K, न्यूनतम कंपन के साथ 9 सेकंड तक ऊपरी भाग को घुमाता है और खिलाड़ी L, कभी-कभार कंपन के साथ 9 सेकंड तक ऊपरी भाग को घुमाता है। अगर स्थिरता को प्राथमिकता दी जाए तो कौन जीतता है?</v>
      </c>
      <c r="H513" s="5" t="str">
        <f>IFERROR(__xludf.DUMMYFUNCTION("GOOGLETRANSLATE(C513, ""en"", ""hi"")"),"A) खिलाड़ी K, B) खिलाड़ी L, C) यह टाई है, D) उपरोक्त में से कोई नहीं")</f>
        <v>A) खिलाड़ी K, B) खिलाड़ी L, C) यह टाई है, D) उपरोक्त में से कोई नहीं</v>
      </c>
      <c r="I513" s="5" t="str">
        <f>IFERROR(__xludf.DUMMYFUNCTION("GOOGLETRANSLATE(D513, ""en"", ""hi"")"),"A) खिलाड़ी K")</f>
        <v>A) खिलाड़ी K</v>
      </c>
    </row>
    <row r="514" ht="22.5" customHeight="1">
      <c r="A514" s="2">
        <v>513.0</v>
      </c>
      <c r="B514" s="3" t="s">
        <v>5222</v>
      </c>
      <c r="C514" s="3" t="s">
        <v>4790</v>
      </c>
      <c r="D514" s="3" t="s">
        <v>4646</v>
      </c>
      <c r="F514" s="5" t="str">
        <f>IFERROR(__xludf.DUMMYFUNCTION("GOOGLETRANSLATE(A514, ""en"", ""hi"")"),"513")</f>
        <v>513</v>
      </c>
      <c r="G514" s="5" t="str">
        <f>IFERROR(__xludf.DUMMYFUNCTION("GOOGLETRANSLATE(B514, ""en"", ""hi"")"),"खिलाड़ी M बीच-बीच में आवाज़ के साथ 13 सेकंड तक लट्टू को घुमाता है और खिलाड़ी N 13 सेकंड तक चुपचाप लट्टू को घुमाता है। अगर मौन को प्राथमिकता दी जाए तो कौन जीतता है?")</f>
        <v>खिलाड़ी M बीच-बीच में आवाज़ के साथ 13 सेकंड तक लट्टू को घुमाता है और खिलाड़ी N 13 सेकंड तक चुपचाप लट्टू को घुमाता है। अगर मौन को प्राथमिकता दी जाए तो कौन जीतता है?</v>
      </c>
      <c r="H514" s="5" t="str">
        <f>IFERROR(__xludf.DUMMYFUNCTION("GOOGLETRANSLATE(C514, ""en"", ""hi"")"),"A) खिलाड़ी M, B) खिलाड़ी N, C) यह टाई है, D) उपरोक्त में से कोई नहीं")</f>
        <v>A) खिलाड़ी M, B) खिलाड़ी N, C) यह टाई है, D) उपरोक्त में से कोई नहीं</v>
      </c>
      <c r="I514" s="5" t="str">
        <f>IFERROR(__xludf.DUMMYFUNCTION("GOOGLETRANSLATE(D514, ""en"", ""hi"")"),"बी) खिलाड़ी एन")</f>
        <v>बी) खिलाड़ी एन</v>
      </c>
    </row>
    <row r="515" ht="22.5" customHeight="1">
      <c r="A515" s="2">
        <v>514.0</v>
      </c>
      <c r="B515" s="3" t="s">
        <v>5223</v>
      </c>
      <c r="C515" s="3" t="s">
        <v>4648</v>
      </c>
      <c r="D515" s="3" t="s">
        <v>4649</v>
      </c>
      <c r="F515" s="5" t="str">
        <f>IFERROR(__xludf.DUMMYFUNCTION("GOOGLETRANSLATE(A515, ""en"", ""hi"")"),"514")</f>
        <v>514</v>
      </c>
      <c r="G515" s="5" t="str">
        <f>IFERROR(__xludf.DUMMYFUNCTION("GOOGLETRANSLATE(B515, ""en"", ""hi"")"),"यदि खिलाड़ी O शीर्ष को 6 सेकंड तक एकसमान गति से घुमाता है और खिलाड़ी P शीर्ष को 6 सेकंड तक कभी-कभार हिलते हुए घुमाता है, तो यदि गति की स्थिरता को प्राथमिकता दी जाती है तो कौन जीतता है?")</f>
        <v>यदि खिलाड़ी O शीर्ष को 6 सेकंड तक एकसमान गति से घुमाता है और खिलाड़ी P शीर्ष को 6 सेकंड तक कभी-कभार हिलते हुए घुमाता है, तो यदि गति की स्थिरता को प्राथमिकता दी जाती है तो कौन जीतता है?</v>
      </c>
      <c r="H515" s="5" t="str">
        <f>IFERROR(__xludf.DUMMYFUNCTION("GOOGLETRANSLATE(C515, ""en"", ""hi"")"),"A) खिलाड़ी O, B) खिलाड़ी P, C) यह टाई है, D) उपरोक्त में से कोई नहीं")</f>
        <v>A) खिलाड़ी O, B) खिलाड़ी P, C) यह टाई है, D) उपरोक्त में से कोई नहीं</v>
      </c>
      <c r="I515" s="5" t="str">
        <f>IFERROR(__xludf.DUMMYFUNCTION("GOOGLETRANSLATE(D515, ""en"", ""hi"")"),"A) खिलाड़ी O")</f>
        <v>A) खिलाड़ी O</v>
      </c>
    </row>
    <row r="516" ht="22.5" customHeight="1">
      <c r="A516" s="2">
        <v>515.0</v>
      </c>
      <c r="B516" s="3" t="s">
        <v>5224</v>
      </c>
      <c r="C516" s="3" t="s">
        <v>4651</v>
      </c>
      <c r="D516" s="3" t="s">
        <v>4652</v>
      </c>
      <c r="F516" s="5" t="str">
        <f>IFERROR(__xludf.DUMMYFUNCTION("GOOGLETRANSLATE(A516, ""en"", ""hi"")"),"515")</f>
        <v>515</v>
      </c>
      <c r="G516" s="5" t="str">
        <f>IFERROR(__xludf.DUMMYFUNCTION("GOOGLETRANSLATE(B516, ""en"", ""hi"")"),"खिलाड़ी Q न्यूनतम कंपन के साथ 8 सेकंड तक ऊपरी भाग को घुमाता है और खिलाड़ी R बीच-बीच में आवाज़ के साथ 8 सेकंड तक ऊपरी भाग को घुमाता है। अगर न्यूनतम कंपन को प्राथमिकता दी जाती है तो कौन जीतता है?")</f>
        <v>खिलाड़ी Q न्यूनतम कंपन के साथ 8 सेकंड तक ऊपरी भाग को घुमाता है और खिलाड़ी R बीच-बीच में आवाज़ के साथ 8 सेकंड तक ऊपरी भाग को घुमाता है। अगर न्यूनतम कंपन को प्राथमिकता दी जाती है तो कौन जीतता है?</v>
      </c>
      <c r="H516" s="5" t="str">
        <f>IFERROR(__xludf.DUMMYFUNCTION("GOOGLETRANSLATE(C516, ""en"", ""hi"")"),"A) खिलाड़ी Q, B) खिलाड़ी R, C) यह टाई है, D) उपरोक्त में से कोई नहीं")</f>
        <v>A) खिलाड़ी Q, B) खिलाड़ी R, C) यह टाई है, D) उपरोक्त में से कोई नहीं</v>
      </c>
      <c r="I516" s="5" t="str">
        <f>IFERROR(__xludf.DUMMYFUNCTION("GOOGLETRANSLATE(D516, ""en"", ""hi"")"),"ए) खिलाड़ी क्यू")</f>
        <v>ए) खिलाड़ी क्यू</v>
      </c>
    </row>
    <row r="517" ht="22.5" customHeight="1">
      <c r="A517" s="2">
        <v>516.0</v>
      </c>
      <c r="B517" s="3" t="s">
        <v>5225</v>
      </c>
      <c r="C517" s="3" t="s">
        <v>4654</v>
      </c>
      <c r="D517" s="3" t="s">
        <v>4828</v>
      </c>
      <c r="F517" s="5" t="str">
        <f>IFERROR(__xludf.DUMMYFUNCTION("GOOGLETRANSLATE(A517, ""en"", ""hi"")"),"516")</f>
        <v>516</v>
      </c>
      <c r="G517" s="5" t="str">
        <f>IFERROR(__xludf.DUMMYFUNCTION("GOOGLETRANSLATE(B517, ""en"", ""hi"")"),"पम्बरम मैच के दौरान, खिलाड़ी S लगातार गति के साथ 11 सेकंड तक टॉप घुमाता है और खिलाड़ी T कभी-कभी हिलते हुए टॉप को 11 सेकंड तक घुमाता है। अगर गति की स्थिरता को प्राथमिकता दी जाए तो कौन जीतता है?")</f>
        <v>पम्बरम मैच के दौरान, खिलाड़ी S लगातार गति के साथ 11 सेकंड तक टॉप घुमाता है और खिलाड़ी T कभी-कभी हिलते हुए टॉप को 11 सेकंड तक घुमाता है। अगर गति की स्थिरता को प्राथमिकता दी जाए तो कौन जीतता है?</v>
      </c>
      <c r="H517" s="5" t="str">
        <f>IFERROR(__xludf.DUMMYFUNCTION("GOOGLETRANSLATE(C517, ""en"", ""hi"")"),"A) खिलाड़ी S, B) खिलाड़ी T, C) यह टाई है, D) उपरोक्त में से कोई नहीं")</f>
        <v>A) खिलाड़ी S, B) खिलाड़ी T, C) यह टाई है, D) उपरोक्त में से कोई नहीं</v>
      </c>
      <c r="I517" s="5" t="str">
        <f>IFERROR(__xludf.DUMMYFUNCTION("GOOGLETRANSLATE(D517, ""en"", ""hi"")"),"ए) खिलाड़ी एस")</f>
        <v>ए) खिलाड़ी एस</v>
      </c>
    </row>
    <row r="518" ht="22.5" customHeight="1">
      <c r="A518" s="2">
        <v>517.0</v>
      </c>
      <c r="B518" s="3" t="s">
        <v>5226</v>
      </c>
      <c r="C518" s="3" t="s">
        <v>4657</v>
      </c>
      <c r="D518" s="3" t="s">
        <v>4814</v>
      </c>
      <c r="F518" s="5" t="str">
        <f>IFERROR(__xludf.DUMMYFUNCTION("GOOGLETRANSLATE(A518, ""en"", ""hi"")"),"517")</f>
        <v>517</v>
      </c>
      <c r="G518" s="5" t="str">
        <f>IFERROR(__xludf.DUMMYFUNCTION("GOOGLETRANSLATE(B518, ""en"", ""hi"")"),"खिलाड़ी U बीच-बीच में आवाज़ के साथ 10 सेकंड तक टॉप घुमाता है और खिलाड़ी V लगातार गति के साथ 10 सेकंड तक टॉप घुमाता है। अगर गति की स्थिरता को प्राथमिकता दी जाए तो कौन जीतता है?")</f>
        <v>खिलाड़ी U बीच-बीच में आवाज़ के साथ 10 सेकंड तक टॉप घुमाता है और खिलाड़ी V लगातार गति के साथ 10 सेकंड तक टॉप घुमाता है। अगर गति की स्थिरता को प्राथमिकता दी जाए तो कौन जीतता है?</v>
      </c>
      <c r="H518" s="5" t="str">
        <f>IFERROR(__xludf.DUMMYFUNCTION("GOOGLETRANSLATE(C518, ""en"", ""hi"")"),"A) खिलाड़ी U, B) खिलाड़ी V, C) यह एक टाई है, D) उपरोक्त में से कोई नहीं")</f>
        <v>A) खिलाड़ी U, B) खिलाड़ी V, C) यह एक टाई है, D) उपरोक्त में से कोई नहीं</v>
      </c>
      <c r="I518" s="5" t="str">
        <f>IFERROR(__xludf.DUMMYFUNCTION("GOOGLETRANSLATE(D518, ""en"", ""hi"")"),"बी) खिलाड़ी वी")</f>
        <v>बी) खिलाड़ी वी</v>
      </c>
    </row>
    <row r="519" ht="22.5" customHeight="1">
      <c r="A519" s="2">
        <v>518.0</v>
      </c>
      <c r="B519" s="3" t="s">
        <v>5227</v>
      </c>
      <c r="C519" s="3" t="s">
        <v>4660</v>
      </c>
      <c r="D519" s="3" t="s">
        <v>4816</v>
      </c>
      <c r="F519" s="5" t="str">
        <f>IFERROR(__xludf.DUMMYFUNCTION("GOOGLETRANSLATE(A519, ""en"", ""hi"")"),"518")</f>
        <v>518</v>
      </c>
      <c r="G519" s="5" t="str">
        <f>IFERROR(__xludf.DUMMYFUNCTION("GOOGLETRANSLATE(B519, ""en"", ""hi"")"),"यदि खिलाड़ी W न्यूनतम कंपन के साथ 7 सेकंड के लिए शीर्ष को घुमाता है और खिलाड़ी X कभी-कभार कंपन के साथ 7 सेकंड के लिए शीर्ष को घुमाता है, तो स्थिरता को प्राथमिकता देने पर कौन जीतता है?")</f>
        <v>यदि खिलाड़ी W न्यूनतम कंपन के साथ 7 सेकंड के लिए शीर्ष को घुमाता है और खिलाड़ी X कभी-कभार कंपन के साथ 7 सेकंड के लिए शीर्ष को घुमाता है, तो स्थिरता को प्राथमिकता देने पर कौन जीतता है?</v>
      </c>
      <c r="H519" s="5" t="str">
        <f>IFERROR(__xludf.DUMMYFUNCTION("GOOGLETRANSLATE(C519, ""en"", ""hi"")"),"A) खिलाड़ी W, B) खिलाड़ी X, C) यह टाई है, D) उपरोक्त में से कोई नहीं")</f>
        <v>A) खिलाड़ी W, B) खिलाड़ी X, C) यह टाई है, D) उपरोक्त में से कोई नहीं</v>
      </c>
      <c r="I519" s="5" t="str">
        <f>IFERROR(__xludf.DUMMYFUNCTION("GOOGLETRANSLATE(D519, ""en"", ""hi"")"),"A) खिलाड़ी W")</f>
        <v>A) खिलाड़ी W</v>
      </c>
    </row>
    <row r="520" ht="22.5" customHeight="1">
      <c r="A520" s="2">
        <v>519.0</v>
      </c>
      <c r="B520" s="3" t="s">
        <v>5228</v>
      </c>
      <c r="C520" s="3" t="s">
        <v>4663</v>
      </c>
      <c r="D520" s="3" t="s">
        <v>4664</v>
      </c>
      <c r="F520" s="5" t="str">
        <f>IFERROR(__xludf.DUMMYFUNCTION("GOOGLETRANSLATE(A520, ""en"", ""hi"")"),"519")</f>
        <v>519</v>
      </c>
      <c r="G520" s="5" t="str">
        <f>IFERROR(__xludf.DUMMYFUNCTION("GOOGLETRANSLATE(B520, ""en"", ""hi"")"),"खिलाड़ी Y लगातार गति के साथ 12 सेकंड तक टॉप घुमाता है और खिलाड़ी Z कभी-कभी हिलते हुए टॉप को 12 सेकंड तक घुमाता है। अगर गति की स्थिरता को प्राथमिकता दी जाए तो कौन जीतता है?")</f>
        <v>खिलाड़ी Y लगातार गति के साथ 12 सेकंड तक टॉप घुमाता है और खिलाड़ी Z कभी-कभी हिलते हुए टॉप को 12 सेकंड तक घुमाता है। अगर गति की स्थिरता को प्राथमिकता दी जाए तो कौन जीतता है?</v>
      </c>
      <c r="H520" s="5" t="str">
        <f>IFERROR(__xludf.DUMMYFUNCTION("GOOGLETRANSLATE(C520, ""en"", ""hi"")"),"A) खिलाड़ी Y, B) खिलाड़ी Z, C) यह टाई है, D) उपरोक्त में से कोई नहीं")</f>
        <v>A) खिलाड़ी Y, B) खिलाड़ी Z, C) यह टाई है, D) उपरोक्त में से कोई नहीं</v>
      </c>
      <c r="I520" s="5" t="str">
        <f>IFERROR(__xludf.DUMMYFUNCTION("GOOGLETRANSLATE(D520, ""en"", ""hi"")"),"A) खिलाड़ी Y")</f>
        <v>A) खिलाड़ी Y</v>
      </c>
    </row>
    <row r="521" ht="22.5" customHeight="1">
      <c r="A521" s="2">
        <v>520.0</v>
      </c>
      <c r="B521" s="3" t="s">
        <v>5229</v>
      </c>
      <c r="C521" s="3" t="s">
        <v>4627</v>
      </c>
      <c r="D521" s="3" t="s">
        <v>4778</v>
      </c>
      <c r="F521" s="5" t="str">
        <f>IFERROR(__xludf.DUMMYFUNCTION("GOOGLETRANSLATE(A521, ""en"", ""hi"")"),"520")</f>
        <v>520</v>
      </c>
      <c r="G521" s="5" t="str">
        <f>IFERROR(__xludf.DUMMYFUNCTION("GOOGLETRANSLATE(B521, ""en"", ""hi"")"),"पम्बरम प्रतियोगिता के दौरान, खिलाड़ी A कभी-कभी हिलते हुए 13 सेकंड तक लट्टू को घुमाता है और खिलाड़ी B लगातार 13 सेकंड तक लट्टू को लगातार गति से घुमाता है। अगर कम से कम हिलना पसंद किया जाए तो कौन जीतता है?")</f>
        <v>पम्बरम प्रतियोगिता के दौरान, खिलाड़ी A कभी-कभी हिलते हुए 13 सेकंड तक लट्टू को घुमाता है और खिलाड़ी B लगातार 13 सेकंड तक लट्टू को लगातार गति से घुमाता है। अगर कम से कम हिलना पसंद किया जाए तो कौन जीतता है?</v>
      </c>
      <c r="H521" s="5" t="str">
        <f>IFERROR(__xludf.DUMMYFUNCTION("GOOGLETRANSLATE(C521, ""en"", ""hi"")"),"A) खिलाड़ी A, B) खिलाड़ी B, C) यह टाई है, D) उपरोक्त में से कोई नहीं")</f>
        <v>A) खिलाड़ी A, B) खिलाड़ी B, C) यह टाई है, D) उपरोक्त में से कोई नहीं</v>
      </c>
      <c r="I521" s="5" t="str">
        <f>IFERROR(__xludf.DUMMYFUNCTION("GOOGLETRANSLATE(D521, ""en"", ""hi"")"),"बी) खिलाड़ी बी")</f>
        <v>बी) खिलाड़ी बी</v>
      </c>
    </row>
    <row r="522" ht="22.5" customHeight="1">
      <c r="A522" s="2">
        <v>521.0</v>
      </c>
      <c r="B522" s="3" t="s">
        <v>5230</v>
      </c>
      <c r="C522" s="3" t="s">
        <v>4630</v>
      </c>
      <c r="D522" s="3" t="s">
        <v>4631</v>
      </c>
      <c r="F522" s="5" t="str">
        <f>IFERROR(__xludf.DUMMYFUNCTION("GOOGLETRANSLATE(A522, ""en"", ""hi"")"),"521")</f>
        <v>521</v>
      </c>
      <c r="G522" s="5" t="str">
        <f>IFERROR(__xludf.DUMMYFUNCTION("GOOGLETRANSLATE(B522, ""en"", ""hi"")"),"खिलाड़ी C न्यूनतम कंपन के साथ 14 सेकंड तक ऊपरी हिस्से को घुमाता है और खिलाड़ी D बीच-बीच में आवाज़ के साथ 14 सेकंड तक ऊपरी हिस्से को घुमाता है। अगर न्यूनतम कंपन को प्राथमिकता दी जाती है तो कौन जीतता है?")</f>
        <v>खिलाड़ी C न्यूनतम कंपन के साथ 14 सेकंड तक ऊपरी हिस्से को घुमाता है और खिलाड़ी D बीच-बीच में आवाज़ के साथ 14 सेकंड तक ऊपरी हिस्से को घुमाता है। अगर न्यूनतम कंपन को प्राथमिकता दी जाती है तो कौन जीतता है?</v>
      </c>
      <c r="H522" s="5" t="str">
        <f>IFERROR(__xludf.DUMMYFUNCTION("GOOGLETRANSLATE(C522, ""en"", ""hi"")"),"A) खिलाड़ी C, B) खिलाड़ी D, C) यह टाई है, D) उपरोक्त में से कोई नहीं")</f>
        <v>A) खिलाड़ी C, B) खिलाड़ी D, C) यह टाई है, D) उपरोक्त में से कोई नहीं</v>
      </c>
      <c r="I522" s="5" t="str">
        <f>IFERROR(__xludf.DUMMYFUNCTION("GOOGLETRANSLATE(D522, ""en"", ""hi"")"),"ए) खिलाड़ी सी")</f>
        <v>ए) खिलाड़ी सी</v>
      </c>
    </row>
    <row r="523" ht="22.5" customHeight="1">
      <c r="A523" s="2">
        <v>522.0</v>
      </c>
      <c r="B523" s="3" t="s">
        <v>5231</v>
      </c>
      <c r="C523" s="3" t="s">
        <v>4781</v>
      </c>
      <c r="D523" s="3" t="s">
        <v>4805</v>
      </c>
      <c r="F523" s="5" t="str">
        <f>IFERROR(__xludf.DUMMYFUNCTION("GOOGLETRANSLATE(A523, ""en"", ""hi"")"),"522")</f>
        <v>522</v>
      </c>
      <c r="G523" s="5" t="str">
        <f>IFERROR(__xludf.DUMMYFUNCTION("GOOGLETRANSLATE(B523, ""en"", ""hi"")"),"यदि खिलाड़ी E शीर्ष को 8 सेकंड तक एकसमान गति से घुमाता है और खिलाड़ी F शीर्ष को 8 सेकंड तक कभी-कभार हिलते हुए घुमाता है, तो यदि गति की स्थिरता को प्राथमिकता दी जाती है तो कौन जीतता है?")</f>
        <v>यदि खिलाड़ी E शीर्ष को 8 सेकंड तक एकसमान गति से घुमाता है और खिलाड़ी F शीर्ष को 8 सेकंड तक कभी-कभार हिलते हुए घुमाता है, तो यदि गति की स्थिरता को प्राथमिकता दी जाती है तो कौन जीतता है?</v>
      </c>
      <c r="H523" s="5" t="str">
        <f>IFERROR(__xludf.DUMMYFUNCTION("GOOGLETRANSLATE(C523, ""en"", ""hi"")"),"A) खिलाड़ी E, B) खिलाड़ी F, C) यह टाई है, D) उपरोक्त में से कोई नहीं")</f>
        <v>A) खिलाड़ी E, B) खिलाड़ी F, C) यह टाई है, D) उपरोक्त में से कोई नहीं</v>
      </c>
      <c r="I523" s="5" t="str">
        <f>IFERROR(__xludf.DUMMYFUNCTION("GOOGLETRANSLATE(D523, ""en"", ""hi"")"),"ए) खिलाड़ी ई")</f>
        <v>ए) खिलाड़ी ई</v>
      </c>
    </row>
    <row r="524" ht="22.5" customHeight="1">
      <c r="A524" s="2">
        <v>523.0</v>
      </c>
      <c r="B524" s="3" t="s">
        <v>5232</v>
      </c>
      <c r="C524" s="3" t="s">
        <v>4783</v>
      </c>
      <c r="D524" s="3" t="s">
        <v>4637</v>
      </c>
      <c r="F524" s="5" t="str">
        <f>IFERROR(__xludf.DUMMYFUNCTION("GOOGLETRANSLATE(A524, ""en"", ""hi"")"),"523")</f>
        <v>523</v>
      </c>
      <c r="G524" s="5" t="str">
        <f>IFERROR(__xludf.DUMMYFUNCTION("GOOGLETRANSLATE(B524, ""en"", ""hi"")"),"खिलाड़ी G बीच-बीच में आवाज़ के साथ 6 सेकंड के लिए ऊपरी हिस्से को घुमाता है और खिलाड़ी H चुपचाप 6 सेकंड के लिए ऊपरी हिस्से को घुमाता है। अगर मौन को प्राथमिकता दी जाए तो कौन जीतता है?")</f>
        <v>खिलाड़ी G बीच-बीच में आवाज़ के साथ 6 सेकंड के लिए ऊपरी हिस्से को घुमाता है और खिलाड़ी H चुपचाप 6 सेकंड के लिए ऊपरी हिस्से को घुमाता है। अगर मौन को प्राथमिकता दी जाए तो कौन जीतता है?</v>
      </c>
      <c r="H524" s="5" t="str">
        <f>IFERROR(__xludf.DUMMYFUNCTION("GOOGLETRANSLATE(C524, ""en"", ""hi"")"),"A) खिलाड़ी G, B) खिलाड़ी H, C) यह टाई है, D) उपरोक्त में से कोई नहीं")</f>
        <v>A) खिलाड़ी G, B) खिलाड़ी H, C) यह टाई है, D) उपरोक्त में से कोई नहीं</v>
      </c>
      <c r="I524" s="5" t="str">
        <f>IFERROR(__xludf.DUMMYFUNCTION("GOOGLETRANSLATE(D524, ""en"", ""hi"")"),"बी) खिलाड़ी एच")</f>
        <v>बी) खिलाड़ी एच</v>
      </c>
    </row>
    <row r="525" ht="22.5" customHeight="1">
      <c r="A525" s="2">
        <v>524.0</v>
      </c>
      <c r="B525" s="3" t="s">
        <v>5233</v>
      </c>
      <c r="C525" s="3" t="s">
        <v>4639</v>
      </c>
      <c r="D525" s="3" t="s">
        <v>4640</v>
      </c>
      <c r="F525" s="5" t="str">
        <f>IFERROR(__xludf.DUMMYFUNCTION("GOOGLETRANSLATE(A525, ""en"", ""hi"")"),"524")</f>
        <v>524</v>
      </c>
      <c r="G525" s="5" t="str">
        <f>IFERROR(__xludf.DUMMYFUNCTION("GOOGLETRANSLATE(B525, ""en"", ""hi"")"),"पम्बरम मैच के दौरान, खिलाड़ी I, कम से कम कंपन के साथ 10 सेकंड तक ऊपरी भाग को घुमाता है और खिलाड़ी J, कभी-कभार कंपन के साथ 10 सेकंड तक ऊपरी भाग को घुमाता है। अगर स्थिरता को प्राथमिकता दी जाए तो कौन जीतता है?")</f>
        <v>पम्बरम मैच के दौरान, खिलाड़ी I, कम से कम कंपन के साथ 10 सेकंड तक ऊपरी भाग को घुमाता है और खिलाड़ी J, कभी-कभार कंपन के साथ 10 सेकंड तक ऊपरी भाग को घुमाता है। अगर स्थिरता को प्राथमिकता दी जाए तो कौन जीतता है?</v>
      </c>
      <c r="H525" s="5" t="str">
        <f>IFERROR(__xludf.DUMMYFUNCTION("GOOGLETRANSLATE(C525, ""en"", ""hi"")"),"A) खिलाड़ी I, B) खिलाड़ी J, C) यह टाई है, D) उपरोक्त में से कोई नहीं")</f>
        <v>A) खिलाड़ी I, B) खिलाड़ी J, C) यह टाई है, D) उपरोक्त में से कोई नहीं</v>
      </c>
      <c r="I525" s="5" t="str">
        <f>IFERROR(__xludf.DUMMYFUNCTION("GOOGLETRANSLATE(D525, ""en"", ""hi"")"),"ए) खिलाड़ी I")</f>
        <v>ए) खिलाड़ी I</v>
      </c>
    </row>
    <row r="526" ht="22.5" customHeight="1">
      <c r="A526" s="2">
        <v>525.0</v>
      </c>
      <c r="B526" s="3" t="s">
        <v>5234</v>
      </c>
      <c r="C526" s="3" t="s">
        <v>4642</v>
      </c>
      <c r="D526" s="3" t="s">
        <v>4643</v>
      </c>
      <c r="F526" s="5" t="str">
        <f>IFERROR(__xludf.DUMMYFUNCTION("GOOGLETRANSLATE(A526, ""en"", ""hi"")"),"525")</f>
        <v>525</v>
      </c>
      <c r="G526" s="5" t="str">
        <f>IFERROR(__xludf.DUMMYFUNCTION("GOOGLETRANSLATE(B526, ""en"", ""hi"")"),"खिलाड़ी K, कभी-कभार हिलते हुए, 11 सेकंड तक ऊपरी हिस्से को घुमाता है और खिलाड़ी L, कम से कम हिलते हुए, 11 सेकंड तक ऊपरी हिस्से को घुमाता है। अगर कम से कम हिलना पसंद किया जाता है, तो कौन जीतता है?")</f>
        <v>खिलाड़ी K, कभी-कभार हिलते हुए, 11 सेकंड तक ऊपरी हिस्से को घुमाता है और खिलाड़ी L, कम से कम हिलते हुए, 11 सेकंड तक ऊपरी हिस्से को घुमाता है। अगर कम से कम हिलना पसंद किया जाता है, तो कौन जीतता है?</v>
      </c>
      <c r="H526" s="5" t="str">
        <f>IFERROR(__xludf.DUMMYFUNCTION("GOOGLETRANSLATE(C526, ""en"", ""hi"")"),"A) खिलाड़ी K, B) खिलाड़ी L, C) यह टाई है, D) उपरोक्त में से कोई नहीं")</f>
        <v>A) खिलाड़ी K, B) खिलाड़ी L, C) यह टाई है, D) उपरोक्त में से कोई नहीं</v>
      </c>
      <c r="I526" s="5" t="str">
        <f>IFERROR(__xludf.DUMMYFUNCTION("GOOGLETRANSLATE(D526, ""en"", ""hi"")"),"बी) खिलाड़ी एल")</f>
        <v>बी) खिलाड़ी एल</v>
      </c>
    </row>
    <row r="527" ht="22.5" customHeight="1">
      <c r="A527" s="2">
        <v>526.0</v>
      </c>
      <c r="B527" s="3" t="s">
        <v>5235</v>
      </c>
      <c r="C527" s="3" t="s">
        <v>4790</v>
      </c>
      <c r="D527" s="3" t="s">
        <v>4791</v>
      </c>
      <c r="F527" s="5" t="str">
        <f>IFERROR(__xludf.DUMMYFUNCTION("GOOGLETRANSLATE(A527, ""en"", ""hi"")"),"526")</f>
        <v>526</v>
      </c>
      <c r="G527" s="5" t="str">
        <f>IFERROR(__xludf.DUMMYFUNCTION("GOOGLETRANSLATE(B527, ""en"", ""hi"")"),"खिलाड़ी M लगातार गति के साथ 9 सेकंड तक लट्टू घुमाता है और खिलाड़ी N कभी-कभी आवाज़ के साथ 9 सेकंड तक लट्टू घुमाता है। अगर गति की स्थिरता को प्राथमिकता दी जाए तो कौन जीतता है?")</f>
        <v>खिलाड़ी M लगातार गति के साथ 9 सेकंड तक लट्टू घुमाता है और खिलाड़ी N कभी-कभी आवाज़ के साथ 9 सेकंड तक लट्टू घुमाता है। अगर गति की स्थिरता को प्राथमिकता दी जाए तो कौन जीतता है?</v>
      </c>
      <c r="H527" s="5" t="str">
        <f>IFERROR(__xludf.DUMMYFUNCTION("GOOGLETRANSLATE(C527, ""en"", ""hi"")"),"A) खिलाड़ी M, B) खिलाड़ी N, C) यह टाई है, D) उपरोक्त में से कोई नहीं")</f>
        <v>A) खिलाड़ी M, B) खिलाड़ी N, C) यह टाई है, D) उपरोक्त में से कोई नहीं</v>
      </c>
      <c r="I527" s="5" t="str">
        <f>IFERROR(__xludf.DUMMYFUNCTION("GOOGLETRANSLATE(D527, ""en"", ""hi"")"),"ए) खिलाड़ी एम")</f>
        <v>ए) खिलाड़ी एम</v>
      </c>
    </row>
    <row r="528" ht="22.5" customHeight="1">
      <c r="A528" s="2">
        <v>527.0</v>
      </c>
      <c r="B528" s="3" t="s">
        <v>5236</v>
      </c>
      <c r="C528" s="3" t="s">
        <v>4648</v>
      </c>
      <c r="D528" s="3" t="s">
        <v>4793</v>
      </c>
      <c r="F528" s="5" t="str">
        <f>IFERROR(__xludf.DUMMYFUNCTION("GOOGLETRANSLATE(A528, ""en"", ""hi"")"),"527")</f>
        <v>527</v>
      </c>
      <c r="G528" s="5" t="str">
        <f>IFERROR(__xludf.DUMMYFUNCTION("GOOGLETRANSLATE(B528, ""en"", ""hi"")"),"यदि खिलाड़ी O कभी-कभार हिलते हुए 15 सेकंड के लिए शीर्ष को घुमाता है और खिलाड़ी P लगातार गति के साथ 15 सेकंड के लिए शीर्ष को घुमाता है, तो यदि गति की स्थिरता को प्राथमिकता दी जाती है तो कौन जीतता है?")</f>
        <v>यदि खिलाड़ी O कभी-कभार हिलते हुए 15 सेकंड के लिए शीर्ष को घुमाता है और खिलाड़ी P लगातार गति के साथ 15 सेकंड के लिए शीर्ष को घुमाता है, तो यदि गति की स्थिरता को प्राथमिकता दी जाती है तो कौन जीतता है?</v>
      </c>
      <c r="H528" s="5" t="str">
        <f>IFERROR(__xludf.DUMMYFUNCTION("GOOGLETRANSLATE(C528, ""en"", ""hi"")"),"A) खिलाड़ी O, B) खिलाड़ी P, C) यह टाई है, D) उपरोक्त में से कोई नहीं")</f>
        <v>A) खिलाड़ी O, B) खिलाड़ी P, C) यह टाई है, D) उपरोक्त में से कोई नहीं</v>
      </c>
      <c r="I528" s="5" t="str">
        <f>IFERROR(__xludf.DUMMYFUNCTION("GOOGLETRANSLATE(D528, ""en"", ""hi"")"),"बी) खिलाड़ी पी")</f>
        <v>बी) खिलाड़ी पी</v>
      </c>
    </row>
    <row r="529" ht="22.5" customHeight="1">
      <c r="A529" s="2">
        <v>528.0</v>
      </c>
      <c r="B529" s="3" t="s">
        <v>5237</v>
      </c>
      <c r="C529" s="3" t="s">
        <v>4651</v>
      </c>
      <c r="D529" s="3" t="s">
        <v>4652</v>
      </c>
      <c r="F529" s="5" t="str">
        <f>IFERROR(__xludf.DUMMYFUNCTION("GOOGLETRANSLATE(A529, ""en"", ""hi"")"),"528")</f>
        <v>528</v>
      </c>
      <c r="G529" s="5" t="str">
        <f>IFERROR(__xludf.DUMMYFUNCTION("GOOGLETRANSLATE(B529, ""en"", ""hi"")"),"खिलाड़ी Q लगातार गति के साथ 12 सेकंड तक टॉप घुमाता है और खिलाड़ी R कभी-कभी हिलते हुए टॉप को 12 सेकंड तक घुमाता है। अगर गति की स्थिरता को प्राथमिकता दी जाए तो कौन जीतता है?")</f>
        <v>खिलाड़ी Q लगातार गति के साथ 12 सेकंड तक टॉप घुमाता है और खिलाड़ी R कभी-कभी हिलते हुए टॉप को 12 सेकंड तक घुमाता है। अगर गति की स्थिरता को प्राथमिकता दी जाए तो कौन जीतता है?</v>
      </c>
      <c r="H529" s="5" t="str">
        <f>IFERROR(__xludf.DUMMYFUNCTION("GOOGLETRANSLATE(C529, ""en"", ""hi"")"),"A) खिलाड़ी Q, B) खिलाड़ी R, C) यह टाई है, D) उपरोक्त में से कोई नहीं")</f>
        <v>A) खिलाड़ी Q, B) खिलाड़ी R, C) यह टाई है, D) उपरोक्त में से कोई नहीं</v>
      </c>
      <c r="I529" s="5" t="str">
        <f>IFERROR(__xludf.DUMMYFUNCTION("GOOGLETRANSLATE(D529, ""en"", ""hi"")"),"ए) खिलाड़ी क्यू")</f>
        <v>ए) खिलाड़ी क्यू</v>
      </c>
    </row>
    <row r="530" ht="22.5" customHeight="1">
      <c r="A530" s="2">
        <v>529.0</v>
      </c>
      <c r="B530" s="3" t="s">
        <v>5238</v>
      </c>
      <c r="C530" s="3" t="s">
        <v>4654</v>
      </c>
      <c r="D530" s="3" t="s">
        <v>4655</v>
      </c>
      <c r="F530" s="5" t="str">
        <f>IFERROR(__xludf.DUMMYFUNCTION("GOOGLETRANSLATE(A530, ""en"", ""hi"")"),"529")</f>
        <v>529</v>
      </c>
      <c r="G530" s="5" t="str">
        <f>IFERROR(__xludf.DUMMYFUNCTION("GOOGLETRANSLATE(B530, ""en"", ""hi"")"),"पम्बरम प्रतियोगिता के दौरान, खिलाड़ी S कभी-कभी हिलते हुए, 8 सेकंड तक लट्टू को घुमाता है और खिलाड़ी T लगातार गति के साथ 8 सेकंड तक लट्टू को घुमाता है। यदि गति की स्थिरता को प्राथमिकता दी जाती है, तो कौन जीतता है?")</f>
        <v>पम्बरम प्रतियोगिता के दौरान, खिलाड़ी S कभी-कभी हिलते हुए, 8 सेकंड तक लट्टू को घुमाता है और खिलाड़ी T लगातार गति के साथ 8 सेकंड तक लट्टू को घुमाता है। यदि गति की स्थिरता को प्राथमिकता दी जाती है, तो कौन जीतता है?</v>
      </c>
      <c r="H530" s="5" t="str">
        <f>IFERROR(__xludf.DUMMYFUNCTION("GOOGLETRANSLATE(C530, ""en"", ""hi"")"),"A) खिलाड़ी S, B) खिलाड़ी T, C) यह टाई है, D) उपरोक्त में से कोई नहीं")</f>
        <v>A) खिलाड़ी S, B) खिलाड़ी T, C) यह टाई है, D) उपरोक्त में से कोई नहीं</v>
      </c>
      <c r="I530" s="5" t="str">
        <f>IFERROR(__xludf.DUMMYFUNCTION("GOOGLETRANSLATE(D530, ""en"", ""hi"")"),"बी) खिलाड़ी टी")</f>
        <v>बी) खिलाड़ी टी</v>
      </c>
    </row>
    <row r="531" ht="22.5" customHeight="1">
      <c r="A531" s="2">
        <v>530.0</v>
      </c>
      <c r="B531" s="3" t="s">
        <v>5239</v>
      </c>
      <c r="C531" s="3" t="s">
        <v>4657</v>
      </c>
      <c r="D531" s="3" t="s">
        <v>4814</v>
      </c>
      <c r="F531" s="5" t="str">
        <f>IFERROR(__xludf.DUMMYFUNCTION("GOOGLETRANSLATE(A531, ""en"", ""hi"")"),"530")</f>
        <v>530</v>
      </c>
      <c r="G531" s="5" t="str">
        <f>IFERROR(__xludf.DUMMYFUNCTION("GOOGLETRANSLATE(B531, ""en"", ""hi"")"),"खिलाड़ी U बीच-बीच में आवाज़ के साथ 13 सेकंड तक ऊपरी हिस्से को घुमाता है और खिलाड़ी V 13 सेकंड तक चुपचाप ऊपरी हिस्से को घुमाता है। अगर मौन को प्राथमिकता दी जाए तो कौन जीतता है?")</f>
        <v>खिलाड़ी U बीच-बीच में आवाज़ के साथ 13 सेकंड तक ऊपरी हिस्से को घुमाता है और खिलाड़ी V 13 सेकंड तक चुपचाप ऊपरी हिस्से को घुमाता है। अगर मौन को प्राथमिकता दी जाए तो कौन जीतता है?</v>
      </c>
      <c r="H531" s="5" t="str">
        <f>IFERROR(__xludf.DUMMYFUNCTION("GOOGLETRANSLATE(C531, ""en"", ""hi"")"),"A) खिलाड़ी U, B) खिलाड़ी V, C) यह एक टाई है, D) उपरोक्त में से कोई नहीं")</f>
        <v>A) खिलाड़ी U, B) खिलाड़ी V, C) यह एक टाई है, D) उपरोक्त में से कोई नहीं</v>
      </c>
      <c r="I531" s="5" t="str">
        <f>IFERROR(__xludf.DUMMYFUNCTION("GOOGLETRANSLATE(D531, ""en"", ""hi"")"),"बी) खिलाड़ी वी")</f>
        <v>बी) खिलाड़ी वी</v>
      </c>
    </row>
    <row r="532" ht="22.5" customHeight="1">
      <c r="A532" s="2">
        <v>531.0</v>
      </c>
      <c r="B532" s="3" t="s">
        <v>5240</v>
      </c>
      <c r="C532" s="3" t="s">
        <v>4660</v>
      </c>
      <c r="D532" s="3" t="s">
        <v>4816</v>
      </c>
      <c r="F532" s="5" t="str">
        <f>IFERROR(__xludf.DUMMYFUNCTION("GOOGLETRANSLATE(A532, ""en"", ""hi"")"),"531")</f>
        <v>531</v>
      </c>
      <c r="G532" s="5" t="str">
        <f>IFERROR(__xludf.DUMMYFUNCTION("GOOGLETRANSLATE(B532, ""en"", ""hi"")"),"खिलाड़ी W, न्यूनतम कंपन के साथ 14 सेकंड तक ऊपरी भाग को घुमाता है और खिलाड़ी X, कभी-कभार कंपन के साथ 14 सेकंड तक ऊपरी भाग को घुमाता है। यदि न्यूनतम कंपन को प्राथमिकता दी जाती है, तो कौन जीतता है?")</f>
        <v>खिलाड़ी W, न्यूनतम कंपन के साथ 14 सेकंड तक ऊपरी भाग को घुमाता है और खिलाड़ी X, कभी-कभार कंपन के साथ 14 सेकंड तक ऊपरी भाग को घुमाता है। यदि न्यूनतम कंपन को प्राथमिकता दी जाती है, तो कौन जीतता है?</v>
      </c>
      <c r="H532" s="5" t="str">
        <f>IFERROR(__xludf.DUMMYFUNCTION("GOOGLETRANSLATE(C532, ""en"", ""hi"")"),"A) खिलाड़ी W, B) खिलाड़ी X, C) यह टाई है, D) उपरोक्त में से कोई नहीं")</f>
        <v>A) खिलाड़ी W, B) खिलाड़ी X, C) यह टाई है, D) उपरोक्त में से कोई नहीं</v>
      </c>
      <c r="I532" s="5" t="str">
        <f>IFERROR(__xludf.DUMMYFUNCTION("GOOGLETRANSLATE(D532, ""en"", ""hi"")"),"A) खिलाड़ी W")</f>
        <v>A) खिलाड़ी W</v>
      </c>
    </row>
    <row r="533" ht="22.5" customHeight="1">
      <c r="A533" s="2">
        <v>532.0</v>
      </c>
      <c r="B533" s="3" t="s">
        <v>5241</v>
      </c>
      <c r="C533" s="3" t="s">
        <v>4663</v>
      </c>
      <c r="D533" s="3" t="s">
        <v>4664</v>
      </c>
      <c r="F533" s="5" t="str">
        <f>IFERROR(__xludf.DUMMYFUNCTION("GOOGLETRANSLATE(A533, ""en"", ""hi"")"),"532")</f>
        <v>532</v>
      </c>
      <c r="G533" s="5" t="str">
        <f>IFERROR(__xludf.DUMMYFUNCTION("GOOGLETRANSLATE(B533, ""en"", ""hi"")"),"यदि खिलाड़ी Y शीर्ष को 7 सेकंड तक एकसमान गति से घुमाता है और खिलाड़ी Z शीर्ष को 7 सेकंड तक कभी-कभार हिलते हुए घुमाता है, तो यदि गति की स्थिरता को प्राथमिकता दी जाती है तो कौन जीतता है?")</f>
        <v>यदि खिलाड़ी Y शीर्ष को 7 सेकंड तक एकसमान गति से घुमाता है और खिलाड़ी Z शीर्ष को 7 सेकंड तक कभी-कभार हिलते हुए घुमाता है, तो यदि गति की स्थिरता को प्राथमिकता दी जाती है तो कौन जीतता है?</v>
      </c>
      <c r="H533" s="5" t="str">
        <f>IFERROR(__xludf.DUMMYFUNCTION("GOOGLETRANSLATE(C533, ""en"", ""hi"")"),"A) खिलाड़ी Y, B) खिलाड़ी Z, C) यह टाई है, D) उपरोक्त में से कोई नहीं")</f>
        <v>A) खिलाड़ी Y, B) खिलाड़ी Z, C) यह टाई है, D) उपरोक्त में से कोई नहीं</v>
      </c>
      <c r="I533" s="5" t="str">
        <f>IFERROR(__xludf.DUMMYFUNCTION("GOOGLETRANSLATE(D533, ""en"", ""hi"")"),"A) खिलाड़ी Y")</f>
        <v>A) खिलाड़ी Y</v>
      </c>
    </row>
    <row r="534" ht="22.5" customHeight="1">
      <c r="A534" s="2">
        <v>533.0</v>
      </c>
      <c r="B534" s="3" t="s">
        <v>5242</v>
      </c>
      <c r="C534" s="3" t="s">
        <v>4627</v>
      </c>
      <c r="D534" s="3" t="s">
        <v>4628</v>
      </c>
      <c r="F534" s="5" t="str">
        <f>IFERROR(__xludf.DUMMYFUNCTION("GOOGLETRANSLATE(A534, ""en"", ""hi"")"),"533")</f>
        <v>533</v>
      </c>
      <c r="G534" s="5" t="str">
        <f>IFERROR(__xludf.DUMMYFUNCTION("GOOGLETRANSLATE(B534, ""en"", ""hi"")"),"खिलाड़ी A, न्यूनतम कंपन के साथ 11 सेकंड तक ऊपरी भाग को घुमाता है और खिलाड़ी B, कभी-कभार कंपन के साथ 11 सेकंड तक ऊपरी भाग को घुमाता है। यदि न्यूनतम कंपन को प्राथमिकता दी जाती है, तो कौन जीतता है?")</f>
        <v>खिलाड़ी A, न्यूनतम कंपन के साथ 11 सेकंड तक ऊपरी भाग को घुमाता है और खिलाड़ी B, कभी-कभार कंपन के साथ 11 सेकंड तक ऊपरी भाग को घुमाता है। यदि न्यूनतम कंपन को प्राथमिकता दी जाती है, तो कौन जीतता है?</v>
      </c>
      <c r="H534" s="5" t="str">
        <f>IFERROR(__xludf.DUMMYFUNCTION("GOOGLETRANSLATE(C534, ""en"", ""hi"")"),"A) खिलाड़ी A, B) खिलाड़ी B, C) यह टाई है, D) उपरोक्त में से कोई नहीं")</f>
        <v>A) खिलाड़ी A, B) खिलाड़ी B, C) यह टाई है, D) उपरोक्त में से कोई नहीं</v>
      </c>
      <c r="I534" s="5" t="str">
        <f>IFERROR(__xludf.DUMMYFUNCTION("GOOGLETRANSLATE(D534, ""en"", ""hi"")"),"ए) खिलाड़ी ए")</f>
        <v>ए) खिलाड़ी ए</v>
      </c>
    </row>
    <row r="535" ht="22.5" customHeight="1">
      <c r="A535" s="2">
        <v>534.0</v>
      </c>
      <c r="B535" s="3" t="s">
        <v>5243</v>
      </c>
      <c r="C535" s="3" t="s">
        <v>4630</v>
      </c>
      <c r="D535" s="3" t="s">
        <v>4631</v>
      </c>
      <c r="F535" s="5" t="str">
        <f>IFERROR(__xludf.DUMMYFUNCTION("GOOGLETRANSLATE(A535, ""en"", ""hi"")"),"534")</f>
        <v>534</v>
      </c>
      <c r="G535" s="5" t="str">
        <f>IFERROR(__xludf.DUMMYFUNCTION("GOOGLETRANSLATE(B535, ""en"", ""hi"")"),"पम्बरम मैच के दौरान, खिलाड़ी C लगातार गति के साथ 10 सेकंड तक टॉप घुमाता है और खिलाड़ी D बीच-बीच में आवाज़ के साथ 10 सेकंड तक टॉप घुमाता है। अगर गति की स्थिरता को प्राथमिकता दी जाए तो कौन जीतता है?")</f>
        <v>पम्बरम मैच के दौरान, खिलाड़ी C लगातार गति के साथ 10 सेकंड तक टॉप घुमाता है और खिलाड़ी D बीच-बीच में आवाज़ के साथ 10 सेकंड तक टॉप घुमाता है। अगर गति की स्थिरता को प्राथमिकता दी जाए तो कौन जीतता है?</v>
      </c>
      <c r="H535" s="5" t="str">
        <f>IFERROR(__xludf.DUMMYFUNCTION("GOOGLETRANSLATE(C535, ""en"", ""hi"")"),"A) खिलाड़ी C, B) खिलाड़ी D, C) यह टाई है, D) उपरोक्त में से कोई नहीं")</f>
        <v>A) खिलाड़ी C, B) खिलाड़ी D, C) यह टाई है, D) उपरोक्त में से कोई नहीं</v>
      </c>
      <c r="I535" s="5" t="str">
        <f>IFERROR(__xludf.DUMMYFUNCTION("GOOGLETRANSLATE(D535, ""en"", ""hi"")"),"ए) खिलाड़ी सी")</f>
        <v>ए) खिलाड़ी सी</v>
      </c>
    </row>
    <row r="536" ht="22.5" customHeight="1">
      <c r="A536" s="2">
        <v>535.0</v>
      </c>
      <c r="B536" s="3" t="s">
        <v>5244</v>
      </c>
      <c r="C536" s="3" t="s">
        <v>4781</v>
      </c>
      <c r="D536" s="3" t="s">
        <v>4634</v>
      </c>
      <c r="F536" s="5" t="str">
        <f>IFERROR(__xludf.DUMMYFUNCTION("GOOGLETRANSLATE(A536, ""en"", ""hi"")"),"535")</f>
        <v>535</v>
      </c>
      <c r="G536" s="5" t="str">
        <f>IFERROR(__xludf.DUMMYFUNCTION("GOOGLETRANSLATE(B536, ""en"", ""hi"")"),"खिलाड़ी E बीच-बीच में आवाज़ के साथ 9 सेकंड तक लट्टू को घुमाता है और खिलाड़ी F चुपचाप 9 सेकंड तक लट्टू को घुमाता है। अगर मौन को प्राथमिकता दी जाए तो कौन जीतता है?")</f>
        <v>खिलाड़ी E बीच-बीच में आवाज़ के साथ 9 सेकंड तक लट्टू को घुमाता है और खिलाड़ी F चुपचाप 9 सेकंड तक लट्टू को घुमाता है। अगर मौन को प्राथमिकता दी जाए तो कौन जीतता है?</v>
      </c>
      <c r="H536" s="5" t="str">
        <f>IFERROR(__xludf.DUMMYFUNCTION("GOOGLETRANSLATE(C536, ""en"", ""hi"")"),"A) खिलाड़ी E, B) खिलाड़ी F, C) यह टाई है, D) उपरोक्त में से कोई नहीं")</f>
        <v>A) खिलाड़ी E, B) खिलाड़ी F, C) यह टाई है, D) उपरोक्त में से कोई नहीं</v>
      </c>
      <c r="I536" s="5" t="str">
        <f>IFERROR(__xludf.DUMMYFUNCTION("GOOGLETRANSLATE(D536, ""en"", ""hi"")"),"बी) खिलाड़ी एफ")</f>
        <v>बी) खिलाड़ी एफ</v>
      </c>
    </row>
    <row r="537" ht="22.5" customHeight="1">
      <c r="A537" s="2">
        <v>536.0</v>
      </c>
      <c r="B537" s="3" t="s">
        <v>5245</v>
      </c>
      <c r="C537" s="3" t="s">
        <v>4783</v>
      </c>
      <c r="D537" s="3" t="s">
        <v>4637</v>
      </c>
      <c r="F537" s="5" t="str">
        <f>IFERROR(__xludf.DUMMYFUNCTION("GOOGLETRANSLATE(A537, ""en"", ""hi"")"),"536")</f>
        <v>536</v>
      </c>
      <c r="G537" s="5" t="str">
        <f>IFERROR(__xludf.DUMMYFUNCTION("GOOGLETRANSLATE(B537, ""en"", ""hi"")"),"यदि खिलाड़ी G कभी-कभार हिलते हुए शीर्ष को 12 सेकंड तक घुमाता है और खिलाड़ी H लगातार गति के साथ शीर्ष को 12 सेकंड तक घुमाता है, तो यदि न्यूनतम हिलना पसंद किया जाता है तो कौन जीतता है?")</f>
        <v>यदि खिलाड़ी G कभी-कभार हिलते हुए शीर्ष को 12 सेकंड तक घुमाता है और खिलाड़ी H लगातार गति के साथ शीर्ष को 12 सेकंड तक घुमाता है, तो यदि न्यूनतम हिलना पसंद किया जाता है तो कौन जीतता है?</v>
      </c>
      <c r="H537" s="5" t="str">
        <f>IFERROR(__xludf.DUMMYFUNCTION("GOOGLETRANSLATE(C537, ""en"", ""hi"")"),"A) खिलाड़ी G, B) खिलाड़ी H, C) यह टाई है, D) उपरोक्त में से कोई नहीं")</f>
        <v>A) खिलाड़ी G, B) खिलाड़ी H, C) यह टाई है, D) उपरोक्त में से कोई नहीं</v>
      </c>
      <c r="I537" s="5" t="str">
        <f>IFERROR(__xludf.DUMMYFUNCTION("GOOGLETRANSLATE(D537, ""en"", ""hi"")"),"बी) खिलाड़ी एच")</f>
        <v>बी) खिलाड़ी एच</v>
      </c>
    </row>
    <row r="538" ht="22.5" customHeight="1">
      <c r="A538" s="2">
        <v>537.0</v>
      </c>
      <c r="B538" s="3" t="s">
        <v>5246</v>
      </c>
      <c r="C538" s="3" t="s">
        <v>4639</v>
      </c>
      <c r="D538" s="3" t="s">
        <v>4640</v>
      </c>
      <c r="F538" s="5" t="str">
        <f>IFERROR(__xludf.DUMMYFUNCTION("GOOGLETRANSLATE(A538, ""en"", ""hi"")"),"537")</f>
        <v>537</v>
      </c>
      <c r="G538" s="5" t="str">
        <f>IFERROR(__xludf.DUMMYFUNCTION("GOOGLETRANSLATE(B538, ""en"", ""hi"")"),"खिलाड़ी I, न्यूनतम कंपन के साथ 8 सेकंड के लिए ऊपरी भाग को घुमाता है और खिलाड़ी J, कभी-कभार कंपन के साथ 8 सेकंड के लिए ऊपरी भाग को घुमाता है। अगर स्थिरता को प्राथमिकता दी जाए तो कौन जीतता है?")</f>
        <v>खिलाड़ी I, न्यूनतम कंपन के साथ 8 सेकंड के लिए ऊपरी भाग को घुमाता है और खिलाड़ी J, कभी-कभार कंपन के साथ 8 सेकंड के लिए ऊपरी भाग को घुमाता है। अगर स्थिरता को प्राथमिकता दी जाए तो कौन जीतता है?</v>
      </c>
      <c r="H538" s="5" t="str">
        <f>IFERROR(__xludf.DUMMYFUNCTION("GOOGLETRANSLATE(C538, ""en"", ""hi"")"),"A) खिलाड़ी I, B) खिलाड़ी J, C) यह टाई है, D) उपरोक्त में से कोई नहीं")</f>
        <v>A) खिलाड़ी I, B) खिलाड़ी J, C) यह टाई है, D) उपरोक्त में से कोई नहीं</v>
      </c>
      <c r="I538" s="5" t="str">
        <f>IFERROR(__xludf.DUMMYFUNCTION("GOOGLETRANSLATE(D538, ""en"", ""hi"")"),"ए) खिलाड़ी I")</f>
        <v>ए) खिलाड़ी I</v>
      </c>
    </row>
    <row r="539" ht="22.5" customHeight="1">
      <c r="A539" s="2">
        <v>538.0</v>
      </c>
      <c r="B539" s="3" t="s">
        <v>5247</v>
      </c>
      <c r="C539" s="3" t="s">
        <v>4642</v>
      </c>
      <c r="D539" s="3" t="s">
        <v>4788</v>
      </c>
      <c r="F539" s="5" t="str">
        <f>IFERROR(__xludf.DUMMYFUNCTION("GOOGLETRANSLATE(A539, ""en"", ""hi"")"),"538")</f>
        <v>538</v>
      </c>
      <c r="G539" s="5" t="str">
        <f>IFERROR(__xludf.DUMMYFUNCTION("GOOGLETRANSLATE(B539, ""en"", ""hi"")"),"खिलाड़ी K लगातार गति के साथ 13 सेकंड तक टॉप घुमाता है और खिलाड़ी L कभी-कभी हिलते हुए टॉप को 13 सेकंड तक घुमाता है। अगर गति की स्थिरता को प्राथमिकता दी जाए तो कौन जीतता है?")</f>
        <v>खिलाड़ी K लगातार गति के साथ 13 सेकंड तक टॉप घुमाता है और खिलाड़ी L कभी-कभी हिलते हुए टॉप को 13 सेकंड तक घुमाता है। अगर गति की स्थिरता को प्राथमिकता दी जाए तो कौन जीतता है?</v>
      </c>
      <c r="H539" s="5" t="str">
        <f>IFERROR(__xludf.DUMMYFUNCTION("GOOGLETRANSLATE(C539, ""en"", ""hi"")"),"A) खिलाड़ी K, B) खिलाड़ी L, C) यह टाई है, D) उपरोक्त में से कोई नहीं")</f>
        <v>A) खिलाड़ी K, B) खिलाड़ी L, C) यह टाई है, D) उपरोक्त में से कोई नहीं</v>
      </c>
      <c r="I539" s="5" t="str">
        <f>IFERROR(__xludf.DUMMYFUNCTION("GOOGLETRANSLATE(D539, ""en"", ""hi"")"),"A) खिलाड़ी K")</f>
        <v>A) खिलाड़ी K</v>
      </c>
    </row>
    <row r="540" ht="22.5" customHeight="1">
      <c r="A540" s="2">
        <v>539.0</v>
      </c>
      <c r="B540" s="3" t="s">
        <v>5248</v>
      </c>
      <c r="C540" s="3" t="s">
        <v>4790</v>
      </c>
      <c r="D540" s="3" t="s">
        <v>4646</v>
      </c>
      <c r="F540" s="5" t="str">
        <f>IFERROR(__xludf.DUMMYFUNCTION("GOOGLETRANSLATE(A540, ""en"", ""hi"")"),"539")</f>
        <v>539</v>
      </c>
      <c r="G540" s="5" t="str">
        <f>IFERROR(__xludf.DUMMYFUNCTION("GOOGLETRANSLATE(B540, ""en"", ""hi"")"),"पम्बरम प्रतियोगिता के दौरान, खिलाड़ी M बीच-बीच में आवाज़ के साथ 6 सेकंड के लिए लट्टू घुमाता है और खिलाड़ी N 6 सेकंड के लिए मौन में लट्टू घुमाता है। अगर मौन को प्राथमिकता दी जाती है तो कौन जीतता है?")</f>
        <v>पम्बरम प्रतियोगिता के दौरान, खिलाड़ी M बीच-बीच में आवाज़ के साथ 6 सेकंड के लिए लट्टू घुमाता है और खिलाड़ी N 6 सेकंड के लिए मौन में लट्टू घुमाता है। अगर मौन को प्राथमिकता दी जाती है तो कौन जीतता है?</v>
      </c>
      <c r="H540" s="5" t="str">
        <f>IFERROR(__xludf.DUMMYFUNCTION("GOOGLETRANSLATE(C540, ""en"", ""hi"")"),"A) खिलाड़ी M, B) खिलाड़ी N, C) यह टाई है, D) उपरोक्त में से कोई नहीं")</f>
        <v>A) खिलाड़ी M, B) खिलाड़ी N, C) यह टाई है, D) उपरोक्त में से कोई नहीं</v>
      </c>
      <c r="I540" s="5" t="str">
        <f>IFERROR(__xludf.DUMMYFUNCTION("GOOGLETRANSLATE(D540, ""en"", ""hi"")"),"बी) खिलाड़ी एन")</f>
        <v>बी) खिलाड़ी एन</v>
      </c>
    </row>
    <row r="541" ht="22.5" customHeight="1">
      <c r="A541" s="2">
        <v>540.0</v>
      </c>
      <c r="B541" s="3" t="s">
        <v>5249</v>
      </c>
      <c r="C541" s="3" t="s">
        <v>4648</v>
      </c>
      <c r="D541" s="3" t="s">
        <v>4649</v>
      </c>
      <c r="F541" s="5" t="str">
        <f>IFERROR(__xludf.DUMMYFUNCTION("GOOGLETRANSLATE(A541, ""en"", ""hi"")"),"540")</f>
        <v>540</v>
      </c>
      <c r="G541" s="5" t="str">
        <f>IFERROR(__xludf.DUMMYFUNCTION("GOOGLETRANSLATE(B541, ""en"", ""hi"")"),"खिलाड़ी O लगातार गति के साथ 14 सेकंड तक टॉप घुमाता है और खिलाड़ी P कभी-कभी हिलते हुए टॉप को 14 सेकंड तक घुमाता है। अगर गति की स्थिरता को प्राथमिकता दी जाए तो कौन जीतता है?")</f>
        <v>खिलाड़ी O लगातार गति के साथ 14 सेकंड तक टॉप घुमाता है और खिलाड़ी P कभी-कभी हिलते हुए टॉप को 14 सेकंड तक घुमाता है। अगर गति की स्थिरता को प्राथमिकता दी जाए तो कौन जीतता है?</v>
      </c>
      <c r="H541" s="5" t="str">
        <f>IFERROR(__xludf.DUMMYFUNCTION("GOOGLETRANSLATE(C541, ""en"", ""hi"")"),"A) खिलाड़ी O, B) खिलाड़ी P, C) यह टाई है, D) उपरोक्त में से कोई नहीं")</f>
        <v>A) खिलाड़ी O, B) खिलाड़ी P, C) यह टाई है, D) उपरोक्त में से कोई नहीं</v>
      </c>
      <c r="I541" s="5" t="str">
        <f>IFERROR(__xludf.DUMMYFUNCTION("GOOGLETRANSLATE(D541, ""en"", ""hi"")"),"A) खिलाड़ी O")</f>
        <v>A) खिलाड़ी O</v>
      </c>
    </row>
    <row r="542" ht="22.5" customHeight="1">
      <c r="A542" s="2">
        <v>541.0</v>
      </c>
      <c r="B542" s="3" t="s">
        <v>5250</v>
      </c>
      <c r="C542" s="3" t="s">
        <v>4651</v>
      </c>
      <c r="D542" s="3" t="s">
        <v>4795</v>
      </c>
      <c r="F542" s="5" t="str">
        <f>IFERROR(__xludf.DUMMYFUNCTION("GOOGLETRANSLATE(A542, ""en"", ""hi"")"),"541")</f>
        <v>541</v>
      </c>
      <c r="G542" s="5" t="str">
        <f>IFERROR(__xludf.DUMMYFUNCTION("GOOGLETRANSLATE(B542, ""en"", ""hi"")"),"खिलाड़ी Q बीच-बीच में आवाज़ के साथ 15 सेकंड तक लट्टू घुमाता है और खिलाड़ी R लगातार गति के साथ 15 सेकंड तक लट्टू घुमाता है। अगर गति की स्थिरता को प्राथमिकता दी जाए तो कौन जीतता है?")</f>
        <v>खिलाड़ी Q बीच-बीच में आवाज़ के साथ 15 सेकंड तक लट्टू घुमाता है और खिलाड़ी R लगातार गति के साथ 15 सेकंड तक लट्टू घुमाता है। अगर गति की स्थिरता को प्राथमिकता दी जाए तो कौन जीतता है?</v>
      </c>
      <c r="H542" s="5" t="str">
        <f>IFERROR(__xludf.DUMMYFUNCTION("GOOGLETRANSLATE(C542, ""en"", ""hi"")"),"A) खिलाड़ी Q, B) खिलाड़ी R, C) यह टाई है, D) उपरोक्त में से कोई नहीं")</f>
        <v>A) खिलाड़ी Q, B) खिलाड़ी R, C) यह टाई है, D) उपरोक्त में से कोई नहीं</v>
      </c>
      <c r="I542" s="5" t="str">
        <f>IFERROR(__xludf.DUMMYFUNCTION("GOOGLETRANSLATE(D542, ""en"", ""hi"")"),"बी) खिलाड़ी आर")</f>
        <v>बी) खिलाड़ी आर</v>
      </c>
    </row>
    <row r="543" ht="22.5" customHeight="1">
      <c r="A543" s="2">
        <v>542.0</v>
      </c>
      <c r="B543" s="3" t="s">
        <v>5251</v>
      </c>
      <c r="C543" s="3" t="s">
        <v>4654</v>
      </c>
      <c r="D543" s="3" t="s">
        <v>4828</v>
      </c>
      <c r="F543" s="5" t="str">
        <f>IFERROR(__xludf.DUMMYFUNCTION("GOOGLETRANSLATE(A543, ""en"", ""hi"")"),"542")</f>
        <v>542</v>
      </c>
      <c r="G543" s="5" t="str">
        <f>IFERROR(__xludf.DUMMYFUNCTION("GOOGLETRANSLATE(B543, ""en"", ""hi"")"),"पम्बरम मैच के दौरान, खिलाड़ी S, न्यूनतम कंपन के साथ 9 सेकंड तक ऊपरी भाग को घुमाता है और खिलाड़ी T, कभी-कभार कंपन के साथ 9 सेकंड तक ऊपरी भाग को घुमाता है। यदि न्यूनतम कंपन को प्राथमिकता दी जाती है, तो कौन जीतता है?")</f>
        <v>पम्बरम मैच के दौरान, खिलाड़ी S, न्यूनतम कंपन के साथ 9 सेकंड तक ऊपरी भाग को घुमाता है और खिलाड़ी T, कभी-कभार कंपन के साथ 9 सेकंड तक ऊपरी भाग को घुमाता है। यदि न्यूनतम कंपन को प्राथमिकता दी जाती है, तो कौन जीतता है?</v>
      </c>
      <c r="H543" s="5" t="str">
        <f>IFERROR(__xludf.DUMMYFUNCTION("GOOGLETRANSLATE(C543, ""en"", ""hi"")"),"A) खिलाड़ी S, B) खिलाड़ी T, C) यह टाई है, D) उपरोक्त में से कोई नहीं")</f>
        <v>A) खिलाड़ी S, B) खिलाड़ी T, C) यह टाई है, D) उपरोक्त में से कोई नहीं</v>
      </c>
      <c r="I543" s="5" t="str">
        <f>IFERROR(__xludf.DUMMYFUNCTION("GOOGLETRANSLATE(D543, ""en"", ""hi"")"),"ए) खिलाड़ी एस")</f>
        <v>ए) खिलाड़ी एस</v>
      </c>
    </row>
    <row r="544" ht="22.5" customHeight="1">
      <c r="A544" s="2">
        <v>543.0</v>
      </c>
      <c r="B544" s="3" t="s">
        <v>5252</v>
      </c>
      <c r="C544" s="3" t="s">
        <v>4657</v>
      </c>
      <c r="D544" s="3" t="s">
        <v>4814</v>
      </c>
      <c r="F544" s="5" t="str">
        <f>IFERROR(__xludf.DUMMYFUNCTION("GOOGLETRANSLATE(A544, ""en"", ""hi"")"),"543")</f>
        <v>543</v>
      </c>
      <c r="G544" s="5" t="str">
        <f>IFERROR(__xludf.DUMMYFUNCTION("GOOGLETRANSLATE(B544, ""en"", ""hi"")"),"खिलाड़ी U बीच-बीच में आवाज़ के साथ 10 सेकंड के लिए ऊपरी हिस्से को घुमाता है और खिलाड़ी V 10 सेकंड के लिए चुपचाप ऊपरी हिस्से को घुमाता है। अगर मौन को प्राथमिकता दी जाए तो कौन जीतता है?")</f>
        <v>खिलाड़ी U बीच-बीच में आवाज़ के साथ 10 सेकंड के लिए ऊपरी हिस्से को घुमाता है और खिलाड़ी V 10 सेकंड के लिए चुपचाप ऊपरी हिस्से को घुमाता है। अगर मौन को प्राथमिकता दी जाए तो कौन जीतता है?</v>
      </c>
      <c r="H544" s="5" t="str">
        <f>IFERROR(__xludf.DUMMYFUNCTION("GOOGLETRANSLATE(C544, ""en"", ""hi"")"),"A) खिलाड़ी U, B) खिलाड़ी V, C) यह एक टाई है, D) उपरोक्त में से कोई नहीं")</f>
        <v>A) खिलाड़ी U, B) खिलाड़ी V, C) यह एक टाई है, D) उपरोक्त में से कोई नहीं</v>
      </c>
      <c r="I544" s="5" t="str">
        <f>IFERROR(__xludf.DUMMYFUNCTION("GOOGLETRANSLATE(D544, ""en"", ""hi"")"),"बी) खिलाड़ी वी")</f>
        <v>बी) खिलाड़ी वी</v>
      </c>
    </row>
    <row r="545" ht="22.5" customHeight="1">
      <c r="A545" s="2">
        <v>544.0</v>
      </c>
      <c r="B545" s="3" t="s">
        <v>5227</v>
      </c>
      <c r="C545" s="3" t="s">
        <v>4660</v>
      </c>
      <c r="D545" s="3" t="s">
        <v>4816</v>
      </c>
      <c r="F545" s="5" t="str">
        <f>IFERROR(__xludf.DUMMYFUNCTION("GOOGLETRANSLATE(A545, ""en"", ""hi"")"),"544")</f>
        <v>544</v>
      </c>
      <c r="G545" s="5" t="str">
        <f>IFERROR(__xludf.DUMMYFUNCTION("GOOGLETRANSLATE(B545, ""en"", ""hi"")"),"यदि खिलाड़ी W न्यूनतम कंपन के साथ 7 सेकंड के लिए शीर्ष को घुमाता है और खिलाड़ी X कभी-कभार कंपन के साथ 7 सेकंड के लिए शीर्ष को घुमाता है, तो स्थिरता को प्राथमिकता देने पर कौन जीतता है?")</f>
        <v>यदि खिलाड़ी W न्यूनतम कंपन के साथ 7 सेकंड के लिए शीर्ष को घुमाता है और खिलाड़ी X कभी-कभार कंपन के साथ 7 सेकंड के लिए शीर्ष को घुमाता है, तो स्थिरता को प्राथमिकता देने पर कौन जीतता है?</v>
      </c>
      <c r="H545" s="5" t="str">
        <f>IFERROR(__xludf.DUMMYFUNCTION("GOOGLETRANSLATE(C545, ""en"", ""hi"")"),"A) खिलाड़ी W, B) खिलाड़ी X, C) यह टाई है, D) उपरोक्त में से कोई नहीं")</f>
        <v>A) खिलाड़ी W, B) खिलाड़ी X, C) यह टाई है, D) उपरोक्त में से कोई नहीं</v>
      </c>
      <c r="I545" s="5" t="str">
        <f>IFERROR(__xludf.DUMMYFUNCTION("GOOGLETRANSLATE(D545, ""en"", ""hi"")"),"A) खिलाड़ी W")</f>
        <v>A) खिलाड़ी W</v>
      </c>
    </row>
    <row r="546" ht="22.5" customHeight="1">
      <c r="A546" s="2">
        <v>545.0</v>
      </c>
      <c r="B546" s="3" t="s">
        <v>5253</v>
      </c>
      <c r="C546" s="3" t="s">
        <v>4663</v>
      </c>
      <c r="D546" s="3" t="s">
        <v>4664</v>
      </c>
      <c r="F546" s="5" t="str">
        <f>IFERROR(__xludf.DUMMYFUNCTION("GOOGLETRANSLATE(A546, ""en"", ""hi"")"),"545")</f>
        <v>545</v>
      </c>
      <c r="G546" s="5" t="str">
        <f>IFERROR(__xludf.DUMMYFUNCTION("GOOGLETRANSLATE(B546, ""en"", ""hi"")"),"खिलाड़ी Y लगातार गति के साथ 8 सेकंड तक लट्टू घुमाता है और खिलाड़ी Z कभी-कभार आवाज़ के साथ 8 सेकंड तक लट्टू घुमाता है। अगर गति की स्थिरता को प्राथमिकता दी जाए तो कौन जीतता है?")</f>
        <v>खिलाड़ी Y लगातार गति के साथ 8 सेकंड तक लट्टू घुमाता है और खिलाड़ी Z कभी-कभार आवाज़ के साथ 8 सेकंड तक लट्टू घुमाता है। अगर गति की स्थिरता को प्राथमिकता दी जाए तो कौन जीतता है?</v>
      </c>
      <c r="H546" s="5" t="str">
        <f>IFERROR(__xludf.DUMMYFUNCTION("GOOGLETRANSLATE(C546, ""en"", ""hi"")"),"A) खिलाड़ी Y, B) खिलाड़ी Z, C) यह टाई है, D) उपरोक्त में से कोई नहीं")</f>
        <v>A) खिलाड़ी Y, B) खिलाड़ी Z, C) यह टाई है, D) उपरोक्त में से कोई नहीं</v>
      </c>
      <c r="I546" s="5" t="str">
        <f>IFERROR(__xludf.DUMMYFUNCTION("GOOGLETRANSLATE(D546, ""en"", ""hi"")"),"A) खिलाड़ी Y")</f>
        <v>A) खिलाड़ी Y</v>
      </c>
    </row>
    <row r="547" ht="22.5" customHeight="1">
      <c r="A547" s="2">
        <v>546.0</v>
      </c>
      <c r="B547" s="3" t="s">
        <v>5254</v>
      </c>
      <c r="C547" s="3" t="s">
        <v>4627</v>
      </c>
      <c r="D547" s="3" t="s">
        <v>4628</v>
      </c>
      <c r="F547" s="5" t="str">
        <f>IFERROR(__xludf.DUMMYFUNCTION("GOOGLETRANSLATE(A547, ""en"", ""hi"")"),"546")</f>
        <v>546</v>
      </c>
      <c r="G547" s="5" t="str">
        <f>IFERROR(__xludf.DUMMYFUNCTION("GOOGLETRANSLATE(B547, ""en"", ""hi"")"),"पम्बरम प्रतियोगिता के दौरान, खिलाड़ी A, न्यूनतम कंपन के साथ 12 सेकंड तक ऊपरी भाग को घुमाता है और खिलाड़ी B, कभी-कभार कंपन के साथ 12 सेकंड तक ऊपरी भाग को घुमाता है। यदि न्यूनतम कंपन को प्राथमिकता दी जाती है, तो कौन जीतता है?")</f>
        <v>पम्बरम प्रतियोगिता के दौरान, खिलाड़ी A, न्यूनतम कंपन के साथ 12 सेकंड तक ऊपरी भाग को घुमाता है और खिलाड़ी B, कभी-कभार कंपन के साथ 12 सेकंड तक ऊपरी भाग को घुमाता है। यदि न्यूनतम कंपन को प्राथमिकता दी जाती है, तो कौन जीतता है?</v>
      </c>
      <c r="H547" s="5" t="str">
        <f>IFERROR(__xludf.DUMMYFUNCTION("GOOGLETRANSLATE(C547, ""en"", ""hi"")"),"A) खिलाड़ी A, B) खिलाड़ी B, C) यह टाई है, D) उपरोक्त में से कोई नहीं")</f>
        <v>A) खिलाड़ी A, B) खिलाड़ी B, C) यह टाई है, D) उपरोक्त में से कोई नहीं</v>
      </c>
      <c r="I547" s="5" t="str">
        <f>IFERROR(__xludf.DUMMYFUNCTION("GOOGLETRANSLATE(D547, ""en"", ""hi"")"),"ए) खिलाड़ी ए")</f>
        <v>ए) खिलाड़ी ए</v>
      </c>
    </row>
    <row r="548" ht="22.5" customHeight="1">
      <c r="A548" s="2">
        <v>547.0</v>
      </c>
      <c r="B548" s="3" t="s">
        <v>5147</v>
      </c>
      <c r="C548" s="3" t="s">
        <v>4630</v>
      </c>
      <c r="D548" s="3" t="s">
        <v>4803</v>
      </c>
      <c r="F548" s="5" t="str">
        <f>IFERROR(__xludf.DUMMYFUNCTION("GOOGLETRANSLATE(A548, ""en"", ""hi"")"),"547")</f>
        <v>547</v>
      </c>
      <c r="G548" s="5" t="str">
        <f>IFERROR(__xludf.DUMMYFUNCTION("GOOGLETRANSLATE(B548, ""en"", ""hi"")"),"खिलाड़ी C बीच-बीच में आवाज़ के साथ 11 सेकंड तक ऊपरी हिस्से को घुमाता है और खिलाड़ी D 11 सेकंड तक चुपचाप ऊपरी हिस्से को घुमाता है। अगर मौन को प्राथमिकता दी जाए तो कौन जीतता है?")</f>
        <v>खिलाड़ी C बीच-बीच में आवाज़ के साथ 11 सेकंड तक ऊपरी हिस्से को घुमाता है और खिलाड़ी D 11 सेकंड तक चुपचाप ऊपरी हिस्से को घुमाता है। अगर मौन को प्राथमिकता दी जाए तो कौन जीतता है?</v>
      </c>
      <c r="H548" s="5" t="str">
        <f>IFERROR(__xludf.DUMMYFUNCTION("GOOGLETRANSLATE(C548, ""en"", ""hi"")"),"A) खिलाड़ी C, B) खिलाड़ी D, C) यह टाई है, D) उपरोक्त में से कोई नहीं")</f>
        <v>A) खिलाड़ी C, B) खिलाड़ी D, C) यह टाई है, D) उपरोक्त में से कोई नहीं</v>
      </c>
      <c r="I548" s="5" t="str">
        <f>IFERROR(__xludf.DUMMYFUNCTION("GOOGLETRANSLATE(D548, ""en"", ""hi"")"),"बी) खिलाड़ी डी")</f>
        <v>बी) खिलाड़ी डी</v>
      </c>
    </row>
    <row r="549" ht="22.5" customHeight="1">
      <c r="A549" s="2">
        <v>548.0</v>
      </c>
      <c r="B549" s="3" t="s">
        <v>5255</v>
      </c>
      <c r="C549" s="3" t="s">
        <v>4781</v>
      </c>
      <c r="D549" s="3" t="s">
        <v>4805</v>
      </c>
      <c r="F549" s="5" t="str">
        <f>IFERROR(__xludf.DUMMYFUNCTION("GOOGLETRANSLATE(A549, ""en"", ""hi"")"),"548")</f>
        <v>548</v>
      </c>
      <c r="G549" s="5" t="str">
        <f>IFERROR(__xludf.DUMMYFUNCTION("GOOGLETRANSLATE(B549, ""en"", ""hi"")"),"यदि खिलाड़ी E शीर्ष को 6 सेकंड तक एकसमान गति से घुमाता है और खिलाड़ी F शीर्ष को 6 सेकंड तक कभी-कभार हिलते हुए घुमाता है, तो यदि गति की स्थिरता को प्राथमिकता दी जाती है तो कौन जीतता है?")</f>
        <v>यदि खिलाड़ी E शीर्ष को 6 सेकंड तक एकसमान गति से घुमाता है और खिलाड़ी F शीर्ष को 6 सेकंड तक कभी-कभार हिलते हुए घुमाता है, तो यदि गति की स्थिरता को प्राथमिकता दी जाती है तो कौन जीतता है?</v>
      </c>
      <c r="H549" s="5" t="str">
        <f>IFERROR(__xludf.DUMMYFUNCTION("GOOGLETRANSLATE(C549, ""en"", ""hi"")"),"A) खिलाड़ी E, B) खिलाड़ी F, C) यह टाई है, D) उपरोक्त में से कोई नहीं")</f>
        <v>A) खिलाड़ी E, B) खिलाड़ी F, C) यह टाई है, D) उपरोक्त में से कोई नहीं</v>
      </c>
      <c r="I549" s="5" t="str">
        <f>IFERROR(__xludf.DUMMYFUNCTION("GOOGLETRANSLATE(D549, ""en"", ""hi"")"),"ए) खिलाड़ी ई")</f>
        <v>ए) खिलाड़ी ई</v>
      </c>
    </row>
    <row r="550" ht="22.5" customHeight="1">
      <c r="A550" s="2">
        <v>549.0</v>
      </c>
      <c r="B550" s="3" t="s">
        <v>5256</v>
      </c>
      <c r="C550" s="3" t="s">
        <v>4783</v>
      </c>
      <c r="D550" s="3" t="s">
        <v>4784</v>
      </c>
      <c r="F550" s="5" t="str">
        <f>IFERROR(__xludf.DUMMYFUNCTION("GOOGLETRANSLATE(A550, ""en"", ""hi"")"),"549")</f>
        <v>549</v>
      </c>
      <c r="G550" s="5" t="str">
        <f>IFERROR(__xludf.DUMMYFUNCTION("GOOGLETRANSLATE(B550, ""en"", ""hi"")"),"खिलाड़ी G, न्यूनतम कंपन के साथ 14 सेकंड तक ऊपरी भाग को घुमाता है और खिलाड़ी H, कभी-कभार कंपन के साथ 14 सेकंड तक ऊपरी भाग को घुमाता है। यदि न्यूनतम कंपन को प्राथमिकता दी जाती है, तो कौन जीतता है?")</f>
        <v>खिलाड़ी G, न्यूनतम कंपन के साथ 14 सेकंड तक ऊपरी भाग को घुमाता है और खिलाड़ी H, कभी-कभार कंपन के साथ 14 सेकंड तक ऊपरी भाग को घुमाता है। यदि न्यूनतम कंपन को प्राथमिकता दी जाती है, तो कौन जीतता है?</v>
      </c>
      <c r="H550" s="5" t="str">
        <f>IFERROR(__xludf.DUMMYFUNCTION("GOOGLETRANSLATE(C550, ""en"", ""hi"")"),"A) खिलाड़ी G, B) खिलाड़ी H, C) यह टाई है, D) उपरोक्त में से कोई नहीं")</f>
        <v>A) खिलाड़ी G, B) खिलाड़ी H, C) यह टाई है, D) उपरोक्त में से कोई नहीं</v>
      </c>
      <c r="I550" s="5" t="str">
        <f>IFERROR(__xludf.DUMMYFUNCTION("GOOGLETRANSLATE(D550, ""en"", ""hi"")"),"ए) खिलाड़ी जी")</f>
        <v>ए) खिलाड़ी जी</v>
      </c>
    </row>
    <row r="551" ht="22.5" customHeight="1">
      <c r="A551" s="2">
        <v>550.0</v>
      </c>
      <c r="B551" s="3" t="s">
        <v>5257</v>
      </c>
      <c r="C551" s="3" t="s">
        <v>4639</v>
      </c>
      <c r="D551" s="3" t="s">
        <v>4640</v>
      </c>
      <c r="F551" s="5" t="str">
        <f>IFERROR(__xludf.DUMMYFUNCTION("GOOGLETRANSLATE(A551, ""en"", ""hi"")"),"550")</f>
        <v>550</v>
      </c>
      <c r="G551" s="5" t="str">
        <f>IFERROR(__xludf.DUMMYFUNCTION("GOOGLETRANSLATE(B551, ""en"", ""hi"")"),"पम्बरम मैच के दौरान, खिलाड़ी I लगातार गति के साथ 15 सेकंड तक टॉप घुमाता है और खिलाड़ी J बीच-बीच में आवाज़ के साथ 15 सेकंड तक टॉप घुमाता है। अगर गति की स्थिरता को प्राथमिकता दी जाए तो कौन जीतता है?")</f>
        <v>पम्बरम मैच के दौरान, खिलाड़ी I लगातार गति के साथ 15 सेकंड तक टॉप घुमाता है और खिलाड़ी J बीच-बीच में आवाज़ के साथ 15 सेकंड तक टॉप घुमाता है। अगर गति की स्थिरता को प्राथमिकता दी जाए तो कौन जीतता है?</v>
      </c>
      <c r="H551" s="5" t="str">
        <f>IFERROR(__xludf.DUMMYFUNCTION("GOOGLETRANSLATE(C551, ""en"", ""hi"")"),"A) खिलाड़ी I, B) खिलाड़ी J, C) यह टाई है, D) उपरोक्त में से कोई नहीं")</f>
        <v>A) खिलाड़ी I, B) खिलाड़ी J, C) यह टाई है, D) उपरोक्त में से कोई नहीं</v>
      </c>
      <c r="I551" s="5" t="str">
        <f>IFERROR(__xludf.DUMMYFUNCTION("GOOGLETRANSLATE(D551, ""en"", ""hi"")"),"ए) खिलाड़ी I")</f>
        <v>ए) खिलाड़ी I</v>
      </c>
    </row>
    <row r="552" ht="22.5" customHeight="1">
      <c r="A552" s="2">
        <v>551.0</v>
      </c>
      <c r="B552" s="3" t="s">
        <v>5258</v>
      </c>
      <c r="C552" s="3" t="s">
        <v>4642</v>
      </c>
      <c r="D552" s="3" t="s">
        <v>4643</v>
      </c>
      <c r="F552" s="5" t="str">
        <f>IFERROR(__xludf.DUMMYFUNCTION("GOOGLETRANSLATE(A552, ""en"", ""hi"")"),"551")</f>
        <v>551</v>
      </c>
      <c r="G552" s="5" t="str">
        <f>IFERROR(__xludf.DUMMYFUNCTION("GOOGLETRANSLATE(B552, ""en"", ""hi"")"),"खिलाड़ी K, कभी-कभार हिलते हुए, 9 सेकंड तक ऊपरी हिस्से को घुमाता है और खिलाड़ी L, कम से कम हिलते हुए, 9 सेकंड तक ऊपरी हिस्से को घुमाता है। अगर कम से कम हिलना पसंद किया जाता है, तो कौन जीतता है?")</f>
        <v>खिलाड़ी K, कभी-कभार हिलते हुए, 9 सेकंड तक ऊपरी हिस्से को घुमाता है और खिलाड़ी L, कम से कम हिलते हुए, 9 सेकंड तक ऊपरी हिस्से को घुमाता है। अगर कम से कम हिलना पसंद किया जाता है, तो कौन जीतता है?</v>
      </c>
      <c r="H552" s="5" t="str">
        <f>IFERROR(__xludf.DUMMYFUNCTION("GOOGLETRANSLATE(C552, ""en"", ""hi"")"),"A) खिलाड़ी K, B) खिलाड़ी L, C) यह टाई है, D) उपरोक्त में से कोई नहीं")</f>
        <v>A) खिलाड़ी K, B) खिलाड़ी L, C) यह टाई है, D) उपरोक्त में से कोई नहीं</v>
      </c>
      <c r="I552" s="5" t="str">
        <f>IFERROR(__xludf.DUMMYFUNCTION("GOOGLETRANSLATE(D552, ""en"", ""hi"")"),"बी) खिलाड़ी एल")</f>
        <v>बी) खिलाड़ी एल</v>
      </c>
    </row>
    <row r="553" ht="22.5" customHeight="1">
      <c r="A553" s="2">
        <v>552.0</v>
      </c>
      <c r="B553" s="3" t="s">
        <v>5259</v>
      </c>
      <c r="C553" s="3" t="s">
        <v>4790</v>
      </c>
      <c r="D553" s="3" t="s">
        <v>4791</v>
      </c>
      <c r="F553" s="5" t="str">
        <f>IFERROR(__xludf.DUMMYFUNCTION("GOOGLETRANSLATE(A553, ""en"", ""hi"")"),"552")</f>
        <v>552</v>
      </c>
      <c r="G553" s="5" t="str">
        <f>IFERROR(__xludf.DUMMYFUNCTION("GOOGLETRANSLATE(B553, ""en"", ""hi"")"),"खिलाड़ी M, कम से कम कंपन के साथ 8 सेकंड तक ऊपरी हिस्से को घुमाता है और खिलाड़ी N, बीच-बीच में आवाज़ के साथ 8 सेकंड तक ऊपरी हिस्से को घुमाता है। अगर न्यूनतम कंपन को प्राथमिकता दी जाती है, तो कौन जीतता है?")</f>
        <v>खिलाड़ी M, कम से कम कंपन के साथ 8 सेकंड तक ऊपरी हिस्से को घुमाता है और खिलाड़ी N, बीच-बीच में आवाज़ के साथ 8 सेकंड तक ऊपरी हिस्से को घुमाता है। अगर न्यूनतम कंपन को प्राथमिकता दी जाती है, तो कौन जीतता है?</v>
      </c>
      <c r="H553" s="5" t="str">
        <f>IFERROR(__xludf.DUMMYFUNCTION("GOOGLETRANSLATE(C553, ""en"", ""hi"")"),"A) खिलाड़ी M, B) खिलाड़ी N, C) यह टाई है, D) उपरोक्त में से कोई नहीं")</f>
        <v>A) खिलाड़ी M, B) खिलाड़ी N, C) यह टाई है, D) उपरोक्त में से कोई नहीं</v>
      </c>
      <c r="I553" s="5" t="str">
        <f>IFERROR(__xludf.DUMMYFUNCTION("GOOGLETRANSLATE(D553, ""en"", ""hi"")"),"ए) खिलाड़ी एम")</f>
        <v>ए) खिलाड़ी एम</v>
      </c>
    </row>
    <row r="554" ht="22.5" customHeight="1">
      <c r="A554" s="2">
        <v>553.0</v>
      </c>
      <c r="B554" s="3" t="s">
        <v>5260</v>
      </c>
      <c r="C554" s="3" t="s">
        <v>4648</v>
      </c>
      <c r="D554" s="3" t="s">
        <v>4649</v>
      </c>
      <c r="F554" s="5" t="str">
        <f>IFERROR(__xludf.DUMMYFUNCTION("GOOGLETRANSLATE(A554, ""en"", ""hi"")"),"553")</f>
        <v>553</v>
      </c>
      <c r="G554" s="5" t="str">
        <f>IFERROR(__xludf.DUMMYFUNCTION("GOOGLETRANSLATE(B554, ""en"", ""hi"")"),"यदि खिलाड़ी O शीर्ष को 11 सेकंड तक एकसमान गति से घुमाता है और खिलाड़ी P शीर्ष को 11 सेकंड तक कभी-कभार हिलते हुए घुमाता है, तो यदि गति की स्थिरता को प्राथमिकता दी जाती है तो कौन जीतता है?")</f>
        <v>यदि खिलाड़ी O शीर्ष को 11 सेकंड तक एकसमान गति से घुमाता है और खिलाड़ी P शीर्ष को 11 सेकंड तक कभी-कभार हिलते हुए घुमाता है, तो यदि गति की स्थिरता को प्राथमिकता दी जाती है तो कौन जीतता है?</v>
      </c>
      <c r="H554" s="5" t="str">
        <f>IFERROR(__xludf.DUMMYFUNCTION("GOOGLETRANSLATE(C554, ""en"", ""hi"")"),"A) खिलाड़ी O, B) खिलाड़ी P, C) यह टाई है, D) उपरोक्त में से कोई नहीं")</f>
        <v>A) खिलाड़ी O, B) खिलाड़ी P, C) यह टाई है, D) उपरोक्त में से कोई नहीं</v>
      </c>
      <c r="I554" s="5" t="str">
        <f>IFERROR(__xludf.DUMMYFUNCTION("GOOGLETRANSLATE(D554, ""en"", ""hi"")"),"A) खिलाड़ी O")</f>
        <v>A) खिलाड़ी O</v>
      </c>
    </row>
    <row r="555" ht="22.5" customHeight="1">
      <c r="A555" s="2">
        <v>554.0</v>
      </c>
      <c r="B555" s="3" t="s">
        <v>5261</v>
      </c>
      <c r="C555" s="3" t="s">
        <v>4651</v>
      </c>
      <c r="D555" s="3" t="s">
        <v>4652</v>
      </c>
      <c r="F555" s="5" t="str">
        <f>IFERROR(__xludf.DUMMYFUNCTION("GOOGLETRANSLATE(A555, ""en"", ""hi"")"),"554")</f>
        <v>554</v>
      </c>
      <c r="G555" s="5" t="str">
        <f>IFERROR(__xludf.DUMMYFUNCTION("GOOGLETRANSLATE(B555, ""en"", ""hi"")"),"खिलाड़ी Q न्यूनतम कंपन के साथ 12 सेकंड तक ऊपरी भाग को घुमाता है और खिलाड़ी R बीच-बीच में आवाज़ के साथ 12 सेकंड तक ऊपरी भाग को घुमाता है। अगर न्यूनतम कंपन को प्राथमिकता दी जाती है तो कौन जीतता है?")</f>
        <v>खिलाड़ी Q न्यूनतम कंपन के साथ 12 सेकंड तक ऊपरी भाग को घुमाता है और खिलाड़ी R बीच-बीच में आवाज़ के साथ 12 सेकंड तक ऊपरी भाग को घुमाता है। अगर न्यूनतम कंपन को प्राथमिकता दी जाती है तो कौन जीतता है?</v>
      </c>
      <c r="H555" s="5" t="str">
        <f>IFERROR(__xludf.DUMMYFUNCTION("GOOGLETRANSLATE(C555, ""en"", ""hi"")"),"A) खिलाड़ी Q, B) खिलाड़ी R, C) यह टाई है, D) उपरोक्त में से कोई नहीं")</f>
        <v>A) खिलाड़ी Q, B) खिलाड़ी R, C) यह टाई है, D) उपरोक्त में से कोई नहीं</v>
      </c>
      <c r="I555" s="5" t="str">
        <f>IFERROR(__xludf.DUMMYFUNCTION("GOOGLETRANSLATE(D555, ""en"", ""hi"")"),"ए) खिलाड़ी क्यू")</f>
        <v>ए) खिलाड़ी क्यू</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7" width="37.63"/>
    <col customWidth="1" min="8" max="8" width="29.38"/>
  </cols>
  <sheetData>
    <row r="1" ht="22.5" customHeight="1">
      <c r="A1" s="1" t="s">
        <v>0</v>
      </c>
      <c r="B1" s="1" t="s">
        <v>1</v>
      </c>
      <c r="C1" s="1" t="s">
        <v>2</v>
      </c>
      <c r="D1" s="1" t="s">
        <v>3</v>
      </c>
      <c r="F1" s="4" t="s">
        <v>4</v>
      </c>
      <c r="G1" s="4" t="s">
        <v>5</v>
      </c>
      <c r="H1" s="4" t="s">
        <v>6</v>
      </c>
      <c r="I1" s="4" t="s">
        <v>7</v>
      </c>
    </row>
    <row r="2" ht="22.5" customHeight="1">
      <c r="A2" s="2">
        <v>1.0</v>
      </c>
      <c r="B2" s="3" t="s">
        <v>5262</v>
      </c>
      <c r="C2" s="3" t="s">
        <v>5263</v>
      </c>
      <c r="D2" s="3" t="s">
        <v>5264</v>
      </c>
      <c r="F2" s="5" t="str">
        <f>IFERROR(__xludf.DUMMYFUNCTION("GOOGLETRANSLATE(A2, ""en"", ""hi"")"),"1")</f>
        <v>1</v>
      </c>
      <c r="G2" s="5" t="str">
        <f>IFERROR(__xludf.DUMMYFUNCTION("GOOGLETRANSLATE(B2, ""en"", ""hi"")"),"पारंपरिक ढोल खेल मैच में प्रत्येक टीम में कितने खिलाड़ी होते हैं?")</f>
        <v>पारंपरिक ढोल खेल मैच में प्रत्येक टीम में कितने खिलाड़ी होते हैं?</v>
      </c>
      <c r="H2" s="5" t="str">
        <f>IFERROR(__xludf.DUMMYFUNCTION("GOOGLETRANSLATE(C2, ""en"", ""hi"")"),"ए) 7, बी) 9, सी) 11, डी) 13")</f>
        <v>ए) 7, बी) 9, सी) 11, डी) 13</v>
      </c>
      <c r="I2" s="5" t="str">
        <f>IFERROR(__xludf.DUMMYFUNCTION("GOOGLETRANSLATE(D2, ""en"", ""hi"")"),"सी) 11")</f>
        <v>सी) 11</v>
      </c>
    </row>
    <row r="3" ht="22.5" customHeight="1">
      <c r="A3" s="2">
        <v>2.0</v>
      </c>
      <c r="B3" s="3" t="s">
        <v>5265</v>
      </c>
      <c r="C3" s="3" t="s">
        <v>5266</v>
      </c>
      <c r="D3" s="3" t="s">
        <v>5267</v>
      </c>
      <c r="F3" s="5" t="str">
        <f>IFERROR(__xludf.DUMMYFUNCTION("GOOGLETRANSLATE(A3, ""en"", ""hi"")"),"2")</f>
        <v>2</v>
      </c>
      <c r="G3" s="5" t="str">
        <f>IFERROR(__xludf.DUMMYFUNCTION("GOOGLETRANSLATE(B3, ""en"", ""hi"")"),"ढोल खेल टूर्नामेंट के दौरान, टीम X ने 5 गोल से 3 के स्कोर से अपना मैच जीत लिया। जीत का अंतर क्या था?")</f>
        <v>ढोल खेल टूर्नामेंट के दौरान, टीम X ने 5 गोल से 3 के स्कोर से अपना मैच जीत लिया। जीत का अंतर क्या था?</v>
      </c>
      <c r="H3" s="5" t="str">
        <f>IFERROR(__xludf.DUMMYFUNCTION("GOOGLETRANSLATE(C3, ""en"", ""hi"")"),"A) 1 गोल, B) 2 गोल, C) 3 गोल, D) 4 गोल")</f>
        <v>A) 1 गोल, B) 2 गोल, C) 3 गोल, D) 4 गोल</v>
      </c>
      <c r="I3" s="5" t="str">
        <f>IFERROR(__xludf.DUMMYFUNCTION("GOOGLETRANSLATE(D3, ""en"", ""hi"")"),"बी) 2 गोल")</f>
        <v>बी) 2 गोल</v>
      </c>
    </row>
    <row r="4" ht="22.5" customHeight="1">
      <c r="A4" s="2">
        <v>3.0</v>
      </c>
      <c r="B4" s="3" t="s">
        <v>5268</v>
      </c>
      <c r="C4" s="3" t="s">
        <v>47</v>
      </c>
      <c r="D4" s="3" t="s">
        <v>52</v>
      </c>
      <c r="F4" s="5" t="str">
        <f>IFERROR(__xludf.DUMMYFUNCTION("GOOGLETRANSLATE(A4, ""en"", ""hi"")"),"3")</f>
        <v>3</v>
      </c>
      <c r="G4" s="5" t="str">
        <f>IFERROR(__xludf.DUMMYFUNCTION("GOOGLETRANSLATE(B4, ""en"", ""hi"")"),"ढोल खेल में यदि कोई खिलाड़ी गेंद को सीमा से बाहर मार देता है तो विरोधी टीम को क्या पुरस्कार दिया जाता है?")</f>
        <v>ढोल खेल में यदि कोई खिलाड़ी गेंद को सीमा से बाहर मार देता है तो विरोधी टीम को क्या पुरस्कार दिया जाता है?</v>
      </c>
      <c r="H4" s="5" t="str">
        <f>IFERROR(__xludf.DUMMYFUNCTION("GOOGLETRANSLATE(C4, ""en"", ""hi"")"),"A) 1 अंक, B) 2 अंक, C) 3 अंक, D) 4 अंक")</f>
        <v>A) 1 अंक, B) 2 अंक, C) 3 अंक, D) 4 अंक</v>
      </c>
      <c r="I4" s="5" t="str">
        <f>IFERROR(__xludf.DUMMYFUNCTION("GOOGLETRANSLATE(D4, ""en"", ""hi"")"),"ए) 1 अंक")</f>
        <v>ए) 1 अंक</v>
      </c>
    </row>
    <row r="5" ht="22.5" customHeight="1">
      <c r="A5" s="2">
        <v>4.0</v>
      </c>
      <c r="B5" s="3" t="s">
        <v>5269</v>
      </c>
      <c r="C5" s="3" t="s">
        <v>5270</v>
      </c>
      <c r="D5" s="3" t="s">
        <v>5271</v>
      </c>
      <c r="F5" s="5" t="str">
        <f>IFERROR(__xludf.DUMMYFUNCTION("GOOGLETRANSLATE(A5, ""en"", ""hi"")"),"4")</f>
        <v>4</v>
      </c>
      <c r="G5" s="5" t="str">
        <f>IFERROR(__xludf.DUMMYFUNCTION("GOOGLETRANSLATE(B5, ""en"", ""hi"")"),"ढोल खेल में विरोधी टीम को स्कोर करने से रोकने के लिए निम्नलिखित में से कौन सी आम रणनीति है?")</f>
        <v>ढोल खेल में विरोधी टीम को स्कोर करने से रोकने के लिए निम्नलिखित में से कौन सी आम रणनीति है?</v>
      </c>
      <c r="H5" s="5" t="str">
        <f>IFERROR(__xludf.DUMMYFUNCTION("GOOGLETRANSLATE(C5, ""en"", ""hi"")"),"ए) आक्रामक रक्षा, बी) लगातार प्रतिस्थापन, सी) उच्च गति की सर्विस, डी) लंबी दूरी की थ्रो")</f>
        <v>ए) आक्रामक रक्षा, बी) लगातार प्रतिस्थापन, सी) उच्च गति की सर्विस, डी) लंबी दूरी की थ्रो</v>
      </c>
      <c r="I5" s="5" t="str">
        <f>IFERROR(__xludf.DUMMYFUNCTION("GOOGLETRANSLATE(D5, ""en"", ""hi"")"),"A) आक्रामक रक्षा")</f>
        <v>A) आक्रामक रक्षा</v>
      </c>
    </row>
    <row r="6" ht="22.5" customHeight="1">
      <c r="A6" s="2">
        <v>5.0</v>
      </c>
      <c r="B6" s="3" t="s">
        <v>5272</v>
      </c>
      <c r="C6" s="3" t="s">
        <v>5273</v>
      </c>
      <c r="D6" s="3" t="s">
        <v>5274</v>
      </c>
      <c r="F6" s="5" t="str">
        <f>IFERROR(__xludf.DUMMYFUNCTION("GOOGLETRANSLATE(A6, ""en"", ""hi"")"),"5")</f>
        <v>5</v>
      </c>
      <c r="G6" s="5" t="str">
        <f>IFERROR(__xludf.DUMMYFUNCTION("GOOGLETRANSLATE(B6, ""en"", ""hi"")"),"ढोल खेल मैच के दौरान किस क्रिया के परिणामस्वरूप विरोधी टीम को गेंद का कब्जा सौंप दिया जाता है?")</f>
        <v>ढोल खेल मैच के दौरान किस क्रिया के परिणामस्वरूप विरोधी टीम को गेंद का कब्जा सौंप दिया जाता है?</v>
      </c>
      <c r="H6" s="5" t="str">
        <f>IFERROR(__xludf.DUMMYFUNCTION("GOOGLETRANSLATE(C6, ""en"", ""hi"")"),"A) शॉट चूकना, B) खेल के नियमों का उल्लंघन करना, C) गोल करना, D) सफल पास")</f>
        <v>A) शॉट चूकना, B) खेल के नियमों का उल्लंघन करना, C) गोल करना, D) सफल पास</v>
      </c>
      <c r="I6" s="5" t="str">
        <f>IFERROR(__xludf.DUMMYFUNCTION("GOOGLETRANSLATE(D6, ""en"", ""hi"")"),"बी) खेल के नियमों का उल्लंघन करना")</f>
        <v>बी) खेल के नियमों का उल्लंघन करना</v>
      </c>
    </row>
    <row r="7" ht="22.5" customHeight="1">
      <c r="A7" s="2">
        <v>6.0</v>
      </c>
      <c r="B7" s="3" t="s">
        <v>5275</v>
      </c>
      <c r="C7" s="3" t="s">
        <v>607</v>
      </c>
      <c r="D7" s="3" t="s">
        <v>608</v>
      </c>
      <c r="F7" s="5" t="str">
        <f>IFERROR(__xludf.DUMMYFUNCTION("GOOGLETRANSLATE(A7, ""en"", ""hi"")"),"6")</f>
        <v>6</v>
      </c>
      <c r="G7" s="5" t="str">
        <f>IFERROR(__xludf.DUMMYFUNCTION("GOOGLETRANSLATE(B7, ""en"", ""hi"")"),"ढोल खेल खेल में, यदि टीम A और टीम B 10-10 गोल से बराबर हैं, तो मैच जीतने के लिए न्यूनतम कितने अतिरिक्त गोल की आवश्यकता होगी, यदि नियम कम से कम 2 गोल से जीतना है?")</f>
        <v>ढोल खेल खेल में, यदि टीम A और टीम B 10-10 गोल से बराबर हैं, तो मैच जीतने के लिए न्यूनतम कितने अतिरिक्त गोल की आवश्यकता होगी, यदि नियम कम से कम 2 गोल से जीतना है?</v>
      </c>
      <c r="H7" s="5" t="str">
        <f>IFERROR(__xludf.DUMMYFUNCTION("GOOGLETRANSLATE(C7, ""en"", ""hi"")"),"ए) 1, बी) 2, सी) 3, डी) 4")</f>
        <v>ए) 1, बी) 2, सी) 3, डी) 4</v>
      </c>
      <c r="I7" s="5" t="str">
        <f>IFERROR(__xludf.DUMMYFUNCTION("GOOGLETRANSLATE(D7, ""en"", ""hi"")"),"बी) 2")</f>
        <v>बी) 2</v>
      </c>
    </row>
    <row r="8" ht="22.5" customHeight="1">
      <c r="A8" s="2">
        <v>7.0</v>
      </c>
      <c r="B8" s="3" t="s">
        <v>5276</v>
      </c>
      <c r="C8" s="3" t="s">
        <v>5277</v>
      </c>
      <c r="D8" s="3" t="s">
        <v>5278</v>
      </c>
      <c r="F8" s="5" t="str">
        <f>IFERROR(__xludf.DUMMYFUNCTION("GOOGLETRANSLATE(A8, ""en"", ""hi"")"),"7")</f>
        <v>7</v>
      </c>
      <c r="G8" s="5" t="str">
        <f>IFERROR(__xludf.DUMMYFUNCTION("GOOGLETRANSLATE(B8, ""en"", ""hi"")"),"ढोल खेल में आमतौर पर किस प्रकार की गेंद का उपयोग किया जाता है?")</f>
        <v>ढोल खेल में आमतौर पर किस प्रकार की गेंद का उपयोग किया जाता है?</v>
      </c>
      <c r="H8" s="5" t="str">
        <f>IFERROR(__xludf.DUMMYFUNCTION("GOOGLETRANSLATE(C8, ""en"", ""hi"")"),"A) चमड़े की गेंद, B) रबर की गेंद, C) सिंथेटिक गेंद, D) लकड़ी की गेंद")</f>
        <v>A) चमड़े की गेंद, B) रबर की गेंद, C) सिंथेटिक गेंद, D) लकड़ी की गेंद</v>
      </c>
      <c r="I8" s="5" t="str">
        <f>IFERROR(__xludf.DUMMYFUNCTION("GOOGLETRANSLATE(D8, ""en"", ""hi"")"),"बी) रबर की गेंद")</f>
        <v>बी) रबर की गेंद</v>
      </c>
    </row>
    <row r="9" ht="22.5" customHeight="1">
      <c r="A9" s="2">
        <v>8.0</v>
      </c>
      <c r="B9" s="3" t="s">
        <v>5279</v>
      </c>
      <c r="C9" s="3" t="s">
        <v>5280</v>
      </c>
      <c r="D9" s="3" t="s">
        <v>5281</v>
      </c>
      <c r="F9" s="5" t="str">
        <f>IFERROR(__xludf.DUMMYFUNCTION("GOOGLETRANSLATE(A9, ""en"", ""hi"")"),"8")</f>
        <v>8</v>
      </c>
      <c r="G9" s="5" t="str">
        <f>IFERROR(__xludf.DUMMYFUNCTION("GOOGLETRANSLATE(B9, ""en"", ""hi"")"),"यदि टीम X के पास गेंद है और वे अपने साथी खिलाड़ी को सफल पास देते हैं, तो आमतौर पर आगे क्या होता है?")</f>
        <v>यदि टीम X के पास गेंद है और वे अपने साथी खिलाड़ी को सफल पास देते हैं, तो आमतौर पर आगे क्या होता है?</v>
      </c>
      <c r="H9" s="5" t="str">
        <f>IFERROR(__xludf.DUMMYFUNCTION("GOOGLETRANSLATE(C9, ""en"", ""hi"")"),"A) गेंद विरोधी टीम को वापस कर दी जाती है, B) टीम X को फ्री थ्रो मिलता है, C) टीम X के कब्जे में रहते हुए खेल जारी रहता है, D) खेल को कुछ समय के लिए रोक दिया जाता है")</f>
        <v>A) गेंद विरोधी टीम को वापस कर दी जाती है, B) टीम X को फ्री थ्रो मिलता है, C) टीम X के कब्जे में रहते हुए खेल जारी रहता है, D) खेल को कुछ समय के लिए रोक दिया जाता है</v>
      </c>
      <c r="I9" s="5" t="str">
        <f>IFERROR(__xludf.DUMMYFUNCTION("GOOGLETRANSLATE(D9, ""en"", ""hi"")"),"C) टीम X के कब्जे में रहते हुए खेल जारी रहता है")</f>
        <v>C) टीम X के कब्जे में रहते हुए खेल जारी रहता है</v>
      </c>
    </row>
    <row r="10" ht="22.5" customHeight="1">
      <c r="A10" s="2">
        <v>9.0</v>
      </c>
      <c r="B10" s="3" t="s">
        <v>5282</v>
      </c>
      <c r="C10" s="3" t="s">
        <v>5283</v>
      </c>
      <c r="D10" s="3" t="s">
        <v>5284</v>
      </c>
      <c r="F10" s="5" t="str">
        <f>IFERROR(__xludf.DUMMYFUNCTION("GOOGLETRANSLATE(A10, ""en"", ""hi"")"),"9")</f>
        <v>9</v>
      </c>
      <c r="G10" s="5" t="str">
        <f>IFERROR(__xludf.DUMMYFUNCTION("GOOGLETRANSLATE(B10, ""en"", ""hi"")"),"ढोल खेल में एक टीम से अधिकतम कितने खिलाड़ी मैदान पर हो सकते हैं?")</f>
        <v>ढोल खेल में एक टीम से अधिकतम कितने खिलाड़ी मैदान पर हो सकते हैं?</v>
      </c>
      <c r="H10" s="5" t="str">
        <f>IFERROR(__xludf.DUMMYFUNCTION("GOOGLETRANSLATE(C10, ""en"", ""hi"")"),"ए) 5, बी) 7, सी) 9, डी) 11")</f>
        <v>ए) 5, बी) 7, सी) 9, डी) 11</v>
      </c>
      <c r="I10" s="5" t="str">
        <f>IFERROR(__xludf.DUMMYFUNCTION("GOOGLETRANSLATE(D10, ""en"", ""hi"")"),"डी) 11")</f>
        <v>डी) 11</v>
      </c>
    </row>
    <row r="11" ht="22.5" customHeight="1">
      <c r="A11" s="2">
        <v>10.0</v>
      </c>
      <c r="B11" s="3" t="s">
        <v>5285</v>
      </c>
      <c r="C11" s="3" t="s">
        <v>5286</v>
      </c>
      <c r="D11" s="3" t="s">
        <v>5287</v>
      </c>
      <c r="F11" s="5" t="str">
        <f>IFERROR(__xludf.DUMMYFUNCTION("GOOGLETRANSLATE(A11, ""en"", ""hi"")"),"10")</f>
        <v>10</v>
      </c>
      <c r="G11" s="5" t="str">
        <f>IFERROR(__xludf.DUMMYFUNCTION("GOOGLETRANSLATE(B11, ""en"", ""hi"")"),"ढोल खेल मैच में निम्नलिखित में से कौन सी रणनीति खेल भावना के अनुरूप नहीं मानी जाती है?")</f>
        <v>ढोल खेल मैच में निम्नलिखित में से कौन सी रणनीति खेल भावना के अनुरूप नहीं मानी जाती है?</v>
      </c>
      <c r="H11" s="5" t="str">
        <f>IFERROR(__xludf.DUMMYFUNCTION("GOOGLETRANSLATE(C11, ""en"", ""hi"")"),"A) आक्रामक तरीके से खेलना, B) रणनीति बनाना, C) जानबूझकर खेल में देरी करना, D) टीम के साथियों को प्रोत्साहित करना")</f>
        <v>A) आक्रामक तरीके से खेलना, B) रणनीति बनाना, C) जानबूझकर खेल में देरी करना, D) टीम के साथियों को प्रोत्साहित करना</v>
      </c>
      <c r="I11" s="5" t="str">
        <f>IFERROR(__xludf.DUMMYFUNCTION("GOOGLETRANSLATE(D11, ""en"", ""hi"")"),"C) जानबूझकर खेल में देरी करना")</f>
        <v>C) जानबूझकर खेल में देरी करना</v>
      </c>
    </row>
    <row r="12" ht="22.5" customHeight="1">
      <c r="A12" s="2">
        <v>11.0</v>
      </c>
      <c r="B12" s="3" t="s">
        <v>5288</v>
      </c>
      <c r="C12" s="3" t="s">
        <v>5289</v>
      </c>
      <c r="D12" s="3" t="s">
        <v>5290</v>
      </c>
      <c r="F12" s="5" t="str">
        <f>IFERROR(__xludf.DUMMYFUNCTION("GOOGLETRANSLATE(A12, ""en"", ""hi"")"),"11")</f>
        <v>11</v>
      </c>
      <c r="G12" s="5" t="str">
        <f>IFERROR(__xludf.DUMMYFUNCTION("GOOGLETRANSLATE(B12, ""en"", ""hi"")"),"ढोल खेल टूर्नामेंट में, यदि मैच दोनों टीमों द्वारा 12-12 गोल करने के साथ समाप्त होता है, तो विजेता का निर्धारण करने की संभावित प्रक्रिया क्या है?")</f>
        <v>ढोल खेल टूर्नामेंट में, यदि मैच दोनों टीमों द्वारा 12-12 गोल करने के साथ समाप्त होता है, तो विजेता का निर्धारण करने की संभावित प्रक्रिया क्या है?</v>
      </c>
      <c r="H12" s="5" t="str">
        <f>IFERROR(__xludf.DUMMYFUNCTION("GOOGLETRANSLATE(C12, ""en"", ""hi"")"),"A) मैच को ड्रॉ घोषित कर दिया जाता है, B) खेल को अतिरिक्त समय के लिए बढ़ा दिया जाता है, C) सबसे हाल का गोल करने वाली टीम को विजेता घोषित कर दिया जाता है, D) पेनल्टी शूटआउट आयोजित किया जाता है")</f>
        <v>A) मैच को ड्रॉ घोषित कर दिया जाता है, B) खेल को अतिरिक्त समय के लिए बढ़ा दिया जाता है, C) सबसे हाल का गोल करने वाली टीम को विजेता घोषित कर दिया जाता है, D) पेनल्टी शूटआउट आयोजित किया जाता है</v>
      </c>
      <c r="I12" s="5" t="str">
        <f>IFERROR(__xludf.DUMMYFUNCTION("GOOGLETRANSLATE(D12, ""en"", ""hi"")"),"D) पेनल्टी शूटआउट आयोजित किया जाता है")</f>
        <v>D) पेनल्टी शूटआउट आयोजित किया जाता है</v>
      </c>
    </row>
    <row r="13" ht="22.5" customHeight="1">
      <c r="A13" s="2">
        <v>12.0</v>
      </c>
      <c r="B13" s="3" t="s">
        <v>5291</v>
      </c>
      <c r="C13" s="3" t="s">
        <v>5292</v>
      </c>
      <c r="D13" s="3" t="s">
        <v>5293</v>
      </c>
      <c r="F13" s="5" t="str">
        <f>IFERROR(__xludf.DUMMYFUNCTION("GOOGLETRANSLATE(A13, ""en"", ""hi"")"),"12")</f>
        <v>12</v>
      </c>
      <c r="G13" s="5" t="str">
        <f>IFERROR(__xludf.DUMMYFUNCTION("GOOGLETRANSLATE(B13, ""en"", ""hi"")"),"ढोल खेल के लिए उपयोग किए जाने वाले खेल मैदान की एक सामान्य विशेषता क्या है?")</f>
        <v>ढोल खेल के लिए उपयोग किए जाने वाले खेल मैदान की एक सामान्य विशेषता क्या है?</v>
      </c>
      <c r="H13" s="5" t="str">
        <f>IFERROR(__xludf.DUMMYFUNCTION("GOOGLETRANSLATE(C13, ""en"", ""hi"")"),"A) घास की सतह, B) रेत की सतह, C) हार्डकोर्ट सतह, D) जलभराव वाली सतह")</f>
        <v>A) घास की सतह, B) रेत की सतह, C) हार्डकोर्ट सतह, D) जलभराव वाली सतह</v>
      </c>
      <c r="I13" s="5" t="str">
        <f>IFERROR(__xludf.DUMMYFUNCTION("GOOGLETRANSLATE(D13, ""en"", ""hi"")"),"C) हार्डकोर्ट सतह")</f>
        <v>C) हार्डकोर्ट सतह</v>
      </c>
    </row>
    <row r="14" ht="22.5" customHeight="1">
      <c r="A14" s="2">
        <v>13.0</v>
      </c>
      <c r="B14" s="3" t="s">
        <v>5294</v>
      </c>
      <c r="C14" s="3" t="s">
        <v>5295</v>
      </c>
      <c r="D14" s="3" t="s">
        <v>5296</v>
      </c>
      <c r="F14" s="5" t="str">
        <f>IFERROR(__xludf.DUMMYFUNCTION("GOOGLETRANSLATE(A14, ""en"", ""hi"")"),"13")</f>
        <v>13</v>
      </c>
      <c r="G14" s="5" t="str">
        <f>IFERROR(__xludf.DUMMYFUNCTION("GOOGLETRANSLATE(B14, ""en"", ""hi"")"),"ढोल खेल मैच के दौरान किसी खिलाड़ी द्वारा किए गए फाउल के लिए उसे किस प्रकार दंडित किया जाता है?")</f>
        <v>ढोल खेल मैच के दौरान किसी खिलाड़ी द्वारा किए गए फाउल के लिए उसे किस प्रकार दंडित किया जाता है?</v>
      </c>
      <c r="H14" s="5" t="str">
        <f>IFERROR(__xludf.DUMMYFUNCTION("GOOGLETRANSLATE(C14, ""en"", ""hi"")"),"A) विरोधी टीम को गोल दिया जाता है, B) खिलाड़ी को प्रतिस्थापित किया जाता है, C) विरोधी टीम को कब्जा दिया जाता है, D) खिलाड़ी को पीला कार्ड मिलता है")</f>
        <v>A) विरोधी टीम को गोल दिया जाता है, B) खिलाड़ी को प्रतिस्थापित किया जाता है, C) विरोधी टीम को कब्जा दिया जाता है, D) खिलाड़ी को पीला कार्ड मिलता है</v>
      </c>
      <c r="I14" s="5" t="str">
        <f>IFERROR(__xludf.DUMMYFUNCTION("GOOGLETRANSLATE(D14, ""en"", ""hi"")"),"C) विरोधी टीम को कब्ज़ा दिया जाता है")</f>
        <v>C) विरोधी टीम को कब्ज़ा दिया जाता है</v>
      </c>
    </row>
    <row r="15" ht="22.5" customHeight="1">
      <c r="A15" s="2">
        <v>14.0</v>
      </c>
      <c r="B15" s="3" t="s">
        <v>5297</v>
      </c>
      <c r="C15" s="3" t="s">
        <v>5298</v>
      </c>
      <c r="D15" s="3" t="s">
        <v>5299</v>
      </c>
      <c r="F15" s="5" t="str">
        <f>IFERROR(__xludf.DUMMYFUNCTION("GOOGLETRANSLATE(A15, ""en"", ""hi"")"),"14")</f>
        <v>14</v>
      </c>
      <c r="G15" s="5" t="str">
        <f>IFERROR(__xludf.DUMMYFUNCTION("GOOGLETRANSLATE(B15, ""en"", ""hi"")"),"ढोल खेल में गोलकीपर की क्या भूमिका होती है?")</f>
        <v>ढोल खेल में गोलकीपर की क्या भूमिका होती है?</v>
      </c>
      <c r="H15" s="5" t="str">
        <f>IFERROR(__xludf.DUMMYFUNCTION("GOOGLETRANSLATE(C15, ""en"", ""hi"")"),"A) गोल करना, B) गोल क्षेत्र की रक्षा करना, C) गेंद पास करना, D) मैच रेफरी करना")</f>
        <v>A) गोल करना, B) गोल क्षेत्र की रक्षा करना, C) गेंद पास करना, D) मैच रेफरी करना</v>
      </c>
      <c r="I15" s="5" t="str">
        <f>IFERROR(__xludf.DUMMYFUNCTION("GOOGLETRANSLATE(D15, ""en"", ""hi"")"),"बी) गोल क्षेत्र की रक्षा के लिए")</f>
        <v>बी) गोल क्षेत्र की रक्षा के लिए</v>
      </c>
    </row>
    <row r="16" ht="22.5" customHeight="1">
      <c r="A16" s="2">
        <v>15.0</v>
      </c>
      <c r="B16" s="3" t="s">
        <v>5300</v>
      </c>
      <c r="C16" s="3" t="s">
        <v>5301</v>
      </c>
      <c r="D16" s="3" t="s">
        <v>5302</v>
      </c>
      <c r="F16" s="5" t="str">
        <f>IFERROR(__xludf.DUMMYFUNCTION("GOOGLETRANSLATE(A16, ""en"", ""hi"")"),"15")</f>
        <v>15</v>
      </c>
      <c r="G16" s="5" t="str">
        <f>IFERROR(__xludf.DUMMYFUNCTION("GOOGLETRANSLATE(B16, ""en"", ""hi"")"),"ढोल खेल मैच के दौरान गेंद को सबसे अधिक संभालने की संभावना किस स्थिति में होती है?")</f>
        <v>ढोल खेल मैच के दौरान गेंद को सबसे अधिक संभालने की संभावना किस स्थिति में होती है?</v>
      </c>
      <c r="H16" s="5" t="str">
        <f>IFERROR(__xludf.DUMMYFUNCTION("GOOGLETRANSLATE(C16, ""en"", ""hi"")"),"A) फॉरवर्ड, B) मिडफील्डर, C) डिफेंडर, D) गोलकीपर")</f>
        <v>A) फॉरवर्ड, B) मिडफील्डर, C) डिफेंडर, D) गोलकीपर</v>
      </c>
      <c r="I16" s="5" t="str">
        <f>IFERROR(__xludf.DUMMYFUNCTION("GOOGLETRANSLATE(D16, ""en"", ""hi"")"),"ए) आगे")</f>
        <v>ए) आगे</v>
      </c>
    </row>
    <row r="17" ht="22.5" customHeight="1">
      <c r="A17" s="2">
        <v>16.0</v>
      </c>
      <c r="B17" s="3" t="s">
        <v>5303</v>
      </c>
      <c r="C17" s="3" t="s">
        <v>5304</v>
      </c>
      <c r="D17" s="3" t="s">
        <v>5305</v>
      </c>
      <c r="F17" s="5" t="str">
        <f>IFERROR(__xludf.DUMMYFUNCTION("GOOGLETRANSLATE(A17, ""en"", ""hi"")"),"16")</f>
        <v>16</v>
      </c>
      <c r="G17" s="5" t="str">
        <f>IFERROR(__xludf.DUMMYFUNCTION("GOOGLETRANSLATE(B17, ""en"", ""hi"")"),"यदि ढोल खेल खिलाड़ी खेल के दौरान घायल हो जाता है, तो मानक प्रक्रिया क्या है?")</f>
        <v>यदि ढोल खेल खिलाड़ी खेल के दौरान घायल हो जाता है, तो मानक प्रक्रिया क्या है?</v>
      </c>
      <c r="H17" s="5" t="str">
        <f>IFERROR(__xludf.DUMMYFUNCTION("GOOGLETRANSLATE(C17, ""en"", ""hi"")"),"A) खिलाड़ी बिना किसी रुकावट के खेल जारी रखता है, B) खिलाड़ी को प्रतिस्थापित किया जाता है, C) खेल को चिकित्सा सहायता के लिए रोक दिया जाता है, D) खेल को जब्त कर लिया जाता है")</f>
        <v>A) खिलाड़ी बिना किसी रुकावट के खेल जारी रखता है, B) खिलाड़ी को प्रतिस्थापित किया जाता है, C) खेल को चिकित्सा सहायता के लिए रोक दिया जाता है, D) खेल को जब्त कर लिया जाता है</v>
      </c>
      <c r="I17" s="5" t="str">
        <f>IFERROR(__xludf.DUMMYFUNCTION("GOOGLETRANSLATE(D17, ""en"", ""hi"")"),"B) खिलाड़ी को प्रतिस्थापित किया जाता है")</f>
        <v>B) खिलाड़ी को प्रतिस्थापित किया जाता है</v>
      </c>
    </row>
    <row r="18" ht="22.5" customHeight="1">
      <c r="A18" s="2">
        <v>17.0</v>
      </c>
      <c r="B18" s="3" t="s">
        <v>5306</v>
      </c>
      <c r="C18" s="3" t="s">
        <v>5307</v>
      </c>
      <c r="D18" s="3" t="s">
        <v>5308</v>
      </c>
      <c r="F18" s="5" t="str">
        <f>IFERROR(__xludf.DUMMYFUNCTION("GOOGLETRANSLATE(A18, ""en"", ""hi"")"),"17")</f>
        <v>17</v>
      </c>
      <c r="G18" s="5" t="str">
        <f>IFERROR(__xludf.DUMMYFUNCTION("GOOGLETRANSLATE(B18, ""en"", ""hi"")"),"ढोल खेल में सफल पास के लिए कौन सा कौशल महत्वपूर्ण है?")</f>
        <v>ढोल खेल में सफल पास के लिए कौन सा कौशल महत्वपूर्ण है?</v>
      </c>
      <c r="H18" s="5" t="str">
        <f>IFERROR(__xludf.DUMMYFUNCTION("GOOGLETRANSLATE(C18, ""en"", ""hi"")"),"A) गति, B) सटीकता, C) शक्ति, D) चपलता")</f>
        <v>A) गति, B) सटीकता, C) शक्ति, D) चपलता</v>
      </c>
      <c r="I18" s="5" t="str">
        <f>IFERROR(__xludf.DUMMYFUNCTION("GOOGLETRANSLATE(D18, ""en"", ""hi"")"),"बी) सटीकता")</f>
        <v>बी) सटीकता</v>
      </c>
    </row>
    <row r="19" ht="22.5" customHeight="1">
      <c r="A19" s="2">
        <v>18.0</v>
      </c>
      <c r="B19" s="3" t="s">
        <v>5309</v>
      </c>
      <c r="C19" s="3" t="s">
        <v>5310</v>
      </c>
      <c r="D19" s="3" t="s">
        <v>5311</v>
      </c>
      <c r="F19" s="5" t="str">
        <f>IFERROR(__xludf.DUMMYFUNCTION("GOOGLETRANSLATE(A19, ""en"", ""hi"")"),"18")</f>
        <v>18</v>
      </c>
      <c r="G19" s="5" t="str">
        <f>IFERROR(__xludf.DUMMYFUNCTION("GOOGLETRANSLATE(B19, ""en"", ""hi"")"),"ढोल खेल में गोल कैसे किया जाता है?")</f>
        <v>ढोल खेल में गोल कैसे किया जाता है?</v>
      </c>
      <c r="H19" s="5" t="str">
        <f>IFERROR(__xludf.DUMMYFUNCTION("GOOGLETRANSLATE(C19, ""en"", ""hi"")"),"A) गेंद को प्रतिद्वंद्वी के गोलपोस्ट से गुजार कर, B) गेंद को सीमा से बाहर मारकर, C) गेंद को गोल क्षेत्र में पकड़ कर, D) एक विशिष्ट पैंतरेबाज़ी करके")</f>
        <v>A) गेंद को प्रतिद्वंद्वी के गोलपोस्ट से गुजार कर, B) गेंद को सीमा से बाहर मारकर, C) गेंद को गोल क्षेत्र में पकड़ कर, D) एक विशिष्ट पैंतरेबाज़ी करके</v>
      </c>
      <c r="I19" s="5" t="str">
        <f>IFERROR(__xludf.DUMMYFUNCTION("GOOGLETRANSLATE(D19, ""en"", ""hi"")"),"A) गेंद को प्रतिद्वंद्वी के गोलपोस्ट के बीच से पास करके")</f>
        <v>A) गेंद को प्रतिद्वंद्वी के गोलपोस्ट के बीच से पास करके</v>
      </c>
    </row>
    <row r="20" ht="22.5" customHeight="1">
      <c r="A20" s="2">
        <v>19.0</v>
      </c>
      <c r="B20" s="3" t="s">
        <v>5312</v>
      </c>
      <c r="C20" s="3" t="s">
        <v>5313</v>
      </c>
      <c r="D20" s="3" t="s">
        <v>5314</v>
      </c>
      <c r="F20" s="5" t="str">
        <f>IFERROR(__xludf.DUMMYFUNCTION("GOOGLETRANSLATE(A20, ""en"", ""hi"")"),"19")</f>
        <v>19</v>
      </c>
      <c r="G20" s="5" t="str">
        <f>IFERROR(__xludf.DUMMYFUNCTION("GOOGLETRANSLATE(B20, ""en"", ""hi"")"),"ढोल खेल मैच के दौरान गोल होने के बाद खेल पुनः कैसे शुरू किया जाता है?")</f>
        <v>ढोल खेल मैच के दौरान गोल होने के बाद खेल पुनः कैसे शुरू किया जाता है?</v>
      </c>
      <c r="H20" s="5" t="str">
        <f>IFERROR(__xludf.DUMMYFUNCTION("GOOGLETRANSLATE(C20, ""en"", ""hi"")"),"ए) मैदान के केंद्र से थ्रो-इन के साथ, बी) फ्री किक के साथ, सी) मैदान के केंद्र से किक-ऑफ के साथ, डी) गोल क्षेत्र से पास के साथ")</f>
        <v>ए) मैदान के केंद्र से थ्रो-इन के साथ, बी) फ्री किक के साथ, सी) मैदान के केंद्र से किक-ऑफ के साथ, डी) गोल क्षेत्र से पास के साथ</v>
      </c>
      <c r="I20" s="5" t="str">
        <f>IFERROR(__xludf.DUMMYFUNCTION("GOOGLETRANSLATE(D20, ""en"", ""hi"")"),"C) मैदान के केंद्र से किक-ऑफ के साथ")</f>
        <v>C) मैदान के केंद्र से किक-ऑफ के साथ</v>
      </c>
    </row>
    <row r="21" ht="22.5" customHeight="1">
      <c r="A21" s="2">
        <v>20.0</v>
      </c>
      <c r="B21" s="3" t="s">
        <v>5315</v>
      </c>
      <c r="C21" s="3" t="s">
        <v>5316</v>
      </c>
      <c r="D21" s="3" t="s">
        <v>5317</v>
      </c>
      <c r="F21" s="5" t="str">
        <f>IFERROR(__xludf.DUMMYFUNCTION("GOOGLETRANSLATE(A21, ""en"", ""hi"")"),"20")</f>
        <v>20</v>
      </c>
      <c r="G21" s="5" t="str">
        <f>IFERROR(__xludf.DUMMYFUNCTION("GOOGLETRANSLATE(B21, ""en"", ""hi"")"),"ढोल खेल में थ्रो-इन के दौरान यदि गेंद विरोधी टीम द्वारा पकड़ ली जाए तो क्या होगा?")</f>
        <v>ढोल खेल में थ्रो-इन के दौरान यदि गेंद विरोधी टीम द्वारा पकड़ ली जाए तो क्या होगा?</v>
      </c>
      <c r="H21" s="5" t="str">
        <f>IFERROR(__xludf.DUMMYFUNCTION("GOOGLETRANSLATE(C21, ""en"", ""hi"")"),"A) थ्रो-इन दोहराया जाता है, B) गेंद मूल टीम को दे दी जाती है, C) विरोधी टीम को फ्री किक दी जाती है, D) विरोधी टीम गेंद पर कब्जा कर लेती है")</f>
        <v>A) थ्रो-इन दोहराया जाता है, B) गेंद मूल टीम को दे दी जाती है, C) विरोधी टीम को फ्री किक दी जाती है, D) विरोधी टीम गेंद पर कब्जा कर लेती है</v>
      </c>
      <c r="I21" s="5" t="str">
        <f>IFERROR(__xludf.DUMMYFUNCTION("GOOGLETRANSLATE(D21, ""en"", ""hi"")"),"D) विरोधी टीम ने कब्ज़ा हासिल कर लिया")</f>
        <v>D) विरोधी टीम ने कब्ज़ा हासिल कर लिया</v>
      </c>
    </row>
    <row r="22" ht="22.5" customHeight="1">
      <c r="A22" s="2">
        <v>21.0</v>
      </c>
      <c r="B22" s="3" t="s">
        <v>5318</v>
      </c>
      <c r="C22" s="3" t="s">
        <v>5319</v>
      </c>
      <c r="D22" s="3" t="s">
        <v>5320</v>
      </c>
      <c r="F22" s="5" t="str">
        <f>IFERROR(__xludf.DUMMYFUNCTION("GOOGLETRANSLATE(A22, ""en"", ""hi"")"),"21")</f>
        <v>21</v>
      </c>
      <c r="G22" s="5" t="str">
        <f>IFERROR(__xludf.DUMMYFUNCTION("GOOGLETRANSLATE(B22, ""en"", ""hi"")"),"ढोल खेल मैच के लिए निम्नलिखित में से कौन सा नियम आवश्यक है?")</f>
        <v>ढोल खेल मैच के लिए निम्नलिखित में से कौन सा नियम आवश्यक है?</v>
      </c>
      <c r="H22" s="5" t="str">
        <f>IFERROR(__xludf.DUMMYFUNCTION("GOOGLETRANSLATE(C22, ""en"", ""hi"")"),"A) सभी खिलाड़ियों को यूनिफॉर्म पहननी होगी, B) टीमों में खिलाड़ियों की संख्या बराबर होनी चाहिए, C) प्रत्येक टीम को कम से कम 3 गोल करने होंगे, D) खेल एक निर्दिष्ट समय सीमा में खेला जाना चाहिए")</f>
        <v>A) सभी खिलाड़ियों को यूनिफॉर्म पहननी होगी, B) टीमों में खिलाड़ियों की संख्या बराबर होनी चाहिए, C) प्रत्येक टीम को कम से कम 3 गोल करने होंगे, D) खेल एक निर्दिष्ट समय सीमा में खेला जाना चाहिए</v>
      </c>
      <c r="I22" s="5" t="str">
        <f>IFERROR(__xludf.DUMMYFUNCTION("GOOGLETRANSLATE(D22, ""en"", ""hi"")"),"बी) टीमों में खिलाड़ियों की संख्या बराबर होनी चाहिए")</f>
        <v>बी) टीमों में खिलाड़ियों की संख्या बराबर होनी चाहिए</v>
      </c>
    </row>
    <row r="23" ht="22.5" customHeight="1">
      <c r="A23" s="2">
        <v>22.0</v>
      </c>
      <c r="B23" s="3" t="s">
        <v>5321</v>
      </c>
      <c r="C23" s="3" t="s">
        <v>5322</v>
      </c>
      <c r="D23" s="3" t="s">
        <v>5323</v>
      </c>
      <c r="F23" s="5" t="str">
        <f>IFERROR(__xludf.DUMMYFUNCTION("GOOGLETRANSLATE(A23, ""en"", ""hi"")"),"22")</f>
        <v>22</v>
      </c>
      <c r="G23" s="5" t="str">
        <f>IFERROR(__xludf.DUMMYFUNCTION("GOOGLETRANSLATE(B23, ""en"", ""hi"")"),"ढोल खेल मैच में किसी टीम द्वारा बार-बार नियम तोड़ने का क्या परिणाम होता है?")</f>
        <v>ढोल खेल मैच में किसी टीम द्वारा बार-बार नियम तोड़ने का क्या परिणाम होता है?</v>
      </c>
      <c r="H23" s="5" t="str">
        <f>IFERROR(__xludf.DUMMYFUNCTION("GOOGLETRANSLATE(C23, ""en"", ""hi"")"),"A) टाइमआउट दिया जाता है, B) टीम को गोल से दंडित किया जाता है, C) टीम को अयोग्य घोषित किया जाता है, D) टीम को चेतावनी दी जाती है")</f>
        <v>A) टाइमआउट दिया जाता है, B) टीम को गोल से दंडित किया जाता है, C) टीम को अयोग्य घोषित किया जाता है, D) टीम को चेतावनी दी जाती है</v>
      </c>
      <c r="I23" s="5" t="str">
        <f>IFERROR(__xludf.DUMMYFUNCTION("GOOGLETRANSLATE(D23, ""en"", ""hi"")"),"C) टीम अयोग्य घोषित कर दी गई है")</f>
        <v>C) टीम अयोग्य घोषित कर दी गई है</v>
      </c>
    </row>
    <row r="24" ht="22.5" customHeight="1">
      <c r="A24" s="2">
        <v>23.0</v>
      </c>
      <c r="B24" s="3" t="s">
        <v>5324</v>
      </c>
      <c r="C24" s="3" t="s">
        <v>5325</v>
      </c>
      <c r="D24" s="3" t="s">
        <v>5326</v>
      </c>
      <c r="F24" s="5" t="str">
        <f>IFERROR(__xludf.DUMMYFUNCTION("GOOGLETRANSLATE(A24, ""en"", ""hi"")"),"23")</f>
        <v>23</v>
      </c>
      <c r="G24" s="5" t="str">
        <f>IFERROR(__xludf.DUMMYFUNCTION("GOOGLETRANSLATE(B24, ""en"", ""hi"")"),"ढोल खेल मैच के दौरान खिलाड़ियों का मुख्य उद्देश्य क्या होता है?")</f>
        <v>ढोल खेल मैच के दौरान खिलाड़ियों का मुख्य उद्देश्य क्या होता है?</v>
      </c>
      <c r="H24" s="5" t="str">
        <f>IFERROR(__xludf.DUMMYFUNCTION("GOOGLETRANSLATE(C24, ""en"", ""hi"")"),"A) सबसे अधिक गोल करना, B) गेंद पर कब्ज़ा बनाए रखना, C) गोल क्षेत्र की रक्षा करना, D) गेंद को बार-बार पास करना")</f>
        <v>A) सबसे अधिक गोल करना, B) गेंद पर कब्ज़ा बनाए रखना, C) गोल क्षेत्र की रक्षा करना, D) गेंद को बार-बार पास करना</v>
      </c>
      <c r="I24" s="5" t="str">
        <f>IFERROR(__xludf.DUMMYFUNCTION("GOOGLETRANSLATE(D24, ""en"", ""hi"")"),"A) सबसे अधिक गोल करना")</f>
        <v>A) सबसे अधिक गोल करना</v>
      </c>
    </row>
    <row r="25" ht="22.5" customHeight="1">
      <c r="A25" s="2">
        <v>24.0</v>
      </c>
      <c r="B25" s="3" t="s">
        <v>5327</v>
      </c>
      <c r="C25" s="3" t="s">
        <v>5328</v>
      </c>
      <c r="D25" s="3" t="s">
        <v>5329</v>
      </c>
      <c r="F25" s="5" t="str">
        <f>IFERROR(__xludf.DUMMYFUNCTION("GOOGLETRANSLATE(A25, ""en"", ""hi"")"),"24")</f>
        <v>24</v>
      </c>
      <c r="G25" s="5" t="str">
        <f>IFERROR(__xludf.DUMMYFUNCTION("GOOGLETRANSLATE(B25, ""en"", ""hi"")"),"ढोल खेल में निम्नलिखित में से कौन सी रक्षात्मक रणनीति प्रयुक्त की जाती है?")</f>
        <v>ढोल खेल में निम्नलिखित में से कौन सी रक्षात्मक रणनीति प्रयुक्त की जाती है?</v>
      </c>
      <c r="H25" s="5" t="str">
        <f>IFERROR(__xludf.DUMMYFUNCTION("GOOGLETRANSLATE(C25, ""en"", ""hi"")"),"ए) मैन-टू-मैन मार्किंग, बी) त्वरित पासिंग, सी) आक्रामक आक्रमण, डी) उच्च गति वाली सर्विंग")</f>
        <v>ए) मैन-टू-मैन मार्किंग, बी) त्वरित पासिंग, सी) आक्रामक आक्रमण, डी) उच्च गति वाली सर्विंग</v>
      </c>
      <c r="I25" s="5" t="str">
        <f>IFERROR(__xludf.DUMMYFUNCTION("GOOGLETRANSLATE(D25, ""en"", ""hi"")"),"A) मैन-टू-मैन मार्किंग")</f>
        <v>A) मैन-टू-मैन मार्किंग</v>
      </c>
    </row>
    <row r="26" ht="22.5" customHeight="1">
      <c r="A26" s="2">
        <v>25.0</v>
      </c>
      <c r="B26" s="3" t="s">
        <v>5330</v>
      </c>
      <c r="C26" s="3" t="s">
        <v>5331</v>
      </c>
      <c r="D26" s="3" t="s">
        <v>5332</v>
      </c>
      <c r="F26" s="5" t="str">
        <f>IFERROR(__xludf.DUMMYFUNCTION("GOOGLETRANSLATE(A26, ""en"", ""hi"")"),"25")</f>
        <v>25</v>
      </c>
      <c r="G26" s="5" t="str">
        <f>IFERROR(__xludf.DUMMYFUNCTION("GOOGLETRANSLATE(B26, ""en"", ""hi"")"),"ढोल खेल मैच में विजेता टीम का निर्धारण कैसे किया जाता है यदि दोनों टीमों ने बराबर गोल किए हों?")</f>
        <v>ढोल खेल मैच में विजेता टीम का निर्धारण कैसे किया जाता है यदि दोनों टीमों ने बराबर गोल किए हों?</v>
      </c>
      <c r="H26" s="5" t="str">
        <f>IFERROR(__xludf.DUMMYFUNCTION("GOOGLETRANSLATE(C26, ""en"", ""hi"")"),"A) सबसे अधिक असिस्ट करने वाली टीम जीतती है, B) सबसे कम फ़ाउल करने वाली टीम जीतती है, C) मैच अतिरिक्त समय तक जाता है, D) पेनल्टी शूटआउट होता है")</f>
        <v>A) सबसे अधिक असिस्ट करने वाली टीम जीतती है, B) सबसे कम फ़ाउल करने वाली टीम जीतती है, C) मैच अतिरिक्त समय तक जाता है, D) पेनल्टी शूटआउट होता है</v>
      </c>
      <c r="I26" s="5" t="str">
        <f>IFERROR(__xludf.DUMMYFUNCTION("GOOGLETRANSLATE(D26, ""en"", ""hi"")"),"D) पेनल्टी शूटआउट आयोजित किया जाता है")</f>
        <v>D) पेनल्टी शूटआउट आयोजित किया जाता है</v>
      </c>
    </row>
    <row r="27" ht="22.5" customHeight="1">
      <c r="A27" s="2">
        <v>26.0</v>
      </c>
      <c r="B27" s="3" t="s">
        <v>5333</v>
      </c>
      <c r="C27" s="3" t="s">
        <v>5334</v>
      </c>
      <c r="D27" s="3" t="s">
        <v>5335</v>
      </c>
      <c r="F27" s="5" t="str">
        <f>IFERROR(__xludf.DUMMYFUNCTION("GOOGLETRANSLATE(A27, ""en"", ""hi"")"),"26")</f>
        <v>26</v>
      </c>
      <c r="G27" s="5" t="str">
        <f>IFERROR(__xludf.DUMMYFUNCTION("GOOGLETRANSLATE(B27, ""en"", ""hi"")"),"निम्नलिखित में से किसे ढोल खेल के नियमों का उल्लंघन माना जाता है?")</f>
        <v>निम्नलिखित में से किसे ढोल खेल के नियमों का उल्लंघन माना जाता है?</v>
      </c>
      <c r="H27" s="5" t="str">
        <f>IFERROR(__xludf.DUMMYFUNCTION("GOOGLETRANSLATE(C27, ""en"", ""hi"")"),"A) अत्यधिक बल का प्रयोग करना, B) आक्रामक तरीके से खेलना, C) टीम की रणनीतियों का समन्वय करना, D) कुशल युद्धाभ्यास करना")</f>
        <v>A) अत्यधिक बल का प्रयोग करना, B) आक्रामक तरीके से खेलना, C) टीम की रणनीतियों का समन्वय करना, D) कुशल युद्धाभ्यास करना</v>
      </c>
      <c r="I27" s="5" t="str">
        <f>IFERROR(__xludf.DUMMYFUNCTION("GOOGLETRANSLATE(D27, ""en"", ""hi"")"),"A) अत्यधिक बल का प्रयोग करना")</f>
        <v>A) अत्यधिक बल का प्रयोग करना</v>
      </c>
    </row>
    <row r="28" ht="22.5" customHeight="1">
      <c r="A28" s="2">
        <v>27.0</v>
      </c>
      <c r="B28" s="3" t="s">
        <v>5336</v>
      </c>
      <c r="C28" s="3" t="s">
        <v>5337</v>
      </c>
      <c r="D28" s="3" t="s">
        <v>5338</v>
      </c>
      <c r="F28" s="5" t="str">
        <f>IFERROR(__xludf.DUMMYFUNCTION("GOOGLETRANSLATE(A28, ""en"", ""hi"")"),"27")</f>
        <v>27</v>
      </c>
      <c r="G28" s="5" t="str">
        <f>IFERROR(__xludf.DUMMYFUNCTION("GOOGLETRANSLATE(B28, ""en"", ""hi"")"),"ढोल खेल के दौरान, खिलाड़ी द्वारा गेंद पर नियंत्रण बनाए रखने का सामान्य तरीका क्या है?")</f>
        <v>ढोल खेल के दौरान, खिलाड़ी द्वारा गेंद पर नियंत्रण बनाए रखने का सामान्य तरीका क्या है?</v>
      </c>
      <c r="H28" s="5" t="str">
        <f>IFERROR(__xludf.DUMMYFUNCTION("GOOGLETRANSLATE(C28, ""en"", ""hi"")"),"A) ड्रिब्लिंग, B) पासिंग, C) शूटिंग, D) ब्लॉकिंग")</f>
        <v>A) ड्रिब्लिंग, B) पासिंग, C) शूटिंग, D) ब्लॉकिंग</v>
      </c>
      <c r="I28" s="5" t="str">
        <f>IFERROR(__xludf.DUMMYFUNCTION("GOOGLETRANSLATE(D28, ""en"", ""hi"")"),"ए) ड्रिब्लिंग")</f>
        <v>ए) ड्रिब्लिंग</v>
      </c>
    </row>
    <row r="29" ht="22.5" customHeight="1">
      <c r="A29" s="2">
        <v>28.0</v>
      </c>
      <c r="B29" s="3" t="s">
        <v>5339</v>
      </c>
      <c r="C29" s="3" t="s">
        <v>5340</v>
      </c>
      <c r="D29" s="3" t="s">
        <v>5341</v>
      </c>
      <c r="F29" s="5" t="str">
        <f>IFERROR(__xludf.DUMMYFUNCTION("GOOGLETRANSLATE(A29, ""en"", ""hi"")"),"28")</f>
        <v>28</v>
      </c>
      <c r="G29" s="5" t="str">
        <f>IFERROR(__xludf.DUMMYFUNCTION("GOOGLETRANSLATE(B29, ""en"", ""hi"")"),"ढोल खेल मैच में रेफरी की भूमिका क्या होती है?")</f>
        <v>ढोल खेल मैच में रेफरी की भूमिका क्या होती है?</v>
      </c>
      <c r="H29" s="5" t="str">
        <f>IFERROR(__xludf.DUMMYFUNCTION("GOOGLETRANSLATE(C29, ""en"", ""hi"")"),"A) टीमों को प्रशिक्षित करना, B) गोल करना, C) खेल के नियमों को लागू करना, D) खिलाड़ी प्रतिस्थापन का प्रबंधन करना")</f>
        <v>A) टीमों को प्रशिक्षित करना, B) गोल करना, C) खेल के नियमों को लागू करना, D) खिलाड़ी प्रतिस्थापन का प्रबंधन करना</v>
      </c>
      <c r="I29" s="5" t="str">
        <f>IFERROR(__xludf.DUMMYFUNCTION("GOOGLETRANSLATE(D29, ""en"", ""hi"")"),"C) खेल के नियमों को लागू करने के लिए")</f>
        <v>C) खेल के नियमों को लागू करने के लिए</v>
      </c>
    </row>
    <row r="30" ht="22.5" customHeight="1">
      <c r="A30" s="2">
        <v>29.0</v>
      </c>
      <c r="B30" s="3" t="s">
        <v>5342</v>
      </c>
      <c r="C30" s="3" t="s">
        <v>5343</v>
      </c>
      <c r="D30" s="3" t="s">
        <v>5344</v>
      </c>
      <c r="F30" s="5" t="str">
        <f>IFERROR(__xludf.DUMMYFUNCTION("GOOGLETRANSLATE(A30, ""en"", ""hi"")"),"29")</f>
        <v>29</v>
      </c>
      <c r="G30" s="5" t="str">
        <f>IFERROR(__xludf.DUMMYFUNCTION("GOOGLETRANSLATE(B30, ""en"", ""hi"")"),"ढोल खेल में यदि कोई खिलाड़ी फाउल करते हुए पकड़ा जाता है तो आमतौर पर आगे क्या होता है?")</f>
        <v>ढोल खेल में यदि कोई खिलाड़ी फाउल करते हुए पकड़ा जाता है तो आमतौर पर आगे क्या होता है?</v>
      </c>
      <c r="H30" s="5" t="str">
        <f>IFERROR(__xludf.DUMMYFUNCTION("GOOGLETRANSLATE(C30, ""en"", ""hi"")"),"A) खेल बिना किसी रुकावट के जारी रहता है, B) खिलाड़ी को चेतावनी दी जाती है, C) विरोधी टीम को पेनल्टी दी जाती है, D) खेल रोक दिया जाता है")</f>
        <v>A) खेल बिना किसी रुकावट के जारी रहता है, B) खिलाड़ी को चेतावनी दी जाती है, C) विरोधी टीम को पेनल्टी दी जाती है, D) खेल रोक दिया जाता है</v>
      </c>
      <c r="I30" s="5" t="str">
        <f>IFERROR(__xludf.DUMMYFUNCTION("GOOGLETRANSLATE(D30, ""en"", ""hi"")"),"C) विरोधी टीम को पेनल्टी दी जाती है")</f>
        <v>C) विरोधी टीम को पेनल्टी दी जाती है</v>
      </c>
    </row>
    <row r="31" ht="22.5" customHeight="1">
      <c r="A31" s="2">
        <v>30.0</v>
      </c>
      <c r="B31" s="3" t="s">
        <v>5345</v>
      </c>
      <c r="C31" s="3" t="s">
        <v>5346</v>
      </c>
      <c r="D31" s="3" t="s">
        <v>5347</v>
      </c>
      <c r="F31" s="5" t="str">
        <f>IFERROR(__xludf.DUMMYFUNCTION("GOOGLETRANSLATE(A31, ""en"", ""hi"")"),"30")</f>
        <v>30</v>
      </c>
      <c r="G31" s="5" t="str">
        <f>IFERROR(__xludf.DUMMYFUNCTION("GOOGLETRANSLATE(B31, ""en"", ""hi"")"),"ढोल खेल में मजबूत रक्षा पंक्ति को भेदने के लिए अक्सर कौन सी रणनीति अपनाई जाती है?")</f>
        <v>ढोल खेल में मजबूत रक्षा पंक्ति को भेदने के लिए अक्सर कौन सी रणनीति अपनाई जाती है?</v>
      </c>
      <c r="H31" s="5" t="str">
        <f>IFERROR(__xludf.DUMMYFUNCTION("GOOGLETRANSLATE(C31, ""en"", ""hi"")"),"ए) तेज ब्रेक, बी) धीमा खेल, सी) रक्षात्मक संरचना, डी) गोलकीपिंग")</f>
        <v>ए) तेज ब्रेक, बी) धीमा खेल, सी) रक्षात्मक संरचना, डी) गोलकीपिंग</v>
      </c>
      <c r="I31" s="5" t="str">
        <f>IFERROR(__xludf.DUMMYFUNCTION("GOOGLETRANSLATE(D31, ""en"", ""hi"")"),"A) त्वरित ब्रेक")</f>
        <v>A) त्वरित ब्रेक</v>
      </c>
    </row>
    <row r="32" ht="22.5" customHeight="1">
      <c r="A32" s="2">
        <v>31.0</v>
      </c>
      <c r="B32" s="3" t="s">
        <v>5348</v>
      </c>
      <c r="C32" s="3" t="s">
        <v>5349</v>
      </c>
      <c r="D32" s="3" t="s">
        <v>5350</v>
      </c>
      <c r="F32" s="5" t="str">
        <f>IFERROR(__xludf.DUMMYFUNCTION("GOOGLETRANSLATE(A32, ""en"", ""hi"")"),"31")</f>
        <v>31</v>
      </c>
      <c r="G32" s="5" t="str">
        <f>IFERROR(__xludf.DUMMYFUNCTION("GOOGLETRANSLATE(B32, ""en"", ""hi"")"),"मैच के दौरान खिलाड़ी आमतौर पर ढोल खेल की गेंद को कैसे संभालते हैं?")</f>
        <v>मैच के दौरान खिलाड़ी आमतौर पर ढोल खेल की गेंद को कैसे संभालते हैं?</v>
      </c>
      <c r="H32" s="5" t="str">
        <f>IFERROR(__xludf.DUMMYFUNCTION("GOOGLETRANSLATE(C32, ""en"", ""hi"")"),"A) पैरों से, B) हाथों से, C) सिर से, D) छाती से")</f>
        <v>A) पैरों से, B) हाथों से, C) सिर से, D) छाती से</v>
      </c>
      <c r="I32" s="5" t="str">
        <f>IFERROR(__xludf.DUMMYFUNCTION("GOOGLETRANSLATE(D32, ""en"", ""hi"")"),"B) हाथों से")</f>
        <v>B) हाथों से</v>
      </c>
    </row>
    <row r="33" ht="22.5" customHeight="1">
      <c r="A33" s="2">
        <v>32.0</v>
      </c>
      <c r="B33" s="3" t="s">
        <v>5351</v>
      </c>
      <c r="C33" s="3" t="s">
        <v>5352</v>
      </c>
      <c r="D33" s="3" t="s">
        <v>5353</v>
      </c>
      <c r="F33" s="5" t="str">
        <f>IFERROR(__xludf.DUMMYFUNCTION("GOOGLETRANSLATE(A33, ""en"", ""hi"")"),"32")</f>
        <v>32</v>
      </c>
      <c r="G33" s="5" t="str">
        <f>IFERROR(__xludf.DUMMYFUNCTION("GOOGLETRANSLATE(B33, ""en"", ""hi"")"),"ढोल खेल मैच में प्रत्येक हाफ की मानक अवधि क्या होती है?")</f>
        <v>ढोल खेल मैच में प्रत्येक हाफ की मानक अवधि क्या होती है?</v>
      </c>
      <c r="H33" s="5" t="str">
        <f>IFERROR(__xludf.DUMMYFUNCTION("GOOGLETRANSLATE(C33, ""en"", ""hi"")"),"A) 10 मिनट, B) 15 मिनट, C) 20 मिनट, D) 30 मिनट")</f>
        <v>A) 10 मिनट, B) 15 मिनट, C) 20 मिनट, D) 30 मिनट</v>
      </c>
      <c r="I33" s="5" t="str">
        <f>IFERROR(__xludf.DUMMYFUNCTION("GOOGLETRANSLATE(D33, ""en"", ""hi"")"),"बी) 15 मिनट")</f>
        <v>बी) 15 मिनट</v>
      </c>
    </row>
    <row r="34" ht="22.5" customHeight="1">
      <c r="A34" s="2">
        <v>33.0</v>
      </c>
      <c r="B34" s="3" t="s">
        <v>5354</v>
      </c>
      <c r="C34" s="3" t="s">
        <v>5355</v>
      </c>
      <c r="D34" s="3" t="s">
        <v>5356</v>
      </c>
      <c r="F34" s="5" t="str">
        <f>IFERROR(__xludf.DUMMYFUNCTION("GOOGLETRANSLATE(A34, ""en"", ""hi"")"),"33")</f>
        <v>33</v>
      </c>
      <c r="G34" s="5" t="str">
        <f>IFERROR(__xludf.DUMMYFUNCTION("GOOGLETRANSLATE(B34, ""en"", ""hi"")"),"ढोल खेल में किस क्रिया के लिए फ्री किक से दण्ड दिया जाता है?")</f>
        <v>ढोल खेल में किस क्रिया के लिए फ्री किक से दण्ड दिया जाता है?</v>
      </c>
      <c r="H34" s="5" t="str">
        <f>IFERROR(__xludf.DUMMYFUNCTION("GOOGLETRANSLATE(C34, ""en"", ""hi"")"),"A) एक सफल गोल, B) खेल के नियमों का उल्लंघन, C) एक टीम के साथी को पास, D) एक थ्रो-इन")</f>
        <v>A) एक सफल गोल, B) खेल के नियमों का उल्लंघन, C) एक टीम के साथी को पास, D) एक थ्रो-इन</v>
      </c>
      <c r="I34" s="5" t="str">
        <f>IFERROR(__xludf.DUMMYFUNCTION("GOOGLETRANSLATE(D34, ""en"", ""hi"")"),"बी) खेल के नियमों का उल्लंघन")</f>
        <v>बी) खेल के नियमों का उल्लंघन</v>
      </c>
    </row>
    <row r="35" ht="22.5" customHeight="1">
      <c r="A35" s="2">
        <v>34.0</v>
      </c>
      <c r="B35" s="3" t="s">
        <v>5357</v>
      </c>
      <c r="C35" s="3" t="s">
        <v>5358</v>
      </c>
      <c r="D35" s="3" t="s">
        <v>5359</v>
      </c>
      <c r="F35" s="5" t="str">
        <f>IFERROR(__xludf.DUMMYFUNCTION("GOOGLETRANSLATE(A35, ""en"", ""hi"")"),"34")</f>
        <v>34</v>
      </c>
      <c r="G35" s="5" t="str">
        <f>IFERROR(__xludf.DUMMYFUNCTION("GOOGLETRANSLATE(B35, ""en"", ""hi"")"),"ढोल खेल में रक्षात्मक खिलाड़ी का प्राथमिक उद्देश्य क्या है?")</f>
        <v>ढोल खेल में रक्षात्मक खिलाड़ी का प्राथमिक उद्देश्य क्या है?</v>
      </c>
      <c r="H35" s="5" t="str">
        <f>IFERROR(__xludf.DUMMYFUNCTION("GOOGLETRANSLATE(C35, ""en"", ""hi"")"),"A) गोल करना, B) शॉट रोकना, C) पास देना, D) प्ले बुलाना")</f>
        <v>A) गोल करना, B) शॉट रोकना, C) पास देना, D) प्ले बुलाना</v>
      </c>
      <c r="I35" s="5" t="str">
        <f>IFERROR(__xludf.DUMMYFUNCTION("GOOGLETRANSLATE(D35, ""en"", ""hi"")"),"बी) शॉट्स को ब्लॉक करने के लिए")</f>
        <v>बी) शॉट्स को ब्लॉक करने के लिए</v>
      </c>
    </row>
    <row r="36" ht="22.5" customHeight="1">
      <c r="A36" s="2">
        <v>35.0</v>
      </c>
      <c r="B36" s="3" t="s">
        <v>5360</v>
      </c>
      <c r="C36" s="3" t="s">
        <v>5361</v>
      </c>
      <c r="D36" s="3" t="s">
        <v>5362</v>
      </c>
      <c r="F36" s="5" t="str">
        <f>IFERROR(__xludf.DUMMYFUNCTION("GOOGLETRANSLATE(A36, ""en"", ""hi"")"),"35")</f>
        <v>35</v>
      </c>
      <c r="G36" s="5" t="str">
        <f>IFERROR(__xludf.DUMMYFUNCTION("GOOGLETRANSLATE(B36, ""en"", ""hi"")"),"यदि ढोल खेल में कोई खिलाड़ी अवैध चाल चलता है तो सामान्य परिणाम क्या होता है?")</f>
        <v>यदि ढोल खेल में कोई खिलाड़ी अवैध चाल चलता है तो सामान्य परिणाम क्या होता है?</v>
      </c>
      <c r="H36" s="5" t="str">
        <f>IFERROR(__xludf.DUMMYFUNCTION("GOOGLETRANSLATE(C36, ""en"", ""hi"")"),"A) खिलाड़ी को प्रतिस्थापित किया जाता है, B) विरोधी टीम को फ्री किक दी जाती है, C) खेल जारी रहता है, D) खिलाड़ी को पीला कार्ड दिखाया जाता है")</f>
        <v>A) खिलाड़ी को प्रतिस्थापित किया जाता है, B) विरोधी टीम को फ्री किक दी जाती है, C) खेल जारी रहता है, D) खिलाड़ी को पीला कार्ड दिखाया जाता है</v>
      </c>
      <c r="I36" s="5" t="str">
        <f>IFERROR(__xludf.DUMMYFUNCTION("GOOGLETRANSLATE(D36, ""en"", ""hi"")"),"B) विरोधी टीम को फ्री किक दी जाती है")</f>
        <v>B) विरोधी टीम को फ्री किक दी जाती है</v>
      </c>
    </row>
    <row r="37" ht="22.5" customHeight="1">
      <c r="A37" s="2">
        <v>36.0</v>
      </c>
      <c r="B37" s="3" t="s">
        <v>5363</v>
      </c>
      <c r="C37" s="3" t="s">
        <v>5364</v>
      </c>
      <c r="D37" s="3" t="s">
        <v>5365</v>
      </c>
      <c r="F37" s="5" t="str">
        <f>IFERROR(__xludf.DUMMYFUNCTION("GOOGLETRANSLATE(A37, ""en"", ""hi"")"),"36")</f>
        <v>36</v>
      </c>
      <c r="G37" s="5" t="str">
        <f>IFERROR(__xludf.DUMMYFUNCTION("GOOGLETRANSLATE(B37, ""en"", ""hi"")"),"ढोल खेल में कॉर्नर किक का क्या काम होता है?")</f>
        <v>ढोल खेल में कॉर्नर किक का क्या काम होता है?</v>
      </c>
      <c r="H37" s="5" t="str">
        <f>IFERROR(__xludf.DUMMYFUNCTION("GOOGLETRANSLATE(C37, ""en"", ""hi"")"),"A) गेंद के खेल से बाहर जाने के बाद खेल को पुनः शुरू करना, B) विरोधी टीम को गोल देना, C) कब्ज़ा बदलना, D) खेल शुरू करना")</f>
        <v>A) गेंद के खेल से बाहर जाने के बाद खेल को पुनः शुरू करना, B) विरोधी टीम को गोल देना, C) कब्ज़ा बदलना, D) खेल शुरू करना</v>
      </c>
      <c r="I37" s="5" t="str">
        <f>IFERROR(__xludf.DUMMYFUNCTION("GOOGLETRANSLATE(D37, ""en"", ""hi"")"),"A) गेंद के खेल से बाहर जाने के बाद खेल को पुनः शुरू करना")</f>
        <v>A) गेंद के खेल से बाहर जाने के बाद खेल को पुनः शुरू करना</v>
      </c>
    </row>
    <row r="38" ht="22.5" customHeight="1">
      <c r="A38" s="2">
        <v>37.0</v>
      </c>
      <c r="B38" s="3" t="s">
        <v>5366</v>
      </c>
      <c r="C38" s="3" t="s">
        <v>5367</v>
      </c>
      <c r="D38" s="3" t="s">
        <v>5368</v>
      </c>
      <c r="F38" s="5" t="str">
        <f>IFERROR(__xludf.DUMMYFUNCTION("GOOGLETRANSLATE(A38, ""en"", ""hi"")"),"37")</f>
        <v>37</v>
      </c>
      <c r="G38" s="5" t="str">
        <f>IFERROR(__xludf.DUMMYFUNCTION("GOOGLETRANSLATE(B38, ""en"", ""hi"")"),"ढोल खेल में फॉरवर्ड खिलाड़ी के लिए कौन सा कौशल आवश्यक है?")</f>
        <v>ढोल खेल में फॉरवर्ड खिलाड़ी के लिए कौन सा कौशल आवश्यक है?</v>
      </c>
      <c r="H38" s="5" t="str">
        <f>IFERROR(__xludf.DUMMYFUNCTION("GOOGLETRANSLATE(C38, ""en"", ""hi"")"),"ए) पासिंग सटीकता, बी) रक्षात्मक स्थिति, सी) गोलकीपिंग, डी) स्कोरिंग")</f>
        <v>ए) पासिंग सटीकता, बी) रक्षात्मक स्थिति, सी) गोलकीपिंग, डी) स्कोरिंग</v>
      </c>
      <c r="I38" s="5" t="str">
        <f>IFERROR(__xludf.DUMMYFUNCTION("GOOGLETRANSLATE(D38, ""en"", ""hi"")"),"डी) स्कोरिंग")</f>
        <v>डी) स्कोरिंग</v>
      </c>
    </row>
    <row r="39" ht="22.5" customHeight="1">
      <c r="A39" s="2">
        <v>38.0</v>
      </c>
      <c r="B39" s="3" t="s">
        <v>5369</v>
      </c>
      <c r="C39" s="3" t="s">
        <v>5370</v>
      </c>
      <c r="D39" s="3" t="s">
        <v>5371</v>
      </c>
      <c r="F39" s="5" t="str">
        <f>IFERROR(__xludf.DUMMYFUNCTION("GOOGLETRANSLATE(A39, ""en"", ""hi"")"),"38")</f>
        <v>38</v>
      </c>
      <c r="G39" s="5" t="str">
        <f>IFERROR(__xludf.DUMMYFUNCTION("GOOGLETRANSLATE(B39, ""en"", ""hi"")"),"ढोल खेल मैच में गेंद पर पुनः कब्ज़ा करने का सामान्य तरीका क्या है?")</f>
        <v>ढोल खेल मैच में गेंद पर पुनः कब्ज़ा करने का सामान्य तरीका क्या है?</v>
      </c>
      <c r="H39" s="5" t="str">
        <f>IFERROR(__xludf.DUMMYFUNCTION("GOOGLETRANSLATE(C39, ""en"", ""hi"")"),"A) चुराना, B) पास देना, C) थ्रो-इन, D) गोलकीपिंग")</f>
        <v>A) चुराना, B) पास देना, C) थ्रो-इन, D) गोलकीपिंग</v>
      </c>
      <c r="I39" s="5" t="str">
        <f>IFERROR(__xludf.DUMMYFUNCTION("GOOGLETRANSLATE(D39, ""en"", ""hi"")"),"क) चोरी")</f>
        <v>क) चोरी</v>
      </c>
    </row>
    <row r="40" ht="22.5" customHeight="1">
      <c r="A40" s="2">
        <v>39.0</v>
      </c>
      <c r="B40" s="3" t="s">
        <v>5372</v>
      </c>
      <c r="C40" s="3" t="s">
        <v>5373</v>
      </c>
      <c r="D40" s="3" t="s">
        <v>5374</v>
      </c>
      <c r="F40" s="5" t="str">
        <f>IFERROR(__xludf.DUMMYFUNCTION("GOOGLETRANSLATE(A40, ""en"", ""hi"")"),"39")</f>
        <v>39</v>
      </c>
      <c r="G40" s="5" t="str">
        <f>IFERROR(__xludf.DUMMYFUNCTION("GOOGLETRANSLATE(B40, ""en"", ""hi"")"),"ढोल खेल में पीले कार्ड का क्या महत्व है?")</f>
        <v>ढोल खेल में पीले कार्ड का क्या महत्व है?</v>
      </c>
      <c r="H40" s="5" t="str">
        <f>IFERROR(__xludf.DUMMYFUNCTION("GOOGLETRANSLATE(C40, ""en"", ""hi"")"),"A) यह एक गोल को दर्शाता है, B) यह एक गंभीर फ़ाउल को इंगित करता है, C) यह खिलाड़ी के लिए चेतावनी का संकेत देता है, D) यह एक फ्री किक प्रदान करता है")</f>
        <v>A) यह एक गोल को दर्शाता है, B) यह एक गंभीर फ़ाउल को इंगित करता है, C) यह खिलाड़ी के लिए चेतावनी का संकेत देता है, D) यह एक फ्री किक प्रदान करता है</v>
      </c>
      <c r="I40" s="5" t="str">
        <f>IFERROR(__xludf.DUMMYFUNCTION("GOOGLETRANSLATE(D40, ""en"", ""hi"")"),"C) यह खिलाड़ी के लिए एक चेतावनी का प्रतीक है")</f>
        <v>C) यह खिलाड़ी के लिए एक चेतावनी का प्रतीक है</v>
      </c>
    </row>
    <row r="41" ht="22.5" customHeight="1">
      <c r="A41" s="2">
        <v>40.0</v>
      </c>
      <c r="B41" s="3" t="s">
        <v>5375</v>
      </c>
      <c r="C41" s="3" t="s">
        <v>5376</v>
      </c>
      <c r="D41" s="3" t="s">
        <v>5377</v>
      </c>
      <c r="F41" s="5" t="str">
        <f>IFERROR(__xludf.DUMMYFUNCTION("GOOGLETRANSLATE(A41, ""en"", ""hi"")"),"40")</f>
        <v>40</v>
      </c>
      <c r="G41" s="5" t="str">
        <f>IFERROR(__xludf.DUMMYFUNCTION("GOOGLETRANSLATE(B41, ""en"", ""hi"")"),"ढोल खेल मैच के लिए आमतौर पर कोई टीम कैसे तैयारी करती है?")</f>
        <v>ढोल खेल मैच के लिए आमतौर पर कोई टीम कैसे तैयारी करती है?</v>
      </c>
      <c r="H41" s="5" t="str">
        <f>IFERROR(__xludf.DUMMYFUNCTION("GOOGLETRANSLATE(C41, ""en"", ""hi"")"),"A) पिछले खेलों को देखकर, B) टीम रणनीतियों का अभ्यास करके, C) शारीरिक प्रशिक्षण करके, D) उपरोक्त सभी")</f>
        <v>A) पिछले खेलों को देखकर, B) टीम रणनीतियों का अभ्यास करके, C) शारीरिक प्रशिक्षण करके, D) उपरोक्त सभी</v>
      </c>
      <c r="I41" s="5" t="str">
        <f>IFERROR(__xludf.DUMMYFUNCTION("GOOGLETRANSLATE(D41, ""en"", ""hi"")"),"D। उपरोक्त सभी")</f>
        <v>D। उपरोक्त सभी</v>
      </c>
    </row>
    <row r="42" ht="22.5" customHeight="1">
      <c r="A42" s="2">
        <v>41.0</v>
      </c>
      <c r="B42" s="3" t="s">
        <v>5378</v>
      </c>
      <c r="C42" s="3" t="s">
        <v>5379</v>
      </c>
      <c r="D42" s="3" t="s">
        <v>5380</v>
      </c>
      <c r="F42" s="5" t="str">
        <f>IFERROR(__xludf.DUMMYFUNCTION("GOOGLETRANSLATE(A42, ""en"", ""hi"")"),"41")</f>
        <v>41</v>
      </c>
      <c r="G42" s="5" t="str">
        <f>IFERROR(__xludf.DUMMYFUNCTION("GOOGLETRANSLATE(B42, ""en"", ""hi"")"),"ढोल खेल मैच में यदि गेंद को मैदान से बाहर फेंक दिया जाए तो क्या होगा?")</f>
        <v>ढोल खेल मैच में यदि गेंद को मैदान से बाहर फेंक दिया जाए तो क्या होगा?</v>
      </c>
      <c r="H42" s="5" t="str">
        <f>IFERROR(__xludf.DUMMYFUNCTION("GOOGLETRANSLATE(C42, ""en"", ""hi"")"),"A) खेल रोक दिया जाता है, B) विरोधी टीम को गेंद पर कब्ज़ा मिल जाता है, C) गेंद मूल टीम को वापस कर दी जाती है, D) पेनल्टी दी जाती है")</f>
        <v>A) खेल रोक दिया जाता है, B) विरोधी टीम को गेंद पर कब्ज़ा मिल जाता है, C) गेंद मूल टीम को वापस कर दी जाती है, D) पेनल्टी दी जाती है</v>
      </c>
      <c r="I42" s="5" t="str">
        <f>IFERROR(__xludf.DUMMYFUNCTION("GOOGLETRANSLATE(D42, ""en"", ""hi"")"),"B) विरोधी टीम को कब्ज़ा मिल जाता है")</f>
        <v>B) विरोधी टीम को कब्ज़ा मिल जाता है</v>
      </c>
    </row>
    <row r="43" ht="22.5" customHeight="1">
      <c r="A43" s="2">
        <v>42.0</v>
      </c>
      <c r="B43" s="3" t="s">
        <v>5381</v>
      </c>
      <c r="C43" s="3" t="s">
        <v>5382</v>
      </c>
      <c r="D43" s="3" t="s">
        <v>2705</v>
      </c>
      <c r="F43" s="5" t="str">
        <f>IFERROR(__xludf.DUMMYFUNCTION("GOOGLETRANSLATE(A43, ""en"", ""hi"")"),"42")</f>
        <v>42</v>
      </c>
      <c r="G43" s="5" t="str">
        <f>IFERROR(__xludf.DUMMYFUNCTION("GOOGLETRANSLATE(B43, ""en"", ""hi"")"),"ढोल खेल में सफल टीमवर्क का मुख्य घटक क्या है?")</f>
        <v>ढोल खेल में सफल टीमवर्क का मुख्य घटक क्या है?</v>
      </c>
      <c r="H43" s="5" t="str">
        <f>IFERROR(__xludf.DUMMYFUNCTION("GOOGLETRANSLATE(C43, ""en"", ""hi"")"),"A) संचार, B) व्यक्तिगत कौशल, C) आक्रामकता, D) गति")</f>
        <v>A) संचार, B) व्यक्तिगत कौशल, C) आक्रामकता, D) गति</v>
      </c>
      <c r="I43" s="5" t="str">
        <f>IFERROR(__xludf.DUMMYFUNCTION("GOOGLETRANSLATE(D43, ""en"", ""hi"")"),"ए) संचार")</f>
        <v>ए) संचार</v>
      </c>
    </row>
    <row r="44" ht="22.5" customHeight="1">
      <c r="A44" s="2">
        <v>43.0</v>
      </c>
      <c r="B44" s="3" t="s">
        <v>5383</v>
      </c>
      <c r="C44" s="3" t="s">
        <v>5384</v>
      </c>
      <c r="D44" s="3" t="s">
        <v>5385</v>
      </c>
      <c r="F44" s="5" t="str">
        <f>IFERROR(__xludf.DUMMYFUNCTION("GOOGLETRANSLATE(A44, ""en"", ""hi"")"),"43")</f>
        <v>43</v>
      </c>
      <c r="G44" s="5" t="str">
        <f>IFERROR(__xludf.DUMMYFUNCTION("GOOGLETRANSLATE(B44, ""en"", ""hi"")"),"ढोल खेल में किसी मजबूत हमले से बचाव के लिए निम्नलिखित में से कौन सी विधि आम तौर पर अपनाई जाती है?")</f>
        <v>ढोल खेल में किसी मजबूत हमले से बचाव के लिए निम्नलिखित में से कौन सी विधि आम तौर पर अपनाई जाती है?</v>
      </c>
      <c r="H44" s="5" t="str">
        <f>IFERROR(__xludf.DUMMYFUNCTION("GOOGLETRANSLATE(C44, ""en"", ""hi"")"),"ए) ज़ोन डिफेंस, बी) मैन-टू-मैन मार्किंग, सी) हाई प्रेसिंग, डी) लो प्रेसिंग")</f>
        <v>ए) ज़ोन डिफेंस, बी) मैन-टू-मैन मार्किंग, सी) हाई प्रेसिंग, डी) लो प्रेसिंग</v>
      </c>
      <c r="I44" s="5" t="str">
        <f>IFERROR(__xludf.DUMMYFUNCTION("GOOGLETRANSLATE(D44, ""en"", ""hi"")"),"बी) मैन-टू-मैन मार्किंग")</f>
        <v>बी) मैन-टू-मैन मार्किंग</v>
      </c>
    </row>
    <row r="45" ht="22.5" customHeight="1">
      <c r="A45" s="2">
        <v>44.0</v>
      </c>
      <c r="B45" s="3" t="s">
        <v>5386</v>
      </c>
      <c r="C45" s="3" t="s">
        <v>5387</v>
      </c>
      <c r="D45" s="3" t="s">
        <v>5388</v>
      </c>
      <c r="F45" s="5" t="str">
        <f>IFERROR(__xludf.DUMMYFUNCTION("GOOGLETRANSLATE(A45, ""en"", ""hi"")"),"44")</f>
        <v>44</v>
      </c>
      <c r="G45" s="5" t="str">
        <f>IFERROR(__xludf.DUMMYFUNCTION("GOOGLETRANSLATE(B45, ""en"", ""hi"")"),"ढोल खेल में पेनल्टी किक की सामान्य दूरी कितनी होती है?")</f>
        <v>ढोल खेल में पेनल्टी किक की सामान्य दूरी कितनी होती है?</v>
      </c>
      <c r="H45" s="5" t="str">
        <f>IFERROR(__xludf.DUMMYFUNCTION("GOOGLETRANSLATE(C45, ""en"", ""hi"")"),"A) 5 मीटर, B) 7 मीटर, C) 9 मीटर, D) 11 मीटर")</f>
        <v>A) 5 मीटर, B) 7 मीटर, C) 9 मीटर, D) 11 मीटर</v>
      </c>
      <c r="I45" s="5" t="str">
        <f>IFERROR(__xludf.DUMMYFUNCTION("GOOGLETRANSLATE(D45, ""en"", ""hi"")"),"डी) 11 मीटर")</f>
        <v>डी) 11 मीटर</v>
      </c>
    </row>
    <row r="46" ht="22.5" customHeight="1">
      <c r="A46" s="2">
        <v>45.0</v>
      </c>
      <c r="B46" s="3" t="s">
        <v>5389</v>
      </c>
      <c r="C46" s="3" t="s">
        <v>5390</v>
      </c>
      <c r="D46" s="3" t="s">
        <v>5391</v>
      </c>
      <c r="F46" s="5" t="str">
        <f>IFERROR(__xludf.DUMMYFUNCTION("GOOGLETRANSLATE(A46, ""en"", ""hi"")"),"45")</f>
        <v>45</v>
      </c>
      <c r="G46" s="5" t="str">
        <f>IFERROR(__xludf.DUMMYFUNCTION("GOOGLETRANSLATE(B46, ""en"", ""hi"")"),"ढोल खेल में किसी टीम द्वारा स्कोरिंग अवसर पैदा करने की सामान्य रणनीति क्या है?")</f>
        <v>ढोल खेल में किसी टीम द्वारा स्कोरिंग अवसर पैदा करने की सामान्य रणनीति क्या है?</v>
      </c>
      <c r="H46" s="5" t="str">
        <f>IFERROR(__xludf.DUMMYFUNCTION("GOOGLETRANSLATE(C46, ""en"", ""hi"")"),"A) त्वरित क्रम में पास देना, B) रक्षात्मक खेलना, C) लंबी दूरी के शॉट, D) विरोधियों को पीछे छोड़ते हुए ड्रिब्लिंग करना")</f>
        <v>A) त्वरित क्रम में पास देना, B) रक्षात्मक खेलना, C) लंबी दूरी के शॉट, D) विरोधियों को पीछे छोड़ते हुए ड्रिब्लिंग करना</v>
      </c>
      <c r="I46" s="5" t="str">
        <f>IFERROR(__xludf.DUMMYFUNCTION("GOOGLETRANSLATE(D46, ""en"", ""hi"")"),"A) शीघ्रता से गुजरना")</f>
        <v>A) शीघ्रता से गुजरना</v>
      </c>
    </row>
    <row r="47" ht="22.5" customHeight="1">
      <c r="A47" s="2">
        <v>46.0</v>
      </c>
      <c r="B47" s="3" t="s">
        <v>5392</v>
      </c>
      <c r="C47" s="3" t="s">
        <v>5393</v>
      </c>
      <c r="D47" s="3" t="s">
        <v>5394</v>
      </c>
      <c r="F47" s="5" t="str">
        <f>IFERROR(__xludf.DUMMYFUNCTION("GOOGLETRANSLATE(A47, ""en"", ""hi"")"),"46")</f>
        <v>46</v>
      </c>
      <c r="G47" s="5" t="str">
        <f>IFERROR(__xludf.DUMMYFUNCTION("GOOGLETRANSLATE(B47, ""en"", ""hi"")"),"मैच के दौरान ढोल खेल कोच की प्राथमिक भूमिका क्या होती है?")</f>
        <v>मैच के दौरान ढोल खेल कोच की प्राथमिक भूमिका क्या होती है?</v>
      </c>
      <c r="H47" s="5" t="str">
        <f>IFERROR(__xludf.DUMMYFUNCTION("GOOGLETRANSLATE(C47, ""en"", ""hi"")"),"A) सामरिक निर्णय लेना, B) टीम के साथ खेलना, C) खेल को रेफरी करना, D) मैच से पहले खिलाड़ियों को प्रशिक्षित करना")</f>
        <v>A) सामरिक निर्णय लेना, B) टीम के साथ खेलना, C) खेल को रेफरी करना, D) मैच से पहले खिलाड़ियों को प्रशिक्षित करना</v>
      </c>
      <c r="I47" s="5" t="str">
        <f>IFERROR(__xludf.DUMMYFUNCTION("GOOGLETRANSLATE(D47, ""en"", ""hi"")"),"A) सामरिक निर्णय लेने के लिए")</f>
        <v>A) सामरिक निर्णय लेने के लिए</v>
      </c>
    </row>
    <row r="48" ht="22.5" customHeight="1">
      <c r="A48" s="2">
        <v>47.0</v>
      </c>
      <c r="B48" s="3" t="s">
        <v>5395</v>
      </c>
      <c r="C48" s="3" t="s">
        <v>5396</v>
      </c>
      <c r="D48" s="3" t="s">
        <v>5397</v>
      </c>
      <c r="F48" s="5" t="str">
        <f>IFERROR(__xludf.DUMMYFUNCTION("GOOGLETRANSLATE(A48, ""en"", ""hi"")"),"47")</f>
        <v>47</v>
      </c>
      <c r="G48" s="5" t="str">
        <f>IFERROR(__xludf.DUMMYFUNCTION("GOOGLETRANSLATE(B48, ""en"", ""hi"")"),"ढोल खेल टूर्नामेंट में आम तौर पर टाई का समाधान कैसे किया जाता है?")</f>
        <v>ढोल खेल टूर्नामेंट में आम तौर पर टाई का समाधान कैसे किया जाता है?</v>
      </c>
      <c r="H48" s="5" t="str">
        <f>IFERROR(__xludf.DUMMYFUNCTION("GOOGLETRANSLATE(C48, ""en"", ""hi"")"),"A) मैच को पुनः खेलकर, B) सबसे कम फ़ाउल करने वाली टीम को खेल देकर, C) टाईब्रेकर मैच आयोजित करके, D) सबसे हाल ही में गोल करने वाली टीम द्वारा")</f>
        <v>A) मैच को पुनः खेलकर, B) सबसे कम फ़ाउल करने वाली टीम को खेल देकर, C) टाईब्रेकर मैच आयोजित करके, D) सबसे हाल ही में गोल करने वाली टीम द्वारा</v>
      </c>
      <c r="I48" s="5" t="str">
        <f>IFERROR(__xludf.DUMMYFUNCTION("GOOGLETRANSLATE(D48, ""en"", ""hi"")"),"C) टाईब्रेकर मैच आयोजित करके")</f>
        <v>C) टाईब्रेकर मैच आयोजित करके</v>
      </c>
    </row>
    <row r="49" ht="22.5" customHeight="1">
      <c r="A49" s="2">
        <v>48.0</v>
      </c>
      <c r="B49" s="3" t="s">
        <v>5398</v>
      </c>
      <c r="C49" s="3" t="s">
        <v>5399</v>
      </c>
      <c r="D49" s="3" t="s">
        <v>5400</v>
      </c>
      <c r="F49" s="5" t="str">
        <f>IFERROR(__xludf.DUMMYFUNCTION("GOOGLETRANSLATE(A49, ""en"", ""hi"")"),"48")</f>
        <v>48</v>
      </c>
      <c r="G49" s="5" t="str">
        <f>IFERROR(__xludf.DUMMYFUNCTION("GOOGLETRANSLATE(B49, ""en"", ""hi"")"),"ढोल खेल में थ्रो-इन का क्या उद्देश्य है?")</f>
        <v>ढोल खेल में थ्रो-इन का क्या उद्देश्य है?</v>
      </c>
      <c r="H49" s="5" t="str">
        <f>IFERROR(__xludf.DUMMYFUNCTION("GOOGLETRANSLATE(C49, ""en"", ""hi"")"),"A) खेल शुरू करना, B) गेंद के सीमा से बाहर जाने के बाद खेल को पुनः शुरू करना, C) गोल देना, D) प्रतिस्थापन करना")</f>
        <v>A) खेल शुरू करना, B) गेंद के सीमा से बाहर जाने के बाद खेल को पुनः शुरू करना, C) गोल देना, D) प्रतिस्थापन करना</v>
      </c>
      <c r="I49" s="5" t="str">
        <f>IFERROR(__xludf.DUMMYFUNCTION("GOOGLETRANSLATE(D49, ""en"", ""hi"")"),"बी) गेंद के सीमा से बाहर जाने के बाद खेल को पुनः शुरू करना")</f>
        <v>बी) गेंद के सीमा से बाहर जाने के बाद खेल को पुनः शुरू करना</v>
      </c>
    </row>
    <row r="50" ht="22.5" customHeight="1">
      <c r="A50" s="2">
        <v>49.0</v>
      </c>
      <c r="B50" s="3" t="s">
        <v>5401</v>
      </c>
      <c r="C50" s="3" t="s">
        <v>5402</v>
      </c>
      <c r="D50" s="3" t="s">
        <v>5403</v>
      </c>
      <c r="F50" s="5" t="str">
        <f>IFERROR(__xludf.DUMMYFUNCTION("GOOGLETRANSLATE(A50, ""en"", ""hi"")"),"49")</f>
        <v>49</v>
      </c>
      <c r="G50" s="5" t="str">
        <f>IFERROR(__xludf.DUMMYFUNCTION("GOOGLETRANSLATE(B50, ""en"", ""hi"")"),"ढोल खेल में सफल बचाव के लिए निम्नलिखित में से क्या महत्वपूर्ण है?")</f>
        <v>ढोल खेल में सफल बचाव के लिए निम्नलिखित में से क्या महत्वपूर्ण है?</v>
      </c>
      <c r="H50" s="5" t="str">
        <f>IFERROR(__xludf.DUMMYFUNCTION("GOOGLETRANSLATE(C50, ""en"", ""hi"")"),"A) गति, B) प्रत्याशा, C) शक्ति, D) आक्रामकता")</f>
        <v>A) गति, B) प्रत्याशा, C) शक्ति, D) आक्रामकता</v>
      </c>
      <c r="I50" s="5" t="str">
        <f>IFERROR(__xludf.DUMMYFUNCTION("GOOGLETRANSLATE(D50, ""en"", ""hi"")"),"बी) प्रत्याशा")</f>
        <v>बी) प्रत्याशा</v>
      </c>
    </row>
    <row r="51" ht="22.5" customHeight="1">
      <c r="A51" s="2">
        <v>50.0</v>
      </c>
      <c r="B51" s="3" t="s">
        <v>5404</v>
      </c>
      <c r="C51" s="3" t="s">
        <v>5405</v>
      </c>
      <c r="D51" s="3" t="s">
        <v>5406</v>
      </c>
      <c r="F51" s="5" t="str">
        <f>IFERROR(__xludf.DUMMYFUNCTION("GOOGLETRANSLATE(A51, ""en"", ""hi"")"),"50")</f>
        <v>50</v>
      </c>
      <c r="G51" s="5" t="str">
        <f>IFERROR(__xludf.DUMMYFUNCTION("GOOGLETRANSLATE(B51, ""en"", ""hi"")"),"ढोल खेल में बार-बार नियमों का उल्लंघन करने वाले खिलाड़ी के लिए क्या दंड है?")</f>
        <v>ढोल खेल में बार-बार नियमों का उल्लंघन करने वाले खिलाड़ी के लिए क्या दंड है?</v>
      </c>
      <c r="H51" s="5" t="str">
        <f>IFERROR(__xludf.DUMMYFUNCTION("GOOGLETRANSLATE(C51, ""en"", ""hi"")"),"ए) मैच से निलंबन, बी) विरोधी टीम को फ्री किक, सी) रेफरी की चेतावनी, डी) विरोधी टीम को गोल दिया जाना")</f>
        <v>ए) मैच से निलंबन, बी) विरोधी टीम को फ्री किक, सी) रेफरी की चेतावनी, डी) विरोधी टीम को गोल दिया जाना</v>
      </c>
      <c r="I51" s="5" t="str">
        <f>IFERROR(__xludf.DUMMYFUNCTION("GOOGLETRANSLATE(D51, ""en"", ""hi"")"),"A) मैच से निलंबन")</f>
        <v>A) मैच से निलंबन</v>
      </c>
    </row>
    <row r="52" ht="22.5" customHeight="1">
      <c r="A52" s="2">
        <v>51.0</v>
      </c>
      <c r="B52" s="3" t="s">
        <v>5407</v>
      </c>
      <c r="C52" s="3" t="s">
        <v>5408</v>
      </c>
      <c r="D52" s="3" t="s">
        <v>5409</v>
      </c>
      <c r="F52" s="5" t="str">
        <f>IFERROR(__xludf.DUMMYFUNCTION("GOOGLETRANSLATE(A52, ""en"", ""hi"")"),"51")</f>
        <v>51</v>
      </c>
      <c r="G52" s="5" t="str">
        <f>IFERROR(__xludf.DUMMYFUNCTION("GOOGLETRANSLATE(B52, ""en"", ""hi"")"),"ढोल खेल में कौन सी स्थिति मुख्य रूप से गोल करने के लिए जिम्मेदार है?")</f>
        <v>ढोल खेल में कौन सी स्थिति मुख्य रूप से गोल करने के लिए जिम्मेदार है?</v>
      </c>
      <c r="H52" s="5" t="str">
        <f>IFERROR(__xludf.DUMMYFUNCTION("GOOGLETRANSLATE(C52, ""en"", ""hi"")"),"A) डिफेंडर, B) मिडफील्डर, C) फॉरवर्ड, D) गोलकीपर")</f>
        <v>A) डिफेंडर, B) मिडफील्डर, C) फॉरवर्ड, D) गोलकीपर</v>
      </c>
      <c r="I52" s="5" t="str">
        <f>IFERROR(__xludf.DUMMYFUNCTION("GOOGLETRANSLATE(D52, ""en"", ""hi"")"),"सी) आगे")</f>
        <v>सी) आगे</v>
      </c>
    </row>
    <row r="53" ht="22.5" customHeight="1">
      <c r="A53" s="2">
        <v>52.0</v>
      </c>
      <c r="B53" s="3" t="s">
        <v>5410</v>
      </c>
      <c r="C53" s="3" t="s">
        <v>5411</v>
      </c>
      <c r="D53" s="3" t="s">
        <v>5412</v>
      </c>
      <c r="F53" s="5" t="str">
        <f>IFERROR(__xludf.DUMMYFUNCTION("GOOGLETRANSLATE(A53, ""en"", ""hi"")"),"52")</f>
        <v>52</v>
      </c>
      <c r="G53" s="5" t="str">
        <f>IFERROR(__xludf.DUMMYFUNCTION("GOOGLETRANSLATE(B53, ""en"", ""hi"")"),"ढोल खेल मैच आमतौर पर कैसे शुरू होता है?")</f>
        <v>ढोल खेल मैच आमतौर पर कैसे शुरू होता है?</v>
      </c>
      <c r="H53" s="5" t="str">
        <f>IFERROR(__xludf.DUMMYFUNCTION("GOOGLETRANSLATE(C53, ""en"", ""hi"")"),"A) मैदान के केंद्र से किक-ऑफ के साथ, B) थ्रो-इन के साथ, C) फ्री किक के साथ, D) गोल के साथ")</f>
        <v>A) मैदान के केंद्र से किक-ऑफ के साथ, B) थ्रो-इन के साथ, C) फ्री किक के साथ, D) गोल के साथ</v>
      </c>
      <c r="I53" s="5" t="str">
        <f>IFERROR(__xludf.DUMMYFUNCTION("GOOGLETRANSLATE(D53, ""en"", ""hi"")"),"A) मैदान के केंद्र से किक-ऑफ के साथ")</f>
        <v>A) मैदान के केंद्र से किक-ऑफ के साथ</v>
      </c>
    </row>
    <row r="54" ht="22.5" customHeight="1">
      <c r="A54" s="2">
        <v>53.0</v>
      </c>
      <c r="B54" s="3" t="s">
        <v>5413</v>
      </c>
      <c r="C54" s="3" t="s">
        <v>5414</v>
      </c>
      <c r="D54" s="3" t="s">
        <v>5415</v>
      </c>
      <c r="F54" s="5" t="str">
        <f>IFERROR(__xludf.DUMMYFUNCTION("GOOGLETRANSLATE(A54, ""en"", ""hi"")"),"53")</f>
        <v>53</v>
      </c>
      <c r="G54" s="5" t="str">
        <f>IFERROR(__xludf.DUMMYFUNCTION("GOOGLETRANSLATE(B54, ""en"", ""hi"")"),"ढोल खेल में प्रतिद्वंद्वी की रक्षा को भेदने का निम्नलिखित में से कौन सा तरीका प्रभावी है?")</f>
        <v>ढोल खेल में प्रतिद्वंद्वी की रक्षा को भेदने का निम्नलिखित में से कौन सा तरीका प्रभावी है?</v>
      </c>
      <c r="H54" s="5" t="str">
        <f>IFERROR(__xludf.DUMMYFUNCTION("GOOGLETRANSLATE(C54, ""en"", ""hi"")"),"A) त्वरित पास, B) लंबे शॉट, C) ऊंची छलांग, D) रक्षात्मक ब्लॉक")</f>
        <v>A) त्वरित पास, B) लंबे शॉट, C) ऊंची छलांग, D) रक्षात्मक ब्लॉक</v>
      </c>
      <c r="I54" s="5" t="str">
        <f>IFERROR(__xludf.DUMMYFUNCTION("GOOGLETRANSLATE(D54, ""en"", ""hi"")"),"A) त्वरित पास")</f>
        <v>A) त्वरित पास</v>
      </c>
    </row>
    <row r="55" ht="22.5" customHeight="1">
      <c r="A55" s="2">
        <v>54.0</v>
      </c>
      <c r="B55" s="3" t="s">
        <v>5416</v>
      </c>
      <c r="C55" s="3" t="s">
        <v>5417</v>
      </c>
      <c r="D55" s="3" t="s">
        <v>5418</v>
      </c>
      <c r="F55" s="5" t="str">
        <f>IFERROR(__xludf.DUMMYFUNCTION("GOOGLETRANSLATE(A55, ""en"", ""hi"")"),"54")</f>
        <v>54</v>
      </c>
      <c r="G55" s="5" t="str">
        <f>IFERROR(__xludf.DUMMYFUNCTION("GOOGLETRANSLATE(B55, ""en"", ""hi"")"),"ढोल खेल में फ्री किक का क्या काम है?")</f>
        <v>ढोल खेल में फ्री किक का क्या काम है?</v>
      </c>
      <c r="H55" s="5" t="str">
        <f>IFERROR(__xludf.DUMMYFUNCTION("GOOGLETRANSLATE(C55, ""en"", ""hi"")"),"A) फाउल से खेल को पुनः शुरू करना, B) गोल देना, C) खिलाड़ियों को प्रतिस्थापित करना, D) मैच शुरू करना")</f>
        <v>A) फाउल से खेल को पुनः शुरू करना, B) गोल देना, C) खिलाड़ियों को प्रतिस्थापित करना, D) मैच शुरू करना</v>
      </c>
      <c r="I55" s="5" t="str">
        <f>IFERROR(__xludf.DUMMYFUNCTION("GOOGLETRANSLATE(D55, ""en"", ""hi"")"),"A) फ़ाउल से खेल को पुनः शुरू करना")</f>
        <v>A) फ़ाउल से खेल को पुनः शुरू करना</v>
      </c>
    </row>
    <row r="56" ht="22.5" customHeight="1">
      <c r="A56" s="2">
        <v>55.0</v>
      </c>
      <c r="B56" s="3" t="s">
        <v>5419</v>
      </c>
      <c r="C56" s="3" t="s">
        <v>5420</v>
      </c>
      <c r="D56" s="3" t="s">
        <v>5377</v>
      </c>
      <c r="F56" s="5" t="str">
        <f>IFERROR(__xludf.DUMMYFUNCTION("GOOGLETRANSLATE(A56, ""en"", ""hi"")"),"55")</f>
        <v>55</v>
      </c>
      <c r="G56" s="5" t="str">
        <f>IFERROR(__xludf.DUMMYFUNCTION("GOOGLETRANSLATE(B56, ""en"", ""hi"")"),"ढोल खेल में प्रतिस्थापन का सामान्य कारण क्या है?")</f>
        <v>ढोल खेल में प्रतिस्थापन का सामान्य कारण क्या है?</v>
      </c>
      <c r="H56" s="5" t="str">
        <f>IFERROR(__xludf.DUMMYFUNCTION("GOOGLETRANSLATE(C56, ""en"", ""hi"")"),"A) खिलाड़ी की चोट, B) रणनीति में बदलाव, C) खेल में देरी, D) उपरोक्त सभी")</f>
        <v>A) खिलाड़ी की चोट, B) रणनीति में बदलाव, C) खेल में देरी, D) उपरोक्त सभी</v>
      </c>
      <c r="I56" s="5" t="str">
        <f>IFERROR(__xludf.DUMMYFUNCTION("GOOGLETRANSLATE(D56, ""en"", ""hi"")"),"D। उपरोक्त सभी")</f>
        <v>D। उपरोक्त सभी</v>
      </c>
    </row>
    <row r="57" ht="22.5" customHeight="1">
      <c r="A57" s="2">
        <v>56.0</v>
      </c>
      <c r="B57" s="3" t="s">
        <v>5421</v>
      </c>
      <c r="C57" s="3" t="s">
        <v>5422</v>
      </c>
      <c r="D57" s="3" t="s">
        <v>5423</v>
      </c>
      <c r="F57" s="5" t="str">
        <f>IFERROR(__xludf.DUMMYFUNCTION("GOOGLETRANSLATE(A57, ""en"", ""hi"")"),"56")</f>
        <v>56</v>
      </c>
      <c r="G57" s="5" t="str">
        <f>IFERROR(__xludf.DUMMYFUNCTION("GOOGLETRANSLATE(B57, ""en"", ""hi"")"),"ढोल खेल मैच के दौरान, यदि मौसम की स्थिति के कारण खेल बाधित हो जाए तो मानक प्रक्रिया क्या है?")</f>
        <v>ढोल खेल मैच के दौरान, यदि मौसम की स्थिति के कारण खेल बाधित हो जाए तो मानक प्रक्रिया क्या है?</v>
      </c>
      <c r="H57" s="5" t="str">
        <f>IFERROR(__xludf.DUMMYFUNCTION("GOOGLETRANSLATE(C57, ""en"", ""hi"")"),"A) खेल रद्द कर दिया जाता है, B) खेल बाद में पुनः शुरू किया जाता है, C) खेल रद्द कर दिया जाता है, D) खेल समायोजन के साथ जारी रहता है")</f>
        <v>A) खेल रद्द कर दिया जाता है, B) खेल बाद में पुनः शुरू किया जाता है, C) खेल रद्द कर दिया जाता है, D) खेल समायोजन के साथ जारी रहता है</v>
      </c>
      <c r="I57" s="5" t="str">
        <f>IFERROR(__xludf.DUMMYFUNCTION("GOOGLETRANSLATE(D57, ""en"", ""hi"")"),"B) खेल बाद में पुनः शुरू होता है")</f>
        <v>B) खेल बाद में पुनः शुरू होता है</v>
      </c>
    </row>
    <row r="58" ht="22.5" customHeight="1">
      <c r="A58" s="2">
        <v>57.0</v>
      </c>
      <c r="B58" s="3" t="s">
        <v>5424</v>
      </c>
      <c r="C58" s="3" t="s">
        <v>5425</v>
      </c>
      <c r="D58" s="3" t="s">
        <v>5365</v>
      </c>
      <c r="F58" s="5" t="str">
        <f>IFERROR(__xludf.DUMMYFUNCTION("GOOGLETRANSLATE(A58, ""en"", ""hi"")"),"57")</f>
        <v>57</v>
      </c>
      <c r="G58" s="5" t="str">
        <f>IFERROR(__xludf.DUMMYFUNCTION("GOOGLETRANSLATE(B58, ""en"", ""hi"")"),"ढोल खेल में कॉर्नर किक का क्या महत्व है?")</f>
        <v>ढोल खेल में कॉर्नर किक का क्या महत्व है?</v>
      </c>
      <c r="H58" s="5" t="str">
        <f>IFERROR(__xludf.DUMMYFUNCTION("GOOGLETRANSLATE(C58, ""en"", ""hi"")"),"A) गेंद के खेल से बाहर जाने के बाद खेल को पुनः शुरू करना, B) सीधे गोल करना, C) खिलाड़ियों को प्रतिस्थापित करना, D) विरोधी टीम को दंडित करना")</f>
        <v>A) गेंद के खेल से बाहर जाने के बाद खेल को पुनः शुरू करना, B) सीधे गोल करना, C) खिलाड़ियों को प्रतिस्थापित करना, D) विरोधी टीम को दंडित करना</v>
      </c>
      <c r="I58" s="5" t="str">
        <f>IFERROR(__xludf.DUMMYFUNCTION("GOOGLETRANSLATE(D58, ""en"", ""hi"")"),"A) गेंद के खेल से बाहर जाने के बाद खेल को पुनः शुरू करना")</f>
        <v>A) गेंद के खेल से बाहर जाने के बाद खेल को पुनः शुरू करना</v>
      </c>
    </row>
    <row r="59" ht="22.5" customHeight="1">
      <c r="A59" s="2">
        <v>58.0</v>
      </c>
      <c r="B59" s="3" t="s">
        <v>5426</v>
      </c>
      <c r="C59" s="3" t="s">
        <v>5427</v>
      </c>
      <c r="D59" s="3" t="s">
        <v>5428</v>
      </c>
      <c r="F59" s="5" t="str">
        <f>IFERROR(__xludf.DUMMYFUNCTION("GOOGLETRANSLATE(A59, ""en"", ""hi"")"),"58")</f>
        <v>58</v>
      </c>
      <c r="G59" s="5" t="str">
        <f>IFERROR(__xludf.DUMMYFUNCTION("GOOGLETRANSLATE(B59, ""en"", ""hi"")"),"ढोल खेल में सटीकता में सुधार के लिए निम्नलिखित में से कौन सी एक सामान्य तकनीक है?")</f>
        <v>ढोल खेल में सटीकता में सुधार के लिए निम्नलिखित में से कौन सी एक सामान्य तकनीक है?</v>
      </c>
      <c r="H59" s="5" t="str">
        <f>IFERROR(__xludf.DUMMYFUNCTION("GOOGLETRANSLATE(C59, ""en"", ""hi"")"),"A) लक्ष्य के साथ अभ्यास करना, B) गति बढ़ाना, C) रक्षात्मक अभ्यास, D) टीम रणनीतियाँ")</f>
        <v>A) लक्ष्य के साथ अभ्यास करना, B) गति बढ़ाना, C) रक्षात्मक अभ्यास, D) टीम रणनीतियाँ</v>
      </c>
      <c r="I59" s="5" t="str">
        <f>IFERROR(__xludf.DUMMYFUNCTION("GOOGLETRANSLATE(D59, ""en"", ""hi"")"),"A) लक्ष्य के साथ अभ्यास करना")</f>
        <v>A) लक्ष्य के साथ अभ्यास करना</v>
      </c>
    </row>
    <row r="60" ht="22.5" customHeight="1">
      <c r="A60" s="2">
        <v>59.0</v>
      </c>
      <c r="B60" s="3" t="s">
        <v>5429</v>
      </c>
      <c r="C60" s="3" t="s">
        <v>5430</v>
      </c>
      <c r="D60" s="3" t="s">
        <v>5431</v>
      </c>
      <c r="F60" s="5" t="str">
        <f>IFERROR(__xludf.DUMMYFUNCTION("GOOGLETRANSLATE(A60, ""en"", ""hi"")"),"59")</f>
        <v>59</v>
      </c>
      <c r="G60" s="5" t="str">
        <f>IFERROR(__xludf.DUMMYFUNCTION("GOOGLETRANSLATE(B60, ""en"", ""hi"")"),"ढोल खेल में खिलाड़ियों की फिटनेस सुनिश्चित करने के लिए सामान्य पद्धति क्या है?")</f>
        <v>ढोल खेल में खिलाड़ियों की फिटनेस सुनिश्चित करने के लिए सामान्य पद्धति क्या है?</v>
      </c>
      <c r="H60" s="5" t="str">
        <f>IFERROR(__xludf.DUMMYFUNCTION("GOOGLETRANSLATE(C60, ""en"", ""hi"")"),"A) नियमित शारीरिक प्रशिक्षण, B) पिछले मैचों के वीडियो देखना, C) कम बार खेलना, D) तीव्र अभ्यास से बचना")</f>
        <v>A) नियमित शारीरिक प्रशिक्षण, B) पिछले मैचों के वीडियो देखना, C) कम बार खेलना, D) तीव्र अभ्यास से बचना</v>
      </c>
      <c r="I60" s="5" t="str">
        <f>IFERROR(__xludf.DUMMYFUNCTION("GOOGLETRANSLATE(D60, ""en"", ""hi"")"),"ए) नियमित शारीरिक प्रशिक्षण")</f>
        <v>ए) नियमित शारीरिक प्रशिक्षण</v>
      </c>
    </row>
    <row r="61" ht="22.5" customHeight="1">
      <c r="A61" s="2">
        <v>60.0</v>
      </c>
      <c r="B61" s="3" t="s">
        <v>5432</v>
      </c>
      <c r="C61" s="3" t="s">
        <v>5433</v>
      </c>
      <c r="D61" s="3" t="s">
        <v>5434</v>
      </c>
      <c r="F61" s="5" t="str">
        <f>IFERROR(__xludf.DUMMYFUNCTION("GOOGLETRANSLATE(A61, ""en"", ""hi"")"),"60")</f>
        <v>60</v>
      </c>
      <c r="G61" s="5" t="str">
        <f>IFERROR(__xludf.DUMMYFUNCTION("GOOGLETRANSLATE(B61, ""en"", ""hi"")"),"ढोल खेल टूर्नामेंट में टाई से निपटने के लिए सामान्य प्रथा क्या है?")</f>
        <v>ढोल खेल टूर्नामेंट में टाई से निपटने के लिए सामान्य प्रथा क्या है?</v>
      </c>
      <c r="H61" s="5" t="str">
        <f>IFERROR(__xludf.DUMMYFUNCTION("GOOGLETRANSLATE(C61, ""en"", ""hi"")"),"A) मैच पुनः खेलना, B) कम फ़ाउल वाली टीम को मैच देना, C) पेनल्टी शूटआउट आयोजित करना, D) दोनों टीमों को विजेता घोषित करना")</f>
        <v>A) मैच पुनः खेलना, B) कम फ़ाउल वाली टीम को मैच देना, C) पेनल्टी शूटआउट आयोजित करना, D) दोनों टीमों को विजेता घोषित करना</v>
      </c>
      <c r="I61" s="5" t="str">
        <f>IFERROR(__xludf.DUMMYFUNCTION("GOOGLETRANSLATE(D61, ""en"", ""hi"")"),"C) पेनल्टी शूटआउट आयोजित करें")</f>
        <v>C) पेनल्टी शूटआउट आयोजित करें</v>
      </c>
    </row>
    <row r="62" ht="22.5" customHeight="1">
      <c r="A62" s="2">
        <v>61.0</v>
      </c>
      <c r="B62" s="3" t="s">
        <v>5435</v>
      </c>
      <c r="C62" s="3" t="s">
        <v>5436</v>
      </c>
      <c r="D62" s="3" t="s">
        <v>5437</v>
      </c>
      <c r="F62" s="5" t="str">
        <f>IFERROR(__xludf.DUMMYFUNCTION("GOOGLETRANSLATE(A62, ""en"", ""hi"")"),"61")</f>
        <v>61</v>
      </c>
      <c r="G62" s="5" t="str">
        <f>IFERROR(__xludf.DUMMYFUNCTION("GOOGLETRANSLATE(B62, ""en"", ""hi"")"),"ढोल खेल में स्कोर करने का सामान्य तरीका क्या है?")</f>
        <v>ढोल खेल में स्कोर करने का सामान्य तरीका क्या है?</v>
      </c>
      <c r="H62" s="5" t="str">
        <f>IFERROR(__xludf.DUMMYFUNCTION("GOOGLETRANSLATE(C62, ""en"", ""hi"")"),"A) गेंद को गोलपोस्ट के बीच से गुजार कर, B) गेंद को सीमा से बाहर मारकर, C) गेंद को गोल क्षेत्र में पकड़कर, D) सफल पैंतरेबाजी करके")</f>
        <v>A) गेंद को गोलपोस्ट के बीच से गुजार कर, B) गेंद को सीमा से बाहर मारकर, C) गेंद को गोल क्षेत्र में पकड़कर, D) सफल पैंतरेबाजी करके</v>
      </c>
      <c r="I62" s="5" t="str">
        <f>IFERROR(__xludf.DUMMYFUNCTION("GOOGLETRANSLATE(D62, ""en"", ""hi"")"),"A) गेंद को गोलपोस्ट के बीच से पास करके")</f>
        <v>A) गेंद को गोलपोस्ट के बीच से पास करके</v>
      </c>
    </row>
    <row r="63" ht="22.5" customHeight="1">
      <c r="A63" s="2">
        <v>62.0</v>
      </c>
      <c r="B63" s="3" t="s">
        <v>5438</v>
      </c>
      <c r="C63" s="3" t="s">
        <v>5439</v>
      </c>
      <c r="D63" s="3" t="s">
        <v>5440</v>
      </c>
      <c r="F63" s="5" t="str">
        <f>IFERROR(__xludf.DUMMYFUNCTION("GOOGLETRANSLATE(A63, ""en"", ""hi"")"),"62")</f>
        <v>62</v>
      </c>
      <c r="G63" s="5" t="str">
        <f>IFERROR(__xludf.DUMMYFUNCTION("GOOGLETRANSLATE(B63, ""en"", ""hi"")"),"ढोल खेल में गोल का जश्न आमतौर पर कैसे मनाया जाता है?")</f>
        <v>ढोल खेल में गोल का जश्न आमतौर पर कैसे मनाया जाता है?</v>
      </c>
      <c r="H63" s="5" t="str">
        <f>IFERROR(__xludf.DUMMYFUNCTION("GOOGLETRANSLATE(C63, ""en"", ""hi"")"),"A) टीम के एकत्रित होने से, B) खिलाड़ी के नाचने से, C) खेल में एक छोटे विराम से, D) रेफरी द्वारा गोल का संकेत देने से")</f>
        <v>A) टीम के एकत्रित होने से, B) खिलाड़ी के नाचने से, C) खेल में एक छोटे विराम से, D) रेफरी द्वारा गोल का संकेत देने से</v>
      </c>
      <c r="I63" s="5" t="str">
        <f>IFERROR(__xludf.DUMMYFUNCTION("GOOGLETRANSLATE(D63, ""en"", ""hi"")"),"A) एक टीम के साथ मिलकर")</f>
        <v>A) एक टीम के साथ मिलकर</v>
      </c>
    </row>
    <row r="64" ht="22.5" customHeight="1">
      <c r="A64" s="2">
        <v>63.0</v>
      </c>
      <c r="B64" s="3" t="s">
        <v>5441</v>
      </c>
      <c r="C64" s="3" t="s">
        <v>5442</v>
      </c>
      <c r="D64" s="3" t="s">
        <v>5443</v>
      </c>
      <c r="F64" s="5" t="str">
        <f>IFERROR(__xludf.DUMMYFUNCTION("GOOGLETRANSLATE(A64, ""en"", ""hi"")"),"63")</f>
        <v>63</v>
      </c>
      <c r="G64" s="5" t="str">
        <f>IFERROR(__xludf.DUMMYFUNCTION("GOOGLETRANSLATE(B64, ""en"", ""hi"")"),"ढोल खेल में निम्नलिखित में से किस कार्य के लिए दंड दिया जाता है?")</f>
        <v>ढोल खेल में निम्नलिखित में से किस कार्य के लिए दंड दिया जाता है?</v>
      </c>
      <c r="H64" s="5" t="str">
        <f>IFERROR(__xludf.DUMMYFUNCTION("GOOGLETRANSLATE(C64, ""en"", ""hi"")"),"A) विरोधियों को ड्रिबल करते हुए, B) गोल करना, C) गेंद को बहुत देर तक रोके रखना, D) सटीक पास देना")</f>
        <v>A) विरोधियों को ड्रिबल करते हुए, B) गोल करना, C) गेंद को बहुत देर तक रोके रखना, D) सटीक पास देना</v>
      </c>
      <c r="I64" s="5" t="str">
        <f>IFERROR(__xludf.DUMMYFUNCTION("GOOGLETRANSLATE(D64, ""en"", ""hi"")"),"C) गेंद को बहुत देर तक पकड़े रखना")</f>
        <v>C) गेंद को बहुत देर तक पकड़े रखना</v>
      </c>
    </row>
    <row r="65" ht="22.5" customHeight="1">
      <c r="A65" s="2">
        <v>64.0</v>
      </c>
      <c r="B65" s="3" t="s">
        <v>5444</v>
      </c>
      <c r="C65" s="3" t="s">
        <v>5445</v>
      </c>
      <c r="D65" s="3" t="s">
        <v>5446</v>
      </c>
      <c r="F65" s="5" t="str">
        <f>IFERROR(__xludf.DUMMYFUNCTION("GOOGLETRANSLATE(A65, ""en"", ""hi"")"),"64")</f>
        <v>64</v>
      </c>
      <c r="G65" s="5" t="str">
        <f>IFERROR(__xludf.DUMMYFUNCTION("GOOGLETRANSLATE(B65, ""en"", ""hi"")"),"ढोल खेल में, यदि कोई टीम बहुत अधिक फ़ाउल कर ले तो आमतौर पर क्या होता है?")</f>
        <v>ढोल खेल में, यदि कोई टीम बहुत अधिक फ़ाउल कर ले तो आमतौर पर क्या होता है?</v>
      </c>
      <c r="H65" s="5" t="str">
        <f>IFERROR(__xludf.DUMMYFUNCTION("GOOGLETRANSLATE(C65, ""en"", ""hi"")"),"A) उन्हें मैच से अयोग्य घोषित कर दिया जाता है, B) विरोधी टीम को एक गोल दिया जाता है, C) टीम को चेतावनी दी जाती है, D) खेल रोक दिया जाता है")</f>
        <v>A) उन्हें मैच से अयोग्य घोषित कर दिया जाता है, B) विरोधी टीम को एक गोल दिया जाता है, C) टीम को चेतावनी दी जाती है, D) खेल रोक दिया जाता है</v>
      </c>
      <c r="I65" s="5" t="str">
        <f>IFERROR(__xludf.DUMMYFUNCTION("GOOGLETRANSLATE(D65, ""en"", ""hi"")"),"A) उन्हें मैच से अयोग्य घोषित कर दिया गया है")</f>
        <v>A) उन्हें मैच से अयोग्य घोषित कर दिया गया है</v>
      </c>
    </row>
    <row r="66" ht="22.5" customHeight="1">
      <c r="A66" s="2">
        <v>65.0</v>
      </c>
      <c r="B66" s="3" t="s">
        <v>5447</v>
      </c>
      <c r="C66" s="3" t="s">
        <v>5448</v>
      </c>
      <c r="D66" s="3" t="s">
        <v>5449</v>
      </c>
      <c r="F66" s="5" t="str">
        <f>IFERROR(__xludf.DUMMYFUNCTION("GOOGLETRANSLATE(A66, ""en"", ""hi"")"),"65")</f>
        <v>65</v>
      </c>
      <c r="G66" s="5" t="str">
        <f>IFERROR(__xludf.DUMMYFUNCTION("GOOGLETRANSLATE(B66, ""en"", ""hi"")"),"ढोल खेल में अच्छी रक्षा बनाए रखने में निम्नलिखित में से कौन सा महत्वपूर्ण कारक है?")</f>
        <v>ढोल खेल में अच्छी रक्षा बनाए रखने में निम्नलिखित में से कौन सा महत्वपूर्ण कारक है?</v>
      </c>
      <c r="H66" s="5" t="str">
        <f>IFERROR(__xludf.DUMMYFUNCTION("GOOGLETRANSLATE(C66, ""en"", ""hi"")"),"A) प्रतिद्वंद्वी की चालों का पूर्वानुमान, B) आक्रामक खेल, C) गोल करना, D) तेज़ गति वाले पास")</f>
        <v>A) प्रतिद्वंद्वी की चालों का पूर्वानुमान, B) आक्रामक खेल, C) गोल करना, D) तेज़ गति वाले पास</v>
      </c>
      <c r="I66" s="5" t="str">
        <f>IFERROR(__xludf.DUMMYFUNCTION("GOOGLETRANSLATE(D66, ""en"", ""hi"")"),"A) प्रतिद्वंद्वी की चालों का पूर्वानुमान")</f>
        <v>A) प्रतिद्वंद्वी की चालों का पूर्वानुमान</v>
      </c>
    </row>
    <row r="67" ht="22.5" customHeight="1">
      <c r="A67" s="2">
        <v>66.0</v>
      </c>
      <c r="B67" s="3" t="s">
        <v>5450</v>
      </c>
      <c r="C67" s="3" t="s">
        <v>5451</v>
      </c>
      <c r="D67" s="3" t="s">
        <v>5452</v>
      </c>
      <c r="F67" s="5" t="str">
        <f>IFERROR(__xludf.DUMMYFUNCTION("GOOGLETRANSLATE(A67, ""en"", ""hi"")"),"66")</f>
        <v>66</v>
      </c>
      <c r="G67" s="5" t="str">
        <f>IFERROR(__xludf.DUMMYFUNCTION("GOOGLETRANSLATE(B67, ""en"", ""hi"")"),"आमतौर पर ढोल खेल की सफल योजना कैसे बनाई जाती है?")</f>
        <v>आमतौर पर ढोल खेल की सफल योजना कैसे बनाई जाती है?</v>
      </c>
      <c r="H67" s="5" t="str">
        <f>IFERROR(__xludf.DUMMYFUNCTION("GOOGLETRANSLATE(C67, ""en"", ""hi"")"),"A) विरोधियों की रणनीतियों का विश्लेषण करके, B) व्यक्तिगत कौशल का अभ्यास करके, C) शारीरिक प्रशिक्षण पर ध्यान केंद्रित करके, D) रेफरी के साथ चर्चा करके")</f>
        <v>A) विरोधियों की रणनीतियों का विश्लेषण करके, B) व्यक्तिगत कौशल का अभ्यास करके, C) शारीरिक प्रशिक्षण पर ध्यान केंद्रित करके, D) रेफरी के साथ चर्चा करके</v>
      </c>
      <c r="I67" s="5" t="str">
        <f>IFERROR(__xludf.DUMMYFUNCTION("GOOGLETRANSLATE(D67, ""en"", ""hi"")"),"A) विरोधियों की रणनीतियों का विश्लेषण करके")</f>
        <v>A) विरोधियों की रणनीतियों का विश्लेषण करके</v>
      </c>
    </row>
    <row r="68" ht="22.5" customHeight="1">
      <c r="A68" s="2">
        <v>67.0</v>
      </c>
      <c r="B68" s="3" t="s">
        <v>5453</v>
      </c>
      <c r="C68" s="3" t="s">
        <v>5454</v>
      </c>
      <c r="D68" s="3" t="s">
        <v>5455</v>
      </c>
      <c r="F68" s="5" t="str">
        <f>IFERROR(__xludf.DUMMYFUNCTION("GOOGLETRANSLATE(A68, ""en"", ""hi"")"),"67")</f>
        <v>67</v>
      </c>
      <c r="G68" s="5" t="str">
        <f>IFERROR(__xludf.DUMMYFUNCTION("GOOGLETRANSLATE(B68, ""en"", ""hi"")"),"ढोल खेल में टीम समन्वय को बेहतर बनाने का एक सामान्य तरीका क्या है?")</f>
        <v>ढोल खेल में टीम समन्वय को बेहतर बनाने का एक सामान्य तरीका क्या है?</v>
      </c>
      <c r="H68" s="5" t="str">
        <f>IFERROR(__xludf.DUMMYFUNCTION("GOOGLETRANSLATE(C68, ""en"", ""hi"")"),"A) नियमित अभ्यास सत्र, B) व्यक्तिगत खेल समय में वृद्धि, C) टीम बैठकों की संख्या में कमी, D) रक्षात्मक अभ्यास पर ध्यान केंद्रित करना")</f>
        <v>A) नियमित अभ्यास सत्र, B) व्यक्तिगत खेल समय में वृद्धि, C) टीम बैठकों की संख्या में कमी, D) रक्षात्मक अभ्यास पर ध्यान केंद्रित करना</v>
      </c>
      <c r="I68" s="5" t="str">
        <f>IFERROR(__xludf.DUMMYFUNCTION("GOOGLETRANSLATE(D68, ""en"", ""hi"")"),"ए) नियमित अभ्यास सत्र")</f>
        <v>ए) नियमित अभ्यास सत्र</v>
      </c>
    </row>
    <row r="69" ht="22.5" customHeight="1">
      <c r="A69" s="2">
        <v>68.0</v>
      </c>
      <c r="B69" s="3" t="s">
        <v>5456</v>
      </c>
      <c r="C69" s="3" t="s">
        <v>5457</v>
      </c>
      <c r="D69" s="3" t="s">
        <v>5458</v>
      </c>
      <c r="F69" s="5" t="str">
        <f>IFERROR(__xludf.DUMMYFUNCTION("GOOGLETRANSLATE(A69, ""en"", ""hi"")"),"68")</f>
        <v>68</v>
      </c>
      <c r="G69" s="5" t="str">
        <f>IFERROR(__xludf.DUMMYFUNCTION("GOOGLETRANSLATE(B69, ""en"", ""hi"")"),"ढोल खेल मैच के दौरान रेफरी की क्या भूमिका होती है?")</f>
        <v>ढोल खेल मैच के दौरान रेफरी की क्या भूमिका होती है?</v>
      </c>
      <c r="H69" s="5" t="str">
        <f>IFERROR(__xludf.DUMMYFUNCTION("GOOGLETRANSLATE(C69, ""en"", ""hi"")"),"A) नियमों को लागू करना और निष्पक्ष खेल सुनिश्चित करना, B) टीमों को प्रशिक्षित करना, C) खेल में भाग लेना, D) गोल करना")</f>
        <v>A) नियमों को लागू करना और निष्पक्ष खेल सुनिश्चित करना, B) टीमों को प्रशिक्षित करना, C) खेल में भाग लेना, D) गोल करना</v>
      </c>
      <c r="I69" s="5" t="str">
        <f>IFERROR(__xludf.DUMMYFUNCTION("GOOGLETRANSLATE(D69, ""en"", ""hi"")"),"A) नियमों को लागू करना और निष्पक्ष खेल सुनिश्चित करना")</f>
        <v>A) नियमों को लागू करना और निष्पक्ष खेल सुनिश्चित करना</v>
      </c>
    </row>
    <row r="70" ht="22.5" customHeight="1">
      <c r="A70" s="2">
        <v>69.0</v>
      </c>
      <c r="B70" s="3" t="s">
        <v>5459</v>
      </c>
      <c r="C70" s="3" t="s">
        <v>5460</v>
      </c>
      <c r="D70" s="3" t="s">
        <v>5461</v>
      </c>
      <c r="F70" s="5" t="str">
        <f>IFERROR(__xludf.DUMMYFUNCTION("GOOGLETRANSLATE(A70, ""en"", ""hi"")"),"69")</f>
        <v>69</v>
      </c>
      <c r="G70" s="5" t="str">
        <f>IFERROR(__xludf.DUMMYFUNCTION("GOOGLETRANSLATE(B70, ""en"", ""hi"")"),"ढोल खेल मैच में सर्वश्रेष्ठ खिलाड़ी का निर्धारण आमतौर पर किससे होता है?")</f>
        <v>ढोल खेल मैच में सर्वश्रेष्ठ खिलाड़ी का निर्धारण आमतौर पर किससे होता है?</v>
      </c>
      <c r="H70" s="5" t="str">
        <f>IFERROR(__xludf.DUMMYFUNCTION("GOOGLETRANSLATE(C70, ""en"", ""hi"")"),"A) बनाए गए गोलों की संख्या, B) सहायताओं की संख्या, C) रक्षात्मक खेलों की संख्या, D) खेल में समग्र योगदान")</f>
        <v>A) बनाए गए गोलों की संख्या, B) सहायताओं की संख्या, C) रक्षात्मक खेलों की संख्या, D) खेल में समग्र योगदान</v>
      </c>
      <c r="I70" s="5" t="str">
        <f>IFERROR(__xludf.DUMMYFUNCTION("GOOGLETRANSLATE(D70, ""en"", ""hi"")"),"D) खेल में समग्र योगदान")</f>
        <v>D) खेल में समग्र योगदान</v>
      </c>
    </row>
    <row r="71" ht="22.5" customHeight="1">
      <c r="A71" s="2">
        <v>70.0</v>
      </c>
      <c r="B71" s="3" t="s">
        <v>5462</v>
      </c>
      <c r="C71" s="3" t="s">
        <v>5463</v>
      </c>
      <c r="D71" s="3" t="s">
        <v>5464</v>
      </c>
      <c r="F71" s="5" t="str">
        <f>IFERROR(__xludf.DUMMYFUNCTION("GOOGLETRANSLATE(A71, ""en"", ""hi"")"),"70")</f>
        <v>70</v>
      </c>
      <c r="G71" s="5" t="str">
        <f>IFERROR(__xludf.DUMMYFUNCTION("GOOGLETRANSLATE(B71, ""en"", ""hi"")"),"ढोल खेल टूर्नामेंट में यदि मैच ड्रॉ हो जाए तो क्या होगा?")</f>
        <v>ढोल खेल टूर्नामेंट में यदि मैच ड्रॉ हो जाए तो क्या होगा?</v>
      </c>
      <c r="H71" s="5" t="str">
        <f>IFERROR(__xludf.DUMMYFUNCTION("GOOGLETRANSLATE(C71, ""en"", ""hi"")"),"A) मैच पुनः खेला जाता है, B) सबसे कम फ़ाउल वाली टीम जीत जाती है, C) खेल अतिरिक्त समय या पेनल्टी शूटआउट में चला जाता है, D) दोनों टीमों को विजेता घोषित कर दिया जाता है")</f>
        <v>A) मैच पुनः खेला जाता है, B) सबसे कम फ़ाउल वाली टीम जीत जाती है, C) खेल अतिरिक्त समय या पेनल्टी शूटआउट में चला जाता है, D) दोनों टीमों को विजेता घोषित कर दिया जाता है</v>
      </c>
      <c r="I71" s="5" t="str">
        <f>IFERROR(__xludf.DUMMYFUNCTION("GOOGLETRANSLATE(D71, ""en"", ""hi"")"),"C) खेल अतिरिक्त समय या पेनल्टी शूटआउट तक जाता है")</f>
        <v>C) खेल अतिरिक्त समय या पेनल्टी शूटआउट तक जाता है</v>
      </c>
    </row>
    <row r="72" ht="22.5" customHeight="1">
      <c r="A72" s="2">
        <v>71.0</v>
      </c>
      <c r="B72" s="3" t="s">
        <v>5465</v>
      </c>
      <c r="C72" s="3" t="s">
        <v>5466</v>
      </c>
      <c r="D72" s="3" t="s">
        <v>5467</v>
      </c>
      <c r="F72" s="5" t="str">
        <f>IFERROR(__xludf.DUMMYFUNCTION("GOOGLETRANSLATE(A72, ""en"", ""hi"")"),"71")</f>
        <v>71</v>
      </c>
      <c r="G72" s="5" t="str">
        <f>IFERROR(__xludf.DUMMYFUNCTION("GOOGLETRANSLATE(B72, ""en"", ""hi"")"),"ढोल खेल मैदान की मानक विशेषता क्या है?")</f>
        <v>ढोल खेल मैदान की मानक विशेषता क्या है?</v>
      </c>
      <c r="H72" s="5" t="str">
        <f>IFERROR(__xludf.DUMMYFUNCTION("GOOGLETRANSLATE(C72, ""en"", ""hi"")"),"A) समतल एवं समतल सतह, B) ढलान वाली सतह, C) जलभराव वाली सतह, D) असमान भूभाग")</f>
        <v>A) समतल एवं समतल सतह, B) ढलान वाली सतह, C) जलभराव वाली सतह, D) असमान भूभाग</v>
      </c>
      <c r="I72" s="5" t="str">
        <f>IFERROR(__xludf.DUMMYFUNCTION("GOOGLETRANSLATE(D72, ""en"", ""hi"")"),"A) समतल और समतल सतह")</f>
        <v>A) समतल और समतल सतह</v>
      </c>
    </row>
    <row r="73" ht="22.5" customHeight="1">
      <c r="A73" s="2">
        <v>72.0</v>
      </c>
      <c r="B73" s="3" t="s">
        <v>5468</v>
      </c>
      <c r="C73" s="3" t="s">
        <v>5469</v>
      </c>
      <c r="D73" s="3" t="s">
        <v>5470</v>
      </c>
      <c r="F73" s="5" t="str">
        <f>IFERROR(__xludf.DUMMYFUNCTION("GOOGLETRANSLATE(A73, ""en"", ""hi"")"),"72")</f>
        <v>72</v>
      </c>
      <c r="G73" s="5" t="str">
        <f>IFERROR(__xludf.DUMMYFUNCTION("GOOGLETRANSLATE(B73, ""en"", ""hi"")"),"ढोल खेल में पेनल्टी किक कैसे दी जाती है?")</f>
        <v>ढोल खेल में पेनल्टी किक कैसे दी जाती है?</v>
      </c>
      <c r="H73" s="5" t="str">
        <f>IFERROR(__xludf.DUMMYFUNCTION("GOOGLETRANSLATE(C73, ""en"", ""hi"")"),"A) गोल क्षेत्र के भीतर गंभीर फ़ाउल के लिए, B) गोल करने के लिए, C) सफल पास के लिए, D) आउट-ऑफ़-बाउंड थ्रो के लिए")</f>
        <v>A) गोल क्षेत्र के भीतर गंभीर फ़ाउल के लिए, B) गोल करने के लिए, C) सफल पास के लिए, D) आउट-ऑफ़-बाउंड थ्रो के लिए</v>
      </c>
      <c r="I73" s="5" t="str">
        <f>IFERROR(__xludf.DUMMYFUNCTION("GOOGLETRANSLATE(D73, ""en"", ""hi"")"),"A) गोल क्षेत्र के भीतर गंभीर फ़ाउल के लिए")</f>
        <v>A) गोल क्षेत्र के भीतर गंभीर फ़ाउल के लिए</v>
      </c>
    </row>
    <row r="74" ht="22.5" customHeight="1">
      <c r="A74" s="2">
        <v>73.0</v>
      </c>
      <c r="B74" s="3" t="s">
        <v>5471</v>
      </c>
      <c r="C74" s="3" t="s">
        <v>5301</v>
      </c>
      <c r="D74" s="3" t="s">
        <v>5472</v>
      </c>
      <c r="F74" s="5" t="str">
        <f>IFERROR(__xludf.DUMMYFUNCTION("GOOGLETRANSLATE(A74, ""en"", ""hi"")"),"73")</f>
        <v>73</v>
      </c>
      <c r="G74" s="5" t="str">
        <f>IFERROR(__xludf.DUMMYFUNCTION("GOOGLETRANSLATE(B74, ""en"", ""hi"")"),"ढोल खेल में कौन सी स्थिति मुख्य रूप से रक्षात्मक युद्धाभ्यास पर केंद्रित है?")</f>
        <v>ढोल खेल में कौन सी स्थिति मुख्य रूप से रक्षात्मक युद्धाभ्यास पर केंद्रित है?</v>
      </c>
      <c r="H74" s="5" t="str">
        <f>IFERROR(__xludf.DUMMYFUNCTION("GOOGLETRANSLATE(C74, ""en"", ""hi"")"),"A) फॉरवर्ड, B) मिडफील्डर, C) डिफेंडर, D) गोलकीपर")</f>
        <v>A) फॉरवर्ड, B) मिडफील्डर, C) डिफेंडर, D) गोलकीपर</v>
      </c>
      <c r="I74" s="5" t="str">
        <f>IFERROR(__xludf.DUMMYFUNCTION("GOOGLETRANSLATE(D74, ""en"", ""hi"")"),"सी) डिफेंडर")</f>
        <v>सी) डिफेंडर</v>
      </c>
    </row>
    <row r="75" ht="22.5" customHeight="1">
      <c r="A75" s="2">
        <v>74.0</v>
      </c>
      <c r="B75" s="3" t="s">
        <v>5473</v>
      </c>
      <c r="C75" s="3" t="s">
        <v>5474</v>
      </c>
      <c r="D75" s="3" t="s">
        <v>5475</v>
      </c>
      <c r="F75" s="5" t="str">
        <f>IFERROR(__xludf.DUMMYFUNCTION("GOOGLETRANSLATE(A75, ""en"", ""hi"")"),"74")</f>
        <v>74</v>
      </c>
      <c r="G75" s="5" t="str">
        <f>IFERROR(__xludf.DUMMYFUNCTION("GOOGLETRANSLATE(B75, ""en"", ""hi"")"),"ढोल खेल में गोलकीपर के लिए महत्वपूर्ण कौशल क्या है?")</f>
        <v>ढोल खेल में गोलकीपर के लिए महत्वपूर्ण कौशल क्या है?</v>
      </c>
      <c r="H75" s="5" t="str">
        <f>IFERROR(__xludf.DUMMYFUNCTION("GOOGLETRANSLATE(C75, ""en"", ""hi"")"),"A) शॉट रोकना, B) गोल करना, C) सटीक पास देना, D) ड्रिब्लिंग")</f>
        <v>A) शॉट रोकना, B) गोल करना, C) सटीक पास देना, D) ड्रिब्लिंग</v>
      </c>
      <c r="I75" s="5" t="str">
        <f>IFERROR(__xludf.DUMMYFUNCTION("GOOGLETRANSLATE(D75, ""en"", ""hi"")"),"A) शॉट्स को ब्लॉक करना")</f>
        <v>A) शॉट्स को ब्लॉक करना</v>
      </c>
    </row>
    <row r="76" ht="22.5" customHeight="1">
      <c r="A76" s="2">
        <v>75.0</v>
      </c>
      <c r="B76" s="3" t="s">
        <v>5419</v>
      </c>
      <c r="C76" s="3" t="s">
        <v>5476</v>
      </c>
      <c r="D76" s="3" t="s">
        <v>5377</v>
      </c>
      <c r="F76" s="5" t="str">
        <f>IFERROR(__xludf.DUMMYFUNCTION("GOOGLETRANSLATE(A76, ""en"", ""hi"")"),"75")</f>
        <v>75</v>
      </c>
      <c r="G76" s="5" t="str">
        <f>IFERROR(__xludf.DUMMYFUNCTION("GOOGLETRANSLATE(B76, ""en"", ""hi"")"),"ढोल खेल में प्रतिस्थापन का सामान्य कारण क्या है?")</f>
        <v>ढोल खेल में प्रतिस्थापन का सामान्य कारण क्या है?</v>
      </c>
      <c r="H76" s="5" t="str">
        <f>IFERROR(__xludf.DUMMYFUNCTION("GOOGLETRANSLATE(C76, ""en"", ""hi"")"),"A) चोट, B) सामरिक परिवर्तन, C) खिलाड़ी की थकान, D) उपरोक्त सभी")</f>
        <v>A) चोट, B) सामरिक परिवर्तन, C) खिलाड़ी की थकान, D) उपरोक्त सभी</v>
      </c>
      <c r="I76" s="5" t="str">
        <f>IFERROR(__xludf.DUMMYFUNCTION("GOOGLETRANSLATE(D76, ""en"", ""hi"")"),"D। उपरोक्त सभी")</f>
        <v>D। उपरोक्त सभी</v>
      </c>
    </row>
    <row r="77" ht="22.5" customHeight="1">
      <c r="A77" s="2">
        <v>76.0</v>
      </c>
      <c r="B77" s="3" t="s">
        <v>5477</v>
      </c>
      <c r="C77" s="3" t="s">
        <v>5478</v>
      </c>
      <c r="D77" s="3" t="s">
        <v>5479</v>
      </c>
      <c r="F77" s="5" t="str">
        <f>IFERROR(__xludf.DUMMYFUNCTION("GOOGLETRANSLATE(A77, ""en"", ""hi"")"),"76")</f>
        <v>76</v>
      </c>
      <c r="G77" s="5" t="str">
        <f>IFERROR(__xludf.DUMMYFUNCTION("GOOGLETRANSLATE(B77, ""en"", ""hi"")"),"ढोल खेल में निम्नलिखित में से कौन सा कार्य अवैध माना जाता है?")</f>
        <v>ढोल खेल में निम्नलिखित में से कौन सा कार्य अवैध माना जाता है?</v>
      </c>
      <c r="H77" s="5" t="str">
        <f>IFERROR(__xludf.DUMMYFUNCTION("GOOGLETRANSLATE(C77, ""en"", ""hi"")"),"A) आक्रामक ब्लॉकिंग, B) गोल करना, C) विरोधियों को ड्रिबल करना, D) गेंद को पकड़ना")</f>
        <v>A) आक्रामक ब्लॉकिंग, B) गोल करना, C) विरोधियों को ड्रिबल करना, D) गेंद को पकड़ना</v>
      </c>
      <c r="I77" s="5" t="str">
        <f>IFERROR(__xludf.DUMMYFUNCTION("GOOGLETRANSLATE(D77, ""en"", ""hi"")"),"A) आक्रामक अवरोधन")</f>
        <v>A) आक्रामक अवरोधन</v>
      </c>
    </row>
    <row r="78" ht="22.5" customHeight="1">
      <c r="A78" s="2">
        <v>77.0</v>
      </c>
      <c r="B78" s="3" t="s">
        <v>5480</v>
      </c>
      <c r="C78" s="3" t="s">
        <v>5481</v>
      </c>
      <c r="D78" s="3" t="s">
        <v>5482</v>
      </c>
      <c r="F78" s="5" t="str">
        <f>IFERROR(__xludf.DUMMYFUNCTION("GOOGLETRANSLATE(A78, ""en"", ""hi"")"),"77")</f>
        <v>77</v>
      </c>
      <c r="G78" s="5" t="str">
        <f>IFERROR(__xludf.DUMMYFUNCTION("GOOGLETRANSLATE(B78, ""en"", ""hi"")"),"ढोल खेल टीम के कप्तान की भूमिका क्या है?")</f>
        <v>ढोल खेल टीम के कप्तान की भूमिका क्या है?</v>
      </c>
      <c r="H78" s="5" t="str">
        <f>IFERROR(__xludf.DUMMYFUNCTION("GOOGLETRANSLATE(C78, ""en"", ""hi"")"),"A) टीम का नेतृत्व करना और रणनीतिक निर्णय लेना, B) मैच में रेफरी करना, C) सबसे अधिक गोल करना, D) खिलाड़ियों को स्थानापन्न करना")</f>
        <v>A) टीम का नेतृत्व करना और रणनीतिक निर्णय लेना, B) मैच में रेफरी करना, C) सबसे अधिक गोल करना, D) खिलाड़ियों को स्थानापन्न करना</v>
      </c>
      <c r="I78" s="5" t="str">
        <f>IFERROR(__xludf.DUMMYFUNCTION("GOOGLETRANSLATE(D78, ""en"", ""hi"")"),"A) टीम का नेतृत्व करना और रणनीतिक निर्णय लेना")</f>
        <v>A) टीम का नेतृत्व करना और रणनीतिक निर्णय लेना</v>
      </c>
    </row>
    <row r="79" ht="22.5" customHeight="1">
      <c r="A79" s="2">
        <v>78.0</v>
      </c>
      <c r="B79" s="3" t="s">
        <v>5483</v>
      </c>
      <c r="C79" s="3" t="s">
        <v>5484</v>
      </c>
      <c r="D79" s="3" t="s">
        <v>5485</v>
      </c>
      <c r="F79" s="5" t="str">
        <f>IFERROR(__xludf.DUMMYFUNCTION("GOOGLETRANSLATE(A79, ""en"", ""hi"")"),"78")</f>
        <v>78</v>
      </c>
      <c r="G79" s="5" t="str">
        <f>IFERROR(__xludf.DUMMYFUNCTION("GOOGLETRANSLATE(B79, ""en"", ""hi"")"),"ढोल खेल वादक का प्राथमिक उद्देश्य क्या है?")</f>
        <v>ढोल खेल वादक का प्राथमिक उद्देश्य क्या है?</v>
      </c>
      <c r="H79" s="5" t="str">
        <f>IFERROR(__xludf.DUMMYFUNCTION("GOOGLETRANSLATE(C79, ""en"", ""hi"")"),"A) गोल करना, B) गोल बचाना, C) गेंद पास करना, D) रणनीति बनाना")</f>
        <v>A) गोल करना, B) गोल बचाना, C) गेंद पास करना, D) रणनीति बनाना</v>
      </c>
      <c r="I79" s="5" t="str">
        <f>IFERROR(__xludf.DUMMYFUNCTION("GOOGLETRANSLATE(D79, ""en"", ""hi"")"),"A) गोल करना")</f>
        <v>A) गोल करना</v>
      </c>
    </row>
    <row r="80" ht="22.5" customHeight="1">
      <c r="A80" s="2">
        <v>79.0</v>
      </c>
      <c r="B80" s="3" t="s">
        <v>5486</v>
      </c>
      <c r="C80" s="3" t="s">
        <v>5487</v>
      </c>
      <c r="D80" s="3" t="s">
        <v>5488</v>
      </c>
      <c r="F80" s="5" t="str">
        <f>IFERROR(__xludf.DUMMYFUNCTION("GOOGLETRANSLATE(A80, ""en"", ""hi"")"),"79")</f>
        <v>79</v>
      </c>
      <c r="G80" s="5" t="str">
        <f>IFERROR(__xludf.DUMMYFUNCTION("GOOGLETRANSLATE(B80, ""en"", ""hi"")"),"ढोल खेल में गेंद पर नियंत्रण सुधारने के लिए निम्नलिखित में से कौन सी तकनीक सामान्य है?")</f>
        <v>ढोल खेल में गेंद पर नियंत्रण सुधारने के लिए निम्नलिखित में से कौन सी तकनीक सामान्य है?</v>
      </c>
      <c r="H80" s="5" t="str">
        <f>IFERROR(__xludf.DUMMYFUNCTION("GOOGLETRANSLATE(C80, ""en"", ""hi"")"),"ए) ड्रिब्लिंग अभ्यास, बी) पासिंग अभ्यास, सी) शूटिंग अभ्यास, डी) रक्षात्मक अभ्यास")</f>
        <v>ए) ड्रिब्लिंग अभ्यास, बी) पासिंग अभ्यास, सी) शूटिंग अभ्यास, डी) रक्षात्मक अभ्यास</v>
      </c>
      <c r="I80" s="5" t="str">
        <f>IFERROR(__xludf.DUMMYFUNCTION("GOOGLETRANSLATE(D80, ""en"", ""hi"")"),"ए) ड्रिब्लिंग अभ्यास")</f>
        <v>ए) ड्रिब्लिंग अभ्यास</v>
      </c>
    </row>
    <row r="81" ht="22.5" customHeight="1">
      <c r="A81" s="2">
        <v>80.0</v>
      </c>
      <c r="B81" s="3" t="s">
        <v>5489</v>
      </c>
      <c r="C81" s="3" t="s">
        <v>5490</v>
      </c>
      <c r="D81" s="3" t="s">
        <v>5491</v>
      </c>
      <c r="F81" s="5" t="str">
        <f>IFERROR(__xludf.DUMMYFUNCTION("GOOGLETRANSLATE(A81, ""en"", ""hi"")"),"80")</f>
        <v>80</v>
      </c>
      <c r="G81" s="5" t="str">
        <f>IFERROR(__xludf.DUMMYFUNCTION("GOOGLETRANSLATE(B81, ""en"", ""hi"")"),"ढोल खेल में किसी खिलाड़ी द्वारा गंभीर फाउल करने का क्या परिणाम होता है?")</f>
        <v>ढोल खेल में किसी खिलाड़ी द्वारा गंभीर फाउल करने का क्या परिणाम होता है?</v>
      </c>
      <c r="H81" s="5" t="str">
        <f>IFERROR(__xludf.DUMMYFUNCTION("GOOGLETRANSLATE(C81, ""en"", ""hi"")"),"A) खिलाड़ी को प्रतिस्थापित किया जाता है, B) पेनल्टी किक दी जाती है, C) खेल रोक दिया जाता है, D) खिलाड़ी को पीला कार्ड मिलता है")</f>
        <v>A) खिलाड़ी को प्रतिस्थापित किया जाता है, B) पेनल्टी किक दी जाती है, C) खेल रोक दिया जाता है, D) खिलाड़ी को पीला कार्ड मिलता है</v>
      </c>
      <c r="I81" s="5" t="str">
        <f>IFERROR(__xludf.DUMMYFUNCTION("GOOGLETRANSLATE(D81, ""en"", ""hi"")"),"B) पेनल्टी किक दी जाती है")</f>
        <v>B) पेनल्टी किक दी जाती है</v>
      </c>
    </row>
    <row r="82" ht="22.5" customHeight="1">
      <c r="A82" s="2">
        <v>81.0</v>
      </c>
      <c r="B82" s="3" t="s">
        <v>5492</v>
      </c>
      <c r="C82" s="3" t="s">
        <v>5493</v>
      </c>
      <c r="D82" s="3" t="s">
        <v>5329</v>
      </c>
      <c r="F82" s="5" t="str">
        <f>IFERROR(__xludf.DUMMYFUNCTION("GOOGLETRANSLATE(A82, ""en"", ""hi"")"),"81")</f>
        <v>81</v>
      </c>
      <c r="G82" s="5" t="str">
        <f>IFERROR(__xludf.DUMMYFUNCTION("GOOGLETRANSLATE(B82, ""en"", ""hi"")"),"ढोल खेल में प्रयुक्त होने वाली सामान्य रक्षात्मक रणनीति क्या है?")</f>
        <v>ढोल खेल में प्रयुक्त होने वाली सामान्य रक्षात्मक रणनीति क्या है?</v>
      </c>
      <c r="H82" s="5" t="str">
        <f>IFERROR(__xludf.DUMMYFUNCTION("GOOGLETRANSLATE(C82, ""en"", ""hi"")"),"ए) मैन-टू-मैन मार्किंग, बी) ज़ोन डिफेंस, सी) हाई प्रेसिंग, डी) लो प्रेसिंग")</f>
        <v>ए) मैन-टू-मैन मार्किंग, बी) ज़ोन डिफेंस, सी) हाई प्रेसिंग, डी) लो प्रेसिंग</v>
      </c>
      <c r="I82" s="5" t="str">
        <f>IFERROR(__xludf.DUMMYFUNCTION("GOOGLETRANSLATE(D82, ""en"", ""hi"")"),"A) मैन-टू-मैन मार्किंग")</f>
        <v>A) मैन-टू-मैन मार्किंग</v>
      </c>
    </row>
    <row r="83" ht="22.5" customHeight="1">
      <c r="A83" s="2">
        <v>82.0</v>
      </c>
      <c r="B83" s="3" t="s">
        <v>5494</v>
      </c>
      <c r="C83" s="3" t="s">
        <v>5301</v>
      </c>
      <c r="D83" s="3" t="s">
        <v>5302</v>
      </c>
      <c r="F83" s="5" t="str">
        <f>IFERROR(__xludf.DUMMYFUNCTION("GOOGLETRANSLATE(A83, ""en"", ""hi"")"),"82")</f>
        <v>82</v>
      </c>
      <c r="G83" s="5" t="str">
        <f>IFERROR(__xludf.DUMMYFUNCTION("GOOGLETRANSLATE(B83, ""en"", ""hi"")"),"ढोल खेल में हमले का नेतृत्व करने के लिए कौन सी स्थिति जिम्मेदार है?")</f>
        <v>ढोल खेल में हमले का नेतृत्व करने के लिए कौन सी स्थिति जिम्मेदार है?</v>
      </c>
      <c r="H83" s="5" t="str">
        <f>IFERROR(__xludf.DUMMYFUNCTION("GOOGLETRANSLATE(C83, ""en"", ""hi"")"),"A) फॉरवर्ड, B) मिडफील्डर, C) डिफेंडर, D) गोलकीपर")</f>
        <v>A) फॉरवर्ड, B) मिडफील्डर, C) डिफेंडर, D) गोलकीपर</v>
      </c>
      <c r="I83" s="5" t="str">
        <f>IFERROR(__xludf.DUMMYFUNCTION("GOOGLETRANSLATE(D83, ""en"", ""hi"")"),"ए) आगे")</f>
        <v>ए) आगे</v>
      </c>
    </row>
    <row r="84" ht="22.5" customHeight="1">
      <c r="A84" s="2">
        <v>83.0</v>
      </c>
      <c r="B84" s="3" t="s">
        <v>5495</v>
      </c>
      <c r="C84" s="3" t="s">
        <v>5496</v>
      </c>
      <c r="D84" s="3" t="s">
        <v>5497</v>
      </c>
      <c r="F84" s="5" t="str">
        <f>IFERROR(__xludf.DUMMYFUNCTION("GOOGLETRANSLATE(A84, ""en"", ""hi"")"),"83")</f>
        <v>83</v>
      </c>
      <c r="G84" s="5" t="str">
        <f>IFERROR(__xludf.DUMMYFUNCTION("GOOGLETRANSLATE(B84, ""en"", ""hi"")"),"किसी खिलाड़ी के घायल हो जाने के बाद ढोल खेल को आम तौर पर कैसे पुनः शुरू किया जाता है?")</f>
        <v>किसी खिलाड़ी के घायल हो जाने के बाद ढोल खेल को आम तौर पर कैसे पुनः शुरू किया जाता है?</v>
      </c>
      <c r="H84" s="5" t="str">
        <f>IFERROR(__xludf.DUMMYFUNCTION("GOOGLETRANSLATE(C84, ""en"", ""hi"")"),"A) खिलाड़ी को प्रतिस्थापित करके, B) बिना किसी रुकावट के खेल जारी रखकर, C) फ्री किक देकर, D) टाइमआउट बुलाकर")</f>
        <v>A) खिलाड़ी को प्रतिस्थापित करके, B) बिना किसी रुकावट के खेल जारी रखकर, C) फ्री किक देकर, D) टाइमआउट बुलाकर</v>
      </c>
      <c r="I84" s="5" t="str">
        <f>IFERROR(__xludf.DUMMYFUNCTION("GOOGLETRANSLATE(D84, ""en"", ""hi"")"),"A) खिलाड़ी को प्रतिस्थापित करके")</f>
        <v>A) खिलाड़ी को प्रतिस्थापित करके</v>
      </c>
    </row>
    <row r="85" ht="22.5" customHeight="1">
      <c r="A85" s="2">
        <v>84.0</v>
      </c>
      <c r="B85" s="3" t="s">
        <v>5498</v>
      </c>
      <c r="C85" s="3" t="s">
        <v>5499</v>
      </c>
      <c r="D85" s="3" t="s">
        <v>5500</v>
      </c>
      <c r="F85" s="5" t="str">
        <f>IFERROR(__xludf.DUMMYFUNCTION("GOOGLETRANSLATE(A85, ""en"", ""hi"")"),"84")</f>
        <v>84</v>
      </c>
      <c r="G85" s="5" t="str">
        <f>IFERROR(__xludf.DUMMYFUNCTION("GOOGLETRANSLATE(B85, ""en"", ""hi"")"),"ढोल खेल में मिडफील्डर का प्राथमिक ध्यान किस पर होता है?")</f>
        <v>ढोल खेल में मिडफील्डर का प्राथमिक ध्यान किस पर होता है?</v>
      </c>
      <c r="H85" s="5" t="str">
        <f>IFERROR(__xludf.DUMMYFUNCTION("GOOGLETRANSLATE(C85, ""en"", ""hi"")"),"A) गोल की रक्षा करना, B) स्कोरिंग के अवसर बनाना, C) शॉट रोकना, D) गोलकीपिंग")</f>
        <v>A) गोल की रक्षा करना, B) स्कोरिंग के अवसर बनाना, C) शॉट रोकना, D) गोलकीपिंग</v>
      </c>
      <c r="I85" s="5" t="str">
        <f>IFERROR(__xludf.DUMMYFUNCTION("GOOGLETRANSLATE(D85, ""en"", ""hi"")"),"बी) स्कोरिंग के अवसर पैदा करना")</f>
        <v>बी) स्कोरिंग के अवसर पैदा करना</v>
      </c>
    </row>
    <row r="86" ht="22.5" customHeight="1">
      <c r="A86" s="2">
        <v>85.0</v>
      </c>
      <c r="B86" s="3" t="s">
        <v>5501</v>
      </c>
      <c r="C86" s="3" t="s">
        <v>5502</v>
      </c>
      <c r="D86" s="3" t="s">
        <v>5503</v>
      </c>
      <c r="F86" s="5" t="str">
        <f>IFERROR(__xludf.DUMMYFUNCTION("GOOGLETRANSLATE(A86, ""en"", ""hi"")"),"85")</f>
        <v>85</v>
      </c>
      <c r="G86" s="5" t="str">
        <f>IFERROR(__xludf.DUMMYFUNCTION("GOOGLETRANSLATE(B86, ""en"", ""hi"")"),"ढोल खेल में गोल किक का उद्देश्य क्या है?")</f>
        <v>ढोल खेल में गोल किक का उद्देश्य क्या है?</v>
      </c>
      <c r="H86" s="5" t="str">
        <f>IFERROR(__xludf.DUMMYFUNCTION("GOOGLETRANSLATE(C86, ""en"", ""hi"")"),"A) गेंद के सीमा से बाहर जाने के बाद खेल को पुनः शुरू करना, B) विरोधी टीम को दंडित करना, C) गोल करना, D) प्रतिस्थापन करना")</f>
        <v>A) गेंद के सीमा से बाहर जाने के बाद खेल को पुनः शुरू करना, B) विरोधी टीम को दंडित करना, C) गोल करना, D) प्रतिस्थापन करना</v>
      </c>
      <c r="I86" s="5" t="str">
        <f>IFERROR(__xludf.DUMMYFUNCTION("GOOGLETRANSLATE(D86, ""en"", ""hi"")"),"A) गेंद के सीमा से बाहर जाने के बाद खेल को पुनः शुरू करना")</f>
        <v>A) गेंद के सीमा से बाहर जाने के बाद खेल को पुनः शुरू करना</v>
      </c>
    </row>
    <row r="87" ht="22.5" customHeight="1">
      <c r="A87" s="2">
        <v>86.0</v>
      </c>
      <c r="B87" s="3" t="s">
        <v>5504</v>
      </c>
      <c r="C87" s="3" t="s">
        <v>5505</v>
      </c>
      <c r="D87" s="3" t="s">
        <v>5506</v>
      </c>
      <c r="F87" s="5" t="str">
        <f>IFERROR(__xludf.DUMMYFUNCTION("GOOGLETRANSLATE(A87, ""en"", ""hi"")"),"86")</f>
        <v>86</v>
      </c>
      <c r="G87" s="5" t="str">
        <f>IFERROR(__xludf.DUMMYFUNCTION("GOOGLETRANSLATE(B87, ""en"", ""hi"")"),"ढोल खेल में किस क्रिया के लिए आमतौर पर फ्री किक दी जाती है?")</f>
        <v>ढोल खेल में किस क्रिया के लिए आमतौर पर फ्री किक दी जाती है?</v>
      </c>
      <c r="H87" s="5" t="str">
        <f>IFERROR(__xludf.DUMMYFUNCTION("GOOGLETRANSLATE(C87, ""en"", ""hi"")"),"A) गोल करना, B) मामूली फ़ाउल करना, C) सफल पास देना, D) थ्रो-इन करना")</f>
        <v>A) गोल करना, B) मामूली फ़ाउल करना, C) सफल पास देना, D) थ्रो-इन करना</v>
      </c>
      <c r="I87" s="5" t="str">
        <f>IFERROR(__xludf.DUMMYFUNCTION("GOOGLETRANSLATE(D87, ""en"", ""hi"")"),"बी) मामूली बेईमानी करना")</f>
        <v>बी) मामूली बेईमानी करना</v>
      </c>
    </row>
    <row r="88" ht="22.5" customHeight="1">
      <c r="A88" s="2">
        <v>87.0</v>
      </c>
      <c r="B88" s="3" t="s">
        <v>5507</v>
      </c>
      <c r="C88" s="3" t="s">
        <v>5508</v>
      </c>
      <c r="D88" s="3" t="s">
        <v>5455</v>
      </c>
      <c r="F88" s="5" t="str">
        <f>IFERROR(__xludf.DUMMYFUNCTION("GOOGLETRANSLATE(A88, ""en"", ""hi"")"),"87")</f>
        <v>87</v>
      </c>
      <c r="G88" s="5" t="str">
        <f>IFERROR(__xludf.DUMMYFUNCTION("GOOGLETRANSLATE(B88, ""en"", ""hi"")"),"ढोल खेल में टीम वर्क को बेहतर बनाने का सामान्य तरीका क्या है?")</f>
        <v>ढोल खेल में टीम वर्क को बेहतर बनाने का सामान्य तरीका क्या है?</v>
      </c>
      <c r="H88" s="5" t="str">
        <f>IFERROR(__xludf.DUMMYFUNCTION("GOOGLETRANSLATE(C88, ""en"", ""hi"")"),"ए) नियमित अभ्यास सत्र, बी) पिछले खेलों को देखना, सी) व्यक्तिगत प्रशिक्षण, डी) खेल का समय बढ़ाना")</f>
        <v>ए) नियमित अभ्यास सत्र, बी) पिछले खेलों को देखना, सी) व्यक्तिगत प्रशिक्षण, डी) खेल का समय बढ़ाना</v>
      </c>
      <c r="I88" s="5" t="str">
        <f>IFERROR(__xludf.DUMMYFUNCTION("GOOGLETRANSLATE(D88, ""en"", ""hi"")"),"ए) नियमित अभ्यास सत्र")</f>
        <v>ए) नियमित अभ्यास सत्र</v>
      </c>
    </row>
    <row r="89" ht="22.5" customHeight="1">
      <c r="A89" s="2">
        <v>88.0</v>
      </c>
      <c r="B89" s="3" t="s">
        <v>5509</v>
      </c>
      <c r="C89" s="3" t="s">
        <v>5510</v>
      </c>
      <c r="D89" s="3" t="s">
        <v>5475</v>
      </c>
      <c r="F89" s="5" t="str">
        <f>IFERROR(__xludf.DUMMYFUNCTION("GOOGLETRANSLATE(A89, ""en"", ""hi"")"),"88")</f>
        <v>88</v>
      </c>
      <c r="G89" s="5" t="str">
        <f>IFERROR(__xludf.DUMMYFUNCTION("GOOGLETRANSLATE(B89, ""en"", ""hi"")"),"ढोल खेल में गोलकीपिंग का मुख्य पहलू निम्नलिखित में से कौन सा है?")</f>
        <v>ढोल खेल में गोलकीपिंग का मुख्य पहलू निम्नलिखित में से कौन सा है?</v>
      </c>
      <c r="H89" s="5" t="str">
        <f>IFERROR(__xludf.DUMMYFUNCTION("GOOGLETRANSLATE(C89, ""en"", ""hi"")"),"A) शॉट रोकना, B) गोल करना, C) गेंद पास करना, D) विरोधियों को पीछे छोड़ते हुए ड्रिबल करना")</f>
        <v>A) शॉट रोकना, B) गोल करना, C) गेंद पास करना, D) विरोधियों को पीछे छोड़ते हुए ड्रिबल करना</v>
      </c>
      <c r="I89" s="5" t="str">
        <f>IFERROR(__xludf.DUMMYFUNCTION("GOOGLETRANSLATE(D89, ""en"", ""hi"")"),"A) शॉट्स को ब्लॉक करना")</f>
        <v>A) शॉट्स को ब्लॉक करना</v>
      </c>
    </row>
    <row r="90" ht="22.5" customHeight="1">
      <c r="A90" s="2">
        <v>89.0</v>
      </c>
      <c r="B90" s="3" t="s">
        <v>5511</v>
      </c>
      <c r="C90" s="3" t="s">
        <v>5512</v>
      </c>
      <c r="D90" s="3" t="s">
        <v>5513</v>
      </c>
      <c r="F90" s="5" t="str">
        <f>IFERROR(__xludf.DUMMYFUNCTION("GOOGLETRANSLATE(A90, ""en"", ""hi"")"),"89")</f>
        <v>89</v>
      </c>
      <c r="G90" s="5" t="str">
        <f>IFERROR(__xludf.DUMMYFUNCTION("GOOGLETRANSLATE(B90, ""en"", ""hi"")"),"ढोल खेल में रक्षक की क्या भूमिका होती है?")</f>
        <v>ढोल खेल में रक्षक की क्या भूमिका होती है?</v>
      </c>
      <c r="H90" s="5" t="str">
        <f>IFERROR(__xludf.DUMMYFUNCTION("GOOGLETRANSLATE(C90, ""en"", ""hi"")"),"A) गोल करना, B) आक्रामक खेलों को रोकना, C) पास देना, D) खेलों को बुलाना")</f>
        <v>A) गोल करना, B) आक्रामक खेलों को रोकना, C) पास देना, D) खेलों को बुलाना</v>
      </c>
      <c r="I90" s="5" t="str">
        <f>IFERROR(__xludf.DUMMYFUNCTION("GOOGLETRANSLATE(D90, ""en"", ""hi"")"),"B) आक्रामक खेलों को रोकने के लिए")</f>
        <v>B) आक्रामक खेलों को रोकने के लिए</v>
      </c>
    </row>
    <row r="91" ht="22.5" customHeight="1">
      <c r="A91" s="2">
        <v>90.0</v>
      </c>
      <c r="B91" s="3" t="s">
        <v>5514</v>
      </c>
      <c r="C91" s="3" t="s">
        <v>5515</v>
      </c>
      <c r="D91" s="3" t="s">
        <v>5516</v>
      </c>
      <c r="F91" s="5" t="str">
        <f>IFERROR(__xludf.DUMMYFUNCTION("GOOGLETRANSLATE(A91, ""en"", ""hi"")"),"90")</f>
        <v>90</v>
      </c>
      <c r="G91" s="5" t="str">
        <f>IFERROR(__xludf.DUMMYFUNCTION("GOOGLETRANSLATE(B91, ""en"", ""hi"")"),"ढोल खेल टूर्नामेंट में आमतौर पर टाई का समाधान कैसे किया जाता है?")</f>
        <v>ढोल खेल टूर्नामेंट में आमतौर पर टाई का समाधान कैसे किया जाता है?</v>
      </c>
      <c r="H91" s="5" t="str">
        <f>IFERROR(__xludf.DUMMYFUNCTION("GOOGLETRANSLATE(C91, ""en"", ""hi"")"),"A) मैच को पुनः खेलकर, B) सबसे कम फ़ाउल करने वाली टीम को खेल देकर, C) पेनल्टी शूटआउट आयोजित करके, D) सबसे हाल ही में गोल करने वाली टीम द्वारा")</f>
        <v>A) मैच को पुनः खेलकर, B) सबसे कम फ़ाउल करने वाली टीम को खेल देकर, C) पेनल्टी शूटआउट आयोजित करके, D) सबसे हाल ही में गोल करने वाली टीम द्वारा</v>
      </c>
      <c r="I91" s="5" t="str">
        <f>IFERROR(__xludf.DUMMYFUNCTION("GOOGLETRANSLATE(D91, ""en"", ""hi"")"),"C) पेनल्टी शूटआउट आयोजित करके")</f>
        <v>C) पेनल्टी शूटआउट आयोजित करके</v>
      </c>
    </row>
    <row r="92" ht="22.5" customHeight="1">
      <c r="A92" s="2">
        <v>91.0</v>
      </c>
      <c r="B92" s="3" t="s">
        <v>5517</v>
      </c>
      <c r="C92" s="3" t="s">
        <v>5518</v>
      </c>
      <c r="D92" s="3" t="s">
        <v>5519</v>
      </c>
      <c r="F92" s="5" t="str">
        <f>IFERROR(__xludf.DUMMYFUNCTION("GOOGLETRANSLATE(A92, ""en"", ""hi"")"),"91")</f>
        <v>91</v>
      </c>
      <c r="G92" s="5" t="str">
        <f>IFERROR(__xludf.DUMMYFUNCTION("GOOGLETRANSLATE(B92, ""en"", ""hi"")"),"ढोल खेल में गेंद के सीमा रेखा से बाहर चले जाने के बाद खेल को पुनः शुरू करने की सामान्य विधि क्या है?")</f>
        <v>ढोल खेल में गेंद के सीमा रेखा से बाहर चले जाने के बाद खेल को पुनः शुरू करने की सामान्य विधि क्या है?</v>
      </c>
      <c r="H92" s="5" t="str">
        <f>IFERROR(__xludf.DUMMYFUNCTION("GOOGLETRANSLATE(C92, ""en"", ""hi"")"),"A) थ्रो-इन, B) गोल किक, C) कॉर्नर किक, D) फ्री किक")</f>
        <v>A) थ्रो-इन, B) गोल किक, C) कॉर्नर किक, D) फ्री किक</v>
      </c>
      <c r="I92" s="5" t="str">
        <f>IFERROR(__xludf.DUMMYFUNCTION("GOOGLETRANSLATE(D92, ""en"", ""hi"")"),"ए) थ्रो-इन")</f>
        <v>ए) थ्रो-इन</v>
      </c>
    </row>
    <row r="93" ht="22.5" customHeight="1">
      <c r="A93" s="2">
        <v>92.0</v>
      </c>
      <c r="B93" s="3" t="s">
        <v>5520</v>
      </c>
      <c r="C93" s="3" t="s">
        <v>5301</v>
      </c>
      <c r="D93" s="3" t="s">
        <v>5472</v>
      </c>
      <c r="F93" s="5" t="str">
        <f>IFERROR(__xludf.DUMMYFUNCTION("GOOGLETRANSLATE(A93, ""en"", ""hi"")"),"92")</f>
        <v>92</v>
      </c>
      <c r="G93" s="5" t="str">
        <f>IFERROR(__xludf.DUMMYFUNCTION("GOOGLETRANSLATE(B93, ""en"", ""hi"")"),"ढोल खेल में बचाव के लिए मुख्य रूप से कौन सी स्थिति जिम्मेदार है?")</f>
        <v>ढोल खेल में बचाव के लिए मुख्य रूप से कौन सी स्थिति जिम्मेदार है?</v>
      </c>
      <c r="H93" s="5" t="str">
        <f>IFERROR(__xludf.DUMMYFUNCTION("GOOGLETRANSLATE(C93, ""en"", ""hi"")"),"A) फॉरवर्ड, B) मिडफील्डर, C) डिफेंडर, D) गोलकीपर")</f>
        <v>A) फॉरवर्ड, B) मिडफील्डर, C) डिफेंडर, D) गोलकीपर</v>
      </c>
      <c r="I93" s="5" t="str">
        <f>IFERROR(__xludf.DUMMYFUNCTION("GOOGLETRANSLATE(D93, ""en"", ""hi"")"),"सी) डिफेंडर")</f>
        <v>सी) डिफेंडर</v>
      </c>
    </row>
    <row r="94" ht="22.5" customHeight="1">
      <c r="A94" s="2">
        <v>93.0</v>
      </c>
      <c r="B94" s="3" t="s">
        <v>5521</v>
      </c>
      <c r="C94" s="3" t="s">
        <v>5522</v>
      </c>
      <c r="D94" s="3" t="s">
        <v>5523</v>
      </c>
      <c r="F94" s="5" t="str">
        <f>IFERROR(__xludf.DUMMYFUNCTION("GOOGLETRANSLATE(A94, ""en"", ""hi"")"),"93")</f>
        <v>93</v>
      </c>
      <c r="G94" s="5" t="str">
        <f>IFERROR(__xludf.DUMMYFUNCTION("GOOGLETRANSLATE(B94, ""en"", ""hi"")"),"ढोल खेल में पेनल्टी किक का सामान्य कारण क्या है?")</f>
        <v>ढोल खेल में पेनल्टी किक का सामान्य कारण क्या है?</v>
      </c>
      <c r="H94" s="5" t="str">
        <f>IFERROR(__xludf.DUMMYFUNCTION("GOOGLETRANSLATE(C94, ""en"", ""hi"")"),"A) गोल क्षेत्र के भीतर एक गंभीर फ़ाउल, B) एक सफल पास, C) एक गोल किया गया, D) एक आउट-ऑफ़-बाउंड थ्रो")</f>
        <v>A) गोल क्षेत्र के भीतर एक गंभीर फ़ाउल, B) एक सफल पास, C) एक गोल किया गया, D) एक आउट-ऑफ़-बाउंड थ्रो</v>
      </c>
      <c r="I94" s="5" t="str">
        <f>IFERROR(__xludf.DUMMYFUNCTION("GOOGLETRANSLATE(D94, ""en"", ""hi"")"),"A) गोल क्षेत्र के भीतर एक गंभीर फ़ाउल")</f>
        <v>A) गोल क्षेत्र के भीतर एक गंभीर फ़ाउल</v>
      </c>
    </row>
    <row r="95" ht="22.5" customHeight="1">
      <c r="A95" s="2">
        <v>94.0</v>
      </c>
      <c r="B95" s="3" t="s">
        <v>5524</v>
      </c>
      <c r="C95" s="3" t="s">
        <v>5525</v>
      </c>
      <c r="D95" s="3" t="s">
        <v>5365</v>
      </c>
      <c r="F95" s="5" t="str">
        <f>IFERROR(__xludf.DUMMYFUNCTION("GOOGLETRANSLATE(A95, ""en"", ""hi"")"),"94")</f>
        <v>94</v>
      </c>
      <c r="G95" s="5" t="str">
        <f>IFERROR(__xludf.DUMMYFUNCTION("GOOGLETRANSLATE(B95, ""en"", ""hi"")"),"ढोल खेल में कॉर्नर किक का उद्देश्य क्या है?")</f>
        <v>ढोल खेल में कॉर्नर किक का उद्देश्य क्या है?</v>
      </c>
      <c r="H95" s="5" t="str">
        <f>IFERROR(__xludf.DUMMYFUNCTION("GOOGLETRANSLATE(C95, ""en"", ""hi"")"),"A) गेंद के खेल से बाहर जाने के बाद खेल को पुनः शुरू करना, B) गोल देना, C) खिलाड़ियों को प्रतिस्थापित करना, D) विरोधी टीम को दंडित करना")</f>
        <v>A) गेंद के खेल से बाहर जाने के बाद खेल को पुनः शुरू करना, B) गोल देना, C) खिलाड़ियों को प्रतिस्थापित करना, D) विरोधी टीम को दंडित करना</v>
      </c>
      <c r="I95" s="5" t="str">
        <f>IFERROR(__xludf.DUMMYFUNCTION("GOOGLETRANSLATE(D95, ""en"", ""hi"")"),"A) गेंद के खेल से बाहर जाने के बाद खेल को पुनः शुरू करना")</f>
        <v>A) गेंद के खेल से बाहर जाने के बाद खेल को पुनः शुरू करना</v>
      </c>
    </row>
    <row r="96" ht="22.5" customHeight="1">
      <c r="A96" s="2">
        <v>95.0</v>
      </c>
      <c r="B96" s="3" t="s">
        <v>5526</v>
      </c>
      <c r="C96" s="3" t="s">
        <v>5527</v>
      </c>
      <c r="D96" s="3" t="s">
        <v>5528</v>
      </c>
      <c r="F96" s="5" t="str">
        <f>IFERROR(__xludf.DUMMYFUNCTION("GOOGLETRANSLATE(A96, ""en"", ""hi"")"),"95")</f>
        <v>95</v>
      </c>
      <c r="G96" s="5" t="str">
        <f>IFERROR(__xludf.DUMMYFUNCTION("GOOGLETRANSLATE(B96, ""en"", ""hi"")"),"ढोल खेल में फॉरवर्ड खिलाड़ी के लिए कौन सा कौशल महत्वपूर्ण है?")</f>
        <v>ढोल खेल में फॉरवर्ड खिलाड़ी के लिए कौन सा कौशल महत्वपूर्ण है?</v>
      </c>
      <c r="H96" s="5" t="str">
        <f>IFERROR(__xludf.DUMMYFUNCTION("GOOGLETRANSLATE(C96, ""en"", ""hi"")"),"A) स्कोरिंग, B) गोलकीपिंग, C) पासिंग, D) डिफेंडिंग")</f>
        <v>A) स्कोरिंग, B) गोलकीपिंग, C) पासिंग, D) डिफेंडिंग</v>
      </c>
      <c r="I96" s="5" t="str">
        <f>IFERROR(__xludf.DUMMYFUNCTION("GOOGLETRANSLATE(D96, ""en"", ""hi"")"),"ए) स्कोरिंग")</f>
        <v>ए) स्कोरिंग</v>
      </c>
    </row>
    <row r="97" ht="22.5" customHeight="1">
      <c r="A97" s="2">
        <v>96.0</v>
      </c>
      <c r="B97" s="3" t="s">
        <v>5529</v>
      </c>
      <c r="C97" s="3" t="s">
        <v>5530</v>
      </c>
      <c r="D97" s="3" t="s">
        <v>5531</v>
      </c>
      <c r="F97" s="5" t="str">
        <f>IFERROR(__xludf.DUMMYFUNCTION("GOOGLETRANSLATE(A97, ""en"", ""hi"")"),"96")</f>
        <v>96</v>
      </c>
      <c r="G97" s="5" t="str">
        <f>IFERROR(__xludf.DUMMYFUNCTION("GOOGLETRANSLATE(B97, ""en"", ""hi"")"),"ढोल खेल में यदि गेंद गोल लाइन के बाहर चली जाए तो आमतौर पर क्या होता है?")</f>
        <v>ढोल खेल में यदि गेंद गोल लाइन के बाहर चली जाए तो आमतौर पर क्या होता है?</v>
      </c>
      <c r="H97" s="5" t="str">
        <f>IFERROR(__xludf.DUMMYFUNCTION("GOOGLETRANSLATE(C97, ""en"", ""hi"")"),"A) कॉर्नर किक दी जाती है, B) गोल किक दी जाती है, C) खेल रोक दिया जाता है, D) थ्रो-इन दी जाती है")</f>
        <v>A) कॉर्नर किक दी जाती है, B) गोल किक दी जाती है, C) खेल रोक दिया जाता है, D) थ्रो-इन दी जाती है</v>
      </c>
      <c r="I97" s="5" t="str">
        <f>IFERROR(__xludf.DUMMYFUNCTION("GOOGLETRANSLATE(D97, ""en"", ""hi"")"),"B) गोल किक दी जाती है")</f>
        <v>B) गोल किक दी जाती है</v>
      </c>
    </row>
    <row r="98" ht="22.5" customHeight="1">
      <c r="A98" s="2">
        <v>97.0</v>
      </c>
      <c r="B98" s="3" t="s">
        <v>5532</v>
      </c>
      <c r="C98" s="3" t="s">
        <v>5384</v>
      </c>
      <c r="D98" s="3" t="s">
        <v>5385</v>
      </c>
      <c r="F98" s="5" t="str">
        <f>IFERROR(__xludf.DUMMYFUNCTION("GOOGLETRANSLATE(A98, ""en"", ""hi"")"),"97")</f>
        <v>97</v>
      </c>
      <c r="G98" s="5" t="str">
        <f>IFERROR(__xludf.DUMMYFUNCTION("GOOGLETRANSLATE(B98, ""en"", ""hi"")"),"ढोल खेल में आम रक्षात्मक रणनीति क्या है?")</f>
        <v>ढोल खेल में आम रक्षात्मक रणनीति क्या है?</v>
      </c>
      <c r="H98" s="5" t="str">
        <f>IFERROR(__xludf.DUMMYFUNCTION("GOOGLETRANSLATE(C98, ""en"", ""hi"")"),"ए) ज़ोन डिफेंस, बी) मैन-टू-मैन मार्किंग, सी) हाई प्रेसिंग, डी) लो प्रेसिंग")</f>
        <v>ए) ज़ोन डिफेंस, बी) मैन-टू-मैन मार्किंग, सी) हाई प्रेसिंग, डी) लो प्रेसिंग</v>
      </c>
      <c r="I98" s="5" t="str">
        <f>IFERROR(__xludf.DUMMYFUNCTION("GOOGLETRANSLATE(D98, ""en"", ""hi"")"),"बी) मैन-टू-मैन मार्किंग")</f>
        <v>बी) मैन-टू-मैन मार्किंग</v>
      </c>
    </row>
    <row r="99" ht="22.5" customHeight="1">
      <c r="A99" s="2">
        <v>98.0</v>
      </c>
      <c r="B99" s="3" t="s">
        <v>5533</v>
      </c>
      <c r="C99" s="3" t="s">
        <v>5534</v>
      </c>
      <c r="D99" s="3" t="s">
        <v>5535</v>
      </c>
      <c r="F99" s="5" t="str">
        <f>IFERROR(__xludf.DUMMYFUNCTION("GOOGLETRANSLATE(A99, ""en"", ""hi"")"),"98")</f>
        <v>98</v>
      </c>
      <c r="G99" s="5" t="str">
        <f>IFERROR(__xludf.DUMMYFUNCTION("GOOGLETRANSLATE(B99, ""en"", ""hi"")"),"ढोल खेल में पासिंग सटीकता में सुधार के लिए अक्सर कौन सी कार्रवाई की जाती है?")</f>
        <v>ढोल खेल में पासिंग सटीकता में सुधार के लिए अक्सर कौन सी कार्रवाई की जाती है?</v>
      </c>
      <c r="H99" s="5" t="str">
        <f>IFERROR(__xludf.DUMMYFUNCTION("GOOGLETRANSLATE(C99, ""en"", ""hi"")"),"A) लक्ष्य के साथ अभ्यास करना, B) गति बढ़ाना, C) रक्षात्मक अभ्यास, D) गोलकीपिंग अभ्यास")</f>
        <v>A) लक्ष्य के साथ अभ्यास करना, B) गति बढ़ाना, C) रक्षात्मक अभ्यास, D) गोलकीपिंग अभ्यास</v>
      </c>
      <c r="I99" s="5" t="str">
        <f>IFERROR(__xludf.DUMMYFUNCTION("GOOGLETRANSLATE(D99, ""en"", ""hi"")"),"A) लक्ष्य के साथ अभ्यास करना")</f>
        <v>A) लक्ष्य के साथ अभ्यास करना</v>
      </c>
    </row>
    <row r="100" ht="22.5" customHeight="1">
      <c r="A100" s="2">
        <v>99.0</v>
      </c>
      <c r="B100" s="3" t="s">
        <v>5536</v>
      </c>
      <c r="C100" s="3" t="s">
        <v>5537</v>
      </c>
      <c r="D100" s="3" t="s">
        <v>5538</v>
      </c>
      <c r="F100" s="5" t="str">
        <f>IFERROR(__xludf.DUMMYFUNCTION("GOOGLETRANSLATE(A100, ""en"", ""hi"")"),"99")</f>
        <v>99</v>
      </c>
      <c r="G100" s="5" t="str">
        <f>IFERROR(__xludf.DUMMYFUNCTION("GOOGLETRANSLATE(B100, ""en"", ""hi"")"),"ढोल खेल में प्रतिस्थापन आमतौर पर कैसे किया जाता है?")</f>
        <v>ढोल खेल में प्रतिस्थापन आमतौर पर कैसे किया जाता है?</v>
      </c>
      <c r="H100" s="5" t="str">
        <f>IFERROR(__xludf.DUMMYFUNCTION("GOOGLETRANSLATE(C100, ""en"", ""hi"")"),"A) खेल रोककर, B) खेल में बाधा डाले बिना खिलाड़ी को बदलकर, C) फ्री किक देकर, D) टाइमआउट बुलाकर")</f>
        <v>A) खेल रोककर, B) खेल में बाधा डाले बिना खिलाड़ी को बदलकर, C) फ्री किक देकर, D) टाइमआउट बुलाकर</v>
      </c>
      <c r="I100" s="5" t="str">
        <f>IFERROR(__xludf.DUMMYFUNCTION("GOOGLETRANSLATE(D100, ""en"", ""hi"")"),"बी) खेल में बाधा डाले बिना खिलाड़ी को बदलकर")</f>
        <v>बी) खेल में बाधा डाले बिना खिलाड़ी को बदलकर</v>
      </c>
    </row>
    <row r="101" ht="22.5" customHeight="1">
      <c r="A101" s="2">
        <v>100.0</v>
      </c>
      <c r="B101" s="3" t="s">
        <v>5539</v>
      </c>
      <c r="C101" s="3" t="s">
        <v>5457</v>
      </c>
      <c r="D101" s="3" t="s">
        <v>5458</v>
      </c>
      <c r="F101" s="5" t="str">
        <f>IFERROR(__xludf.DUMMYFUNCTION("GOOGLETRANSLATE(A101, ""en"", ""hi"")"),"100")</f>
        <v>100</v>
      </c>
      <c r="G101" s="5" t="str">
        <f>IFERROR(__xludf.DUMMYFUNCTION("GOOGLETRANSLATE(B101, ""en"", ""hi"")"),"ढोल खेल मैच में रेफरी की क्या भूमिका होती है?")</f>
        <v>ढोल खेल मैच में रेफरी की क्या भूमिका होती है?</v>
      </c>
      <c r="H101" s="5" t="str">
        <f>IFERROR(__xludf.DUMMYFUNCTION("GOOGLETRANSLATE(C101, ""en"", ""hi"")"),"A) नियमों को लागू करना और निष्पक्ष खेल सुनिश्चित करना, B) टीमों को प्रशिक्षित करना, C) खेल में भाग लेना, D) गोल करना")</f>
        <v>A) नियमों को लागू करना और निष्पक्ष खेल सुनिश्चित करना, B) टीमों को प्रशिक्षित करना, C) खेल में भाग लेना, D) गोल करना</v>
      </c>
      <c r="I101" s="5" t="str">
        <f>IFERROR(__xludf.DUMMYFUNCTION("GOOGLETRANSLATE(D101, ""en"", ""hi"")"),"A) नियमों को लागू करना और निष्पक्ष खेल सुनिश्चित करना")</f>
        <v>A) नियमों को लागू करना और निष्पक्ष खेल सुनिश्चित करना</v>
      </c>
    </row>
    <row r="102" ht="22.5" customHeight="1">
      <c r="A102" s="2">
        <v>101.0</v>
      </c>
      <c r="B102" s="3" t="s">
        <v>5540</v>
      </c>
      <c r="C102" s="3" t="s">
        <v>5541</v>
      </c>
      <c r="D102" s="3" t="s">
        <v>5542</v>
      </c>
      <c r="F102" s="5" t="str">
        <f>IFERROR(__xludf.DUMMYFUNCTION("GOOGLETRANSLATE(A102, ""en"", ""hi"")"),"101")</f>
        <v>101</v>
      </c>
      <c r="G102" s="5" t="str">
        <f>IFERROR(__xludf.DUMMYFUNCTION("GOOGLETRANSLATE(B102, ""en"", ""hi"")"),"ढोल खेल में किसी टीम की रक्षात्मक रणनीति को बेहतर बनाने का सामान्य तरीका क्या है?")</f>
        <v>ढोल खेल में किसी टीम की रक्षात्मक रणनीति को बेहतर बनाने का सामान्य तरीका क्या है?</v>
      </c>
      <c r="H102" s="5" t="str">
        <f>IFERROR(__xludf.DUMMYFUNCTION("GOOGLETRANSLATE(C102, ""en"", ""hi"")"),"ए) ज़ोन डिफेंस का अभ्यास करना, बी) आक्रामक अभ्यास बढ़ाना, सी) स्कोरिंग तकनीकों पर ध्यान केंद्रित करना, डी) पिछले मैच देखना")</f>
        <v>ए) ज़ोन डिफेंस का अभ्यास करना, बी) आक्रामक अभ्यास बढ़ाना, सी) स्कोरिंग तकनीकों पर ध्यान केंद्रित करना, डी) पिछले मैच देखना</v>
      </c>
      <c r="I102" s="5" t="str">
        <f>IFERROR(__xludf.DUMMYFUNCTION("GOOGLETRANSLATE(D102, ""en"", ""hi"")"),"A) ज़ोन डिफेंस का अभ्यास करना")</f>
        <v>A) ज़ोन डिफेंस का अभ्यास करना</v>
      </c>
    </row>
    <row r="103" ht="22.5" customHeight="1">
      <c r="A103" s="2">
        <v>102.0</v>
      </c>
      <c r="B103" s="3" t="s">
        <v>5543</v>
      </c>
      <c r="C103" s="3" t="s">
        <v>5544</v>
      </c>
      <c r="D103" s="3" t="s">
        <v>5302</v>
      </c>
      <c r="F103" s="5" t="str">
        <f>IFERROR(__xludf.DUMMYFUNCTION("GOOGLETRANSLATE(A103, ""en"", ""hi"")"),"102")</f>
        <v>102</v>
      </c>
      <c r="G103" s="5" t="str">
        <f>IFERROR(__xludf.DUMMYFUNCTION("GOOGLETRANSLATE(B103, ""en"", ""hi"")"),"ढोल खेल में कौन सी स्थिति आक्रामक खेलों में सबसे अधिक शामिल है?")</f>
        <v>ढोल खेल में कौन सी स्थिति आक्रामक खेलों में सबसे अधिक शामिल है?</v>
      </c>
      <c r="H103" s="5" t="str">
        <f>IFERROR(__xludf.DUMMYFUNCTION("GOOGLETRANSLATE(C103, ""en"", ""hi"")"),"A) फॉरवर्ड, B) डिफेंडर, C) मिडफील्डर, D) गोलकीपर")</f>
        <v>A) फॉरवर्ड, B) डिफेंडर, C) मिडफील्डर, D) गोलकीपर</v>
      </c>
      <c r="I103" s="5" t="str">
        <f>IFERROR(__xludf.DUMMYFUNCTION("GOOGLETRANSLATE(D103, ""en"", ""hi"")"),"ए) आगे")</f>
        <v>ए) आगे</v>
      </c>
    </row>
    <row r="104" ht="22.5" customHeight="1">
      <c r="A104" s="2">
        <v>103.0</v>
      </c>
      <c r="B104" s="3" t="s">
        <v>5545</v>
      </c>
      <c r="C104" s="3" t="s">
        <v>5546</v>
      </c>
      <c r="D104" s="3" t="s">
        <v>5547</v>
      </c>
      <c r="F104" s="5" t="str">
        <f>IFERROR(__xludf.DUMMYFUNCTION("GOOGLETRANSLATE(A104, ""en"", ""hi"")"),"103")</f>
        <v>103</v>
      </c>
      <c r="G104" s="5" t="str">
        <f>IFERROR(__xludf.DUMMYFUNCTION("GOOGLETRANSLATE(B104, ""en"", ""hi"")"),"ढोल खेल में थ्रो-इन की सामान्य दूरी कितनी होती है?")</f>
        <v>ढोल खेल में थ्रो-इन की सामान्य दूरी कितनी होती है?</v>
      </c>
      <c r="H104" s="5" t="str">
        <f>IFERROR(__xludf.DUMMYFUNCTION("GOOGLETRANSLATE(C104, ""en"", ""hi"")"),"A) 5 मीटर, B) 7 मीटर, C) 9 मीटर, D) 10 मीटर")</f>
        <v>A) 5 मीटर, B) 7 मीटर, C) 9 मीटर, D) 10 मीटर</v>
      </c>
      <c r="I104" s="5" t="str">
        <f>IFERROR(__xludf.DUMMYFUNCTION("GOOGLETRANSLATE(D104, ""en"", ""hi"")"),"ए) 5 मीटर")</f>
        <v>ए) 5 मीटर</v>
      </c>
    </row>
    <row r="105" ht="22.5" customHeight="1">
      <c r="A105" s="2">
        <v>104.0</v>
      </c>
      <c r="B105" s="3" t="s">
        <v>5548</v>
      </c>
      <c r="C105" s="3" t="s">
        <v>5549</v>
      </c>
      <c r="D105" s="3" t="s">
        <v>5475</v>
      </c>
      <c r="F105" s="5" t="str">
        <f>IFERROR(__xludf.DUMMYFUNCTION("GOOGLETRANSLATE(A105, ""en"", ""hi"")"),"104")</f>
        <v>104</v>
      </c>
      <c r="G105" s="5" t="str">
        <f>IFERROR(__xludf.DUMMYFUNCTION("GOOGLETRANSLATE(B105, ""en"", ""hi"")"),"ढोल खेल गोलकीपर के लिए महत्वपूर्ण कौशल क्या है?")</f>
        <v>ढोल खेल गोलकीपर के लिए महत्वपूर्ण कौशल क्या है?</v>
      </c>
      <c r="H105" s="5" t="str">
        <f>IFERROR(__xludf.DUMMYFUNCTION("GOOGLETRANSLATE(C105, ""en"", ""hi"")"),"A) शॉट रोकना, B) गोल करना, C) गेंद पास करना, D) ड्रिब्लिंग")</f>
        <v>A) शॉट रोकना, B) गोल करना, C) गेंद पास करना, D) ड्रिब्लिंग</v>
      </c>
      <c r="I105" s="5" t="str">
        <f>IFERROR(__xludf.DUMMYFUNCTION("GOOGLETRANSLATE(D105, ""en"", ""hi"")"),"A) शॉट्स को ब्लॉक करना")</f>
        <v>A) शॉट्स को ब्लॉक करना</v>
      </c>
    </row>
    <row r="106" ht="22.5" customHeight="1">
      <c r="A106" s="2">
        <v>105.0</v>
      </c>
      <c r="B106" s="3" t="s">
        <v>5550</v>
      </c>
      <c r="C106" s="3" t="s">
        <v>5551</v>
      </c>
      <c r="D106" s="3" t="s">
        <v>5552</v>
      </c>
      <c r="F106" s="5" t="str">
        <f>IFERROR(__xludf.DUMMYFUNCTION("GOOGLETRANSLATE(A106, ""en"", ""hi"")"),"105")</f>
        <v>105</v>
      </c>
      <c r="G106" s="5" t="str">
        <f>IFERROR(__xludf.DUMMYFUNCTION("GOOGLETRANSLATE(B106, ""en"", ""hi"")"),"ढोल खेल में आमतौर पर किस क्रिया को गोल किक से पुरस्कृत किया जाता है?")</f>
        <v>ढोल खेल में आमतौर पर किस क्रिया को गोल किक से पुरस्कृत किया जाता है?</v>
      </c>
      <c r="H106" s="5" t="str">
        <f>IFERROR(__xludf.DUMMYFUNCTION("GOOGLETRANSLATE(C106, ""en"", ""hi"")"),"A) गेंद का गोल लाइन के बाहर जाना, B) गोल करना, C) फ़ाउल करना, D) सफल पास")</f>
        <v>A) गेंद का गोल लाइन के बाहर जाना, B) गोल करना, C) फ़ाउल करना, D) सफल पास</v>
      </c>
      <c r="I106" s="5" t="str">
        <f>IFERROR(__xludf.DUMMYFUNCTION("GOOGLETRANSLATE(D106, ""en"", ""hi"")"),"A) गेंद का गोल लाइन के पार सीमा से बाहर जाना")</f>
        <v>A) गेंद का गोल लाइन के पार सीमा से बाहर जाना</v>
      </c>
    </row>
    <row r="107" ht="22.5" customHeight="1">
      <c r="A107" s="2">
        <v>106.0</v>
      </c>
      <c r="B107" s="3" t="s">
        <v>5468</v>
      </c>
      <c r="C107" s="3" t="s">
        <v>5553</v>
      </c>
      <c r="D107" s="3" t="s">
        <v>5470</v>
      </c>
      <c r="F107" s="5" t="str">
        <f>IFERROR(__xludf.DUMMYFUNCTION("GOOGLETRANSLATE(A107, ""en"", ""hi"")"),"106")</f>
        <v>106</v>
      </c>
      <c r="G107" s="5" t="str">
        <f>IFERROR(__xludf.DUMMYFUNCTION("GOOGLETRANSLATE(B107, ""en"", ""hi"")"),"ढोल खेल में पेनल्टी किक कैसे दी जाती है?")</f>
        <v>ढोल खेल में पेनल्टी किक कैसे दी जाती है?</v>
      </c>
      <c r="H107" s="5" t="str">
        <f>IFERROR(__xludf.DUMMYFUNCTION("GOOGLETRANSLATE(C107, ""en"", ""hi"")"),"A) गोल क्षेत्र के भीतर गंभीर फ़ाउल के लिए, B) सफल पास के लिए, C) गोल करने के लिए, D) आउट-ऑफ़-बाउंड थ्रो के लिए")</f>
        <v>A) गोल क्षेत्र के भीतर गंभीर फ़ाउल के लिए, B) सफल पास के लिए, C) गोल करने के लिए, D) आउट-ऑफ़-बाउंड थ्रो के लिए</v>
      </c>
      <c r="I107" s="5" t="str">
        <f>IFERROR(__xludf.DUMMYFUNCTION("GOOGLETRANSLATE(D107, ""en"", ""hi"")"),"A) गोल क्षेत्र के भीतर गंभीर फ़ाउल के लिए")</f>
        <v>A) गोल क्षेत्र के भीतर गंभीर फ़ाउल के लिए</v>
      </c>
    </row>
    <row r="108" ht="22.5" customHeight="1">
      <c r="A108" s="2">
        <v>107.0</v>
      </c>
      <c r="B108" s="3" t="s">
        <v>5554</v>
      </c>
      <c r="C108" s="3" t="s">
        <v>5518</v>
      </c>
      <c r="D108" s="3" t="s">
        <v>5519</v>
      </c>
      <c r="F108" s="5" t="str">
        <f>IFERROR(__xludf.DUMMYFUNCTION("GOOGLETRANSLATE(A108, ""en"", ""hi"")"),"107")</f>
        <v>107</v>
      </c>
      <c r="G108" s="5" t="str">
        <f>IFERROR(__xludf.DUMMYFUNCTION("GOOGLETRANSLATE(B108, ""en"", ""hi"")"),"जब गेंद साइडलाइन पर सीमा से बाहर चली जाती है तो खेल को पुनः शुरू करने के लिए आमतौर पर कौन सी कार्रवाई की जाती है?")</f>
        <v>जब गेंद साइडलाइन पर सीमा से बाहर चली जाती है तो खेल को पुनः शुरू करने के लिए आमतौर पर कौन सी कार्रवाई की जाती है?</v>
      </c>
      <c r="H108" s="5" t="str">
        <f>IFERROR(__xludf.DUMMYFUNCTION("GOOGLETRANSLATE(C108, ""en"", ""hi"")"),"A) थ्रो-इन, B) गोल किक, C) कॉर्नर किक, D) फ्री किक")</f>
        <v>A) थ्रो-इन, B) गोल किक, C) कॉर्नर किक, D) फ्री किक</v>
      </c>
      <c r="I108" s="5" t="str">
        <f>IFERROR(__xludf.DUMMYFUNCTION("GOOGLETRANSLATE(D108, ""en"", ""hi"")"),"ए) थ्रो-इन")</f>
        <v>ए) थ्रो-इन</v>
      </c>
    </row>
    <row r="109" ht="22.5" customHeight="1">
      <c r="A109" s="2">
        <v>108.0</v>
      </c>
      <c r="B109" s="3" t="s">
        <v>5555</v>
      </c>
      <c r="C109" s="3" t="s">
        <v>5556</v>
      </c>
      <c r="D109" s="3" t="s">
        <v>5455</v>
      </c>
      <c r="F109" s="5" t="str">
        <f>IFERROR(__xludf.DUMMYFUNCTION("GOOGLETRANSLATE(A109, ""en"", ""hi"")"),"108")</f>
        <v>108</v>
      </c>
      <c r="G109" s="5" t="str">
        <f>IFERROR(__xludf.DUMMYFUNCTION("GOOGLETRANSLATE(B109, ""en"", ""hi"")"),"ढोल खेल में टीम समन्वय को बेहतर बनाने के लिए एक सामान्य रणनीति क्या है?")</f>
        <v>ढोल खेल में टीम समन्वय को बेहतर बनाने के लिए एक सामान्य रणनीति क्या है?</v>
      </c>
      <c r="H109" s="5" t="str">
        <f>IFERROR(__xludf.DUMMYFUNCTION("GOOGLETRANSLATE(C109, ""en"", ""hi"")"),"A) नियमित अभ्यास सत्र, B) व्यक्तिगत खेल समय में वृद्धि, C) टीम मीटिंग में कमी, D) रक्षात्मक अभ्यास पर ध्यान केंद्रित करना")</f>
        <v>A) नियमित अभ्यास सत्र, B) व्यक्तिगत खेल समय में वृद्धि, C) टीम मीटिंग में कमी, D) रक्षात्मक अभ्यास पर ध्यान केंद्रित करना</v>
      </c>
      <c r="I109" s="5" t="str">
        <f>IFERROR(__xludf.DUMMYFUNCTION("GOOGLETRANSLATE(D109, ""en"", ""hi"")"),"ए) नियमित अभ्यास सत्र")</f>
        <v>ए) नियमित अभ्यास सत्र</v>
      </c>
    </row>
    <row r="110" ht="22.5" customHeight="1">
      <c r="A110" s="2">
        <v>109.0</v>
      </c>
      <c r="B110" s="3" t="s">
        <v>5557</v>
      </c>
      <c r="C110" s="3" t="s">
        <v>5544</v>
      </c>
      <c r="D110" s="3" t="s">
        <v>5302</v>
      </c>
      <c r="F110" s="5" t="str">
        <f>IFERROR(__xludf.DUMMYFUNCTION("GOOGLETRANSLATE(A110, ""en"", ""hi"")"),"109")</f>
        <v>109</v>
      </c>
      <c r="G110" s="5" t="str">
        <f>IFERROR(__xludf.DUMMYFUNCTION("GOOGLETRANSLATE(B110, ""en"", ""hi"")"),"ढोल खेल में गोल करने के लिए मुख्य रूप से कौन सी स्थिति जिम्मेदार है?")</f>
        <v>ढोल खेल में गोल करने के लिए मुख्य रूप से कौन सी स्थिति जिम्मेदार है?</v>
      </c>
      <c r="H110" s="5" t="str">
        <f>IFERROR(__xludf.DUMMYFUNCTION("GOOGLETRANSLATE(C110, ""en"", ""hi"")"),"A) फॉरवर्ड, B) डिफेंडर, C) मिडफील्डर, D) गोलकीपर")</f>
        <v>A) फॉरवर्ड, B) डिफेंडर, C) मिडफील्डर, D) गोलकीपर</v>
      </c>
      <c r="I110" s="5" t="str">
        <f>IFERROR(__xludf.DUMMYFUNCTION("GOOGLETRANSLATE(D110, ""en"", ""hi"")"),"ए) आगे")</f>
        <v>ए) आगे</v>
      </c>
    </row>
    <row r="111" ht="22.5" customHeight="1">
      <c r="A111" s="2">
        <v>110.0</v>
      </c>
      <c r="B111" s="3" t="s">
        <v>5558</v>
      </c>
      <c r="C111" s="3" t="s">
        <v>5448</v>
      </c>
      <c r="D111" s="3" t="s">
        <v>5449</v>
      </c>
      <c r="F111" s="5" t="str">
        <f>IFERROR(__xludf.DUMMYFUNCTION("GOOGLETRANSLATE(A111, ""en"", ""hi"")"),"110")</f>
        <v>110</v>
      </c>
      <c r="G111" s="5" t="str">
        <f>IFERROR(__xludf.DUMMYFUNCTION("GOOGLETRANSLATE(B111, ""en"", ""hi"")"),"ढोल खेल में अच्छी रक्षा बनाए रखने का मुख्य कारक क्या है?")</f>
        <v>ढोल खेल में अच्छी रक्षा बनाए रखने का मुख्य कारक क्या है?</v>
      </c>
      <c r="H111" s="5" t="str">
        <f>IFERROR(__xludf.DUMMYFUNCTION("GOOGLETRANSLATE(C111, ""en"", ""hi"")"),"A) प्रतिद्वंद्वी की चालों का पूर्वानुमान, B) आक्रामक खेल, C) गोल करना, D) तेज़ गति वाले पास")</f>
        <v>A) प्रतिद्वंद्वी की चालों का पूर्वानुमान, B) आक्रामक खेल, C) गोल करना, D) तेज़ गति वाले पास</v>
      </c>
      <c r="I111" s="5" t="str">
        <f>IFERROR(__xludf.DUMMYFUNCTION("GOOGLETRANSLATE(D111, ""en"", ""hi"")"),"A) प्रतिद्वंद्वी की चालों का पूर्वानुमान")</f>
        <v>A) प्रतिद्वंद्वी की चालों का पूर्वानुमान</v>
      </c>
    </row>
    <row r="112" ht="22.5" customHeight="1">
      <c r="A112" s="2">
        <v>111.0</v>
      </c>
      <c r="B112" s="3" t="s">
        <v>5559</v>
      </c>
      <c r="C112" s="3" t="s">
        <v>5560</v>
      </c>
      <c r="D112" s="3" t="s">
        <v>5561</v>
      </c>
      <c r="F112" s="5" t="str">
        <f>IFERROR(__xludf.DUMMYFUNCTION("GOOGLETRANSLATE(A112, ""en"", ""hi"")"),"111")</f>
        <v>111</v>
      </c>
      <c r="G112" s="5" t="str">
        <f>IFERROR(__xludf.DUMMYFUNCTION("GOOGLETRANSLATE(B112, ""en"", ""hi"")"),"ढोल खेल में, बहुत अधिक फ़ाउल जमा होने का परिणाम आमतौर पर क्या होता है?")</f>
        <v>ढोल खेल में, बहुत अधिक फ़ाउल जमा होने का परिणाम आमतौर पर क्या होता है?</v>
      </c>
      <c r="H112" s="5" t="str">
        <f>IFERROR(__xludf.DUMMYFUNCTION("GOOGLETRANSLATE(C112, ""en"", ""hi"")"),"A) मैच से अयोग्य घोषित करना, B) विरोधी टीम को गोल देना, C) चेतावनी प्राप्त करना, D) खेल को रोकना")</f>
        <v>A) मैच से अयोग्य घोषित करना, B) विरोधी टीम को गोल देना, C) चेतावनी प्राप्त करना, D) खेल को रोकना</v>
      </c>
      <c r="I112" s="5" t="str">
        <f>IFERROR(__xludf.DUMMYFUNCTION("GOOGLETRANSLATE(D112, ""en"", ""hi"")"),"A) मैच से अयोग्यता")</f>
        <v>A) मैच से अयोग्यता</v>
      </c>
    </row>
    <row r="113" ht="22.5" customHeight="1">
      <c r="A113" s="2">
        <v>112.0</v>
      </c>
      <c r="B113" s="3" t="s">
        <v>5562</v>
      </c>
      <c r="C113" s="3" t="s">
        <v>5476</v>
      </c>
      <c r="D113" s="3" t="s">
        <v>5377</v>
      </c>
      <c r="F113" s="5" t="str">
        <f>IFERROR(__xludf.DUMMYFUNCTION("GOOGLETRANSLATE(A113, ""en"", ""hi"")"),"112")</f>
        <v>112</v>
      </c>
      <c r="G113" s="5" t="str">
        <f>IFERROR(__xludf.DUMMYFUNCTION("GOOGLETRANSLATE(B113, ""en"", ""hi"")"),"निम्नलिखित में से कौन सा ढोल खेल में प्रतिस्थापन का एक सामान्य कारण है?")</f>
        <v>निम्नलिखित में से कौन सा ढोल खेल में प्रतिस्थापन का एक सामान्य कारण है?</v>
      </c>
      <c r="H113" s="5" t="str">
        <f>IFERROR(__xludf.DUMMYFUNCTION("GOOGLETRANSLATE(C113, ""en"", ""hi"")"),"A) चोट, B) सामरिक परिवर्तन, C) खिलाड़ी की थकान, D) उपरोक्त सभी")</f>
        <v>A) चोट, B) सामरिक परिवर्तन, C) खिलाड़ी की थकान, D) उपरोक्त सभी</v>
      </c>
      <c r="I113" s="5" t="str">
        <f>IFERROR(__xludf.DUMMYFUNCTION("GOOGLETRANSLATE(D113, ""en"", ""hi"")"),"D। उपरोक्त सभी")</f>
        <v>D। उपरोक्त सभी</v>
      </c>
    </row>
    <row r="114" ht="22.5" customHeight="1">
      <c r="A114" s="2">
        <v>113.0</v>
      </c>
      <c r="B114" s="3" t="s">
        <v>5563</v>
      </c>
      <c r="C114" s="3" t="s">
        <v>5564</v>
      </c>
      <c r="D114" s="3" t="s">
        <v>5565</v>
      </c>
      <c r="F114" s="5" t="str">
        <f>IFERROR(__xludf.DUMMYFUNCTION("GOOGLETRANSLATE(A114, ""en"", ""hi"")"),"113")</f>
        <v>113</v>
      </c>
      <c r="G114" s="5" t="str">
        <f>IFERROR(__xludf.DUMMYFUNCTION("GOOGLETRANSLATE(B114, ""en"", ""hi"")"),"ढोल खेल में फ्री किक का उद्देश्य क्या है?")</f>
        <v>ढोल खेल में फ्री किक का उद्देश्य क्या है?</v>
      </c>
      <c r="H114" s="5" t="str">
        <f>IFERROR(__xludf.DUMMYFUNCTION("GOOGLETRANSLATE(C114, ""en"", ""hi"")"),"A) मामूली फ़ाउल के बाद खेल को पुनः शुरू करना, B) गोल देना, C) खिलाड़ियों को प्रतिस्थापित करना, D) विरोधी टीम को दंडित करना")</f>
        <v>A) मामूली फ़ाउल के बाद खेल को पुनः शुरू करना, B) गोल देना, C) खिलाड़ियों को प्रतिस्थापित करना, D) विरोधी टीम को दंडित करना</v>
      </c>
      <c r="I114" s="5" t="str">
        <f>IFERROR(__xludf.DUMMYFUNCTION("GOOGLETRANSLATE(D114, ""en"", ""hi"")"),"A) मामूली फ़ाउल के बाद खेल को पुनः शुरू करना")</f>
        <v>A) मामूली फ़ाउल के बाद खेल को पुनः शुरू करना</v>
      </c>
    </row>
    <row r="115" ht="22.5" customHeight="1">
      <c r="A115" s="2">
        <v>114.0</v>
      </c>
      <c r="B115" s="3" t="s">
        <v>5438</v>
      </c>
      <c r="C115" s="3" t="s">
        <v>5439</v>
      </c>
      <c r="D115" s="3" t="s">
        <v>5440</v>
      </c>
      <c r="F115" s="5" t="str">
        <f>IFERROR(__xludf.DUMMYFUNCTION("GOOGLETRANSLATE(A115, ""en"", ""hi"")"),"114")</f>
        <v>114</v>
      </c>
      <c r="G115" s="5" t="str">
        <f>IFERROR(__xludf.DUMMYFUNCTION("GOOGLETRANSLATE(B115, ""en"", ""hi"")"),"ढोल खेल में गोल का जश्न आमतौर पर कैसे मनाया जाता है?")</f>
        <v>ढोल खेल में गोल का जश्न आमतौर पर कैसे मनाया जाता है?</v>
      </c>
      <c r="H115" s="5" t="str">
        <f>IFERROR(__xludf.DUMMYFUNCTION("GOOGLETRANSLATE(C115, ""en"", ""hi"")"),"A) टीम के एकत्रित होने से, B) खिलाड़ी के नाचने से, C) खेल में एक छोटे विराम से, D) रेफरी द्वारा गोल का संकेत देने से")</f>
        <v>A) टीम के एकत्रित होने से, B) खिलाड़ी के नाचने से, C) खेल में एक छोटे विराम से, D) रेफरी द्वारा गोल का संकेत देने से</v>
      </c>
      <c r="I115" s="5" t="str">
        <f>IFERROR(__xludf.DUMMYFUNCTION("GOOGLETRANSLATE(D115, ""en"", ""hi"")"),"A) एक टीम के साथ मिलकर")</f>
        <v>A) एक टीम के साथ मिलकर</v>
      </c>
    </row>
    <row r="116" ht="22.5" customHeight="1">
      <c r="A116" s="2">
        <v>115.0</v>
      </c>
      <c r="B116" s="3" t="s">
        <v>5566</v>
      </c>
      <c r="C116" s="3" t="s">
        <v>5442</v>
      </c>
      <c r="D116" s="3" t="s">
        <v>5443</v>
      </c>
      <c r="F116" s="5" t="str">
        <f>IFERROR(__xludf.DUMMYFUNCTION("GOOGLETRANSLATE(A116, ""en"", ""hi"")"),"115")</f>
        <v>115</v>
      </c>
      <c r="G116" s="5" t="str">
        <f>IFERROR(__xludf.DUMMYFUNCTION("GOOGLETRANSLATE(B116, ""en"", ""hi"")"),"ढोल खेल में किस क्रिया के लिए प्रायः दण्ड दिया जाता है?")</f>
        <v>ढोल खेल में किस क्रिया के लिए प्रायः दण्ड दिया जाता है?</v>
      </c>
      <c r="H116" s="5" t="str">
        <f>IFERROR(__xludf.DUMMYFUNCTION("GOOGLETRANSLATE(C116, ""en"", ""hi"")"),"A) विरोधियों को ड्रिबल करते हुए, B) गोल करना, C) गेंद को बहुत देर तक रोके रखना, D) सटीक पास देना")</f>
        <v>A) विरोधियों को ड्रिबल करते हुए, B) गोल करना, C) गेंद को बहुत देर तक रोके रखना, D) सटीक पास देना</v>
      </c>
      <c r="I116" s="5" t="str">
        <f>IFERROR(__xludf.DUMMYFUNCTION("GOOGLETRANSLATE(D116, ""en"", ""hi"")"),"C) गेंद को बहुत देर तक पकड़े रखना")</f>
        <v>C) गेंद को बहुत देर तक पकड़े रखना</v>
      </c>
    </row>
    <row r="117" ht="22.5" customHeight="1">
      <c r="A117" s="2">
        <v>116.0</v>
      </c>
      <c r="B117" s="3" t="s">
        <v>5567</v>
      </c>
      <c r="C117" s="3" t="s">
        <v>5427</v>
      </c>
      <c r="D117" s="3" t="s">
        <v>5428</v>
      </c>
      <c r="F117" s="5" t="str">
        <f>IFERROR(__xludf.DUMMYFUNCTION("GOOGLETRANSLATE(A117, ""en"", ""hi"")"),"116")</f>
        <v>116</v>
      </c>
      <c r="G117" s="5" t="str">
        <f>IFERROR(__xludf.DUMMYFUNCTION("GOOGLETRANSLATE(B117, ""en"", ""hi"")"),"ढोल खेल में सटीकता सुधारने का सामान्य तरीका क्या है?")</f>
        <v>ढोल खेल में सटीकता सुधारने का सामान्य तरीका क्या है?</v>
      </c>
      <c r="H117" s="5" t="str">
        <f>IFERROR(__xludf.DUMMYFUNCTION("GOOGLETRANSLATE(C117, ""en"", ""hi"")"),"A) लक्ष्य के साथ अभ्यास करना, B) गति बढ़ाना, C) रक्षात्मक अभ्यास, D) टीम रणनीतियाँ")</f>
        <v>A) लक्ष्य के साथ अभ्यास करना, B) गति बढ़ाना, C) रक्षात्मक अभ्यास, D) टीम रणनीतियाँ</v>
      </c>
      <c r="I117" s="5" t="str">
        <f>IFERROR(__xludf.DUMMYFUNCTION("GOOGLETRANSLATE(D117, ""en"", ""hi"")"),"A) लक्ष्य के साथ अभ्यास करना")</f>
        <v>A) लक्ष्य के साथ अभ्यास करना</v>
      </c>
    </row>
    <row r="118" ht="22.5" customHeight="1">
      <c r="A118" s="2">
        <v>117.0</v>
      </c>
      <c r="B118" s="3" t="s">
        <v>5568</v>
      </c>
      <c r="C118" s="3" t="s">
        <v>5463</v>
      </c>
      <c r="D118" s="3" t="s">
        <v>5464</v>
      </c>
      <c r="F118" s="5" t="str">
        <f>IFERROR(__xludf.DUMMYFUNCTION("GOOGLETRANSLATE(A118, ""en"", ""hi"")"),"117")</f>
        <v>117</v>
      </c>
      <c r="G118" s="5" t="str">
        <f>IFERROR(__xludf.DUMMYFUNCTION("GOOGLETRANSLATE(B118, ""en"", ""hi"")"),"ढोल खेल में, यदि खेल बराबरी पर समाप्त हो जाए तो आमतौर पर क्या होता है?")</f>
        <v>ढोल खेल में, यदि खेल बराबरी पर समाप्त हो जाए तो आमतौर पर क्या होता है?</v>
      </c>
      <c r="H118" s="5" t="str">
        <f>IFERROR(__xludf.DUMMYFUNCTION("GOOGLETRANSLATE(C118, ""en"", ""hi"")"),"A) मैच पुनः खेला जाता है, B) सबसे कम फ़ाउल वाली टीम जीत जाती है, C) खेल अतिरिक्त समय या पेनल्टी शूटआउट में चला जाता है, D) दोनों टीमों को विजेता घोषित कर दिया जाता है")</f>
        <v>A) मैच पुनः खेला जाता है, B) सबसे कम फ़ाउल वाली टीम जीत जाती है, C) खेल अतिरिक्त समय या पेनल्टी शूटआउट में चला जाता है, D) दोनों टीमों को विजेता घोषित कर दिया जाता है</v>
      </c>
      <c r="I118" s="5" t="str">
        <f>IFERROR(__xludf.DUMMYFUNCTION("GOOGLETRANSLATE(D118, ""en"", ""hi"")"),"C) खेल अतिरिक्त समय या पेनल्टी शूटआउट तक जाता है")</f>
        <v>C) खेल अतिरिक्त समय या पेनल्टी शूटआउट तक जाता है</v>
      </c>
    </row>
    <row r="119" ht="22.5" customHeight="1">
      <c r="A119" s="2">
        <v>118.0</v>
      </c>
      <c r="B119" s="3" t="s">
        <v>5432</v>
      </c>
      <c r="C119" s="3" t="s">
        <v>5433</v>
      </c>
      <c r="D119" s="3" t="s">
        <v>5434</v>
      </c>
      <c r="F119" s="5" t="str">
        <f>IFERROR(__xludf.DUMMYFUNCTION("GOOGLETRANSLATE(A119, ""en"", ""hi"")"),"118")</f>
        <v>118</v>
      </c>
      <c r="G119" s="5" t="str">
        <f>IFERROR(__xludf.DUMMYFUNCTION("GOOGLETRANSLATE(B119, ""en"", ""hi"")"),"ढोल खेल टूर्नामेंट में टाई से निपटने के लिए सामान्य प्रथा क्या है?")</f>
        <v>ढोल खेल टूर्नामेंट में टाई से निपटने के लिए सामान्य प्रथा क्या है?</v>
      </c>
      <c r="H119" s="5" t="str">
        <f>IFERROR(__xludf.DUMMYFUNCTION("GOOGLETRANSLATE(C119, ""en"", ""hi"")"),"A) मैच पुनः खेलना, B) कम फ़ाउल वाली टीम को मैच देना, C) पेनल्टी शूटआउट आयोजित करना, D) दोनों टीमों को विजेता घोषित करना")</f>
        <v>A) मैच पुनः खेलना, B) कम फ़ाउल वाली टीम को मैच देना, C) पेनल्टी शूटआउट आयोजित करना, D) दोनों टीमों को विजेता घोषित करना</v>
      </c>
      <c r="I119" s="5" t="str">
        <f>IFERROR(__xludf.DUMMYFUNCTION("GOOGLETRANSLATE(D119, ""en"", ""hi"")"),"C) पेनल्टी शूटआउट आयोजित करें")</f>
        <v>C) पेनल्टी शूटआउट आयोजित करें</v>
      </c>
    </row>
    <row r="120" ht="22.5" customHeight="1">
      <c r="A120" s="2">
        <v>119.0</v>
      </c>
      <c r="B120" s="3" t="s">
        <v>5569</v>
      </c>
      <c r="C120" s="3" t="s">
        <v>5570</v>
      </c>
      <c r="D120" s="3" t="s">
        <v>5571</v>
      </c>
      <c r="F120" s="5" t="str">
        <f>IFERROR(__xludf.DUMMYFUNCTION("GOOGLETRANSLATE(A120, ""en"", ""hi"")"),"119")</f>
        <v>119</v>
      </c>
      <c r="G120" s="5" t="str">
        <f>IFERROR(__xludf.DUMMYFUNCTION("GOOGLETRANSLATE(B120, ""en"", ""hi"")"),"निम्नलिखित में से कौन सा एक सफल ढोल खेल खेल योजना का प्रमुख पहलू है?")</f>
        <v>निम्नलिखित में से कौन सा एक सफल ढोल खेल खेल योजना का प्रमुख पहलू है?</v>
      </c>
      <c r="H120" s="5" t="str">
        <f>IFERROR(__xludf.DUMMYFUNCTION("GOOGLETRANSLATE(C120, ""en"", ""hi"")"),"A) प्रतिद्वंद्वियों की रणनीतियों का विश्लेषण करना, B) व्यक्तिगत कौशल का अभ्यास करना, C) शारीरिक प्रशिक्षण पर ध्यान केंद्रित करना, D) रेफरी के साथ चर्चा करना")</f>
        <v>A) प्रतिद्वंद्वियों की रणनीतियों का विश्लेषण करना, B) व्यक्तिगत कौशल का अभ्यास करना, C) शारीरिक प्रशिक्षण पर ध्यान केंद्रित करना, D) रेफरी के साथ चर्चा करना</v>
      </c>
      <c r="I120" s="5" t="str">
        <f>IFERROR(__xludf.DUMMYFUNCTION("GOOGLETRANSLATE(D120, ""en"", ""hi"")"),"A) विरोधियों की रणनीतियों का विश्लेषण करना")</f>
        <v>A) विरोधियों की रणनीतियों का विश्लेषण करना</v>
      </c>
    </row>
    <row r="121" ht="22.5" customHeight="1">
      <c r="A121" s="2">
        <v>120.0</v>
      </c>
      <c r="B121" s="3" t="s">
        <v>5572</v>
      </c>
      <c r="C121" s="3" t="s">
        <v>5460</v>
      </c>
      <c r="D121" s="3" t="s">
        <v>5461</v>
      </c>
      <c r="F121" s="5" t="str">
        <f>IFERROR(__xludf.DUMMYFUNCTION("GOOGLETRANSLATE(A121, ""en"", ""hi"")"),"120")</f>
        <v>120</v>
      </c>
      <c r="G121" s="5" t="str">
        <f>IFERROR(__xludf.DUMMYFUNCTION("GOOGLETRANSLATE(B121, ""en"", ""hi"")"),"ढोल खेल में, किसी मैच में सर्वश्रेष्ठ खिलाड़ी का निर्धारण आमतौर पर किससे होता है?")</f>
        <v>ढोल खेल में, किसी मैच में सर्वश्रेष्ठ खिलाड़ी का निर्धारण आमतौर पर किससे होता है?</v>
      </c>
      <c r="H121" s="5" t="str">
        <f>IFERROR(__xludf.DUMMYFUNCTION("GOOGLETRANSLATE(C121, ""en"", ""hi"")"),"A) बनाए गए गोलों की संख्या, B) सहायताओं की संख्या, C) रक्षात्मक खेलों की संख्या, D) खेल में समग्र योगदान")</f>
        <v>A) बनाए गए गोलों की संख्या, B) सहायताओं की संख्या, C) रक्षात्मक खेलों की संख्या, D) खेल में समग्र योगदान</v>
      </c>
      <c r="I121" s="5" t="str">
        <f>IFERROR(__xludf.DUMMYFUNCTION("GOOGLETRANSLATE(D121, ""en"", ""hi"")"),"D) खेल में समग्र योगदान")</f>
        <v>D) खेल में समग्र योगदान</v>
      </c>
    </row>
    <row r="122" ht="22.5" customHeight="1">
      <c r="A122" s="2">
        <v>121.0</v>
      </c>
      <c r="B122" s="3" t="s">
        <v>5573</v>
      </c>
      <c r="C122" s="3" t="s">
        <v>5436</v>
      </c>
      <c r="D122" s="3" t="s">
        <v>5437</v>
      </c>
      <c r="F122" s="5" t="str">
        <f>IFERROR(__xludf.DUMMYFUNCTION("GOOGLETRANSLATE(A122, ""en"", ""hi"")"),"121")</f>
        <v>121</v>
      </c>
      <c r="G122" s="5" t="str">
        <f>IFERROR(__xludf.DUMMYFUNCTION("GOOGLETRANSLATE(B122, ""en"", ""hi"")"),"ढोल खेल में स्कोरिंग की मानक विधि क्या है?")</f>
        <v>ढोल खेल में स्कोरिंग की मानक विधि क्या है?</v>
      </c>
      <c r="H122" s="5" t="str">
        <f>IFERROR(__xludf.DUMMYFUNCTION("GOOGLETRANSLATE(C122, ""en"", ""hi"")"),"A) गेंद को गोलपोस्ट के बीच से गुजार कर, B) गेंद को सीमा से बाहर मारकर, C) गेंद को गोल क्षेत्र में पकड़कर, D) सफल पैंतरेबाजी करके")</f>
        <v>A) गेंद को गोलपोस्ट के बीच से गुजार कर, B) गेंद को सीमा से बाहर मारकर, C) गेंद को गोल क्षेत्र में पकड़कर, D) सफल पैंतरेबाजी करके</v>
      </c>
      <c r="I122" s="5" t="str">
        <f>IFERROR(__xludf.DUMMYFUNCTION("GOOGLETRANSLATE(D122, ""en"", ""hi"")"),"A) गेंद को गोलपोस्ट के बीच से पास करके")</f>
        <v>A) गेंद को गोलपोस्ट के बीच से पास करके</v>
      </c>
    </row>
    <row r="123" ht="22.5" customHeight="1">
      <c r="A123" s="2">
        <v>122.0</v>
      </c>
      <c r="B123" s="3" t="s">
        <v>5574</v>
      </c>
      <c r="C123" s="3" t="s">
        <v>5451</v>
      </c>
      <c r="D123" s="3" t="s">
        <v>5452</v>
      </c>
      <c r="F123" s="5" t="str">
        <f>IFERROR(__xludf.DUMMYFUNCTION("GOOGLETRANSLATE(A123, ""en"", ""hi"")"),"122")</f>
        <v>122</v>
      </c>
      <c r="G123" s="5" t="str">
        <f>IFERROR(__xludf.DUMMYFUNCTION("GOOGLETRANSLATE(B123, ""en"", ""hi"")"),"ढोल खेल में आमतौर पर सफल खेल योजना कैसे विकसित की जाती है?")</f>
        <v>ढोल खेल में आमतौर पर सफल खेल योजना कैसे विकसित की जाती है?</v>
      </c>
      <c r="H123" s="5" t="str">
        <f>IFERROR(__xludf.DUMMYFUNCTION("GOOGLETRANSLATE(C123, ""en"", ""hi"")"),"A) विरोधियों की रणनीतियों का विश्लेषण करके, B) व्यक्तिगत कौशल का अभ्यास करके, C) शारीरिक प्रशिक्षण पर ध्यान केंद्रित करके, D) रेफरी के साथ चर्चा करके")</f>
        <v>A) विरोधियों की रणनीतियों का विश्लेषण करके, B) व्यक्तिगत कौशल का अभ्यास करके, C) शारीरिक प्रशिक्षण पर ध्यान केंद्रित करके, D) रेफरी के साथ चर्चा करके</v>
      </c>
      <c r="I123" s="5" t="str">
        <f>IFERROR(__xludf.DUMMYFUNCTION("GOOGLETRANSLATE(D123, ""en"", ""hi"")"),"A) विरोधियों की रणनीतियों का विश्लेषण करके")</f>
        <v>A) विरोधियों की रणनीतियों का विश्लेषण करके</v>
      </c>
    </row>
    <row r="124" ht="22.5" customHeight="1">
      <c r="A124" s="2">
        <v>123.0</v>
      </c>
      <c r="B124" s="3" t="s">
        <v>5465</v>
      </c>
      <c r="C124" s="3" t="s">
        <v>5466</v>
      </c>
      <c r="D124" s="3" t="s">
        <v>5467</v>
      </c>
      <c r="F124" s="5" t="str">
        <f>IFERROR(__xludf.DUMMYFUNCTION("GOOGLETRANSLATE(A124, ""en"", ""hi"")"),"123")</f>
        <v>123</v>
      </c>
      <c r="G124" s="5" t="str">
        <f>IFERROR(__xludf.DUMMYFUNCTION("GOOGLETRANSLATE(B124, ""en"", ""hi"")"),"ढोल खेल मैदान की मानक विशेषता क्या है?")</f>
        <v>ढोल खेल मैदान की मानक विशेषता क्या है?</v>
      </c>
      <c r="H124" s="5" t="str">
        <f>IFERROR(__xludf.DUMMYFUNCTION("GOOGLETRANSLATE(C124, ""en"", ""hi"")"),"A) समतल एवं समतल सतह, B) ढलान वाली सतह, C) जलभराव वाली सतह, D) असमान भूभाग")</f>
        <v>A) समतल एवं समतल सतह, B) ढलान वाली सतह, C) जलभराव वाली सतह, D) असमान भूभाग</v>
      </c>
      <c r="I124" s="5" t="str">
        <f>IFERROR(__xludf.DUMMYFUNCTION("GOOGLETRANSLATE(D124, ""en"", ""hi"")"),"A) समतल और समतल सतह")</f>
        <v>A) समतल और समतल सतह</v>
      </c>
    </row>
    <row r="125" ht="22.5" customHeight="1">
      <c r="A125" s="2">
        <v>124.0</v>
      </c>
      <c r="B125" s="3" t="s">
        <v>5575</v>
      </c>
      <c r="C125" s="3" t="s">
        <v>5576</v>
      </c>
      <c r="D125" s="3" t="s">
        <v>5577</v>
      </c>
      <c r="F125" s="5" t="str">
        <f>IFERROR(__xludf.DUMMYFUNCTION("GOOGLETRANSLATE(A125, ""en"", ""hi"")"),"124")</f>
        <v>124</v>
      </c>
      <c r="G125" s="5" t="str">
        <f>IFERROR(__xludf.DUMMYFUNCTION("GOOGLETRANSLATE(B125, ""en"", ""hi"")"),"ढोल खेल में मिडफील्डर की क्या भूमिका होती है?")</f>
        <v>ढोल खेल में मिडफील्डर की क्या भूमिका होती है?</v>
      </c>
      <c r="H125" s="5" t="str">
        <f>IFERROR(__xludf.DUMMYFUNCTION("GOOGLETRANSLATE(C125, ""en"", ""hi"")"),"A) स्कोरिंग के अवसर पैदा करना, B) आक्रामक खेलों को रोकना, C) गोल करना, D) नियमों को लागू करना")</f>
        <v>A) स्कोरिंग के अवसर पैदा करना, B) आक्रामक खेलों को रोकना, C) गोल करना, D) नियमों को लागू करना</v>
      </c>
      <c r="I125" s="5" t="str">
        <f>IFERROR(__xludf.DUMMYFUNCTION("GOOGLETRANSLATE(D125, ""en"", ""hi"")"),"A) स्कोरिंग के अवसर पैदा करना")</f>
        <v>A) स्कोरिंग के अवसर पैदा करना</v>
      </c>
    </row>
    <row r="126" ht="22.5" customHeight="1">
      <c r="A126" s="2">
        <v>125.0</v>
      </c>
      <c r="B126" s="3" t="s">
        <v>5578</v>
      </c>
      <c r="C126" s="3" t="s">
        <v>5546</v>
      </c>
      <c r="D126" s="3" t="s">
        <v>5547</v>
      </c>
      <c r="F126" s="5" t="str">
        <f>IFERROR(__xludf.DUMMYFUNCTION("GOOGLETRANSLATE(A126, ""en"", ""hi"")"),"125")</f>
        <v>125</v>
      </c>
      <c r="G126" s="5" t="str">
        <f>IFERROR(__xludf.DUMMYFUNCTION("GOOGLETRANSLATE(B126, ""en"", ""hi"")"),"ढोल खेल में थ्रो-इन की सामान्य दूरी कितनी होती है?")</f>
        <v>ढोल खेल में थ्रो-इन की सामान्य दूरी कितनी होती है?</v>
      </c>
      <c r="H126" s="5" t="str">
        <f>IFERROR(__xludf.DUMMYFUNCTION("GOOGLETRANSLATE(C126, ""en"", ""hi"")"),"A) 5 मीटर, B) 7 मीटर, C) 9 मीटर, D) 10 मीटर")</f>
        <v>A) 5 मीटर, B) 7 मीटर, C) 9 मीटर, D) 10 मीटर</v>
      </c>
      <c r="I126" s="5" t="str">
        <f>IFERROR(__xludf.DUMMYFUNCTION("GOOGLETRANSLATE(D126, ""en"", ""hi"")"),"ए) 5 मीटर")</f>
        <v>ए) 5 मीटर</v>
      </c>
    </row>
    <row r="127" ht="22.5" customHeight="1">
      <c r="A127" s="2">
        <v>126.0</v>
      </c>
      <c r="B127" s="3" t="s">
        <v>5429</v>
      </c>
      <c r="C127" s="3" t="s">
        <v>5430</v>
      </c>
      <c r="D127" s="3" t="s">
        <v>5431</v>
      </c>
      <c r="F127" s="5" t="str">
        <f>IFERROR(__xludf.DUMMYFUNCTION("GOOGLETRANSLATE(A127, ""en"", ""hi"")"),"126")</f>
        <v>126</v>
      </c>
      <c r="G127" s="5" t="str">
        <f>IFERROR(__xludf.DUMMYFUNCTION("GOOGLETRANSLATE(B127, ""en"", ""hi"")"),"ढोल खेल में खिलाड़ियों की फिटनेस सुनिश्चित करने के लिए सामान्य पद्धति क्या है?")</f>
        <v>ढोल खेल में खिलाड़ियों की फिटनेस सुनिश्चित करने के लिए सामान्य पद्धति क्या है?</v>
      </c>
      <c r="H127" s="5" t="str">
        <f>IFERROR(__xludf.DUMMYFUNCTION("GOOGLETRANSLATE(C127, ""en"", ""hi"")"),"A) नियमित शारीरिक प्रशिक्षण, B) पिछले मैचों के वीडियो देखना, C) कम बार खेलना, D) तीव्र अभ्यास से बचना")</f>
        <v>A) नियमित शारीरिक प्रशिक्षण, B) पिछले मैचों के वीडियो देखना, C) कम बार खेलना, D) तीव्र अभ्यास से बचना</v>
      </c>
      <c r="I127" s="5" t="str">
        <f>IFERROR(__xludf.DUMMYFUNCTION("GOOGLETRANSLATE(D127, ""en"", ""hi"")"),"ए) नियमित शारीरिक प्रशिक्षण")</f>
        <v>ए) नियमित शारीरिक प्रशिक्षण</v>
      </c>
    </row>
    <row r="128" ht="22.5" customHeight="1">
      <c r="A128" s="2">
        <v>127.0</v>
      </c>
      <c r="B128" s="3" t="s">
        <v>5480</v>
      </c>
      <c r="C128" s="3" t="s">
        <v>5481</v>
      </c>
      <c r="D128" s="3" t="s">
        <v>5482</v>
      </c>
      <c r="F128" s="5" t="str">
        <f>IFERROR(__xludf.DUMMYFUNCTION("GOOGLETRANSLATE(A128, ""en"", ""hi"")"),"127")</f>
        <v>127</v>
      </c>
      <c r="G128" s="5" t="str">
        <f>IFERROR(__xludf.DUMMYFUNCTION("GOOGLETRANSLATE(B128, ""en"", ""hi"")"),"ढोल खेल टीम के कप्तान की भूमिका क्या है?")</f>
        <v>ढोल खेल टीम के कप्तान की भूमिका क्या है?</v>
      </c>
      <c r="H128" s="5" t="str">
        <f>IFERROR(__xludf.DUMMYFUNCTION("GOOGLETRANSLATE(C128, ""en"", ""hi"")"),"A) टीम का नेतृत्व करना और रणनीतिक निर्णय लेना, B) मैच में रेफरी करना, C) सबसे अधिक गोल करना, D) खिलाड़ियों को स्थानापन्न करना")</f>
        <v>A) टीम का नेतृत्व करना और रणनीतिक निर्णय लेना, B) मैच में रेफरी करना, C) सबसे अधिक गोल करना, D) खिलाड़ियों को स्थानापन्न करना</v>
      </c>
      <c r="I128" s="5" t="str">
        <f>IFERROR(__xludf.DUMMYFUNCTION("GOOGLETRANSLATE(D128, ""en"", ""hi"")"),"A) टीम का नेतृत्व करना और रणनीतिक निर्णय लेना")</f>
        <v>A) टीम का नेतृत्व करना और रणनीतिक निर्णय लेना</v>
      </c>
    </row>
    <row r="129" ht="22.5" customHeight="1">
      <c r="A129" s="2">
        <v>128.0</v>
      </c>
      <c r="B129" s="3" t="s">
        <v>5477</v>
      </c>
      <c r="C129" s="3" t="s">
        <v>5478</v>
      </c>
      <c r="D129" s="3" t="s">
        <v>5479</v>
      </c>
      <c r="F129" s="5" t="str">
        <f>IFERROR(__xludf.DUMMYFUNCTION("GOOGLETRANSLATE(A129, ""en"", ""hi"")"),"128")</f>
        <v>128</v>
      </c>
      <c r="G129" s="5" t="str">
        <f>IFERROR(__xludf.DUMMYFUNCTION("GOOGLETRANSLATE(B129, ""en"", ""hi"")"),"ढोल खेल में निम्नलिखित में से कौन सा कार्य अवैध माना जाता है?")</f>
        <v>ढोल खेल में निम्नलिखित में से कौन सा कार्य अवैध माना जाता है?</v>
      </c>
      <c r="H129" s="5" t="str">
        <f>IFERROR(__xludf.DUMMYFUNCTION("GOOGLETRANSLATE(C129, ""en"", ""hi"")"),"A) आक्रामक ब्लॉकिंग, B) गोल करना, C) विरोधियों को ड्रिबल करना, D) गेंद को पकड़ना")</f>
        <v>A) आक्रामक ब्लॉकिंग, B) गोल करना, C) विरोधियों को ड्रिबल करना, D) गेंद को पकड़ना</v>
      </c>
      <c r="I129" s="5" t="str">
        <f>IFERROR(__xludf.DUMMYFUNCTION("GOOGLETRANSLATE(D129, ""en"", ""hi"")"),"A) आक्रामक अवरोधन")</f>
        <v>A) आक्रामक अवरोधन</v>
      </c>
    </row>
    <row r="130" ht="22.5" customHeight="1">
      <c r="A130" s="2">
        <v>129.0</v>
      </c>
      <c r="B130" s="3" t="s">
        <v>5579</v>
      </c>
      <c r="C130" s="3" t="s">
        <v>5580</v>
      </c>
      <c r="D130" s="3" t="s">
        <v>5581</v>
      </c>
      <c r="F130" s="5" t="str">
        <f>IFERROR(__xludf.DUMMYFUNCTION("GOOGLETRANSLATE(A130, ""en"", ""hi"")"),"129")</f>
        <v>129</v>
      </c>
      <c r="G130" s="5" t="str">
        <f>IFERROR(__xludf.DUMMYFUNCTION("GOOGLETRANSLATE(B130, ""en"", ""hi"")"),"ढोल खेल में गोल किक का उद्देश्य क्या है?")</f>
        <v>ढोल खेल में गोल किक का उद्देश्य क्या है?</v>
      </c>
      <c r="H130" s="5" t="str">
        <f>IFERROR(__xludf.DUMMYFUNCTION("GOOGLETRANSLATE(C130, ""en"", ""hi"")"),"A) गेंद के गोल लाइन से बाहर जाने के बाद खेल को पुनः शुरू करना, B) गोल करना, C) खिलाड़ियों को प्रतिस्थापित करना, D) विरोधी टीम को दंडित करना")</f>
        <v>A) गेंद के गोल लाइन से बाहर जाने के बाद खेल को पुनः शुरू करना, B) गोल करना, C) खिलाड़ियों को प्रतिस्थापित करना, D) विरोधी टीम को दंडित करना</v>
      </c>
      <c r="I130" s="5" t="str">
        <f>IFERROR(__xludf.DUMMYFUNCTION("GOOGLETRANSLATE(D130, ""en"", ""hi"")"),"A) गेंद के गोल लाइन से बाहर चले जाने के बाद खेल को पुनः शुरू करना")</f>
        <v>A) गेंद के गोल लाइन से बाहर चले जाने के बाद खेल को पुनः शुरू करना</v>
      </c>
    </row>
    <row r="131" ht="22.5" customHeight="1">
      <c r="A131" s="2">
        <v>130.0</v>
      </c>
      <c r="B131" s="3" t="s">
        <v>5582</v>
      </c>
      <c r="C131" s="3" t="s">
        <v>5583</v>
      </c>
      <c r="D131" s="3" t="s">
        <v>5584</v>
      </c>
      <c r="F131" s="5" t="str">
        <f>IFERROR(__xludf.DUMMYFUNCTION("GOOGLETRANSLATE(A131, ""en"", ""hi"")"),"130")</f>
        <v>130</v>
      </c>
      <c r="G131" s="5" t="str">
        <f>IFERROR(__xludf.DUMMYFUNCTION("GOOGLETRANSLATE(B131, ""en"", ""hi"")"),"यदि कोई टीम ढोल खेल में बहुत अधिक फ़ाउल कर ले तो आमतौर पर क्या होता है?")</f>
        <v>यदि कोई टीम ढोल खेल में बहुत अधिक फ़ाउल कर ले तो आमतौर पर क्या होता है?</v>
      </c>
      <c r="H131" s="5" t="str">
        <f>IFERROR(__xludf.DUMMYFUNCTION("GOOGLETRANSLATE(C131, ""en"", ""hi"")"),"A) टीम को मैच से अयोग्य घोषित कर दिया जाता है, B) विरोधी टीम को एक गोल दिया जाता है, C) टीम को चेतावनी दी जाती है, D) खेल रोक दिया जाता है")</f>
        <v>A) टीम को मैच से अयोग्य घोषित कर दिया जाता है, B) विरोधी टीम को एक गोल दिया जाता है, C) टीम को चेतावनी दी जाती है, D) खेल रोक दिया जाता है</v>
      </c>
      <c r="I131" s="5" t="str">
        <f>IFERROR(__xludf.DUMMYFUNCTION("GOOGLETRANSLATE(D131, ""en"", ""hi"")"),"A) टीम को मैच से अयोग्य घोषित कर दिया गया है")</f>
        <v>A) टीम को मैच से अयोग्य घोषित कर दिया गया है</v>
      </c>
    </row>
    <row r="132" ht="22.5" customHeight="1">
      <c r="A132" s="2">
        <v>131.0</v>
      </c>
      <c r="B132" s="3" t="s">
        <v>5450</v>
      </c>
      <c r="C132" s="3" t="s">
        <v>5451</v>
      </c>
      <c r="D132" s="3" t="s">
        <v>5452</v>
      </c>
      <c r="F132" s="5" t="str">
        <f>IFERROR(__xludf.DUMMYFUNCTION("GOOGLETRANSLATE(A132, ""en"", ""hi"")"),"131")</f>
        <v>131</v>
      </c>
      <c r="G132" s="5" t="str">
        <f>IFERROR(__xludf.DUMMYFUNCTION("GOOGLETRANSLATE(B132, ""en"", ""hi"")"),"आमतौर पर ढोल खेल की सफल योजना कैसे बनाई जाती है?")</f>
        <v>आमतौर पर ढोल खेल की सफल योजना कैसे बनाई जाती है?</v>
      </c>
      <c r="H132" s="5" t="str">
        <f>IFERROR(__xludf.DUMMYFUNCTION("GOOGLETRANSLATE(C132, ""en"", ""hi"")"),"A) विरोधियों की रणनीतियों का विश्लेषण करके, B) व्यक्तिगत कौशल का अभ्यास करके, C) शारीरिक प्रशिक्षण पर ध्यान केंद्रित करके, D) रेफरी के साथ चर्चा करके")</f>
        <v>A) विरोधियों की रणनीतियों का विश्लेषण करके, B) व्यक्तिगत कौशल का अभ्यास करके, C) शारीरिक प्रशिक्षण पर ध्यान केंद्रित करके, D) रेफरी के साथ चर्चा करके</v>
      </c>
      <c r="I132" s="5" t="str">
        <f>IFERROR(__xludf.DUMMYFUNCTION("GOOGLETRANSLATE(D132, ""en"", ""hi"")"),"A) विरोधियों की रणनीतियों का विश्लेषण करके")</f>
        <v>A) विरोधियों की रणनीतियों का विश्लेषण करके</v>
      </c>
    </row>
    <row r="133" ht="22.5" customHeight="1">
      <c r="A133" s="2">
        <v>132.0</v>
      </c>
      <c r="B133" s="3" t="s">
        <v>5585</v>
      </c>
      <c r="C133" s="3" t="s">
        <v>5518</v>
      </c>
      <c r="D133" s="3" t="s">
        <v>5519</v>
      </c>
      <c r="F133" s="5" t="str">
        <f>IFERROR(__xludf.DUMMYFUNCTION("GOOGLETRANSLATE(A133, ""en"", ""hi"")"),"132")</f>
        <v>132</v>
      </c>
      <c r="G133" s="5" t="str">
        <f>IFERROR(__xludf.DUMMYFUNCTION("GOOGLETRANSLATE(B133, ""en"", ""hi"")"),"ढोल खेल में गेंद के सीमा रेखा से बाहर चले जाने के बाद खेल को पुनः शुरू करने के लिए आम तौर पर कौन सी कार्रवाई की जाती है?")</f>
        <v>ढोल खेल में गेंद के सीमा रेखा से बाहर चले जाने के बाद खेल को पुनः शुरू करने के लिए आम तौर पर कौन सी कार्रवाई की जाती है?</v>
      </c>
      <c r="H133" s="5" t="str">
        <f>IFERROR(__xludf.DUMMYFUNCTION("GOOGLETRANSLATE(C133, ""en"", ""hi"")"),"A) थ्रो-इन, B) गोल किक, C) कॉर्नर किक, D) फ्री किक")</f>
        <v>A) थ्रो-इन, B) गोल किक, C) कॉर्नर किक, D) फ्री किक</v>
      </c>
      <c r="I133" s="5" t="str">
        <f>IFERROR(__xludf.DUMMYFUNCTION("GOOGLETRANSLATE(D133, ""en"", ""hi"")"),"ए) थ्रो-इन")</f>
        <v>ए) थ्रो-इन</v>
      </c>
    </row>
    <row r="134" ht="22.5" customHeight="1">
      <c r="A134" s="2">
        <v>133.0</v>
      </c>
      <c r="B134" s="3" t="s">
        <v>5548</v>
      </c>
      <c r="C134" s="3" t="s">
        <v>5549</v>
      </c>
      <c r="D134" s="3" t="s">
        <v>5475</v>
      </c>
      <c r="F134" s="5" t="str">
        <f>IFERROR(__xludf.DUMMYFUNCTION("GOOGLETRANSLATE(A134, ""en"", ""hi"")"),"133")</f>
        <v>133</v>
      </c>
      <c r="G134" s="5" t="str">
        <f>IFERROR(__xludf.DUMMYFUNCTION("GOOGLETRANSLATE(B134, ""en"", ""hi"")"),"ढोल खेल गोलकीपर के लिए महत्वपूर्ण कौशल क्या है?")</f>
        <v>ढोल खेल गोलकीपर के लिए महत्वपूर्ण कौशल क्या है?</v>
      </c>
      <c r="H134" s="5" t="str">
        <f>IFERROR(__xludf.DUMMYFUNCTION("GOOGLETRANSLATE(C134, ""en"", ""hi"")"),"A) शॉट रोकना, B) गोल करना, C) गेंद पास करना, D) ड्रिब्लिंग")</f>
        <v>A) शॉट रोकना, B) गोल करना, C) गेंद पास करना, D) ड्रिब्लिंग</v>
      </c>
      <c r="I134" s="5" t="str">
        <f>IFERROR(__xludf.DUMMYFUNCTION("GOOGLETRANSLATE(D134, ""en"", ""hi"")"),"A) शॉट्स को ब्लॉक करना")</f>
        <v>A) शॉट्स को ब्लॉक करना</v>
      </c>
    </row>
    <row r="135" ht="22.5" customHeight="1">
      <c r="A135" s="2">
        <v>134.0</v>
      </c>
      <c r="B135" s="3" t="s">
        <v>5432</v>
      </c>
      <c r="C135" s="3" t="s">
        <v>5433</v>
      </c>
      <c r="D135" s="3" t="s">
        <v>5434</v>
      </c>
      <c r="F135" s="5" t="str">
        <f>IFERROR(__xludf.DUMMYFUNCTION("GOOGLETRANSLATE(A135, ""en"", ""hi"")"),"134")</f>
        <v>134</v>
      </c>
      <c r="G135" s="5" t="str">
        <f>IFERROR(__xludf.DUMMYFUNCTION("GOOGLETRANSLATE(B135, ""en"", ""hi"")"),"ढोल खेल टूर्नामेंट में टाई से निपटने के लिए सामान्य प्रथा क्या है?")</f>
        <v>ढोल खेल टूर्नामेंट में टाई से निपटने के लिए सामान्य प्रथा क्या है?</v>
      </c>
      <c r="H135" s="5" t="str">
        <f>IFERROR(__xludf.DUMMYFUNCTION("GOOGLETRANSLATE(C135, ""en"", ""hi"")"),"A) मैच पुनः खेलना, B) कम फ़ाउल वाली टीम को मैच देना, C) पेनल्टी शूटआउट आयोजित करना, D) दोनों टीमों को विजेता घोषित करना")</f>
        <v>A) मैच पुनः खेलना, B) कम फ़ाउल वाली टीम को मैच देना, C) पेनल्टी शूटआउट आयोजित करना, D) दोनों टीमों को विजेता घोषित करना</v>
      </c>
      <c r="I135" s="5" t="str">
        <f>IFERROR(__xludf.DUMMYFUNCTION("GOOGLETRANSLATE(D135, ""en"", ""hi"")"),"C) पेनल्टी शूटआउट आयोजित करें")</f>
        <v>C) पेनल्टी शूटआउट आयोजित करें</v>
      </c>
    </row>
    <row r="136" ht="22.5" customHeight="1">
      <c r="A136" s="2">
        <v>135.0</v>
      </c>
      <c r="B136" s="3" t="s">
        <v>5586</v>
      </c>
      <c r="C136" s="3" t="s">
        <v>5518</v>
      </c>
      <c r="D136" s="3" t="s">
        <v>5519</v>
      </c>
      <c r="F136" s="5" t="str">
        <f>IFERROR(__xludf.DUMMYFUNCTION("GOOGLETRANSLATE(A136, ""en"", ""hi"")"),"135")</f>
        <v>135</v>
      </c>
      <c r="G136" s="5" t="str">
        <f>IFERROR(__xludf.DUMMYFUNCTION("GOOGLETRANSLATE(B136, ""en"", ""hi"")"),"ढोल खेल में, गेंद को साइडलाइन से बाहर निकाल देने के बाद खेल को पुनः शुरू करने के लिए निम्नलिखित में से किसका उपयोग किया जाता है?")</f>
        <v>ढोल खेल में, गेंद को साइडलाइन से बाहर निकाल देने के बाद खेल को पुनः शुरू करने के लिए निम्नलिखित में से किसका उपयोग किया जाता है?</v>
      </c>
      <c r="H136" s="5" t="str">
        <f>IFERROR(__xludf.DUMMYFUNCTION("GOOGLETRANSLATE(C136, ""en"", ""hi"")"),"A) थ्रो-इन, B) गोल किक, C) कॉर्नर किक, D) फ्री किक")</f>
        <v>A) थ्रो-इन, B) गोल किक, C) कॉर्नर किक, D) फ्री किक</v>
      </c>
      <c r="I136" s="5" t="str">
        <f>IFERROR(__xludf.DUMMYFUNCTION("GOOGLETRANSLATE(D136, ""en"", ""hi"")"),"ए) थ्रो-इन")</f>
        <v>ए) थ्रो-इन</v>
      </c>
    </row>
    <row r="137" ht="22.5" customHeight="1">
      <c r="A137" s="2">
        <v>136.0</v>
      </c>
      <c r="B137" s="3" t="s">
        <v>5587</v>
      </c>
      <c r="C137" s="3" t="s">
        <v>5588</v>
      </c>
      <c r="D137" s="3" t="s">
        <v>5589</v>
      </c>
      <c r="F137" s="5" t="str">
        <f>IFERROR(__xludf.DUMMYFUNCTION("GOOGLETRANSLATE(A137, ""en"", ""hi"")"),"136")</f>
        <v>136</v>
      </c>
      <c r="G137" s="5" t="str">
        <f>IFERROR(__xludf.DUMMYFUNCTION("GOOGLETRANSLATE(B137, ""en"", ""hi"")"),"एक मानक ढोल खेल मैच में एक हाफ की सामान्य अवधि क्या होती है?")</f>
        <v>एक मानक ढोल खेल मैच में एक हाफ की सामान्य अवधि क्या होती है?</v>
      </c>
      <c r="H137" s="5" t="str">
        <f>IFERROR(__xludf.DUMMYFUNCTION("GOOGLETRANSLATE(C137, ""en"", ""hi"")"),"A) 30 मिनट, B) 45 मिनट, C) 60 मिनट, D) 15 मिनट")</f>
        <v>A) 30 मिनट, B) 45 मिनट, C) 60 मिनट, D) 15 मिनट</v>
      </c>
      <c r="I137" s="5" t="str">
        <f>IFERROR(__xludf.DUMMYFUNCTION("GOOGLETRANSLATE(D137, ""en"", ""hi"")"),"बी) 45 मिनट")</f>
        <v>बी) 45 मिनट</v>
      </c>
    </row>
    <row r="138" ht="22.5" customHeight="1">
      <c r="A138" s="2">
        <v>137.0</v>
      </c>
      <c r="B138" s="3" t="s">
        <v>5590</v>
      </c>
      <c r="C138" s="3" t="s">
        <v>5591</v>
      </c>
      <c r="D138" s="3" t="s">
        <v>5592</v>
      </c>
      <c r="F138" s="5" t="str">
        <f>IFERROR(__xludf.DUMMYFUNCTION("GOOGLETRANSLATE(A138, ""en"", ""hi"")"),"137")</f>
        <v>137</v>
      </c>
      <c r="G138" s="5" t="str">
        <f>IFERROR(__xludf.DUMMYFUNCTION("GOOGLETRANSLATE(B138, ""en"", ""hi"")"),"ढोल खेल में मिडफील्डर के लिए कौन सा कौशल सबसे महत्वपूर्ण है?")</f>
        <v>ढोल खेल में मिडफील्डर के लिए कौन सा कौशल सबसे महत्वपूर्ण है?</v>
      </c>
      <c r="H138" s="5" t="str">
        <f>IFERROR(__xludf.DUMMYFUNCTION("GOOGLETRANSLATE(C138, ""en"", ""hi"")"),"A) पासिंग सटीकता, B) गोलकीपिंग, C) रक्षात्मक अवरोधन, D) गोल स्कोर करना")</f>
        <v>A) पासिंग सटीकता, B) गोलकीपिंग, C) रक्षात्मक अवरोधन, D) गोल स्कोर करना</v>
      </c>
      <c r="I138" s="5" t="str">
        <f>IFERROR(__xludf.DUMMYFUNCTION("GOOGLETRANSLATE(D138, ""en"", ""hi"")"),"A) पासिंग सटीकता")</f>
        <v>A) पासिंग सटीकता</v>
      </c>
    </row>
    <row r="139" ht="22.5" customHeight="1">
      <c r="A139" s="2">
        <v>138.0</v>
      </c>
      <c r="B139" s="3" t="s">
        <v>5593</v>
      </c>
      <c r="C139" s="3" t="s">
        <v>5594</v>
      </c>
      <c r="D139" s="3" t="s">
        <v>5595</v>
      </c>
      <c r="F139" s="5" t="str">
        <f>IFERROR(__xludf.DUMMYFUNCTION("GOOGLETRANSLATE(A139, ""en"", ""hi"")"),"138")</f>
        <v>138</v>
      </c>
      <c r="G139" s="5" t="str">
        <f>IFERROR(__xludf.DUMMYFUNCTION("GOOGLETRANSLATE(B139, ""en"", ""hi"")"),"ढोल खेल में रक्षक की प्राथमिक भूमिका क्या होती है?")</f>
        <v>ढोल खेल में रक्षक की प्राथमिक भूमिका क्या होती है?</v>
      </c>
      <c r="H139" s="5" t="str">
        <f>IFERROR(__xludf.DUMMYFUNCTION("GOOGLETRANSLATE(C139, ""en"", ""hi"")"),"A) विरोधी खिलाड़ियों को रोकना और गोल की रक्षा करना, B) गोल करना, C) पास देना, D) टीम का नेतृत्व करना")</f>
        <v>A) विरोधी खिलाड़ियों को रोकना और गोल की रक्षा करना, B) गोल करना, C) पास देना, D) टीम का नेतृत्व करना</v>
      </c>
      <c r="I139" s="5" t="str">
        <f>IFERROR(__xludf.DUMMYFUNCTION("GOOGLETRANSLATE(D139, ""en"", ""hi"")"),"A) विरोधी खिलाड़ियों को रोकना और गोल की रक्षा करना")</f>
        <v>A) विरोधी खिलाड़ियों को रोकना और गोल की रक्षा करना</v>
      </c>
    </row>
    <row r="140" ht="22.5" customHeight="1">
      <c r="A140" s="2">
        <v>139.0</v>
      </c>
      <c r="B140" s="3" t="s">
        <v>5596</v>
      </c>
      <c r="C140" s="3" t="s">
        <v>5597</v>
      </c>
      <c r="D140" s="3" t="s">
        <v>5598</v>
      </c>
      <c r="F140" s="5" t="str">
        <f>IFERROR(__xludf.DUMMYFUNCTION("GOOGLETRANSLATE(A140, ""en"", ""hi"")"),"139")</f>
        <v>139</v>
      </c>
      <c r="G140" s="5" t="str">
        <f>IFERROR(__xludf.DUMMYFUNCTION("GOOGLETRANSLATE(B140, ""en"", ""hi"")"),"ढोल खेल में पेनल्टी कैसे दी जाती है?")</f>
        <v>ढोल खेल में पेनल्टी कैसे दी जाती है?</v>
      </c>
      <c r="H140" s="5" t="str">
        <f>IFERROR(__xludf.DUMMYFUNCTION("GOOGLETRANSLATE(C140, ""en"", ""hi"")"),"A) पेनल्टी क्षेत्र के अंदर गंभीर फाउल के लिए, B) मामूली फाउल के लिए, C) गोल करने के लिए, D) सफल पास के लिए")</f>
        <v>A) पेनल्टी क्षेत्र के अंदर गंभीर फाउल के लिए, B) मामूली फाउल के लिए, C) गोल करने के लिए, D) सफल पास के लिए</v>
      </c>
      <c r="I140" s="5" t="str">
        <f>IFERROR(__xludf.DUMMYFUNCTION("GOOGLETRANSLATE(D140, ""en"", ""hi"")"),"A) पेनल्टी क्षेत्र के अंदर किए गए गंभीर फाउल के लिए")</f>
        <v>A) पेनल्टी क्षेत्र के अंदर किए गए गंभीर फाउल के लिए</v>
      </c>
    </row>
    <row r="141" ht="22.5" customHeight="1">
      <c r="A141" s="2">
        <v>140.0</v>
      </c>
      <c r="B141" s="3" t="s">
        <v>5599</v>
      </c>
      <c r="C141" s="3" t="s">
        <v>5600</v>
      </c>
      <c r="D141" s="3" t="s">
        <v>5601</v>
      </c>
      <c r="F141" s="5" t="str">
        <f>IFERROR(__xludf.DUMMYFUNCTION("GOOGLETRANSLATE(A141, ""en"", ""hi"")"),"140")</f>
        <v>140</v>
      </c>
      <c r="G141" s="5" t="str">
        <f>IFERROR(__xludf.DUMMYFUNCTION("GOOGLETRANSLATE(B141, ""en"", ""hi"")"),"ढोल खेल में मैच के सर्वश्रेष्ठ खिलाड़ी का निर्धारण करने के लिए आमतौर पर क्या उपयोग किया जाता है?")</f>
        <v>ढोल खेल में मैच के सर्वश्रेष्ठ खिलाड़ी का निर्धारण करने के लिए आमतौर पर क्या उपयोग किया जाता है?</v>
      </c>
      <c r="H141" s="5" t="str">
        <f>IFERROR(__xludf.DUMMYFUNCTION("GOOGLETRANSLATE(C141, ""en"", ""hi"")"),"ए) बनाए गए गोलों की संख्या, बी) सहायताओं की संख्या, सी) समग्र प्रदर्शन और योगदान, डी) किए गए फाउलों की संख्या")</f>
        <v>ए) बनाए गए गोलों की संख्या, बी) सहायताओं की संख्या, सी) समग्र प्रदर्शन और योगदान, डी) किए गए फाउलों की संख्या</v>
      </c>
      <c r="I141" s="5" t="str">
        <f>IFERROR(__xludf.DUMMYFUNCTION("GOOGLETRANSLATE(D141, ""en"", ""hi"")"),"C) समग्र प्रदर्शन और योगदान")</f>
        <v>C) समग्र प्रदर्शन और योगदान</v>
      </c>
    </row>
    <row r="142" ht="22.5" customHeight="1">
      <c r="A142" s="2">
        <v>141.0</v>
      </c>
      <c r="B142" s="3" t="s">
        <v>5602</v>
      </c>
      <c r="C142" s="3" t="s">
        <v>5603</v>
      </c>
      <c r="D142" s="3" t="s">
        <v>5604</v>
      </c>
      <c r="F142" s="5" t="str">
        <f>IFERROR(__xludf.DUMMYFUNCTION("GOOGLETRANSLATE(A142, ""en"", ""hi"")"),"141")</f>
        <v>141</v>
      </c>
      <c r="G142" s="5" t="str">
        <f>IFERROR(__xludf.DUMMYFUNCTION("GOOGLETRANSLATE(B142, ""en"", ""hi"")"),"ढोल खेल में गोल की रक्षा के लिए कौन सी स्थिति जिम्मेदार होती है?")</f>
        <v>ढोल खेल में गोल की रक्षा के लिए कौन सी स्थिति जिम्मेदार होती है?</v>
      </c>
      <c r="H142" s="5" t="str">
        <f>IFERROR(__xludf.DUMMYFUNCTION("GOOGLETRANSLATE(C142, ""en"", ""hi"")"),"A) गोलकीपर, B) फॉरवर्ड, C) मिडफील्डर, D) डिफेंडर")</f>
        <v>A) गोलकीपर, B) फॉरवर्ड, C) मिडफील्डर, D) डिफेंडर</v>
      </c>
      <c r="I142" s="5" t="str">
        <f>IFERROR(__xludf.DUMMYFUNCTION("GOOGLETRANSLATE(D142, ""en"", ""hi"")"),"ए) गोलकीपर")</f>
        <v>ए) गोलकीपर</v>
      </c>
    </row>
    <row r="143" ht="22.5" customHeight="1">
      <c r="A143" s="2">
        <v>142.0</v>
      </c>
      <c r="B143" s="3" t="s">
        <v>5605</v>
      </c>
      <c r="C143" s="3" t="s">
        <v>5606</v>
      </c>
      <c r="D143" s="3" t="s">
        <v>5607</v>
      </c>
      <c r="F143" s="5" t="str">
        <f>IFERROR(__xludf.DUMMYFUNCTION("GOOGLETRANSLATE(A143, ""en"", ""hi"")"),"142")</f>
        <v>142</v>
      </c>
      <c r="G143" s="5" t="str">
        <f>IFERROR(__xludf.DUMMYFUNCTION("GOOGLETRANSLATE(B143, ""en"", ""hi"")"),"ढोल खेल में कॉर्नर किक की क्या भूमिका होती है?")</f>
        <v>ढोल खेल में कॉर्नर किक की क्या भूमिका होती है?</v>
      </c>
      <c r="H143" s="5" t="str">
        <f>IFERROR(__xludf.DUMMYFUNCTION("GOOGLETRANSLATE(C143, ""en"", ""hi"")"),"A) गेंद के गोल लाइन के बाहर जाने के बाद खेल को पुनः शुरू करना, B) गेंद के साइडलाइन के बाहर जाने के बाद खेल को पुनः शुरू करना, C) पेनल्टी देना, D) किसी खिलाड़ी को प्रतिस्थापित करना")</f>
        <v>A) गेंद के गोल लाइन के बाहर जाने के बाद खेल को पुनः शुरू करना, B) गेंद के साइडलाइन के बाहर जाने के बाद खेल को पुनः शुरू करना, C) पेनल्टी देना, D) किसी खिलाड़ी को प्रतिस्थापित करना</v>
      </c>
      <c r="I143" s="5" t="str">
        <f>IFERROR(__xludf.DUMMYFUNCTION("GOOGLETRANSLATE(D143, ""en"", ""hi"")"),"A) गेंद के गोल लाइन से बाहर जाने के बाद खेल को पुनः शुरू करना")</f>
        <v>A) गेंद के गोल लाइन से बाहर जाने के बाद खेल को पुनः शुरू करना</v>
      </c>
    </row>
    <row r="144" ht="22.5" customHeight="1">
      <c r="A144" s="2">
        <v>143.0</v>
      </c>
      <c r="B144" s="3" t="s">
        <v>5608</v>
      </c>
      <c r="C144" s="3" t="s">
        <v>5609</v>
      </c>
      <c r="D144" s="3" t="s">
        <v>5610</v>
      </c>
      <c r="F144" s="5" t="str">
        <f>IFERROR(__xludf.DUMMYFUNCTION("GOOGLETRANSLATE(A144, ""en"", ""hi"")"),"143")</f>
        <v>143</v>
      </c>
      <c r="G144" s="5" t="str">
        <f>IFERROR(__xludf.DUMMYFUNCTION("GOOGLETRANSLATE(B144, ""en"", ""hi"")"),"यदि ढोल खेल का खेल ड्रॉ पर समाप्त होता है तो आमतौर पर क्या कार्रवाई की जाती है?")</f>
        <v>यदि ढोल खेल का खेल ड्रॉ पर समाप्त होता है तो आमतौर पर क्या कार्रवाई की जाती है?</v>
      </c>
      <c r="H144" s="5" t="str">
        <f>IFERROR(__xludf.DUMMYFUNCTION("GOOGLETRANSLATE(C144, ""en"", ""hi"")"),"A) पेनल्टी शूटआउट आयोजित करना, B) कम फ़ाउल वाली टीम को खेल देना, C) मैच को पुनः खेलना, D) दोनों टीमों को विजेता घोषित करना")</f>
        <v>A) पेनल्टी शूटआउट आयोजित करना, B) कम फ़ाउल वाली टीम को खेल देना, C) मैच को पुनः खेलना, D) दोनों टीमों को विजेता घोषित करना</v>
      </c>
      <c r="I144" s="5" t="str">
        <f>IFERROR(__xludf.DUMMYFUNCTION("GOOGLETRANSLATE(D144, ""en"", ""hi"")"),"A) पेनल्टी शूटआउट आयोजित करें")</f>
        <v>A) पेनल्टी शूटआउट आयोजित करें</v>
      </c>
    </row>
    <row r="145" ht="22.5" customHeight="1">
      <c r="A145" s="2">
        <v>144.0</v>
      </c>
      <c r="B145" s="3" t="s">
        <v>5611</v>
      </c>
      <c r="C145" s="3" t="s">
        <v>5612</v>
      </c>
      <c r="D145" s="3" t="s">
        <v>5488</v>
      </c>
      <c r="F145" s="5" t="str">
        <f>IFERROR(__xludf.DUMMYFUNCTION("GOOGLETRANSLATE(A145, ""en"", ""hi"")"),"144")</f>
        <v>144</v>
      </c>
      <c r="G145" s="5" t="str">
        <f>IFERROR(__xludf.DUMMYFUNCTION("GOOGLETRANSLATE(B145, ""en"", ""hi"")"),"ढोल खेल में गेंद पर नियंत्रण सुधारने के लिए कौन सी तकनीक आवश्यक है?")</f>
        <v>ढोल खेल में गेंद पर नियंत्रण सुधारने के लिए कौन सी तकनीक आवश्यक है?</v>
      </c>
      <c r="H145" s="5" t="str">
        <f>IFERROR(__xludf.DUMMYFUNCTION("GOOGLETRANSLATE(C145, ""en"", ""hi"")"),"ए) ड्रिब्लिंग अभ्यास, बी) गोलकीपिंग अभ्यास, सी) पासिंग अभ्यास, डी) रक्षात्मक अभ्यास")</f>
        <v>ए) ड्रिब्लिंग अभ्यास, बी) गोलकीपिंग अभ्यास, सी) पासिंग अभ्यास, डी) रक्षात्मक अभ्यास</v>
      </c>
      <c r="I145" s="5" t="str">
        <f>IFERROR(__xludf.DUMMYFUNCTION("GOOGLETRANSLATE(D145, ""en"", ""hi"")"),"ए) ड्रिब्लिंग अभ्यास")</f>
        <v>ए) ड्रिब्लिंग अभ्यास</v>
      </c>
    </row>
    <row r="146" ht="22.5" customHeight="1">
      <c r="A146" s="2">
        <v>145.0</v>
      </c>
      <c r="B146" s="3" t="s">
        <v>5613</v>
      </c>
      <c r="C146" s="3" t="s">
        <v>5614</v>
      </c>
      <c r="D146" s="3" t="s">
        <v>5615</v>
      </c>
      <c r="F146" s="5" t="str">
        <f>IFERROR(__xludf.DUMMYFUNCTION("GOOGLETRANSLATE(A146, ""en"", ""hi"")"),"145")</f>
        <v>145</v>
      </c>
      <c r="G146" s="5" t="str">
        <f>IFERROR(__xludf.DUMMYFUNCTION("GOOGLETRANSLATE(B146, ""en"", ""hi"")"),"ढोल खेल गोलकीपर के प्रशिक्षण का प्राथमिक फोकस क्या है?")</f>
        <v>ढोल खेल गोलकीपर के प्रशिक्षण का प्राथमिक फोकस क्या है?</v>
      </c>
      <c r="H146" s="5" t="str">
        <f>IFERROR(__xludf.DUMMYFUNCTION("GOOGLETRANSLATE(C146, ""en"", ""hi"")"),"A) शॉट रोकना और गोल बचाना, B) गोल करना, C) गेंद पास करना, D) विरोधियों को पीछे छोड़ते हुए ड्रिबल करना")</f>
        <v>A) शॉट रोकना और गोल बचाना, B) गोल करना, C) गेंद पास करना, D) विरोधियों को पीछे छोड़ते हुए ड्रिबल करना</v>
      </c>
      <c r="I146" s="5" t="str">
        <f>IFERROR(__xludf.DUMMYFUNCTION("GOOGLETRANSLATE(D146, ""en"", ""hi"")"),"A) शॉट रोकना और गोल बचाना")</f>
        <v>A) शॉट रोकना और गोल बचाना</v>
      </c>
    </row>
    <row r="147" ht="22.5" customHeight="1">
      <c r="A147" s="2">
        <v>146.0</v>
      </c>
      <c r="B147" s="3" t="s">
        <v>5616</v>
      </c>
      <c r="C147" s="3" t="s">
        <v>5617</v>
      </c>
      <c r="D147" s="3" t="s">
        <v>5618</v>
      </c>
      <c r="F147" s="5" t="str">
        <f>IFERROR(__xludf.DUMMYFUNCTION("GOOGLETRANSLATE(A147, ""en"", ""hi"")"),"146")</f>
        <v>146</v>
      </c>
      <c r="G147" s="5" t="str">
        <f>IFERROR(__xludf.DUMMYFUNCTION("GOOGLETRANSLATE(B147, ""en"", ""hi"")"),"ढोल खेल में, पेनल्टी क्षेत्र के बाहर किए गए गंभीर फाउल के लिए आमतौर पर क्या पुरस्कार दिया जाता है?")</f>
        <v>ढोल खेल में, पेनल्टी क्षेत्र के बाहर किए गए गंभीर फाउल के लिए आमतौर पर क्या पुरस्कार दिया जाता है?</v>
      </c>
      <c r="H147" s="5" t="str">
        <f>IFERROR(__xludf.DUMMYFUNCTION("GOOGLETRANSLATE(C147, ""en"", ""hi"")"),"A) फ्री किक, B) कॉर्नर किक, C) पेनल्टी किक, D) गोल किक")</f>
        <v>A) फ्री किक, B) कॉर्नर किक, C) पेनल्टी किक, D) गोल किक</v>
      </c>
      <c r="I147" s="5" t="str">
        <f>IFERROR(__xludf.DUMMYFUNCTION("GOOGLETRANSLATE(D147, ""en"", ""hi"")"),"ए) फ्री किक")</f>
        <v>ए) फ्री किक</v>
      </c>
    </row>
    <row r="148" ht="22.5" customHeight="1">
      <c r="A148" s="2">
        <v>147.0</v>
      </c>
      <c r="B148" s="3" t="s">
        <v>5619</v>
      </c>
      <c r="C148" s="3" t="s">
        <v>5620</v>
      </c>
      <c r="D148" s="3" t="s">
        <v>5621</v>
      </c>
      <c r="F148" s="5" t="str">
        <f>IFERROR(__xludf.DUMMYFUNCTION("GOOGLETRANSLATE(A148, ""en"", ""hi"")"),"147")</f>
        <v>147</v>
      </c>
      <c r="G148" s="5" t="str">
        <f>IFERROR(__xludf.DUMMYFUNCTION("GOOGLETRANSLATE(B148, ""en"", ""hi"")"),"ढोल खेल में टीम एकजुटता बढ़ाने के लिए आम प्रथा क्या है?")</f>
        <v>ढोल खेल में टीम एकजुटता बढ़ाने के लिए आम प्रथा क्या है?</v>
      </c>
      <c r="H148" s="5" t="str">
        <f>IFERROR(__xludf.DUMMYFUNCTION("GOOGLETRANSLATE(C148, ""en"", ""hi"")"),"ए) नियमित टीम-निर्माण अभ्यास, बी) व्यक्तिगत प्रशिक्षण सत्र, सी) रिकॉर्ड किए गए खेल देखना, डी) खेल का समय बढ़ाना")</f>
        <v>ए) नियमित टीम-निर्माण अभ्यास, बी) व्यक्तिगत प्रशिक्षण सत्र, सी) रिकॉर्ड किए गए खेल देखना, डी) खेल का समय बढ़ाना</v>
      </c>
      <c r="I148" s="5" t="str">
        <f>IFERROR(__xludf.DUMMYFUNCTION("GOOGLETRANSLATE(D148, ""en"", ""hi"")"),"A) नियमित टीम-निर्माण अभ्यास")</f>
        <v>A) नियमित टीम-निर्माण अभ्यास</v>
      </c>
    </row>
    <row r="149" ht="22.5" customHeight="1">
      <c r="A149" s="2">
        <v>148.0</v>
      </c>
      <c r="B149" s="3" t="s">
        <v>5622</v>
      </c>
      <c r="C149" s="3" t="s">
        <v>5544</v>
      </c>
      <c r="D149" s="3" t="s">
        <v>5623</v>
      </c>
      <c r="F149" s="5" t="str">
        <f>IFERROR(__xludf.DUMMYFUNCTION("GOOGLETRANSLATE(A149, ""en"", ""hi"")"),"148")</f>
        <v>148</v>
      </c>
      <c r="G149" s="5" t="str">
        <f>IFERROR(__xludf.DUMMYFUNCTION("GOOGLETRANSLATE(B149, ""en"", ""hi"")"),"ढोल खेल में आक्रमण शुरू करने के लिए कौन सी स्थिति महत्वपूर्ण है?")</f>
        <v>ढोल खेल में आक्रमण शुरू करने के लिए कौन सी स्थिति महत्वपूर्ण है?</v>
      </c>
      <c r="H149" s="5" t="str">
        <f>IFERROR(__xludf.DUMMYFUNCTION("GOOGLETRANSLATE(C149, ""en"", ""hi"")"),"A) फॉरवर्ड, B) डिफेंडर, C) मिडफील्डर, D) गोलकीपर")</f>
        <v>A) फॉरवर्ड, B) डिफेंडर, C) मिडफील्डर, D) गोलकीपर</v>
      </c>
      <c r="I149" s="5" t="str">
        <f>IFERROR(__xludf.DUMMYFUNCTION("GOOGLETRANSLATE(D149, ""en"", ""hi"")"),"C) मिडफील्डर")</f>
        <v>C) मिडफील्डर</v>
      </c>
    </row>
    <row r="150" ht="22.5" customHeight="1">
      <c r="A150" s="2">
        <v>149.0</v>
      </c>
      <c r="B150" s="3" t="s">
        <v>5624</v>
      </c>
      <c r="C150" s="3" t="s">
        <v>5625</v>
      </c>
      <c r="D150" s="3" t="s">
        <v>5626</v>
      </c>
      <c r="F150" s="5" t="str">
        <f>IFERROR(__xludf.DUMMYFUNCTION("GOOGLETRANSLATE(A150, ""en"", ""hi"")"),"149")</f>
        <v>149</v>
      </c>
      <c r="G150" s="5" t="str">
        <f>IFERROR(__xludf.DUMMYFUNCTION("GOOGLETRANSLATE(B150, ""en"", ""hi"")"),"ढोल खेल में थ्रो-इन कैसे किया जाता है?")</f>
        <v>ढोल खेल में थ्रो-इन कैसे किया जाता है?</v>
      </c>
      <c r="H150" s="5" t="str">
        <f>IFERROR(__xludf.DUMMYFUNCTION("GOOGLETRANSLATE(C150, ""en"", ""hi"")"),"A) दोनों हाथों से गेंद को साइडलाइन के पीछे से फेंककर, B) साइडलाइन से गेंद को किक मारकर, C) कोने से गेंद को पास करके, D) साइडलाइन से गेंद को रोल करके")</f>
        <v>A) दोनों हाथों से गेंद को साइडलाइन के पीछे से फेंककर, B) साइडलाइन से गेंद को किक मारकर, C) कोने से गेंद को पास करके, D) साइडलाइन से गेंद को रोल करके</v>
      </c>
      <c r="I150" s="5" t="str">
        <f>IFERROR(__xludf.DUMMYFUNCTION("GOOGLETRANSLATE(D150, ""en"", ""hi"")"),"A) दोनों हाथों से साइडलाइन के पीछे से गेंद फेंककर")</f>
        <v>A) दोनों हाथों से साइडलाइन के पीछे से गेंद फेंककर</v>
      </c>
    </row>
    <row r="151" ht="22.5" customHeight="1">
      <c r="A151" s="2">
        <v>150.0</v>
      </c>
      <c r="B151" s="3" t="s">
        <v>5627</v>
      </c>
      <c r="C151" s="3" t="s">
        <v>5628</v>
      </c>
      <c r="D151" s="3" t="s">
        <v>5629</v>
      </c>
      <c r="F151" s="5" t="str">
        <f>IFERROR(__xludf.DUMMYFUNCTION("GOOGLETRANSLATE(A151, ""en"", ""hi"")"),"150")</f>
        <v>150</v>
      </c>
      <c r="G151" s="5" t="str">
        <f>IFERROR(__xludf.DUMMYFUNCTION("GOOGLETRANSLATE(B151, ""en"", ""hi"")"),"ढोल खेल मैच में बहुत अधिक पीले कार्ड जमा होने का सामान्य परिणाम क्या होता है?")</f>
        <v>ढोल खेल मैच में बहुत अधिक पीले कार्ड जमा होने का सामान्य परिणाम क्या होता है?</v>
      </c>
      <c r="H151" s="5" t="str">
        <f>IFERROR(__xludf.DUMMYFUNCTION("GOOGLETRANSLATE(C151, ""en"", ""hi"")"),"A) लाल कार्ड और मैच से निष्कासन, B) विरोधी टीम को गोल दिया जाता है, C) प्रतिस्थापन किया जाता है, D) खेल रोक दिया जाता है")</f>
        <v>A) लाल कार्ड और मैच से निष्कासन, B) विरोधी टीम को गोल दिया जाता है, C) प्रतिस्थापन किया जाता है, D) खेल रोक दिया जाता है</v>
      </c>
      <c r="I151" s="5" t="str">
        <f>IFERROR(__xludf.DUMMYFUNCTION("GOOGLETRANSLATE(D151, ""en"", ""hi"")"),"ए) लाल कार्ड और मैच से निष्कासन")</f>
        <v>ए) लाल कार्ड और मैच से निष्कासन</v>
      </c>
    </row>
    <row r="152" ht="22.5" customHeight="1">
      <c r="A152" s="2">
        <v>151.0</v>
      </c>
      <c r="B152" s="3" t="s">
        <v>5630</v>
      </c>
      <c r="C152" s="3" t="s">
        <v>5631</v>
      </c>
      <c r="D152" s="3" t="s">
        <v>5377</v>
      </c>
      <c r="F152" s="5" t="str">
        <f>IFERROR(__xludf.DUMMYFUNCTION("GOOGLETRANSLATE(A152, ""en"", ""hi"")"),"151")</f>
        <v>151</v>
      </c>
      <c r="G152" s="5" t="str">
        <f>IFERROR(__xludf.DUMMYFUNCTION("GOOGLETRANSLATE(B152, ""en"", ""hi"")"),"निम्नलिखित में से कौन सा ढोल खेल प्रशिक्षण व्यवस्था का एक मानक हिस्सा है?")</f>
        <v>निम्नलिखित में से कौन सा ढोल खेल प्रशिक्षण व्यवस्था का एक मानक हिस्सा है?</v>
      </c>
      <c r="H152" s="5" t="str">
        <f>IFERROR(__xludf.DUMMYFUNCTION("GOOGLETRANSLATE(C152, ""en"", ""hi"")"),"A) कौशल अभ्यास, B) पिछले खेलों के वीडियो देखना, C) शारीरिक फिटनेस बढ़ाना, D) उपरोक्त सभी")</f>
        <v>A) कौशल अभ्यास, B) पिछले खेलों के वीडियो देखना, C) शारीरिक फिटनेस बढ़ाना, D) उपरोक्त सभी</v>
      </c>
      <c r="I152" s="5" t="str">
        <f>IFERROR(__xludf.DUMMYFUNCTION("GOOGLETRANSLATE(D152, ""en"", ""hi"")"),"D। उपरोक्त सभी")</f>
        <v>D। उपरोक्त सभी</v>
      </c>
    </row>
    <row r="153" ht="22.5" customHeight="1">
      <c r="A153" s="2">
        <v>152.0</v>
      </c>
      <c r="B153" s="3" t="s">
        <v>5632</v>
      </c>
      <c r="C153" s="3" t="s">
        <v>5633</v>
      </c>
      <c r="D153" s="3" t="s">
        <v>5581</v>
      </c>
      <c r="F153" s="5" t="str">
        <f>IFERROR(__xludf.DUMMYFUNCTION("GOOGLETRANSLATE(A153, ""en"", ""hi"")"),"152")</f>
        <v>152</v>
      </c>
      <c r="G153" s="5" t="str">
        <f>IFERROR(__xludf.DUMMYFUNCTION("GOOGLETRANSLATE(B153, ""en"", ""hi"")"),"ढोल खेल में गोल किक का मुख्य उद्देश्य क्या है?")</f>
        <v>ढोल खेल में गोल किक का मुख्य उद्देश्य क्या है?</v>
      </c>
      <c r="H153" s="5" t="str">
        <f>IFERROR(__xludf.DUMMYFUNCTION("GOOGLETRANSLATE(C153, ""en"", ""hi"")"),"A) गेंद के गोल लाइन से बाहर जाने के बाद खेल को पुनः शुरू करना, B) पेनल्टी देना, C) खिलाड़ियों को प्रतिस्थापित करना, D) कॉर्नर किक देना")</f>
        <v>A) गेंद के गोल लाइन से बाहर जाने के बाद खेल को पुनः शुरू करना, B) पेनल्टी देना, C) खिलाड़ियों को प्रतिस्थापित करना, D) कॉर्नर किक देना</v>
      </c>
      <c r="I153" s="5" t="str">
        <f>IFERROR(__xludf.DUMMYFUNCTION("GOOGLETRANSLATE(D153, ""en"", ""hi"")"),"A) गेंद के गोल लाइन से बाहर चले जाने के बाद खेल को पुनः शुरू करना")</f>
        <v>A) गेंद के गोल लाइन से बाहर चले जाने के बाद खेल को पुनः शुरू करना</v>
      </c>
    </row>
    <row r="154" ht="22.5" customHeight="1">
      <c r="A154" s="2">
        <v>153.0</v>
      </c>
      <c r="B154" s="3" t="s">
        <v>5634</v>
      </c>
      <c r="C154" s="3" t="s">
        <v>5635</v>
      </c>
      <c r="D154" s="3" t="s">
        <v>5636</v>
      </c>
      <c r="F154" s="5" t="str">
        <f>IFERROR(__xludf.DUMMYFUNCTION("GOOGLETRANSLATE(A154, ""en"", ""hi"")"),"153")</f>
        <v>153</v>
      </c>
      <c r="G154" s="5" t="str">
        <f>IFERROR(__xludf.DUMMYFUNCTION("GOOGLETRANSLATE(B154, ""en"", ""hi"")"),"ढोल खेल में कौन सी स्थिति मुख्य रूप से विरोधी टीम के हमलों को रोकने के लिए जिम्मेदार है?")</f>
        <v>ढोल खेल में कौन सी स्थिति मुख्य रूप से विरोधी टीम के हमलों को रोकने के लिए जिम्मेदार है?</v>
      </c>
      <c r="H154" s="5" t="str">
        <f>IFERROR(__xludf.DUMMYFUNCTION("GOOGLETRANSLATE(C154, ""en"", ""hi"")"),"A) डिफेंडर, B) फॉरवर्ड, C) मिडफील्डर, D) गोलकीपर")</f>
        <v>A) डिफेंडर, B) फॉरवर्ड, C) मिडफील्डर, D) गोलकीपर</v>
      </c>
      <c r="I154" s="5" t="str">
        <f>IFERROR(__xludf.DUMMYFUNCTION("GOOGLETRANSLATE(D154, ""en"", ""hi"")"),"ए) डिफेंडर")</f>
        <v>ए) डिफेंडर</v>
      </c>
    </row>
    <row r="155" ht="22.5" customHeight="1">
      <c r="A155" s="2">
        <v>154.0</v>
      </c>
      <c r="B155" s="3" t="s">
        <v>5637</v>
      </c>
      <c r="C155" s="3" t="s">
        <v>5638</v>
      </c>
      <c r="D155" s="3" t="s">
        <v>5639</v>
      </c>
      <c r="F155" s="5" t="str">
        <f>IFERROR(__xludf.DUMMYFUNCTION("GOOGLETRANSLATE(A155, ""en"", ""hi"")"),"154")</f>
        <v>154</v>
      </c>
      <c r="G155" s="5" t="str">
        <f>IFERROR(__xludf.DUMMYFUNCTION("GOOGLETRANSLATE(B155, ""en"", ""hi"")"),"ढोल खेल में निशानेबाजी की सटीकता सुधारने की सामान्य तकनीक क्या है?")</f>
        <v>ढोल खेल में निशानेबाजी की सटीकता सुधारने की सामान्य तकनीक क्या है?</v>
      </c>
      <c r="H155" s="5" t="str">
        <f>IFERROR(__xludf.DUMMYFUNCTION("GOOGLETRANSLATE(C155, ""en"", ""hi"")"),"ए) लक्ष्य अभ्यास, बी) रक्षात्मक अभ्यास, सी) पासिंग अभ्यास, डी) गोलकीपिंग अभ्यास")</f>
        <v>ए) लक्ष्य अभ्यास, बी) रक्षात्मक अभ्यास, सी) पासिंग अभ्यास, डी) गोलकीपिंग अभ्यास</v>
      </c>
      <c r="I155" s="5" t="str">
        <f>IFERROR(__xludf.DUMMYFUNCTION("GOOGLETRANSLATE(D155, ""en"", ""hi"")"),"ए) लक्ष्य अभ्यास")</f>
        <v>ए) लक्ष्य अभ्यास</v>
      </c>
    </row>
    <row r="156" ht="22.5" customHeight="1">
      <c r="A156" s="2">
        <v>155.0</v>
      </c>
      <c r="B156" s="3" t="s">
        <v>5640</v>
      </c>
      <c r="C156" s="3" t="s">
        <v>5641</v>
      </c>
      <c r="D156" s="3" t="s">
        <v>5642</v>
      </c>
      <c r="F156" s="5" t="str">
        <f>IFERROR(__xludf.DUMMYFUNCTION("GOOGLETRANSLATE(A156, ""en"", ""hi"")"),"155")</f>
        <v>155</v>
      </c>
      <c r="G156" s="5" t="str">
        <f>IFERROR(__xludf.DUMMYFUNCTION("GOOGLETRANSLATE(B156, ""en"", ""hi"")"),"ढोल खेल में यदि खेल बराबरी पर समाप्त हो जाए तो क्या होगा?")</f>
        <v>ढोल खेल में यदि खेल बराबरी पर समाप्त हो जाए तो क्या होगा?</v>
      </c>
      <c r="H156" s="5" t="str">
        <f>IFERROR(__xludf.DUMMYFUNCTION("GOOGLETRANSLATE(C156, ""en"", ""hi"")"),"A) पेनल्टी शूटआउट आयोजित किया जाता है, B) खेल पुनः खेला जाता है, C) कम फ़ाउल वाली टीम जीत जाती है, D) खेल बराबरी पर समाप्त होता है")</f>
        <v>A) पेनल्टी शूटआउट आयोजित किया जाता है, B) खेल पुनः खेला जाता है, C) कम फ़ाउल वाली टीम जीत जाती है, D) खेल बराबरी पर समाप्त होता है</v>
      </c>
      <c r="I156" s="5" t="str">
        <f>IFERROR(__xludf.DUMMYFUNCTION("GOOGLETRANSLATE(D156, ""en"", ""hi"")"),"A) पेनल्टी शूटआउट आयोजित किया जाता है")</f>
        <v>A) पेनल्टी शूटआउट आयोजित किया जाता है</v>
      </c>
    </row>
    <row r="157" ht="22.5" customHeight="1">
      <c r="A157" s="2">
        <v>156.0</v>
      </c>
      <c r="B157" s="3" t="s">
        <v>5643</v>
      </c>
      <c r="C157" s="3" t="s">
        <v>5644</v>
      </c>
      <c r="D157" s="3" t="s">
        <v>5645</v>
      </c>
      <c r="F157" s="5" t="str">
        <f>IFERROR(__xludf.DUMMYFUNCTION("GOOGLETRANSLATE(A157, ""en"", ""hi"")"),"156")</f>
        <v>156</v>
      </c>
      <c r="G157" s="5" t="str">
        <f>IFERROR(__xludf.DUMMYFUNCTION("GOOGLETRANSLATE(B157, ""en"", ""hi"")"),"ढोल खेल में आमतौर पर किस क्रिया को कॉर्नर किक से पुरस्कृत किया जाता है?")</f>
        <v>ढोल खेल में आमतौर पर किस क्रिया को कॉर्नर किक से पुरस्कृत किया जाता है?</v>
      </c>
      <c r="H157" s="5" t="str">
        <f>IFERROR(__xludf.DUMMYFUNCTION("GOOGLETRANSLATE(C157, ""en"", ""hi"")"),"A) डिफेंडर द्वारा गेंद को छूने के बाद गेंद का गोल लाइन के बाहर जाना, B) गेंद का साइडलाइन के बाहर जाना, C) मामूली फ़ाउल, D) सफल पास")</f>
        <v>A) डिफेंडर द्वारा गेंद को छूने के बाद गेंद का गोल लाइन के बाहर जाना, B) गेंद का साइडलाइन के बाहर जाना, C) मामूली फ़ाउल, D) सफल पास</v>
      </c>
      <c r="I157" s="5" t="str">
        <f>IFERROR(__xludf.DUMMYFUNCTION("GOOGLETRANSLATE(D157, ""en"", ""hi"")"),"A) डिफेंडर द्वारा गेंद को छूने के बाद गेंद का गोल लाइन के बाहर जाना")</f>
        <v>A) डिफेंडर द्वारा गेंद को छूने के बाद गेंद का गोल लाइन के बाहर जाना</v>
      </c>
    </row>
    <row r="158" ht="22.5" customHeight="1">
      <c r="A158" s="2">
        <v>157.0</v>
      </c>
      <c r="B158" s="3" t="s">
        <v>5646</v>
      </c>
      <c r="C158" s="3" t="s">
        <v>5481</v>
      </c>
      <c r="D158" s="3" t="s">
        <v>5482</v>
      </c>
      <c r="F158" s="5" t="str">
        <f>IFERROR(__xludf.DUMMYFUNCTION("GOOGLETRANSLATE(A158, ""en"", ""hi"")"),"157")</f>
        <v>157</v>
      </c>
      <c r="G158" s="5" t="str">
        <f>IFERROR(__xludf.DUMMYFUNCTION("GOOGLETRANSLATE(B158, ""en"", ""hi"")"),"ढोल खेल में टीम कप्तान की भूमिका क्या है?")</f>
        <v>ढोल खेल में टीम कप्तान की भूमिका क्या है?</v>
      </c>
      <c r="H158" s="5" t="str">
        <f>IFERROR(__xludf.DUMMYFUNCTION("GOOGLETRANSLATE(C158, ""en"", ""hi"")"),"A) टीम का नेतृत्व करना और रणनीतिक निर्णय लेना, B) मैच में रेफरी करना, C) सबसे अधिक गोल करना, D) खिलाड़ियों को स्थानापन्न करना")</f>
        <v>A) टीम का नेतृत्व करना और रणनीतिक निर्णय लेना, B) मैच में रेफरी करना, C) सबसे अधिक गोल करना, D) खिलाड़ियों को स्थानापन्न करना</v>
      </c>
      <c r="I158" s="5" t="str">
        <f>IFERROR(__xludf.DUMMYFUNCTION("GOOGLETRANSLATE(D158, ""en"", ""hi"")"),"A) टीम का नेतृत्व करना और रणनीतिक निर्णय लेना")</f>
        <v>A) टीम का नेतृत्व करना और रणनीतिक निर्णय लेना</v>
      </c>
    </row>
    <row r="159" ht="22.5" customHeight="1">
      <c r="A159" s="2">
        <v>158.0</v>
      </c>
      <c r="B159" s="3" t="s">
        <v>5647</v>
      </c>
      <c r="C159" s="3" t="s">
        <v>5648</v>
      </c>
      <c r="D159" s="3" t="s">
        <v>5649</v>
      </c>
      <c r="F159" s="5" t="str">
        <f>IFERROR(__xludf.DUMMYFUNCTION("GOOGLETRANSLATE(A159, ""en"", ""hi"")"),"158")</f>
        <v>158</v>
      </c>
      <c r="G159" s="5" t="str">
        <f>IFERROR(__xludf.DUMMYFUNCTION("GOOGLETRANSLATE(B159, ""en"", ""hi"")"),"ढोल खेल में स्कोरिंग के अवसर पैदा करने के लिए मुख्य रूप से कौन सी स्थिति जिम्मेदार है?")</f>
        <v>ढोल खेल में स्कोरिंग के अवसर पैदा करने के लिए मुख्य रूप से कौन सी स्थिति जिम्मेदार है?</v>
      </c>
      <c r="H159" s="5" t="str">
        <f>IFERROR(__xludf.DUMMYFUNCTION("GOOGLETRANSLATE(C159, ""en"", ""hi"")"),"A) मिडफील्डर, B) डिफेंडर, C) फॉरवर्ड, D) गोलकीपर")</f>
        <v>A) मिडफील्डर, B) डिफेंडर, C) फॉरवर्ड, D) गोलकीपर</v>
      </c>
      <c r="I159" s="5" t="str">
        <f>IFERROR(__xludf.DUMMYFUNCTION("GOOGLETRANSLATE(D159, ""en"", ""hi"")"),"A) मिडफील्डर")</f>
        <v>A) मिडफील्डर</v>
      </c>
    </row>
    <row r="160" ht="22.5" customHeight="1">
      <c r="A160" s="2">
        <v>159.0</v>
      </c>
      <c r="B160" s="3" t="s">
        <v>5650</v>
      </c>
      <c r="C160" s="3" t="s">
        <v>5651</v>
      </c>
      <c r="D160" s="3" t="s">
        <v>5652</v>
      </c>
      <c r="F160" s="5" t="str">
        <f>IFERROR(__xludf.DUMMYFUNCTION("GOOGLETRANSLATE(A160, ""en"", ""hi"")"),"159")</f>
        <v>159</v>
      </c>
      <c r="G160" s="5" t="str">
        <f>IFERROR(__xludf.DUMMYFUNCTION("GOOGLETRANSLATE(B160, ""en"", ""hi"")"),"ढोल खेल में फ्री किक कैसे दी जाती है?")</f>
        <v>ढोल खेल में फ्री किक कैसे दी जाती है?</v>
      </c>
      <c r="H160" s="5" t="str">
        <f>IFERROR(__xludf.DUMMYFUNCTION("GOOGLETRANSLATE(C160, ""en"", ""hi"")"),"A) पेनल्टी क्षेत्र के बाहर किए गए मामूली फाउल के लिए, B) गोल करने के लिए, C) सफल पास के लिए, D) आउट-ऑफ-बाउंड थ्रो के लिए")</f>
        <v>A) पेनल्टी क्षेत्र के बाहर किए गए मामूली फाउल के लिए, B) गोल करने के लिए, C) सफल पास के लिए, D) आउट-ऑफ-बाउंड थ्रो के लिए</v>
      </c>
      <c r="I160" s="5" t="str">
        <f>IFERROR(__xludf.DUMMYFUNCTION("GOOGLETRANSLATE(D160, ""en"", ""hi"")"),"A) पेनल्टी क्षेत्र के बाहर किए गए मामूली फाउल के लिए")</f>
        <v>A) पेनल्टी क्षेत्र के बाहर किए गए मामूली फाउल के लिए</v>
      </c>
    </row>
    <row r="161" ht="22.5" customHeight="1">
      <c r="A161" s="2">
        <v>160.0</v>
      </c>
      <c r="B161" s="3" t="s">
        <v>5492</v>
      </c>
      <c r="C161" s="3" t="s">
        <v>5653</v>
      </c>
      <c r="D161" s="3" t="s">
        <v>5654</v>
      </c>
      <c r="F161" s="5" t="str">
        <f>IFERROR(__xludf.DUMMYFUNCTION("GOOGLETRANSLATE(A161, ""en"", ""hi"")"),"160")</f>
        <v>160</v>
      </c>
      <c r="G161" s="5" t="str">
        <f>IFERROR(__xludf.DUMMYFUNCTION("GOOGLETRANSLATE(B161, ""en"", ""hi"")"),"ढोल खेल में प्रयुक्त होने वाली सामान्य रक्षात्मक रणनीति क्या है?")</f>
        <v>ढोल खेल में प्रयुक्त होने वाली सामान्य रक्षात्मक रणनीति क्या है?</v>
      </c>
      <c r="H161" s="5" t="str">
        <f>IFERROR(__xludf.DUMMYFUNCTION("GOOGLETRANSLATE(C161, ""en"", ""hi"")"),"ए) ज़ोन रक्षा, बी) उच्च दबाव, सी) जवाबी हमला, डी) समय बर्बाद करना")</f>
        <v>ए) ज़ोन रक्षा, बी) उच्च दबाव, सी) जवाबी हमला, डी) समय बर्बाद करना</v>
      </c>
      <c r="I161" s="5" t="str">
        <f>IFERROR(__xludf.DUMMYFUNCTION("GOOGLETRANSLATE(D161, ""en"", ""hi"")"),"ए) ज़ोन रक्षा")</f>
        <v>ए) ज़ोन रक्षा</v>
      </c>
    </row>
    <row r="162" ht="22.5" customHeight="1">
      <c r="A162" s="2">
        <v>161.0</v>
      </c>
      <c r="B162" s="3" t="s">
        <v>5655</v>
      </c>
      <c r="C162" s="3" t="s">
        <v>5656</v>
      </c>
      <c r="D162" s="3" t="s">
        <v>5657</v>
      </c>
      <c r="F162" s="5" t="str">
        <f>IFERROR(__xludf.DUMMYFUNCTION("GOOGLETRANSLATE(A162, ""en"", ""hi"")"),"161")</f>
        <v>161</v>
      </c>
      <c r="G162" s="5" t="str">
        <f>IFERROR(__xludf.DUMMYFUNCTION("GOOGLETRANSLATE(B162, ""en"", ""hi"")"),"ढोल खेल फॉरवर्ड के लिए कौन सी तकनीक महत्वपूर्ण है?")</f>
        <v>ढोल खेल फॉरवर्ड के लिए कौन सी तकनीक महत्वपूर्ण है?</v>
      </c>
      <c r="H162" s="5" t="str">
        <f>IFERROR(__xludf.DUMMYFUNCTION("GOOGLETRANSLATE(C162, ""en"", ""hi"")"),"A) गोल करना, B) बचाव करना, C) पास देना, D) गोलकीपिंग")</f>
        <v>A) गोल करना, B) बचाव करना, C) पास देना, D) गोलकीपिंग</v>
      </c>
      <c r="I162" s="5" t="str">
        <f>IFERROR(__xludf.DUMMYFUNCTION("GOOGLETRANSLATE(D162, ""en"", ""hi"")"),"A) गोल करना")</f>
        <v>A) गोल करना</v>
      </c>
    </row>
    <row r="163" ht="22.5" customHeight="1">
      <c r="A163" s="2">
        <v>162.0</v>
      </c>
      <c r="B163" s="3" t="s">
        <v>5658</v>
      </c>
      <c r="C163" s="3" t="s">
        <v>5659</v>
      </c>
      <c r="D163" s="3" t="s">
        <v>656</v>
      </c>
      <c r="F163" s="5" t="str">
        <f>IFERROR(__xludf.DUMMYFUNCTION("GOOGLETRANSLATE(A163, ""en"", ""hi"")"),"162")</f>
        <v>162</v>
      </c>
      <c r="G163" s="5" t="str">
        <f>IFERROR(__xludf.DUMMYFUNCTION("GOOGLETRANSLATE(B163, ""en"", ""hi"")"),"ढोल खेल में यदि कोई खिलाड़ी घायल हो जाए तो मानक प्रक्रिया क्या है?")</f>
        <v>ढोल खेल में यदि कोई खिलाड़ी घायल हो जाए तो मानक प्रक्रिया क्या है?</v>
      </c>
      <c r="H163" s="5" t="str">
        <f>IFERROR(__xludf.DUMMYFUNCTION("GOOGLETRANSLATE(C163, ""en"", ""hi"")"),"A) खिलाड़ी को प्रतिस्थापित किया जाता है, B) खेल को रोक दिया जाता है, C) खिलाड़ी को समय-सीमा दी जाती है, D) खेल बिना किसी रुकावट के जारी रहता है")</f>
        <v>A) खिलाड़ी को प्रतिस्थापित किया जाता है, B) खेल को रोक दिया जाता है, C) खिलाड़ी को समय-सीमा दी जाती है, D) खेल बिना किसी रुकावट के जारी रहता है</v>
      </c>
      <c r="I163" s="5" t="str">
        <f>IFERROR(__xludf.DUMMYFUNCTION("GOOGLETRANSLATE(D163, ""en"", ""hi"")"),"A) खिलाड़ी को प्रतिस्थापित किया जाता है")</f>
        <v>A) खिलाड़ी को प्रतिस्थापित किया जाता है</v>
      </c>
    </row>
    <row r="164" ht="22.5" customHeight="1">
      <c r="A164" s="2">
        <v>163.0</v>
      </c>
      <c r="B164" s="3" t="s">
        <v>5507</v>
      </c>
      <c r="C164" s="3" t="s">
        <v>5660</v>
      </c>
      <c r="D164" s="3" t="s">
        <v>5455</v>
      </c>
      <c r="F164" s="5" t="str">
        <f>IFERROR(__xludf.DUMMYFUNCTION("GOOGLETRANSLATE(A164, ""en"", ""hi"")"),"163")</f>
        <v>163</v>
      </c>
      <c r="G164" s="5" t="str">
        <f>IFERROR(__xludf.DUMMYFUNCTION("GOOGLETRANSLATE(B164, ""en"", ""hi"")"),"ढोल खेल में टीम वर्क को बेहतर बनाने का सामान्य तरीका क्या है?")</f>
        <v>ढोल खेल में टीम वर्क को बेहतर बनाने का सामान्य तरीका क्या है?</v>
      </c>
      <c r="H164" s="5" t="str">
        <f>IFERROR(__xludf.DUMMYFUNCTION("GOOGLETRANSLATE(C164, ""en"", ""hi"")"),"A) नियमित अभ्यास सत्र, B) पिछले खेलों के वीडियो देखना, C) व्यक्तिगत खेल समय बढ़ाना, D) टीम मीटिंग कम करना")</f>
        <v>A) नियमित अभ्यास सत्र, B) पिछले खेलों के वीडियो देखना, C) व्यक्तिगत खेल समय बढ़ाना, D) टीम मीटिंग कम करना</v>
      </c>
      <c r="I164" s="5" t="str">
        <f>IFERROR(__xludf.DUMMYFUNCTION("GOOGLETRANSLATE(D164, ""en"", ""hi"")"),"ए) नियमित अभ्यास सत्र")</f>
        <v>ए) नियमित अभ्यास सत्र</v>
      </c>
    </row>
    <row r="165" ht="22.5" customHeight="1">
      <c r="A165" s="2">
        <v>164.0</v>
      </c>
      <c r="B165" s="3" t="s">
        <v>5661</v>
      </c>
      <c r="C165" s="3" t="s">
        <v>5662</v>
      </c>
      <c r="D165" s="3" t="s">
        <v>5663</v>
      </c>
      <c r="F165" s="5" t="str">
        <f>IFERROR(__xludf.DUMMYFUNCTION("GOOGLETRANSLATE(A165, ""en"", ""hi"")"),"164")</f>
        <v>164</v>
      </c>
      <c r="G165" s="5" t="str">
        <f>IFERROR(__xludf.DUMMYFUNCTION("GOOGLETRANSLATE(B165, ""en"", ""hi"")"),"मैच के दौरान ढोल खेल डिफेंडर का मुख्य उद्देश्य क्या होता है?")</f>
        <v>मैच के दौरान ढोल खेल डिफेंडर का मुख्य उद्देश्य क्या होता है?</v>
      </c>
      <c r="H165" s="5" t="str">
        <f>IFERROR(__xludf.DUMMYFUNCTION("GOOGLETRANSLATE(C165, ""en"", ""hi"")"),"A) विरोधी खिलाड़ियों को गोल करने से रोकना, B) गोल करना, C) सटीक पास देना, D) टीम का नेतृत्व करना")</f>
        <v>A) विरोधी खिलाड़ियों को गोल करने से रोकना, B) गोल करना, C) सटीक पास देना, D) टीम का नेतृत्व करना</v>
      </c>
      <c r="I165" s="5" t="str">
        <f>IFERROR(__xludf.DUMMYFUNCTION("GOOGLETRANSLATE(D165, ""en"", ""hi"")"),"A) विरोधी खिलाड़ियों को स्कोर करने से रोकने के लिए")</f>
        <v>A) विरोधी खिलाड़ियों को स्कोर करने से रोकने के लिए</v>
      </c>
    </row>
    <row r="166" ht="22.5" customHeight="1">
      <c r="A166" s="2">
        <v>165.0</v>
      </c>
      <c r="B166" s="3" t="s">
        <v>5624</v>
      </c>
      <c r="C166" s="3" t="s">
        <v>5664</v>
      </c>
      <c r="D166" s="3" t="s">
        <v>5626</v>
      </c>
      <c r="F166" s="5" t="str">
        <f>IFERROR(__xludf.DUMMYFUNCTION("GOOGLETRANSLATE(A166, ""en"", ""hi"")"),"165")</f>
        <v>165</v>
      </c>
      <c r="G166" s="5" t="str">
        <f>IFERROR(__xludf.DUMMYFUNCTION("GOOGLETRANSLATE(B166, ""en"", ""hi"")"),"ढोल खेल में थ्रो-इन कैसे किया जाता है?")</f>
        <v>ढोल खेल में थ्रो-इन कैसे किया जाता है?</v>
      </c>
      <c r="H166" s="5" t="str">
        <f>IFERROR(__xludf.DUMMYFUNCTION("GOOGLETRANSLATE(C166, ""en"", ""hi"")"),"A) दोनों हाथों से गेंद को साइडलाइन के पीछे से फेंककर, B) साइडलाइन से गेंद को किक मारकर, C) साइडलाइन से गेंद को रोल करके, D) कोने से गेंद को पास करके")</f>
        <v>A) दोनों हाथों से गेंद को साइडलाइन के पीछे से फेंककर, B) साइडलाइन से गेंद को किक मारकर, C) साइडलाइन से गेंद को रोल करके, D) कोने से गेंद को पास करके</v>
      </c>
      <c r="I166" s="5" t="str">
        <f>IFERROR(__xludf.DUMMYFUNCTION("GOOGLETRANSLATE(D166, ""en"", ""hi"")"),"A) दोनों हाथों से साइडलाइन के पीछे से गेंद फेंककर")</f>
        <v>A) दोनों हाथों से साइडलाइन के पीछे से गेंद फेंककर</v>
      </c>
    </row>
    <row r="167" ht="22.5" customHeight="1">
      <c r="A167" s="2">
        <v>166.0</v>
      </c>
      <c r="B167" s="3" t="s">
        <v>5665</v>
      </c>
      <c r="C167" s="3" t="s">
        <v>5666</v>
      </c>
      <c r="D167" s="3" t="s">
        <v>5667</v>
      </c>
      <c r="F167" s="5" t="str">
        <f>IFERROR(__xludf.DUMMYFUNCTION("GOOGLETRANSLATE(A167, ""en"", ""hi"")"),"166")</f>
        <v>166</v>
      </c>
      <c r="G167" s="5" t="str">
        <f>IFERROR(__xludf.DUMMYFUNCTION("GOOGLETRANSLATE(B167, ""en"", ""hi"")"),"ढोल खेल में निम्नलिखित में से किस कार्य के लिए सामान्यतः दंड दिया जाता है?")</f>
        <v>ढोल खेल में निम्नलिखित में से किस कार्य के लिए सामान्यतः दंड दिया जाता है?</v>
      </c>
      <c r="H167" s="5" t="str">
        <f>IFERROR(__xludf.DUMMYFUNCTION("GOOGLETRANSLATE(C167, ""en"", ""hi"")"),"A) गेंद को बहुत देर तक रोके रखना, B) गोल करना, C) सटीक पास देना, D) विरोधियों को ड्रिबल करना")</f>
        <v>A) गेंद को बहुत देर तक रोके रखना, B) गोल करना, C) सटीक पास देना, D) विरोधियों को ड्रिबल करना</v>
      </c>
      <c r="I167" s="5" t="str">
        <f>IFERROR(__xludf.DUMMYFUNCTION("GOOGLETRANSLATE(D167, ""en"", ""hi"")"),"A) गेंद को बहुत देर तक पकड़े रखना")</f>
        <v>A) गेंद को बहुत देर तक पकड़े रखना</v>
      </c>
    </row>
    <row r="168" ht="22.5" customHeight="1">
      <c r="A168" s="2">
        <v>167.0</v>
      </c>
      <c r="B168" s="3" t="s">
        <v>5668</v>
      </c>
      <c r="C168" s="3" t="s">
        <v>5669</v>
      </c>
      <c r="D168" s="3" t="s">
        <v>5670</v>
      </c>
      <c r="F168" s="5" t="str">
        <f>IFERROR(__xludf.DUMMYFUNCTION("GOOGLETRANSLATE(A168, ""en"", ""hi"")"),"167")</f>
        <v>167</v>
      </c>
      <c r="G168" s="5" t="str">
        <f>IFERROR(__xludf.DUMMYFUNCTION("GOOGLETRANSLATE(B168, ""en"", ""hi"")"),"ढोल खेल में पासिंग कौशल को बढ़ाने का प्रभावी तरीका क्या है?")</f>
        <v>ढोल खेल में पासिंग कौशल को बढ़ाने का प्रभावी तरीका क्या है?</v>
      </c>
      <c r="H168" s="5" t="str">
        <f>IFERROR(__xludf.DUMMYFUNCTION("GOOGLETRANSLATE(C168, ""en"", ""hi"")"),"A) साथी के साथ अभ्यास करें, B) दौड़ने के अभ्यास को बढ़ाएँ, C) गोलकीपिंग अभ्यास पर ध्यान केंद्रित करें, D) रक्षात्मक तकनीकों पर काम करें")</f>
        <v>A) साथी के साथ अभ्यास करें, B) दौड़ने के अभ्यास को बढ़ाएँ, C) गोलकीपिंग अभ्यास पर ध्यान केंद्रित करें, D) रक्षात्मक तकनीकों पर काम करें</v>
      </c>
      <c r="I168" s="5" t="str">
        <f>IFERROR(__xludf.DUMMYFUNCTION("GOOGLETRANSLATE(D168, ""en"", ""hi"")"),"A) एक साथी के साथ अभ्यास करें")</f>
        <v>A) एक साथी के साथ अभ्यास करें</v>
      </c>
    </row>
    <row r="169" ht="22.5" customHeight="1">
      <c r="A169" s="2">
        <v>168.0</v>
      </c>
      <c r="B169" s="3" t="s">
        <v>5671</v>
      </c>
      <c r="C169" s="3" t="s">
        <v>5672</v>
      </c>
      <c r="D169" s="3" t="s">
        <v>5485</v>
      </c>
      <c r="F169" s="5" t="str">
        <f>IFERROR(__xludf.DUMMYFUNCTION("GOOGLETRANSLATE(A169, ""en"", ""hi"")"),"168")</f>
        <v>168</v>
      </c>
      <c r="G169" s="5" t="str">
        <f>IFERROR(__xludf.DUMMYFUNCTION("GOOGLETRANSLATE(B169, ""en"", ""hi"")"),"ढोल खेल में फॉरवर्ड की प्राथमिक भूमिका क्या होती है?")</f>
        <v>ढोल खेल में फॉरवर्ड की प्राथमिक भूमिका क्या होती है?</v>
      </c>
      <c r="H169" s="5" t="str">
        <f>IFERROR(__xludf.DUMMYFUNCTION("GOOGLETRANSLATE(C169, ""en"", ""hi"")"),"A) गोल करना, B) गोल बचाना, C) गेंद पास करना, D) शॉट रोकना")</f>
        <v>A) गोल करना, B) गोल बचाना, C) गेंद पास करना, D) शॉट रोकना</v>
      </c>
      <c r="I169" s="5" t="str">
        <f>IFERROR(__xludf.DUMMYFUNCTION("GOOGLETRANSLATE(D169, ""en"", ""hi"")"),"A) गोल करना")</f>
        <v>A) गोल करना</v>
      </c>
    </row>
    <row r="170" ht="22.5" customHeight="1">
      <c r="A170" s="2">
        <v>169.0</v>
      </c>
      <c r="B170" s="3" t="s">
        <v>5673</v>
      </c>
      <c r="C170" s="3" t="s">
        <v>5674</v>
      </c>
      <c r="D170" s="3" t="s">
        <v>5675</v>
      </c>
      <c r="F170" s="5" t="str">
        <f>IFERROR(__xludf.DUMMYFUNCTION("GOOGLETRANSLATE(A170, ""en"", ""hi"")"),"169")</f>
        <v>169</v>
      </c>
      <c r="G170" s="5" t="str">
        <f>IFERROR(__xludf.DUMMYFUNCTION("GOOGLETRANSLATE(B170, ""en"", ""hi"")"),"ढोल खेल मैच में सर्वश्रेष्ठ खिलाड़ी का निर्धारण आमतौर पर किससे होता है?")</f>
        <v>ढोल खेल मैच में सर्वश्रेष्ठ खिलाड़ी का निर्धारण आमतौर पर किससे होता है?</v>
      </c>
      <c r="H170" s="5" t="str">
        <f>IFERROR(__xludf.DUMMYFUNCTION("GOOGLETRANSLATE(C170, ""en"", ""hi"")"),"ए) खेल में समग्र योगदान, बी) बनाए गए गोलों की संख्या, सी) सहायताओं की संख्या, डी) रक्षात्मक प्रदर्शन")</f>
        <v>ए) खेल में समग्र योगदान, बी) बनाए गए गोलों की संख्या, सी) सहायताओं की संख्या, डी) रक्षात्मक प्रदर्शन</v>
      </c>
      <c r="I170" s="5" t="str">
        <f>IFERROR(__xludf.DUMMYFUNCTION("GOOGLETRANSLATE(D170, ""en"", ""hi"")"),"A) खेल में समग्र योगदान")</f>
        <v>A) खेल में समग्र योगदान</v>
      </c>
    </row>
    <row r="171" ht="22.5" customHeight="1">
      <c r="A171" s="2">
        <v>170.0</v>
      </c>
      <c r="B171" s="3" t="s">
        <v>5676</v>
      </c>
      <c r="C171" s="3" t="s">
        <v>5677</v>
      </c>
      <c r="D171" s="3" t="s">
        <v>5412</v>
      </c>
      <c r="F171" s="5" t="str">
        <f>IFERROR(__xludf.DUMMYFUNCTION("GOOGLETRANSLATE(A171, ""en"", ""hi"")"),"170")</f>
        <v>170</v>
      </c>
      <c r="G171" s="5" t="str">
        <f>IFERROR(__xludf.DUMMYFUNCTION("GOOGLETRANSLATE(B171, ""en"", ""hi"")"),"ढोल खेल में गोल होने के बाद खेल कैसे पुनः शुरू किया जाता है?")</f>
        <v>ढोल खेल में गोल होने के बाद खेल कैसे पुनः शुरू किया जाता है?</v>
      </c>
      <c r="H171" s="5" t="str">
        <f>IFERROR(__xludf.DUMMYFUNCTION("GOOGLETRANSLATE(C171, ""en"", ""hi"")"),"A) मैदान के केंद्र से किक-ऑफ के साथ, B) थ्रो-इन के साथ, C) गोल किक के साथ, D) कॉर्नर किक के साथ")</f>
        <v>A) मैदान के केंद्र से किक-ऑफ के साथ, B) थ्रो-इन के साथ, C) गोल किक के साथ, D) कॉर्नर किक के साथ</v>
      </c>
      <c r="I171" s="5" t="str">
        <f>IFERROR(__xludf.DUMMYFUNCTION("GOOGLETRANSLATE(D171, ""en"", ""hi"")"),"A) मैदान के केंद्र से किक-ऑफ के साथ")</f>
        <v>A) मैदान के केंद्र से किक-ऑफ के साथ</v>
      </c>
    </row>
    <row r="172" ht="22.5" customHeight="1">
      <c r="A172" s="2">
        <v>171.0</v>
      </c>
      <c r="B172" s="3" t="s">
        <v>5678</v>
      </c>
      <c r="C172" s="3" t="s">
        <v>5679</v>
      </c>
      <c r="D172" s="3" t="s">
        <v>5649</v>
      </c>
      <c r="F172" s="5" t="str">
        <f>IFERROR(__xludf.DUMMYFUNCTION("GOOGLETRANSLATE(A172, ""en"", ""hi"")"),"171")</f>
        <v>171</v>
      </c>
      <c r="G172" s="5" t="str">
        <f>IFERROR(__xludf.DUMMYFUNCTION("GOOGLETRANSLATE(B172, ""en"", ""hi"")"),"ढोल खेल में मिडफील्ड को व्यवस्थित और नियंत्रित करने के लिए कौन सी स्थिति महत्वपूर्ण है?")</f>
        <v>ढोल खेल में मिडफील्ड को व्यवस्थित और नियंत्रित करने के लिए कौन सी स्थिति महत्वपूर्ण है?</v>
      </c>
      <c r="H172" s="5" t="str">
        <f>IFERROR(__xludf.DUMMYFUNCTION("GOOGLETRANSLATE(C172, ""en"", ""hi"")"),"A) मिडफील्डर, B) फॉरवर्ड, C) डिफेंडर, D) गोलकीपर")</f>
        <v>A) मिडफील्डर, B) फॉरवर्ड, C) डिफेंडर, D) गोलकीपर</v>
      </c>
      <c r="I172" s="5" t="str">
        <f>IFERROR(__xludf.DUMMYFUNCTION("GOOGLETRANSLATE(D172, ""en"", ""hi"")"),"A) मिडफील्डर")</f>
        <v>A) मिडफील्डर</v>
      </c>
    </row>
    <row r="173" ht="22.5" customHeight="1">
      <c r="A173" s="2">
        <v>172.0</v>
      </c>
      <c r="B173" s="3" t="s">
        <v>5680</v>
      </c>
      <c r="C173" s="3" t="s">
        <v>5681</v>
      </c>
      <c r="D173" s="3" t="s">
        <v>5682</v>
      </c>
      <c r="F173" s="5" t="str">
        <f>IFERROR(__xludf.DUMMYFUNCTION("GOOGLETRANSLATE(A173, ""en"", ""hi"")"),"172")</f>
        <v>172</v>
      </c>
      <c r="G173" s="5" t="str">
        <f>IFERROR(__xludf.DUMMYFUNCTION("GOOGLETRANSLATE(B173, ""en"", ""hi"")"),"ढोल खेल में दंड देने के लिए आमतौर पर क्या प्रयोग किया जाता है?")</f>
        <v>ढोल खेल में दंड देने के लिए आमतौर पर क्या प्रयोग किया जाता है?</v>
      </c>
      <c r="H173" s="5" t="str">
        <f>IFERROR(__xludf.DUMMYFUNCTION("GOOGLETRANSLATE(C173, ""en"", ""hi"")"),"A) पेनल्टी क्षेत्र के अंदर गंभीर फ़ाउल, B) पेनल्टी क्षेत्र के बाहर मामूली फ़ाउल, C) सफल पास, D) गोल किया गया")</f>
        <v>A) पेनल्टी क्षेत्र के अंदर गंभीर फ़ाउल, B) पेनल्टी क्षेत्र के बाहर मामूली फ़ाउल, C) सफल पास, D) गोल किया गया</v>
      </c>
      <c r="I173" s="5" t="str">
        <f>IFERROR(__xludf.DUMMYFUNCTION("GOOGLETRANSLATE(D173, ""en"", ""hi"")"),"A) पेनल्टी क्षेत्र के अंदर गंभीर फ़ाउल")</f>
        <v>A) पेनल्टी क्षेत्र के अंदर गंभीर फ़ाउल</v>
      </c>
    </row>
    <row r="174" ht="22.5" customHeight="1">
      <c r="A174" s="2">
        <v>173.0</v>
      </c>
      <c r="B174" s="3" t="s">
        <v>5683</v>
      </c>
      <c r="C174" s="3" t="s">
        <v>5684</v>
      </c>
      <c r="D174" s="3" t="s">
        <v>5685</v>
      </c>
      <c r="F174" s="5" t="str">
        <f>IFERROR(__xludf.DUMMYFUNCTION("GOOGLETRANSLATE(A174, ""en"", ""hi"")"),"173")</f>
        <v>173</v>
      </c>
      <c r="G174" s="5" t="str">
        <f>IFERROR(__xludf.DUMMYFUNCTION("GOOGLETRANSLATE(B174, ""en"", ""hi"")"),"गेंद के गोल लाइन से बाहर चले जाने के बाद सामान्यतः कौन सी कार्रवाई की जाती है?")</f>
        <v>गेंद के गोल लाइन से बाहर चले जाने के बाद सामान्यतः कौन सी कार्रवाई की जाती है?</v>
      </c>
      <c r="H174" s="5" t="str">
        <f>IFERROR(__xludf.DUMMYFUNCTION("GOOGLETRANSLATE(C174, ""en"", ""hi"")"),"A) गोल किक या कॉर्नर किक, B) थ्रो-इन, C) फ्री किक, D) पेनल्टी किक")</f>
        <v>A) गोल किक या कॉर्नर किक, B) थ्रो-इन, C) फ्री किक, D) पेनल्टी किक</v>
      </c>
      <c r="I174" s="5" t="str">
        <f>IFERROR(__xludf.DUMMYFUNCTION("GOOGLETRANSLATE(D174, ""en"", ""hi"")"),"A) गोल किक या कॉर्नर किक")</f>
        <v>A) गोल किक या कॉर्नर किक</v>
      </c>
    </row>
    <row r="175" ht="22.5" customHeight="1">
      <c r="A175" s="2">
        <v>174.0</v>
      </c>
      <c r="B175" s="3" t="s">
        <v>5419</v>
      </c>
      <c r="C175" s="3" t="s">
        <v>5686</v>
      </c>
      <c r="D175" s="3" t="s">
        <v>5687</v>
      </c>
      <c r="F175" s="5" t="str">
        <f>IFERROR(__xludf.DUMMYFUNCTION("GOOGLETRANSLATE(A175, ""en"", ""hi"")"),"174")</f>
        <v>174</v>
      </c>
      <c r="G175" s="5" t="str">
        <f>IFERROR(__xludf.DUMMYFUNCTION("GOOGLETRANSLATE(B175, ""en"", ""hi"")"),"ढोल खेल में प्रतिस्थापन का सामान्य कारण क्या है?")</f>
        <v>ढोल खेल में प्रतिस्थापन का सामान्य कारण क्या है?</v>
      </c>
      <c r="H175" s="5" t="str">
        <f>IFERROR(__xludf.DUMMYFUNCTION("GOOGLETRANSLATE(C175, ""en"", ""hi"")"),"A) चोट या रणनीतिक बदलाव, B) गोल करना, C) पीला कार्ड प्राप्त करना, D) सफल पास")</f>
        <v>A) चोट या रणनीतिक बदलाव, B) गोल करना, C) पीला कार्ड प्राप्त करना, D) सफल पास</v>
      </c>
      <c r="I175" s="5" t="str">
        <f>IFERROR(__xludf.DUMMYFUNCTION("GOOGLETRANSLATE(D175, ""en"", ""hi"")"),"A) चोट या सामरिक परिवर्तन")</f>
        <v>A) चोट या सामरिक परिवर्तन</v>
      </c>
    </row>
    <row r="176" ht="22.5" customHeight="1">
      <c r="A176" s="2">
        <v>175.0</v>
      </c>
      <c r="B176" s="3" t="s">
        <v>5688</v>
      </c>
      <c r="C176" s="3" t="s">
        <v>5689</v>
      </c>
      <c r="D176" s="3" t="s">
        <v>5690</v>
      </c>
      <c r="F176" s="5" t="str">
        <f>IFERROR(__xludf.DUMMYFUNCTION("GOOGLETRANSLATE(A176, ""en"", ""hi"")"),"175")</f>
        <v>175</v>
      </c>
      <c r="G176" s="5" t="str">
        <f>IFERROR(__xludf.DUMMYFUNCTION("GOOGLETRANSLATE(B176, ""en"", ""hi"")"),"ढोल खेल प्रशिक्षण सत्र का मुख्य लक्ष्य क्या है?")</f>
        <v>ढोल खेल प्रशिक्षण सत्र का मुख्य लक्ष्य क्या है?</v>
      </c>
      <c r="H176" s="5" t="str">
        <f>IFERROR(__xludf.DUMMYFUNCTION("GOOGLETRANSLATE(C176, ""en"", ""hi"")"),"A) कौशल और टीम के प्रदर्शन में सुधार करने के लिए, B) व्यक्तिगत खेल समय बढ़ाने के लिए, C) रणनीतियों पर चर्चा करने के लिए, D) पिछले खेल की रिकॉर्डिंग देखने के लिए")</f>
        <v>A) कौशल और टीम के प्रदर्शन में सुधार करने के लिए, B) व्यक्तिगत खेल समय बढ़ाने के लिए, C) रणनीतियों पर चर्चा करने के लिए, D) पिछले खेल की रिकॉर्डिंग देखने के लिए</v>
      </c>
      <c r="I176" s="5" t="str">
        <f>IFERROR(__xludf.DUMMYFUNCTION("GOOGLETRANSLATE(D176, ""en"", ""hi"")"),"A) कौशल और टीम के प्रदर्शन में सुधार करने के लिए")</f>
        <v>A) कौशल और टीम के प्रदर्शन में सुधार करने के लिए</v>
      </c>
    </row>
    <row r="177" ht="22.5" customHeight="1">
      <c r="A177" s="2">
        <v>176.0</v>
      </c>
      <c r="B177" s="3" t="s">
        <v>5691</v>
      </c>
      <c r="C177" s="3" t="s">
        <v>5692</v>
      </c>
      <c r="D177" s="3" t="s">
        <v>5607</v>
      </c>
      <c r="F177" s="5" t="str">
        <f>IFERROR(__xludf.DUMMYFUNCTION("GOOGLETRANSLATE(A177, ""en"", ""hi"")"),"176")</f>
        <v>176</v>
      </c>
      <c r="G177" s="5" t="str">
        <f>IFERROR(__xludf.DUMMYFUNCTION("GOOGLETRANSLATE(B177, ""en"", ""hi"")"),"ढोल खेल में गोल किक की विशिष्ट भूमिका क्या होती है?")</f>
        <v>ढोल खेल में गोल किक की विशिष्ट भूमिका क्या होती है?</v>
      </c>
      <c r="H177" s="5" t="str">
        <f>IFERROR(__xludf.DUMMYFUNCTION("GOOGLETRANSLATE(C177, ""en"", ""hi"")"),"A) गेंद के गोल लाइन से बाहर जाने के बाद खेल को पुनः शुरू करना, B) गोल देना, C) खिलाड़ियों को प्रतिस्थापित करना, D) विरोधी टीम को दंडित करना")</f>
        <v>A) गेंद के गोल लाइन से बाहर जाने के बाद खेल को पुनः शुरू करना, B) गोल देना, C) खिलाड़ियों को प्रतिस्थापित करना, D) विरोधी टीम को दंडित करना</v>
      </c>
      <c r="I177" s="5" t="str">
        <f>IFERROR(__xludf.DUMMYFUNCTION("GOOGLETRANSLATE(D177, ""en"", ""hi"")"),"A) गेंद के गोल लाइन से बाहर जाने के बाद खेल को पुनः शुरू करना")</f>
        <v>A) गेंद के गोल लाइन से बाहर जाने के बाद खेल को पुनः शुरू करना</v>
      </c>
    </row>
    <row r="178" ht="22.5" customHeight="1">
      <c r="A178" s="2">
        <v>177.0</v>
      </c>
      <c r="B178" s="3" t="s">
        <v>5693</v>
      </c>
      <c r="C178" s="3" t="s">
        <v>5549</v>
      </c>
      <c r="D178" s="3" t="s">
        <v>5475</v>
      </c>
      <c r="F178" s="5" t="str">
        <f>IFERROR(__xludf.DUMMYFUNCTION("GOOGLETRANSLATE(A178, ""en"", ""hi"")"),"177")</f>
        <v>177</v>
      </c>
      <c r="G178" s="5" t="str">
        <f>IFERROR(__xludf.DUMMYFUNCTION("GOOGLETRANSLATE(B178, ""en"", ""hi"")"),"ढोल खेल डिफेंडर के लिए कौन सा कौशल महत्वपूर्ण है?")</f>
        <v>ढोल खेल डिफेंडर के लिए कौन सा कौशल महत्वपूर्ण है?</v>
      </c>
      <c r="H178" s="5" t="str">
        <f>IFERROR(__xludf.DUMMYFUNCTION("GOOGLETRANSLATE(C178, ""en"", ""hi"")"),"A) शॉट रोकना, B) गोल करना, C) गेंद पास करना, D) ड्रिब्लिंग")</f>
        <v>A) शॉट रोकना, B) गोल करना, C) गेंद पास करना, D) ड्रिब्लिंग</v>
      </c>
      <c r="I178" s="5" t="str">
        <f>IFERROR(__xludf.DUMMYFUNCTION("GOOGLETRANSLATE(D178, ""en"", ""hi"")"),"A) शॉट्स को ब्लॉक करना")</f>
        <v>A) शॉट्स को ब्लॉक करना</v>
      </c>
    </row>
    <row r="179" ht="22.5" customHeight="1">
      <c r="A179" s="2">
        <v>178.0</v>
      </c>
      <c r="B179" s="3" t="s">
        <v>5694</v>
      </c>
      <c r="C179" s="3" t="s">
        <v>5695</v>
      </c>
      <c r="D179" s="3" t="s">
        <v>5642</v>
      </c>
      <c r="F179" s="5" t="str">
        <f>IFERROR(__xludf.DUMMYFUNCTION("GOOGLETRANSLATE(A179, ""en"", ""hi"")"),"178")</f>
        <v>178</v>
      </c>
      <c r="G179" s="5" t="str">
        <f>IFERROR(__xludf.DUMMYFUNCTION("GOOGLETRANSLATE(B179, ""en"", ""hi"")"),"ढोल खेल में, खेल बराबरी पर समाप्त होने के बाद आमतौर पर क्या होता है?")</f>
        <v>ढोल खेल में, खेल बराबरी पर समाप्त होने के बाद आमतौर पर क्या होता है?</v>
      </c>
      <c r="H179" s="5" t="str">
        <f>IFERROR(__xludf.DUMMYFUNCTION("GOOGLETRANSLATE(C179, ""en"", ""hi"")"),"A) पेनल्टी शूटआउट आयोजित किया जाता है, B) खेल पुनः खेला जाता है, C) सबसे कम फ़ाउल वाली टीम जीत जाती है, D) खेल को ड्रॉ घोषित कर दिया जाता है")</f>
        <v>A) पेनल्टी शूटआउट आयोजित किया जाता है, B) खेल पुनः खेला जाता है, C) सबसे कम फ़ाउल वाली टीम जीत जाती है, D) खेल को ड्रॉ घोषित कर दिया जाता है</v>
      </c>
      <c r="I179" s="5" t="str">
        <f>IFERROR(__xludf.DUMMYFUNCTION("GOOGLETRANSLATE(D179, ""en"", ""hi"")"),"A) पेनल्टी शूटआउट आयोजित किया जाता है")</f>
        <v>A) पेनल्टी शूटआउट आयोजित किया जाता है</v>
      </c>
    </row>
    <row r="180" ht="22.5" customHeight="1">
      <c r="A180" s="2">
        <v>179.0</v>
      </c>
      <c r="B180" s="3" t="s">
        <v>5696</v>
      </c>
      <c r="C180" s="3" t="s">
        <v>5697</v>
      </c>
      <c r="D180" s="3" t="s">
        <v>5698</v>
      </c>
      <c r="F180" s="5" t="str">
        <f>IFERROR(__xludf.DUMMYFUNCTION("GOOGLETRANSLATE(A180, ""en"", ""hi"")"),"179")</f>
        <v>179</v>
      </c>
      <c r="G180" s="5" t="str">
        <f>IFERROR(__xludf.DUMMYFUNCTION("GOOGLETRANSLATE(B180, ""en"", ""hi"")"),"ढोल खेल मिडफील्डर की मुख्य जिम्मेदारी क्या है?")</f>
        <v>ढोल खेल मिडफील्डर की मुख्य जिम्मेदारी क्या है?</v>
      </c>
      <c r="H180" s="5" t="str">
        <f>IFERROR(__xludf.DUMMYFUNCTION("GOOGLETRANSLATE(C180, ""en"", ""hi"")"),"A) स्कोरिंग के अवसर पैदा करना और गेंद पर नियंत्रण रखना, B) गोल की रक्षा करना, C) गोल करना, D) शॉट रोकना")</f>
        <v>A) स्कोरिंग के अवसर पैदा करना और गेंद पर नियंत्रण रखना, B) गोल की रक्षा करना, C) गोल करना, D) शॉट रोकना</v>
      </c>
      <c r="I180" s="5" t="str">
        <f>IFERROR(__xludf.DUMMYFUNCTION("GOOGLETRANSLATE(D180, ""en"", ""hi"")"),"A) स्कोरिंग के अवसर पैदा करना और गेंद पर नियंत्रण रखना")</f>
        <v>A) स्कोरिंग के अवसर पैदा करना और गेंद पर नियंत्रण रखना</v>
      </c>
    </row>
    <row r="181" ht="22.5" customHeight="1">
      <c r="A181" s="2">
        <v>180.0</v>
      </c>
      <c r="B181" s="3" t="s">
        <v>5699</v>
      </c>
      <c r="C181" s="3" t="s">
        <v>5700</v>
      </c>
      <c r="D181" s="3" t="s">
        <v>5701</v>
      </c>
      <c r="F181" s="5" t="str">
        <f>IFERROR(__xludf.DUMMYFUNCTION("GOOGLETRANSLATE(A181, ""en"", ""hi"")"),"180")</f>
        <v>180</v>
      </c>
      <c r="G181" s="5" t="str">
        <f>IFERROR(__xludf.DUMMYFUNCTION("GOOGLETRANSLATE(B181, ""en"", ""hi"")"),"ढोल खेल में थ्रो-इन का उद्देश्य क्या है?")</f>
        <v>ढोल खेल में थ्रो-इन का उद्देश्य क्या है?</v>
      </c>
      <c r="H181" s="5" t="str">
        <f>IFERROR(__xludf.DUMMYFUNCTION("GOOGLETRANSLATE(C181, ""en"", ""hi"")"),"A) गेंद के साइडलाइन से बाहर जाने के बाद खेल को पुनः शुरू करना, B) गोल देना, C) खिलाड़ियों को प्रतिस्थापित करना, D) विरोधी टीम को दंडित करना")</f>
        <v>A) गेंद के साइडलाइन से बाहर जाने के बाद खेल को पुनः शुरू करना, B) गोल देना, C) खिलाड़ियों को प्रतिस्थापित करना, D) विरोधी टीम को दंडित करना</v>
      </c>
      <c r="I181" s="5" t="str">
        <f>IFERROR(__xludf.DUMMYFUNCTION("GOOGLETRANSLATE(D181, ""en"", ""hi"")"),"A) गेंद के साइडलाइन से बाहर चले जाने के बाद खेल को पुनः शुरू करना")</f>
        <v>A) गेंद के साइडलाइन से बाहर चले जाने के बाद खेल को पुनः शुरू करना</v>
      </c>
    </row>
    <row r="182" ht="22.5" customHeight="1">
      <c r="A182" s="2">
        <v>181.0</v>
      </c>
      <c r="B182" s="3" t="s">
        <v>5702</v>
      </c>
      <c r="C182" s="3" t="s">
        <v>5703</v>
      </c>
      <c r="D182" s="3" t="s">
        <v>5704</v>
      </c>
      <c r="F182" s="5" t="str">
        <f>IFERROR(__xludf.DUMMYFUNCTION("GOOGLETRANSLATE(A182, ""en"", ""hi"")"),"181")</f>
        <v>181</v>
      </c>
      <c r="G182" s="5" t="str">
        <f>IFERROR(__xludf.DUMMYFUNCTION("GOOGLETRANSLATE(B182, ""en"", ""hi"")"),"ढोल खेल में मैच के दौरान सामरिक निर्णय लेने के लिए कौन सी स्थिति आवश्यक है?")</f>
        <v>ढोल खेल में मैच के दौरान सामरिक निर्णय लेने के लिए कौन सी स्थिति आवश्यक है?</v>
      </c>
      <c r="H182" s="5" t="str">
        <f>IFERROR(__xludf.DUMMYFUNCTION("GOOGLETRANSLATE(C182, ""en"", ""hi"")"),"A) टीम कप्तान, B) गोलकीपर, C) फॉरवर्ड, D) डिफेंडर")</f>
        <v>A) टीम कप्तान, B) गोलकीपर, C) फॉरवर्ड, D) डिफेंडर</v>
      </c>
      <c r="I182" s="5" t="str">
        <f>IFERROR(__xludf.DUMMYFUNCTION("GOOGLETRANSLATE(D182, ""en"", ""hi"")"),"ए) टीम कप्तान")</f>
        <v>ए) टीम कप्तान</v>
      </c>
    </row>
    <row r="183" ht="22.5" customHeight="1">
      <c r="A183" s="2">
        <v>182.0</v>
      </c>
      <c r="B183" s="3" t="s">
        <v>5705</v>
      </c>
      <c r="C183" s="3" t="s">
        <v>5706</v>
      </c>
      <c r="D183" s="3" t="s">
        <v>5707</v>
      </c>
      <c r="F183" s="5" t="str">
        <f>IFERROR(__xludf.DUMMYFUNCTION("GOOGLETRANSLATE(A183, ""en"", ""hi"")"),"182")</f>
        <v>182</v>
      </c>
      <c r="G183" s="5" t="str">
        <f>IFERROR(__xludf.DUMMYFUNCTION("GOOGLETRANSLATE(B183, ""en"", ""hi"")"),"ढोल खेल में गोल किक के बाद खेल कैसे पुनः शुरू होता है?")</f>
        <v>ढोल खेल में गोल किक के बाद खेल कैसे पुनः शुरू होता है?</v>
      </c>
      <c r="H183" s="5" t="str">
        <f>IFERROR(__xludf.DUMMYFUNCTION("GOOGLETRANSLATE(C183, ""en"", ""hi"")"),"A) गोल क्षेत्र से गेंद को किक करके, B) गेंद को अंदर फेंककर, C) कॉर्नर किक द्वारा, D) फ्री किक द्वारा")</f>
        <v>A) गोल क्षेत्र से गेंद को किक करके, B) गेंद को अंदर फेंककर, C) कॉर्नर किक द्वारा, D) फ्री किक द्वारा</v>
      </c>
      <c r="I183" s="5" t="str">
        <f>IFERROR(__xludf.DUMMYFUNCTION("GOOGLETRANSLATE(D183, ""en"", ""hi"")"),"A) गोल क्षेत्र से गेंद को किक करके")</f>
        <v>A) गोल क्षेत्र से गेंद को किक करके</v>
      </c>
    </row>
    <row r="184" ht="22.5" customHeight="1">
      <c r="A184" s="2">
        <v>183.0</v>
      </c>
      <c r="B184" s="3" t="s">
        <v>5708</v>
      </c>
      <c r="C184" s="3" t="s">
        <v>5709</v>
      </c>
      <c r="D184" s="3" t="s">
        <v>5542</v>
      </c>
      <c r="F184" s="5" t="str">
        <f>IFERROR(__xludf.DUMMYFUNCTION("GOOGLETRANSLATE(A184, ""en"", ""hi"")"),"183")</f>
        <v>183</v>
      </c>
      <c r="G184" s="5" t="str">
        <f>IFERROR(__xludf.DUMMYFUNCTION("GOOGLETRANSLATE(B184, ""en"", ""hi"")"),"ढोल खेल में टीम की रक्षा में सुधार के लिए मुख्य रणनीति क्या है?")</f>
        <v>ढोल खेल में टीम की रक्षा में सुधार के लिए मुख्य रणनीति क्या है?</v>
      </c>
      <c r="H184" s="5" t="str">
        <f>IFERROR(__xludf.DUMMYFUNCTION("GOOGLETRANSLATE(C184, ""en"", ""hi"")"),"ए) ज़ोन डिफेंस का अभ्यास करना, बी) व्यक्तिगत प्रशिक्षण बढ़ाना, सी) केवल आक्रमण पर ध्यान केंद्रित करना, डी) अभ्यास सत्रों को कम करना")</f>
        <v>ए) ज़ोन डिफेंस का अभ्यास करना, बी) व्यक्तिगत प्रशिक्षण बढ़ाना, सी) केवल आक्रमण पर ध्यान केंद्रित करना, डी) अभ्यास सत्रों को कम करना</v>
      </c>
      <c r="I184" s="5" t="str">
        <f>IFERROR(__xludf.DUMMYFUNCTION("GOOGLETRANSLATE(D184, ""en"", ""hi"")"),"A) ज़ोन डिफेंस का अभ्यास करना")</f>
        <v>A) ज़ोन डिफेंस का अभ्यास करना</v>
      </c>
    </row>
    <row r="185" ht="22.5" customHeight="1">
      <c r="A185" s="2">
        <v>184.0</v>
      </c>
      <c r="B185" s="3" t="s">
        <v>5710</v>
      </c>
      <c r="C185" s="3" t="s">
        <v>5711</v>
      </c>
      <c r="D185" s="3" t="s">
        <v>5712</v>
      </c>
      <c r="F185" s="5" t="str">
        <f>IFERROR(__xludf.DUMMYFUNCTION("GOOGLETRANSLATE(A185, ""en"", ""hi"")"),"184")</f>
        <v>184</v>
      </c>
      <c r="G185" s="5" t="str">
        <f>IFERROR(__xludf.DUMMYFUNCTION("GOOGLETRANSLATE(B185, ""en"", ""hi"")"),"ढोल खेल में, यदि कोई गंभीर फाउल हो जाए तो आमतौर पर क्या कार्रवाई की जाती है?")</f>
        <v>ढोल खेल में, यदि कोई गंभीर फाउल हो जाए तो आमतौर पर क्या कार्रवाई की जाती है?</v>
      </c>
      <c r="H185" s="5" t="str">
        <f>IFERROR(__xludf.DUMMYFUNCTION("GOOGLETRANSLATE(C185, ""en"", ""hi"")"),"A) पेनल्टी या फ्री किक देना, B) थ्रो-इन आयोजित करना, C) खेल रोकना, D) खिलाड़ी को प्रतिस्थापित करना")</f>
        <v>A) पेनल्टी या फ्री किक देना, B) थ्रो-इन आयोजित करना, C) खेल रोकना, D) खिलाड़ी को प्रतिस्थापित करना</v>
      </c>
      <c r="I185" s="5" t="str">
        <f>IFERROR(__xludf.DUMMYFUNCTION("GOOGLETRANSLATE(D185, ""en"", ""hi"")"),"A) पेनल्टी या फ्री किक देना")</f>
        <v>A) पेनल्टी या फ्री किक देना</v>
      </c>
    </row>
    <row r="186" ht="22.5" customHeight="1">
      <c r="A186" s="2">
        <v>185.0</v>
      </c>
      <c r="B186" s="3" t="s">
        <v>5713</v>
      </c>
      <c r="C186" s="3" t="s">
        <v>5714</v>
      </c>
      <c r="D186" s="3" t="s">
        <v>5488</v>
      </c>
      <c r="F186" s="5" t="str">
        <f>IFERROR(__xludf.DUMMYFUNCTION("GOOGLETRANSLATE(A186, ""en"", ""hi"")"),"185")</f>
        <v>185</v>
      </c>
      <c r="G186" s="5" t="str">
        <f>IFERROR(__xludf.DUMMYFUNCTION("GOOGLETRANSLATE(B186, ""en"", ""hi"")"),"ढोल खेल में गेंद पर नियंत्रण सुधारने की सामान्य तकनीक क्या है?")</f>
        <v>ढोल खेल में गेंद पर नियंत्रण सुधारने की सामान्य तकनीक क्या है?</v>
      </c>
      <c r="H186" s="5" t="str">
        <f>IFERROR(__xludf.DUMMYFUNCTION("GOOGLETRANSLATE(C186, ""en"", ""hi"")"),"ए) ड्रिब्लिंग अभ्यास, बी) पासिंग अभ्यास, सी) गोलकीपिंग अभ्यास, डी) रक्षात्मक अभ्यास")</f>
        <v>ए) ड्रिब्लिंग अभ्यास, बी) पासिंग अभ्यास, सी) गोलकीपिंग अभ्यास, डी) रक्षात्मक अभ्यास</v>
      </c>
      <c r="I186" s="5" t="str">
        <f>IFERROR(__xludf.DUMMYFUNCTION("GOOGLETRANSLATE(D186, ""en"", ""hi"")"),"ए) ड्रिब्लिंग अभ्यास")</f>
        <v>ए) ड्रिब्लिंग अभ्यास</v>
      </c>
    </row>
    <row r="187" ht="22.5" customHeight="1">
      <c r="A187" s="2">
        <v>186.0</v>
      </c>
      <c r="B187" s="3" t="s">
        <v>5407</v>
      </c>
      <c r="C187" s="3" t="s">
        <v>5544</v>
      </c>
      <c r="D187" s="3" t="s">
        <v>5302</v>
      </c>
      <c r="F187" s="5" t="str">
        <f>IFERROR(__xludf.DUMMYFUNCTION("GOOGLETRANSLATE(A187, ""en"", ""hi"")"),"186")</f>
        <v>186</v>
      </c>
      <c r="G187" s="5" t="str">
        <f>IFERROR(__xludf.DUMMYFUNCTION("GOOGLETRANSLATE(B187, ""en"", ""hi"")"),"ढोल खेल में कौन सी स्थिति मुख्य रूप से गोल करने के लिए जिम्मेदार है?")</f>
        <v>ढोल खेल में कौन सी स्थिति मुख्य रूप से गोल करने के लिए जिम्मेदार है?</v>
      </c>
      <c r="H187" s="5" t="str">
        <f>IFERROR(__xludf.DUMMYFUNCTION("GOOGLETRANSLATE(C187, ""en"", ""hi"")"),"A) फॉरवर्ड, B) डिफेंडर, C) मिडफील्डर, D) गोलकीपर")</f>
        <v>A) फॉरवर्ड, B) डिफेंडर, C) मिडफील्डर, D) गोलकीपर</v>
      </c>
      <c r="I187" s="5" t="str">
        <f>IFERROR(__xludf.DUMMYFUNCTION("GOOGLETRANSLATE(D187, ""en"", ""hi"")"),"ए) आगे")</f>
        <v>ए) आगे</v>
      </c>
    </row>
    <row r="188" ht="22.5" customHeight="1">
      <c r="A188" s="2">
        <v>187.0</v>
      </c>
      <c r="B188" s="3" t="s">
        <v>5715</v>
      </c>
      <c r="C188" s="3" t="s">
        <v>5716</v>
      </c>
      <c r="D188" s="3" t="s">
        <v>5535</v>
      </c>
      <c r="F188" s="5" t="str">
        <f>IFERROR(__xludf.DUMMYFUNCTION("GOOGLETRANSLATE(A188, ""en"", ""hi"")"),"187")</f>
        <v>187</v>
      </c>
      <c r="G188" s="5" t="str">
        <f>IFERROR(__xludf.DUMMYFUNCTION("GOOGLETRANSLATE(B188, ""en"", ""hi"")"),"ढोल खेल में पासिंग सटीकता बढ़ाने का सामान्य तरीका क्या है?")</f>
        <v>ढोल खेल में पासिंग सटीकता बढ़ाने का सामान्य तरीका क्या है?</v>
      </c>
      <c r="H188" s="5" t="str">
        <f>IFERROR(__xludf.DUMMYFUNCTION("GOOGLETRANSLATE(C188, ""en"", ""hi"")"),"A) लक्ष्यों के साथ अभ्यास करना, B) दौड़ने के अभ्यास को बढ़ाना, C) गोलकीपिंग कौशल पर काम करना, D) रक्षात्मक रणनीतियों पर ध्यान केंद्रित करना")</f>
        <v>A) लक्ष्यों के साथ अभ्यास करना, B) दौड़ने के अभ्यास को बढ़ाना, C) गोलकीपिंग कौशल पर काम करना, D) रक्षात्मक रणनीतियों पर ध्यान केंद्रित करना</v>
      </c>
      <c r="I188" s="5" t="str">
        <f>IFERROR(__xludf.DUMMYFUNCTION("GOOGLETRANSLATE(D188, ""en"", ""hi"")"),"A) लक्ष्य के साथ अभ्यास करना")</f>
        <v>A) लक्ष्य के साथ अभ्यास करना</v>
      </c>
    </row>
    <row r="189" ht="22.5" customHeight="1">
      <c r="A189" s="2">
        <v>188.0</v>
      </c>
      <c r="B189" s="3" t="s">
        <v>5717</v>
      </c>
      <c r="C189" s="3" t="s">
        <v>5718</v>
      </c>
      <c r="D189" s="3" t="s">
        <v>5719</v>
      </c>
      <c r="F189" s="5" t="str">
        <f>IFERROR(__xludf.DUMMYFUNCTION("GOOGLETRANSLATE(A189, ""en"", ""hi"")"),"188")</f>
        <v>188</v>
      </c>
      <c r="G189" s="5" t="str">
        <f>IFERROR(__xludf.DUMMYFUNCTION("GOOGLETRANSLATE(B189, ""en"", ""hi"")"),"ढोल खेल में, यदि किसी खिलाड़ी को बहुत अधिक पीले कार्ड मिल जाएं तो आमतौर पर क्या होता है?")</f>
        <v>ढोल खेल में, यदि किसी खिलाड़ी को बहुत अधिक पीले कार्ड मिल जाएं तो आमतौर पर क्या होता है?</v>
      </c>
      <c r="H189" s="5" t="str">
        <f>IFERROR(__xludf.DUMMYFUNCTION("GOOGLETRANSLATE(C189, ""en"", ""hi"")"),"A) खिलाड़ी को लाल कार्ड मिलता है और उसे खेल से बाहर कर दिया जाता है, B) खिलाड़ी को प्रतिस्थापित किया जाता है, C) टीम को पेनल्टी मिलती है, D) खेल रोक दिया जाता है")</f>
        <v>A) खिलाड़ी को लाल कार्ड मिलता है और उसे खेल से बाहर कर दिया जाता है, B) खिलाड़ी को प्रतिस्थापित किया जाता है, C) टीम को पेनल्टी मिलती है, D) खेल रोक दिया जाता है</v>
      </c>
      <c r="I189" s="5" t="str">
        <f>IFERROR(__xludf.DUMMYFUNCTION("GOOGLETRANSLATE(D189, ""en"", ""hi"")"),"A) खिलाड़ी को लाल कार्ड मिलता है और उसे खेल से बाहर कर दिया जाता है")</f>
        <v>A) खिलाड़ी को लाल कार्ड मिलता है और उसे खेल से बाहर कर दिया जाता है</v>
      </c>
    </row>
    <row r="190" ht="22.5" customHeight="1">
      <c r="A190" s="2">
        <v>189.0</v>
      </c>
      <c r="B190" s="3" t="s">
        <v>5720</v>
      </c>
      <c r="C190" s="3" t="s">
        <v>5518</v>
      </c>
      <c r="D190" s="3" t="s">
        <v>5519</v>
      </c>
      <c r="F190" s="5" t="str">
        <f>IFERROR(__xludf.DUMMYFUNCTION("GOOGLETRANSLATE(A190, ""en"", ""hi"")"),"189")</f>
        <v>189</v>
      </c>
      <c r="G190" s="5" t="str">
        <f>IFERROR(__xludf.DUMMYFUNCTION("GOOGLETRANSLATE(B190, ""en"", ""hi"")"),"गेंद के साइडलाइन से बाहर चले जाने के बाद खेल को पुनः शुरू करने के लिए सामान्यतः कौन सी कार्रवाई की जाती है?")</f>
        <v>गेंद के साइडलाइन से बाहर चले जाने के बाद खेल को पुनः शुरू करने के लिए सामान्यतः कौन सी कार्रवाई की जाती है?</v>
      </c>
      <c r="H190" s="5" t="str">
        <f>IFERROR(__xludf.DUMMYFUNCTION("GOOGLETRANSLATE(C190, ""en"", ""hi"")"),"A) थ्रो-इन, B) गोल किक, C) कॉर्नर किक, D) फ्री किक")</f>
        <v>A) थ्रो-इन, B) गोल किक, C) कॉर्नर किक, D) फ्री किक</v>
      </c>
      <c r="I190" s="5" t="str">
        <f>IFERROR(__xludf.DUMMYFUNCTION("GOOGLETRANSLATE(D190, ""en"", ""hi"")"),"ए) थ्रो-इन")</f>
        <v>ए) थ्रो-इन</v>
      </c>
    </row>
    <row r="191" ht="22.5" customHeight="1">
      <c r="A191" s="2">
        <v>190.0</v>
      </c>
      <c r="B191" s="3" t="s">
        <v>5721</v>
      </c>
      <c r="C191" s="3" t="s">
        <v>5722</v>
      </c>
      <c r="D191" s="3" t="s">
        <v>5723</v>
      </c>
      <c r="F191" s="5" t="str">
        <f>IFERROR(__xludf.DUMMYFUNCTION("GOOGLETRANSLATE(A191, ""en"", ""hi"")"),"190")</f>
        <v>190</v>
      </c>
      <c r="G191" s="5" t="str">
        <f>IFERROR(__xludf.DUMMYFUNCTION("GOOGLETRANSLATE(B191, ""en"", ""hi"")"),"खेल के दौरान ढोल खेल मिडफील्डर का प्राथमिक उद्देश्य क्या होता है?")</f>
        <v>खेल के दौरान ढोल खेल मिडफील्डर का प्राथमिक उद्देश्य क्या होता है?</v>
      </c>
      <c r="H191" s="5" t="str">
        <f>IFERROR(__xludf.DUMMYFUNCTION("GOOGLETRANSLATE(C191, ""en"", ""hi"")"),"A) गेंद पर नियंत्रण रखना और स्कोरिंग के अवसर पैदा करना, B) गोल की रक्षा करना, C) शॉट रोकना, D) टीम का नेतृत्व करना")</f>
        <v>A) गेंद पर नियंत्रण रखना और स्कोरिंग के अवसर पैदा करना, B) गोल की रक्षा करना, C) शॉट रोकना, D) टीम का नेतृत्व करना</v>
      </c>
      <c r="I191" s="5" t="str">
        <f>IFERROR(__xludf.DUMMYFUNCTION("GOOGLETRANSLATE(D191, ""en"", ""hi"")"),"A) गेंद पर नियंत्रण रखना और स्कोरिंग के अवसर पैदा करना")</f>
        <v>A) गेंद पर नियंत्रण रखना और स्कोरिंग के अवसर पैदा करना</v>
      </c>
    </row>
    <row r="192" ht="22.5" customHeight="1">
      <c r="A192" s="2">
        <v>191.0</v>
      </c>
      <c r="B192" s="3" t="s">
        <v>5724</v>
      </c>
      <c r="C192" s="3" t="s">
        <v>5725</v>
      </c>
      <c r="D192" s="3" t="s">
        <v>5431</v>
      </c>
      <c r="F192" s="5" t="str">
        <f>IFERROR(__xludf.DUMMYFUNCTION("GOOGLETRANSLATE(A192, ""en"", ""hi"")"),"191")</f>
        <v>191</v>
      </c>
      <c r="G192" s="5" t="str">
        <f>IFERROR(__xludf.DUMMYFUNCTION("GOOGLETRANSLATE(B192, ""en"", ""hi"")"),"ढोल खेल में फिटनेस बनाए रखने के लिए आम प्रथा क्या है?")</f>
        <v>ढोल खेल में फिटनेस बनाए रखने के लिए आम प्रथा क्या है?</v>
      </c>
      <c r="H192" s="5" t="str">
        <f>IFERROR(__xludf.DUMMYFUNCTION("GOOGLETRANSLATE(C192, ""en"", ""hi"")"),"A) नियमित शारीरिक प्रशिक्षण, B) खेल रिकॉर्डिंग देखना, C) व्यक्तिगत खेल समय बढ़ाना, D) अभ्यास सत्रों को कम करना")</f>
        <v>A) नियमित शारीरिक प्रशिक्षण, B) खेल रिकॉर्डिंग देखना, C) व्यक्तिगत खेल समय बढ़ाना, D) अभ्यास सत्रों को कम करना</v>
      </c>
      <c r="I192" s="5" t="str">
        <f>IFERROR(__xludf.DUMMYFUNCTION("GOOGLETRANSLATE(D192, ""en"", ""hi"")"),"ए) नियमित शारीरिक प्रशिक्षण")</f>
        <v>ए) नियमित शारीरिक प्रशिक्षण</v>
      </c>
    </row>
    <row r="193" ht="22.5" customHeight="1">
      <c r="A193" s="2">
        <v>192.0</v>
      </c>
      <c r="B193" s="3" t="s">
        <v>5726</v>
      </c>
      <c r="C193" s="3" t="s">
        <v>5727</v>
      </c>
      <c r="D193" s="3" t="s">
        <v>5728</v>
      </c>
      <c r="F193" s="5" t="str">
        <f>IFERROR(__xludf.DUMMYFUNCTION("GOOGLETRANSLATE(A193, ""en"", ""hi"")"),"192")</f>
        <v>192</v>
      </c>
      <c r="G193" s="5" t="str">
        <f>IFERROR(__xludf.DUMMYFUNCTION("GOOGLETRANSLATE(B193, ""en"", ""hi"")"),"ढोल खेल में गोलकीपिंग ड्रिल की मुख्य भूमिका क्या है?")</f>
        <v>ढोल खेल में गोलकीपिंग ड्रिल की मुख्य भूमिका क्या है?</v>
      </c>
      <c r="H193" s="5" t="str">
        <f>IFERROR(__xludf.DUMMYFUNCTION("GOOGLETRANSLATE(C193, ""en"", ""hi"")"),"A) शॉट-ब्लॉकिंग कौशल में सुधार करने के लिए, B) गोल स्कोरिंग अवसरों को बढ़ाने के लिए, C) पासिंग सटीकता बढ़ाने के लिए, D) रक्षात्मक तकनीकों का अभ्यास करने के लिए")</f>
        <v>A) शॉट-ब्लॉकिंग कौशल में सुधार करने के लिए, B) गोल स्कोरिंग अवसरों को बढ़ाने के लिए, C) पासिंग सटीकता बढ़ाने के लिए, D) रक्षात्मक तकनीकों का अभ्यास करने के लिए</v>
      </c>
      <c r="I193" s="5" t="str">
        <f>IFERROR(__xludf.DUMMYFUNCTION("GOOGLETRANSLATE(D193, ""en"", ""hi"")"),"A) शॉट-ब्लॉकिंग कौशल में सुधार करने के लिए")</f>
        <v>A) शॉट-ब्लॉकिंग कौशल में सुधार करने के लिए</v>
      </c>
    </row>
    <row r="194" ht="22.5" customHeight="1">
      <c r="A194" s="2">
        <v>193.0</v>
      </c>
      <c r="B194" s="3" t="s">
        <v>5729</v>
      </c>
      <c r="C194" s="3" t="s">
        <v>5730</v>
      </c>
      <c r="D194" s="3" t="s">
        <v>5731</v>
      </c>
      <c r="F194" s="5" t="str">
        <f>IFERROR(__xludf.DUMMYFUNCTION("GOOGLETRANSLATE(A194, ""en"", ""hi"")"),"193")</f>
        <v>193</v>
      </c>
      <c r="G194" s="5" t="str">
        <f>IFERROR(__xludf.DUMMYFUNCTION("GOOGLETRANSLATE(B194, ""en"", ""hi"")"),"ढोल खेल फॉरवर्ड के प्रदर्शन को बेहतर बनाने के लिए कौन सी तकनीक महत्वपूर्ण है?")</f>
        <v>ढोल खेल फॉरवर्ड के प्रदर्शन को बेहतर बनाने के लिए कौन सी तकनीक महत्वपूर्ण है?</v>
      </c>
      <c r="H194" s="5" t="str">
        <f>IFERROR(__xludf.DUMMYFUNCTION("GOOGLETRANSLATE(C194, ""en"", ""hi"")"),"ए) स्कोरिंग अभ्यास, बी) रक्षात्मक अभ्यास, सी) पासिंग अभ्यास, डी) गोलकीपिंग अभ्यास")</f>
        <v>ए) स्कोरिंग अभ्यास, बी) रक्षात्मक अभ्यास, सी) पासिंग अभ्यास, डी) गोलकीपिंग अभ्यास</v>
      </c>
      <c r="I194" s="5" t="str">
        <f>IFERROR(__xludf.DUMMYFUNCTION("GOOGLETRANSLATE(D194, ""en"", ""hi"")"),"ए) स्कोरिंग अभ्यास")</f>
        <v>ए) स्कोरिंग अभ्यास</v>
      </c>
    </row>
    <row r="195" ht="22.5" customHeight="1">
      <c r="A195" s="2">
        <v>194.0</v>
      </c>
      <c r="B195" s="3" t="s">
        <v>5732</v>
      </c>
      <c r="C195" s="3" t="s">
        <v>5686</v>
      </c>
      <c r="D195" s="3" t="s">
        <v>5687</v>
      </c>
      <c r="F195" s="5" t="str">
        <f>IFERROR(__xludf.DUMMYFUNCTION("GOOGLETRANSLATE(A195, ""en"", ""hi"")"),"194")</f>
        <v>194</v>
      </c>
      <c r="G195" s="5" t="str">
        <f>IFERROR(__xludf.DUMMYFUNCTION("GOOGLETRANSLATE(B195, ""en"", ""hi"")"),"ढोल खेल में प्रतिस्थापन का एक सामान्य कारण क्या है?")</f>
        <v>ढोल खेल में प्रतिस्थापन का एक सामान्य कारण क्या है?</v>
      </c>
      <c r="H195" s="5" t="str">
        <f>IFERROR(__xludf.DUMMYFUNCTION("GOOGLETRANSLATE(C195, ""en"", ""hi"")"),"A) चोट या रणनीतिक बदलाव, B) गोल करना, C) पीला कार्ड प्राप्त करना, D) सफल पास")</f>
        <v>A) चोट या रणनीतिक बदलाव, B) गोल करना, C) पीला कार्ड प्राप्त करना, D) सफल पास</v>
      </c>
      <c r="I195" s="5" t="str">
        <f>IFERROR(__xludf.DUMMYFUNCTION("GOOGLETRANSLATE(D195, ""en"", ""hi"")"),"A) चोट या सामरिक परिवर्तन")</f>
        <v>A) चोट या सामरिक परिवर्तन</v>
      </c>
    </row>
    <row r="196" ht="22.5" customHeight="1">
      <c r="A196" s="2">
        <v>195.0</v>
      </c>
      <c r="B196" s="3" t="s">
        <v>5733</v>
      </c>
      <c r="C196" s="3" t="s">
        <v>5734</v>
      </c>
      <c r="D196" s="3" t="s">
        <v>5735</v>
      </c>
      <c r="F196" s="5" t="str">
        <f>IFERROR(__xludf.DUMMYFUNCTION("GOOGLETRANSLATE(A196, ""en"", ""hi"")"),"195")</f>
        <v>195</v>
      </c>
      <c r="G196" s="5" t="str">
        <f>IFERROR(__xludf.DUMMYFUNCTION("GOOGLETRANSLATE(B196, ""en"", ""hi"")"),"ढोल खेल में पेनल्टी किक के बाद खेल कैसे पुनः शुरू किया जाता है?")</f>
        <v>ढोल खेल में पेनल्टी किक के बाद खेल कैसे पुनः शुरू किया जाता है?</v>
      </c>
      <c r="H196" s="5" t="str">
        <f>IFERROR(__xludf.DUMMYFUNCTION("GOOGLETRANSLATE(C196, ""en"", ""hi"")"),"A) मैदान के केंद्र से किक-ऑफ द्वारा, B) गोल किक द्वारा, C) थ्रो-इन द्वारा, D) कॉर्नर किक द्वारा")</f>
        <v>A) मैदान के केंद्र से किक-ऑफ द्वारा, B) गोल किक द्वारा, C) थ्रो-इन द्वारा, D) कॉर्नर किक द्वारा</v>
      </c>
      <c r="I196" s="5" t="str">
        <f>IFERROR(__xludf.DUMMYFUNCTION("GOOGLETRANSLATE(D196, ""en"", ""hi"")"),"A) मैदान के केंद्र से किक-ऑफ द्वारा")</f>
        <v>A) मैदान के केंद्र से किक-ऑफ द्वारा</v>
      </c>
    </row>
    <row r="197" ht="22.5" customHeight="1">
      <c r="A197" s="2">
        <v>196.0</v>
      </c>
      <c r="B197" s="3" t="s">
        <v>5736</v>
      </c>
      <c r="C197" s="3" t="s">
        <v>5737</v>
      </c>
      <c r="D197" s="3" t="s">
        <v>5738</v>
      </c>
      <c r="F197" s="5" t="str">
        <f>IFERROR(__xludf.DUMMYFUNCTION("GOOGLETRANSLATE(A197, ""en"", ""hi"")"),"196")</f>
        <v>196</v>
      </c>
      <c r="G197" s="5" t="str">
        <f>IFERROR(__xludf.DUMMYFUNCTION("GOOGLETRANSLATE(B197, ""en"", ""hi"")"),"ढोल खेल में कॉर्नर किक के दौरान डिफेंडर की क्या भूमिका होती है?")</f>
        <v>ढोल खेल में कॉर्नर किक के दौरान डिफेंडर की क्या भूमिका होती है?</v>
      </c>
      <c r="H197" s="5" t="str">
        <f>IFERROR(__xludf.DUMMYFUNCTION("GOOGLETRANSLATE(C197, ""en"", ""hi"")"),"A) गेंद को गोल क्षेत्र से रोकना या साफ़ करना, B) कॉर्नर किक लेना, C) गोल करना, D) गेंद को टीम के साथियों को पास करना")</f>
        <v>A) गेंद को गोल क्षेत्र से रोकना या साफ़ करना, B) कॉर्नर किक लेना, C) गोल करना, D) गेंद को टीम के साथियों को पास करना</v>
      </c>
      <c r="I197" s="5" t="str">
        <f>IFERROR(__xludf.DUMMYFUNCTION("GOOGLETRANSLATE(D197, ""en"", ""hi"")"),"A) गेंद को गोल क्षेत्र से रोकना या साफ़ करना")</f>
        <v>A) गेंद को गोल क्षेत्र से रोकना या साफ़ करना</v>
      </c>
    </row>
    <row r="198" ht="22.5" customHeight="1">
      <c r="A198" s="2">
        <v>197.0</v>
      </c>
      <c r="B198" s="3" t="s">
        <v>5739</v>
      </c>
      <c r="C198" s="3" t="s">
        <v>5740</v>
      </c>
      <c r="D198" s="3" t="s">
        <v>5741</v>
      </c>
      <c r="F198" s="5" t="str">
        <f>IFERROR(__xludf.DUMMYFUNCTION("GOOGLETRANSLATE(A198, ""en"", ""hi"")"),"197")</f>
        <v>197</v>
      </c>
      <c r="G198" s="5" t="str">
        <f>IFERROR(__xludf.DUMMYFUNCTION("GOOGLETRANSLATE(B198, ""en"", ""hi"")"),"ढोल खेल में बॉल पासिंग सुधारने के लिए कौन सी तकनीक आवश्यक है?")</f>
        <v>ढोल खेल में बॉल पासिंग सुधारने के लिए कौन सी तकनीक आवश्यक है?</v>
      </c>
      <c r="H198" s="5" t="str">
        <f>IFERROR(__xludf.DUMMYFUNCTION("GOOGLETRANSLATE(C198, ""en"", ""hi"")"),"ए) सटीकता लक्ष्यों के साथ पासिंग अभ्यास, बी) ड्रिब्लिंग अभ्यास, सी) गोलकीपिंग अभ्यास, डी) रक्षात्मक अभ्यास")</f>
        <v>ए) सटीकता लक्ष्यों के साथ पासिंग अभ्यास, बी) ड्रिब्लिंग अभ्यास, सी) गोलकीपिंग अभ्यास, डी) रक्षात्मक अभ्यास</v>
      </c>
      <c r="I198" s="5" t="str">
        <f>IFERROR(__xludf.DUMMYFUNCTION("GOOGLETRANSLATE(D198, ""en"", ""hi"")"),"ए) सटीकता लक्ष्यों के साथ पासिंग अभ्यास")</f>
        <v>ए) सटीकता लक्ष्यों के साथ पासिंग अभ्यास</v>
      </c>
    </row>
    <row r="199" ht="22.5" customHeight="1">
      <c r="A199" s="2">
        <v>198.0</v>
      </c>
      <c r="B199" s="3" t="s">
        <v>5742</v>
      </c>
      <c r="C199" s="3" t="s">
        <v>5743</v>
      </c>
      <c r="D199" s="3" t="s">
        <v>5744</v>
      </c>
      <c r="F199" s="5" t="str">
        <f>IFERROR(__xludf.DUMMYFUNCTION("GOOGLETRANSLATE(A199, ""en"", ""hi"")"),"198")</f>
        <v>198</v>
      </c>
      <c r="G199" s="5" t="str">
        <f>IFERROR(__xludf.DUMMYFUNCTION("GOOGLETRANSLATE(B199, ""en"", ""hi"")"),"ढोल खेल फॉरवर्ड के प्रशिक्षण का मुख्य घटक क्या है?")</f>
        <v>ढोल खेल फॉरवर्ड के प्रशिक्षण का मुख्य घटक क्या है?</v>
      </c>
      <c r="H199" s="5" t="str">
        <f>IFERROR(__xludf.DUMMYFUNCTION("GOOGLETRANSLATE(C199, ""en"", ""hi"")"),"ए) शूटिंग अभ्यास, बी) गोलकीपिंग अभ्यास, सी) रक्षात्मक रणनीतियाँ, डी) पासिंग सटीकता")</f>
        <v>ए) शूटिंग अभ्यास, बी) गोलकीपिंग अभ्यास, सी) रक्षात्मक रणनीतियाँ, डी) पासिंग सटीकता</v>
      </c>
      <c r="I199" s="5" t="str">
        <f>IFERROR(__xludf.DUMMYFUNCTION("GOOGLETRANSLATE(D199, ""en"", ""hi"")"),"ए) शूटिंग अभ्यास")</f>
        <v>ए) शूटिंग अभ्यास</v>
      </c>
    </row>
    <row r="200" ht="22.5" customHeight="1">
      <c r="A200" s="2">
        <v>199.0</v>
      </c>
      <c r="B200" s="3" t="s">
        <v>5745</v>
      </c>
      <c r="C200" s="3" t="s">
        <v>5746</v>
      </c>
      <c r="D200" s="3" t="s">
        <v>5747</v>
      </c>
      <c r="F200" s="5" t="str">
        <f>IFERROR(__xludf.DUMMYFUNCTION("GOOGLETRANSLATE(A200, ""en"", ""hi"")"),"199")</f>
        <v>199</v>
      </c>
      <c r="G200" s="5" t="str">
        <f>IFERROR(__xludf.DUMMYFUNCTION("GOOGLETRANSLATE(B200, ""en"", ""hi"")"),"ढोल खेल में फ्री किक के बाद खेल को पुनः शुरू करने के लिए आमतौर पर क्या उपयोग किया जाता है?")</f>
        <v>ढोल खेल में फ्री किक के बाद खेल को पुनः शुरू करने के लिए आमतौर पर क्या उपयोग किया जाता है?</v>
      </c>
      <c r="H200" s="5" t="str">
        <f>IFERROR(__xludf.DUMMYFUNCTION("GOOGLETRANSLATE(C200, ""en"", ""hi"")"),"A) फ़ाउल के स्थान से गेंद को किक करके, B) थ्रो-इन द्वारा, C) कॉर्नर किक द्वारा, D) गोल किक द्वारा")</f>
        <v>A) फ़ाउल के स्थान से गेंद को किक करके, B) थ्रो-इन द्वारा, C) कॉर्नर किक द्वारा, D) गोल किक द्वारा</v>
      </c>
      <c r="I200" s="5" t="str">
        <f>IFERROR(__xludf.DUMMYFUNCTION("GOOGLETRANSLATE(D200, ""en"", ""hi"")"),"A) फ़ाउल के स्थान से गेंद को किक करके")</f>
        <v>A) फ़ाउल के स्थान से गेंद को किक करके</v>
      </c>
    </row>
    <row r="201" ht="22.5" customHeight="1">
      <c r="A201" s="2">
        <v>200.0</v>
      </c>
      <c r="B201" s="3" t="s">
        <v>5748</v>
      </c>
      <c r="C201" s="3" t="s">
        <v>5749</v>
      </c>
      <c r="D201" s="3" t="s">
        <v>5750</v>
      </c>
      <c r="F201" s="5" t="str">
        <f>IFERROR(__xludf.DUMMYFUNCTION("GOOGLETRANSLATE(A201, ""en"", ""hi"")"),"200")</f>
        <v>200</v>
      </c>
      <c r="G201" s="5" t="str">
        <f>IFERROR(__xludf.DUMMYFUNCTION("GOOGLETRANSLATE(B201, ""en"", ""hi"")"),"ढोल खेल में रक्षात्मक प्रशिक्षण का मुख्य फोकस क्या है?")</f>
        <v>ढोल खेल में रक्षात्मक प्रशिक्षण का मुख्य फोकस क्या है?</v>
      </c>
      <c r="H201" s="5" t="str">
        <f>IFERROR(__xludf.DUMMYFUNCTION("GOOGLETRANSLATE(C201, ""en"", ""hi"")"),"A) गेंद को रोकना और साफ़ करना, B) गोल करना, C) पासिंग सटीकता, D) गोलकीपिंग कौशल")</f>
        <v>A) गेंद को रोकना और साफ़ करना, B) गोल करना, C) पासिंग सटीकता, D) गोलकीपिंग कौशल</v>
      </c>
      <c r="I201" s="5" t="str">
        <f>IFERROR(__xludf.DUMMYFUNCTION("GOOGLETRANSLATE(D201, ""en"", ""hi"")"),"A) गेंद को रोकना और साफ़ करना")</f>
        <v>A) गेंद को रोकना और साफ़ करना</v>
      </c>
    </row>
    <row r="202" ht="22.5" customHeight="1">
      <c r="A202" s="2">
        <v>201.0</v>
      </c>
      <c r="B202" s="3" t="s">
        <v>5751</v>
      </c>
      <c r="C202" s="3" t="s">
        <v>5648</v>
      </c>
      <c r="D202" s="3" t="s">
        <v>5649</v>
      </c>
      <c r="F202" s="5" t="str">
        <f>IFERROR(__xludf.DUMMYFUNCTION("GOOGLETRANSLATE(A202, ""en"", ""hi"")"),"201")</f>
        <v>201</v>
      </c>
      <c r="G202" s="5" t="str">
        <f>IFERROR(__xludf.DUMMYFUNCTION("GOOGLETRANSLATE(B202, ""en"", ""hi"")"),"ढोल खेल में आक्रमण शुरू करने के लिए कौन सी स्थिति महत्वपूर्ण है?")</f>
        <v>ढोल खेल में आक्रमण शुरू करने के लिए कौन सी स्थिति महत्वपूर्ण है?</v>
      </c>
      <c r="H202" s="5" t="str">
        <f>IFERROR(__xludf.DUMMYFUNCTION("GOOGLETRANSLATE(C202, ""en"", ""hi"")"),"A) मिडफील्डर, B) डिफेंडर, C) फॉरवर्ड, D) गोलकीपर")</f>
        <v>A) मिडफील्डर, B) डिफेंडर, C) फॉरवर्ड, D) गोलकीपर</v>
      </c>
      <c r="I202" s="5" t="str">
        <f>IFERROR(__xludf.DUMMYFUNCTION("GOOGLETRANSLATE(D202, ""en"", ""hi"")"),"A) मिडफील्डर")</f>
        <v>A) मिडफील्डर</v>
      </c>
    </row>
    <row r="203" ht="22.5" customHeight="1">
      <c r="A203" s="2">
        <v>202.0</v>
      </c>
      <c r="B203" s="3" t="s">
        <v>5752</v>
      </c>
      <c r="C203" s="3" t="s">
        <v>5753</v>
      </c>
      <c r="D203" s="3" t="s">
        <v>5754</v>
      </c>
      <c r="F203" s="5" t="str">
        <f>IFERROR(__xludf.DUMMYFUNCTION("GOOGLETRANSLATE(A203, ""en"", ""hi"")"),"202")</f>
        <v>202</v>
      </c>
      <c r="G203" s="5" t="str">
        <f>IFERROR(__xludf.DUMMYFUNCTION("GOOGLETRANSLATE(B203, ""en"", ""hi"")"),"ढोल खेल में गोल किक का सामान्य कारण क्या है?")</f>
        <v>ढोल खेल में गोल किक का सामान्य कारण क्या है?</v>
      </c>
      <c r="H203" s="5" t="str">
        <f>IFERROR(__xludf.DUMMYFUNCTION("GOOGLETRANSLATE(C203, ""en"", ""hi"")"),"A) किसी हमलावर द्वारा गेंद को छूने के बाद गेंद का गोल लाइन के पार सीमा से बाहर जाना, B) गेंद का साइडलाइन के पार सीमा से बाहर जाना, C) मामूली फ़ाउल, D) सफल पास")</f>
        <v>A) किसी हमलावर द्वारा गेंद को छूने के बाद गेंद का गोल लाइन के पार सीमा से बाहर जाना, B) गेंद का साइडलाइन के पार सीमा से बाहर जाना, C) मामूली फ़ाउल, D) सफल पास</v>
      </c>
      <c r="I203" s="5" t="str">
        <f>IFERROR(__xludf.DUMMYFUNCTION("GOOGLETRANSLATE(D203, ""en"", ""hi"")"),"A) किसी हमलावर द्वारा गेंद को छूने के बाद गेंद का गोल लाइन के पार सीमा से बाहर जाना")</f>
        <v>A) किसी हमलावर द्वारा गेंद को छूने के बाद गेंद का गोल लाइन के पार सीमा से बाहर जाना</v>
      </c>
    </row>
    <row r="204" ht="22.5" customHeight="1">
      <c r="A204" s="2">
        <v>203.0</v>
      </c>
      <c r="B204" s="3" t="s">
        <v>5755</v>
      </c>
      <c r="C204" s="3" t="s">
        <v>5756</v>
      </c>
      <c r="D204" s="3" t="s">
        <v>656</v>
      </c>
      <c r="F204" s="5" t="str">
        <f>IFERROR(__xludf.DUMMYFUNCTION("GOOGLETRANSLATE(A204, ""en"", ""hi"")"),"203")</f>
        <v>203</v>
      </c>
      <c r="G204" s="5" t="str">
        <f>IFERROR(__xludf.DUMMYFUNCTION("GOOGLETRANSLATE(B204, ""en"", ""hi"")"),"ढोल खेल में यदि कोई खिलाड़ी खेल के दौरान घायल हो जाए तो क्या कार्रवाई की जाती है?")</f>
        <v>ढोल खेल में यदि कोई खिलाड़ी खेल के दौरान घायल हो जाए तो क्या कार्रवाई की जाती है?</v>
      </c>
      <c r="H204" s="5" t="str">
        <f>IFERROR(__xludf.DUMMYFUNCTION("GOOGLETRANSLATE(C204, ""en"", ""hi"")"),"A) खिलाड़ी को प्रतिस्थापित किया जाता है, B) खेल को रोक दिया जाता है, C) खिलाड़ी को टाइमआउट मिलता है, D) खेल जारी रहता है")</f>
        <v>A) खिलाड़ी को प्रतिस्थापित किया जाता है, B) खेल को रोक दिया जाता है, C) खिलाड़ी को टाइमआउट मिलता है, D) खेल जारी रहता है</v>
      </c>
      <c r="I204" s="5" t="str">
        <f>IFERROR(__xludf.DUMMYFUNCTION("GOOGLETRANSLATE(D204, ""en"", ""hi"")"),"A) खिलाड़ी को प्रतिस्थापित किया जाता है")</f>
        <v>A) खिलाड़ी को प्रतिस्थापित किया जाता है</v>
      </c>
    </row>
    <row r="205" ht="22.5" customHeight="1">
      <c r="A205" s="2">
        <v>204.0</v>
      </c>
      <c r="B205" s="3" t="s">
        <v>5757</v>
      </c>
      <c r="C205" s="3" t="s">
        <v>5758</v>
      </c>
      <c r="D205" s="3" t="s">
        <v>5759</v>
      </c>
      <c r="F205" s="5" t="str">
        <f>IFERROR(__xludf.DUMMYFUNCTION("GOOGLETRANSLATE(A205, ""en"", ""hi"")"),"204")</f>
        <v>204</v>
      </c>
      <c r="G205" s="5" t="str">
        <f>IFERROR(__xludf.DUMMYFUNCTION("GOOGLETRANSLATE(B205, ""en"", ""hi"")"),"ढोल खेल में रक्षात्मक कौशल सुधारने के लिए कौन सा अभ्यास आवश्यक है?")</f>
        <v>ढोल खेल में रक्षात्मक कौशल सुधारने के लिए कौन सा अभ्यास आवश्यक है?</v>
      </c>
      <c r="H205" s="5" t="str">
        <f>IFERROR(__xludf.DUMMYFUNCTION("GOOGLETRANSLATE(C205, ""en"", ""hi"")"),"ए) ब्लॉकिंग और टैकलिंग अभ्यास, बी) गोलकीपिंग अभ्यास, सी) पासिंग अभ्यास, डी) स्कोरिंग अभ्यास")</f>
        <v>ए) ब्लॉकिंग और टैकलिंग अभ्यास, बी) गोलकीपिंग अभ्यास, सी) पासिंग अभ्यास, डी) स्कोरिंग अभ्यास</v>
      </c>
      <c r="I205" s="5" t="str">
        <f>IFERROR(__xludf.DUMMYFUNCTION("GOOGLETRANSLATE(D205, ""en"", ""hi"")"),"ए) ब्लॉकिंग और टैकलिंग अभ्यास")</f>
        <v>ए) ब्लॉकिंग और टैकलिंग अभ्यास</v>
      </c>
    </row>
    <row r="206" ht="22.5" customHeight="1">
      <c r="A206" s="2">
        <v>205.0</v>
      </c>
      <c r="B206" s="3" t="s">
        <v>5760</v>
      </c>
      <c r="C206" s="3" t="s">
        <v>5761</v>
      </c>
      <c r="D206" s="3" t="s">
        <v>5762</v>
      </c>
      <c r="F206" s="5" t="str">
        <f>IFERROR(__xludf.DUMMYFUNCTION("GOOGLETRANSLATE(A206, ""en"", ""hi"")"),"205")</f>
        <v>205</v>
      </c>
      <c r="G206" s="5" t="str">
        <f>IFERROR(__xludf.DUMMYFUNCTION("GOOGLETRANSLATE(B206, ""en"", ""hi"")"),"गोलकीपरों के लिए ढोल खेल प्रशिक्षण सत्र का फोकस आमतौर पर क्या होता है?")</f>
        <v>गोलकीपरों के लिए ढोल खेल प्रशिक्षण सत्र का फोकस आमतौर पर क्या होता है?</v>
      </c>
      <c r="H206" s="5" t="str">
        <f>IFERROR(__xludf.DUMMYFUNCTION("GOOGLETRANSLATE(C206, ""en"", ""hi"")"),"ए) शॉट रोकना और पोजिशनिंग, बी) गोल करना, सी) पासिंग सटीकता, डी) रक्षात्मक रणनीतियाँ")</f>
        <v>ए) शॉट रोकना और पोजिशनिंग, बी) गोल करना, सी) पासिंग सटीकता, डी) रक्षात्मक रणनीतियाँ</v>
      </c>
      <c r="I206" s="5" t="str">
        <f>IFERROR(__xludf.DUMMYFUNCTION("GOOGLETRANSLATE(D206, ""en"", ""hi"")"),"A) शॉट-स्टॉपिंग और पोजिशनिंग")</f>
        <v>A) शॉट-स्टॉपिंग और पोजिशनिंग</v>
      </c>
    </row>
    <row r="207" ht="22.5" customHeight="1">
      <c r="A207" s="2">
        <v>206.0</v>
      </c>
      <c r="B207" s="3" t="s">
        <v>5763</v>
      </c>
      <c r="C207" s="3" t="s">
        <v>5764</v>
      </c>
      <c r="D207" s="3" t="s">
        <v>5765</v>
      </c>
      <c r="F207" s="5" t="str">
        <f>IFERROR(__xludf.DUMMYFUNCTION("GOOGLETRANSLATE(A207, ""en"", ""hi"")"),"206")</f>
        <v>206</v>
      </c>
      <c r="G207" s="5" t="str">
        <f>IFERROR(__xludf.DUMMYFUNCTION("GOOGLETRANSLATE(B207, ""en"", ""hi"")"),"ढोल खेल में, यदि गेंद को साइडलाइन के पार मार दिया जाए तो क्या होता है?")</f>
        <v>ढोल खेल में, यदि गेंद को साइडलाइन के पार मार दिया जाए तो क्या होता है?</v>
      </c>
      <c r="H207" s="5" t="str">
        <f>IFERROR(__xludf.DUMMYFUNCTION("GOOGLETRANSLATE(C207, ""en"", ""hi"")"),"A) थ्रो-इन दिया जाता है, B) कॉर्नर किक दी जाती है, C) गोल किक दी जाती है, D) पेनल्टी किक दी जाती है")</f>
        <v>A) थ्रो-इन दिया जाता है, B) कॉर्नर किक दी जाती है, C) गोल किक दी जाती है, D) पेनल्टी किक दी जाती है</v>
      </c>
      <c r="I207" s="5" t="str">
        <f>IFERROR(__xludf.DUMMYFUNCTION("GOOGLETRANSLATE(D207, ""en"", ""hi"")"),"A) थ्रो-इन प्रदान किया जाता है")</f>
        <v>A) थ्रो-इन प्रदान किया जाता है</v>
      </c>
    </row>
    <row r="208" ht="22.5" customHeight="1">
      <c r="A208" s="2">
        <v>207.0</v>
      </c>
      <c r="B208" s="3" t="s">
        <v>5766</v>
      </c>
      <c r="C208" s="3" t="s">
        <v>5767</v>
      </c>
      <c r="D208" s="3" t="s">
        <v>5768</v>
      </c>
      <c r="F208" s="5" t="str">
        <f>IFERROR(__xludf.DUMMYFUNCTION("GOOGLETRANSLATE(A208, ""en"", ""hi"")"),"207")</f>
        <v>207</v>
      </c>
      <c r="G208" s="5" t="str">
        <f>IFERROR(__xludf.DUMMYFUNCTION("GOOGLETRANSLATE(B208, ""en"", ""hi"")"),"ढोल खेल में ड्रिब्लिंग कौशल का अभ्यास करने का प्राथमिक उद्देश्य क्या है?")</f>
        <v>ढोल खेल में ड्रिब्लिंग कौशल का अभ्यास करने का प्राथमिक उद्देश्य क्या है?</v>
      </c>
      <c r="H208" s="5" t="str">
        <f>IFERROR(__xludf.DUMMYFUNCTION("GOOGLETRANSLATE(C208, ""en"", ""hi"")"),"A) गेंद पर नियंत्रण और गतिशीलता में सुधार करने के लिए, B) गोलकीपिंग कौशल को बढ़ाने के लिए, C) शॉट को रोकने के लिए, D) पासिंग सटीकता बढ़ाने के लिए")</f>
        <v>A) गेंद पर नियंत्रण और गतिशीलता में सुधार करने के लिए, B) गोलकीपिंग कौशल को बढ़ाने के लिए, C) शॉट को रोकने के लिए, D) पासिंग सटीकता बढ़ाने के लिए</v>
      </c>
      <c r="I208" s="5" t="str">
        <f>IFERROR(__xludf.DUMMYFUNCTION("GOOGLETRANSLATE(D208, ""en"", ""hi"")"),"A) गेंद पर नियंत्रण और गतिशीलता में सुधार करने के लिए")</f>
        <v>A) गेंद पर नियंत्रण और गतिशीलता में सुधार करने के लिए</v>
      </c>
    </row>
    <row r="209" ht="22.5" customHeight="1">
      <c r="A209" s="2">
        <v>208.0</v>
      </c>
      <c r="B209" s="3" t="s">
        <v>5769</v>
      </c>
      <c r="C209" s="3" t="s">
        <v>5679</v>
      </c>
      <c r="D209" s="3" t="s">
        <v>5649</v>
      </c>
      <c r="F209" s="5" t="str">
        <f>IFERROR(__xludf.DUMMYFUNCTION("GOOGLETRANSLATE(A209, ""en"", ""hi"")"),"208")</f>
        <v>208</v>
      </c>
      <c r="G209" s="5" t="str">
        <f>IFERROR(__xludf.DUMMYFUNCTION("GOOGLETRANSLATE(B209, ""en"", ""hi"")"),"ढोल खेल में किस स्थिति में आमतौर पर रणनीतिक पास बनाने और खेल स्थापित करने का काम सौंपा जाता है?")</f>
        <v>ढोल खेल में किस स्थिति में आमतौर पर रणनीतिक पास बनाने और खेल स्थापित करने का काम सौंपा जाता है?</v>
      </c>
      <c r="H209" s="5" t="str">
        <f>IFERROR(__xludf.DUMMYFUNCTION("GOOGLETRANSLATE(C209, ""en"", ""hi"")"),"A) मिडफील्डर, B) फॉरवर्ड, C) डिफेंडर, D) गोलकीपर")</f>
        <v>A) मिडफील्डर, B) फॉरवर्ड, C) डिफेंडर, D) गोलकीपर</v>
      </c>
      <c r="I209" s="5" t="str">
        <f>IFERROR(__xludf.DUMMYFUNCTION("GOOGLETRANSLATE(D209, ""en"", ""hi"")"),"A) मिडफील्डर")</f>
        <v>A) मिडफील्डर</v>
      </c>
    </row>
    <row r="210" ht="22.5" customHeight="1">
      <c r="A210" s="2">
        <v>209.0</v>
      </c>
      <c r="B210" s="3" t="s">
        <v>5770</v>
      </c>
      <c r="C210" s="3" t="s">
        <v>5771</v>
      </c>
      <c r="D210" s="3" t="s">
        <v>5772</v>
      </c>
      <c r="F210" s="5" t="str">
        <f>IFERROR(__xludf.DUMMYFUNCTION("GOOGLETRANSLATE(A210, ""en"", ""hi"")"),"209")</f>
        <v>209</v>
      </c>
      <c r="G210" s="5" t="str">
        <f>IFERROR(__xludf.DUMMYFUNCTION("GOOGLETRANSLATE(B210, ""en"", ""hi"")"),"ढोल खेल में कॉर्नर किक कैसे लगाई जाती है?")</f>
        <v>ढोल खेल में कॉर्नर किक कैसे लगाई जाती है?</v>
      </c>
      <c r="H210" s="5" t="str">
        <f>IFERROR(__xludf.DUMMYFUNCTION("GOOGLETRANSLATE(C210, ""en"", ""hi"")"),"A) मैदान के कोने से गेंद को किक करके, B) साइडलाइन से गेंद को फेंककर, C) गोल क्षेत्र से गेंद को किक करके, D) केंद्र से गेंद को पास करके")</f>
        <v>A) मैदान के कोने से गेंद को किक करके, B) साइडलाइन से गेंद को फेंककर, C) गोल क्षेत्र से गेंद को किक करके, D) केंद्र से गेंद को पास करके</v>
      </c>
      <c r="I210" s="5" t="str">
        <f>IFERROR(__xludf.DUMMYFUNCTION("GOOGLETRANSLATE(D210, ""en"", ""hi"")"),"A) मैदान के कोने से गेंद को किक मारकर")</f>
        <v>A) मैदान के कोने से गेंद को किक मारकर</v>
      </c>
    </row>
    <row r="211" ht="22.5" customHeight="1">
      <c r="A211" s="2">
        <v>210.0</v>
      </c>
      <c r="B211" s="3" t="s">
        <v>5773</v>
      </c>
      <c r="C211" s="3" t="s">
        <v>5774</v>
      </c>
      <c r="D211" s="3" t="s">
        <v>5775</v>
      </c>
      <c r="F211" s="5" t="str">
        <f>IFERROR(__xludf.DUMMYFUNCTION("GOOGLETRANSLATE(A211, ""en"", ""hi"")"),"210")</f>
        <v>210</v>
      </c>
      <c r="G211" s="5" t="str">
        <f>IFERROR(__xludf.DUMMYFUNCTION("GOOGLETRANSLATE(B211, ""en"", ""hi"")"),"ढोल खेल में कॉर्नर किक के दौरान डिफेंडर की सामान्य भूमिका क्या होती है?")</f>
        <v>ढोल खेल में कॉर्नर किक के दौरान डिफेंडर की सामान्य भूमिका क्या होती है?</v>
      </c>
      <c r="H211" s="5" t="str">
        <f>IFERROR(__xludf.DUMMYFUNCTION("GOOGLETRANSLATE(C211, ""en"", ""hi"")"),"A) गेंद को रोकना या साफ़ करना, B) कॉर्नर किक लेना, C) गोल करना, D) टीम के साथियों को गेंद पास करना")</f>
        <v>A) गेंद को रोकना या साफ़ करना, B) कॉर्नर किक लेना, C) गोल करना, D) टीम के साथियों को गेंद पास करना</v>
      </c>
      <c r="I211" s="5" t="str">
        <f>IFERROR(__xludf.DUMMYFUNCTION("GOOGLETRANSLATE(D211, ""en"", ""hi"")"),"A) गेंद को रोकना या साफ़ करना")</f>
        <v>A) गेंद को रोकना या साफ़ करना</v>
      </c>
    </row>
    <row r="212" ht="22.5" customHeight="1">
      <c r="A212" s="2">
        <v>211.0</v>
      </c>
      <c r="B212" s="3" t="s">
        <v>5776</v>
      </c>
      <c r="C212" s="3" t="s">
        <v>5777</v>
      </c>
      <c r="D212" s="3" t="s">
        <v>5744</v>
      </c>
      <c r="F212" s="5" t="str">
        <f>IFERROR(__xludf.DUMMYFUNCTION("GOOGLETRANSLATE(A212, ""en"", ""hi"")"),"211")</f>
        <v>211</v>
      </c>
      <c r="G212" s="5" t="str">
        <f>IFERROR(__xludf.DUMMYFUNCTION("GOOGLETRANSLATE(B212, ""en"", ""hi"")"),"ढोल खेल में फॉरवर्ड की गोल स्कोरिंग क्षमता में सुधार करने की मानक तकनीक क्या है?")</f>
        <v>ढोल खेल में फॉरवर्ड की गोल स्कोरिंग क्षमता में सुधार करने की मानक तकनीक क्या है?</v>
      </c>
      <c r="H212" s="5" t="str">
        <f>IFERROR(__xludf.DUMMYFUNCTION("GOOGLETRANSLATE(C212, ""en"", ""hi"")"),"ए) शूटिंग अभ्यास, बी) गोलकीपिंग अभ्यास, सी) रक्षात्मक अभ्यास, डी) पासिंग अभ्यास")</f>
        <v>ए) शूटिंग अभ्यास, बी) गोलकीपिंग अभ्यास, सी) रक्षात्मक अभ्यास, डी) पासिंग अभ्यास</v>
      </c>
      <c r="I212" s="5" t="str">
        <f>IFERROR(__xludf.DUMMYFUNCTION("GOOGLETRANSLATE(D212, ""en"", ""hi"")"),"ए) शूटिंग अभ्यास")</f>
        <v>ए) शूटिंग अभ्यास</v>
      </c>
    </row>
    <row r="213" ht="22.5" customHeight="1">
      <c r="A213" s="2">
        <v>212.0</v>
      </c>
      <c r="B213" s="3" t="s">
        <v>5778</v>
      </c>
      <c r="C213" s="3" t="s">
        <v>5779</v>
      </c>
      <c r="D213" s="3" t="s">
        <v>5780</v>
      </c>
      <c r="F213" s="5" t="str">
        <f>IFERROR(__xludf.DUMMYFUNCTION("GOOGLETRANSLATE(A213, ""en"", ""hi"")"),"212")</f>
        <v>212</v>
      </c>
      <c r="G213" s="5" t="str">
        <f>IFERROR(__xludf.DUMMYFUNCTION("GOOGLETRANSLATE(B213, ""en"", ""hi"")"),"ढोल खेल में, यदि किसी खिलाड़ी को लाल कार्ड मिलता है तो आमतौर पर क्या कार्रवाई की जाती है?")</f>
        <v>ढोल खेल में, यदि किसी खिलाड़ी को लाल कार्ड मिलता है तो आमतौर पर क्या कार्रवाई की जाती है?</v>
      </c>
      <c r="H213" s="5" t="str">
        <f>IFERROR(__xludf.DUMMYFUNCTION("GOOGLETRANSLATE(C213, ""en"", ""hi"")"),"A) खिलाड़ी को खेल से बाहर कर दिया जाता है, B) खिलाड़ी को प्रतिस्थापित कर दिया जाता है, C) टीम को पेनल्टी मिलती है, D) खेल रोक दिया जाता है")</f>
        <v>A) खिलाड़ी को खेल से बाहर कर दिया जाता है, B) खिलाड़ी को प्रतिस्थापित कर दिया जाता है, C) टीम को पेनल्टी मिलती है, D) खेल रोक दिया जाता है</v>
      </c>
      <c r="I213" s="5" t="str">
        <f>IFERROR(__xludf.DUMMYFUNCTION("GOOGLETRANSLATE(D213, ""en"", ""hi"")"),"A) खिलाड़ी को खेल से बाहर कर दिया जाता है")</f>
        <v>A) खिलाड़ी को खेल से बाहर कर दिया जाता है</v>
      </c>
    </row>
    <row r="214" ht="22.5" customHeight="1">
      <c r="A214" s="2">
        <v>213.0</v>
      </c>
      <c r="B214" s="3" t="s">
        <v>5781</v>
      </c>
      <c r="C214" s="3" t="s">
        <v>5782</v>
      </c>
      <c r="D214" s="3" t="s">
        <v>5783</v>
      </c>
      <c r="F214" s="5" t="str">
        <f>IFERROR(__xludf.DUMMYFUNCTION("GOOGLETRANSLATE(A214, ""en"", ""hi"")"),"213")</f>
        <v>213</v>
      </c>
      <c r="G214" s="5" t="str">
        <f>IFERROR(__xludf.DUMMYFUNCTION("GOOGLETRANSLATE(B214, ""en"", ""hi"")"),"ढोल खेल में टीम समन्वय बढ़ाने के लिए एक सामान्य तरीका क्या है?")</f>
        <v>ढोल खेल में टीम समन्वय बढ़ाने के लिए एक सामान्य तरीका क्या है?</v>
      </c>
      <c r="H214" s="5" t="str">
        <f>IFERROR(__xludf.DUMMYFUNCTION("GOOGLETRANSLATE(C214, ""en"", ""hi"")"),"ए) नियमित अभ्यास सत्र और अभ्यास, बी) खेल रिकॉर्डिंग देखना, सी) व्यक्तिगत खेल समय बढ़ाना, डी) टीम मीटिंग कम करना")</f>
        <v>ए) नियमित अभ्यास सत्र और अभ्यास, बी) खेल रिकॉर्डिंग देखना, सी) व्यक्तिगत खेल समय बढ़ाना, डी) टीम मीटिंग कम करना</v>
      </c>
      <c r="I214" s="5" t="str">
        <f>IFERROR(__xludf.DUMMYFUNCTION("GOOGLETRANSLATE(D214, ""en"", ""hi"")"),"ए) नियमित अभ्यास सत्र और अभ्यास")</f>
        <v>ए) नियमित अभ्यास सत्र और अभ्यास</v>
      </c>
    </row>
    <row r="215" ht="22.5" customHeight="1">
      <c r="A215" s="2">
        <v>214.0</v>
      </c>
      <c r="B215" s="3" t="s">
        <v>5784</v>
      </c>
      <c r="C215" s="3" t="s">
        <v>5703</v>
      </c>
      <c r="D215" s="3" t="s">
        <v>5704</v>
      </c>
      <c r="F215" s="5" t="str">
        <f>IFERROR(__xludf.DUMMYFUNCTION("GOOGLETRANSLATE(A215, ""en"", ""hi"")"),"214")</f>
        <v>214</v>
      </c>
      <c r="G215" s="5" t="str">
        <f>IFERROR(__xludf.DUMMYFUNCTION("GOOGLETRANSLATE(B215, ""en"", ""hi"")"),"ढोल खेल में टीम को संगठित करने और सामरिक निर्णय लेने के लिए मुख्य रूप से कौन सा पद जिम्मेदार है?")</f>
        <v>ढोल खेल में टीम को संगठित करने और सामरिक निर्णय लेने के लिए मुख्य रूप से कौन सा पद जिम्मेदार है?</v>
      </c>
      <c r="H215" s="5" t="str">
        <f>IFERROR(__xludf.DUMMYFUNCTION("GOOGLETRANSLATE(C215, ""en"", ""hi"")"),"A) टीम कप्तान, B) गोलकीपर, C) फॉरवर्ड, D) डिफेंडर")</f>
        <v>A) टीम कप्तान, B) गोलकीपर, C) फॉरवर्ड, D) डिफेंडर</v>
      </c>
      <c r="I215" s="5" t="str">
        <f>IFERROR(__xludf.DUMMYFUNCTION("GOOGLETRANSLATE(D215, ""en"", ""hi"")"),"ए) टीम कप्तान")</f>
        <v>ए) टीम कप्तान</v>
      </c>
    </row>
    <row r="216" ht="22.5" customHeight="1">
      <c r="A216" s="2">
        <v>215.0</v>
      </c>
      <c r="B216" s="3" t="s">
        <v>5785</v>
      </c>
      <c r="C216" s="3" t="s">
        <v>5692</v>
      </c>
      <c r="D216" s="3" t="s">
        <v>5607</v>
      </c>
      <c r="F216" s="5" t="str">
        <f>IFERROR(__xludf.DUMMYFUNCTION("GOOGLETRANSLATE(A216, ""en"", ""hi"")"),"215")</f>
        <v>215</v>
      </c>
      <c r="G216" s="5" t="str">
        <f>IFERROR(__xludf.DUMMYFUNCTION("GOOGLETRANSLATE(B216, ""en"", ""hi"")"),"ढोल खेल में गोल किक का प्राथमिक उद्देश्य क्या है?")</f>
        <v>ढोल खेल में गोल किक का प्राथमिक उद्देश्य क्या है?</v>
      </c>
      <c r="H216" s="5" t="str">
        <f>IFERROR(__xludf.DUMMYFUNCTION("GOOGLETRANSLATE(C216, ""en"", ""hi"")"),"A) गेंद के गोल लाइन से बाहर जाने के बाद खेल को पुनः शुरू करना, B) गोल देना, C) खिलाड़ियों को प्रतिस्थापित करना, D) विरोधी टीम को दंडित करना")</f>
        <v>A) गेंद के गोल लाइन से बाहर जाने के बाद खेल को पुनः शुरू करना, B) गोल देना, C) खिलाड़ियों को प्रतिस्थापित करना, D) विरोधी टीम को दंडित करना</v>
      </c>
      <c r="I216" s="5" t="str">
        <f>IFERROR(__xludf.DUMMYFUNCTION("GOOGLETRANSLATE(D216, ""en"", ""hi"")"),"A) गेंद के गोल लाइन से बाहर जाने के बाद खेल को पुनः शुरू करना")</f>
        <v>A) गेंद के गोल लाइन से बाहर जाने के बाद खेल को पुनः शुरू करना</v>
      </c>
    </row>
    <row r="217" ht="22.5" customHeight="1">
      <c r="A217" s="2">
        <v>216.0</v>
      </c>
      <c r="B217" s="3" t="s">
        <v>5786</v>
      </c>
      <c r="C217" s="3" t="s">
        <v>5787</v>
      </c>
      <c r="D217" s="3" t="s">
        <v>5747</v>
      </c>
      <c r="F217" s="5" t="str">
        <f>IFERROR(__xludf.DUMMYFUNCTION("GOOGLETRANSLATE(A217, ""en"", ""hi"")"),"216")</f>
        <v>216</v>
      </c>
      <c r="G217" s="5" t="str">
        <f>IFERROR(__xludf.DUMMYFUNCTION("GOOGLETRANSLATE(B217, ""en"", ""hi"")"),"ढोल खेल में फ्री किक कैसे लगाई जाती है?")</f>
        <v>ढोल खेल में फ्री किक कैसे लगाई जाती है?</v>
      </c>
      <c r="H217" s="5" t="str">
        <f>IFERROR(__xludf.DUMMYFUNCTION("GOOGLETRANSLATE(C217, ""en"", ""hi"")"),"A) फ़ाउल के स्थान से गेंद को किक करके, B) साइडलाइन से गेंद को फेंककर, C) गोल किक लेकर, D) कॉर्नर किक लगाकर")</f>
        <v>A) फ़ाउल के स्थान से गेंद को किक करके, B) साइडलाइन से गेंद को फेंककर, C) गोल किक लेकर, D) कॉर्नर किक लगाकर</v>
      </c>
      <c r="I217" s="5" t="str">
        <f>IFERROR(__xludf.DUMMYFUNCTION("GOOGLETRANSLATE(D217, ""en"", ""hi"")"),"A) फ़ाउल के स्थान से गेंद को किक करके")</f>
        <v>A) फ़ाउल के स्थान से गेंद को किक करके</v>
      </c>
    </row>
    <row r="218" ht="22.5" customHeight="1">
      <c r="A218" s="2">
        <v>217.0</v>
      </c>
      <c r="B218" s="3" t="s">
        <v>5788</v>
      </c>
      <c r="C218" s="3" t="s">
        <v>5789</v>
      </c>
      <c r="D218" s="3" t="s">
        <v>5790</v>
      </c>
      <c r="F218" s="5" t="str">
        <f>IFERROR(__xludf.DUMMYFUNCTION("GOOGLETRANSLATE(A218, ""en"", ""hi"")"),"217")</f>
        <v>217</v>
      </c>
      <c r="G218" s="5" t="str">
        <f>IFERROR(__xludf.DUMMYFUNCTION("GOOGLETRANSLATE(B218, ""en"", ""hi"")"),"ढोल खेल में डिफेंडर के लिए आवश्यक कौशल क्या है?")</f>
        <v>ढोल खेल में डिफेंडर के लिए आवश्यक कौशल क्या है?</v>
      </c>
      <c r="H218" s="5" t="str">
        <f>IFERROR(__xludf.DUMMYFUNCTION("GOOGLETRANSLATE(C218, ""en"", ""hi"")"),"A) ब्लॉकिंग और टैकलिंग, B) गोल स्कोर करना, C) पासिंग सटीकता, D) गोलकीपिंग")</f>
        <v>A) ब्लॉकिंग और टैकलिंग, B) गोल स्कोर करना, C) पासिंग सटीकता, D) गोलकीपिंग</v>
      </c>
      <c r="I218" s="5" t="str">
        <f>IFERROR(__xludf.DUMMYFUNCTION("GOOGLETRANSLATE(D218, ""en"", ""hi"")"),"A) ब्लॉकिंग और टैकलिंग")</f>
        <v>A) ब्लॉकिंग और टैकलिंग</v>
      </c>
    </row>
    <row r="219" ht="22.5" customHeight="1">
      <c r="A219" s="2">
        <v>218.0</v>
      </c>
      <c r="B219" s="3" t="s">
        <v>5791</v>
      </c>
      <c r="C219" s="3" t="s">
        <v>5684</v>
      </c>
      <c r="D219" s="3" t="s">
        <v>5685</v>
      </c>
      <c r="F219" s="5" t="str">
        <f>IFERROR(__xludf.DUMMYFUNCTION("GOOGLETRANSLATE(A219, ""en"", ""hi"")"),"218")</f>
        <v>218</v>
      </c>
      <c r="G219" s="5" t="str">
        <f>IFERROR(__xludf.DUMMYFUNCTION("GOOGLETRANSLATE(B219, ""en"", ""hi"")"),"ढोल खेल में, गेंद के गोल लाइन से बाहर चले जाने के बाद आमतौर पर क्या कार्रवाई की जाती है?")</f>
        <v>ढोल खेल में, गेंद के गोल लाइन से बाहर चले जाने के बाद आमतौर पर क्या कार्रवाई की जाती है?</v>
      </c>
      <c r="H219" s="5" t="str">
        <f>IFERROR(__xludf.DUMMYFUNCTION("GOOGLETRANSLATE(C219, ""en"", ""hi"")"),"A) गोल किक या कॉर्नर किक, B) थ्रो-इन, C) फ्री किक, D) पेनल्टी किक")</f>
        <v>A) गोल किक या कॉर्नर किक, B) थ्रो-इन, C) फ्री किक, D) पेनल्टी किक</v>
      </c>
      <c r="I219" s="5" t="str">
        <f>IFERROR(__xludf.DUMMYFUNCTION("GOOGLETRANSLATE(D219, ""en"", ""hi"")"),"A) गोल किक या कॉर्नर किक")</f>
        <v>A) गोल किक या कॉर्नर किक</v>
      </c>
    </row>
    <row r="220" ht="22.5" customHeight="1">
      <c r="A220" s="2">
        <v>219.0</v>
      </c>
      <c r="B220" s="3" t="s">
        <v>5792</v>
      </c>
      <c r="C220" s="3" t="s">
        <v>5793</v>
      </c>
      <c r="D220" s="3" t="s">
        <v>5794</v>
      </c>
      <c r="F220" s="5" t="str">
        <f>IFERROR(__xludf.DUMMYFUNCTION("GOOGLETRANSLATE(A220, ""en"", ""hi"")"),"219")</f>
        <v>219</v>
      </c>
      <c r="G220" s="5" t="str">
        <f>IFERROR(__xludf.DUMMYFUNCTION("GOOGLETRANSLATE(B220, ""en"", ""hi"")"),"ढोल खेल में मिडफील्डर की क्या भूमिका होती है?")</f>
        <v>ढोल खेल में मिडफील्डर की क्या भूमिका होती है?</v>
      </c>
      <c r="H220" s="5" t="str">
        <f>IFERROR(__xludf.DUMMYFUNCTION("GOOGLETRANSLATE(C220, ""en"", ""hi"")"),"A) गेंद को नियंत्रित करना और खेल स्थापित करना, B) शॉट रोकना और बचाव करना, C) गोल करना, D) सामरिक निर्णय लेना")</f>
        <v>A) गेंद को नियंत्रित करना और खेल स्थापित करना, B) शॉट रोकना और बचाव करना, C) गोल करना, D) सामरिक निर्णय लेना</v>
      </c>
      <c r="I220" s="5" t="str">
        <f>IFERROR(__xludf.DUMMYFUNCTION("GOOGLETRANSLATE(D220, ""en"", ""hi"")"),"A) गेंद को नियंत्रित करने और खेल स्थापित करने के लिए")</f>
        <v>A) गेंद को नियंत्रित करने और खेल स्थापित करने के लिए</v>
      </c>
    </row>
    <row r="221" ht="22.5" customHeight="1">
      <c r="A221" s="2">
        <v>220.0</v>
      </c>
      <c r="B221" s="3" t="s">
        <v>5795</v>
      </c>
      <c r="C221" s="3" t="s">
        <v>5796</v>
      </c>
      <c r="D221" s="3" t="s">
        <v>5797</v>
      </c>
      <c r="F221" s="5" t="str">
        <f>IFERROR(__xludf.DUMMYFUNCTION("GOOGLETRANSLATE(A221, ""en"", ""hi"")"),"220")</f>
        <v>220</v>
      </c>
      <c r="G221" s="5" t="str">
        <f>IFERROR(__xludf.DUMMYFUNCTION("GOOGLETRANSLATE(B221, ""en"", ""hi"")"),"ढोल खेल में थ्रो-इन के बाद खेल को पुनः कैसे शुरू किया जाता है?")</f>
        <v>ढोल खेल में थ्रो-इन के बाद खेल को पुनः कैसे शुरू किया जाता है?</v>
      </c>
      <c r="H221" s="5" t="str">
        <f>IFERROR(__xludf.DUMMYFUNCTION("GOOGLETRANSLATE(C221, ""en"", ""hi"")"),"A) उस साइडलाइन से खेल पुनः शुरू करके जहाँ से गेंद बाहर गई थी, B) गोल किक द्वारा, C) कॉर्नर किक द्वारा, D) फ्री किक द्वारा")</f>
        <v>A) उस साइडलाइन से खेल पुनः शुरू करके जहाँ से गेंद बाहर गई थी, B) गोल किक द्वारा, C) कॉर्नर किक द्वारा, D) फ्री किक द्वारा</v>
      </c>
      <c r="I221" s="5" t="str">
        <f>IFERROR(__xludf.DUMMYFUNCTION("GOOGLETRANSLATE(D221, ""en"", ""hi"")"),"A) उस साइडलाइन से खेल पुनः शुरू करके जहाँ से गेंद बाहर गई थी")</f>
        <v>A) उस साइडलाइन से खेल पुनः शुरू करके जहाँ से गेंद बाहर गई थी</v>
      </c>
    </row>
    <row r="222" ht="22.5" customHeight="1">
      <c r="A222" s="2">
        <v>221.0</v>
      </c>
      <c r="B222" s="3" t="s">
        <v>5798</v>
      </c>
      <c r="C222" s="3" t="s">
        <v>5799</v>
      </c>
      <c r="D222" s="3" t="s">
        <v>5800</v>
      </c>
      <c r="F222" s="5" t="str">
        <f>IFERROR(__xludf.DUMMYFUNCTION("GOOGLETRANSLATE(A222, ""en"", ""hi"")"),"221")</f>
        <v>221</v>
      </c>
      <c r="G222" s="5" t="str">
        <f>IFERROR(__xludf.DUMMYFUNCTION("GOOGLETRANSLATE(B222, ""en"", ""hi"")"),"ढोल खेल में डिफेंडर के कौशल को सुधारने के लिए कौन सा अभ्यास महत्वपूर्ण है?")</f>
        <v>ढोल खेल में डिफेंडर के कौशल को सुधारने के लिए कौन सा अभ्यास महत्वपूर्ण है?</v>
      </c>
      <c r="H222" s="5" t="str">
        <f>IFERROR(__xludf.DUMMYFUNCTION("GOOGLETRANSLATE(C222, ""en"", ""hi"")"),"ए) रक्षात्मक अभ्यास और पोजिशनिंग, बी) स्कोरिंग अभ्यास, सी) पासिंग अभ्यास, डी) गोलकीपिंग अभ्यास")</f>
        <v>ए) रक्षात्मक अभ्यास और पोजिशनिंग, बी) स्कोरिंग अभ्यास, सी) पासिंग अभ्यास, डी) गोलकीपिंग अभ्यास</v>
      </c>
      <c r="I222" s="5" t="str">
        <f>IFERROR(__xludf.DUMMYFUNCTION("GOOGLETRANSLATE(D222, ""en"", ""hi"")"),"ए) रक्षात्मक अभ्यास और स्थिति निर्धारण")</f>
        <v>ए) रक्षात्मक अभ्यास और स्थिति निर्धारण</v>
      </c>
    </row>
    <row r="223" ht="22.5" customHeight="1">
      <c r="A223" s="2">
        <v>222.0</v>
      </c>
      <c r="B223" s="3" t="s">
        <v>5801</v>
      </c>
      <c r="C223" s="3" t="s">
        <v>5802</v>
      </c>
      <c r="D223" s="3" t="s">
        <v>5803</v>
      </c>
      <c r="F223" s="5" t="str">
        <f>IFERROR(__xludf.DUMMYFUNCTION("GOOGLETRANSLATE(A223, ""en"", ""hi"")"),"222")</f>
        <v>222</v>
      </c>
      <c r="G223" s="5" t="str">
        <f>IFERROR(__xludf.DUMMYFUNCTION("GOOGLETRANSLATE(B223, ""en"", ""hi"")"),"ढोल खेल में जवाबी हमले का प्राथमिक लक्ष्य क्या है?")</f>
        <v>ढोल खेल में जवाबी हमले का प्राथमिक लक्ष्य क्या है?</v>
      </c>
      <c r="H223" s="5" t="str">
        <f>IFERROR(__xludf.DUMMYFUNCTION("GOOGLETRANSLATE(C223, ""en"", ""hi"")"),"A) गेंद पर कब्ज़ा पाने के बाद तुरंत स्कोर करना, B) प्रतिद्वंद्वी के हमले से बचाव करना, C) गेंद को टीम के साथी को पास करना, D) गेंद पर कब्ज़ा बनाए रखना")</f>
        <v>A) गेंद पर कब्ज़ा पाने के बाद तुरंत स्कोर करना, B) प्रतिद्वंद्वी के हमले से बचाव करना, C) गेंद को टीम के साथी को पास करना, D) गेंद पर कब्ज़ा बनाए रखना</v>
      </c>
      <c r="I223" s="5" t="str">
        <f>IFERROR(__xludf.DUMMYFUNCTION("GOOGLETRANSLATE(D223, ""en"", ""hi"")"),"A) कब्ज़ा हासिल करने के बाद जल्दी से स्कोर करना")</f>
        <v>A) कब्ज़ा हासिल करने के बाद जल्दी से स्कोर करना</v>
      </c>
    </row>
    <row r="224" ht="22.5" customHeight="1">
      <c r="A224" s="2">
        <v>223.0</v>
      </c>
      <c r="B224" s="3" t="s">
        <v>5804</v>
      </c>
      <c r="C224" s="3" t="s">
        <v>5805</v>
      </c>
      <c r="D224" s="3" t="s">
        <v>5649</v>
      </c>
      <c r="F224" s="5" t="str">
        <f>IFERROR(__xludf.DUMMYFUNCTION("GOOGLETRANSLATE(A224, ""en"", ""hi"")"),"223")</f>
        <v>223</v>
      </c>
      <c r="G224" s="5" t="str">
        <f>IFERROR(__xludf.DUMMYFUNCTION("GOOGLETRANSLATE(B224, ""en"", ""hi"")"),"ढोल खेल में कौन सी स्थिति आम तौर पर आक्रामक खेल स्थापित करने के लिए जिम्मेदार होती है?")</f>
        <v>ढोल खेल में कौन सी स्थिति आम तौर पर आक्रामक खेल स्थापित करने के लिए जिम्मेदार होती है?</v>
      </c>
      <c r="H224" s="5" t="str">
        <f>IFERROR(__xludf.DUMMYFUNCTION("GOOGLETRANSLATE(C224, ""en"", ""hi"")"),"A) मिडफील्डर, B) डिफेंडर, C) गोलकीपर, D) फॉरवर्ड")</f>
        <v>A) मिडफील्डर, B) डिफेंडर, C) गोलकीपर, D) फॉरवर्ड</v>
      </c>
      <c r="I224" s="5" t="str">
        <f>IFERROR(__xludf.DUMMYFUNCTION("GOOGLETRANSLATE(D224, ""en"", ""hi"")"),"A) मिडफील्डर")</f>
        <v>A) मिडफील्डर</v>
      </c>
    </row>
    <row r="225" ht="22.5" customHeight="1">
      <c r="A225" s="2">
        <v>224.0</v>
      </c>
      <c r="B225" s="3" t="s">
        <v>5806</v>
      </c>
      <c r="C225" s="3" t="s">
        <v>5807</v>
      </c>
      <c r="D225" s="3" t="s">
        <v>5808</v>
      </c>
      <c r="F225" s="5" t="str">
        <f>IFERROR(__xludf.DUMMYFUNCTION("GOOGLETRANSLATE(A225, ""en"", ""hi"")"),"224")</f>
        <v>224</v>
      </c>
      <c r="G225" s="5" t="str">
        <f>IFERROR(__xludf.DUMMYFUNCTION("GOOGLETRANSLATE(B225, ""en"", ""hi"")"),"ढोल खेल में शक्तिशाली स्ट्राइकर के खिलाफ बचाव की सामान्य रणनीति क्या है?")</f>
        <v>ढोल खेल में शक्तिशाली स्ट्राइकर के खिलाफ बचाव की सामान्य रणनीति क्या है?</v>
      </c>
      <c r="H225" s="5" t="str">
        <f>IFERROR(__xludf.DUMMYFUNCTION("GOOGLETRANSLATE(C225, ""en"", ""hi"")"),"ए) कड़ी मार्किंग और डबल-टीमिंग, बी) उन्हें शूट करने के लिए जगह देना, सी) आक्रामक खेल पर ध्यान केंद्रित करना, डी) लगातार प्रतिस्थापन")</f>
        <v>ए) कड़ी मार्किंग और डबल-टीमिंग, बी) उन्हें शूट करने के लिए जगह देना, सी) आक्रामक खेल पर ध्यान केंद्रित करना, डी) लगातार प्रतिस्थापन</v>
      </c>
      <c r="I225" s="5" t="str">
        <f>IFERROR(__xludf.DUMMYFUNCTION("GOOGLETRANSLATE(D225, ""en"", ""hi"")"),"A) कड़ी मार्किंग और डबल-टीमिंग")</f>
        <v>A) कड़ी मार्किंग और डबल-टीमिंग</v>
      </c>
    </row>
    <row r="226" ht="22.5" customHeight="1">
      <c r="A226" s="2">
        <v>225.0</v>
      </c>
      <c r="B226" s="3" t="s">
        <v>5809</v>
      </c>
      <c r="C226" s="3" t="s">
        <v>5810</v>
      </c>
      <c r="D226" s="3" t="s">
        <v>5811</v>
      </c>
      <c r="F226" s="5" t="str">
        <f>IFERROR(__xludf.DUMMYFUNCTION("GOOGLETRANSLATE(A226, ""en"", ""hi"")"),"225")</f>
        <v>225</v>
      </c>
      <c r="G226" s="5" t="str">
        <f>IFERROR(__xludf.DUMMYFUNCTION("GOOGLETRANSLATE(B226, ""en"", ""hi"")"),"ढोल खेल में विंगर की विशिष्ट भूमिका क्या है?")</f>
        <v>ढोल खेल में विंगर की विशिष्ट भूमिका क्या है?</v>
      </c>
      <c r="H226" s="5" t="str">
        <f>IFERROR(__xludf.DUMMYFUNCTION("GOOGLETRANSLATE(C226, ""en"", ""hi"")"),"A) क्रॉस देना और स्कोरिंग के अवसर पैदा करना, B) हमलों से बचाव करना, C) गोल किक लेना, D) टीम को संगठित करना")</f>
        <v>A) क्रॉस देना और स्कोरिंग के अवसर पैदा करना, B) हमलों से बचाव करना, C) गोल किक लेना, D) टीम को संगठित करना</v>
      </c>
      <c r="I226" s="5" t="str">
        <f>IFERROR(__xludf.DUMMYFUNCTION("GOOGLETRANSLATE(D226, ""en"", ""hi"")"),"A) क्रॉस देना और स्कोरिंग के अवसर पैदा करना")</f>
        <v>A) क्रॉस देना और स्कोरिंग के अवसर पैदा करना</v>
      </c>
    </row>
    <row r="227" ht="22.5" customHeight="1">
      <c r="A227" s="2">
        <v>226.0</v>
      </c>
      <c r="B227" s="3" t="s">
        <v>5812</v>
      </c>
      <c r="C227" s="3" t="s">
        <v>5813</v>
      </c>
      <c r="D227" s="3" t="s">
        <v>5814</v>
      </c>
      <c r="F227" s="5" t="str">
        <f>IFERROR(__xludf.DUMMYFUNCTION("GOOGLETRANSLATE(A227, ""en"", ""hi"")"),"226")</f>
        <v>226</v>
      </c>
      <c r="G227" s="5" t="str">
        <f>IFERROR(__xludf.DUMMYFUNCTION("GOOGLETRANSLATE(B227, ""en"", ""hi"")"),"ढोल खेल में जब किसी खिलाड़ी को पेनल्टी किक दी जाती है तो क्या कार्रवाई की जाती है?")</f>
        <v>ढोल खेल में जब किसी खिलाड़ी को पेनल्टी किक दी जाती है तो क्या कार्रवाई की जाती है?</v>
      </c>
      <c r="H227" s="5" t="str">
        <f>IFERROR(__xludf.DUMMYFUNCTION("GOOGLETRANSLATE(C227, ""en"", ""hi"")"),"A) खिलाड़ी गोल पर सीधा शॉट लगाता है, B) गेंद को कोने से किक किया जाता है, C) खेल थ्रो-इन के साथ फिर से शुरू होता है, D) खिलाड़ी को फ्री किक मिलती है")</f>
        <v>A) खिलाड़ी गोल पर सीधा शॉट लगाता है, B) गेंद को कोने से किक किया जाता है, C) खेल थ्रो-इन के साथ फिर से शुरू होता है, D) खिलाड़ी को फ्री किक मिलती है</v>
      </c>
      <c r="I227" s="5" t="str">
        <f>IFERROR(__xludf.DUMMYFUNCTION("GOOGLETRANSLATE(D227, ""en"", ""hi"")"),"A) खिलाड़ी गोल पर सीधा शॉट लगाता है")</f>
        <v>A) खिलाड़ी गोल पर सीधा शॉट लगाता है</v>
      </c>
    </row>
    <row r="228" ht="22.5" customHeight="1">
      <c r="A228" s="2">
        <v>227.0</v>
      </c>
      <c r="B228" s="3" t="s">
        <v>5815</v>
      </c>
      <c r="C228" s="3" t="s">
        <v>5816</v>
      </c>
      <c r="D228" s="3" t="s">
        <v>5817</v>
      </c>
      <c r="F228" s="5" t="str">
        <f>IFERROR(__xludf.DUMMYFUNCTION("GOOGLETRANSLATE(A228, ""en"", ""hi"")"),"227")</f>
        <v>227</v>
      </c>
      <c r="G228" s="5" t="str">
        <f>IFERROR(__xludf.DUMMYFUNCTION("GOOGLETRANSLATE(B228, ""en"", ""hi"")"),"ढोल खेल में गोलकीपर के लिए महत्वपूर्ण कौशल क्या है?")</f>
        <v>ढोल खेल में गोलकीपर के लिए महत्वपूर्ण कौशल क्या है?</v>
      </c>
      <c r="H228" s="5" t="str">
        <f>IFERROR(__xludf.DUMMYFUNCTION("GOOGLETRANSLATE(C228, ""en"", ""hi"")"),"ए) शॉट रोकना और सजगता, बी) पासिंग सटीकता, सी) आक्रामक रणनीतियाँ, डी) गोल करना")</f>
        <v>ए) शॉट रोकना और सजगता, बी) पासिंग सटीकता, सी) आक्रामक रणनीतियाँ, डी) गोल करना</v>
      </c>
      <c r="I228" s="5" t="str">
        <f>IFERROR(__xludf.DUMMYFUNCTION("GOOGLETRANSLATE(D228, ""en"", ""hi"")"),"A) शॉट-स्टॉपिंग और रिफ्लेक्स")</f>
        <v>A) शॉट-स्टॉपिंग और रिफ्लेक्स</v>
      </c>
    </row>
    <row r="229" ht="22.5" customHeight="1">
      <c r="A229" s="2">
        <v>228.0</v>
      </c>
      <c r="B229" s="3" t="s">
        <v>5398</v>
      </c>
      <c r="C229" s="3" t="s">
        <v>5818</v>
      </c>
      <c r="D229" s="3" t="s">
        <v>5701</v>
      </c>
      <c r="F229" s="5" t="str">
        <f>IFERROR(__xludf.DUMMYFUNCTION("GOOGLETRANSLATE(A229, ""en"", ""hi"")"),"228")</f>
        <v>228</v>
      </c>
      <c r="G229" s="5" t="str">
        <f>IFERROR(__xludf.DUMMYFUNCTION("GOOGLETRANSLATE(B229, ""en"", ""hi"")"),"ढोल खेल में थ्रो-इन का क्या उद्देश्य है?")</f>
        <v>ढोल खेल में थ्रो-इन का क्या उद्देश्य है?</v>
      </c>
      <c r="H229" s="5" t="str">
        <f>IFERROR(__xludf.DUMMYFUNCTION("GOOGLETRANSLATE(C229, ""en"", ""hi"")"),"A) गेंद के साइडलाइन से बाहर जाने के बाद खेल को पुनः शुरू करना, B) गोल देना, C) पेनल्टी किक लेना, D) फ्री किक के बाद खेल को पुनः शुरू करना")</f>
        <v>A) गेंद के साइडलाइन से बाहर जाने के बाद खेल को पुनः शुरू करना, B) गोल देना, C) पेनल्टी किक लेना, D) फ्री किक के बाद खेल को पुनः शुरू करना</v>
      </c>
      <c r="I229" s="5" t="str">
        <f>IFERROR(__xludf.DUMMYFUNCTION("GOOGLETRANSLATE(D229, ""en"", ""hi"")"),"A) गेंद के साइडलाइन से बाहर चले जाने के बाद खेल को पुनः शुरू करना")</f>
        <v>A) गेंद के साइडलाइन से बाहर चले जाने के बाद खेल को पुनः शुरू करना</v>
      </c>
    </row>
    <row r="230" ht="22.5" customHeight="1">
      <c r="A230" s="2">
        <v>229.0</v>
      </c>
      <c r="B230" s="3" t="s">
        <v>5819</v>
      </c>
      <c r="C230" s="3" t="s">
        <v>5820</v>
      </c>
      <c r="D230" s="3" t="s">
        <v>5821</v>
      </c>
      <c r="F230" s="5" t="str">
        <f>IFERROR(__xludf.DUMMYFUNCTION("GOOGLETRANSLATE(A230, ""en"", ""hi"")"),"229")</f>
        <v>229</v>
      </c>
      <c r="G230" s="5" t="str">
        <f>IFERROR(__xludf.DUMMYFUNCTION("GOOGLETRANSLATE(B230, ""en"", ""hi"")"),"ढोल खेल में पासिंग ड्रिल का अभ्यास करने का सामान्य उद्देश्य क्या है?")</f>
        <v>ढोल खेल में पासिंग ड्रिल का अभ्यास करने का सामान्य उद्देश्य क्या है?</v>
      </c>
      <c r="H230" s="5" t="str">
        <f>IFERROR(__xludf.DUMMYFUNCTION("GOOGLETRANSLATE(C230, ""en"", ""hi"")"),"A) पास की सटीकता और गति में सुधार करने के लिए, B) गोलकीपिंग कौशल को बढ़ाने के लिए, C) रक्षात्मक रणनीतियों पर काम करने के लिए, D) शारीरिक फिटनेस बढ़ाने के लिए")</f>
        <v>A) पास की सटीकता और गति में सुधार करने के लिए, B) गोलकीपिंग कौशल को बढ़ाने के लिए, C) रक्षात्मक रणनीतियों पर काम करने के लिए, D) शारीरिक फिटनेस बढ़ाने के लिए</v>
      </c>
      <c r="I230" s="5" t="str">
        <f>IFERROR(__xludf.DUMMYFUNCTION("GOOGLETRANSLATE(D230, ""en"", ""hi"")"),"A) पास की सटीकता और गति में सुधार करना")</f>
        <v>A) पास की सटीकता और गति में सुधार करना</v>
      </c>
    </row>
    <row r="231" ht="22.5" customHeight="1">
      <c r="A231" s="2">
        <v>230.0</v>
      </c>
      <c r="B231" s="3" t="s">
        <v>5822</v>
      </c>
      <c r="C231" s="3" t="s">
        <v>5823</v>
      </c>
      <c r="D231" s="3" t="s">
        <v>5824</v>
      </c>
      <c r="F231" s="5" t="str">
        <f>IFERROR(__xludf.DUMMYFUNCTION("GOOGLETRANSLATE(A231, ""en"", ""hi"")"),"230")</f>
        <v>230</v>
      </c>
      <c r="G231" s="5" t="str">
        <f>IFERROR(__xludf.DUMMYFUNCTION("GOOGLETRANSLATE(B231, ""en"", ""hi"")"),"ढोल खेल में सेट-पीस स्थिति के दौरान सेंट्रल डिफेंडर की भूमिका क्या होती है?")</f>
        <v>ढोल खेल में सेट-पीस स्थिति के दौरान सेंट्रल डिफेंडर की भूमिका क्या होती है?</v>
      </c>
      <c r="H231" s="5" t="str">
        <f>IFERROR(__xludf.DUMMYFUNCTION("GOOGLETRANSLATE(C231, ""en"", ""hi"")"),"A) विरोधियों को चिह्नित करना और गेंद को साफ़ करना, B) सेट-पीस लेना, C) गोल करना, D) गेंद को मिडफील्डर्स को पास करना")</f>
        <v>A) विरोधियों को चिह्नित करना और गेंद को साफ़ करना, B) सेट-पीस लेना, C) गोल करना, D) गेंद को मिडफील्डर्स को पास करना</v>
      </c>
      <c r="I231" s="5" t="str">
        <f>IFERROR(__xludf.DUMMYFUNCTION("GOOGLETRANSLATE(D231, ""en"", ""hi"")"),"A) विरोधियों को चिह्नित करना और गेंद को साफ़ करना")</f>
        <v>A) विरोधियों को चिह्नित करना और गेंद को साफ़ करना</v>
      </c>
    </row>
    <row r="232" ht="22.5" customHeight="1">
      <c r="A232" s="2">
        <v>231.0</v>
      </c>
      <c r="B232" s="3" t="s">
        <v>5825</v>
      </c>
      <c r="C232" s="3" t="s">
        <v>5826</v>
      </c>
      <c r="D232" s="3" t="s">
        <v>5735</v>
      </c>
      <c r="F232" s="5" t="str">
        <f>IFERROR(__xludf.DUMMYFUNCTION("GOOGLETRANSLATE(A232, ""en"", ""hi"")"),"231")</f>
        <v>231</v>
      </c>
      <c r="G232" s="5" t="str">
        <f>IFERROR(__xludf.DUMMYFUNCTION("GOOGLETRANSLATE(B232, ""en"", ""hi"")"),"ढोल खेल में गोल होने के बाद खेल को आम तौर पर कैसे पुनः शुरू किया जाता है?")</f>
        <v>ढोल खेल में गोल होने के बाद खेल को आम तौर पर कैसे पुनः शुरू किया जाता है?</v>
      </c>
      <c r="H232" s="5" t="str">
        <f>IFERROR(__xludf.DUMMYFUNCTION("GOOGLETRANSLATE(C232, ""en"", ""hi"")"),"A) मैदान के केंद्र से किक-ऑफ द्वारा, B) थ्रो-इन द्वारा, C) गोल किक द्वारा, D) कॉर्नर किक द्वारा")</f>
        <v>A) मैदान के केंद्र से किक-ऑफ द्वारा, B) थ्रो-इन द्वारा, C) गोल किक द्वारा, D) कॉर्नर किक द्वारा</v>
      </c>
      <c r="I232" s="5" t="str">
        <f>IFERROR(__xludf.DUMMYFUNCTION("GOOGLETRANSLATE(D232, ""en"", ""hi"")"),"A) मैदान के केंद्र से किक-ऑफ द्वारा")</f>
        <v>A) मैदान के केंद्र से किक-ऑफ द्वारा</v>
      </c>
    </row>
    <row r="233" ht="22.5" customHeight="1">
      <c r="A233" s="2">
        <v>232.0</v>
      </c>
      <c r="B233" s="3" t="s">
        <v>5827</v>
      </c>
      <c r="C233" s="3" t="s">
        <v>5828</v>
      </c>
      <c r="D233" s="3" t="s">
        <v>5829</v>
      </c>
      <c r="F233" s="5" t="str">
        <f>IFERROR(__xludf.DUMMYFUNCTION("GOOGLETRANSLATE(A233, ""en"", ""hi"")"),"232")</f>
        <v>232</v>
      </c>
      <c r="G233" s="5" t="str">
        <f>IFERROR(__xludf.DUMMYFUNCTION("GOOGLETRANSLATE(B233, ""en"", ""hi"")"),"ढोल खेल में, फारवर्ड की गोल करने के अवसरों को पूरा करने की क्षमता में सुधार करने के लिए आवश्यक अभ्यास क्या है?")</f>
        <v>ढोल खेल में, फारवर्ड की गोल करने के अवसरों को पूरा करने की क्षमता में सुधार करने के लिए आवश्यक अभ्यास क्या है?</v>
      </c>
      <c r="H233" s="5" t="str">
        <f>IFERROR(__xludf.DUMMYFUNCTION("GOOGLETRANSLATE(C233, ""en"", ""hi"")"),"A) विभिन्न कोणों से शूटिंग अभ्यास, B) गोलकीपिंग अभ्यास, C) पासिंग अभ्यास, D) रक्षात्मक स्थिति")</f>
        <v>A) विभिन्न कोणों से शूटिंग अभ्यास, B) गोलकीपिंग अभ्यास, C) पासिंग अभ्यास, D) रक्षात्मक स्थिति</v>
      </c>
      <c r="I233" s="5" t="str">
        <f>IFERROR(__xludf.DUMMYFUNCTION("GOOGLETRANSLATE(D233, ""en"", ""hi"")"),"A) विभिन्न कोणों से शूटिंग अभ्यास")</f>
        <v>A) विभिन्न कोणों से शूटिंग अभ्यास</v>
      </c>
    </row>
    <row r="234" ht="22.5" customHeight="1">
      <c r="A234" s="2">
        <v>233.0</v>
      </c>
      <c r="B234" s="3" t="s">
        <v>5830</v>
      </c>
      <c r="C234" s="3" t="s">
        <v>5831</v>
      </c>
      <c r="D234" s="3" t="s">
        <v>5832</v>
      </c>
      <c r="F234" s="5" t="str">
        <f>IFERROR(__xludf.DUMMYFUNCTION("GOOGLETRANSLATE(A234, ""en"", ""hi"")"),"233")</f>
        <v>233</v>
      </c>
      <c r="G234" s="5" t="str">
        <f>IFERROR(__xludf.DUMMYFUNCTION("GOOGLETRANSLATE(B234, ""en"", ""hi"")"),"ढोल खेल में पास को रोकने के लिए प्रयुक्त की जाने वाली सामान्य रक्षात्मक तकनीक क्या है?")</f>
        <v>ढोल खेल में पास को रोकने के लिए प्रयुक्त की जाने वाली सामान्य रक्षात्मक तकनीक क्या है?</v>
      </c>
      <c r="H234" s="5" t="str">
        <f>IFERROR(__xludf.DUMMYFUNCTION("GOOGLETRANSLATE(C234, ""en"", ""hi"")"),"A) गेंद के सामने आकर उसे रोकना, B) शॉट को रोकना, C) पीछे से टैकल करना, D) गोल को कवर करना")</f>
        <v>A) गेंद के सामने आकर उसे रोकना, B) शॉट को रोकना, C) पीछे से टैकल करना, D) गोल को कवर करना</v>
      </c>
      <c r="I234" s="5" t="str">
        <f>IFERROR(__xludf.DUMMYFUNCTION("GOOGLETRANSLATE(D234, ""en"", ""hi"")"),"A) गेंद के सामने आकर उसे रोकना")</f>
        <v>A) गेंद के सामने आकर उसे रोकना</v>
      </c>
    </row>
    <row r="235" ht="22.5" customHeight="1">
      <c r="A235" s="2">
        <v>234.0</v>
      </c>
      <c r="B235" s="3" t="s">
        <v>5833</v>
      </c>
      <c r="C235" s="3" t="s">
        <v>5834</v>
      </c>
      <c r="D235" s="3" t="s">
        <v>5604</v>
      </c>
      <c r="F235" s="5" t="str">
        <f>IFERROR(__xludf.DUMMYFUNCTION("GOOGLETRANSLATE(A235, ""en"", ""hi"")"),"234")</f>
        <v>234</v>
      </c>
      <c r="G235" s="5" t="str">
        <f>IFERROR(__xludf.DUMMYFUNCTION("GOOGLETRANSLATE(B235, ""en"", ""hi"")"),"ढोल खेल में गोल क्षेत्र की रक्षा के लिए मुख्य रूप से कौन सी स्थिति जिम्मेदार है?")</f>
        <v>ढोल खेल में गोल क्षेत्र की रक्षा के लिए मुख्य रूप से कौन सी स्थिति जिम्मेदार है?</v>
      </c>
      <c r="H235" s="5" t="str">
        <f>IFERROR(__xludf.DUMMYFUNCTION("GOOGLETRANSLATE(C235, ""en"", ""hi"")"),"A) गोलकीपर, B) डिफेंडर, C) मिडफील्डर, D) फॉरवर्ड")</f>
        <v>A) गोलकीपर, B) डिफेंडर, C) मिडफील्डर, D) फॉरवर्ड</v>
      </c>
      <c r="I235" s="5" t="str">
        <f>IFERROR(__xludf.DUMMYFUNCTION("GOOGLETRANSLATE(D235, ""en"", ""hi"")"),"ए) गोलकीपर")</f>
        <v>ए) गोलकीपर</v>
      </c>
    </row>
    <row r="236" ht="22.5" customHeight="1">
      <c r="A236" s="2">
        <v>235.0</v>
      </c>
      <c r="B236" s="3" t="s">
        <v>5835</v>
      </c>
      <c r="C236" s="3" t="s">
        <v>5836</v>
      </c>
      <c r="D236" s="3" t="s">
        <v>5837</v>
      </c>
      <c r="F236" s="5" t="str">
        <f>IFERROR(__xludf.DUMMYFUNCTION("GOOGLETRANSLATE(A236, ""en"", ""hi"")"),"235")</f>
        <v>235</v>
      </c>
      <c r="G236" s="5" t="str">
        <f>IFERROR(__xludf.DUMMYFUNCTION("GOOGLETRANSLATE(B236, ""en"", ""hi"")"),"ढोल खेल में ड्रिब्लिंग अभ्यास का उद्देश्य क्या है?")</f>
        <v>ढोल खेल में ड्रिब्लिंग अभ्यास का उद्देश्य क्या है?</v>
      </c>
      <c r="H236" s="5" t="str">
        <f>IFERROR(__xludf.DUMMYFUNCTION("GOOGLETRANSLATE(C236, ""en"", ""hi"")"),"A) गेंद पर नियंत्रण और गतिशीलता बढ़ाने के लिए, B) गोलकीपिंग कौशल में सुधार करने के लिए, C) रक्षात्मक रणनीतियों पर काम करने के लिए, D) शारीरिक फिटनेस बढ़ाने के लिए")</f>
        <v>A) गेंद पर नियंत्रण और गतिशीलता बढ़ाने के लिए, B) गोलकीपिंग कौशल में सुधार करने के लिए, C) रक्षात्मक रणनीतियों पर काम करने के लिए, D) शारीरिक फिटनेस बढ़ाने के लिए</v>
      </c>
      <c r="I236" s="5" t="str">
        <f>IFERROR(__xludf.DUMMYFUNCTION("GOOGLETRANSLATE(D236, ""en"", ""hi"")"),"A) गेंद पर नियंत्रण और गतिशीलता बढ़ाने के लिए")</f>
        <v>A) गेंद पर नियंत्रण और गतिशीलता बढ़ाने के लिए</v>
      </c>
    </row>
    <row r="237" ht="22.5" customHeight="1">
      <c r="A237" s="2">
        <v>236.0</v>
      </c>
      <c r="B237" s="3" t="s">
        <v>5838</v>
      </c>
      <c r="C237" s="3" t="s">
        <v>5839</v>
      </c>
      <c r="D237" s="3" t="s">
        <v>1094</v>
      </c>
      <c r="F237" s="5" t="str">
        <f>IFERROR(__xludf.DUMMYFUNCTION("GOOGLETRANSLATE(A237, ""en"", ""hi"")"),"236")</f>
        <v>236</v>
      </c>
      <c r="G237" s="5" t="str">
        <f>IFERROR(__xludf.DUMMYFUNCTION("GOOGLETRANSLATE(B237, ""en"", ""hi"")"),"ढोल खेल में किसी खिलाड़ी को पीला कार्ड मिलने पर क्या कार्रवाई की जाती है?")</f>
        <v>ढोल खेल में किसी खिलाड़ी को पीला कार्ड मिलने पर क्या कार्रवाई की जाती है?</v>
      </c>
      <c r="H237" s="5" t="str">
        <f>IFERROR(__xludf.DUMMYFUNCTION("GOOGLETRANSLATE(C237, ""en"", ""hi"")"),"A) खिलाड़ी को चेतावनी दी जाती है, B) खिलाड़ी को प्रतिस्थापित किया जाता है, C) खिलाड़ी को खेल से बाहर कर दिया जाता है, D) खेल रोक दिया जाता है")</f>
        <v>A) खिलाड़ी को चेतावनी दी जाती है, B) खिलाड़ी को प्रतिस्थापित किया जाता है, C) खिलाड़ी को खेल से बाहर कर दिया जाता है, D) खेल रोक दिया जाता है</v>
      </c>
      <c r="I237" s="5" t="str">
        <f>IFERROR(__xludf.DUMMYFUNCTION("GOOGLETRANSLATE(D237, ""en"", ""hi"")"),"A) खिलाड़ी को चेतावनी दी जाती है")</f>
        <v>A) खिलाड़ी को चेतावनी दी जाती है</v>
      </c>
    </row>
    <row r="238" ht="22.5" customHeight="1">
      <c r="A238" s="2">
        <v>237.0</v>
      </c>
      <c r="B238" s="3" t="s">
        <v>5840</v>
      </c>
      <c r="C238" s="3" t="s">
        <v>5841</v>
      </c>
      <c r="D238" s="3" t="s">
        <v>5842</v>
      </c>
      <c r="F238" s="5" t="str">
        <f>IFERROR(__xludf.DUMMYFUNCTION("GOOGLETRANSLATE(A238, ""en"", ""hi"")"),"237")</f>
        <v>237</v>
      </c>
      <c r="G238" s="5" t="str">
        <f>IFERROR(__xludf.DUMMYFUNCTION("GOOGLETRANSLATE(B238, ""en"", ""hi"")"),"ढोल खेल में, गेंद के गोल लाइन के पार चले जाने और कोई गोल न होने के बाद खेल को पुनः कैसे शुरू किया जाता है?")</f>
        <v>ढोल खेल में, गेंद के गोल लाइन के पार चले जाने और कोई गोल न होने के बाद खेल को पुनः कैसे शुरू किया जाता है?</v>
      </c>
      <c r="H238" s="5" t="str">
        <f>IFERROR(__xludf.DUMMYFUNCTION("GOOGLETRANSLATE(C238, ""en"", ""hi"")"),"A) गोल किक या कॉर्नर किक द्वारा, B) थ्रो-इन द्वारा, C) पेनल्टी किक द्वारा, D) फ्री किक द्वारा")</f>
        <v>A) गोल किक या कॉर्नर किक द्वारा, B) थ्रो-इन द्वारा, C) पेनल्टी किक द्वारा, D) फ्री किक द्वारा</v>
      </c>
      <c r="I238" s="5" t="str">
        <f>IFERROR(__xludf.DUMMYFUNCTION("GOOGLETRANSLATE(D238, ""en"", ""hi"")"),"A) गोल किक या कॉर्नर किक द्वारा")</f>
        <v>A) गोल किक या कॉर्नर किक द्वारा</v>
      </c>
    </row>
    <row r="239" ht="22.5" customHeight="1">
      <c r="A239" s="2">
        <v>238.0</v>
      </c>
      <c r="B239" s="3" t="s">
        <v>5843</v>
      </c>
      <c r="C239" s="3" t="s">
        <v>5844</v>
      </c>
      <c r="D239" s="3" t="s">
        <v>5845</v>
      </c>
      <c r="F239" s="5" t="str">
        <f>IFERROR(__xludf.DUMMYFUNCTION("GOOGLETRANSLATE(A239, ""en"", ""hi"")"),"238")</f>
        <v>238</v>
      </c>
      <c r="G239" s="5" t="str">
        <f>IFERROR(__xludf.DUMMYFUNCTION("GOOGLETRANSLATE(B239, ""en"", ""hi"")"),"ढोल खेल में कौन सी स्थिति प्रतिद्वंद्वी के खेल को तोड़ने और गेंद को पुनः प्राप्त करने के लिए जिम्मेदार है?")</f>
        <v>ढोल खेल में कौन सी स्थिति प्रतिद्वंद्वी के खेल को तोड़ने और गेंद को पुनः प्राप्त करने के लिए जिम्मेदार है?</v>
      </c>
      <c r="H239" s="5" t="str">
        <f>IFERROR(__xludf.DUMMYFUNCTION("GOOGLETRANSLATE(C239, ""en"", ""hi"")"),"A) डिफेंसिव मिडफील्डर, B) फॉरवर्ड, C) गोलकीपर, D) विंगर")</f>
        <v>A) डिफेंसिव मिडफील्डर, B) फॉरवर्ड, C) गोलकीपर, D) विंगर</v>
      </c>
      <c r="I239" s="5" t="str">
        <f>IFERROR(__xludf.DUMMYFUNCTION("GOOGLETRANSLATE(D239, ""en"", ""hi"")"),"A) रक्षात्मक मिडफील्डर")</f>
        <v>A) रक्षात्मक मिडफील्डर</v>
      </c>
    </row>
    <row r="240" ht="22.5" customHeight="1">
      <c r="A240" s="2">
        <v>239.0</v>
      </c>
      <c r="B240" s="3" t="s">
        <v>5846</v>
      </c>
      <c r="C240" s="3" t="s">
        <v>5847</v>
      </c>
      <c r="D240" s="3" t="s">
        <v>5848</v>
      </c>
      <c r="F240" s="5" t="str">
        <f>IFERROR(__xludf.DUMMYFUNCTION("GOOGLETRANSLATE(A240, ""en"", ""hi"")"),"239")</f>
        <v>239</v>
      </c>
      <c r="G240" s="5" t="str">
        <f>IFERROR(__xludf.DUMMYFUNCTION("GOOGLETRANSLATE(B240, ""en"", ""hi"")"),"ढोल खेल टीम के मैच-पूर्व अभ्यास का सामान्य फोकस क्या होता है?")</f>
        <v>ढोल खेल टीम के मैच-पूर्व अभ्यास का सामान्य फोकस क्या होता है?</v>
      </c>
      <c r="H240" s="5" t="str">
        <f>IFERROR(__xludf.DUMMYFUNCTION("GOOGLETRANSLATE(C240, ""en"", ""hi"")"),"A) खिलाड़ियों को खेल के लिए शारीरिक और मानसिक रूप से तैयार करना, B) सेट-पीस का अभ्यास करना, C) खेल की रणनीति को बढ़ाना, D) चोटों की संख्या को कम करना")</f>
        <v>A) खिलाड़ियों को खेल के लिए शारीरिक और मानसिक रूप से तैयार करना, B) सेट-पीस का अभ्यास करना, C) खेल की रणनीति को बढ़ाना, D) चोटों की संख्या को कम करना</v>
      </c>
      <c r="I240" s="5" t="str">
        <f>IFERROR(__xludf.DUMMYFUNCTION("GOOGLETRANSLATE(D240, ""en"", ""hi"")"),"A) खिलाड़ियों को खेल के लिए शारीरिक और मानसिक रूप से तैयार करना")</f>
        <v>A) खिलाड़ियों को खेल के लिए शारीरिक और मानसिक रूप से तैयार करना</v>
      </c>
    </row>
    <row r="241" ht="22.5" customHeight="1">
      <c r="A241" s="2">
        <v>240.0</v>
      </c>
      <c r="B241" s="3" t="s">
        <v>5849</v>
      </c>
      <c r="C241" s="3" t="s">
        <v>5850</v>
      </c>
      <c r="D241" s="3" t="s">
        <v>5851</v>
      </c>
      <c r="F241" s="5" t="str">
        <f>IFERROR(__xludf.DUMMYFUNCTION("GOOGLETRANSLATE(A241, ""en"", ""hi"")"),"240")</f>
        <v>240</v>
      </c>
      <c r="G241" s="5" t="str">
        <f>IFERROR(__xludf.DUMMYFUNCTION("GOOGLETRANSLATE(B241, ""en"", ""hi"")"),"ढोल खेल में फुल-बैक की प्राथमिक भूमिका क्या है?")</f>
        <v>ढोल खेल में फुल-बैक की प्राथमिक भूमिका क्या है?</v>
      </c>
      <c r="H241" s="5" t="str">
        <f>IFERROR(__xludf.DUMMYFUNCTION("GOOGLETRANSLATE(C241, ""en"", ""hi"")"),"A) विंगर्स से बचाव करना और हमले का समर्थन करना, B) कॉर्नर किक लेना, C) गोल करना, D) रक्षात्मक खेल आयोजित करना")</f>
        <v>A) विंगर्स से बचाव करना और हमले का समर्थन करना, B) कॉर्नर किक लेना, C) गोल करना, D) रक्षात्मक खेल आयोजित करना</v>
      </c>
      <c r="I241" s="5" t="str">
        <f>IFERROR(__xludf.DUMMYFUNCTION("GOOGLETRANSLATE(D241, ""en"", ""hi"")"),"A) विंगर्स से बचाव करना और आक्रमण का समर्थन करना")</f>
        <v>A) विंगर्स से बचाव करना और आक्रमण का समर्थन करना</v>
      </c>
    </row>
    <row r="242" ht="22.5" customHeight="1">
      <c r="A242" s="2">
        <v>241.0</v>
      </c>
      <c r="B242" s="3" t="s">
        <v>5852</v>
      </c>
      <c r="C242" s="3" t="s">
        <v>5853</v>
      </c>
      <c r="D242" s="3" t="s">
        <v>5854</v>
      </c>
      <c r="F242" s="5" t="str">
        <f>IFERROR(__xludf.DUMMYFUNCTION("GOOGLETRANSLATE(A242, ""en"", ""hi"")"),"241")</f>
        <v>241</v>
      </c>
      <c r="G242" s="5" t="str">
        <f>IFERROR(__xludf.DUMMYFUNCTION("GOOGLETRANSLATE(B242, ""en"", ""hi"")"),"ढोल खेल में प्रतिस्थापन का आमतौर पर कैसे प्रबंध किया जाता है?")</f>
        <v>ढोल खेल में प्रतिस्थापन का आमतौर पर कैसे प्रबंध किया जाता है?</v>
      </c>
      <c r="H242" s="5" t="str">
        <f>IFERROR(__xludf.DUMMYFUNCTION("GOOGLETRANSLATE(C242, ""en"", ""hi"")"),"A) खेल रुकने के दौरान बेंच से एक खिलाड़ी की जगह दूसरे खिलाड़ी को लाकर, B) मध्यांतर के समय खिलाड़ी को हटाकर, C) हर 10 मिनट में खिलाड़ियों को बदलकर, D) खेल को थोड़े समय के लिए रोककर")</f>
        <v>A) खेल रुकने के दौरान बेंच से एक खिलाड़ी की जगह दूसरे खिलाड़ी को लाकर, B) मध्यांतर के समय खिलाड़ी को हटाकर, C) हर 10 मिनट में खिलाड़ियों को बदलकर, D) खेल को थोड़े समय के लिए रोककर</v>
      </c>
      <c r="I242" s="5" t="str">
        <f>IFERROR(__xludf.DUMMYFUNCTION("GOOGLETRANSLATE(D242, ""en"", ""hi"")"),"A) खेल रुकने के दौरान बेंच से एक खिलाड़ी की जगह दूसरे खिलाड़ी को लाकर")</f>
        <v>A) खेल रुकने के दौरान बेंच से एक खिलाड़ी की जगह दूसरे खिलाड़ी को लाकर</v>
      </c>
    </row>
    <row r="243" ht="22.5" customHeight="1">
      <c r="A243" s="2">
        <v>242.0</v>
      </c>
      <c r="B243" s="3" t="s">
        <v>5855</v>
      </c>
      <c r="C243" s="3" t="s">
        <v>5856</v>
      </c>
      <c r="D243" s="3" t="s">
        <v>5857</v>
      </c>
      <c r="F243" s="5" t="str">
        <f>IFERROR(__xludf.DUMMYFUNCTION("GOOGLETRANSLATE(A243, ""en"", ""hi"")"),"242")</f>
        <v>242</v>
      </c>
      <c r="G243" s="5" t="str">
        <f>IFERROR(__xludf.DUMMYFUNCTION("GOOGLETRANSLATE(B243, ""en"", ""hi"")"),"ढोल खेल में कॉर्नर किक के दौरान रक्षात्मक ब्लॉक का प्राथमिक लक्ष्य क्या होता है?")</f>
        <v>ढोल खेल में कॉर्नर किक के दौरान रक्षात्मक ब्लॉक का प्राथमिक लक्ष्य क्या होता है?</v>
      </c>
      <c r="H243" s="5" t="str">
        <f>IFERROR(__xludf.DUMMYFUNCTION("GOOGLETRANSLATE(C243, ""en"", ""hi"")"),"A) गेंद को आक्रमणकारी खिलाड़ियों तक पहुँचने से रोकना, B) कॉर्नर किक लेना, C) गोल करना, D) गेंद को टीम के साथियों को पास करना")</f>
        <v>A) गेंद को आक्रमणकारी खिलाड़ियों तक पहुँचने से रोकना, B) कॉर्नर किक लेना, C) गोल करना, D) गेंद को टीम के साथियों को पास करना</v>
      </c>
      <c r="I243" s="5" t="str">
        <f>IFERROR(__xludf.DUMMYFUNCTION("GOOGLETRANSLATE(D243, ""en"", ""hi"")"),"A) गेंद को आक्रमणकारी खिलाड़ियों तक पहुँचने से रोकने के लिए")</f>
        <v>A) गेंद को आक्रमणकारी खिलाड़ियों तक पहुँचने से रोकने के लिए</v>
      </c>
    </row>
    <row r="244" ht="22.5" customHeight="1">
      <c r="A244" s="2">
        <v>243.0</v>
      </c>
      <c r="B244" s="3" t="s">
        <v>5858</v>
      </c>
      <c r="C244" s="3" t="s">
        <v>5859</v>
      </c>
      <c r="D244" s="3" t="s">
        <v>5860</v>
      </c>
      <c r="F244" s="5" t="str">
        <f>IFERROR(__xludf.DUMMYFUNCTION("GOOGLETRANSLATE(A244, ""en"", ""hi"")"),"243")</f>
        <v>243</v>
      </c>
      <c r="G244" s="5" t="str">
        <f>IFERROR(__xludf.DUMMYFUNCTION("GOOGLETRANSLATE(B244, ""en"", ""hi"")"),"ढोल खेल में ऊंची गेंद को संभालने की मानक विधि क्या है?")</f>
        <v>ढोल खेल में ऊंची गेंद को संभालने की मानक विधि क्या है?</v>
      </c>
      <c r="H244" s="5" t="str">
        <f>IFERROR(__xludf.DUMMYFUNCTION("GOOGLETRANSLATE(C244, ""en"", ""hi"")"),"ए) गेंद को हेड या क्लियर करने के लिए उचित स्थिति और समय का उपयोग करना, बी) इसे हाथों से पकड़ना, सी) इसे जमीन पर गिरने देना, डी) इसे तुरंत टीम के साथी को पास करना")</f>
        <v>ए) गेंद को हेड या क्लियर करने के लिए उचित स्थिति और समय का उपयोग करना, बी) इसे हाथों से पकड़ना, सी) इसे जमीन पर गिरने देना, डी) इसे तुरंत टीम के साथी को पास करना</v>
      </c>
      <c r="I244" s="5" t="str">
        <f>IFERROR(__xludf.DUMMYFUNCTION("GOOGLETRANSLATE(D244, ""en"", ""hi"")"),"ए) गेंद को हेड या क्लियर करने के लिए उचित स्थिति और समय का उपयोग करना")</f>
        <v>ए) गेंद को हेड या क्लियर करने के लिए उचित स्थिति और समय का उपयोग करना</v>
      </c>
    </row>
    <row r="245" ht="22.5" customHeight="1">
      <c r="A245" s="2">
        <v>244.0</v>
      </c>
      <c r="B245" s="3" t="s">
        <v>5861</v>
      </c>
      <c r="C245" s="3" t="s">
        <v>5862</v>
      </c>
      <c r="D245" s="3" t="s">
        <v>5863</v>
      </c>
      <c r="F245" s="5" t="str">
        <f>IFERROR(__xludf.DUMMYFUNCTION("GOOGLETRANSLATE(A245, ""en"", ""hi"")"),"244")</f>
        <v>244</v>
      </c>
      <c r="G245" s="5" t="str">
        <f>IFERROR(__xludf.DUMMYFUNCTION("GOOGLETRANSLATE(B245, ""en"", ""hi"")"),"ढोल खेल में सेट-पीस प्रशिक्षण सत्र का मुख्य फोकस क्या है?")</f>
        <v>ढोल खेल में सेट-पीस प्रशिक्षण सत्र का मुख्य फोकस क्या है?</v>
      </c>
      <c r="H245" s="5" t="str">
        <f>IFERROR(__xludf.DUMMYFUNCTION("GOOGLETRANSLATE(C245, ""en"", ""hi"")"),"ए) फ्री किक और कॉर्नर जैसे सेट-पीस खेलों को निष्पादित करने और बचाव करने का अभ्यास करना, बी) ड्रिब्लिंग कौशल में सुधार करना, सी) शारीरिक फिटनेस बढ़ाना, डी) गोलकीपिंग तकनीकों पर काम करना")</f>
        <v>ए) फ्री किक और कॉर्नर जैसे सेट-पीस खेलों को निष्पादित करने और बचाव करने का अभ्यास करना, बी) ड्रिब्लिंग कौशल में सुधार करना, सी) शारीरिक फिटनेस बढ़ाना, डी) गोलकीपिंग तकनीकों पर काम करना</v>
      </c>
      <c r="I245" s="5" t="str">
        <f>IFERROR(__xludf.DUMMYFUNCTION("GOOGLETRANSLATE(D245, ""en"", ""hi"")"),"ए) फ्री किक और कॉर्नर जैसे सेट-पीस खेलों को निष्पादित करने और उनका बचाव करने का अभ्यास करना")</f>
        <v>ए) फ्री किक और कॉर्नर जैसे सेट-पीस खेलों को निष्पादित करने और उनका बचाव करने का अभ्यास करना</v>
      </c>
    </row>
    <row r="246" ht="22.5" customHeight="1">
      <c r="A246" s="2">
        <v>245.0</v>
      </c>
      <c r="B246" s="3" t="s">
        <v>5864</v>
      </c>
      <c r="C246" s="3" t="s">
        <v>5865</v>
      </c>
      <c r="D246" s="3" t="s">
        <v>5765</v>
      </c>
      <c r="F246" s="5" t="str">
        <f>IFERROR(__xludf.DUMMYFUNCTION("GOOGLETRANSLATE(A246, ""en"", ""hi"")"),"245")</f>
        <v>245</v>
      </c>
      <c r="G246" s="5" t="str">
        <f>IFERROR(__xludf.DUMMYFUNCTION("GOOGLETRANSLATE(B246, ""en"", ""hi"")"),"ढोल खेल में जब गेंद सीमा रेखा से बाहर चली जाती है तो आमतौर पर क्या कार्रवाई की जाती है?")</f>
        <v>ढोल खेल में जब गेंद सीमा रेखा से बाहर चली जाती है तो आमतौर पर क्या कार्रवाई की जाती है?</v>
      </c>
      <c r="H246" s="5" t="str">
        <f>IFERROR(__xludf.DUMMYFUNCTION("GOOGLETRANSLATE(C246, ""en"", ""hi"")"),"A) थ्रो-इन दिया जाता है, B) गोल किक दी जाती है, C) कॉर्नर किक दी जाती है, D) फ्री किक दी जाती है")</f>
        <v>A) थ्रो-इन दिया जाता है, B) गोल किक दी जाती है, C) कॉर्नर किक दी जाती है, D) फ्री किक दी जाती है</v>
      </c>
      <c r="I246" s="5" t="str">
        <f>IFERROR(__xludf.DUMMYFUNCTION("GOOGLETRANSLATE(D246, ""en"", ""hi"")"),"A) थ्रो-इन प्रदान किया जाता है")</f>
        <v>A) थ्रो-इन प्रदान किया जाता है</v>
      </c>
    </row>
    <row r="247" ht="22.5" customHeight="1">
      <c r="A247" s="2">
        <v>246.0</v>
      </c>
      <c r="B247" s="3" t="s">
        <v>5866</v>
      </c>
      <c r="C247" s="3" t="s">
        <v>5867</v>
      </c>
      <c r="D247" s="3" t="s">
        <v>5868</v>
      </c>
      <c r="F247" s="5" t="str">
        <f>IFERROR(__xludf.DUMMYFUNCTION("GOOGLETRANSLATE(A247, ""en"", ""hi"")"),"246")</f>
        <v>246</v>
      </c>
      <c r="G247" s="5" t="str">
        <f>IFERROR(__xludf.DUMMYFUNCTION("GOOGLETRANSLATE(B247, ""en"", ""hi"")"),"ढोल खेल में टीम की पासिंग सटीकता में सुधार करने के लिए सामान्य अभ्यास क्या है?")</f>
        <v>ढोल खेल में टीम की पासिंग सटीकता में सुधार करने के लिए सामान्य अभ्यास क्या है?</v>
      </c>
      <c r="H247" s="5" t="str">
        <f>IFERROR(__xludf.DUMMYFUNCTION("GOOGLETRANSLATE(C247, ""en"", ""hi"")"),"ए) लक्ष्य क्षेत्रों और साझेदारों के साथ अभ्यास करना, बी) व्यक्तिगत ड्रिब्लिंग कौशल का अभ्यास करना, सी) रक्षात्मक रणनीतियों पर काम करना, डी) गोलकीपिंग तकनीकों को बढ़ाना")</f>
        <v>ए) लक्ष्य क्षेत्रों और साझेदारों के साथ अभ्यास करना, बी) व्यक्तिगत ड्रिब्लिंग कौशल का अभ्यास करना, सी) रक्षात्मक रणनीतियों पर काम करना, डी) गोलकीपिंग तकनीकों को बढ़ाना</v>
      </c>
      <c r="I247" s="5" t="str">
        <f>IFERROR(__xludf.DUMMYFUNCTION("GOOGLETRANSLATE(D247, ""en"", ""hi"")"),"A) लक्ष्य क्षेत्रों और भागीदारों के साथ अभ्यास आयोजित करना")</f>
        <v>A) लक्ष्य क्षेत्रों और भागीदारों के साथ अभ्यास आयोजित करना</v>
      </c>
    </row>
    <row r="248" ht="22.5" customHeight="1">
      <c r="A248" s="2">
        <v>247.0</v>
      </c>
      <c r="B248" s="3" t="s">
        <v>5869</v>
      </c>
      <c r="C248" s="3" t="s">
        <v>5870</v>
      </c>
      <c r="D248" s="3" t="s">
        <v>5871</v>
      </c>
      <c r="F248" s="5" t="str">
        <f>IFERROR(__xludf.DUMMYFUNCTION("GOOGLETRANSLATE(A248, ""en"", ""hi"")"),"247")</f>
        <v>247</v>
      </c>
      <c r="G248" s="5" t="str">
        <f>IFERROR(__xludf.DUMMYFUNCTION("GOOGLETRANSLATE(B248, ""en"", ""hi"")"),"ढोल खेल में एक मिडफील्डर के लिए खेल में उत्कृष्टता प्राप्त करने हेतु प्रमुख कौशल क्या है?")</f>
        <v>ढोल खेल में एक मिडफील्डर के लिए खेल में उत्कृष्टता प्राप्त करने हेतु प्रमुख कौशल क्या है?</v>
      </c>
      <c r="H248" s="5" t="str">
        <f>IFERROR(__xludf.DUMMYFUNCTION("GOOGLETRANSLATE(C248, ""en"", ""hi"")"),"ए) खेल के प्रवाह को नियंत्रित करने के लिए दृष्टि और निर्णय लेना, बी) गति और चपलता, सी) गोलकीपिंग कौशल, डी) रक्षात्मक स्थिति")</f>
        <v>ए) खेल के प्रवाह को नियंत्रित करने के लिए दृष्टि और निर्णय लेना, बी) गति और चपलता, सी) गोलकीपिंग कौशल, डी) रक्षात्मक स्थिति</v>
      </c>
      <c r="I248" s="5" t="str">
        <f>IFERROR(__xludf.DUMMYFUNCTION("GOOGLETRANSLATE(D248, ""en"", ""hi"")"),"ए) खेल के प्रवाह को नियंत्रित करने के लिए दृष्टि और निर्णय लेना")</f>
        <v>ए) खेल के प्रवाह को नियंत्रित करने के लिए दृष्टि और निर्णय लेना</v>
      </c>
    </row>
    <row r="249" ht="22.5" customHeight="1">
      <c r="A249" s="2">
        <v>248.0</v>
      </c>
      <c r="B249" s="3" t="s">
        <v>5872</v>
      </c>
      <c r="C249" s="3" t="s">
        <v>5873</v>
      </c>
      <c r="D249" s="3" t="s">
        <v>5874</v>
      </c>
      <c r="F249" s="5" t="str">
        <f>IFERROR(__xludf.DUMMYFUNCTION("GOOGLETRANSLATE(A249, ""en"", ""hi"")"),"248")</f>
        <v>248</v>
      </c>
      <c r="G249" s="5" t="str">
        <f>IFERROR(__xludf.DUMMYFUNCTION("GOOGLETRANSLATE(B249, ""en"", ""hi"")"),"ढोल खेल में गोल किक आमतौर पर कैसे की जाती है?")</f>
        <v>ढोल खेल में गोल किक आमतौर पर कैसे की जाती है?</v>
      </c>
      <c r="H249" s="5" t="str">
        <f>IFERROR(__xludf.DUMMYFUNCTION("GOOGLETRANSLATE(C249, ""en"", ""hi"")"),"A) गोलकीपर गोल क्षेत्र के भीतर से गेंद को किक करता है, B) गेंद को कोने से फेंका जाता है, C) गेंद को किक-ऑफ के लिए केंद्र में रखा जाता है, D) खेल फ्री किक के साथ फिर से शुरू होता है")</f>
        <v>A) गोलकीपर गोल क्षेत्र के भीतर से गेंद को किक करता है, B) गेंद को कोने से फेंका जाता है, C) गेंद को किक-ऑफ के लिए केंद्र में रखा जाता है, D) खेल फ्री किक के साथ फिर से शुरू होता है</v>
      </c>
      <c r="I249" s="5" t="str">
        <f>IFERROR(__xludf.DUMMYFUNCTION("GOOGLETRANSLATE(D249, ""en"", ""hi"")"),"A) गोलकीपर गोल क्षेत्र के भीतर से गेंद को किक करता है")</f>
        <v>A) गोलकीपर गोल क्षेत्र के भीतर से गेंद को किक करता है</v>
      </c>
    </row>
    <row r="250" ht="22.5" customHeight="1">
      <c r="A250" s="2">
        <v>249.0</v>
      </c>
      <c r="B250" s="3" t="s">
        <v>5875</v>
      </c>
      <c r="C250" s="3" t="s">
        <v>5876</v>
      </c>
      <c r="D250" s="3" t="s">
        <v>5877</v>
      </c>
      <c r="F250" s="5" t="str">
        <f>IFERROR(__xludf.DUMMYFUNCTION("GOOGLETRANSLATE(A250, ""en"", ""hi"")"),"249")</f>
        <v>249</v>
      </c>
      <c r="G250" s="5" t="str">
        <f>IFERROR(__xludf.DUMMYFUNCTION("GOOGLETRANSLATE(B250, ""en"", ""hi"")"),"ढोल खेल में रक्षात्मक सेट-पीस के दौरान फॉरवर्ड की क्या भूमिका होती है?")</f>
        <v>ढोल खेल में रक्षात्मक सेट-पीस के दौरान फॉरवर्ड की क्या भूमिका होती है?</v>
      </c>
      <c r="H250" s="5" t="str">
        <f>IFERROR(__xludf.DUMMYFUNCTION("GOOGLETRANSLATE(C250, ""en"", ""hi"")"),"A) विरोधी डिफेंडरों पर दबाव बनाना और जवाबी हमले के अवसर तलाशना, B) फ्री किक लेना, C) रक्षात्मक रेखा को व्यवस्थित करना, D) गोल क्षेत्र से गेंद को पुनः प्राप्त करना")</f>
        <v>A) विरोधी डिफेंडरों पर दबाव बनाना और जवाबी हमले के अवसर तलाशना, B) फ्री किक लेना, C) रक्षात्मक रेखा को व्यवस्थित करना, D) गोल क्षेत्र से गेंद को पुनः प्राप्त करना</v>
      </c>
      <c r="I250" s="5" t="str">
        <f>IFERROR(__xludf.DUMMYFUNCTION("GOOGLETRANSLATE(D250, ""en"", ""hi"")"),"A) विरोधी डिफेंडरों पर दबाव बनाना और जवाबी हमले के अवसरों की तलाश करना")</f>
        <v>A) विरोधी डिफेंडरों पर दबाव बनाना और जवाबी हमले के अवसरों की तलाश करना</v>
      </c>
    </row>
    <row r="251" ht="22.5" customHeight="1">
      <c r="A251" s="2">
        <v>250.0</v>
      </c>
      <c r="B251" s="3" t="s">
        <v>5878</v>
      </c>
      <c r="C251" s="3" t="s">
        <v>5879</v>
      </c>
      <c r="D251" s="3" t="s">
        <v>5880</v>
      </c>
      <c r="F251" s="5" t="str">
        <f>IFERROR(__xludf.DUMMYFUNCTION("GOOGLETRANSLATE(A251, ""en"", ""hi"")"),"250")</f>
        <v>250</v>
      </c>
      <c r="G251" s="5" t="str">
        <f>IFERROR(__xludf.DUMMYFUNCTION("GOOGLETRANSLATE(B251, ""en"", ""hi"")"),"ढोल खेल में सफल टैकल के लिए कौन सी तकनीक आवश्यक है?")</f>
        <v>ढोल खेल में सफल टैकल के लिए कौन सी तकनीक आवश्यक है?</v>
      </c>
      <c r="H251" s="5" t="str">
        <f>IFERROR(__xludf.DUMMYFUNCTION("GOOGLETRANSLATE(C251, ""en"", ""hi"")"),"ए) गेंद को आसानी से जीतने के लिए समय और स्थिति का चयन, बी) अत्यधिक बल का प्रयोग, सी) प्रतिद्वंद्वी के संपर्क से बचना, डी) गेंद पर गोता लगाना")</f>
        <v>ए) गेंद को आसानी से जीतने के लिए समय और स्थिति का चयन, बी) अत्यधिक बल का प्रयोग, सी) प्रतिद्वंद्वी के संपर्क से बचना, डी) गेंद पर गोता लगाना</v>
      </c>
      <c r="I251" s="5" t="str">
        <f>IFERROR(__xludf.DUMMYFUNCTION("GOOGLETRANSLATE(D251, ""en"", ""hi"")"),"ए) गेंद को आसानी से जीतने के लिए समय और स्थिति का सही चुनाव")</f>
        <v>ए) गेंद को आसानी से जीतने के लिए समय और स्थिति का सही चुनाव</v>
      </c>
    </row>
    <row r="252" ht="22.5" customHeight="1">
      <c r="A252" s="2">
        <v>251.0</v>
      </c>
      <c r="B252" s="3" t="s">
        <v>5881</v>
      </c>
      <c r="C252" s="3" t="s">
        <v>5882</v>
      </c>
      <c r="D252" s="3" t="s">
        <v>5883</v>
      </c>
      <c r="F252" s="5" t="str">
        <f>IFERROR(__xludf.DUMMYFUNCTION("GOOGLETRANSLATE(A252, ""en"", ""hi"")"),"251")</f>
        <v>251</v>
      </c>
      <c r="G252" s="5" t="str">
        <f>IFERROR(__xludf.DUMMYFUNCTION("GOOGLETRANSLATE(B252, ""en"", ""hi"")"),"ढोल खेल में क्रॉसिंग ड्रिल का अभ्यास करने का उद्देश्य क्या है?")</f>
        <v>ढोल खेल में क्रॉसिंग ड्रिल का अभ्यास करने का उद्देश्य क्या है?</v>
      </c>
      <c r="H252" s="5" t="str">
        <f>IFERROR(__xludf.DUMMYFUNCTION("GOOGLETRANSLATE(C252, ""en"", ""hi"")"),"A) आक्रमण क्षेत्र में सटीक क्रॉस देने की क्षमता में सुधार करना, B) रक्षात्मक स्थिति पर काम करना, C) गोलकीपिंग कौशल को बढ़ाना, D) फ्री किक का अभ्यास करना")</f>
        <v>A) आक्रमण क्षेत्र में सटीक क्रॉस देने की क्षमता में सुधार करना, B) रक्षात्मक स्थिति पर काम करना, C) गोलकीपिंग कौशल को बढ़ाना, D) फ्री किक का अभ्यास करना</v>
      </c>
      <c r="I252" s="5" t="str">
        <f>IFERROR(__xludf.DUMMYFUNCTION("GOOGLETRANSLATE(D252, ""en"", ""hi"")"),"A) आक्रमण क्षेत्र में सटीक क्रॉस देने की क्षमता में सुधार करना")</f>
        <v>A) आक्रमण क्षेत्र में सटीक क्रॉस देने की क्षमता में सुधार करना</v>
      </c>
    </row>
    <row r="253" ht="22.5" customHeight="1">
      <c r="A253" s="2">
        <v>252.0</v>
      </c>
      <c r="B253" s="3" t="s">
        <v>5884</v>
      </c>
      <c r="C253" s="3" t="s">
        <v>5885</v>
      </c>
      <c r="D253" s="3" t="s">
        <v>5886</v>
      </c>
      <c r="F253" s="5" t="str">
        <f>IFERROR(__xludf.DUMMYFUNCTION("GOOGLETRANSLATE(A253, ""en"", ""hi"")"),"252")</f>
        <v>252</v>
      </c>
      <c r="G253" s="5" t="str">
        <f>IFERROR(__xludf.DUMMYFUNCTION("GOOGLETRANSLATE(B253, ""en"", ""hi"")"),"ढोल खेल में तेज विंगर के खिलाफ बचाव की सामान्य रणनीति क्या है?")</f>
        <v>ढोल खेल में तेज विंगर के खिलाफ बचाव की सामान्य रणनीति क्या है?</v>
      </c>
      <c r="H253" s="5" t="str">
        <f>IFERROR(__xludf.DUMMYFUNCTION("GOOGLETRANSLATE(C253, ""en"", ""hi"")"),"ए) उनके रन रोकने के लिए त्वरित फुटवर्क और पोजिशनिंग का उपयोग करना, बी) मैदान के केंद्र में रहना, सी) इसके बजाय आक्रमण करने पर ध्यान केंद्रित करना, डी) लगातार प्रतिस्थापन करना")</f>
        <v>ए) उनके रन रोकने के लिए त्वरित फुटवर्क और पोजिशनिंग का उपयोग करना, बी) मैदान के केंद्र में रहना, सी) इसके बजाय आक्रमण करने पर ध्यान केंद्रित करना, डी) लगातार प्रतिस्थापन करना</v>
      </c>
      <c r="I253" s="5" t="str">
        <f>IFERROR(__xludf.DUMMYFUNCTION("GOOGLETRANSLATE(D253, ""en"", ""hi"")"),"A) उनके रन को रोकने के लिए त्वरित फुटवर्क और पोजिशनिंग का उपयोग करना")</f>
        <v>A) उनके रन को रोकने के लिए त्वरित फुटवर्क और पोजिशनिंग का उपयोग करना</v>
      </c>
    </row>
    <row r="254" ht="22.5" customHeight="1">
      <c r="A254" s="2">
        <v>253.0</v>
      </c>
      <c r="B254" s="3" t="s">
        <v>5887</v>
      </c>
      <c r="C254" s="3" t="s">
        <v>5888</v>
      </c>
      <c r="D254" s="3" t="s">
        <v>5889</v>
      </c>
      <c r="F254" s="5" t="str">
        <f>IFERROR(__xludf.DUMMYFUNCTION("GOOGLETRANSLATE(A254, ""en"", ""hi"")"),"253")</f>
        <v>253</v>
      </c>
      <c r="G254" s="5" t="str">
        <f>IFERROR(__xludf.DUMMYFUNCTION("GOOGLETRANSLATE(B254, ""en"", ""hi"")"),"ढोल खेल में प्रत्यक्ष फ्री किक कैसे दी जाती है?")</f>
        <v>ढोल खेल में प्रत्यक्ष फ्री किक कैसे दी जाती है?</v>
      </c>
      <c r="H254" s="5" t="str">
        <f>IFERROR(__xludf.DUMMYFUNCTION("GOOGLETRANSLATE(C254, ""en"", ""hi"")"),"ए) पेनल्टी क्षेत्र के अंदर या बाहर किए गए गंभीर फाउल के लिए, बी) थ्रो-इन के लिए, सी) गोल किक के लिए, डी) कॉर्नर किक के लिए")</f>
        <v>ए) पेनल्टी क्षेत्र के अंदर या बाहर किए गए गंभीर फाउल के लिए, बी) थ्रो-इन के लिए, सी) गोल किक के लिए, डी) कॉर्नर किक के लिए</v>
      </c>
      <c r="I254" s="5" t="str">
        <f>IFERROR(__xludf.DUMMYFUNCTION("GOOGLETRANSLATE(D254, ""en"", ""hi"")"),"A) पेनल्टी क्षेत्र के अंदर या बाहर किए गए गंभीर फाउल के लिए")</f>
        <v>A) पेनल्टी क्षेत्र के अंदर या बाहर किए गए गंभीर फाउल के लिए</v>
      </c>
    </row>
    <row r="255" ht="22.5" customHeight="1">
      <c r="A255" s="2">
        <v>254.0</v>
      </c>
      <c r="B255" s="3" t="s">
        <v>5890</v>
      </c>
      <c r="C255" s="3" t="s">
        <v>5891</v>
      </c>
      <c r="D255" s="3" t="s">
        <v>5892</v>
      </c>
      <c r="F255" s="5" t="str">
        <f>IFERROR(__xludf.DUMMYFUNCTION("GOOGLETRANSLATE(A255, ""en"", ""hi"")"),"254")</f>
        <v>254</v>
      </c>
      <c r="G255" s="5" t="str">
        <f>IFERROR(__xludf.DUMMYFUNCTION("GOOGLETRANSLATE(B255, ""en"", ""hi"")"),"ढोल खेल में फिटनेस अभ्यास का सामान्य लक्ष्य क्या है?")</f>
        <v>ढोल खेल में फिटनेस अभ्यास का सामान्य लक्ष्य क्या है?</v>
      </c>
      <c r="H255" s="5" t="str">
        <f>IFERROR(__xludf.DUMMYFUNCTION("GOOGLETRANSLATE(C255, ""en"", ""hi"")"),"A) समग्र शारीरिक कंडीशनिंग और सहनशक्ति को बढ़ाने के लिए, B) गोलकीपिंग तकनीकों में सुधार करने के लिए, C) सामरिक रणनीतियों पर ध्यान केंद्रित करने के लिए, D) पासिंग और ड्रिब्लिंग का अभ्यास करने के लिए")</f>
        <v>A) समग्र शारीरिक कंडीशनिंग और सहनशक्ति को बढ़ाने के लिए, B) गोलकीपिंग तकनीकों में सुधार करने के लिए, C) सामरिक रणनीतियों पर ध्यान केंद्रित करने के लिए, D) पासिंग और ड्रिब्लिंग का अभ्यास करने के लिए</v>
      </c>
      <c r="I255" s="5" t="str">
        <f>IFERROR(__xludf.DUMMYFUNCTION("GOOGLETRANSLATE(D255, ""en"", ""hi"")"),"A) समग्र शारीरिक कंडीशनिंग और सहनशक्ति को बढ़ाने के लिए")</f>
        <v>A) समग्र शारीरिक कंडीशनिंग और सहनशक्ति को बढ़ाने के लिए</v>
      </c>
    </row>
    <row r="256" ht="22.5" customHeight="1">
      <c r="A256" s="2">
        <v>255.0</v>
      </c>
      <c r="B256" s="3" t="s">
        <v>5893</v>
      </c>
      <c r="C256" s="3" t="s">
        <v>5894</v>
      </c>
      <c r="D256" s="3" t="s">
        <v>5895</v>
      </c>
      <c r="F256" s="5" t="str">
        <f>IFERROR(__xludf.DUMMYFUNCTION("GOOGLETRANSLATE(A256, ""en"", ""hi"")"),"255")</f>
        <v>255</v>
      </c>
      <c r="G256" s="5" t="str">
        <f>IFERROR(__xludf.DUMMYFUNCTION("GOOGLETRANSLATE(B256, ""en"", ""hi"")"),"ढोल खेल में कॉर्नर किक के दौरान टीम की रक्षात्मक पंक्ति को व्यवस्थित करने का सामान्य तरीका क्या है?")</f>
        <v>ढोल खेल में कॉर्नर किक के दौरान टीम की रक्षात्मक पंक्ति को व्यवस्थित करने का सामान्य तरीका क्या है?</v>
      </c>
      <c r="H256" s="5" t="str">
        <f>IFERROR(__xludf.DUMMYFUNCTION("GOOGLETRANSLATE(C256, ""en"", ""hi"")"),"A) आक्रमणकारी खिलाड़ियों को कवर करने के लिए क्षेत्रीय या मैन-मार्किंग प्रणाली बनाना, B) सभी खिलाड़ियों को आगे धकेलना, C) प्रतिद्वंद्वी को मुक्त स्थान देना, D) केवल गोलकीपर पर ध्यान केंद्रित करना")</f>
        <v>A) आक्रमणकारी खिलाड़ियों को कवर करने के लिए क्षेत्रीय या मैन-मार्किंग प्रणाली बनाना, B) सभी खिलाड़ियों को आगे धकेलना, C) प्रतिद्वंद्वी को मुक्त स्थान देना, D) केवल गोलकीपर पर ध्यान केंद्रित करना</v>
      </c>
      <c r="I256" s="5" t="str">
        <f>IFERROR(__xludf.DUMMYFUNCTION("GOOGLETRANSLATE(D256, ""en"", ""hi"")"),"A) आक्रमणकारी खिलाड़ियों को कवर करने के लिए क्षेत्रीय या मैन-मार्किंग प्रणाली बनाना")</f>
        <v>A) आक्रमणकारी खिलाड़ियों को कवर करने के लिए क्षेत्रीय या मैन-मार्किंग प्रणाली बनाना</v>
      </c>
    </row>
    <row r="257" ht="22.5" customHeight="1">
      <c r="A257" s="2">
        <v>256.0</v>
      </c>
      <c r="B257" s="3" t="s">
        <v>5896</v>
      </c>
      <c r="C257" s="3" t="s">
        <v>5897</v>
      </c>
      <c r="D257" s="3" t="s">
        <v>5898</v>
      </c>
      <c r="F257" s="5" t="str">
        <f>IFERROR(__xludf.DUMMYFUNCTION("GOOGLETRANSLATE(A257, ""en"", ""hi"")"),"256")</f>
        <v>256</v>
      </c>
      <c r="G257" s="5" t="str">
        <f>IFERROR(__xludf.DUMMYFUNCTION("GOOGLETRANSLATE(B257, ""en"", ""hi"")"),"ढोल खेल में, एक खिलाड़ी को अपने साथी खिलाड़ी से पास प्राप्त करने के लिए किस प्रकार अपनी स्थिति बनानी चाहिए?")</f>
        <v>ढोल खेल में, एक खिलाड़ी को अपने साथी खिलाड़ी से पास प्राप्त करने के लिए किस प्रकार अपनी स्थिति बनानी चाहिए?</v>
      </c>
      <c r="H257" s="5" t="str">
        <f>IFERROR(__xludf.DUMMYFUNCTION("GOOGLETRANSLATE(C257, ""en"", ""hi"")"),"A) स्पष्ट और खुली जगह में जाकर, B) प्रतिद्वंद्वी के करीब खड़े होकर, C) गोल क्षेत्र में रहकर, D) पास देने वाले से आँख मिलाने से बचकर")</f>
        <v>A) स्पष्ट और खुली जगह में जाकर, B) प्रतिद्वंद्वी के करीब खड़े होकर, C) गोल क्षेत्र में रहकर, D) पास देने वाले से आँख मिलाने से बचकर</v>
      </c>
      <c r="I257" s="5" t="str">
        <f>IFERROR(__xludf.DUMMYFUNCTION("GOOGLETRANSLATE(D257, ""en"", ""hi"")"),"A) किसी साफ़ और खुली जगह पर जाकर")</f>
        <v>A) किसी साफ़ और खुली जगह पर जाकर</v>
      </c>
    </row>
    <row r="258" ht="22.5" customHeight="1">
      <c r="A258" s="2">
        <v>257.0</v>
      </c>
      <c r="B258" s="3" t="s">
        <v>5899</v>
      </c>
      <c r="C258" s="3" t="s">
        <v>5900</v>
      </c>
      <c r="D258" s="3" t="s">
        <v>5901</v>
      </c>
      <c r="F258" s="5" t="str">
        <f>IFERROR(__xludf.DUMMYFUNCTION("GOOGLETRANSLATE(A258, ""en"", ""hi"")"),"257")</f>
        <v>257</v>
      </c>
      <c r="G258" s="5" t="str">
        <f>IFERROR(__xludf.DUMMYFUNCTION("GOOGLETRANSLATE(B258, ""en"", ""hi"")"),"ढोल खेल में एक सेंट्रल मिडफील्डर की विशिष्ट भूमिका क्या होती है?")</f>
        <v>ढोल खेल में एक सेंट्रल मिडफील्डर की विशिष्ट भूमिका क्या होती है?</v>
      </c>
      <c r="H258" s="5" t="str">
        <f>IFERROR(__xludf.DUMMYFUNCTION("GOOGLETRANSLATE(C258, ""en"", ""hi"")"),"A) खेल की गति को नियंत्रित करना और बचाव को आक्रमण से जोड़ना, B) केवल बचाव करना, C) गोलकीपर के रूप में खेलना, D) केवल गोल करने पर ध्यान केंद्रित करना")</f>
        <v>A) खेल की गति को नियंत्रित करना और बचाव को आक्रमण से जोड़ना, B) केवल बचाव करना, C) गोलकीपर के रूप में खेलना, D) केवल गोल करने पर ध्यान केंद्रित करना</v>
      </c>
      <c r="I258" s="5" t="str">
        <f>IFERROR(__xludf.DUMMYFUNCTION("GOOGLETRANSLATE(D258, ""en"", ""hi"")"),"A) खेल की गति को नियंत्रित करना और बचाव को आक्रमण से जोड़ना")</f>
        <v>A) खेल की गति को नियंत्रित करना और बचाव को आक्रमण से जोड़ना</v>
      </c>
    </row>
    <row r="259" ht="22.5" customHeight="1">
      <c r="A259" s="2">
        <v>258.0</v>
      </c>
      <c r="B259" s="3" t="s">
        <v>5902</v>
      </c>
      <c r="C259" s="3" t="s">
        <v>5903</v>
      </c>
      <c r="D259" s="3" t="s">
        <v>5904</v>
      </c>
      <c r="F259" s="5" t="str">
        <f>IFERROR(__xludf.DUMMYFUNCTION("GOOGLETRANSLATE(A259, ""en"", ""hi"")"),"258")</f>
        <v>258</v>
      </c>
      <c r="G259" s="5" t="str">
        <f>IFERROR(__xludf.DUMMYFUNCTION("GOOGLETRANSLATE(B259, ""en"", ""hi"")"),"ढोल खेल में, यदि कोई खिलाड़ी कॉर्नर किक लेने वाला हो तो उसे क्या करना चाहिए?")</f>
        <v>ढोल खेल में, यदि कोई खिलाड़ी कॉर्नर किक लेने वाला हो तो उसे क्या करना चाहिए?</v>
      </c>
      <c r="H259" s="5" t="str">
        <f>IFERROR(__xludf.DUMMYFUNCTION("GOOGLETRANSLATE(C259, ""en"", ""hi"")"),"ए) पेनल्टी क्षेत्र में सटीक क्रॉस देना, बी) सीधे गोल पर शॉट लेना, सी) पेनल्टी क्षेत्र के बाहर टीम के साथी को पास देना, डी) थ्रो-इन करना")</f>
        <v>ए) पेनल्टी क्षेत्र में सटीक क्रॉस देना, बी) सीधे गोल पर शॉट लेना, सी) पेनल्टी क्षेत्र के बाहर टीम के साथी को पास देना, डी) थ्रो-इन करना</v>
      </c>
      <c r="I259" s="5" t="str">
        <f>IFERROR(__xludf.DUMMYFUNCTION("GOOGLETRANSLATE(D259, ""en"", ""hi"")"),"A) पेनल्टी क्षेत्र में सटीक क्रॉस देना")</f>
        <v>A) पेनल्टी क्षेत्र में सटीक क्रॉस देना</v>
      </c>
    </row>
    <row r="260" ht="22.5" customHeight="1">
      <c r="A260" s="2">
        <v>259.0</v>
      </c>
      <c r="B260" s="3" t="s">
        <v>5905</v>
      </c>
      <c r="C260" s="3" t="s">
        <v>5906</v>
      </c>
      <c r="D260" s="3" t="s">
        <v>5907</v>
      </c>
      <c r="F260" s="5" t="str">
        <f>IFERROR(__xludf.DUMMYFUNCTION("GOOGLETRANSLATE(A260, ""en"", ""hi"")"),"259")</f>
        <v>259</v>
      </c>
      <c r="G260" s="5" t="str">
        <f>IFERROR(__xludf.DUMMYFUNCTION("GOOGLETRANSLATE(B260, ""en"", ""hi"")"),"ढोल खेल में गोल पर शॉट को रोकने के लिए डिफेंडर के लिए प्रभावी तरीका क्या है?")</f>
        <v>ढोल खेल में गोल पर शॉट को रोकने के लिए डिफेंडर के लिए प्रभावी तरीका क्या है?</v>
      </c>
      <c r="H260" s="5" t="str">
        <f>IFERROR(__xludf.DUMMYFUNCTION("GOOGLETRANSLATE(C260, ""en"", ""hi"")"),"A) गेंद और गोल के बीच में खड़े होना, B) अत्यधिक बल का प्रयोग करना, C) स्थिर खड़े रहना और गेंद को पास होने देना, D) गेंद को अपने हाथों से पकड़ने का प्रयास करना")</f>
        <v>A) गेंद और गोल के बीच में खड़े होना, B) अत्यधिक बल का प्रयोग करना, C) स्थिर खड़े रहना और गेंद को पास होने देना, D) गेंद को अपने हाथों से पकड़ने का प्रयास करना</v>
      </c>
      <c r="I260" s="5" t="str">
        <f>IFERROR(__xludf.DUMMYFUNCTION("GOOGLETRANSLATE(D260, ""en"", ""hi"")"),"A) गेंद और गोल के बीच अपनी स्थिति बनाएं")</f>
        <v>A) गेंद और गोल के बीच अपनी स्थिति बनाएं</v>
      </c>
    </row>
    <row r="261" ht="22.5" customHeight="1">
      <c r="A261" s="2">
        <v>260.0</v>
      </c>
      <c r="B261" s="3" t="s">
        <v>5908</v>
      </c>
      <c r="C261" s="3" t="s">
        <v>5909</v>
      </c>
      <c r="D261" s="3" t="s">
        <v>5910</v>
      </c>
      <c r="F261" s="5" t="str">
        <f>IFERROR(__xludf.DUMMYFUNCTION("GOOGLETRANSLATE(A261, ""en"", ""hi"")"),"260")</f>
        <v>260</v>
      </c>
      <c r="G261" s="5" t="str">
        <f>IFERROR(__xludf.DUMMYFUNCTION("GOOGLETRANSLATE(B261, ""en"", ""hi"")"),"ढोल खेल में एक बेहतर प्रतिद्वंद्वी के खिलाफ खेलते समय एक टीम आमतौर पर अपनी रणनीति को कैसे समायोजित करती है?")</f>
        <v>ढोल खेल में एक बेहतर प्रतिद्वंद्वी के खिलाफ खेलते समय एक टीम आमतौर पर अपनी रणनीति को कैसे समायोजित करती है?</v>
      </c>
      <c r="H261" s="5" t="str">
        <f>IFERROR(__xludf.DUMMYFUNCTION("GOOGLETRANSLATE(C261, ""en"", ""hi"")"),"A) मजबूत रक्षात्मक खेल और जवाबी हमले के अवसरों पर ध्यान केंद्रित करके, B) शुरू से ही आक्रामक तरीके से हमला करके, C) सभी प्रमुख खिलाड़ियों को प्रतिस्थापित करके, D) कम खिलाड़ियों के साथ खेलकर")</f>
        <v>A) मजबूत रक्षात्मक खेल और जवाबी हमले के अवसरों पर ध्यान केंद्रित करके, B) शुरू से ही आक्रामक तरीके से हमला करके, C) सभी प्रमुख खिलाड़ियों को प्रतिस्थापित करके, D) कम खिलाड़ियों के साथ खेलकर</v>
      </c>
      <c r="I261" s="5" t="str">
        <f>IFERROR(__xludf.DUMMYFUNCTION("GOOGLETRANSLATE(D261, ""en"", ""hi"")"),"A) मजबूत रक्षात्मक खेल और जवाबी हमले के अवसरों पर ध्यान केंद्रित करके")</f>
        <v>A) मजबूत रक्षात्मक खेल और जवाबी हमले के अवसरों पर ध्यान केंद्रित करके</v>
      </c>
    </row>
    <row r="262" ht="22.5" customHeight="1">
      <c r="A262" s="2">
        <v>261.0</v>
      </c>
      <c r="B262" s="3" t="s">
        <v>5911</v>
      </c>
      <c r="C262" s="3" t="s">
        <v>5912</v>
      </c>
      <c r="D262" s="3" t="s">
        <v>5913</v>
      </c>
      <c r="F262" s="5" t="str">
        <f>IFERROR(__xludf.DUMMYFUNCTION("GOOGLETRANSLATE(A262, ""en"", ""hi"")"),"261")</f>
        <v>261</v>
      </c>
      <c r="G262" s="5" t="str">
        <f>IFERROR(__xludf.DUMMYFUNCTION("GOOGLETRANSLATE(B262, ""en"", ""hi"")"),"ढोल खेल में, जब किसी खिलाड़ी को तंग जगह में पास मिले तो उसे क्या करना चाहिए?")</f>
        <v>ढोल खेल में, जब किसी खिलाड़ी को तंग जगह में पास मिले तो उसे क्या करना चाहिए?</v>
      </c>
      <c r="H262" s="5" t="str">
        <f>IFERROR(__xludf.DUMMYFUNCTION("GOOGLETRANSLATE(C262, ""en"", ""hi"")"),"क) गेंद पर कब्ज़ा बनाए रखने के लिए त्वरित नियंत्रण और गति का उपयोग करना, ख) खेल में देरी करना और समर्थन की प्रतीक्षा करना, ग) बिना नियंत्रण के तुरंत गेंद पास करना, घ) निकटतम प्रतिद्वंद्वी की दिशा में ड्रिबल करना")</f>
        <v>क) गेंद पर कब्ज़ा बनाए रखने के लिए त्वरित नियंत्रण और गति का उपयोग करना, ख) खेल में देरी करना और समर्थन की प्रतीक्षा करना, ग) बिना नियंत्रण के तुरंत गेंद पास करना, घ) निकटतम प्रतिद्वंद्वी की दिशा में ड्रिबल करना</v>
      </c>
      <c r="I262" s="5" t="str">
        <f>IFERROR(__xludf.DUMMYFUNCTION("GOOGLETRANSLATE(D262, ""en"", ""hi"")"),"A) कब्ज़ा बनाए रखने के लिए त्वरित नियंत्रण और गति का उपयोग करें")</f>
        <v>A) कब्ज़ा बनाए रखने के लिए त्वरित नियंत्रण और गति का उपयोग करें</v>
      </c>
    </row>
    <row r="263" ht="22.5" customHeight="1">
      <c r="A263" s="2">
        <v>262.0</v>
      </c>
      <c r="B263" s="3" t="s">
        <v>5914</v>
      </c>
      <c r="C263" s="3" t="s">
        <v>5915</v>
      </c>
      <c r="D263" s="3" t="s">
        <v>5916</v>
      </c>
      <c r="F263" s="5" t="str">
        <f>IFERROR(__xludf.DUMMYFUNCTION("GOOGLETRANSLATE(A263, ""en"", ""hi"")"),"262")</f>
        <v>262</v>
      </c>
      <c r="G263" s="5" t="str">
        <f>IFERROR(__xludf.DUMMYFUNCTION("GOOGLETRANSLATE(B263, ""en"", ""hi"")"),"ढोल खेल में गोलकीपिंग अभ्यास का उद्देश्य क्या है?")</f>
        <v>ढोल खेल में गोलकीपिंग अभ्यास का उद्देश्य क्या है?</v>
      </c>
      <c r="H263" s="5" t="str">
        <f>IFERROR(__xludf.DUMMYFUNCTION("GOOGLETRANSLATE(C263, ""en"", ""hi"")"),"A) कैचिंग, डाइविंग और शॉट रोकने की क्षमताओं में सुधार करना, B) ड्रिब्लिंग और पासिंग का अभ्यास करना, C) गोल स्कोरिंग कौशल को बढ़ाना, D) रक्षात्मक स्थिति पर काम करना")</f>
        <v>A) कैचिंग, डाइविंग और शॉट रोकने की क्षमताओं में सुधार करना, B) ड्रिब्लिंग और पासिंग का अभ्यास करना, C) गोल स्कोरिंग कौशल को बढ़ाना, D) रक्षात्मक स्थिति पर काम करना</v>
      </c>
      <c r="I263" s="5" t="str">
        <f>IFERROR(__xludf.DUMMYFUNCTION("GOOGLETRANSLATE(D263, ""en"", ""hi"")"),"A) पकड़ने, गोता लगाने और शॉट रोकने की क्षमताओं में सुधार करने के लिए")</f>
        <v>A) पकड़ने, गोता लगाने और शॉट रोकने की क्षमताओं में सुधार करने के लिए</v>
      </c>
    </row>
    <row r="264" ht="22.5" customHeight="1">
      <c r="A264" s="2">
        <v>263.0</v>
      </c>
      <c r="B264" s="3" t="s">
        <v>5917</v>
      </c>
      <c r="C264" s="3" t="s">
        <v>5918</v>
      </c>
      <c r="D264" s="3" t="s">
        <v>5919</v>
      </c>
      <c r="F264" s="5" t="str">
        <f>IFERROR(__xludf.DUMMYFUNCTION("GOOGLETRANSLATE(A264, ""en"", ""hi"")"),"263")</f>
        <v>263</v>
      </c>
      <c r="G264" s="5" t="str">
        <f>IFERROR(__xludf.DUMMYFUNCTION("GOOGLETRANSLATE(B264, ""en"", ""hi"")"),"ढोल खेल में जब कोई खिलाड़ी मामूली फाउल करता है तो क्या कार्रवाई की जाती है?")</f>
        <v>ढोल खेल में जब कोई खिलाड़ी मामूली फाउल करता है तो क्या कार्रवाई की जाती है?</v>
      </c>
      <c r="H264" s="5" t="str">
        <f>IFERROR(__xludf.DUMMYFUNCTION("GOOGLETRANSLATE(C264, ""en"", ""hi"")"),"A) विरोधी टीम को फ्री किक दी जाती है, B) पीला कार्ड जारी किया जाता है, C) खिलाड़ी को प्रतिस्थापित किया जाता है, D) खेल को गोल किक के साथ पुनः शुरू किया जाता है")</f>
        <v>A) विरोधी टीम को फ्री किक दी जाती है, B) पीला कार्ड जारी किया जाता है, C) खिलाड़ी को प्रतिस्थापित किया जाता है, D) खेल को गोल किक के साथ पुनः शुरू किया जाता है</v>
      </c>
      <c r="I264" s="5" t="str">
        <f>IFERROR(__xludf.DUMMYFUNCTION("GOOGLETRANSLATE(D264, ""en"", ""hi"")"),"A) विरोधी टीम को फ्री किक दी जाती है")</f>
        <v>A) विरोधी टीम को फ्री किक दी जाती है</v>
      </c>
    </row>
    <row r="265" ht="22.5" customHeight="1">
      <c r="A265" s="2">
        <v>264.0</v>
      </c>
      <c r="B265" s="3" t="s">
        <v>5920</v>
      </c>
      <c r="C265" s="3" t="s">
        <v>5921</v>
      </c>
      <c r="D265" s="3" t="s">
        <v>5922</v>
      </c>
      <c r="F265" s="5" t="str">
        <f>IFERROR(__xludf.DUMMYFUNCTION("GOOGLETRANSLATE(A265, ""en"", ""hi"")"),"264")</f>
        <v>264</v>
      </c>
      <c r="G265" s="5" t="str">
        <f>IFERROR(__xludf.DUMMYFUNCTION("GOOGLETRANSLATE(B265, ""en"", ""hi"")"),"ढोल खेल में सामरिक अभ्यास का मुख्य उद्देश्य क्या है?")</f>
        <v>ढोल खेल में सामरिक अभ्यास का मुख्य उद्देश्य क्या है?</v>
      </c>
      <c r="H265" s="5" t="str">
        <f>IFERROR(__xludf.DUMMYFUNCTION("GOOGLETRANSLATE(C265, ""en"", ""hi"")"),"A) टीम समन्वय और रणनीतिक खेल में सुधार करना, B) व्यक्तिगत फिटनेस पर काम करना, C) गोल स्कोरिंग तकनीकों को बढ़ाना, D) रक्षात्मक अभ्यास पर ध्यान केंद्रित करना")</f>
        <v>A) टीम समन्वय और रणनीतिक खेल में सुधार करना, B) व्यक्तिगत फिटनेस पर काम करना, C) गोल स्कोरिंग तकनीकों को बढ़ाना, D) रक्षात्मक अभ्यास पर ध्यान केंद्रित करना</v>
      </c>
      <c r="I265" s="5" t="str">
        <f>IFERROR(__xludf.DUMMYFUNCTION("GOOGLETRANSLATE(D265, ""en"", ""hi"")"),"A) टीम समन्वय और रणनीतिक खेल में सुधार करना")</f>
        <v>A) टीम समन्वय और रणनीतिक खेल में सुधार करना</v>
      </c>
    </row>
    <row r="266" ht="22.5" customHeight="1">
      <c r="A266" s="2">
        <v>265.0</v>
      </c>
      <c r="B266" s="3" t="s">
        <v>5923</v>
      </c>
      <c r="C266" s="3" t="s">
        <v>5924</v>
      </c>
      <c r="D266" s="3" t="s">
        <v>5925</v>
      </c>
      <c r="F266" s="5" t="str">
        <f>IFERROR(__xludf.DUMMYFUNCTION("GOOGLETRANSLATE(A266, ""en"", ""hi"")"),"265")</f>
        <v>265</v>
      </c>
      <c r="G266" s="5" t="str">
        <f>IFERROR(__xludf.DUMMYFUNCTION("GOOGLETRANSLATE(B266, ""en"", ""hi"")"),"ढोल खेल में आक्रमण के दौरान मिडफील्डर का प्राथमिक लक्ष्य क्या होता है?")</f>
        <v>ढोल खेल में आक्रमण के दौरान मिडफील्डर का प्राथमिक लक्ष्य क्या होता है?</v>
      </c>
      <c r="H266" s="5" t="str">
        <f>IFERROR(__xludf.DUMMYFUNCTION("GOOGLETRANSLATE(C266, ""en"", ""hi"")"),"A) फॉरवर्ड का समर्थन करना और स्कोरिंग के अवसर पैदा करना, B) केवल बचाव पर ध्यान केंद्रित करना, C) गोल किक लेना, D) गोलकीपर को लंबे पास देना")</f>
        <v>A) फॉरवर्ड का समर्थन करना और स्कोरिंग के अवसर पैदा करना, B) केवल बचाव पर ध्यान केंद्रित करना, C) गोल किक लेना, D) गोलकीपर को लंबे पास देना</v>
      </c>
      <c r="I266" s="5" t="str">
        <f>IFERROR(__xludf.DUMMYFUNCTION("GOOGLETRANSLATE(D266, ""en"", ""hi"")"),"A) फॉरवर्ड का समर्थन करना और स्कोरिंग के अवसर पैदा करना")</f>
        <v>A) फॉरवर्ड का समर्थन करना और स्कोरिंग के अवसर पैदा करना</v>
      </c>
    </row>
    <row r="267" ht="22.5" customHeight="1">
      <c r="A267" s="2">
        <v>266.0</v>
      </c>
      <c r="B267" s="3" t="s">
        <v>5926</v>
      </c>
      <c r="C267" s="3" t="s">
        <v>5927</v>
      </c>
      <c r="D267" s="3" t="s">
        <v>5928</v>
      </c>
      <c r="F267" s="5" t="str">
        <f>IFERROR(__xludf.DUMMYFUNCTION("GOOGLETRANSLATE(A267, ""en"", ""hi"")"),"266")</f>
        <v>266</v>
      </c>
      <c r="G267" s="5" t="str">
        <f>IFERROR(__xludf.DUMMYFUNCTION("GOOGLETRANSLATE(B267, ""en"", ""hi"")"),"ढोल खेल में सफल कॉर्नर किक के लिए कौन सी तकनीक आवश्यक है?")</f>
        <v>ढोल खेल में सफल कॉर्नर किक के लिए कौन सी तकनीक आवश्यक है?</v>
      </c>
      <c r="H267" s="5" t="str">
        <f>IFERROR(__xludf.DUMMYFUNCTION("GOOGLETRANSLATE(C267, ""en"", ""hi"")"),"A) पेनल्टी क्षेत्र में सटीक और सही जगह पर गेंद डालना, B) गेंद को सीधे गोलकीपर की ओर मारना, C) गेंद को डिफेंडर को पास करना, D) गोल पर शॉट लेना")</f>
        <v>A) पेनल्टी क्षेत्र में सटीक और सही जगह पर गेंद डालना, B) गेंद को सीधे गोलकीपर की ओर मारना, C) गेंद को डिफेंडर को पास करना, D) गोल पर शॉट लेना</v>
      </c>
      <c r="I267" s="5" t="str">
        <f>IFERROR(__xludf.DUMMYFUNCTION("GOOGLETRANSLATE(D267, ""en"", ""hi"")"),"A) पेनल्टी क्षेत्र में सटीक और अच्छी तरह से रखी गई गेंद को पहुंचाना")</f>
        <v>A) पेनल्टी क्षेत्र में सटीक और अच्छी तरह से रखी गई गेंद को पहुंचाना</v>
      </c>
    </row>
    <row r="268" ht="22.5" customHeight="1">
      <c r="A268" s="2">
        <v>267.0</v>
      </c>
      <c r="B268" s="3" t="s">
        <v>5929</v>
      </c>
      <c r="C268" s="3" t="s">
        <v>5930</v>
      </c>
      <c r="D268" s="3" t="s">
        <v>5931</v>
      </c>
      <c r="F268" s="5" t="str">
        <f>IFERROR(__xludf.DUMMYFUNCTION("GOOGLETRANSLATE(A268, ""en"", ""hi"")"),"267")</f>
        <v>267</v>
      </c>
      <c r="G268" s="5" t="str">
        <f>IFERROR(__xludf.DUMMYFUNCTION("GOOGLETRANSLATE(B268, ""en"", ""hi"")"),"ढोल खेल में रक्षात्मक खेल के दौरान खिलाड़ी के लिए खुद को स्थिति में रखने का प्रभावी तरीका क्या है?")</f>
        <v>ढोल खेल में रक्षात्मक खेल के दौरान खिलाड़ी के लिए खुद को स्थिति में रखने का प्रभावी तरीका क्या है?</v>
      </c>
      <c r="H268" s="5" t="str">
        <f>IFERROR(__xludf.DUMMYFUNCTION("GOOGLETRANSLATE(C268, ""en"", ""hi"")"),"A) गेंद और गोल के बीच रहें, B) हमलावर पर सीधे दौड़ें, C) कोई भी टैकल करने से बचें, D) साइडलाइन के करीब रहें")</f>
        <v>A) गेंद और गोल के बीच रहें, B) हमलावर पर सीधे दौड़ें, C) कोई भी टैकल करने से बचें, D) साइडलाइन के करीब रहें</v>
      </c>
      <c r="I268" s="5" t="str">
        <f>IFERROR(__xludf.DUMMYFUNCTION("GOOGLETRANSLATE(D268, ""en"", ""hi"")"),"A) गेंद और गोल के बीच रहें")</f>
        <v>A) गेंद और गोल के बीच रहें</v>
      </c>
    </row>
    <row r="269" ht="22.5" customHeight="1">
      <c r="A269" s="2">
        <v>268.0</v>
      </c>
      <c r="B269" s="3" t="s">
        <v>5932</v>
      </c>
      <c r="C269" s="3" t="s">
        <v>5933</v>
      </c>
      <c r="D269" s="3" t="s">
        <v>5934</v>
      </c>
      <c r="F269" s="5" t="str">
        <f>IFERROR(__xludf.DUMMYFUNCTION("GOOGLETRANSLATE(A269, ""en"", ""hi"")"),"268")</f>
        <v>268</v>
      </c>
      <c r="G269" s="5" t="str">
        <f>IFERROR(__xludf.DUMMYFUNCTION("GOOGLETRANSLATE(B269, ""en"", ""hi"")"),"ढोल खेल में, दूर से फ्री किक मारते समय खिलाड़ी को किस बात पर ध्यान केंद्रित करना चाहिए?")</f>
        <v>ढोल खेल में, दूर से फ्री किक मारते समय खिलाड़ी को किस बात पर ध्यान केंद्रित करना चाहिए?</v>
      </c>
      <c r="H269" s="5" t="str">
        <f>IFERROR(__xludf.DUMMYFUNCTION("GOOGLETRANSLATE(C269, ""en"", ""hi"")"),"A) सटीक निशाना लगाना और वांछित प्रक्षेप पथ प्राप्त करने के लिए उचित तकनीक, B) अधिकतम शक्ति के साथ गेंद को किक करना, C) पास के साथी को पास करना, D) गोल की ओर ड्रिब्लिंग करना")</f>
        <v>A) सटीक निशाना लगाना और वांछित प्रक्षेप पथ प्राप्त करने के लिए उचित तकनीक, B) अधिकतम शक्ति के साथ गेंद को किक करना, C) पास के साथी को पास करना, D) गोल की ओर ड्रिब्लिंग करना</v>
      </c>
      <c r="I269" s="5" t="str">
        <f>IFERROR(__xludf.DUMMYFUNCTION("GOOGLETRANSLATE(D269, ""en"", ""hi"")"),"ए) सटीक निशाना और वांछित प्रक्षेप पथ प्राप्त करने के लिए उचित तकनीक")</f>
        <v>ए) सटीक निशाना और वांछित प्रक्षेप पथ प्राप्त करने के लिए उचित तकनीक</v>
      </c>
    </row>
    <row r="270" ht="22.5" customHeight="1">
      <c r="A270" s="2">
        <v>269.0</v>
      </c>
      <c r="B270" s="3" t="s">
        <v>5935</v>
      </c>
      <c r="C270" s="3" t="s">
        <v>5936</v>
      </c>
      <c r="D270" s="3" t="s">
        <v>5937</v>
      </c>
      <c r="F270" s="5" t="str">
        <f>IFERROR(__xludf.DUMMYFUNCTION("GOOGLETRANSLATE(A270, ""en"", ""hi"")"),"269")</f>
        <v>269</v>
      </c>
      <c r="G270" s="5" t="str">
        <f>IFERROR(__xludf.DUMMYFUNCTION("GOOGLETRANSLATE(B270, ""en"", ""hi"")"),"ढोल खेल में गोल करने के अवसर के लिए खिलाड़ी आमतौर पर कैसे तैयारी करता है?")</f>
        <v>ढोल खेल में गोल करने के अवसर के लिए खिलाड़ी आमतौर पर कैसे तैयारी करता है?</v>
      </c>
      <c r="H270" s="5" t="str">
        <f>IFERROR(__xludf.DUMMYFUNCTION("GOOGLETRANSLATE(C270, ""en"", ""hi"")"),"A) खुद को एक प्रमुख स्थान पर रखकर और गेंद का पूर्वानुमान लगाकर, B) रक्षात्मक कौशल पर ध्यान केंद्रित करके, C) गोलकीपिंग तकनीकों का अभ्यास करके, D) लंबी दूरी के शॉट लेकर")</f>
        <v>A) खुद को एक प्रमुख स्थान पर रखकर और गेंद का पूर्वानुमान लगाकर, B) रक्षात्मक कौशल पर ध्यान केंद्रित करके, C) गोलकीपिंग तकनीकों का अभ्यास करके, D) लंबी दूरी के शॉट लेकर</v>
      </c>
      <c r="I270" s="5" t="str">
        <f>IFERROR(__xludf.DUMMYFUNCTION("GOOGLETRANSLATE(D270, ""en"", ""hi"")"),"A) खुद को एक प्रमुख स्थान पर रखकर और गेंद का पूर्वानुमान लगाकर")</f>
        <v>A) खुद को एक प्रमुख स्थान पर रखकर और गेंद का पूर्वानुमान लगाकर</v>
      </c>
    </row>
    <row r="271" ht="22.5" customHeight="1">
      <c r="A271" s="2">
        <v>270.0</v>
      </c>
      <c r="B271" s="3" t="s">
        <v>5938</v>
      </c>
      <c r="C271" s="3" t="s">
        <v>5939</v>
      </c>
      <c r="D271" s="3" t="s">
        <v>5940</v>
      </c>
      <c r="F271" s="5" t="str">
        <f>IFERROR(__xludf.DUMMYFUNCTION("GOOGLETRANSLATE(A271, ""en"", ""hi"")"),"270")</f>
        <v>270</v>
      </c>
      <c r="G271" s="5" t="str">
        <f>IFERROR(__xludf.DUMMYFUNCTION("GOOGLETRANSLATE(B271, ""en"", ""hi"")"),"ढोल खेल में सफल रक्षात्मक रणनीति का मुख्य पहलू क्या है?")</f>
        <v>ढोल खेल में सफल रक्षात्मक रणनीति का मुख्य पहलू क्या है?</v>
      </c>
      <c r="H271" s="5" t="str">
        <f>IFERROR(__xludf.DUMMYFUNCTION("GOOGLETRANSLATE(C271, ""en"", ""hi"")"),"A) ठोस रक्षात्मक रेखा और उचित मार्किंग बनाए रखना, B) केवल आक्रामक खेलों पर ध्यान केंद्रित करना, C) विरोधियों को फ्री किक लेने की अनुमति देना, D) गोलकीपर की उपेक्षा करना")</f>
        <v>A) ठोस रक्षात्मक रेखा और उचित मार्किंग बनाए रखना, B) केवल आक्रामक खेलों पर ध्यान केंद्रित करना, C) विरोधियों को फ्री किक लेने की अनुमति देना, D) गोलकीपर की उपेक्षा करना</v>
      </c>
      <c r="I271" s="5" t="str">
        <f>IFERROR(__xludf.DUMMYFUNCTION("GOOGLETRANSLATE(D271, ""en"", ""hi"")"),"A) एक ठोस रक्षात्मक रेखा और उचित चिह्नांकन बनाए रखना")</f>
        <v>A) एक ठोस रक्षात्मक रेखा और उचित चिह्नांकन बनाए रखना</v>
      </c>
    </row>
    <row r="272" ht="22.5" customHeight="1">
      <c r="A272" s="2">
        <v>271.0</v>
      </c>
      <c r="B272" s="3" t="s">
        <v>5941</v>
      </c>
      <c r="C272" s="3" t="s">
        <v>5942</v>
      </c>
      <c r="D272" s="3" t="s">
        <v>5943</v>
      </c>
      <c r="F272" s="5" t="str">
        <f>IFERROR(__xludf.DUMMYFUNCTION("GOOGLETRANSLATE(A272, ""en"", ""hi"")"),"271")</f>
        <v>271</v>
      </c>
      <c r="G272" s="5" t="str">
        <f>IFERROR(__xludf.DUMMYFUNCTION("GOOGLETRANSLATE(B272, ""en"", ""hi"")"),"ढोल खेल में उत्कृष्ट प्रदर्शन करने के लिए मिडफील्डर के लिए आवश्यक कौशल क्या है?")</f>
        <v>ढोल खेल में उत्कृष्ट प्रदर्शन करने के लिए मिडफील्डर के लिए आवश्यक कौशल क्या है?</v>
      </c>
      <c r="H272" s="5" t="str">
        <f>IFERROR(__xludf.DUMMYFUNCTION("GOOGLETRANSLATE(C272, ""en"", ""hi"")"),"ए) खेल को नियंत्रित करने के लिए पासिंग सटीकता और दृष्टि, बी) गोलकीपिंग तकनीक, सी) रक्षात्मक स्थिति, डी) गति और चपलता")</f>
        <v>ए) खेल को नियंत्रित करने के लिए पासिंग सटीकता और दृष्टि, बी) गोलकीपिंग तकनीक, सी) रक्षात्मक स्थिति, डी) गति और चपलता</v>
      </c>
      <c r="I272" s="5" t="str">
        <f>IFERROR(__xludf.DUMMYFUNCTION("GOOGLETRANSLATE(D272, ""en"", ""hi"")"),"ए) खेल को नियंत्रित करने के लिए पासिंग सटीकता और दृष्टि")</f>
        <v>ए) खेल को नियंत्रित करने के लिए पासिंग सटीकता और दृष्टि</v>
      </c>
    </row>
    <row r="273" ht="22.5" customHeight="1">
      <c r="A273" s="2">
        <v>272.0</v>
      </c>
      <c r="B273" s="3" t="s">
        <v>5944</v>
      </c>
      <c r="C273" s="3" t="s">
        <v>5945</v>
      </c>
      <c r="D273" s="3" t="s">
        <v>5946</v>
      </c>
      <c r="F273" s="5" t="str">
        <f>IFERROR(__xludf.DUMMYFUNCTION("GOOGLETRANSLATE(A273, ""en"", ""hi"")"),"272")</f>
        <v>272</v>
      </c>
      <c r="G273" s="5" t="str">
        <f>IFERROR(__xludf.DUMMYFUNCTION("GOOGLETRANSLATE(B273, ""en"", ""hi"")"),"ढोल खेल में, पेनल्टी क्षेत्र के अंदर किए गए गंभीर फाउल का सामान्य परिणाम क्या होता है?")</f>
        <v>ढोल खेल में, पेनल्टी क्षेत्र के अंदर किए गए गंभीर फाउल का सामान्य परिणाम क्या होता है?</v>
      </c>
      <c r="H273" s="5" t="str">
        <f>IFERROR(__xludf.DUMMYFUNCTION("GOOGLETRANSLATE(C273, ""en"", ""hi"")"),"A) विरोधी टीम को पेनल्टी किक दी जाती है, B) फ्री किक दी जाती है, C) गोल किक दी जाती है, D) खेल को कुछ समय के लिए रोक दिया जाता है")</f>
        <v>A) विरोधी टीम को पेनल्टी किक दी जाती है, B) फ्री किक दी जाती है, C) गोल किक दी जाती है, D) खेल को कुछ समय के लिए रोक दिया जाता है</v>
      </c>
      <c r="I273" s="5" t="str">
        <f>IFERROR(__xludf.DUMMYFUNCTION("GOOGLETRANSLATE(D273, ""en"", ""hi"")"),"A) विरोधी टीम को पेनल्टी किक दी जाती है")</f>
        <v>A) विरोधी टीम को पेनल्टी किक दी जाती है</v>
      </c>
    </row>
    <row r="274" ht="22.5" customHeight="1">
      <c r="A274" s="2">
        <v>273.0</v>
      </c>
      <c r="B274" s="3" t="s">
        <v>5947</v>
      </c>
      <c r="C274" s="3" t="s">
        <v>5948</v>
      </c>
      <c r="D274" s="3" t="s">
        <v>5949</v>
      </c>
      <c r="F274" s="5" t="str">
        <f>IFERROR(__xludf.DUMMYFUNCTION("GOOGLETRANSLATE(A274, ""en"", ""hi"")"),"273")</f>
        <v>273</v>
      </c>
      <c r="G274" s="5" t="str">
        <f>IFERROR(__xludf.DUMMYFUNCTION("GOOGLETRANSLATE(B274, ""en"", ""hi"")"),"ढोल खेल में सेट पीस को निष्पादित करने की टीम की क्षमता में सुधार करने के लिए एक सामान्य अभ्यास क्या है?")</f>
        <v>ढोल खेल में सेट पीस को निष्पादित करने की टीम की क्षमता में सुधार करने के लिए एक सामान्य अभ्यास क्या है?</v>
      </c>
      <c r="H274" s="5" t="str">
        <f>IFERROR(__xludf.DUMMYFUNCTION("GOOGLETRANSLATE(C274, ""en"", ""hi"")"),"ए) निर्धारित लक्ष्यों के साथ फ्री किक और कॉर्नर किक का अभ्यास करना, बी) धीरज अभ्यास चलाना, सी) व्यक्तिगत ड्रिब्लिंग कौशल पर काम करना, डी) अभ्यास मैच खेलना")</f>
        <v>ए) निर्धारित लक्ष्यों के साथ फ्री किक और कॉर्नर किक का अभ्यास करना, बी) धीरज अभ्यास चलाना, सी) व्यक्तिगत ड्रिब्लिंग कौशल पर काम करना, डी) अभ्यास मैच खेलना</v>
      </c>
      <c r="I274" s="5" t="str">
        <f>IFERROR(__xludf.DUMMYFUNCTION("GOOGLETRANSLATE(D274, ""en"", ""hi"")"),"A) निर्धारित लक्ष्यों के साथ फ्री किक और कॉर्नर किक का अभ्यास करना")</f>
        <v>A) निर्धारित लक्ष्यों के साथ फ्री किक और कॉर्नर किक का अभ्यास करना</v>
      </c>
    </row>
    <row r="275" ht="22.5" customHeight="1">
      <c r="A275" s="2">
        <v>274.0</v>
      </c>
      <c r="B275" s="3" t="s">
        <v>5950</v>
      </c>
      <c r="C275" s="3" t="s">
        <v>5951</v>
      </c>
      <c r="D275" s="3" t="s">
        <v>5952</v>
      </c>
      <c r="F275" s="5" t="str">
        <f>IFERROR(__xludf.DUMMYFUNCTION("GOOGLETRANSLATE(A275, ""en"", ""hi"")"),"274")</f>
        <v>274</v>
      </c>
      <c r="G275" s="5" t="str">
        <f>IFERROR(__xludf.DUMMYFUNCTION("GOOGLETRANSLATE(B275, ""en"", ""hi"")"),"ढोल खेल में थ्रो-इन का प्रयोग आम तौर पर कैसे किया जाता है?")</f>
        <v>ढोल खेल में थ्रो-इन का प्रयोग आम तौर पर कैसे किया जाता है?</v>
      </c>
      <c r="H275" s="5" t="str">
        <f>IFERROR(__xludf.DUMMYFUNCTION("GOOGLETRANSLATE(C275, ""en"", ""hi"")"),"A) साइडलाइन से दोनों हाथों से सिर के पीछे से गेंद फेंककर, B) कोने से गेंद को किक मारकर, C) टीम के साथी को गेंद पास करके, D) गोल किक लेकर")</f>
        <v>A) साइडलाइन से दोनों हाथों से सिर के पीछे से गेंद फेंककर, B) कोने से गेंद को किक मारकर, C) टीम के साथी को गेंद पास करके, D) गोल किक लेकर</v>
      </c>
      <c r="I275" s="5" t="str">
        <f>IFERROR(__xludf.DUMMYFUNCTION("GOOGLETRANSLATE(D275, ""en"", ""hi"")"),"A) गेंद को सिर के पीछे से दोनों हाथों से साइडलाइन से फेंककर")</f>
        <v>A) गेंद को सिर के पीछे से दोनों हाथों से साइडलाइन से फेंककर</v>
      </c>
    </row>
    <row r="276" ht="22.5" customHeight="1">
      <c r="A276" s="2">
        <v>275.0</v>
      </c>
      <c r="B276" s="3" t="s">
        <v>5953</v>
      </c>
      <c r="C276" s="3" t="s">
        <v>5954</v>
      </c>
      <c r="D276" s="3" t="s">
        <v>5955</v>
      </c>
      <c r="F276" s="5" t="str">
        <f>IFERROR(__xludf.DUMMYFUNCTION("GOOGLETRANSLATE(A276, ""en"", ""hi"")"),"275")</f>
        <v>275</v>
      </c>
      <c r="G276" s="5" t="str">
        <f>IFERROR(__xludf.DUMMYFUNCTION("GOOGLETRANSLATE(B276, ""en"", ""hi"")"),"ढोल खेल में, गेंद से प्रतिद्वंद्वी का बचाव करते समय खिलाड़ी को क्या करना चाहिए?")</f>
        <v>ढोल खेल में, गेंद से प्रतिद्वंद्वी का बचाव करते समय खिलाड़ी को क्या करना चाहिए?</v>
      </c>
      <c r="H276" s="5" t="str">
        <f>IFERROR(__xludf.DUMMYFUNCTION("GOOGLETRANSLATE(C276, ""en"", ""hi"")"),"A) रक्षात्मक रुख बनाए रखें और गेंद को रोकने या रोकने का प्रयास करें, B) प्रतिद्वंद्वी से दूर चले जाएं, C) आक्रमण करने पर ध्यान केंद्रित करें, D) प्रतिद्वंद्वी द्वारा गेंद पास करने की प्रतीक्षा करें")</f>
        <v>A) रक्षात्मक रुख बनाए रखें और गेंद को रोकने या रोकने का प्रयास करें, B) प्रतिद्वंद्वी से दूर चले जाएं, C) आक्रमण करने पर ध्यान केंद्रित करें, D) प्रतिद्वंद्वी द्वारा गेंद पास करने की प्रतीक्षा करें</v>
      </c>
      <c r="I276" s="5" t="str">
        <f>IFERROR(__xludf.DUMMYFUNCTION("GOOGLETRANSLATE(D276, ""en"", ""hi"")"),"A) रक्षात्मक रुख बनाए रखें और गेंद को रोकने या रोकने का प्रयास करें")</f>
        <v>A) रक्षात्मक रुख बनाए रखें और गेंद को रोकने या रोकने का प्रयास करें</v>
      </c>
    </row>
    <row r="277" ht="22.5" customHeight="1">
      <c r="A277" s="2">
        <v>276.0</v>
      </c>
      <c r="B277" s="3" t="s">
        <v>5956</v>
      </c>
      <c r="C277" s="3" t="s">
        <v>5957</v>
      </c>
      <c r="D277" s="3" t="s">
        <v>5958</v>
      </c>
      <c r="F277" s="5" t="str">
        <f>IFERROR(__xludf.DUMMYFUNCTION("GOOGLETRANSLATE(A277, ""en"", ""hi"")"),"276")</f>
        <v>276</v>
      </c>
      <c r="G277" s="5" t="str">
        <f>IFERROR(__xludf.DUMMYFUNCTION("GOOGLETRANSLATE(B277, ""en"", ""hi"")"),"ढोल खेल में सफल जवाबी हमले का महत्वपूर्ण पहलू क्या है?")</f>
        <v>ढोल खेल में सफल जवाबी हमले का महत्वपूर्ण पहलू क्या है?</v>
      </c>
      <c r="H277" s="5" t="str">
        <f>IFERROR(__xludf.DUMMYFUNCTION("GOOGLETRANSLATE(C277, ""en"", ""hi"")"),"ए) रक्षा से आक्रमण की ओर त्वरित परिवर्तन और स्थान का दोहन, बी) खेल में देरी करना और समर्थन की प्रतीक्षा करना, सी) गेंद को डिफेंडर को वापस पास करना, डी) व्यक्तिगत ड्रिब्लिंग कौशल पर ध्यान केंद्रित करना")</f>
        <v>ए) रक्षा से आक्रमण की ओर त्वरित परिवर्तन और स्थान का दोहन, बी) खेल में देरी करना और समर्थन की प्रतीक्षा करना, सी) गेंद को डिफेंडर को वापस पास करना, डी) व्यक्तिगत ड्रिब्लिंग कौशल पर ध्यान केंद्रित करना</v>
      </c>
      <c r="I277" s="5" t="str">
        <f>IFERROR(__xludf.DUMMYFUNCTION("GOOGLETRANSLATE(D277, ""en"", ""hi"")"),"A) रक्षा से आक्रमण और स्थान का दोहन करने की ओर त्वरित परिवर्तन")</f>
        <v>A) रक्षा से आक्रमण और स्थान का दोहन करने की ओर त्वरित परिवर्तन</v>
      </c>
    </row>
    <row r="278" ht="22.5" customHeight="1">
      <c r="A278" s="2">
        <v>277.0</v>
      </c>
      <c r="B278" s="3" t="s">
        <v>5959</v>
      </c>
      <c r="C278" s="3" t="s">
        <v>5960</v>
      </c>
      <c r="D278" s="3" t="s">
        <v>5961</v>
      </c>
      <c r="F278" s="5" t="str">
        <f>IFERROR(__xludf.DUMMYFUNCTION("GOOGLETRANSLATE(A278, ""en"", ""hi"")"),"277")</f>
        <v>277</v>
      </c>
      <c r="G278" s="5" t="str">
        <f>IFERROR(__xludf.DUMMYFUNCTION("GOOGLETRANSLATE(B278, ""en"", ""hi"")"),"ढोल खेल में आक्रमणकारी खेल के दौरान सेंटर फॉरवर्ड की क्या भूमिका होती है?")</f>
        <v>ढोल खेल में आक्रमणकारी खेल के दौरान सेंटर फॉरवर्ड की क्या भूमिका होती है?</v>
      </c>
      <c r="H278" s="5" t="str">
        <f>IFERROR(__xludf.DUMMYFUNCTION("GOOGLETRANSLATE(C278, ""en"", ""hi"")"),"A) गोल स्कोरिंग अवसरों के लिए खुद को तैयार करना और मौके बनाना, B) रक्षात्मक खेल पर ध्यान केंद्रित करना, C) गोल किक लेना, D) गेंद को गोलकीपर को पास करना")</f>
        <v>A) गोल स्कोरिंग अवसरों के लिए खुद को तैयार करना और मौके बनाना, B) रक्षात्मक खेल पर ध्यान केंद्रित करना, C) गोल किक लेना, D) गेंद को गोलकीपर को पास करना</v>
      </c>
      <c r="I278" s="5" t="str">
        <f>IFERROR(__xludf.DUMMYFUNCTION("GOOGLETRANSLATE(D278, ""en"", ""hi"")"),"A) गोल स्कोरिंग के अवसरों के लिए खुद को तैयार करना और मौके बनाना")</f>
        <v>A) गोल स्कोरिंग के अवसरों के लिए खुद को तैयार करना और मौके बनाना</v>
      </c>
    </row>
    <row r="279" ht="22.5" customHeight="1">
      <c r="A279" s="2">
        <v>278.0</v>
      </c>
      <c r="B279" s="3" t="s">
        <v>5438</v>
      </c>
      <c r="C279" s="3" t="s">
        <v>5962</v>
      </c>
      <c r="D279" s="3" t="s">
        <v>5963</v>
      </c>
      <c r="F279" s="5" t="str">
        <f>IFERROR(__xludf.DUMMYFUNCTION("GOOGLETRANSLATE(A279, ""en"", ""hi"")"),"278")</f>
        <v>278</v>
      </c>
      <c r="G279" s="5" t="str">
        <f>IFERROR(__xludf.DUMMYFUNCTION("GOOGLETRANSLATE(B279, ""en"", ""hi"")"),"ढोल खेल में गोल का जश्न आमतौर पर कैसे मनाया जाता है?")</f>
        <v>ढोल खेल में गोल का जश्न आमतौर पर कैसे मनाया जाता है?</v>
      </c>
      <c r="H279" s="5" t="str">
        <f>IFERROR(__xludf.DUMMYFUNCTION("GOOGLETRANSLATE(C279, ""en"", ""hi"")"),"A) खिलाड़ियों द्वारा एक साथ आकर जश्न मनाना, B) खेल को रोककर, C) तुरंत खेल पुनः शुरू करके, D) खिलाड़ियों की स्थिति बदलकर")</f>
        <v>A) खिलाड़ियों द्वारा एक साथ आकर जश्न मनाना, B) खेल को रोककर, C) तुरंत खेल पुनः शुरू करके, D) खिलाड़ियों की स्थिति बदलकर</v>
      </c>
      <c r="I279" s="5" t="str">
        <f>IFERROR(__xludf.DUMMYFUNCTION("GOOGLETRANSLATE(D279, ""en"", ""hi"")"),"A) खिलाड़ियों के एक साथ आकर जश्न मनाने से")</f>
        <v>A) खिलाड़ियों के एक साथ आकर जश्न मनाने से</v>
      </c>
    </row>
    <row r="280" ht="22.5" customHeight="1">
      <c r="A280" s="2">
        <v>279.0</v>
      </c>
      <c r="B280" s="3" t="s">
        <v>5964</v>
      </c>
      <c r="C280" s="3" t="s">
        <v>5965</v>
      </c>
      <c r="D280" s="3" t="s">
        <v>5966</v>
      </c>
      <c r="F280" s="5" t="str">
        <f>IFERROR(__xludf.DUMMYFUNCTION("GOOGLETRANSLATE(A280, ""en"", ""hi"")"),"279")</f>
        <v>279</v>
      </c>
      <c r="G280" s="5" t="str">
        <f>IFERROR(__xludf.DUMMYFUNCTION("GOOGLETRANSLATE(B280, ""en"", ""hi"")"),"ढोल खेल में टीम वर्क को बेहतर बनाने के लिए आम रणनीति क्या है?")</f>
        <v>ढोल खेल में टीम वर्क को बेहतर बनाने के लिए आम रणनीति क्या है?</v>
      </c>
      <c r="H280" s="5" t="str">
        <f>IFERROR(__xludf.DUMMYFUNCTION("GOOGLETRANSLATE(C280, ""en"", ""hi"")"),"ए) टीम-निर्माण अभ्यास और अभ्यास मैच आयोजित करना, बी) केवल व्यक्तिगत कौशल पर ध्यान केंद्रित करना, सी) खिलाड़ियों के बीच बातचीत को सीमित करना, डी) केवल रक्षात्मक अभ्यास का उपयोग करना")</f>
        <v>ए) टीम-निर्माण अभ्यास और अभ्यास मैच आयोजित करना, बी) केवल व्यक्तिगत कौशल पर ध्यान केंद्रित करना, सी) खिलाड़ियों के बीच बातचीत को सीमित करना, डी) केवल रक्षात्मक अभ्यास का उपयोग करना</v>
      </c>
      <c r="I280" s="5" t="str">
        <f>IFERROR(__xludf.DUMMYFUNCTION("GOOGLETRANSLATE(D280, ""en"", ""hi"")"),"ए) टीम-निर्माण अभ्यास और अभ्यास मैच आयोजित करना")</f>
        <v>ए) टीम-निर्माण अभ्यास और अभ्यास मैच आयोजित करना</v>
      </c>
    </row>
    <row r="281" ht="22.5" customHeight="1">
      <c r="A281" s="2">
        <v>280.0</v>
      </c>
      <c r="B281" s="3" t="s">
        <v>5967</v>
      </c>
      <c r="C281" s="3" t="s">
        <v>5968</v>
      </c>
      <c r="D281" s="3" t="s">
        <v>5969</v>
      </c>
      <c r="F281" s="5" t="str">
        <f>IFERROR(__xludf.DUMMYFUNCTION("GOOGLETRANSLATE(A281, ""en"", ""hi"")"),"280")</f>
        <v>280</v>
      </c>
      <c r="G281" s="5" t="str">
        <f>IFERROR(__xludf.DUMMYFUNCTION("GOOGLETRANSLATE(B281, ""en"", ""hi"")"),"ढोल खेल में खिलाड़ियों के लिए फिटनेस टेस्ट का उद्देश्य क्या है?")</f>
        <v>ढोल खेल में खिलाड़ियों के लिए फिटनेस टेस्ट का उद्देश्य क्या है?</v>
      </c>
      <c r="H281" s="5" t="str">
        <f>IFERROR(__xludf.DUMMYFUNCTION("GOOGLETRANSLATE(C281, ""en"", ""hi"")"),"A) शारीरिक स्थिति का आकलन करना और सुधार के क्षेत्रों की पहचान करना, B) गोलकीपिंग कौशल का अभ्यास करना, C) रक्षात्मक अभ्यास पर ध्यान केंद्रित करना, D) पासिंग सटीकता पर काम करना")</f>
        <v>A) शारीरिक स्थिति का आकलन करना और सुधार के क्षेत्रों की पहचान करना, B) गोलकीपिंग कौशल का अभ्यास करना, C) रक्षात्मक अभ्यास पर ध्यान केंद्रित करना, D) पासिंग सटीकता पर काम करना</v>
      </c>
      <c r="I281" s="5" t="str">
        <f>IFERROR(__xludf.DUMMYFUNCTION("GOOGLETRANSLATE(D281, ""en"", ""hi"")"),"A) शारीरिक स्थिति का आकलन करना और सुधार के क्षेत्रों की पहचान करना")</f>
        <v>A) शारीरिक स्थिति का आकलन करना और सुधार के क्षेत्रों की पहचान करना</v>
      </c>
    </row>
    <row r="282" ht="22.5" customHeight="1">
      <c r="A282" s="2">
        <v>281.0</v>
      </c>
      <c r="B282" s="3" t="s">
        <v>5970</v>
      </c>
      <c r="C282" s="3" t="s">
        <v>5971</v>
      </c>
      <c r="D282" s="3" t="s">
        <v>5972</v>
      </c>
      <c r="F282" s="5" t="str">
        <f>IFERROR(__xludf.DUMMYFUNCTION("GOOGLETRANSLATE(A282, ""en"", ""hi"")"),"281")</f>
        <v>281</v>
      </c>
      <c r="G282" s="5" t="str">
        <f>IFERROR(__xludf.DUMMYFUNCTION("GOOGLETRANSLATE(B282, ""en"", ""hi"")"),"ढोल खेल में गोल करने के अवसर की तैयारी करते समय खिलाड़ी को किस बात पर ध्यान केंद्रित करना चाहिए?")</f>
        <v>ढोल खेल में गोल करने के अवसर की तैयारी करते समय खिलाड़ी को किस बात पर ध्यान केंद्रित करना चाहिए?</v>
      </c>
      <c r="H282" s="5" t="str">
        <f>IFERROR(__xludf.DUMMYFUNCTION("GOOGLETRANSLATE(C282, ""en"", ""hi"")"),"ए) खुद को सही ढंग से स्थिति में रखना और गेंद का पूर्वानुमान लगाना, बी) तुरंत लंबी दूरी का शॉट लेना, सी) गेंद को डिफेंडर को पास करना, डी) गेंद से आंखों का संपर्क टालना")</f>
        <v>ए) खुद को सही ढंग से स्थिति में रखना और गेंद का पूर्वानुमान लगाना, बी) तुरंत लंबी दूरी का शॉट लेना, सी) गेंद को डिफेंडर को पास करना, डी) गेंद से आंखों का संपर्क टालना</v>
      </c>
      <c r="I282" s="5" t="str">
        <f>IFERROR(__xludf.DUMMYFUNCTION("GOOGLETRANSLATE(D282, ""en"", ""hi"")"),"A) स्वयं को सही स्थिति में रखना और गेंद का पूर्वानुमान लगाना")</f>
        <v>A) स्वयं को सही स्थिति में रखना और गेंद का पूर्वानुमान लगाना</v>
      </c>
    </row>
    <row r="283" ht="22.5" customHeight="1">
      <c r="A283" s="2">
        <v>282.0</v>
      </c>
      <c r="B283" s="3" t="s">
        <v>5973</v>
      </c>
      <c r="C283" s="3" t="s">
        <v>5974</v>
      </c>
      <c r="D283" s="3" t="s">
        <v>5975</v>
      </c>
      <c r="F283" s="5" t="str">
        <f>IFERROR(__xludf.DUMMYFUNCTION("GOOGLETRANSLATE(A283, ""en"", ""hi"")"),"282")</f>
        <v>282</v>
      </c>
      <c r="G283" s="5" t="str">
        <f>IFERROR(__xludf.DUMMYFUNCTION("GOOGLETRANSLATE(B283, ""en"", ""hi"")"),"ढोल खेल में सेट-पीस खेल के दौरान किए गए फाउल का सामान्य परिणाम क्या होता है?")</f>
        <v>ढोल खेल में सेट-पीस खेल के दौरान किए गए फाउल का सामान्य परिणाम क्या होता है?</v>
      </c>
      <c r="H283" s="5" t="str">
        <f>IFERROR(__xludf.DUMMYFUNCTION("GOOGLETRANSLATE(C283, ""en"", ""hi"")"),"A) विरोधी टीम को फ्री किक दी जाती है, B) गोल किक दी जाती है, C) थ्रो-इन दी जाती है, D) खेल को कुछ समय के लिए रोक दिया जाता है")</f>
        <v>A) विरोधी टीम को फ्री किक दी जाती है, B) गोल किक दी जाती है, C) थ्रो-इन दी जाती है, D) खेल को कुछ समय के लिए रोक दिया जाता है</v>
      </c>
      <c r="I283" s="5" t="str">
        <f>IFERROR(__xludf.DUMMYFUNCTION("GOOGLETRANSLATE(D283, ""en"", ""hi"")"),"A) विरोधी टीम को फ्री किक दी जाती है")</f>
        <v>A) विरोधी टीम को फ्री किक दी जाती है</v>
      </c>
    </row>
    <row r="284" ht="22.5" customHeight="1">
      <c r="A284" s="2">
        <v>283.0</v>
      </c>
      <c r="B284" s="3" t="s">
        <v>5976</v>
      </c>
      <c r="C284" s="3" t="s">
        <v>5977</v>
      </c>
      <c r="D284" s="3" t="s">
        <v>5978</v>
      </c>
      <c r="F284" s="5" t="str">
        <f>IFERROR(__xludf.DUMMYFUNCTION("GOOGLETRANSLATE(A284, ""en"", ""hi"")"),"283")</f>
        <v>283</v>
      </c>
      <c r="G284" s="5" t="str">
        <f>IFERROR(__xludf.DUMMYFUNCTION("GOOGLETRANSLATE(B284, ""en"", ""hi"")"),"ढोल खेल में, आक्रमणकारी खेल के दौरान रक्षात्मक मिडफील्डर का मुख्य उद्देश्य क्या होता है?")</f>
        <v>ढोल खेल में, आक्रमणकारी खेल के दौरान रक्षात्मक मिडफील्डर का मुख्य उद्देश्य क्या होता है?</v>
      </c>
      <c r="H284" s="5" t="str">
        <f>IFERROR(__xludf.DUMMYFUNCTION("GOOGLETRANSLATE(C284, ""en"", ""hi"")"),"A) प्रतिद्वंद्वी के खेल को तोड़ना और कब्जा वापस पाना, B) गोल करना, C) गोलकीपिंग पर ध्यान केंद्रित करना, D) पेनल्टी क्षेत्र में क्रॉस पहुंचाना")</f>
        <v>A) प्रतिद्वंद्वी के खेल को तोड़ना और कब्जा वापस पाना, B) गोल करना, C) गोलकीपिंग पर ध्यान केंद्रित करना, D) पेनल्टी क्षेत्र में क्रॉस पहुंचाना</v>
      </c>
      <c r="I284" s="5" t="str">
        <f>IFERROR(__xludf.DUMMYFUNCTION("GOOGLETRANSLATE(D284, ""en"", ""hi"")"),"A) प्रतिद्वंद्वी के खेल को तोड़ना और कब्जा पुनः प्राप्त करना")</f>
        <v>A) प्रतिद्वंद्वी के खेल को तोड़ना और कब्जा पुनः प्राप्त करना</v>
      </c>
    </row>
    <row r="285" ht="22.5" customHeight="1">
      <c r="A285" s="2">
        <v>284.0</v>
      </c>
      <c r="B285" s="3" t="s">
        <v>5979</v>
      </c>
      <c r="C285" s="3" t="s">
        <v>5980</v>
      </c>
      <c r="D285" s="3" t="s">
        <v>5981</v>
      </c>
      <c r="F285" s="5" t="str">
        <f>IFERROR(__xludf.DUMMYFUNCTION("GOOGLETRANSLATE(A285, ""en"", ""hi"")"),"284")</f>
        <v>284</v>
      </c>
      <c r="G285" s="5" t="str">
        <f>IFERROR(__xludf.DUMMYFUNCTION("GOOGLETRANSLATE(B285, ""en"", ""hi"")"),"ढोल खेल में रक्षात्मक सेट-पीस के दौरान फॉरवर्ड की प्राथमिक भूमिका क्या है?")</f>
        <v>ढोल खेल में रक्षात्मक सेट-पीस के दौरान फॉरवर्ड की प्राथमिक भूमिका क्या है?</v>
      </c>
      <c r="H285" s="5" t="str">
        <f>IFERROR(__xludf.DUMMYFUNCTION("GOOGLETRANSLATE(C285, ""en"", ""hi"")"),"A) प्रतिद्वंद्वी के रक्षात्मक संगठन पर दबाव डालना और उसे बाधित करना, B) गोल किक लेना, C) गोलकीपिंग पर ध्यान केंद्रित करना, D) कॉर्नर किक लेना")</f>
        <v>A) प्रतिद्वंद्वी के रक्षात्मक संगठन पर दबाव डालना और उसे बाधित करना, B) गोल किक लेना, C) गोलकीपिंग पर ध्यान केंद्रित करना, D) कॉर्नर किक लेना</v>
      </c>
      <c r="I285" s="5" t="str">
        <f>IFERROR(__xludf.DUMMYFUNCTION("GOOGLETRANSLATE(D285, ""en"", ""hi"")"),"A) प्रतिद्वंद्वी के रक्षात्मक संगठन पर दबाव डालना और उसे बाधित करना")</f>
        <v>A) प्रतिद्वंद्वी के रक्षात्मक संगठन पर दबाव डालना और उसे बाधित करना</v>
      </c>
    </row>
    <row r="286" ht="22.5" customHeight="1">
      <c r="A286" s="2">
        <v>285.0</v>
      </c>
      <c r="B286" s="3" t="s">
        <v>5982</v>
      </c>
      <c r="C286" s="3" t="s">
        <v>5983</v>
      </c>
      <c r="D286" s="3" t="s">
        <v>5984</v>
      </c>
      <c r="F286" s="5" t="str">
        <f>IFERROR(__xludf.DUMMYFUNCTION("GOOGLETRANSLATE(A286, ""en"", ""hi"")"),"285")</f>
        <v>285</v>
      </c>
      <c r="G286" s="5" t="str">
        <f>IFERROR(__xludf.DUMMYFUNCTION("GOOGLETRANSLATE(B286, ""en"", ""hi"")"),"ढोल खेल में खिलाड़ी को ऊंची गेंद को कैसे संभालना चाहिए?")</f>
        <v>ढोल खेल में खिलाड़ी को ऊंची गेंद को कैसे संभालना चाहिए?</v>
      </c>
      <c r="H286" s="5" t="str">
        <f>IFERROR(__xludf.DUMMYFUNCTION("GOOGLETRANSLATE(C286, ""en"", ""hi"")"),"A) खुद को सही स्थिति में रखकर और अपने सिर या छाती का उपयोग करके, B) गेंद को गिरने देकर और उसके नीचे आने का इंतजार करके, C) गेंद को गोल से दूर मारकर, D) गेंद को अपने हाथों से पकड़कर")</f>
        <v>A) खुद को सही स्थिति में रखकर और अपने सिर या छाती का उपयोग करके, B) गेंद को गिरने देकर और उसके नीचे आने का इंतजार करके, C) गेंद को गोल से दूर मारकर, D) गेंद को अपने हाथों से पकड़कर</v>
      </c>
      <c r="I286" s="5" t="str">
        <f>IFERROR(__xludf.DUMMYFUNCTION("GOOGLETRANSLATE(D286, ""en"", ""hi"")"),"A) स्वयं को उचित स्थिति में रखकर और अपने सिर या छाती का उपयोग करके")</f>
        <v>A) स्वयं को उचित स्थिति में रखकर और अपने सिर या छाती का उपयोग करके</v>
      </c>
    </row>
    <row r="287" ht="22.5" customHeight="1">
      <c r="A287" s="2">
        <v>286.0</v>
      </c>
      <c r="B287" s="3" t="s">
        <v>5985</v>
      </c>
      <c r="C287" s="3" t="s">
        <v>5986</v>
      </c>
      <c r="D287" s="3" t="s">
        <v>5987</v>
      </c>
      <c r="F287" s="5" t="str">
        <f>IFERROR(__xludf.DUMMYFUNCTION("GOOGLETRANSLATE(A287, ""en"", ""hi"")"),"286")</f>
        <v>286</v>
      </c>
      <c r="G287" s="5" t="str">
        <f>IFERROR(__xludf.DUMMYFUNCTION("GOOGLETRANSLATE(B287, ""en"", ""hi"")"),"ढोल खेल में क्रॉस के खिलाफ बचाव करने की खिलाड़ी की क्षमता में सुधार करने के लिए एक सामान्य अभ्यास क्या है?")</f>
        <v>ढोल खेल में क्रॉस के खिलाफ बचाव करने की खिलाड़ी की क्षमता में सुधार करने के लिए एक सामान्य अभ्यास क्या है?</v>
      </c>
      <c r="H287" s="5" t="str">
        <f>IFERROR(__xludf.DUMMYFUNCTION("GOOGLETRANSLATE(C287, ""en"", ""hi"")"),"ए) क्रॉसिंग अभ्यास के दौरान मार्किंग और पोजिशनिंग का अभ्यास करना, बी) ड्रिब्लिंग कौशल पर ध्यान केंद्रित करना, सी) गोलकीपिंग तकनीकों पर काम करना, डी) लंबी दूरी की शूटिंग अभ्यास आयोजित करना")</f>
        <v>ए) क्रॉसिंग अभ्यास के दौरान मार्किंग और पोजिशनिंग का अभ्यास करना, बी) ड्रिब्लिंग कौशल पर ध्यान केंद्रित करना, सी) गोलकीपिंग तकनीकों पर काम करना, डी) लंबी दूरी की शूटिंग अभ्यास आयोजित करना</v>
      </c>
      <c r="I287" s="5" t="str">
        <f>IFERROR(__xludf.DUMMYFUNCTION("GOOGLETRANSLATE(D287, ""en"", ""hi"")"),"ए) क्रॉसिंग अभ्यास के दौरान अंकन और स्थिति निर्धारण का अभ्यास करना")</f>
        <v>ए) क्रॉसिंग अभ्यास के दौरान अंकन और स्थिति निर्धारण का अभ्यास करना</v>
      </c>
    </row>
    <row r="288" ht="22.5" customHeight="1">
      <c r="A288" s="2">
        <v>287.0</v>
      </c>
      <c r="B288" s="3" t="s">
        <v>5988</v>
      </c>
      <c r="C288" s="3" t="s">
        <v>5989</v>
      </c>
      <c r="D288" s="3" t="s">
        <v>5990</v>
      </c>
      <c r="F288" s="5" t="str">
        <f>IFERROR(__xludf.DUMMYFUNCTION("GOOGLETRANSLATE(A288, ""en"", ""hi"")"),"287")</f>
        <v>287</v>
      </c>
      <c r="G288" s="5" t="str">
        <f>IFERROR(__xludf.DUMMYFUNCTION("GOOGLETRANSLATE(B288, ""en"", ""hi"")"),"ढोल खेल में पेनल्टी किक मारते समय खिलाड़ी को किस बात पर ध्यान देना चाहिए?")</f>
        <v>ढोल खेल में पेनल्टी किक मारते समय खिलाड़ी को किस बात पर ध्यान देना चाहिए?</v>
      </c>
      <c r="H288" s="5" t="str">
        <f>IFERROR(__xludf.DUMMYFUNCTION("GOOGLETRANSLATE(C288, ""en"", ""hi"")"),"ए) गेंद को गोल में डालने के लिए सटीकता और धैर्य, बी) अधिकतम शक्ति के साथ गेंद को किक करना, सी) टीम के साथी को पास करना, डी) दूर से शॉट लेना")</f>
        <v>ए) गेंद को गोल में डालने के लिए सटीकता और धैर्य, बी) अधिकतम शक्ति के साथ गेंद को किक करना, सी) टीम के साथी को पास करना, डी) दूर से शॉट लेना</v>
      </c>
      <c r="I288" s="5" t="str">
        <f>IFERROR(__xludf.DUMMYFUNCTION("GOOGLETRANSLATE(D288, ""en"", ""hi"")"),"ए) गेंद को गोल में डालने के लिए सटीकता और धैर्य")</f>
        <v>ए) गेंद को गोल में डालने के लिए सटीकता और धैर्य</v>
      </c>
    </row>
    <row r="289" ht="22.5" customHeight="1">
      <c r="A289" s="2">
        <v>288.0</v>
      </c>
      <c r="B289" s="3" t="s">
        <v>5991</v>
      </c>
      <c r="C289" s="3" t="s">
        <v>5992</v>
      </c>
      <c r="D289" s="3" t="s">
        <v>5993</v>
      </c>
      <c r="F289" s="5" t="str">
        <f>IFERROR(__xludf.DUMMYFUNCTION("GOOGLETRANSLATE(A289, ""en"", ""hi"")"),"288")</f>
        <v>288</v>
      </c>
      <c r="G289" s="5" t="str">
        <f>IFERROR(__xludf.DUMMYFUNCTION("GOOGLETRANSLATE(B289, ""en"", ""hi"")"),"ढोल खेल में रक्षात्मक स्थिति अभ्यास का उद्देश्य क्या है?")</f>
        <v>ढोल खेल में रक्षात्मक स्थिति अभ्यास का उद्देश्य क्या है?</v>
      </c>
      <c r="H289" s="5" t="str">
        <f>IFERROR(__xludf.DUMMYFUNCTION("GOOGLETRANSLATE(C289, ""en"", ""hi"")"),"A) विरोधियों को चिन्हित करने और हमलों से बचाव करने की क्षमता में सुधार करना, B) गोलकीपिंग तकनीकों का अभ्यास करना, C) गोल स्कोरिंग कौशल को बढ़ाना, D) ड्रिब्लिंग पर काम करना")</f>
        <v>A) विरोधियों को चिन्हित करने और हमलों से बचाव करने की क्षमता में सुधार करना, B) गोलकीपिंग तकनीकों का अभ्यास करना, C) गोल स्कोरिंग कौशल को बढ़ाना, D) ड्रिब्लिंग पर काम करना</v>
      </c>
      <c r="I289" s="5" t="str">
        <f>IFERROR(__xludf.DUMMYFUNCTION("GOOGLETRANSLATE(D289, ""en"", ""hi"")"),"A) विरोधियों को चिह्नित करने और हमलों से बचाव करने की क्षमता में सुधार करना")</f>
        <v>A) विरोधियों को चिह्नित करने और हमलों से बचाव करने की क्षमता में सुधार करना</v>
      </c>
    </row>
    <row r="290" ht="22.5" customHeight="1">
      <c r="A290" s="2">
        <v>289.0</v>
      </c>
      <c r="B290" s="3" t="s">
        <v>5994</v>
      </c>
      <c r="C290" s="3" t="s">
        <v>5995</v>
      </c>
      <c r="D290" s="3" t="s">
        <v>5996</v>
      </c>
      <c r="F290" s="5" t="str">
        <f>IFERROR(__xludf.DUMMYFUNCTION("GOOGLETRANSLATE(A290, ""en"", ""hi"")"),"289")</f>
        <v>289</v>
      </c>
      <c r="G290" s="5" t="str">
        <f>IFERROR(__xludf.DUMMYFUNCTION("GOOGLETRANSLATE(B290, ""en"", ""hi"")"),"ढोल खेल में कई गोल से पिछड़ने पर कोई टीम आमतौर पर कैसी प्रतिक्रिया देती है?")</f>
        <v>ढोल खेल में कई गोल से पिछड़ने पर कोई टीम आमतौर पर कैसी प्रतिक्रिया देती है?</v>
      </c>
      <c r="H290" s="5" t="str">
        <f>IFERROR(__xludf.DUMMYFUNCTION("GOOGLETRANSLATE(C290, ""en"", ""hi"")"),"A) आक्रामक दबाव बढ़ाकर और स्कोर करने की कोशिश करके, B) केवल रक्षा पर ध्यान केंद्रित करके, C) लगातार प्रतिस्थापन करके, D) खेल को बिना किसी बदलाव के जारी रखने की अनुमति देकर")</f>
        <v>A) आक्रामक दबाव बढ़ाकर और स्कोर करने की कोशिश करके, B) केवल रक्षा पर ध्यान केंद्रित करके, C) लगातार प्रतिस्थापन करके, D) खेल को बिना किसी बदलाव के जारी रखने की अनुमति देकर</v>
      </c>
      <c r="I290" s="5" t="str">
        <f>IFERROR(__xludf.DUMMYFUNCTION("GOOGLETRANSLATE(D290, ""en"", ""hi"")"),"A) आक्रामक दबाव बढ़ाकर और स्कोर करने की कोशिश करके")</f>
        <v>A) आक्रामक दबाव बढ़ाकर और स्कोर करने की कोशिश करके</v>
      </c>
    </row>
    <row r="291" ht="22.5" customHeight="1">
      <c r="A291" s="2">
        <v>290.0</v>
      </c>
      <c r="B291" s="3" t="s">
        <v>5997</v>
      </c>
      <c r="C291" s="3" t="s">
        <v>5998</v>
      </c>
      <c r="D291" s="3" t="s">
        <v>5999</v>
      </c>
      <c r="F291" s="5" t="str">
        <f>IFERROR(__xludf.DUMMYFUNCTION("GOOGLETRANSLATE(A291, ""en"", ""hi"")"),"290")</f>
        <v>290</v>
      </c>
      <c r="G291" s="5" t="str">
        <f>IFERROR(__xludf.DUMMYFUNCTION("GOOGLETRANSLATE(B291, ""en"", ""hi"")"),"ढोल खेल में उत्कृष्टता प्राप्त करने के लिए एक फॉरवर्ड के लिए मुख्य कौशल क्या है?")</f>
        <v>ढोल खेल में उत्कृष्टता प्राप्त करने के लिए एक फॉरवर्ड के लिए मुख्य कौशल क्या है?</v>
      </c>
      <c r="H291" s="5" t="str">
        <f>IFERROR(__xludf.DUMMYFUNCTION("GOOGLETRANSLATE(C291, ""en"", ""hi"")"),"ए) स्कोरिंग अवसरों को बदलने के लिए फिनिशिंग और पोजिशनिंग, बी) गोलकीपिंग तकनीक, सी) रक्षात्मक पोजिशनिंग, डी) पासिंग सटीकता")</f>
        <v>ए) स्कोरिंग अवसरों को बदलने के लिए फिनिशिंग और पोजिशनिंग, बी) गोलकीपिंग तकनीक, सी) रक्षात्मक पोजिशनिंग, डी) पासिंग सटीकता</v>
      </c>
      <c r="I291" s="5" t="str">
        <f>IFERROR(__xludf.DUMMYFUNCTION("GOOGLETRANSLATE(D291, ""en"", ""hi"")"),"ए) स्कोरिंग अवसरों को बदलने के लिए फिनिशिंग और पोजिशनिंग")</f>
        <v>ए) स्कोरिंग अवसरों को बदलने के लिए फिनिशिंग और पोजिशनिंग</v>
      </c>
    </row>
    <row r="292" ht="22.5" customHeight="1">
      <c r="A292" s="2">
        <v>291.0</v>
      </c>
      <c r="B292" s="3" t="s">
        <v>6000</v>
      </c>
      <c r="C292" s="3" t="s">
        <v>6001</v>
      </c>
      <c r="D292" s="3" t="s">
        <v>6002</v>
      </c>
      <c r="F292" s="5" t="str">
        <f>IFERROR(__xludf.DUMMYFUNCTION("GOOGLETRANSLATE(A292, ""en"", ""hi"")"),"291")</f>
        <v>291</v>
      </c>
      <c r="G292" s="5" t="str">
        <f>IFERROR(__xludf.DUMMYFUNCTION("GOOGLETRANSLATE(B292, ""en"", ""hi"")"),"ढोल खेल में, टीम के रक्षात्मक संगठन को बढ़ाने के लिए एक सामान्य अभ्यास क्या है?")</f>
        <v>ढोल खेल में, टीम के रक्षात्मक संगठन को बढ़ाने के लिए एक सामान्य अभ्यास क्या है?</v>
      </c>
      <c r="H292" s="5" t="str">
        <f>IFERROR(__xludf.DUMMYFUNCTION("GOOGLETRANSLATE(C292, ""en"", ""hi"")"),"ए) संचार और स्थिति पर केंद्रित अभ्यास करना, बी) आक्रामक रणनीतियों का अभ्यास करना, सी) व्यक्तिगत ड्रिब्लिंग कौशल पर काम करना, डी) केवल शारीरिक फिटनेस पर ध्यान केंद्रित करना")</f>
        <v>ए) संचार और स्थिति पर केंद्रित अभ्यास करना, बी) आक्रामक रणनीतियों का अभ्यास करना, सी) व्यक्तिगत ड्रिब्लिंग कौशल पर काम करना, डी) केवल शारीरिक फिटनेस पर ध्यान केंद्रित करना</v>
      </c>
      <c r="I292" s="5" t="str">
        <f>IFERROR(__xludf.DUMMYFUNCTION("GOOGLETRANSLATE(D292, ""en"", ""hi"")"),"A) संचार और स्थिति निर्धारण पर केंद्रित अभ्यास आयोजित करना")</f>
        <v>A) संचार और स्थिति निर्धारण पर केंद्रित अभ्यास आयोजित करना</v>
      </c>
    </row>
    <row r="293" ht="22.5" customHeight="1">
      <c r="A293" s="2">
        <v>292.0</v>
      </c>
      <c r="B293" s="3" t="s">
        <v>6003</v>
      </c>
      <c r="C293" s="3" t="s">
        <v>6004</v>
      </c>
      <c r="D293" s="3" t="s">
        <v>6005</v>
      </c>
      <c r="F293" s="5" t="str">
        <f>IFERROR(__xludf.DUMMYFUNCTION("GOOGLETRANSLATE(A293, ""en"", ""hi"")"),"292")</f>
        <v>292</v>
      </c>
      <c r="G293" s="5" t="str">
        <f>IFERROR(__xludf.DUMMYFUNCTION("GOOGLETRANSLATE(B293, ""en"", ""hi"")"),"ढोल खेल में दबाव की स्थिति में गेंद पर कब्ज़ा बनाए रखने के लिए खिलाड़ी के लिए प्रभावी तकनीक क्या है?")</f>
        <v>ढोल खेल में दबाव की स्थिति में गेंद पर कब्ज़ा बनाए रखने के लिए खिलाड़ी के लिए प्रभावी तकनीक क्या है?</v>
      </c>
      <c r="H293" s="5" t="str">
        <f>IFERROR(__xludf.DUMMYFUNCTION("GOOGLETRANSLATE(C293, ""en"", ""hi"")"),"A) त्वरित, नियंत्रित स्पर्श का उपयोग करना और गेंद को बचाना, B) गेंद को दूर किक करना, C) गेंद को डिफेंडर को पास करना, D) सीधे प्रतिद्वंद्वी की ओर ड्रिब्लिंग करना")</f>
        <v>A) त्वरित, नियंत्रित स्पर्श का उपयोग करना और गेंद को बचाना, B) गेंद को दूर किक करना, C) गेंद को डिफेंडर को पास करना, D) सीधे प्रतिद्वंद्वी की ओर ड्रिब्लिंग करना</v>
      </c>
      <c r="I293" s="5" t="str">
        <f>IFERROR(__xludf.DUMMYFUNCTION("GOOGLETRANSLATE(D293, ""en"", ""hi"")"),"A) त्वरित, नियंत्रित स्पर्श का उपयोग करना और गेंद को बचाना")</f>
        <v>A) त्वरित, नियंत्रित स्पर्श का उपयोग करना और गेंद को बचाना</v>
      </c>
    </row>
    <row r="294" ht="22.5" customHeight="1">
      <c r="A294" s="2">
        <v>293.0</v>
      </c>
      <c r="B294" s="3" t="s">
        <v>6006</v>
      </c>
      <c r="C294" s="3" t="s">
        <v>6007</v>
      </c>
      <c r="D294" s="3" t="s">
        <v>5848</v>
      </c>
      <c r="F294" s="5" t="str">
        <f>IFERROR(__xludf.DUMMYFUNCTION("GOOGLETRANSLATE(A294, ""en"", ""hi"")"),"293")</f>
        <v>293</v>
      </c>
      <c r="G294" s="5" t="str">
        <f>IFERROR(__xludf.DUMMYFUNCTION("GOOGLETRANSLATE(B294, ""en"", ""hi"")"),"ढोल खेल में मैच से पहले वार्म-अप सत्र का मुख्य उद्देश्य क्या है?")</f>
        <v>ढोल खेल में मैच से पहले वार्म-अप सत्र का मुख्य उद्देश्य क्या है?</v>
      </c>
      <c r="H294" s="5" t="str">
        <f>IFERROR(__xludf.DUMMYFUNCTION("GOOGLETRANSLATE(C294, ""en"", ""hi"")"),"A) खिलाड़ियों को खेल के लिए शारीरिक और मानसिक रूप से तैयार करना, B) सेट-पीस खेलों का अभ्यास कराना, C) व्यक्तिगत कौशल बढ़ाना, D) खेल की रणनीति की समीक्षा करना")</f>
        <v>A) खिलाड़ियों को खेल के लिए शारीरिक और मानसिक रूप से तैयार करना, B) सेट-पीस खेलों का अभ्यास कराना, C) व्यक्तिगत कौशल बढ़ाना, D) खेल की रणनीति की समीक्षा करना</v>
      </c>
      <c r="I294" s="5" t="str">
        <f>IFERROR(__xludf.DUMMYFUNCTION("GOOGLETRANSLATE(D294, ""en"", ""hi"")"),"A) खिलाड़ियों को खेल के लिए शारीरिक और मानसिक रूप से तैयार करना")</f>
        <v>A) खिलाड़ियों को खेल के लिए शारीरिक और मानसिक रूप से तैयार करना</v>
      </c>
    </row>
    <row r="295" ht="22.5" customHeight="1">
      <c r="A295" s="2">
        <v>294.0</v>
      </c>
      <c r="B295" s="3" t="s">
        <v>6008</v>
      </c>
      <c r="C295" s="3" t="s">
        <v>6009</v>
      </c>
      <c r="D295" s="3" t="s">
        <v>6010</v>
      </c>
      <c r="F295" s="5" t="str">
        <f>IFERROR(__xludf.DUMMYFUNCTION("GOOGLETRANSLATE(A295, ""en"", ""hi"")"),"294")</f>
        <v>294</v>
      </c>
      <c r="G295" s="5" t="str">
        <f>IFERROR(__xludf.DUMMYFUNCTION("GOOGLETRANSLATE(B295, ""en"", ""hi"")"),"ढोल खेल में गेंद के अंतिम रेखा से बाहर चले जाने के बाद खेल को आम तौर पर कैसे पुनः शुरू किया जाता है?")</f>
        <v>ढोल खेल में गेंद के अंतिम रेखा से बाहर चले जाने के बाद खेल को आम तौर पर कैसे पुनः शुरू किया जाता है?</v>
      </c>
      <c r="H295" s="5" t="str">
        <f>IFERROR(__xludf.DUMMYFUNCTION("GOOGLETRANSLATE(C295, ""en"", ""hi"")"),"ए) गोल किक या कॉर्नर किक से, यह इस पर निर्भर करता है कि गेंद को आखिरी बार किसने छुआ था, बी) साइडलाइन से थ्रो-इन से, सी) फ्री किक से, डी) मैदान के केंद्र से खेल को फिर से शुरू करके")</f>
        <v>ए) गोल किक या कॉर्नर किक से, यह इस पर निर्भर करता है कि गेंद को आखिरी बार किसने छुआ था, बी) साइडलाइन से थ्रो-इन से, सी) फ्री किक से, डी) मैदान के केंद्र से खेल को फिर से शुरू करके</v>
      </c>
      <c r="I295" s="5" t="str">
        <f>IFERROR(__xludf.DUMMYFUNCTION("GOOGLETRANSLATE(D295, ""en"", ""hi"")"),"A) गोल किक या कॉर्नर किक से, यह इस बात पर निर्भर करता है कि गेंद को आखिरी बार किसने छुआ था")</f>
        <v>A) गोल किक या कॉर्नर किक से, यह इस बात पर निर्भर करता है कि गेंद को आखिरी बार किसने छुआ था</v>
      </c>
    </row>
    <row r="296" ht="22.5" customHeight="1">
      <c r="A296" s="2">
        <v>295.0</v>
      </c>
      <c r="B296" s="3" t="s">
        <v>6011</v>
      </c>
      <c r="C296" s="3" t="s">
        <v>6012</v>
      </c>
      <c r="D296" s="3" t="s">
        <v>6013</v>
      </c>
      <c r="F296" s="5" t="str">
        <f>IFERROR(__xludf.DUMMYFUNCTION("GOOGLETRANSLATE(A296, ""en"", ""hi"")"),"295")</f>
        <v>295</v>
      </c>
      <c r="G296" s="5" t="str">
        <f>IFERROR(__xludf.DUMMYFUNCTION("GOOGLETRANSLATE(B296, ""en"", ""hi"")"),"ढोल खेल में फ्री किक के दौरान रक्षात्मक दीवार का क्या उद्देश्य होता है?")</f>
        <v>ढोल खेल में फ्री किक के दौरान रक्षात्मक दीवार का क्या उद्देश्य होता है?</v>
      </c>
      <c r="H296" s="5" t="str">
        <f>IFERROR(__xludf.DUMMYFUNCTION("GOOGLETRANSLATE(C296, ""en"", ""hi"")"),"A) गोल तक जाने वाले सीधे रास्ते को रोकना, B) फ्री किक लेने में सहायता करना, C) खेल को पुनः शुरू करना, D) गेंद को खेल से बाहर जाने से रोकना")</f>
        <v>A) गोल तक जाने वाले सीधे रास्ते को रोकना, B) फ्री किक लेने में सहायता करना, C) खेल को पुनः शुरू करना, D) गेंद को खेल से बाहर जाने से रोकना</v>
      </c>
      <c r="I296" s="5" t="str">
        <f>IFERROR(__xludf.DUMMYFUNCTION("GOOGLETRANSLATE(D296, ""en"", ""hi"")"),"A) लक्ष्य तक पहुँचने का सीधा रास्ता अवरुद्ध करना")</f>
        <v>A) लक्ष्य तक पहुँचने का सीधा रास्ता अवरुद्ध करना</v>
      </c>
    </row>
    <row r="297" ht="22.5" customHeight="1">
      <c r="A297" s="2">
        <v>296.0</v>
      </c>
      <c r="B297" s="3" t="s">
        <v>6014</v>
      </c>
      <c r="C297" s="3" t="s">
        <v>6015</v>
      </c>
      <c r="D297" s="3" t="s">
        <v>5928</v>
      </c>
      <c r="F297" s="5" t="str">
        <f>IFERROR(__xludf.DUMMYFUNCTION("GOOGLETRANSLATE(A297, ""en"", ""hi"")"),"296")</f>
        <v>296</v>
      </c>
      <c r="G297" s="5" t="str">
        <f>IFERROR(__xludf.DUMMYFUNCTION("GOOGLETRANSLATE(B297, ""en"", ""hi"")"),"ढोल खेल में कॉर्नर किक लेते समय खिलाड़ी को किस बात पर ध्यान देना चाहिए?")</f>
        <v>ढोल खेल में कॉर्नर किक लेते समय खिलाड़ी को किस बात पर ध्यान देना चाहिए?</v>
      </c>
      <c r="H297" s="5" t="str">
        <f>IFERROR(__xludf.DUMMYFUNCTION("GOOGLETRANSLATE(C297, ""en"", ""hi"")"),"A) पेनल्टी क्षेत्र में सटीक और सही जगह पर गेंद डालना, B) गेंद को यथासंभव जोर से किक करना, C) गेंद को टीम के साथी को पास करना, D) गोलकीपर द्वारा गेंद पकड़ने का इंतजार करना")</f>
        <v>A) पेनल्टी क्षेत्र में सटीक और सही जगह पर गेंद डालना, B) गेंद को यथासंभव जोर से किक करना, C) गेंद को टीम के साथी को पास करना, D) गोलकीपर द्वारा गेंद पकड़ने का इंतजार करना</v>
      </c>
      <c r="I297" s="5" t="str">
        <f>IFERROR(__xludf.DUMMYFUNCTION("GOOGLETRANSLATE(D297, ""en"", ""hi"")"),"A) पेनल्टी क्षेत्र में सटीक और अच्छी तरह से रखी गई गेंद को पहुंचाना")</f>
        <v>A) पेनल्टी क्षेत्र में सटीक और अच्छी तरह से रखी गई गेंद को पहुंचाना</v>
      </c>
    </row>
    <row r="298" ht="22.5" customHeight="1">
      <c r="A298" s="2">
        <v>297.0</v>
      </c>
      <c r="B298" s="3" t="s">
        <v>6016</v>
      </c>
      <c r="C298" s="3" t="s">
        <v>6017</v>
      </c>
      <c r="D298" s="3" t="s">
        <v>6018</v>
      </c>
      <c r="F298" s="5" t="str">
        <f>IFERROR(__xludf.DUMMYFUNCTION("GOOGLETRANSLATE(A298, ""en"", ""hi"")"),"297")</f>
        <v>297</v>
      </c>
      <c r="G298" s="5" t="str">
        <f>IFERROR(__xludf.DUMMYFUNCTION("GOOGLETRANSLATE(B298, ""en"", ""hi"")"),"ढोल खेल में, खेल के अंत में एक गोल से पीछे चल रही टीम के लिए आम रणनीति क्या है?")</f>
        <v>ढोल खेल में, खेल के अंत में एक गोल से पीछे चल रही टीम के लिए आम रणनीति क्या है?</v>
      </c>
      <c r="H298" s="5" t="str">
        <f>IFERROR(__xludf.DUMMYFUNCTION("GOOGLETRANSLATE(C298, ""en"", ""hi"")"),"A) आक्रामक दबाव बढ़ाना और अधिक खिलाड़ियों को आगे बढ़ाना, B) केवल रक्षा पर ध्यान केंद्रित करना, C) सभी खिलाड़ियों को प्रतिस्थापित करना, D) आगे के गोलों को रोकने के लिए रक्षात्मक रूप से खेलना")</f>
        <v>A) आक्रामक दबाव बढ़ाना और अधिक खिलाड़ियों को आगे बढ़ाना, B) केवल रक्षा पर ध्यान केंद्रित करना, C) सभी खिलाड़ियों को प्रतिस्थापित करना, D) आगे के गोलों को रोकने के लिए रक्षात्मक रूप से खेलना</v>
      </c>
      <c r="I298" s="5" t="str">
        <f>IFERROR(__xludf.DUMMYFUNCTION("GOOGLETRANSLATE(D298, ""en"", ""hi"")"),"A) आक्रामक दबाव बढ़ाना और अधिक खिलाड़ियों को आगे बढ़ाना")</f>
        <v>A) आक्रामक दबाव बढ़ाना और अधिक खिलाड़ियों को आगे बढ़ाना</v>
      </c>
    </row>
    <row r="299" ht="22.5" customHeight="1">
      <c r="A299" s="2">
        <v>298.0</v>
      </c>
      <c r="B299" s="3" t="s">
        <v>6019</v>
      </c>
      <c r="C299" s="3" t="s">
        <v>6020</v>
      </c>
      <c r="D299" s="3" t="s">
        <v>6021</v>
      </c>
      <c r="F299" s="5" t="str">
        <f>IFERROR(__xludf.DUMMYFUNCTION("GOOGLETRANSLATE(A299, ""en"", ""hi"")"),"298")</f>
        <v>298</v>
      </c>
      <c r="G299" s="5" t="str">
        <f>IFERROR(__xludf.DUMMYFUNCTION("GOOGLETRANSLATE(B299, ""en"", ""hi"")"),"ढोल खेल में पेनल्टी किक के दौरान गोलकीपर की क्या भूमिका होती है?")</f>
        <v>ढोल खेल में पेनल्टी किक के दौरान गोलकीपर की क्या भूमिका होती है?</v>
      </c>
      <c r="H299" s="5" t="str">
        <f>IFERROR(__xludf.DUMMYFUNCTION("GOOGLETRANSLATE(C299, ""en"", ""hi"")"),"ए) अपनी स्थिति बनाकर और किक पर प्रतिक्रिया करके गेंद को बचाने का प्रयास करना, बी) पेनल्टी किक लेना, सी) टाइम-आउट के लिए कॉल करना, डी) गेंद को डिफेंडर को पास करना")</f>
        <v>ए) अपनी स्थिति बनाकर और किक पर प्रतिक्रिया करके गेंद को बचाने का प्रयास करना, बी) पेनल्टी किक लेना, सी) टाइम-आउट के लिए कॉल करना, डी) गेंद को डिफेंडर को पास करना</v>
      </c>
      <c r="I299" s="5" t="str">
        <f>IFERROR(__xludf.DUMMYFUNCTION("GOOGLETRANSLATE(D299, ""en"", ""hi"")"),"A) अपनी स्थिति बनाकर और किक पर प्रतिक्रिया करके गेंद को बचाने का प्रयास करना")</f>
        <v>A) अपनी स्थिति बनाकर और किक पर प्रतिक्रिया करके गेंद को बचाने का प्रयास करना</v>
      </c>
    </row>
    <row r="300" ht="22.5" customHeight="1">
      <c r="A300" s="2">
        <v>299.0</v>
      </c>
      <c r="B300" s="3" t="s">
        <v>6022</v>
      </c>
      <c r="C300" s="3" t="s">
        <v>6023</v>
      </c>
      <c r="D300" s="3" t="s">
        <v>6024</v>
      </c>
      <c r="F300" s="5" t="str">
        <f>IFERROR(__xludf.DUMMYFUNCTION("GOOGLETRANSLATE(A300, ""en"", ""hi"")"),"299")</f>
        <v>299</v>
      </c>
      <c r="G300" s="5" t="str">
        <f>IFERROR(__xludf.DUMMYFUNCTION("GOOGLETRANSLATE(B300, ""en"", ""hi"")"),"ढोल खेल में ऑफसाइड नियम कैसे लागू होता है?")</f>
        <v>ढोल खेल में ऑफसाइड नियम कैसे लागू होता है?</v>
      </c>
      <c r="H300" s="5" t="str">
        <f>IFERROR(__xludf.DUMMYFUNCTION("GOOGLETRANSLATE(C300, ""en"", ""hi"")"),"A) एक खिलाड़ी ऑफसाइड होता है यदि वह गेंद और दूसरे-अंतिम प्रतिद्वंद्वी दोनों की तुलना में प्रतिद्वंद्वी की गोल लाइन के करीब होता है जब गेंद उसके पास खेली जाती है, B) एक खिलाड़ी ऑफसाइड होता है यदि वह मैदान के अपने आधे हिस्से में होता है, C) एक खिलाड़ी ऑफसाइ"&amp;"ड होता है यदि वह खेल में सक्रिय रूप से शामिल नहीं होता है, D) एक खिलाड़ी ऑफसाइड होता है यदि वह थ्रो-इन से गेंद प्राप्त करता है")</f>
        <v>A) एक खिलाड़ी ऑफसाइड होता है यदि वह गेंद और दूसरे-अंतिम प्रतिद्वंद्वी दोनों की तुलना में प्रतिद्वंद्वी की गोल लाइन के करीब होता है जब गेंद उसके पास खेली जाती है, B) एक खिलाड़ी ऑफसाइड होता है यदि वह मैदान के अपने आधे हिस्से में होता है, C) एक खिलाड़ी ऑफसाइड होता है यदि वह खेल में सक्रिय रूप से शामिल नहीं होता है, D) एक खिलाड़ी ऑफसाइड होता है यदि वह थ्रो-इन से गेंद प्राप्त करता है</v>
      </c>
      <c r="I300" s="5" t="str">
        <f>IFERROR(__xludf.DUMMYFUNCTION("GOOGLETRANSLATE(D300, ""en"", ""hi"")"),"A) एक खिलाड़ी ऑफसाइड होता है यदि वह गेंद और दूसरे अंतिम प्रतिद्वंद्वी दोनों की तुलना में प्रतिद्वंद्वी की गोल लाइन के करीब होता है, जब गेंद उसे खेली जाती है")</f>
        <v>A) एक खिलाड़ी ऑफसाइड होता है यदि वह गेंद और दूसरे अंतिम प्रतिद्वंद्वी दोनों की तुलना में प्रतिद्वंद्वी की गोल लाइन के करीब होता है, जब गेंद उसे खेली जाती है</v>
      </c>
    </row>
    <row r="301" ht="22.5" customHeight="1">
      <c r="A301" s="2">
        <v>300.0</v>
      </c>
      <c r="B301" s="3" t="s">
        <v>6025</v>
      </c>
      <c r="C301" s="3" t="s">
        <v>6026</v>
      </c>
      <c r="D301" s="3" t="s">
        <v>5919</v>
      </c>
      <c r="F301" s="5" t="str">
        <f>IFERROR(__xludf.DUMMYFUNCTION("GOOGLETRANSLATE(A301, ""en"", ""hi"")"),"300")</f>
        <v>300</v>
      </c>
      <c r="G301" s="5" t="str">
        <f>IFERROR(__xludf.DUMMYFUNCTION("GOOGLETRANSLATE(B301, ""en"", ""hi"")"),"ढोल खेल में पेनल्टी क्षेत्र के बाहर किए गए फाउल का सामान्य परिणाम क्या होता है?")</f>
        <v>ढोल खेल में पेनल्टी क्षेत्र के बाहर किए गए फाउल का सामान्य परिणाम क्या होता है?</v>
      </c>
      <c r="H301" s="5" t="str">
        <f>IFERROR(__xludf.DUMMYFUNCTION("GOOGLETRANSLATE(C301, ""en"", ""hi"")"),"A) विरोधी टीम को फ्री किक दी जाती है, B) पेनल्टी किक दी जाती है, C) गोल किक दी जाती है, D) थ्रो-इन दी जाती है")</f>
        <v>A) विरोधी टीम को फ्री किक दी जाती है, B) पेनल्टी किक दी जाती है, C) गोल किक दी जाती है, D) थ्रो-इन दी जाती है</v>
      </c>
      <c r="I301" s="5" t="str">
        <f>IFERROR(__xludf.DUMMYFUNCTION("GOOGLETRANSLATE(D301, ""en"", ""hi"")"),"A) विरोधी टीम को फ्री किक दी जाती है")</f>
        <v>A) विरोधी टीम को फ्री किक दी जाती है</v>
      </c>
    </row>
    <row r="302" ht="22.5" customHeight="1">
      <c r="A302" s="2">
        <v>301.0</v>
      </c>
      <c r="B302" s="3" t="s">
        <v>6027</v>
      </c>
      <c r="C302" s="3" t="s">
        <v>6028</v>
      </c>
      <c r="D302" s="3" t="s">
        <v>6029</v>
      </c>
      <c r="F302" s="5" t="str">
        <f>IFERROR(__xludf.DUMMYFUNCTION("GOOGLETRANSLATE(A302, ""en"", ""hi"")"),"301")</f>
        <v>301</v>
      </c>
      <c r="G302" s="5" t="str">
        <f>IFERROR(__xludf.DUMMYFUNCTION("GOOGLETRANSLATE(B302, ""en"", ""hi"")"),"ढोल खेल में लंबा पास देते समय क्या महत्वपूर्ण बात है?")</f>
        <v>ढोल खेल में लंबा पास देते समय क्या महत्वपूर्ण बात है?</v>
      </c>
      <c r="H302" s="5" t="str">
        <f>IFERROR(__xludf.DUMMYFUNCTION("GOOGLETRANSLATE(C302, ""en"", ""hi"")"),"A) टीम के साथी तक प्रभावी ढंग से पहुंचने की सटीकता और दूरी, B) किक की शक्ति, C) हवा की दिशा, D) गेंद का रंग")</f>
        <v>A) टीम के साथी तक प्रभावी ढंग से पहुंचने की सटीकता और दूरी, B) किक की शक्ति, C) हवा की दिशा, D) गेंद का रंग</v>
      </c>
      <c r="I302" s="5" t="str">
        <f>IFERROR(__xludf.DUMMYFUNCTION("GOOGLETRANSLATE(D302, ""en"", ""hi"")"),"A) टीम के साथी तक प्रभावी ढंग से पहुंचने की सटीकता और दूरी")</f>
        <v>A) टीम के साथी तक प्रभावी ढंग से पहुंचने की सटीकता और दूरी</v>
      </c>
    </row>
    <row r="303" ht="22.5" customHeight="1">
      <c r="A303" s="2">
        <v>302.0</v>
      </c>
      <c r="B303" s="3" t="s">
        <v>6030</v>
      </c>
      <c r="C303" s="3" t="s">
        <v>6031</v>
      </c>
      <c r="D303" s="3" t="s">
        <v>6032</v>
      </c>
      <c r="F303" s="5" t="str">
        <f>IFERROR(__xludf.DUMMYFUNCTION("GOOGLETRANSLATE(A303, ""en"", ""hi"")"),"302")</f>
        <v>302</v>
      </c>
      <c r="G303" s="5" t="str">
        <f>IFERROR(__xludf.DUMMYFUNCTION("GOOGLETRANSLATE(B303, ""en"", ""hi"")"),"ढोल खेल में आक्रमण के दौरान विंगर की क्या भूमिका होती है?")</f>
        <v>ढोल खेल में आक्रमण के दौरान विंगर की क्या भूमिका होती है?</v>
      </c>
      <c r="H303" s="5" t="str">
        <f>IFERROR(__xludf.DUMMYFUNCTION("GOOGLETRANSLATE(C303, ""en"", ""hi"")"),"A) पेनल्टी क्षेत्र में क्रॉस देना और गोल स्कोरिंग के अवसर पैदा करना, B) प्रतिद्वंद्वी के विंगर्स से बचाव करना, C) गोल किक लेना, D) केंद्रीय मिडफील्डर्स को पास देने पर ध्यान केंद्रित करना")</f>
        <v>A) पेनल्टी क्षेत्र में क्रॉस देना और गोल स्कोरिंग के अवसर पैदा करना, B) प्रतिद्वंद्वी के विंगर्स से बचाव करना, C) गोल किक लेना, D) केंद्रीय मिडफील्डर्स को पास देने पर ध्यान केंद्रित करना</v>
      </c>
      <c r="I303" s="5" t="str">
        <f>IFERROR(__xludf.DUMMYFUNCTION("GOOGLETRANSLATE(D303, ""en"", ""hi"")"),"A) पेनल्टी क्षेत्र में क्रॉस पहुंचाना और गोल स्कोरिंग के अवसर पैदा करना")</f>
        <v>A) पेनल्टी क्षेत्र में क्रॉस पहुंचाना और गोल स्कोरिंग के अवसर पैदा करना</v>
      </c>
    </row>
    <row r="304" ht="22.5" customHeight="1">
      <c r="A304" s="2">
        <v>303.0</v>
      </c>
      <c r="B304" s="3" t="s">
        <v>6033</v>
      </c>
      <c r="C304" s="3" t="s">
        <v>6034</v>
      </c>
      <c r="D304" s="3" t="s">
        <v>6035</v>
      </c>
      <c r="F304" s="5" t="str">
        <f>IFERROR(__xludf.DUMMYFUNCTION("GOOGLETRANSLATE(A304, ""en"", ""hi"")"),"303")</f>
        <v>303</v>
      </c>
      <c r="G304" s="5" t="str">
        <f>IFERROR(__xludf.DUMMYFUNCTION("GOOGLETRANSLATE(B304, ""en"", ""hi"")"),"ढोल खेल में फ्री किक और कॉर्नर किक जैसे सेट-पीस का अभ्यास करने का प्राथमिक उद्देश्य क्या है?")</f>
        <v>ढोल खेल में फ्री किक और कॉर्नर किक जैसे सेट-पीस का अभ्यास करने का प्राथमिक उद्देश्य क्या है?</v>
      </c>
      <c r="H304" s="5" t="str">
        <f>IFERROR(__xludf.DUMMYFUNCTION("GOOGLETRANSLATE(C304, ""en"", ""hi"")"),"A) निर्धारित परिस्थितियों में स्कोरिंग के अवसरों में सुधार करना, B) शारीरिक फिटनेस पर ध्यान केंद्रित करना, C) व्यक्तिगत ड्रिब्लिंग कौशल को बढ़ाना, D) गोलकीपिंग तकनीकों का अभ्यास करना")</f>
        <v>A) निर्धारित परिस्थितियों में स्कोरिंग के अवसरों में सुधार करना, B) शारीरिक फिटनेस पर ध्यान केंद्रित करना, C) व्यक्तिगत ड्रिब्लिंग कौशल को बढ़ाना, D) गोलकीपिंग तकनीकों का अभ्यास करना</v>
      </c>
      <c r="I304" s="5" t="str">
        <f>IFERROR(__xludf.DUMMYFUNCTION("GOOGLETRANSLATE(D304, ""en"", ""hi"")"),"A) निर्धारित परिस्थितियों में स्कोरिंग के अवसरों में सुधार करना")</f>
        <v>A) निर्धारित परिस्थितियों में स्कोरिंग के अवसरों में सुधार करना</v>
      </c>
    </row>
    <row r="305" ht="22.5" customHeight="1">
      <c r="A305" s="2">
        <v>304.0</v>
      </c>
      <c r="B305" s="3" t="s">
        <v>5872</v>
      </c>
      <c r="C305" s="3" t="s">
        <v>6036</v>
      </c>
      <c r="D305" s="3" t="s">
        <v>6037</v>
      </c>
      <c r="F305" s="5" t="str">
        <f>IFERROR(__xludf.DUMMYFUNCTION("GOOGLETRANSLATE(A305, ""en"", ""hi"")"),"304")</f>
        <v>304</v>
      </c>
      <c r="G305" s="5" t="str">
        <f>IFERROR(__xludf.DUMMYFUNCTION("GOOGLETRANSLATE(B305, ""en"", ""hi"")"),"ढोल खेल में गोल किक आमतौर पर कैसे की जाती है?")</f>
        <v>ढोल खेल में गोल किक आमतौर पर कैसे की जाती है?</v>
      </c>
      <c r="H305" s="5" t="str">
        <f>IFERROR(__xludf.DUMMYFUNCTION("GOOGLETRANSLATE(C305, ""en"", ""hi"")"),"ए) खेल को पुनः शुरू करने के लिए गोल क्षेत्र के भीतर से गेंद को किक करके, बी) साइडलाइन से थ्रो-इन लेकर, सी) गेंद को टीम के साथी को पास करके, डी) कोने से गेंद को किक करके")</f>
        <v>ए) खेल को पुनः शुरू करने के लिए गोल क्षेत्र के भीतर से गेंद को किक करके, बी) साइडलाइन से थ्रो-इन लेकर, सी) गेंद को टीम के साथी को पास करके, डी) कोने से गेंद को किक करके</v>
      </c>
      <c r="I305" s="5" t="str">
        <f>IFERROR(__xludf.DUMMYFUNCTION("GOOGLETRANSLATE(D305, ""en"", ""hi"")"),"A) खेल को पुनः शुरू करने के लिए गोल क्षेत्र के भीतर से गेंद को किक करके")</f>
        <v>A) खेल को पुनः शुरू करने के लिए गोल क्षेत्र के भीतर से गेंद को किक करके</v>
      </c>
    </row>
    <row r="306" ht="22.5" customHeight="1">
      <c r="A306" s="2">
        <v>305.0</v>
      </c>
      <c r="B306" s="3" t="s">
        <v>6038</v>
      </c>
      <c r="C306" s="3" t="s">
        <v>6039</v>
      </c>
      <c r="D306" s="3" t="s">
        <v>6040</v>
      </c>
      <c r="F306" s="5" t="str">
        <f>IFERROR(__xludf.DUMMYFUNCTION("GOOGLETRANSLATE(A306, ""en"", ""hi"")"),"305")</f>
        <v>305</v>
      </c>
      <c r="G306" s="5" t="str">
        <f>IFERROR(__xludf.DUMMYFUNCTION("GOOGLETRANSLATE(B306, ""en"", ""hi"")"),"ढोल खेल में कॉर्नर किक के दौरान प्रतिद्वंद्वी को चिह्नित करते समय खिलाड़ी को क्या करना चाहिए?")</f>
        <v>ढोल खेल में कॉर्नर किक के दौरान प्रतिद्वंद्वी को चिह्नित करते समय खिलाड़ी को क्या करना चाहिए?</v>
      </c>
      <c r="H306" s="5" t="str">
        <f>IFERROR(__xludf.DUMMYFUNCTION("GOOGLETRANSLATE(C306, ""en"", ""hi"")"),"A) प्रतिद्वंद्वी के करीब रहें और उनकी गतिविधियों पर नज़र रखें, B) आक्रमण करने पर ध्यान केंद्रित करें, C) प्रतिद्वंद्वी को स्वतंत्र रूप से घूमने दें, D) स्वयं को गोल लाइन के पास रखें")</f>
        <v>A) प्रतिद्वंद्वी के करीब रहें और उनकी गतिविधियों पर नज़र रखें, B) आक्रमण करने पर ध्यान केंद्रित करें, C) प्रतिद्वंद्वी को स्वतंत्र रूप से घूमने दें, D) स्वयं को गोल लाइन के पास रखें</v>
      </c>
      <c r="I306" s="5" t="str">
        <f>IFERROR(__xludf.DUMMYFUNCTION("GOOGLETRANSLATE(D306, ""en"", ""hi"")"),"A) प्रतिद्वंद्वी के करीब रहें और उनकी गतिविधियों पर नज़र रखें")</f>
        <v>A) प्रतिद्वंद्वी के करीब रहें और उनकी गतिविधियों पर नज़र रखें</v>
      </c>
    </row>
    <row r="307" ht="22.5" customHeight="1">
      <c r="A307" s="2">
        <v>306.0</v>
      </c>
      <c r="B307" s="3" t="s">
        <v>6041</v>
      </c>
      <c r="C307" s="3" t="s">
        <v>6042</v>
      </c>
      <c r="D307" s="3" t="s">
        <v>6043</v>
      </c>
      <c r="F307" s="5" t="str">
        <f>IFERROR(__xludf.DUMMYFUNCTION("GOOGLETRANSLATE(A307, ""en"", ""hi"")"),"306")</f>
        <v>306</v>
      </c>
      <c r="G307" s="5" t="str">
        <f>IFERROR(__xludf.DUMMYFUNCTION("GOOGLETRANSLATE(B307, ""en"", ""hi"")"),"ढोल खेल में खेल को पढ़ने और खेल का पूर्वानुमान लगाने की खिलाड़ी की क्षमता में सुधार करने के लिए सामान्य अभ्यास क्या है?")</f>
        <v>ढोल खेल में खेल को पढ़ने और खेल का पूर्वानुमान लगाने की खिलाड़ी की क्षमता में सुधार करने के लिए सामान्य अभ्यास क्या है?</v>
      </c>
      <c r="H307" s="5" t="str">
        <f>IFERROR(__xludf.DUMMYFUNCTION("GOOGLETRANSLATE(C307, ""en"", ""hi"")"),"A) त्वरित निर्णय लेने पर ध्यान केंद्रित करते हुए छोटे-छोटे खेल खेलना, B) गोल किक का अभ्यास करना, C) लंबी दूरी की दौड़ लगाना, D) व्यक्तिगत ड्रिब्लिंग तकनीकों पर काम करना")</f>
        <v>A) त्वरित निर्णय लेने पर ध्यान केंद्रित करते हुए छोटे-छोटे खेल खेलना, B) गोल किक का अभ्यास करना, C) लंबी दूरी की दौड़ लगाना, D) व्यक्तिगत ड्रिब्लिंग तकनीकों पर काम करना</v>
      </c>
      <c r="I307" s="5" t="str">
        <f>IFERROR(__xludf.DUMMYFUNCTION("GOOGLETRANSLATE(D307, ""en"", ""hi"")"),"A) त्वरित निर्णय लेने पर ध्यान केंद्रित करते हुए छोटे-छोटे खेल खेलना")</f>
        <v>A) त्वरित निर्णय लेने पर ध्यान केंद्रित करते हुए छोटे-छोटे खेल खेलना</v>
      </c>
    </row>
    <row r="308" ht="22.5" customHeight="1">
      <c r="A308" s="2">
        <v>307.0</v>
      </c>
      <c r="B308" s="3" t="s">
        <v>6044</v>
      </c>
      <c r="C308" s="3" t="s">
        <v>6045</v>
      </c>
      <c r="D308" s="3" t="s">
        <v>6046</v>
      </c>
      <c r="F308" s="5" t="str">
        <f>IFERROR(__xludf.DUMMYFUNCTION("GOOGLETRANSLATE(A308, ""en"", ""hi"")"),"307")</f>
        <v>307</v>
      </c>
      <c r="G308" s="5" t="str">
        <f>IFERROR(__xludf.DUMMYFUNCTION("GOOGLETRANSLATE(B308, ""en"", ""hi"")"),"ढोल खेल में, गेंद को सीमा रेखा के बाहर खेलने पर आम प्रतिक्रिया क्या होती है?")</f>
        <v>ढोल खेल में, गेंद को सीमा रेखा के बाहर खेलने पर आम प्रतिक्रिया क्या होती है?</v>
      </c>
      <c r="H308" s="5" t="str">
        <f>IFERROR(__xludf.DUMMYFUNCTION("GOOGLETRANSLATE(C308, ""en"", ""hi"")"),"A) विरोधी टीम को थ्रो-इन दिया जाता है, B) फ्री किक दी जाती है, C) गोल किक दी जाती है, D) कॉर्नर किक ली जाती है")</f>
        <v>A) विरोधी टीम को थ्रो-इन दिया जाता है, B) फ्री किक दी जाती है, C) गोल किक दी जाती है, D) कॉर्नर किक ली जाती है</v>
      </c>
      <c r="I308" s="5" t="str">
        <f>IFERROR(__xludf.DUMMYFUNCTION("GOOGLETRANSLATE(D308, ""en"", ""hi"")"),"A) विरोधी टीम को थ्रो-इन दिया जाता है")</f>
        <v>A) विरोधी टीम को थ्रो-इन दिया जाता है</v>
      </c>
    </row>
    <row r="309" ht="22.5" customHeight="1">
      <c r="A309" s="2">
        <v>308.0</v>
      </c>
      <c r="B309" s="3" t="s">
        <v>6047</v>
      </c>
      <c r="C309" s="3" t="s">
        <v>6048</v>
      </c>
      <c r="D309" s="3" t="s">
        <v>6049</v>
      </c>
      <c r="F309" s="5" t="str">
        <f>IFERROR(__xludf.DUMMYFUNCTION("GOOGLETRANSLATE(A309, ""en"", ""hi"")"),"308")</f>
        <v>308</v>
      </c>
      <c r="G309" s="5" t="str">
        <f>IFERROR(__xludf.DUMMYFUNCTION("GOOGLETRANSLATE(B309, ""en"", ""hi"")"),"ढोल खेल में मैच के दौरान टीम के साथियों के बीच प्रभावी संचार का मुख्य पहलू क्या है?")</f>
        <v>ढोल खेल में मैच के दौरान टीम के साथियों के बीच प्रभावी संचार का मुख्य पहलू क्या है?</v>
      </c>
      <c r="H309" s="5" t="str">
        <f>IFERROR(__xludf.DUMMYFUNCTION("GOOGLETRANSLATE(C309, ""en"", ""hi"")"),"ए) स्पष्ट रूप से गेंद मांगना और निर्देश देना, बी) टीम के साथियों की स्थिति को अनदेखा करना, सी) केवल व्यक्तिगत खेल पर ध्यान केंद्रित करना, डी) मौखिक बातचीत से बचना")</f>
        <v>ए) स्पष्ट रूप से गेंद मांगना और निर्देश देना, बी) टीम के साथियों की स्थिति को अनदेखा करना, सी) केवल व्यक्तिगत खेल पर ध्यान केंद्रित करना, डी) मौखिक बातचीत से बचना</v>
      </c>
      <c r="I309" s="5" t="str">
        <f>IFERROR(__xludf.DUMMYFUNCTION("GOOGLETRANSLATE(D309, ""en"", ""hi"")"),"A) स्पष्ट रूप से गेंद के लिए पुकारना और निर्देश प्रदान करना")</f>
        <v>A) स्पष्ट रूप से गेंद के लिए पुकारना और निर्देश प्रदान करना</v>
      </c>
    </row>
    <row r="310" ht="22.5" customHeight="1">
      <c r="A310" s="2">
        <v>309.0</v>
      </c>
      <c r="B310" s="3" t="s">
        <v>6050</v>
      </c>
      <c r="C310" s="3" t="s">
        <v>6051</v>
      </c>
      <c r="D310" s="3" t="s">
        <v>6052</v>
      </c>
      <c r="F310" s="5" t="str">
        <f>IFERROR(__xludf.DUMMYFUNCTION("GOOGLETRANSLATE(A310, ""en"", ""hi"")"),"309")</f>
        <v>309</v>
      </c>
      <c r="G310" s="5" t="str">
        <f>IFERROR(__xludf.DUMMYFUNCTION("GOOGLETRANSLATE(B310, ""en"", ""hi"")"),"ढोल खेल में, खेल के अंत में बढ़त बनाए रखने वाली टीम के लिए सबसे अच्छी रणनीति क्या है?")</f>
        <v>ढोल खेल में, खेल के अंत में बढ़त बनाए रखने वाली टीम के लिए सबसे अच्छी रणनीति क्या है?</v>
      </c>
      <c r="H310" s="5" t="str">
        <f>IFERROR(__xludf.DUMMYFUNCTION("GOOGLETRANSLATE(C310, ""en"", ""hi"")"),"A) रक्षात्मक रूप से संगठित होना और खेल की गति को नियंत्रित करना, B) सभी खिलाड़ियों को आगे बढ़ाना, C) केवल व्यक्तिगत कौशल पर ध्यान केंद्रित करना, D) प्रतिद्वंद्वी को खेल को नियंत्रित करने देना")</f>
        <v>A) रक्षात्मक रूप से संगठित होना और खेल की गति को नियंत्रित करना, B) सभी खिलाड़ियों को आगे बढ़ाना, C) केवल व्यक्तिगत कौशल पर ध्यान केंद्रित करना, D) प्रतिद्वंद्वी को खेल को नियंत्रित करने देना</v>
      </c>
      <c r="I310" s="5" t="str">
        <f>IFERROR(__xludf.DUMMYFUNCTION("GOOGLETRANSLATE(D310, ""en"", ""hi"")"),"A) रक्षात्मक रूप से व्यवस्थित करें और खेल की गति को नियंत्रित करें")</f>
        <v>A) रक्षात्मक रूप से व्यवस्थित करें और खेल की गति को नियंत्रित करें</v>
      </c>
    </row>
    <row r="311" ht="22.5" customHeight="1">
      <c r="A311" s="2">
        <v>310.0</v>
      </c>
      <c r="B311" s="3" t="s">
        <v>6053</v>
      </c>
      <c r="C311" s="3" t="s">
        <v>6054</v>
      </c>
      <c r="D311" s="3" t="s">
        <v>6055</v>
      </c>
      <c r="F311" s="5" t="str">
        <f>IFERROR(__xludf.DUMMYFUNCTION("GOOGLETRANSLATE(A311, ""en"", ""hi"")"),"310")</f>
        <v>310</v>
      </c>
      <c r="G311" s="5" t="str">
        <f>IFERROR(__xludf.DUMMYFUNCTION("GOOGLETRANSLATE(B311, ""en"", ""hi"")"),"ढोल खेल में हेडर लगाते समय खिलाड़ी को किस बात पर ध्यान देना चाहिए?")</f>
        <v>ढोल खेल में हेडर लगाते समय खिलाड़ी को किस बात पर ध्यान देना चाहिए?</v>
      </c>
      <c r="H311" s="5" t="str">
        <f>IFERROR(__xludf.DUMMYFUNCTION("GOOGLETRANSLATE(C311, ""en"", ""hi"")"),"ए) खुद को सही स्थिति में रखना और कूदने का समय निर्धारित करना, बी) गेंद को ताकत से किक करना, सी) गेंद को दिशा देने के लिए अपने हाथों का उपयोग करना, डी) गेंद के करीब आने का इंतजार करना")</f>
        <v>ए) खुद को सही स्थिति में रखना और कूदने का समय निर्धारित करना, बी) गेंद को ताकत से किक करना, सी) गेंद को दिशा देने के लिए अपने हाथों का उपयोग करना, डी) गेंद के करीब आने का इंतजार करना</v>
      </c>
      <c r="I311" s="5" t="str">
        <f>IFERROR(__xludf.DUMMYFUNCTION("GOOGLETRANSLATE(D311, ""en"", ""hi"")"),"A) स्वयं को उचित स्थिति में रखना और कूदने का समय निर्धारित करना")</f>
        <v>A) स्वयं को उचित स्थिति में रखना और कूदने का समय निर्धारित करना</v>
      </c>
    </row>
    <row r="312" ht="22.5" customHeight="1">
      <c r="A312" s="2">
        <v>311.0</v>
      </c>
      <c r="B312" s="3" t="s">
        <v>6056</v>
      </c>
      <c r="C312" s="3" t="s">
        <v>6057</v>
      </c>
      <c r="D312" s="3" t="s">
        <v>6058</v>
      </c>
      <c r="F312" s="5" t="str">
        <f>IFERROR(__xludf.DUMMYFUNCTION("GOOGLETRANSLATE(A312, ""en"", ""hi"")"),"311")</f>
        <v>311</v>
      </c>
      <c r="G312" s="5" t="str">
        <f>IFERROR(__xludf.DUMMYFUNCTION("GOOGLETRANSLATE(B312, ""en"", ""hi"")"),"ढोल खेल में हमलावर का सामना करते समय रक्षक के लिए महत्वपूर्ण कौशल क्या है?")</f>
        <v>ढोल खेल में हमलावर का सामना करते समय रक्षक के लिए महत्वपूर्ण कौशल क्या है?</v>
      </c>
      <c r="H312" s="5" t="str">
        <f>IFERROR(__xludf.DUMMYFUNCTION("GOOGLETRANSLATE(C312, ""en"", ""hi"")"),"A) उचित स्थिति बनाए रखना और टैकल का प्रभावी ढंग से उपयोग करना, B) गोल करने पर ध्यान केंद्रित करना, C) गोलकीपर को गेंद पास करना, D) हमलावर को ड्रिबल करना")</f>
        <v>A) उचित स्थिति बनाए रखना और टैकल का प्रभावी ढंग से उपयोग करना, B) गोल करने पर ध्यान केंद्रित करना, C) गोलकीपर को गेंद पास करना, D) हमलावर को ड्रिबल करना</v>
      </c>
      <c r="I312" s="5" t="str">
        <f>IFERROR(__xludf.DUMMYFUNCTION("GOOGLETRANSLATE(D312, ""en"", ""hi"")"),"A) उचित स्थिति बनाए रखना और टैकल का प्रभावी ढंग से उपयोग करना")</f>
        <v>A) उचित स्थिति बनाए रखना और टैकल का प्रभावी ढंग से उपयोग करना</v>
      </c>
    </row>
    <row r="313" ht="22.5" customHeight="1">
      <c r="A313" s="2">
        <v>312.0</v>
      </c>
      <c r="B313" s="3" t="s">
        <v>6059</v>
      </c>
      <c r="C313" s="3" t="s">
        <v>6060</v>
      </c>
      <c r="D313" s="3" t="s">
        <v>6061</v>
      </c>
      <c r="F313" s="5" t="str">
        <f>IFERROR(__xludf.DUMMYFUNCTION("GOOGLETRANSLATE(A313, ""en"", ""hi"")"),"312")</f>
        <v>312</v>
      </c>
      <c r="G313" s="5" t="str">
        <f>IFERROR(__xludf.DUMMYFUNCTION("GOOGLETRANSLATE(B313, ""en"", ""hi"")"),"ढोल खेल में, एक टीम को आम तौर पर उस स्थिति से कैसे निपटना चाहिए जहां गेंद प्रतिद्वंद्वी के पेनल्टी क्षेत्र में फंस गई हो?")</f>
        <v>ढोल खेल में, एक टीम को आम तौर पर उस स्थिति से कैसे निपटना चाहिए जहां गेंद प्रतिद्वंद्वी के पेनल्टी क्षेत्र में फंस गई हो?</v>
      </c>
      <c r="H313" s="5" t="str">
        <f>IFERROR(__xludf.DUMMYFUNCTION("GOOGLETRANSLATE(C313, ""en"", ""hi"")"),"A) दबाव डालकर और गेंद को क्लियर करने या स्कोर करने का प्रयास करके, B) अपने हाफ में वापस जाकर, C) खेल रोककर, D) गेंद को गोलकीपर को पास करके")</f>
        <v>A) दबाव डालकर और गेंद को क्लियर करने या स्कोर करने का प्रयास करके, B) अपने हाफ में वापस जाकर, C) खेल रोककर, D) गेंद को गोलकीपर को पास करके</v>
      </c>
      <c r="I313" s="5" t="str">
        <f>IFERROR(__xludf.DUMMYFUNCTION("GOOGLETRANSLATE(D313, ""en"", ""hi"")"),"A) दबाव डालकर और क्लियर करने या स्कोर करने का प्रयास करके")</f>
        <v>A) दबाव डालकर और क्लियर करने या स्कोर करने का प्रयास करके</v>
      </c>
    </row>
    <row r="314" ht="22.5" customHeight="1">
      <c r="A314" s="2">
        <v>313.0</v>
      </c>
      <c r="B314" s="3" t="s">
        <v>6062</v>
      </c>
      <c r="C314" s="3" t="s">
        <v>6063</v>
      </c>
      <c r="D314" s="3" t="s">
        <v>6064</v>
      </c>
      <c r="F314" s="5" t="str">
        <f>IFERROR(__xludf.DUMMYFUNCTION("GOOGLETRANSLATE(A314, ""en"", ""hi"")"),"313")</f>
        <v>313</v>
      </c>
      <c r="G314" s="5" t="str">
        <f>IFERROR(__xludf.DUMMYFUNCTION("GOOGLETRANSLATE(B314, ""en"", ""hi"")"),"ढोल खेल में गोलकीपर की सजगता बढ़ाने के लिए सामान्य अभ्यास क्या है?")</f>
        <v>ढोल खेल में गोलकीपर की सजगता बढ़ाने के लिए सामान्य अभ्यास क्या है?</v>
      </c>
      <c r="H314" s="5" t="str">
        <f>IFERROR(__xludf.DUMMYFUNCTION("GOOGLETRANSLATE(C314, ""en"", ""hi"")"),"ए) त्वरित प्रतिक्रिया अभ्यास के साथ शॉट-स्टॉपिंग का अभ्यास करना, बी) लंबी दूरी की दौड़ लगाना, सी) ड्रिब्लिंग कौशल पर काम करना, डी) इनफील्ड पोजीशन पर खेलना")</f>
        <v>ए) त्वरित प्रतिक्रिया अभ्यास के साथ शॉट-स्टॉपिंग का अभ्यास करना, बी) लंबी दूरी की दौड़ लगाना, सी) ड्रिब्लिंग कौशल पर काम करना, डी) इनफील्ड पोजीशन पर खेलना</v>
      </c>
      <c r="I314" s="5" t="str">
        <f>IFERROR(__xludf.DUMMYFUNCTION("GOOGLETRANSLATE(D314, ""en"", ""hi"")"),"A) त्वरित प्रतिक्रिया अभ्यास के साथ शॉट-स्टॉपिंग का अभ्यास करना")</f>
        <v>A) त्वरित प्रतिक्रिया अभ्यास के साथ शॉट-स्टॉपिंग का अभ्यास करना</v>
      </c>
    </row>
    <row r="315" ht="22.5" customHeight="1">
      <c r="A315" s="2">
        <v>314.0</v>
      </c>
      <c r="B315" s="3" t="s">
        <v>6065</v>
      </c>
      <c r="C315" s="3" t="s">
        <v>6066</v>
      </c>
      <c r="D315" s="3" t="s">
        <v>6067</v>
      </c>
      <c r="F315" s="5" t="str">
        <f>IFERROR(__xludf.DUMMYFUNCTION("GOOGLETRANSLATE(A315, ""en"", ""hi"")"),"314")</f>
        <v>314</v>
      </c>
      <c r="G315" s="5" t="str">
        <f>IFERROR(__xludf.DUMMYFUNCTION("GOOGLETRANSLATE(B315, ""en"", ""hi"")"),"ढोल खेल में पास प्राप्त करते समय फॉरवर्ड के लिए मुख्य विचार क्या है?")</f>
        <v>ढोल खेल में पास प्राप्त करते समय फॉरवर्ड के लिए मुख्य विचार क्या है?</v>
      </c>
      <c r="H315" s="5" t="str">
        <f>IFERROR(__xludf.DUMMYFUNCTION("GOOGLETRANSLATE(C315, ""en"", ""hi"")"),"ए) गेंद को नियंत्रित करने और शॉट के लिए तैयार होने के लिए खुद को स्थिति में रखना, बी) गेंद को तुरंत डिफेंडर को पास करना, सी) रक्षात्मक खेल पर ध्यान केंद्रित करना, डी) गेंद के उनके पास आने की प्रतीक्षा करना")</f>
        <v>ए) गेंद को नियंत्रित करने और शॉट के लिए तैयार होने के लिए खुद को स्थिति में रखना, बी) गेंद को तुरंत डिफेंडर को पास करना, सी) रक्षात्मक खेल पर ध्यान केंद्रित करना, डी) गेंद के उनके पास आने की प्रतीक्षा करना</v>
      </c>
      <c r="I315" s="5" t="str">
        <f>IFERROR(__xludf.DUMMYFUNCTION("GOOGLETRANSLATE(D315, ""en"", ""hi"")"),"ए) गेंद को नियंत्रित करने और शॉट के लिए तैयार होने के लिए खुद को स्थिति में रखना")</f>
        <v>ए) गेंद को नियंत्रित करने और शॉट के लिए तैयार होने के लिए खुद को स्थिति में रखना</v>
      </c>
    </row>
    <row r="316" ht="22.5" customHeight="1">
      <c r="A316" s="2">
        <v>315.0</v>
      </c>
      <c r="B316" s="3" t="s">
        <v>6068</v>
      </c>
      <c r="C316" s="3" t="s">
        <v>6069</v>
      </c>
      <c r="D316" s="3" t="s">
        <v>6070</v>
      </c>
      <c r="F316" s="5" t="str">
        <f>IFERROR(__xludf.DUMMYFUNCTION("GOOGLETRANSLATE(A316, ""en"", ""hi"")"),"315")</f>
        <v>315</v>
      </c>
      <c r="G316" s="5" t="str">
        <f>IFERROR(__xludf.DUMMYFUNCTION("GOOGLETRANSLATE(B316, ""en"", ""hi"")"),"ढोल खेल में मैच के दौरान सामरिक प्रतिस्थापन का उद्देश्य क्या है?")</f>
        <v>ढोल खेल में मैच के दौरान सामरिक प्रतिस्थापन का उद्देश्य क्या है?</v>
      </c>
      <c r="H316" s="5" t="str">
        <f>IFERROR(__xludf.DUMMYFUNCTION("GOOGLETRANSLATE(C316, ""en"", ""hi"")"),"A) खेल की गतिशीलता को बदलने और विशिष्ट आवश्यकताओं को संबोधित करने के लिए, B) खिलाड़ियों को आराम करने की अनुमति देने के लिए, C) नए निर्माण का अभ्यास करने के लिए, D) खेल में देरी करने के लिए")</f>
        <v>A) खेल की गतिशीलता को बदलने और विशिष्ट आवश्यकताओं को संबोधित करने के लिए, B) खिलाड़ियों को आराम करने की अनुमति देने के लिए, C) नए निर्माण का अभ्यास करने के लिए, D) खेल में देरी करने के लिए</v>
      </c>
      <c r="I316" s="5" t="str">
        <f>IFERROR(__xludf.DUMMYFUNCTION("GOOGLETRANSLATE(D316, ""en"", ""hi"")"),"A) खेल की गतिशीलता को बदलने और विशिष्ट आवश्यकताओं को पूरा करने के लिए")</f>
        <v>A) खेल की गतिशीलता को बदलने और विशिष्ट आवश्यकताओं को पूरा करने के लिए</v>
      </c>
    </row>
    <row r="317" ht="22.5" customHeight="1">
      <c r="A317" s="2">
        <v>316.0</v>
      </c>
      <c r="B317" s="3" t="s">
        <v>6071</v>
      </c>
      <c r="C317" s="3" t="s">
        <v>6072</v>
      </c>
      <c r="D317" s="3" t="s">
        <v>5412</v>
      </c>
      <c r="F317" s="5" t="str">
        <f>IFERROR(__xludf.DUMMYFUNCTION("GOOGLETRANSLATE(A317, ""en"", ""hi"")"),"316")</f>
        <v>316</v>
      </c>
      <c r="G317" s="5" t="str">
        <f>IFERROR(__xludf.DUMMYFUNCTION("GOOGLETRANSLATE(B317, ""en"", ""hi"")"),"ढोल खेल में गोल के बाद खेल को आम तौर पर कैसे पुनः शुरू किया जाता है?")</f>
        <v>ढोल खेल में गोल के बाद खेल को आम तौर पर कैसे पुनः शुरू किया जाता है?</v>
      </c>
      <c r="H317" s="5" t="str">
        <f>IFERROR(__xludf.DUMMYFUNCTION("GOOGLETRANSLATE(C317, ""en"", ""hi"")"),"A) मैदान के केंद्र से किक-ऑफ के साथ, B) साइडलाइन से थ्रो-इन के साथ, C) कॉर्नर किक के साथ, D) गोल किक के साथ")</f>
        <v>A) मैदान के केंद्र से किक-ऑफ के साथ, B) साइडलाइन से थ्रो-इन के साथ, C) कॉर्नर किक के साथ, D) गोल किक के साथ</v>
      </c>
      <c r="I317" s="5" t="str">
        <f>IFERROR(__xludf.DUMMYFUNCTION("GOOGLETRANSLATE(D317, ""en"", ""hi"")"),"A) मैदान के केंद्र से किक-ऑफ के साथ")</f>
        <v>A) मैदान के केंद्र से किक-ऑफ के साथ</v>
      </c>
    </row>
    <row r="318" ht="22.5" customHeight="1">
      <c r="A318" s="2">
        <v>317.0</v>
      </c>
      <c r="B318" s="3" t="s">
        <v>6073</v>
      </c>
      <c r="C318" s="3" t="s">
        <v>6074</v>
      </c>
      <c r="D318" s="3" t="s">
        <v>5901</v>
      </c>
      <c r="F318" s="5" t="str">
        <f>IFERROR(__xludf.DUMMYFUNCTION("GOOGLETRANSLATE(A318, ""en"", ""hi"")"),"317")</f>
        <v>317</v>
      </c>
      <c r="G318" s="5" t="str">
        <f>IFERROR(__xludf.DUMMYFUNCTION("GOOGLETRANSLATE(B318, ""en"", ""hi"")"),"ढोल खेल में सेंट्रल मिडफील्डर की क्या भूमिका होती है?")</f>
        <v>ढोल खेल में सेंट्रल मिडफील्डर की क्या भूमिका होती है?</v>
      </c>
      <c r="H318" s="5" t="str">
        <f>IFERROR(__xludf.DUMMYFUNCTION("GOOGLETRANSLATE(C318, ""en"", ""hi"")"),"A) खेल की गति को नियंत्रित करना और रक्षा को आक्रमण से जोड़ना, B) केवल रक्षात्मक कार्यों पर ध्यान केंद्रित करना, C) विशेष रूप से विंग पर खेलना, D) गोलकीपर के रूप में कार्य करना")</f>
        <v>A) खेल की गति को नियंत्रित करना और रक्षा को आक्रमण से जोड़ना, B) केवल रक्षात्मक कार्यों पर ध्यान केंद्रित करना, C) विशेष रूप से विंग पर खेलना, D) गोलकीपर के रूप में कार्य करना</v>
      </c>
      <c r="I318" s="5" t="str">
        <f>IFERROR(__xludf.DUMMYFUNCTION("GOOGLETRANSLATE(D318, ""en"", ""hi"")"),"A) खेल की गति को नियंत्रित करना और बचाव को आक्रमण से जोड़ना")</f>
        <v>A) खेल की गति को नियंत्रित करना और बचाव को आक्रमण से जोड़ना</v>
      </c>
    </row>
    <row r="319" ht="22.5" customHeight="1">
      <c r="A319" s="2">
        <v>318.0</v>
      </c>
      <c r="B319" s="3" t="s">
        <v>6075</v>
      </c>
      <c r="C319" s="3" t="s">
        <v>6076</v>
      </c>
      <c r="D319" s="3" t="s">
        <v>6077</v>
      </c>
      <c r="F319" s="5" t="str">
        <f>IFERROR(__xludf.DUMMYFUNCTION("GOOGLETRANSLATE(A319, ""en"", ""hi"")"),"318")</f>
        <v>318</v>
      </c>
      <c r="G319" s="5" t="str">
        <f>IFERROR(__xludf.DUMMYFUNCTION("GOOGLETRANSLATE(B319, ""en"", ""hi"")"),"ढोल खेल में कई गोल से हारने वाली टीम के लिए प्रभावी रणनीति क्या है?")</f>
        <v>ढोल खेल में कई गोल से हारने वाली टीम के लिए प्रभावी रणनीति क्या है?</v>
      </c>
      <c r="H319" s="5" t="str">
        <f>IFERROR(__xludf.DUMMYFUNCTION("GOOGLETRANSLATE(C319, ""en"", ""hi"")"),"A) आक्रामक दबाव बढ़ाना और सामरिक परिवर्तन करना, B) अधिक रक्षात्मक खेलना, C) सभी खिलाड़ियों को प्रतिस्थापित करना, D) व्यक्तिगत कौशल पर ध्यान केंद्रित करना")</f>
        <v>A) आक्रामक दबाव बढ़ाना और सामरिक परिवर्तन करना, B) अधिक रक्षात्मक खेलना, C) सभी खिलाड़ियों को प्रतिस्थापित करना, D) व्यक्तिगत कौशल पर ध्यान केंद्रित करना</v>
      </c>
      <c r="I319" s="5" t="str">
        <f>IFERROR(__xludf.DUMMYFUNCTION("GOOGLETRANSLATE(D319, ""en"", ""hi"")"),"A) आक्रामक दबाव बढ़ाना और सामरिक परिवर्तन करना")</f>
        <v>A) आक्रामक दबाव बढ़ाना और सामरिक परिवर्तन करना</v>
      </c>
    </row>
    <row r="320" ht="22.5" customHeight="1">
      <c r="A320" s="2">
        <v>319.0</v>
      </c>
      <c r="B320" s="3" t="s">
        <v>6078</v>
      </c>
      <c r="C320" s="3" t="s">
        <v>6079</v>
      </c>
      <c r="D320" s="3" t="s">
        <v>6080</v>
      </c>
      <c r="F320" s="5" t="str">
        <f>IFERROR(__xludf.DUMMYFUNCTION("GOOGLETRANSLATE(A320, ""en"", ""hi"")"),"319")</f>
        <v>319</v>
      </c>
      <c r="G320" s="5" t="str">
        <f>IFERROR(__xludf.DUMMYFUNCTION("GOOGLETRANSLATE(B320, ""en"", ""hi"")"),"ढोल खेल में सफल आमने-सामने के बचाव में मुख्य कारक क्या है?")</f>
        <v>ढोल खेल में सफल आमने-सामने के बचाव में मुख्य कारक क्या है?</v>
      </c>
      <c r="H320" s="5" t="str">
        <f>IFERROR(__xludf.DUMMYFUNCTION("GOOGLETRANSLATE(C320, ""en"", ""hi"")"),"A) अच्छी स्थिति बनाए रखना और समय पर टैकल करना, B) आक्रमण पर ध्यान केंद्रित करना, C) शारीरिक संपर्क से बचना, D) गेंद के अपने पास आने का इंतजार करना")</f>
        <v>A) अच्छी स्थिति बनाए रखना और समय पर टैकल करना, B) आक्रमण पर ध्यान केंद्रित करना, C) शारीरिक संपर्क से बचना, D) गेंद के अपने पास आने का इंतजार करना</v>
      </c>
      <c r="I320" s="5" t="str">
        <f>IFERROR(__xludf.DUMMYFUNCTION("GOOGLETRANSLATE(D320, ""en"", ""hi"")"),"A) अच्छी स्थिति बनाए रखना और समय पर टैकल करना")</f>
        <v>A) अच्छी स्थिति बनाए रखना और समय पर टैकल करना</v>
      </c>
    </row>
    <row r="321" ht="22.5" customHeight="1">
      <c r="A321" s="2">
        <v>320.0</v>
      </c>
      <c r="B321" s="3" t="s">
        <v>6081</v>
      </c>
      <c r="C321" s="3" t="s">
        <v>6082</v>
      </c>
      <c r="D321" s="3" t="s">
        <v>6083</v>
      </c>
      <c r="F321" s="5" t="str">
        <f>IFERROR(__xludf.DUMMYFUNCTION("GOOGLETRANSLATE(A321, ""en"", ""hi"")"),"320")</f>
        <v>320</v>
      </c>
      <c r="G321" s="5" t="str">
        <f>IFERROR(__xludf.DUMMYFUNCTION("GOOGLETRANSLATE(B321, ""en"", ""hi"")"),"ढोल खेल में जब किसी खिलाड़ी की टीम को खतरनाक क्षेत्र में फ्री किक दी जाती है तो उसे क्या करना चाहिए?")</f>
        <v>ढोल खेल में जब किसी खिलाड़ी की टीम को खतरनाक क्षेत्र में फ्री किक दी जाती है तो उसे क्या करना चाहिए?</v>
      </c>
      <c r="H321" s="5" t="str">
        <f>IFERROR(__xludf.DUMMYFUNCTION("GOOGLETRANSLATE(C321, ""en"", ""hi"")"),"A) गोल पर निशाना लगाना या स्कोरिंग का अवसर बनाना, B) गेंद को गोलकीपर को पास करना, C) किक में देरी करना, D) बचाव पर ध्यान केंद्रित करना")</f>
        <v>A) गोल पर निशाना लगाना या स्कोरिंग का अवसर बनाना, B) गेंद को गोलकीपर को पास करना, C) किक में देरी करना, D) बचाव पर ध्यान केंद्रित करना</v>
      </c>
      <c r="I321" s="5" t="str">
        <f>IFERROR(__xludf.DUMMYFUNCTION("GOOGLETRANSLATE(D321, ""en"", ""hi"")"),"A) गोल करने का लक्ष्य रखें या स्कोरिंग का अवसर बनाएँ")</f>
        <v>A) गोल करने का लक्ष्य रखें या स्कोरिंग का अवसर बनाएँ</v>
      </c>
    </row>
    <row r="322" ht="22.5" customHeight="1">
      <c r="A322" s="2">
        <v>321.0</v>
      </c>
      <c r="B322" s="3" t="s">
        <v>6084</v>
      </c>
      <c r="C322" s="3" t="s">
        <v>6085</v>
      </c>
      <c r="D322" s="3" t="s">
        <v>6086</v>
      </c>
      <c r="F322" s="5" t="str">
        <f>IFERROR(__xludf.DUMMYFUNCTION("GOOGLETRANSLATE(A322, ""en"", ""hi"")"),"321")</f>
        <v>321</v>
      </c>
      <c r="G322" s="5" t="str">
        <f>IFERROR(__xludf.DUMMYFUNCTION("GOOGLETRANSLATE(B322, ""en"", ""hi"")"),"ढोल खेल में ड्रिब्लिंग कौशल का अभ्यास करने का प्राथमिक उद्देश्य क्या है?")</f>
        <v>ढोल खेल में ड्रिब्लिंग कौशल का अभ्यास करने का प्राथमिक उद्देश्य क्या है?</v>
      </c>
      <c r="H322" s="5" t="str">
        <f>IFERROR(__xludf.DUMMYFUNCTION("GOOGLETRANSLATE(C322, ""en"", ""hi"")"),"A) गेंद पर नियंत्रण और विरोधियों से आगे निकलने में सुधार करना, B) गोलकीपिंग तकनीकों का अभ्यास करना, C) शारीरिक सहनशक्ति बढ़ाना, D) रक्षात्मक रणनीतियाँ सीखना")</f>
        <v>A) गेंद पर नियंत्रण और विरोधियों से आगे निकलने में सुधार करना, B) गोलकीपिंग तकनीकों का अभ्यास करना, C) शारीरिक सहनशक्ति बढ़ाना, D) रक्षात्मक रणनीतियाँ सीखना</v>
      </c>
      <c r="I322" s="5" t="str">
        <f>IFERROR(__xludf.DUMMYFUNCTION("GOOGLETRANSLATE(D322, ""en"", ""hi"")"),"A) गेंद पर नियंत्रण और विरोधियों से आगे निकलने में सुधार करना")</f>
        <v>A) गेंद पर नियंत्रण और विरोधियों से आगे निकलने में सुधार करना</v>
      </c>
    </row>
    <row r="323" ht="22.5" customHeight="1">
      <c r="A323" s="2">
        <v>322.0</v>
      </c>
      <c r="B323" s="3" t="s">
        <v>6087</v>
      </c>
      <c r="C323" s="3" t="s">
        <v>6088</v>
      </c>
      <c r="D323" s="3" t="s">
        <v>6089</v>
      </c>
      <c r="F323" s="5" t="str">
        <f>IFERROR(__xludf.DUMMYFUNCTION("GOOGLETRANSLATE(A323, ""en"", ""hi"")"),"322")</f>
        <v>322</v>
      </c>
      <c r="G323" s="5" t="str">
        <f>IFERROR(__xludf.DUMMYFUNCTION("GOOGLETRANSLATE(B323, ""en"", ""hi"")"),"ढोल खेल में जवाबी हमले से बचाव का सामान्य तरीका क्या है?")</f>
        <v>ढोल खेल में जवाबी हमले से बचाव का सामान्य तरीका क्या है?</v>
      </c>
      <c r="H323" s="5" t="str">
        <f>IFERROR(__xludf.DUMMYFUNCTION("GOOGLETRANSLATE(C323, ""en"", ""hi"")"),"ए) जल्दी से पुनः समूह बनाना और खिलाड़ियों को पासिंग लेन को ब्लॉक करने के लिए तैनात करना, बी) आक्रमणकारी हाफ में बने रहना, सी) जवाबी हमले को नजरअंदाज करना, डी) केवल आक्रमण पर ध्यान केंद्रित करना")</f>
        <v>ए) जल्दी से पुनः समूह बनाना और खिलाड़ियों को पासिंग लेन को ब्लॉक करने के लिए तैनात करना, बी) आक्रमणकारी हाफ में बने रहना, सी) जवाबी हमले को नजरअंदाज करना, डी) केवल आक्रमण पर ध्यान केंद्रित करना</v>
      </c>
      <c r="I323" s="5" t="str">
        <f>IFERROR(__xludf.DUMMYFUNCTION("GOOGLETRANSLATE(D323, ""en"", ""hi"")"),"A) पासिंग लेन को अवरुद्ध करने के लिए खिलाड़ियों को शीघ्रता से पुनः समूहित करना और उनकी स्थिति निर्धारित करना")</f>
        <v>A) पासिंग लेन को अवरुद्ध करने के लिए खिलाड़ियों को शीघ्रता से पुनः समूहित करना और उनकी स्थिति निर्धारित करना</v>
      </c>
    </row>
    <row r="324" ht="22.5" customHeight="1">
      <c r="A324" s="2">
        <v>323.0</v>
      </c>
      <c r="B324" s="3" t="s">
        <v>6090</v>
      </c>
      <c r="C324" s="3" t="s">
        <v>6091</v>
      </c>
      <c r="D324" s="3" t="s">
        <v>6092</v>
      </c>
      <c r="F324" s="5" t="str">
        <f>IFERROR(__xludf.DUMMYFUNCTION("GOOGLETRANSLATE(A324, ""en"", ""hi"")"),"323")</f>
        <v>323</v>
      </c>
      <c r="G324" s="5" t="str">
        <f>IFERROR(__xludf.DUMMYFUNCTION("GOOGLETRANSLATE(B324, ""en"", ""hi"")"),"ढोल खेल में प्रभावी पासिंग गेम का मुख्य तत्व क्या है?")</f>
        <v>ढोल खेल में प्रभावी पासिंग गेम का मुख्य तत्व क्या है?</v>
      </c>
      <c r="H324" s="5" t="str">
        <f>IFERROR(__xludf.DUMMYFUNCTION("GOOGLETRANSLATE(C324, ""en"", ""hi"")"),"ए) गेंद पर कब्ज़ा बनाए रखने और अवसर बनाने के लिए पास की सटीकता और समय, बी) गेंद को यथासंभव ज़ोर से किक करना, सी) केवल व्यक्तिगत ड्रिब्लिंग पर ध्यान केंद्रित करना, डी) गेंद को सीधे प्रतिद्वंद्वी को पास करना")</f>
        <v>ए) गेंद पर कब्ज़ा बनाए रखने और अवसर बनाने के लिए पास की सटीकता और समय, बी) गेंद को यथासंभव ज़ोर से किक करना, सी) केवल व्यक्तिगत ड्रिब्लिंग पर ध्यान केंद्रित करना, डी) गेंद को सीधे प्रतिद्वंद्वी को पास करना</v>
      </c>
      <c r="I324" s="5" t="str">
        <f>IFERROR(__xludf.DUMMYFUNCTION("GOOGLETRANSLATE(D324, ""en"", ""hi"")"),"ए) गेंद पर कब्ज़ा बनाए रखने और अवसर बनाने के लिए पास की सटीकता और समय")</f>
        <v>ए) गेंद पर कब्ज़ा बनाए रखने और अवसर बनाने के लिए पास की सटीकता और समय</v>
      </c>
    </row>
    <row r="325" ht="22.5" customHeight="1">
      <c r="A325" s="2">
        <v>324.0</v>
      </c>
      <c r="B325" s="3" t="s">
        <v>6093</v>
      </c>
      <c r="C325" s="3" t="s">
        <v>6094</v>
      </c>
      <c r="D325" s="3" t="s">
        <v>6095</v>
      </c>
      <c r="F325" s="5" t="str">
        <f>IFERROR(__xludf.DUMMYFUNCTION("GOOGLETRANSLATE(A325, ""en"", ""hi"")"),"324")</f>
        <v>324</v>
      </c>
      <c r="G325" s="5" t="str">
        <f>IFERROR(__xludf.DUMMYFUNCTION("GOOGLETRANSLATE(B325, ""en"", ""hi"")"),"ढोल खेल में चोट के कारण टाइमआउट से निपटने की मानक प्रक्रिया क्या है?")</f>
        <v>ढोल खेल में चोट के कारण टाइमआउट से निपटने की मानक प्रक्रिया क्या है?</v>
      </c>
      <c r="H325" s="5" t="str">
        <f>IFERROR(__xludf.DUMMYFUNCTION("GOOGLETRANSLATE(C325, ""en"", ""hi"")"),"ए) खेल रोक दिया जाता है, और चिकित्सा कर्मी घायल खिलाड़ी की देखभाल करते हैं, बी) खेल सामान्य रूप से जारी रहता है, सी) एक स्थानापन्न खिलाड़ी को तुरंत मैदान पर लाया जाता है, डी) कोच को असीमित प्रतिस्थापन करने की अनुमति होती है")</f>
        <v>ए) खेल रोक दिया जाता है, और चिकित्सा कर्मी घायल खिलाड़ी की देखभाल करते हैं, बी) खेल सामान्य रूप से जारी रहता है, सी) एक स्थानापन्न खिलाड़ी को तुरंत मैदान पर लाया जाता है, डी) कोच को असीमित प्रतिस्थापन करने की अनुमति होती है</v>
      </c>
      <c r="I325" s="5" t="str">
        <f>IFERROR(__xludf.DUMMYFUNCTION("GOOGLETRANSLATE(D325, ""en"", ""hi"")"),"A) खेल रोक दिया जाता है, और चिकित्सा कर्मी घायल खिलाड़ी की देखभाल करते हैं")</f>
        <v>A) खेल रोक दिया जाता है, और चिकित्सा कर्मी घायल खिलाड़ी की देखभाल करते हैं</v>
      </c>
    </row>
    <row r="326" ht="22.5" customHeight="1">
      <c r="A326" s="2">
        <v>325.0</v>
      </c>
      <c r="B326" s="3" t="s">
        <v>6096</v>
      </c>
      <c r="C326" s="3" t="s">
        <v>6097</v>
      </c>
      <c r="D326" s="3" t="s">
        <v>6098</v>
      </c>
      <c r="F326" s="5" t="str">
        <f>IFERROR(__xludf.DUMMYFUNCTION("GOOGLETRANSLATE(A326, ""en"", ""hi"")"),"325")</f>
        <v>325</v>
      </c>
      <c r="G326" s="5" t="str">
        <f>IFERROR(__xludf.DUMMYFUNCTION("GOOGLETRANSLATE(B326, ""en"", ""hi"")"),"ढोल खेल में टीम कप्तान की प्राथमिक जिम्मेदारी क्या है?")</f>
        <v>ढोल खेल में टीम कप्तान की प्राथमिक जिम्मेदारी क्या है?</v>
      </c>
      <c r="H326" s="5" t="str">
        <f>IFERROR(__xludf.DUMMYFUNCTION("GOOGLETRANSLATE(C326, ""en"", ""hi"")"),"A) टीम का नेतृत्व करना, रणनीतिक निर्णय लेना और रेफरी के साथ संवाद करना, B) केवल रक्षात्मक खेलना, C) सभी कॉर्नर किक लेना, D) टीम के वित्त का प्रबंधन करना")</f>
        <v>A) टीम का नेतृत्व करना, रणनीतिक निर्णय लेना और रेफरी के साथ संवाद करना, B) केवल रक्षात्मक खेलना, C) सभी कॉर्नर किक लेना, D) टीम के वित्त का प्रबंधन करना</v>
      </c>
      <c r="I326" s="5" t="str">
        <f>IFERROR(__xludf.DUMMYFUNCTION("GOOGLETRANSLATE(D326, ""en"", ""hi"")"),"ए) टीम का नेतृत्व करना, सामरिक निर्णय लेना और रेफरी के साथ संवाद करना")</f>
        <v>ए) टीम का नेतृत्व करना, सामरिक निर्णय लेना और रेफरी के साथ संवाद करना</v>
      </c>
    </row>
    <row r="327" ht="22.5" customHeight="1">
      <c r="A327" s="2">
        <v>326.0</v>
      </c>
      <c r="B327" s="3" t="s">
        <v>6099</v>
      </c>
      <c r="C327" s="3" t="s">
        <v>6100</v>
      </c>
      <c r="D327" s="3" t="s">
        <v>6101</v>
      </c>
      <c r="F327" s="5" t="str">
        <f>IFERROR(__xludf.DUMMYFUNCTION("GOOGLETRANSLATE(A327, ""en"", ""hi"")"),"326")</f>
        <v>326</v>
      </c>
      <c r="G327" s="5" t="str">
        <f>IFERROR(__xludf.DUMMYFUNCTION("GOOGLETRANSLATE(B327, ""en"", ""hi"")"),"ढोल खेल में थ्रो-इन के बाद खेल को पुनः कैसे शुरू किया जाता है?")</f>
        <v>ढोल खेल में थ्रो-इन के बाद खेल को पुनः कैसे शुरू किया जाता है?</v>
      </c>
      <c r="H327" s="5" t="str">
        <f>IFERROR(__xludf.DUMMYFUNCTION("GOOGLETRANSLATE(C327, ""en"", ""hi"")"),"A) खिलाड़ी द्वारा साइडलाइन से गेंद को टीम के साथी खिलाड़ी की ओर फेंकना, B) गोल किक द्वारा, C) कॉर्नर किक द्वारा, D) फ्री किक द्वारा")</f>
        <v>A) खिलाड़ी द्वारा साइडलाइन से गेंद को टीम के साथी खिलाड़ी की ओर फेंकना, B) गोल किक द्वारा, C) कॉर्नर किक द्वारा, D) फ्री किक द्वारा</v>
      </c>
      <c r="I327" s="5" t="str">
        <f>IFERROR(__xludf.DUMMYFUNCTION("GOOGLETRANSLATE(D327, ""en"", ""hi"")"),"A) खिलाड़ी द्वारा साइडलाइन से गेंद को टीम के साथी खिलाड़ी की ओर फेंकना")</f>
        <v>A) खिलाड़ी द्वारा साइडलाइन से गेंद को टीम के साथी खिलाड़ी की ओर फेंकना</v>
      </c>
    </row>
    <row r="328" ht="22.5" customHeight="1">
      <c r="A328" s="2">
        <v>327.0</v>
      </c>
      <c r="B328" s="3" t="s">
        <v>6102</v>
      </c>
      <c r="C328" s="3" t="s">
        <v>6103</v>
      </c>
      <c r="D328" s="3" t="s">
        <v>6104</v>
      </c>
      <c r="F328" s="5" t="str">
        <f>IFERROR(__xludf.DUMMYFUNCTION("GOOGLETRANSLATE(A328, ""en"", ""hi"")"),"327")</f>
        <v>327</v>
      </c>
      <c r="G328" s="5" t="str">
        <f>IFERROR(__xludf.DUMMYFUNCTION("GOOGLETRANSLATE(B328, ""en"", ""hi"")"),"ढोल खेल में रक्षात्मक मिडफील्डर की भूमिका क्या है?")</f>
        <v>ढोल खेल में रक्षात्मक मिडफील्डर की भूमिका क्या है?</v>
      </c>
      <c r="H328" s="5" t="str">
        <f>IFERROR(__xludf.DUMMYFUNCTION("GOOGLETRANSLATE(C328, ""en"", ""hi"")"),"A) रक्षा की रक्षा करना और प्रतिद्वंद्वी के हमलों को बाधित करना, B) गोल करना, C) कॉर्नर किक लेना, D) गोलकीपर के रूप में कार्य करना")</f>
        <v>A) रक्षा की रक्षा करना और प्रतिद्वंद्वी के हमलों को बाधित करना, B) गोल करना, C) कॉर्नर किक लेना, D) गोलकीपर के रूप में कार्य करना</v>
      </c>
      <c r="I328" s="5" t="str">
        <f>IFERROR(__xludf.DUMMYFUNCTION("GOOGLETRANSLATE(D328, ""en"", ""hi"")"),"A) रक्षा की रक्षा करना और प्रतिद्वंद्वी के हमलों को बाधित करना")</f>
        <v>A) रक्षा की रक्षा करना और प्रतिद्वंद्वी के हमलों को बाधित करना</v>
      </c>
    </row>
    <row r="329" ht="22.5" customHeight="1">
      <c r="A329" s="2">
        <v>328.0</v>
      </c>
      <c r="B329" s="3" t="s">
        <v>6105</v>
      </c>
      <c r="C329" s="3" t="s">
        <v>6106</v>
      </c>
      <c r="D329" s="3" t="s">
        <v>6107</v>
      </c>
      <c r="F329" s="5" t="str">
        <f>IFERROR(__xludf.DUMMYFUNCTION("GOOGLETRANSLATE(A329, ""en"", ""hi"")"),"328")</f>
        <v>328</v>
      </c>
      <c r="G329" s="5" t="str">
        <f>IFERROR(__xludf.DUMMYFUNCTION("GOOGLETRANSLATE(B329, ""en"", ""hi"")"),"ढोल खेल में पेनल्टी किक को सफलतापूर्वक निष्पादित करने में महत्वपूर्ण कारक क्या है?")</f>
        <v>ढोल खेल में पेनल्टी किक को सफलतापूर्वक निष्पादित करने में महत्वपूर्ण कारक क्या है?</v>
      </c>
      <c r="H329" s="5" t="str">
        <f>IFERROR(__xludf.DUMMYFUNCTION("GOOGLETRANSLATE(C329, ""en"", ""hi"")"),"A) सटीक स्थान पर निशाना लगाना और संयम बनाए रखना, B) गेंद को यथासंभव जोर से किक करना, C) गोलकीपर के पहले आगे बढ़ने का इंतजार करना, D) गेंद को टीम के साथी को पास करना")</f>
        <v>A) सटीक स्थान पर निशाना लगाना और संयम बनाए रखना, B) गेंद को यथासंभव जोर से किक करना, C) गोलकीपर के पहले आगे बढ़ने का इंतजार करना, D) गेंद को टीम के साथी को पास करना</v>
      </c>
      <c r="I329" s="5" t="str">
        <f>IFERROR(__xludf.DUMMYFUNCTION("GOOGLETRANSLATE(D329, ""en"", ""hi"")"),"A) सटीक स्थान पर निशाना लगाना और संयम बनाए रखना")</f>
        <v>A) सटीक स्थान पर निशाना लगाना और संयम बनाए रखना</v>
      </c>
    </row>
    <row r="330" ht="22.5" customHeight="1">
      <c r="A330" s="2">
        <v>329.0</v>
      </c>
      <c r="B330" s="3" t="s">
        <v>6108</v>
      </c>
      <c r="C330" s="3" t="s">
        <v>6109</v>
      </c>
      <c r="D330" s="3" t="s">
        <v>6110</v>
      </c>
      <c r="F330" s="5" t="str">
        <f>IFERROR(__xludf.DUMMYFUNCTION("GOOGLETRANSLATE(A330, ""en"", ""hi"")"),"329")</f>
        <v>329</v>
      </c>
      <c r="G330" s="5" t="str">
        <f>IFERROR(__xludf.DUMMYFUNCTION("GOOGLETRANSLATE(B330, ""en"", ""hi"")"),"ढोल खेल में, किसी टीम के रक्षात्मक संगठन को बेहतर बनाने के लिए प्रभावी तरीका क्या है?")</f>
        <v>ढोल खेल में, किसी टीम के रक्षात्मक संगठन को बेहतर बनाने के लिए प्रभावी तरीका क्या है?</v>
      </c>
      <c r="H330" s="5" t="str">
        <f>IFERROR(__xludf.DUMMYFUNCTION("GOOGLETRANSLATE(C330, ""en"", ""hi"")"),"A) रक्षात्मक अभ्यास करना और अच्छा संचार बनाए रखना, B) केवल आक्रामक रणनीतियों पर ध्यान केंद्रित करना, C) प्रतिद्वंद्वी की गतिविधियों को अनदेखा करना, D) व्यक्तिगत ड्रिब्लिंग कौशल पर काम करना")</f>
        <v>A) रक्षात्मक अभ्यास करना और अच्छा संचार बनाए रखना, B) केवल आक्रामक रणनीतियों पर ध्यान केंद्रित करना, C) प्रतिद्वंद्वी की गतिविधियों को अनदेखा करना, D) व्यक्तिगत ड्रिब्लिंग कौशल पर काम करना</v>
      </c>
      <c r="I330" s="5" t="str">
        <f>IFERROR(__xludf.DUMMYFUNCTION("GOOGLETRANSLATE(D330, ""en"", ""hi"")"),"A) रक्षात्मक अभ्यास करना और अच्छा संचार बनाए रखना")</f>
        <v>A) रक्षात्मक अभ्यास करना और अच्छा संचार बनाए रखना</v>
      </c>
    </row>
    <row r="331" ht="22.5" customHeight="1">
      <c r="A331" s="2">
        <v>330.0</v>
      </c>
      <c r="B331" s="3" t="s">
        <v>6111</v>
      </c>
      <c r="C331" s="3" t="s">
        <v>6112</v>
      </c>
      <c r="D331" s="3" t="s">
        <v>6113</v>
      </c>
      <c r="F331" s="5" t="str">
        <f>IFERROR(__xludf.DUMMYFUNCTION("GOOGLETRANSLATE(A331, ""en"", ""hi"")"),"330")</f>
        <v>330</v>
      </c>
      <c r="G331" s="5" t="str">
        <f>IFERROR(__xludf.DUMMYFUNCTION("GOOGLETRANSLATE(B331, ""en"", ""hi"")"),"ढोल खेल में गोल किक लेते समय खिलाड़ी को किस बात पर ध्यान देना चाहिए?")</f>
        <v>ढोल खेल में गोल किक लेते समय खिलाड़ी को किस बात पर ध्यान देना चाहिए?</v>
      </c>
      <c r="H331" s="5" t="str">
        <f>IFERROR(__xludf.DUMMYFUNCTION("GOOGLETRANSLATE(C331, ""en"", ""hi"")"),"A) गेंद को सटीक रूप से और पर्याप्त दूरी से किक करना ताकि वह टीम के साथी तक पहुँच सके, B) गेंद को यथासंभव ज़ोर से किक करना, C) प्रतिद्वंद्वी के करीब आने का इंतज़ार करना, D) गेंद को गोलकीपर को पास करना")</f>
        <v>A) गेंद को सटीक रूप से और पर्याप्त दूरी से किक करना ताकि वह टीम के साथी तक पहुँच सके, B) गेंद को यथासंभव ज़ोर से किक करना, C) प्रतिद्वंद्वी के करीब आने का इंतज़ार करना, D) गेंद को गोलकीपर को पास करना</v>
      </c>
      <c r="I331" s="5" t="str">
        <f>IFERROR(__xludf.DUMMYFUNCTION("GOOGLETRANSLATE(D331, ""en"", ""hi"")"),"A) गेंद को सटीक रूप से और पर्याप्त दूरी से किक करना ताकि वह टीम के साथी तक पहुंच सके")</f>
        <v>A) गेंद को सटीक रूप से और पर्याप्त दूरी से किक करना ताकि वह टीम के साथी तक पहुंच सके</v>
      </c>
    </row>
    <row r="332" ht="22.5" customHeight="1">
      <c r="A332" s="2">
        <v>331.0</v>
      </c>
      <c r="B332" s="3" t="s">
        <v>6114</v>
      </c>
      <c r="C332" s="3" t="s">
        <v>6115</v>
      </c>
      <c r="D332" s="3" t="s">
        <v>6116</v>
      </c>
      <c r="F332" s="5" t="str">
        <f>IFERROR(__xludf.DUMMYFUNCTION("GOOGLETRANSLATE(A332, ""en"", ""hi"")"),"331")</f>
        <v>331</v>
      </c>
      <c r="G332" s="5" t="str">
        <f>IFERROR(__xludf.DUMMYFUNCTION("GOOGLETRANSLATE(B332, ""en"", ""hi"")"),"ढोल खेल में एक खिलाड़ी को प्रतिद्वंद्वी के साथ आमने-सामने की स्थिति में कैसे सामना करना चाहिए?")</f>
        <v>ढोल खेल में एक खिलाड़ी को प्रतिद्वंद्वी के साथ आमने-सामने की स्थिति में कैसे सामना करना चाहिए?</v>
      </c>
      <c r="H332" s="5" t="str">
        <f>IFERROR(__xludf.DUMMYFUNCTION("GOOGLETRANSLATE(C332, ""en"", ""hi"")"),"A) सफल चुनौती के लिए स्थिति और समय का उपयोग करके, B) पीछे हटकर, C) ड्रिब्लिंग पर ध्यान केंद्रित करके, D) रेफरी के हस्तक्षेप की प्रतीक्षा करके")</f>
        <v>A) सफल चुनौती के लिए स्थिति और समय का उपयोग करके, B) पीछे हटकर, C) ड्रिब्लिंग पर ध्यान केंद्रित करके, D) रेफरी के हस्तक्षेप की प्रतीक्षा करके</v>
      </c>
      <c r="I332" s="5" t="str">
        <f>IFERROR(__xludf.DUMMYFUNCTION("GOOGLETRANSLATE(D332, ""en"", ""hi"")"),"A) सफल चुनौती बनाने के लिए स्थिति और समय का उपयोग करके")</f>
        <v>A) सफल चुनौती बनाने के लिए स्थिति और समय का उपयोग करके</v>
      </c>
    </row>
    <row r="333" ht="22.5" customHeight="1">
      <c r="A333" s="2">
        <v>332.0</v>
      </c>
      <c r="B333" s="3" t="s">
        <v>6117</v>
      </c>
      <c r="C333" s="3" t="s">
        <v>6118</v>
      </c>
      <c r="D333" s="3" t="s">
        <v>6119</v>
      </c>
      <c r="F333" s="5" t="str">
        <f>IFERROR(__xludf.DUMMYFUNCTION("GOOGLETRANSLATE(A333, ""en"", ""hi"")"),"332")</f>
        <v>332</v>
      </c>
      <c r="G333" s="5" t="str">
        <f>IFERROR(__xludf.DUMMYFUNCTION("GOOGLETRANSLATE(B333, ""en"", ""hi"")"),"ढोल खेल में सामरिक संरचना का उद्देश्य क्या है?")</f>
        <v>ढोल खेल में सामरिक संरचना का उद्देश्य क्या है?</v>
      </c>
      <c r="H333" s="5" t="str">
        <f>IFERROR(__xludf.DUMMYFUNCTION("GOOGLETRANSLATE(C333, ""en"", ""hi"")"),"ए) आक्रमण और बचाव दोनों के लिए टीम की स्थिति और रणनीति तैयार करना, बी) टीम की वर्दी का रंग तय करना, सी) टीम के वित्त का प्रबंधन करना, डी) मैच के लिए रेफरी का फैसला करना")</f>
        <v>ए) आक्रमण और बचाव दोनों के लिए टीम की स्थिति और रणनीति तैयार करना, बी) टीम की वर्दी का रंग तय करना, सी) टीम के वित्त का प्रबंधन करना, डी) मैच के लिए रेफरी का फैसला करना</v>
      </c>
      <c r="I333" s="5" t="str">
        <f>IFERROR(__xludf.DUMMYFUNCTION("GOOGLETRANSLATE(D333, ""en"", ""hi"")"),"A) आक्रमण और बचाव दोनों के लिए टीम की स्थिति और रणनीति तैयार करना")</f>
        <v>A) आक्रमण और बचाव दोनों के लिए टीम की स्थिति और रणनीति तैयार करना</v>
      </c>
    </row>
    <row r="334" ht="22.5" customHeight="1">
      <c r="A334" s="2">
        <v>333.0</v>
      </c>
      <c r="B334" s="3" t="s">
        <v>6120</v>
      </c>
      <c r="C334" s="3" t="s">
        <v>6121</v>
      </c>
      <c r="D334" s="3" t="s">
        <v>6122</v>
      </c>
      <c r="F334" s="5" t="str">
        <f>IFERROR(__xludf.DUMMYFUNCTION("GOOGLETRANSLATE(A334, ""en"", ""hi"")"),"333")</f>
        <v>333</v>
      </c>
      <c r="G334" s="5" t="str">
        <f>IFERROR(__xludf.DUMMYFUNCTION("GOOGLETRANSLATE(B334, ""en"", ""hi"")"),"ढोल खेल में खेल के दौरान किसी खिलाड़ी के ऑफसाइड होने पर आम तौर पर क्या प्रतिक्रिया होती है?")</f>
        <v>ढोल खेल में खेल के दौरान किसी खिलाड़ी के ऑफसाइड होने पर आम तौर पर क्या प्रतिक्रिया होती है?</v>
      </c>
      <c r="H334" s="5" t="str">
        <f>IFERROR(__xludf.DUMMYFUNCTION("GOOGLETRANSLATE(C334, ""en"", ""hi"")"),"A) विरोधी टीम को अप्रत्यक्ष फ्री किक दी जाती है, B) खेल को थ्रो-इन के साथ पुनः शुरू किया जाता है, C) खिलाड़ी को पीला कार्ड दिया जाता है, D) खेल को रोक दिया जाता है और गोल किक के साथ पुनः शुरू किया जाता है")</f>
        <v>A) विरोधी टीम को अप्रत्यक्ष फ्री किक दी जाती है, B) खेल को थ्रो-इन के साथ पुनः शुरू किया जाता है, C) खिलाड़ी को पीला कार्ड दिया जाता है, D) खेल को रोक दिया जाता है और गोल किक के साथ पुनः शुरू किया जाता है</v>
      </c>
      <c r="I334" s="5" t="str">
        <f>IFERROR(__xludf.DUMMYFUNCTION("GOOGLETRANSLATE(D334, ""en"", ""hi"")"),"A) विरोधी टीम को एक अप्रत्यक्ष फ्री किक दी जाती है")</f>
        <v>A) विरोधी टीम को एक अप्रत्यक्ष फ्री किक दी जाती है</v>
      </c>
    </row>
    <row r="335" ht="22.5" customHeight="1">
      <c r="A335" s="2">
        <v>334.0</v>
      </c>
      <c r="B335" s="3" t="s">
        <v>6123</v>
      </c>
      <c r="C335" s="3" t="s">
        <v>6124</v>
      </c>
      <c r="D335" s="3" t="s">
        <v>6125</v>
      </c>
      <c r="F335" s="5" t="str">
        <f>IFERROR(__xludf.DUMMYFUNCTION("GOOGLETRANSLATE(A335, ""en"", ""hi"")"),"334")</f>
        <v>334</v>
      </c>
      <c r="G335" s="5" t="str">
        <f>IFERROR(__xludf.DUMMYFUNCTION("GOOGLETRANSLATE(B335, ""en"", ""hi"")"),"ढोल खेल में कोई खिलाड़ी अपने ड्रिब्लिंग कौशल को कैसे सुधार सकता है?")</f>
        <v>ढोल खेल में कोई खिलाड़ी अपने ड्रिब्लिंग कौशल को कैसे सुधार सकता है?</v>
      </c>
      <c r="H335" s="5" t="str">
        <f>IFERROR(__xludf.DUMMYFUNCTION("GOOGLETRANSLATE(C335, ""en"", ""hi"")"),"A) दबाव में और विभिन्न परिस्थितियों में ड्रिब्लिंग का अभ्यास करके, B) केवल शूटिंग पर ध्यान केंद्रित करके, C) शारीरिक संपर्क से बचकर, D) अपनी गोलकीपिंग तकनीकों पर काम करके")</f>
        <v>A) दबाव में और विभिन्न परिस्थितियों में ड्रिब्लिंग का अभ्यास करके, B) केवल शूटिंग पर ध्यान केंद्रित करके, C) शारीरिक संपर्क से बचकर, D) अपनी गोलकीपिंग तकनीकों पर काम करके</v>
      </c>
      <c r="I335" s="5" t="str">
        <f>IFERROR(__xludf.DUMMYFUNCTION("GOOGLETRANSLATE(D335, ""en"", ""hi"")"),"A) दबाव और विभिन्न परिस्थितियों में ड्रिब्लिंग का अभ्यास करके")</f>
        <v>A) दबाव और विभिन्न परिस्थितियों में ड्रिब्लिंग का अभ्यास करके</v>
      </c>
    </row>
    <row r="336" ht="22.5" customHeight="1">
      <c r="A336" s="2">
        <v>335.0</v>
      </c>
      <c r="B336" s="3" t="s">
        <v>6126</v>
      </c>
      <c r="C336" s="3" t="s">
        <v>6127</v>
      </c>
      <c r="D336" s="3" t="s">
        <v>6128</v>
      </c>
      <c r="F336" s="5" t="str">
        <f>IFERROR(__xludf.DUMMYFUNCTION("GOOGLETRANSLATE(A336, ""en"", ""hi"")"),"335")</f>
        <v>335</v>
      </c>
      <c r="G336" s="5" t="str">
        <f>IFERROR(__xludf.DUMMYFUNCTION("GOOGLETRANSLATE(B336, ""en"", ""hi"")"),"ढोल खेल में गेंद पर कब्जा बनाए रखने के लिए किसी टीम की सामान्य रणनीति क्या है?")</f>
        <v>ढोल खेल में गेंद पर कब्जा बनाए रखने के लिए किसी टीम की सामान्य रणनीति क्या है?</v>
      </c>
      <c r="H336" s="5" t="str">
        <f>IFERROR(__xludf.DUMMYFUNCTION("GOOGLETRANSLATE(C336, ""en"", ""hi"")"),"A) टीम के साथियों के बीच गेंद को तेजी से और सटीक रूप से पास करना, B) गेंद को लंबी दूरी तक किक करना, C) केवल बचाव पर ध्यान केंद्रित करना, D) प्रतिद्वंद्वी की गतिविधियों को अनदेखा करना")</f>
        <v>A) टीम के साथियों के बीच गेंद को तेजी से और सटीक रूप से पास करना, B) गेंद को लंबी दूरी तक किक करना, C) केवल बचाव पर ध्यान केंद्रित करना, D) प्रतिद्वंद्वी की गतिविधियों को अनदेखा करना</v>
      </c>
      <c r="I336" s="5" t="str">
        <f>IFERROR(__xludf.DUMMYFUNCTION("GOOGLETRANSLATE(D336, ""en"", ""hi"")"),"A) टीम के साथियों के बीच गेंद को तेज़ी से और सटीक ढंग से पास करना")</f>
        <v>A) टीम के साथियों के बीच गेंद को तेज़ी से और सटीक ढंग से पास करना</v>
      </c>
    </row>
    <row r="337" ht="22.5" customHeight="1">
      <c r="A337" s="2">
        <v>336.0</v>
      </c>
      <c r="B337" s="3" t="s">
        <v>6129</v>
      </c>
      <c r="C337" s="3" t="s">
        <v>6130</v>
      </c>
      <c r="D337" s="3" t="s">
        <v>5851</v>
      </c>
      <c r="F337" s="5" t="str">
        <f>IFERROR(__xludf.DUMMYFUNCTION("GOOGLETRANSLATE(A337, ""en"", ""hi"")"),"336")</f>
        <v>336</v>
      </c>
      <c r="G337" s="5" t="str">
        <f>IFERROR(__xludf.DUMMYFUNCTION("GOOGLETRANSLATE(B337, ""en"", ""hi"")"),"ढोल खेल में फुलबैक की क्या भूमिका होती है?")</f>
        <v>ढोल खेल में फुलबैक की क्या भूमिका होती है?</v>
      </c>
      <c r="H337" s="5" t="str">
        <f>IFERROR(__xludf.DUMMYFUNCTION("GOOGLETRANSLATE(C337, ""en"", ""hi"")"),"A) विंगर्स से बचाव करना और हमले का समर्थन करना, B) केवल गोल करने पर ध्यान केंद्रित करना, C) गोलकीपर के रूप में कार्य करना, D) सभी कॉर्नर किक लेना")</f>
        <v>A) विंगर्स से बचाव करना और हमले का समर्थन करना, B) केवल गोल करने पर ध्यान केंद्रित करना, C) गोलकीपर के रूप में कार्य करना, D) सभी कॉर्नर किक लेना</v>
      </c>
      <c r="I337" s="5" t="str">
        <f>IFERROR(__xludf.DUMMYFUNCTION("GOOGLETRANSLATE(D337, ""en"", ""hi"")"),"A) विंगर्स से बचाव करना और आक्रमण का समर्थन करना")</f>
        <v>A) विंगर्स से बचाव करना और आक्रमण का समर्थन करना</v>
      </c>
    </row>
    <row r="338" ht="22.5" customHeight="1">
      <c r="A338" s="2">
        <v>337.0</v>
      </c>
      <c r="B338" s="3" t="s">
        <v>6131</v>
      </c>
      <c r="C338" s="3" t="s">
        <v>6132</v>
      </c>
      <c r="D338" s="3" t="s">
        <v>6133</v>
      </c>
      <c r="F338" s="5" t="str">
        <f>IFERROR(__xludf.DUMMYFUNCTION("GOOGLETRANSLATE(A338, ""en"", ""hi"")"),"337")</f>
        <v>337</v>
      </c>
      <c r="G338" s="5" t="str">
        <f>IFERROR(__xludf.DUMMYFUNCTION("GOOGLETRANSLATE(B338, ""en"", ""hi"")"),"ढोल खेल में जब किसी खिलाड़ी की टीम को केन्द्रीय स्थान पर फ्री किक दी जाती है तो उसे क्या करना चाहिए?")</f>
        <v>ढोल खेल में जब किसी खिलाड़ी की टीम को केन्द्रीय स्थान पर फ्री किक दी जाती है तो उसे क्या करना चाहिए?</v>
      </c>
      <c r="H338" s="5" t="str">
        <f>IFERROR(__xludf.DUMMYFUNCTION("GOOGLETRANSLATE(C338, ""en"", ""hi"")"),"A) गोल पर सीधा शॉट लगाने का प्रयास करें या स्कोरिंग का अवसर बनाएं, B) गेंद को गोलकीपर को पास करें, C) स्थानापन्न की प्रतीक्षा करें, D) फ्री किक में देरी करें")</f>
        <v>A) गोल पर सीधा शॉट लगाने का प्रयास करें या स्कोरिंग का अवसर बनाएं, B) गेंद को गोलकीपर को पास करें, C) स्थानापन्न की प्रतीक्षा करें, D) फ्री किक में देरी करें</v>
      </c>
      <c r="I338" s="5" t="str">
        <f>IFERROR(__xludf.DUMMYFUNCTION("GOOGLETRANSLATE(D338, ""en"", ""hi"")"),"A) गोल पर सीधा शॉट लगाने का प्रयास करें या स्कोरिंग का अवसर बनाएं")</f>
        <v>A) गोल पर सीधा शॉट लगाने का प्रयास करें या स्कोरिंग का अवसर बनाएं</v>
      </c>
    </row>
    <row r="339" ht="22.5" customHeight="1">
      <c r="A339" s="2">
        <v>338.0</v>
      </c>
      <c r="B339" s="3" t="s">
        <v>6134</v>
      </c>
      <c r="C339" s="3" t="s">
        <v>6135</v>
      </c>
      <c r="D339" s="3" t="s">
        <v>6136</v>
      </c>
      <c r="F339" s="5" t="str">
        <f>IFERROR(__xludf.DUMMYFUNCTION("GOOGLETRANSLATE(A339, ""en"", ""hi"")"),"338")</f>
        <v>338</v>
      </c>
      <c r="G339" s="5" t="str">
        <f>IFERROR(__xludf.DUMMYFUNCTION("GOOGLETRANSLATE(B339, ""en"", ""hi"")"),"ढोल खेल में कोई खिलाड़ी अपनी पासिंग सटीकता कैसे सुधार सकता है?")</f>
        <v>ढोल खेल में कोई खिलाड़ी अपनी पासिंग सटीकता कैसे सुधार सकता है?</v>
      </c>
      <c r="H339" s="5" t="str">
        <f>IFERROR(__xludf.DUMMYFUNCTION("GOOGLETRANSLATE(C339, ""en"", ""hi"")"),"A) विभिन्न प्रकार के पास का अभ्यास करके और सटीकता पर काम करके, B) ड्रिब्लिंग पर ध्यान केंद्रित करके, C) केवल रक्षात्मक अभ्यास पर काम करके, D) पासिंग अभ्यास को अनदेखा करके")</f>
        <v>A) विभिन्न प्रकार के पास का अभ्यास करके और सटीकता पर काम करके, B) ड्रिब्लिंग पर ध्यान केंद्रित करके, C) केवल रक्षात्मक अभ्यास पर काम करके, D) पासिंग अभ्यास को अनदेखा करके</v>
      </c>
      <c r="I339" s="5" t="str">
        <f>IFERROR(__xludf.DUMMYFUNCTION("GOOGLETRANSLATE(D339, ""en"", ""hi"")"),"A) विभिन्न प्रकार के पास का अभ्यास करके और सटीकता पर काम करके")</f>
        <v>A) विभिन्न प्रकार के पास का अभ्यास करके और सटीकता पर काम करके</v>
      </c>
    </row>
    <row r="340" ht="22.5" customHeight="1">
      <c r="A340" s="2">
        <v>339.0</v>
      </c>
      <c r="B340" s="3" t="s">
        <v>6137</v>
      </c>
      <c r="C340" s="3" t="s">
        <v>6138</v>
      </c>
      <c r="D340" s="3" t="s">
        <v>6139</v>
      </c>
      <c r="F340" s="5" t="str">
        <f>IFERROR(__xludf.DUMMYFUNCTION("GOOGLETRANSLATE(A340, ""en"", ""hi"")"),"339")</f>
        <v>339</v>
      </c>
      <c r="G340" s="5" t="str">
        <f>IFERROR(__xludf.DUMMYFUNCTION("GOOGLETRANSLATE(B340, ""en"", ""hi"")"),"ढोल खेल में किसी टीम के लिए दबाव वाले प्रतिद्वंद्वी का मुकाबला करने का प्रभावी तरीका क्या है?")</f>
        <v>ढोल खेल में किसी टीम के लिए दबाव वाले प्रतिद्वंद्वी का मुकाबला करने का प्रभावी तरीका क्या है?</v>
      </c>
      <c r="H340" s="5" t="str">
        <f>IFERROR(__xludf.DUMMYFUNCTION("GOOGLETRANSLATE(C340, ""en"", ""hi"")"),"A) दबाव से गेंद को बाहर निकालने के लिए त्वरित, छोटे पास का उपयोग करना, B) हमलावरों को सीधे लंबी गेंद मारना, C) प्रतिद्वंद्वी की गलतियों की प्रतीक्षा करना, D) केवल बचाव पर ध्यान केंद्रित करना")</f>
        <v>A) दबाव से गेंद को बाहर निकालने के लिए त्वरित, छोटे पास का उपयोग करना, B) हमलावरों को सीधे लंबी गेंद मारना, C) प्रतिद्वंद्वी की गलतियों की प्रतीक्षा करना, D) केवल बचाव पर ध्यान केंद्रित करना</v>
      </c>
      <c r="I340" s="5" t="str">
        <f>IFERROR(__xludf.DUMMYFUNCTION("GOOGLETRANSLATE(D340, ""en"", ""hi"")"),"A) गेंद को दबाव से बाहर निकालने के लिए त्वरित, छोटे पास का उपयोग करना")</f>
        <v>A) गेंद को दबाव से बाहर निकालने के लिए त्वरित, छोटे पास का उपयोग करना</v>
      </c>
    </row>
    <row r="341" ht="22.5" customHeight="1">
      <c r="A341" s="2">
        <v>340.0</v>
      </c>
      <c r="B341" s="3" t="s">
        <v>6140</v>
      </c>
      <c r="C341" s="3" t="s">
        <v>6141</v>
      </c>
      <c r="D341" s="3" t="s">
        <v>6142</v>
      </c>
      <c r="F341" s="5" t="str">
        <f>IFERROR(__xludf.DUMMYFUNCTION("GOOGLETRANSLATE(A341, ""en"", ""hi"")"),"340")</f>
        <v>340</v>
      </c>
      <c r="G341" s="5" t="str">
        <f>IFERROR(__xludf.DUMMYFUNCTION("GOOGLETRANSLATE(B341, ""en"", ""hi"")"),"ढोल खेल में थ्रो-इन के दौरान खिलाड़ी को किस बात पर ध्यान देना चाहिए?")</f>
        <v>ढोल खेल में थ्रो-इन के दौरान खिलाड़ी को किस बात पर ध्यान देना चाहिए?</v>
      </c>
      <c r="H341" s="5" t="str">
        <f>IFERROR(__xludf.DUMMYFUNCTION("GOOGLETRANSLATE(C341, ""en"", ""hi"")"),"A) यह सुनिश्चित करना कि गेंद सिर के पीछे से और कानूनी सीमाओं के भीतर फेंकी जाए, B) गेंद को लंबी दूरी तक किक करना, C) गेंद को प्रतिद्वंद्वी को पास करना, D) रेफरी के संकेतों की अनदेखी करना")</f>
        <v>A) यह सुनिश्चित करना कि गेंद सिर के पीछे से और कानूनी सीमाओं के भीतर फेंकी जाए, B) गेंद को लंबी दूरी तक किक करना, C) गेंद को प्रतिद्वंद्वी को पास करना, D) रेफरी के संकेतों की अनदेखी करना</v>
      </c>
      <c r="I341" s="5" t="str">
        <f>IFERROR(__xludf.DUMMYFUNCTION("GOOGLETRANSLATE(D341, ""en"", ""hi"")"),"क) यह सुनिश्चित करना कि गेंद सिर के पीछे से और कानूनी सीमाओं के भीतर फेंकी जाए")</f>
        <v>क) यह सुनिश्चित करना कि गेंद सिर के पीछे से और कानूनी सीमाओं के भीतर फेंकी जाए</v>
      </c>
    </row>
    <row r="342" ht="22.5" customHeight="1">
      <c r="A342" s="2">
        <v>341.0</v>
      </c>
      <c r="B342" s="3" t="s">
        <v>6143</v>
      </c>
      <c r="C342" s="3" t="s">
        <v>6144</v>
      </c>
      <c r="D342" s="3" t="s">
        <v>6145</v>
      </c>
      <c r="F342" s="5" t="str">
        <f>IFERROR(__xludf.DUMMYFUNCTION("GOOGLETRANSLATE(A342, ""en"", ""hi"")"),"341")</f>
        <v>341</v>
      </c>
      <c r="G342" s="5" t="str">
        <f>IFERROR(__xludf.DUMMYFUNCTION("GOOGLETRANSLATE(B342, ""en"", ""hi"")"),"ढोल खेल में स्ट्राइकर का प्राथमिक कार्य क्या है?")</f>
        <v>ढोल खेल में स्ट्राइकर का प्राथमिक कार्य क्या है?</v>
      </c>
      <c r="H342" s="5" t="str">
        <f>IFERROR(__xludf.DUMMYFUNCTION("GOOGLETRANSLATE(C342, ""en"", ""hi"")"),"A) गोल करना और गोल करने के अवसरों का लाभ उठाना, B) प्रतिद्वंद्वी के स्ट्राइकरों से बचाव करना, C) गोलकीपर के रूप में कार्य करना, D) गोल किक लेना")</f>
        <v>A) गोल करना और गोल करने के अवसरों का लाभ उठाना, B) प्रतिद्वंद्वी के स्ट्राइकरों से बचाव करना, C) गोलकीपर के रूप में कार्य करना, D) गोल किक लेना</v>
      </c>
      <c r="I342" s="5" t="str">
        <f>IFERROR(__xludf.DUMMYFUNCTION("GOOGLETRANSLATE(D342, ""en"", ""hi"")"),"A) गोल करना और स्कोरिंग अवसरों का लाभ उठाना")</f>
        <v>A) गोल करना और स्कोरिंग अवसरों का लाभ उठाना</v>
      </c>
    </row>
    <row r="343" ht="22.5" customHeight="1">
      <c r="A343" s="2">
        <v>342.0</v>
      </c>
      <c r="B343" s="3" t="s">
        <v>6146</v>
      </c>
      <c r="C343" s="3" t="s">
        <v>6147</v>
      </c>
      <c r="D343" s="3" t="s">
        <v>6148</v>
      </c>
      <c r="F343" s="5" t="str">
        <f>IFERROR(__xludf.DUMMYFUNCTION("GOOGLETRANSLATE(A343, ""en"", ""hi"")"),"342")</f>
        <v>342</v>
      </c>
      <c r="G343" s="5" t="str">
        <f>IFERROR(__xludf.DUMMYFUNCTION("GOOGLETRANSLATE(B343, ""en"", ""hi"")"),"ढोल खेल में, पेनाल्टी क्षेत्र में ऊंची कॉर्नर किक पर टीम को आम तौर पर कैसी प्रतिक्रिया करनी चाहिए?")</f>
        <v>ढोल खेल में, पेनाल्टी क्षेत्र में ऊंची कॉर्नर किक पर टीम को आम तौर पर कैसी प्रतिक्रिया करनी चाहिए?</v>
      </c>
      <c r="H343" s="5" t="str">
        <f>IFERROR(__xludf.DUMMYFUNCTION("GOOGLETRANSLATE(C343, ""en"", ""hi"")"),"ए) खिलाड़ियों को गेंद को क्लियर करने या हेडर का प्रयास करने के लिए पोजिशनिंग करके, बी) किक को अनदेखा करके, सी) अपने हाफ में वापस जाकर, डी) गेंद को गोलकीपर को पास करके")</f>
        <v>ए) खिलाड़ियों को गेंद को क्लियर करने या हेडर का प्रयास करने के लिए पोजिशनिंग करके, बी) किक को अनदेखा करके, सी) अपने हाफ में वापस जाकर, डी) गेंद को गोलकीपर को पास करके</v>
      </c>
      <c r="I343" s="5" t="str">
        <f>IFERROR(__xludf.DUMMYFUNCTION("GOOGLETRANSLATE(D343, ""en"", ""hi"")"),"A) खिलाड़ियों को गेंद को क्लियर करने या हेडर का प्रयास करने के लिए स्थिति में रखकर")</f>
        <v>A) खिलाड़ियों को गेंद को क्लियर करने या हेडर का प्रयास करने के लिए स्थिति में रखकर</v>
      </c>
    </row>
    <row r="344" ht="22.5" customHeight="1">
      <c r="A344" s="2">
        <v>343.0</v>
      </c>
      <c r="B344" s="3" t="s">
        <v>6149</v>
      </c>
      <c r="C344" s="3" t="s">
        <v>6150</v>
      </c>
      <c r="D344" s="3" t="s">
        <v>6151</v>
      </c>
      <c r="F344" s="5" t="str">
        <f>IFERROR(__xludf.DUMMYFUNCTION("GOOGLETRANSLATE(A344, ""en"", ""hi"")"),"343")</f>
        <v>343</v>
      </c>
      <c r="G344" s="5" t="str">
        <f>IFERROR(__xludf.DUMMYFUNCTION("GOOGLETRANSLATE(B344, ""en"", ""hi"")"),"ढोल खेल में मिडफील्डर के लिए आवश्यक कौशल क्या है?")</f>
        <v>ढोल खेल में मिडफील्डर के लिए आवश्यक कौशल क्या है?</v>
      </c>
      <c r="H344" s="5" t="str">
        <f>IFERROR(__xludf.DUMMYFUNCTION("GOOGLETRANSLATE(C344, ""en"", ""hi"")"),"A) खेल की गति को निर्धारित करने के लिए गेंद को प्रभावी ढंग से पास करना और नियंत्रित करना, B) केवल रक्षा पर ध्यान केंद्रित करना, C) गोल किक लेना, D) गोलकीपर के रूप में कार्य करना")</f>
        <v>A) खेल की गति को निर्धारित करने के लिए गेंद को प्रभावी ढंग से पास करना और नियंत्रित करना, B) केवल रक्षा पर ध्यान केंद्रित करना, C) गोल किक लेना, D) गोलकीपर के रूप में कार्य करना</v>
      </c>
      <c r="I344" s="5" t="str">
        <f>IFERROR(__xludf.DUMMYFUNCTION("GOOGLETRANSLATE(D344, ""en"", ""hi"")"),"ए) खेल की गति को निर्धारित करने के लिए गेंद को प्रभावी ढंग से पास करना और नियंत्रित करना")</f>
        <v>ए) खेल की गति को निर्धारित करने के लिए गेंद को प्रभावी ढंग से पास करना और नियंत्रित करना</v>
      </c>
    </row>
    <row r="345" ht="22.5" customHeight="1">
      <c r="A345" s="2">
        <v>344.0</v>
      </c>
      <c r="B345" s="3" t="s">
        <v>6152</v>
      </c>
      <c r="C345" s="3" t="s">
        <v>6153</v>
      </c>
      <c r="D345" s="3" t="s">
        <v>6154</v>
      </c>
      <c r="F345" s="5" t="str">
        <f>IFERROR(__xludf.DUMMYFUNCTION("GOOGLETRANSLATE(A345, ""en"", ""hi"")"),"344")</f>
        <v>344</v>
      </c>
      <c r="G345" s="5" t="str">
        <f>IFERROR(__xludf.DUMMYFUNCTION("GOOGLETRANSLATE(B345, ""en"", ""hi"")"),"ढोल खेल में एक खिलाड़ी को उस स्थिति से कैसे निपटना चाहिए, जहां उसे प्रतिद्वंद्वी द्वारा कड़ी टक्कर दी जा रही हो?")</f>
        <v>ढोल खेल में एक खिलाड़ी को उस स्थिति से कैसे निपटना चाहिए, जहां उसे प्रतिद्वंद्वी द्वारा कड़ी टक्कर दी जा रही हो?</v>
      </c>
      <c r="H345" s="5" t="str">
        <f>IFERROR(__xludf.DUMMYFUNCTION("GOOGLETRANSLATE(C345, ""en"", ""hi"")"),"A) जगह बनाने के लिए त्वरित गति और दिशा में परिवर्तन का उपयोग करें, B) स्थिर खड़े रहें और गेंद की प्रतीक्षा करें, C) प्रतिद्वंद्वी को अनदेखा करें और केवल अपने खेल पर ध्यान केंद्रित करें, D) प्रतिद्वंद्वी को फाउल करें")</f>
        <v>A) जगह बनाने के लिए त्वरित गति और दिशा में परिवर्तन का उपयोग करें, B) स्थिर खड़े रहें और गेंद की प्रतीक्षा करें, C) प्रतिद्वंद्वी को अनदेखा करें और केवल अपने खेल पर ध्यान केंद्रित करें, D) प्रतिद्वंद्वी को फाउल करें</v>
      </c>
      <c r="I345" s="5" t="str">
        <f>IFERROR(__xludf.DUMMYFUNCTION("GOOGLETRANSLATE(D345, ""en"", ""hi"")"),"A) जगह बनाने के लिए त्वरित गति और दिशा में परिवर्तन का उपयोग करें")</f>
        <v>A) जगह बनाने के लिए त्वरित गति और दिशा में परिवर्तन का उपयोग करें</v>
      </c>
    </row>
    <row r="346" ht="22.5" customHeight="1">
      <c r="A346" s="2">
        <v>345.0</v>
      </c>
      <c r="B346" s="3" t="s">
        <v>6155</v>
      </c>
      <c r="C346" s="3" t="s">
        <v>6156</v>
      </c>
      <c r="D346" s="3" t="s">
        <v>6157</v>
      </c>
      <c r="F346" s="5" t="str">
        <f>IFERROR(__xludf.DUMMYFUNCTION("GOOGLETRANSLATE(A346, ""en"", ""hi"")"),"345")</f>
        <v>345</v>
      </c>
      <c r="G346" s="5" t="str">
        <f>IFERROR(__xludf.DUMMYFUNCTION("GOOGLETRANSLATE(B346, ""en"", ""hi"")"),"ढोल खेल में फ्री किक या कॉर्नर जैसे सेट पीस का बचाव करते समय किसी टीम की सामान्य रणनीति क्या होती है?")</f>
        <v>ढोल खेल में फ्री किक या कॉर्नर जैसे सेट पीस का बचाव करते समय किसी टीम की सामान्य रणनीति क्या होती है?</v>
      </c>
      <c r="H346" s="5" t="str">
        <f>IFERROR(__xludf.DUMMYFUNCTION("GOOGLETRANSLATE(C346, ""en"", ""hi"")"),"ए) खिलाड़ियों को महत्वपूर्ण क्षेत्रों को कवर करने और स्कोरिंग अवसरों को रोकने के लिए तैनात करना, बी) आक्रमण पर ध्यान केंद्रित करना, सी) सेट पीस की अनदेखी करना, डी) गेंद को स्वतंत्र रूप से किक करने की अनुमति देना")</f>
        <v>ए) खिलाड़ियों को महत्वपूर्ण क्षेत्रों को कवर करने और स्कोरिंग अवसरों को रोकने के लिए तैनात करना, बी) आक्रमण पर ध्यान केंद्रित करना, सी) सेट पीस की अनदेखी करना, डी) गेंद को स्वतंत्र रूप से किक करने की अनुमति देना</v>
      </c>
      <c r="I346" s="5" t="str">
        <f>IFERROR(__xludf.DUMMYFUNCTION("GOOGLETRANSLATE(D346, ""en"", ""hi"")"),"A) खिलाड़ियों को महत्वपूर्ण क्षेत्रों को कवर करने और स्कोरिंग अवसरों को रोकने के लिए तैनात करना")</f>
        <v>A) खिलाड़ियों को महत्वपूर्ण क्षेत्रों को कवर करने और स्कोरिंग अवसरों को रोकने के लिए तैनात करना</v>
      </c>
    </row>
    <row r="347" ht="22.5" customHeight="1">
      <c r="A347" s="2">
        <v>346.0</v>
      </c>
      <c r="B347" s="3" t="s">
        <v>6158</v>
      </c>
      <c r="C347" s="3" t="s">
        <v>6159</v>
      </c>
      <c r="D347" s="3" t="s">
        <v>6160</v>
      </c>
      <c r="F347" s="5" t="str">
        <f>IFERROR(__xludf.DUMMYFUNCTION("GOOGLETRANSLATE(A347, ""en"", ""hi"")"),"346")</f>
        <v>346</v>
      </c>
      <c r="G347" s="5" t="str">
        <f>IFERROR(__xludf.DUMMYFUNCTION("GOOGLETRANSLATE(B347, ""en"", ""hi"")"),"ढोल खेल में गोलकीपिंग प्रशिक्षण का एक महत्वपूर्ण पहलू क्या है?")</f>
        <v>ढोल खेल में गोलकीपिंग प्रशिक्षण का एक महत्वपूर्ण पहलू क्या है?</v>
      </c>
      <c r="H347" s="5" t="str">
        <f>IFERROR(__xludf.DUMMYFUNCTION("GOOGLETRANSLATE(C347, ""en"", ""hi"")"),"A) रिफ्लेक्स और शॉट रोकने की क्षमता में सुधार, B) ड्रिब्लिंग कौशल पर ध्यान केंद्रित करना, C) लंबी दूरी की दौड़ का अभ्यास करना, D) रक्षात्मक अभ्यासों की अनदेखी करना")</f>
        <v>A) रिफ्लेक्स और शॉट रोकने की क्षमता में सुधार, B) ड्रिब्लिंग कौशल पर ध्यान केंद्रित करना, C) लंबी दूरी की दौड़ का अभ्यास करना, D) रक्षात्मक अभ्यासों की अनदेखी करना</v>
      </c>
      <c r="I347" s="5" t="str">
        <f>IFERROR(__xludf.DUMMYFUNCTION("GOOGLETRANSLATE(D347, ""en"", ""hi"")"),"A) सजगता और शॉट रोकने की क्षमता में सुधार")</f>
        <v>A) सजगता और शॉट रोकने की क्षमता में सुधार</v>
      </c>
    </row>
    <row r="348" ht="22.5" customHeight="1">
      <c r="A348" s="2">
        <v>347.0</v>
      </c>
      <c r="B348" s="3" t="s">
        <v>6161</v>
      </c>
      <c r="C348" s="3" t="s">
        <v>6162</v>
      </c>
      <c r="D348" s="3" t="s">
        <v>6163</v>
      </c>
      <c r="F348" s="5" t="str">
        <f>IFERROR(__xludf.DUMMYFUNCTION("GOOGLETRANSLATE(A348, ""en"", ""hi"")"),"347")</f>
        <v>347</v>
      </c>
      <c r="G348" s="5" t="str">
        <f>IFERROR(__xludf.DUMMYFUNCTION("GOOGLETRANSLATE(B348, ""en"", ""hi"")"),"ढोल खेल में लंबी दूरी का शॉट लेते समय खिलाड़ी को किस बात पर ध्यान केंद्रित करना चाहिए?")</f>
        <v>ढोल खेल में लंबी दूरी का शॉट लेते समय खिलाड़ी को किस बात पर ध्यान केंद्रित करना चाहिए?</v>
      </c>
      <c r="H348" s="5" t="str">
        <f>IFERROR(__xludf.DUMMYFUNCTION("GOOGLETRANSLATE(C348, ""en"", ""hi"")"),"A) दूरी से गोलकीपर को चकमा देने की सटीकता और शक्ति, B) टीम के साथी को गेंद पास करना, C) गेंद के करीब आने का इंतजार करना, D) गेंद को धीरे से किक करना")</f>
        <v>A) दूरी से गोलकीपर को चकमा देने की सटीकता और शक्ति, B) टीम के साथी को गेंद पास करना, C) गेंद के करीब आने का इंतजार करना, D) गेंद को धीरे से किक करना</v>
      </c>
      <c r="I348" s="5" t="str">
        <f>IFERROR(__xludf.DUMMYFUNCTION("GOOGLETRANSLATE(D348, ""en"", ""hi"")"),"A) दूरी से गोलकीपर को चकमा देने की सटीकता और शक्ति")</f>
        <v>A) दूरी से गोलकीपर को चकमा देने की सटीकता और शक्ति</v>
      </c>
    </row>
    <row r="349" ht="22.5" customHeight="1">
      <c r="A349" s="2">
        <v>348.0</v>
      </c>
      <c r="B349" s="3" t="s">
        <v>6164</v>
      </c>
      <c r="C349" s="3" t="s">
        <v>6165</v>
      </c>
      <c r="D349" s="3" t="s">
        <v>6166</v>
      </c>
      <c r="F349" s="5" t="str">
        <f>IFERROR(__xludf.DUMMYFUNCTION("GOOGLETRANSLATE(A349, ""en"", ""hi"")"),"348")</f>
        <v>348</v>
      </c>
      <c r="G349" s="5" t="str">
        <f>IFERROR(__xludf.DUMMYFUNCTION("GOOGLETRANSLATE(B349, ""en"", ""hi"")"),"ढोल खेल में प्रभावी टीम रक्षा का मुख्य पहलू क्या है?")</f>
        <v>ढोल खेल में प्रभावी टीम रक्षा का मुख्य पहलू क्या है?</v>
      </c>
      <c r="H349" s="5" t="str">
        <f>IFERROR(__xludf.DUMMYFUNCTION("GOOGLETRANSLATE(C349, ""en"", ""hi"")"),"A) डिफेंडरों के बीच उचित स्थिति और संचार बनाए रखना, B) केवल आक्रमण पर ध्यान केंद्रित करना, C) प्रतिद्वंद्वी की गतिविधियों को अनदेखा करना, D) केवल एक डिफेंडर के साथ खेलना")</f>
        <v>A) डिफेंडरों के बीच उचित स्थिति और संचार बनाए रखना, B) केवल आक्रमण पर ध्यान केंद्रित करना, C) प्रतिद्वंद्वी की गतिविधियों को अनदेखा करना, D) केवल एक डिफेंडर के साथ खेलना</v>
      </c>
      <c r="I349" s="5" t="str">
        <f>IFERROR(__xludf.DUMMYFUNCTION("GOOGLETRANSLATE(D349, ""en"", ""hi"")"),"ए) रक्षकों के बीच उचित स्थिति और संचार बनाए रखना")</f>
        <v>ए) रक्षकों के बीच उचित स्थिति और संचार बनाए रखना</v>
      </c>
    </row>
    <row r="350" ht="22.5" customHeight="1">
      <c r="A350" s="2">
        <v>349.0</v>
      </c>
      <c r="B350" s="3" t="s">
        <v>6167</v>
      </c>
      <c r="C350" s="3" t="s">
        <v>6168</v>
      </c>
      <c r="D350" s="3" t="s">
        <v>6169</v>
      </c>
      <c r="F350" s="5" t="str">
        <f>IFERROR(__xludf.DUMMYFUNCTION("GOOGLETRANSLATE(A350, ""en"", ""hi"")"),"349")</f>
        <v>349</v>
      </c>
      <c r="G350" s="5" t="str">
        <f>IFERROR(__xludf.DUMMYFUNCTION("GOOGLETRANSLATE(B350, ""en"", ""hi"")"),"ढोल खेल में सामरिक संरचना का उद्देश्य क्या है?")</f>
        <v>ढोल खेल में सामरिक संरचना का उद्देश्य क्या है?</v>
      </c>
      <c r="H350" s="5" t="str">
        <f>IFERROR(__xludf.DUMMYFUNCTION("GOOGLETRANSLATE(C350, ""en"", ""hi"")"),"A) आक्रमण और बचाव दोनों के लिए टीम की रणनीति को व्यवस्थित करना, B) खेल के रेफरी का निर्णय करना, C) टीम की वर्दी का रंग निर्धारित करना, D) टीम के बजट का प्रबंधन करना")</f>
        <v>A) आक्रमण और बचाव दोनों के लिए टीम की रणनीति को व्यवस्थित करना, B) खेल के रेफरी का निर्णय करना, C) टीम की वर्दी का रंग निर्धारित करना, D) टीम के बजट का प्रबंधन करना</v>
      </c>
      <c r="I350" s="5" t="str">
        <f>IFERROR(__xludf.DUMMYFUNCTION("GOOGLETRANSLATE(D350, ""en"", ""hi"")"),"A) आक्रमण और बचाव दोनों के लिए टीम की रणनीति को व्यवस्थित करना")</f>
        <v>A) आक्रमण और बचाव दोनों के लिए टीम की रणनीति को व्यवस्थित करना</v>
      </c>
    </row>
    <row r="351" ht="22.5" customHeight="1">
      <c r="A351" s="2">
        <v>350.0</v>
      </c>
      <c r="B351" s="3" t="s">
        <v>6170</v>
      </c>
      <c r="C351" s="3" t="s">
        <v>6171</v>
      </c>
      <c r="D351" s="3" t="s">
        <v>6172</v>
      </c>
      <c r="F351" s="5" t="str">
        <f>IFERROR(__xludf.DUMMYFUNCTION("GOOGLETRANSLATE(A351, ""en"", ""hi"")"),"350")</f>
        <v>350</v>
      </c>
      <c r="G351" s="5" t="str">
        <f>IFERROR(__xludf.DUMMYFUNCTION("GOOGLETRANSLATE(B351, ""en"", ""hi"")"),"ढोल खेल में सफाई कर्मचारी की क्या भूमिका है?")</f>
        <v>ढोल खेल में सफाई कर्मचारी की क्या भूमिका है?</v>
      </c>
      <c r="H351" s="5" t="str">
        <f>IFERROR(__xludf.DUMMYFUNCTION("GOOGLETRANSLATE(C351, ""en"", ""hi"")"),"A) रक्षात्मक क्षेत्र से गेंद को हटाना और रक्षा को अतिरिक्त सहायता प्रदान करना, B) गोल करने पर ध्यान केंद्रित करना, C) गोलकीपर के रूप में कार्य करना, D) सभी कॉर्नर किक लेना")</f>
        <v>A) रक्षात्मक क्षेत्र से गेंद को हटाना और रक्षा को अतिरिक्त सहायता प्रदान करना, B) गोल करने पर ध्यान केंद्रित करना, C) गोलकीपर के रूप में कार्य करना, D) सभी कॉर्नर किक लेना</v>
      </c>
      <c r="I351" s="5" t="str">
        <f>IFERROR(__xludf.DUMMYFUNCTION("GOOGLETRANSLATE(D351, ""en"", ""hi"")"),"A) रक्षात्मक क्षेत्र से गेंद को हटाना और रक्षा को अतिरिक्त सहायता प्रदान करना")</f>
        <v>A) रक्षात्मक क्षेत्र से गेंद को हटाना और रक्षा को अतिरिक्त सहायता प्रदान करना</v>
      </c>
    </row>
    <row r="352" ht="22.5" customHeight="1">
      <c r="A352" s="2">
        <v>351.0</v>
      </c>
      <c r="B352" s="3" t="s">
        <v>6173</v>
      </c>
      <c r="C352" s="3" t="s">
        <v>6174</v>
      </c>
      <c r="D352" s="3" t="s">
        <v>6175</v>
      </c>
      <c r="F352" s="5" t="str">
        <f>IFERROR(__xludf.DUMMYFUNCTION("GOOGLETRANSLATE(A352, ""en"", ""hi"")"),"351")</f>
        <v>351</v>
      </c>
      <c r="G352" s="5" t="str">
        <f>IFERROR(__xludf.DUMMYFUNCTION("GOOGLETRANSLATE(B352, ""en"", ""hi"")"),"ढोल खेल में अपने प्रदर्शन को बेहतर बनाने के लिए किसी टीम की सामान्य रणनीति क्या है?")</f>
        <v>ढोल खेल में अपने प्रदर्शन को बेहतर बनाने के लिए किसी टीम की सामान्य रणनीति क्या है?</v>
      </c>
      <c r="H352" s="5" t="str">
        <f>IFERROR(__xludf.DUMMYFUNCTION("GOOGLETRANSLATE(C352, ""en"", ""hi"")"),"A) कौशल, रणनीति और टीम वर्क का नियमित अभ्यास करना, B) अभ्यास सत्रों की अनदेखी करना, C) केवल व्यक्तिगत प्रदर्शन पर ध्यान केंद्रित करना, D) टीम मीटिंग से बचना")</f>
        <v>A) कौशल, रणनीति और टीम वर्क का नियमित अभ्यास करना, B) अभ्यास सत्रों की अनदेखी करना, C) केवल व्यक्तिगत प्रदर्शन पर ध्यान केंद्रित करना, D) टीम मीटिंग से बचना</v>
      </c>
      <c r="I352" s="5" t="str">
        <f>IFERROR(__xludf.DUMMYFUNCTION("GOOGLETRANSLATE(D352, ""en"", ""hi"")"),"क) कौशल, रणनीति और टीम वर्क का नियमित अभ्यास करना")</f>
        <v>क) कौशल, रणनीति और टीम वर्क का नियमित अभ्यास करना</v>
      </c>
    </row>
    <row r="353" ht="22.5" customHeight="1">
      <c r="A353" s="2">
        <v>352.0</v>
      </c>
      <c r="B353" s="3" t="s">
        <v>6176</v>
      </c>
      <c r="C353" s="3" t="s">
        <v>6177</v>
      </c>
      <c r="D353" s="3" t="s">
        <v>6178</v>
      </c>
      <c r="F353" s="5" t="str">
        <f>IFERROR(__xludf.DUMMYFUNCTION("GOOGLETRANSLATE(A353, ""en"", ""hi"")"),"352")</f>
        <v>352</v>
      </c>
      <c r="G353" s="5" t="str">
        <f>IFERROR(__xludf.DUMMYFUNCTION("GOOGLETRANSLATE(B353, ""en"", ""hi"")"),"ढोल खेल में एक खिलाड़ी ऊंची गेंद को प्रभावी ढंग से कैसे संभाल सकता है?")</f>
        <v>ढोल खेल में एक खिलाड़ी ऊंची गेंद को प्रभावी ढंग से कैसे संभाल सकता है?</v>
      </c>
      <c r="H353" s="5" t="str">
        <f>IFERROR(__xludf.DUMMYFUNCTION("GOOGLETRANSLATE(C353, ""en"", ""hi"")"),"A) स्वयं को सही स्थिति में रखकर तथा गेंद को नियंत्रित करने या हेड करने के लिए उचित तकनीक का उपयोग करके, B) गेंद को दूर किक करके, C) गेंद के नीचे आने का इंतजार करके, D) गेंद को अनदेखा करके")</f>
        <v>A) स्वयं को सही स्थिति में रखकर तथा गेंद को नियंत्रित करने या हेड करने के लिए उचित तकनीक का उपयोग करके, B) गेंद को दूर किक करके, C) गेंद के नीचे आने का इंतजार करके, D) गेंद को अनदेखा करके</v>
      </c>
      <c r="I353" s="5" t="str">
        <f>IFERROR(__xludf.DUMMYFUNCTION("GOOGLETRANSLATE(D353, ""en"", ""hi"")"),"ए) स्वयं को सही स्थिति में रखकर और गेंद को नियंत्रित करने या हेड करने के लिए उचित तकनीक का उपयोग करके")</f>
        <v>ए) स्वयं को सही स्थिति में रखकर और गेंद को नियंत्रित करने या हेड करने के लिए उचित तकनीक का उपयोग करके</v>
      </c>
    </row>
    <row r="354" ht="22.5" customHeight="1">
      <c r="A354" s="2">
        <v>353.0</v>
      </c>
      <c r="B354" s="3" t="s">
        <v>6179</v>
      </c>
      <c r="C354" s="3" t="s">
        <v>6180</v>
      </c>
      <c r="D354" s="3" t="s">
        <v>6181</v>
      </c>
      <c r="F354" s="5" t="str">
        <f>IFERROR(__xludf.DUMMYFUNCTION("GOOGLETRANSLATE(A354, ""en"", ""hi"")"),"353")</f>
        <v>353</v>
      </c>
      <c r="G354" s="5" t="str">
        <f>IFERROR(__xludf.DUMMYFUNCTION("GOOGLETRANSLATE(B354, ""en"", ""hi"")"),"ढोल खेल में टीम मैनेजर की क्या भूमिका होती है?")</f>
        <v>ढोल खेल में टीम मैनेजर की क्या भूमिका होती है?</v>
      </c>
      <c r="H354" s="5" t="str">
        <f>IFERROR(__xludf.DUMMYFUNCTION("GOOGLETRANSLATE(C354, ""en"", ""hi"")"),"ए) रसद, रणनीति और संचार सहित टीम संचालन की देखरेख करना, बी) फॉरवर्ड के रूप में खेलना, सी) गोल किक लेना, डी) व्यक्तिगत खिलाड़ी कौशल पर ध्यान केंद्रित करना")</f>
        <v>ए) रसद, रणनीति और संचार सहित टीम संचालन की देखरेख करना, बी) फॉरवर्ड के रूप में खेलना, सी) गोल किक लेना, डी) व्यक्तिगत खिलाड़ी कौशल पर ध्यान केंद्रित करना</v>
      </c>
      <c r="I354" s="5" t="str">
        <f>IFERROR(__xludf.DUMMYFUNCTION("GOOGLETRANSLATE(D354, ""en"", ""hi"")"),"ए) रसद, रणनीति और संचार सहित टीम संचालन की देखरेख करना")</f>
        <v>ए) रसद, रणनीति और संचार सहित टीम संचालन की देखरेख करना</v>
      </c>
    </row>
    <row r="355" ht="22.5" customHeight="1">
      <c r="A355" s="2">
        <v>354.0</v>
      </c>
      <c r="B355" s="3" t="s">
        <v>6182</v>
      </c>
      <c r="C355" s="3" t="s">
        <v>6183</v>
      </c>
      <c r="D355" s="3" t="s">
        <v>6184</v>
      </c>
      <c r="F355" s="5" t="str">
        <f>IFERROR(__xludf.DUMMYFUNCTION("GOOGLETRANSLATE(A355, ""en"", ""hi"")"),"354")</f>
        <v>354</v>
      </c>
      <c r="G355" s="5" t="str">
        <f>IFERROR(__xludf.DUMMYFUNCTION("GOOGLETRANSLATE(B355, ""en"", ""hi"")"),"ढोल खेल में फ्री किक और कॉर्नर जैसे सेट पीस का अभ्यास करने का क्या महत्व है?")</f>
        <v>ढोल खेल में फ्री किक और कॉर्नर जैसे सेट पीस का अभ्यास करने का क्या महत्व है?</v>
      </c>
      <c r="H355" s="5" t="str">
        <f>IFERROR(__xludf.DUMMYFUNCTION("GOOGLETRANSLATE(C355, ""en"", ""hi"")"),"A) स्कोरिंग के अवसर पैदा करना और खेल की रणनीति में सुधार करना, B) रक्षात्मक अभ्यास पर ध्यान केंद्रित करना, C) व्यक्तिगत ड्रिब्लिंग कौशल में सुधार करना, D) लंबी दूरी की दौड़ का अभ्यास करना")</f>
        <v>A) स्कोरिंग के अवसर पैदा करना और खेल की रणनीति में सुधार करना, B) रक्षात्मक अभ्यास पर ध्यान केंद्रित करना, C) व्यक्तिगत ड्रिब्लिंग कौशल में सुधार करना, D) लंबी दूरी की दौड़ का अभ्यास करना</v>
      </c>
      <c r="I355" s="5" t="str">
        <f>IFERROR(__xludf.DUMMYFUNCTION("GOOGLETRANSLATE(D355, ""en"", ""hi"")"),"A) स्कोरिंग के अवसर पैदा करना और खेल रणनीति में सुधार करना")</f>
        <v>A) स्कोरिंग के अवसर पैदा करना और खेल रणनीति में सुधार करना</v>
      </c>
    </row>
    <row r="356" ht="22.5" customHeight="1">
      <c r="A356" s="2">
        <v>355.0</v>
      </c>
      <c r="B356" s="3" t="s">
        <v>6185</v>
      </c>
      <c r="C356" s="3" t="s">
        <v>6186</v>
      </c>
      <c r="D356" s="3" t="s">
        <v>6187</v>
      </c>
      <c r="F356" s="5" t="str">
        <f>IFERROR(__xludf.DUMMYFUNCTION("GOOGLETRANSLATE(A356, ""en"", ""hi"")"),"355")</f>
        <v>355</v>
      </c>
      <c r="G356" s="5" t="str">
        <f>IFERROR(__xludf.DUMMYFUNCTION("GOOGLETRANSLATE(B356, ""en"", ""hi"")"),"ढोल खेल में रक्षात्मक प्रशिक्षण का प्राथमिक फोकस क्या है?")</f>
        <v>ढोल खेल में रक्षात्मक प्रशिक्षण का प्राथमिक फोकस क्या है?</v>
      </c>
      <c r="H356" s="5" t="str">
        <f>IFERROR(__xludf.DUMMYFUNCTION("GOOGLETRANSLATE(C356, ""en"", ""hi"")"),"A) पोजिशनिंग, मार्किंग और टैकलिंग तकनीकों में सुधार करना, B) गोल करने का अभ्यास करना, C) ड्रिब्लिंग पर काम करना, D) गोलकीपिंग कौशल पर ध्यान केंद्रित करना")</f>
        <v>A) पोजिशनिंग, मार्किंग और टैकलिंग तकनीकों में सुधार करना, B) गोल करने का अभ्यास करना, C) ड्रिब्लिंग पर काम करना, D) गोलकीपिंग कौशल पर ध्यान केंद्रित करना</v>
      </c>
      <c r="I356" s="5" t="str">
        <f>IFERROR(__xludf.DUMMYFUNCTION("GOOGLETRANSLATE(D356, ""en"", ""hi"")"),"A) पोजिशनिंग, मार्किंग और टैकलिंग तकनीकों में सुधार करना")</f>
        <v>A) पोजिशनिंग, मार्किंग और टैकलिंग तकनीकों में सुधार करना</v>
      </c>
    </row>
    <row r="357" ht="22.5" customHeight="1">
      <c r="A357" s="2">
        <v>356.0</v>
      </c>
      <c r="B357" s="3" t="s">
        <v>6188</v>
      </c>
      <c r="C357" s="3" t="s">
        <v>6189</v>
      </c>
      <c r="D357" s="3" t="s">
        <v>6190</v>
      </c>
      <c r="F357" s="5" t="str">
        <f>IFERROR(__xludf.DUMMYFUNCTION("GOOGLETRANSLATE(A357, ""en"", ""hi"")"),"356")</f>
        <v>356</v>
      </c>
      <c r="G357" s="5" t="str">
        <f>IFERROR(__xludf.DUMMYFUNCTION("GOOGLETRANSLATE(B357, ""en"", ""hi"")"),"ढोल खेल में प्रभावी टीमवर्क का मुख्य तत्व क्या है?")</f>
        <v>ढोल खेल में प्रभावी टीमवर्क का मुख्य तत्व क्या है?</v>
      </c>
      <c r="H357" s="5" t="str">
        <f>IFERROR(__xludf.DUMMYFUNCTION("GOOGLETRANSLATE(C357, ""en"", ""hi"")"),"ए) खिलाड़ियों के बीच स्पष्ट संवाद और समन्वय, बी) टीम के साथियों की अनदेखी, सी) केवल व्यक्तिगत प्रदर्शन पर ध्यान केंद्रित करना, डी) पासिंग से बचना")</f>
        <v>ए) खिलाड़ियों के बीच स्पष्ट संवाद और समन्वय, बी) टीम के साथियों की अनदेखी, सी) केवल व्यक्तिगत प्रदर्शन पर ध्यान केंद्रित करना, डी) पासिंग से बचना</v>
      </c>
      <c r="I357" s="5" t="str">
        <f>IFERROR(__xludf.DUMMYFUNCTION("GOOGLETRANSLATE(D357, ""en"", ""hi"")"),"ए) खिलाड़ियों के बीच स्पष्ट संचार और समन्वय")</f>
        <v>ए) खिलाड़ियों के बीच स्पष्ट संचार और समन्वय</v>
      </c>
    </row>
    <row r="358" ht="22.5" customHeight="1">
      <c r="A358" s="2">
        <v>357.0</v>
      </c>
      <c r="B358" s="3" t="s">
        <v>6191</v>
      </c>
      <c r="C358" s="3" t="s">
        <v>6192</v>
      </c>
      <c r="D358" s="3" t="s">
        <v>6193</v>
      </c>
      <c r="F358" s="5" t="str">
        <f>IFERROR(__xludf.DUMMYFUNCTION("GOOGLETRANSLATE(A358, ""en"", ""hi"")"),"357")</f>
        <v>357</v>
      </c>
      <c r="G358" s="5" t="str">
        <f>IFERROR(__xludf.DUMMYFUNCTION("GOOGLETRANSLATE(B358, ""en"", ""hi"")"),"ढोल खेल में जब किसी खिलाड़ी की टीम को प्रतिद्वंद्वी के पेनल्टी क्षेत्र के पास फ्री किक दी जाती है तो उसे क्या करना चाहिए?")</f>
        <v>ढोल खेल में जब किसी खिलाड़ी की टीम को प्रतिद्वंद्वी के पेनल्टी क्षेत्र के पास फ्री किक दी जाती है तो उसे क्या करना चाहिए?</v>
      </c>
      <c r="H358" s="5" t="str">
        <f>IFERROR(__xludf.DUMMYFUNCTION("GOOGLETRANSLATE(C358, ""en"", ""hi"")"),"A) गोल पर निशाना लगाएँ या बेहतर स्थिति में मौजूद टीम के साथी को पास दें, B) गेंद को गोलकीपर को पास करें, C) किक में देरी करें, D) बचाव पर ध्यान केंद्रित करें")</f>
        <v>A) गोल पर निशाना लगाएँ या बेहतर स्थिति में मौजूद टीम के साथी को पास दें, B) गेंद को गोलकीपर को पास करें, C) किक में देरी करें, D) बचाव पर ध्यान केंद्रित करें</v>
      </c>
      <c r="I358" s="5" t="str">
        <f>IFERROR(__xludf.DUMMYFUNCTION("GOOGLETRANSLATE(D358, ""en"", ""hi"")"),"A) गोल पर निशाना लगाएँ या बेहतर स्थिति में मौजूद टीम के साथी को पास दें")</f>
        <v>A) गोल पर निशाना लगाएँ या बेहतर स्थिति में मौजूद टीम के साथी को पास दें</v>
      </c>
    </row>
    <row r="359" ht="22.5" customHeight="1">
      <c r="A359" s="2">
        <v>358.0</v>
      </c>
      <c r="B359" s="3" t="s">
        <v>6194</v>
      </c>
      <c r="C359" s="3" t="s">
        <v>6195</v>
      </c>
      <c r="D359" s="3" t="s">
        <v>6196</v>
      </c>
      <c r="F359" s="5" t="str">
        <f>IFERROR(__xludf.DUMMYFUNCTION("GOOGLETRANSLATE(A359, ""en"", ""hi"")"),"358")</f>
        <v>358</v>
      </c>
      <c r="G359" s="5" t="str">
        <f>IFERROR(__xludf.DUMMYFUNCTION("GOOGLETRANSLATE(B359, ""en"", ""hi"")"),"ढोल खेल में खिलाड़ी अपनी शूटिंग की सटीकता कैसे सुधार सकते हैं?")</f>
        <v>ढोल खेल में खिलाड़ी अपनी शूटिंग की सटीकता कैसे सुधार सकते हैं?</v>
      </c>
      <c r="H359" s="5" t="str">
        <f>IFERROR(__xludf.DUMMYFUNCTION("GOOGLETRANSLATE(C359, ""en"", ""hi"")"),"A) विभिन्न शूटिंग तकनीकों का अभ्यास करके और सटीकता पर ध्यान केंद्रित करके, B) अभ्यास से बचकर, C) केवल ड्रिब्लिंग पर ध्यान केंद्रित करके, D) गोलकीपिंग अभ्यासों को अनदेखा करके")</f>
        <v>A) विभिन्न शूटिंग तकनीकों का अभ्यास करके और सटीकता पर ध्यान केंद्रित करके, B) अभ्यास से बचकर, C) केवल ड्रिब्लिंग पर ध्यान केंद्रित करके, D) गोलकीपिंग अभ्यासों को अनदेखा करके</v>
      </c>
      <c r="I359" s="5" t="str">
        <f>IFERROR(__xludf.DUMMYFUNCTION("GOOGLETRANSLATE(D359, ""en"", ""hi"")"),"A) विभिन्न शूटिंग तकनीकों का अभ्यास करके और सटीकता पर ध्यान केंद्रित करके")</f>
        <v>A) विभिन्न शूटिंग तकनीकों का अभ्यास करके और सटीकता पर ध्यान केंद्रित करके</v>
      </c>
    </row>
    <row r="360" ht="22.5" customHeight="1">
      <c r="A360" s="2">
        <v>359.0</v>
      </c>
      <c r="B360" s="3" t="s">
        <v>6197</v>
      </c>
      <c r="C360" s="3" t="s">
        <v>6198</v>
      </c>
      <c r="D360" s="3" t="s">
        <v>6199</v>
      </c>
      <c r="F360" s="5" t="str">
        <f>IFERROR(__xludf.DUMMYFUNCTION("GOOGLETRANSLATE(A360, ""en"", ""hi"")"),"359")</f>
        <v>359</v>
      </c>
      <c r="G360" s="5" t="str">
        <f>IFERROR(__xludf.DUMMYFUNCTION("GOOGLETRANSLATE(B360, ""en"", ""hi"")"),"ढोल खेल में रक्षात्मक पंक्ति की क्या भूमिका होती है?")</f>
        <v>ढोल खेल में रक्षात्मक पंक्ति की क्या भूमिका होती है?</v>
      </c>
      <c r="H360" s="5" t="str">
        <f>IFERROR(__xludf.DUMMYFUNCTION("GOOGLETRANSLATE(C360, ""en"", ""hi"")"),"A) आक्रमणकारी खेलों को रोकना और रोकना तथा गोल की रक्षा करना, B) गोल करने पर ध्यान केंद्रित करना, C) कॉर्नर किक लेना, D) गोलकीपर के रूप में कार्य करना")</f>
        <v>A) आक्रमणकारी खेलों को रोकना और रोकना तथा गोल की रक्षा करना, B) गोल करने पर ध्यान केंद्रित करना, C) कॉर्नर किक लेना, D) गोलकीपर के रूप में कार्य करना</v>
      </c>
      <c r="I360" s="5" t="str">
        <f>IFERROR(__xludf.DUMMYFUNCTION("GOOGLETRANSLATE(D360, ""en"", ""hi"")"),"A) आक्रमणकारी खेलों को रोकना और रोकना तथा गोल की रक्षा करना")</f>
        <v>A) आक्रमणकारी खेलों को रोकना और रोकना तथा गोल की रक्षा करना</v>
      </c>
    </row>
    <row r="361" ht="22.5" customHeight="1">
      <c r="A361" s="2">
        <v>360.0</v>
      </c>
      <c r="B361" s="3" t="s">
        <v>6200</v>
      </c>
      <c r="C361" s="3" t="s">
        <v>6201</v>
      </c>
      <c r="D361" s="3" t="s">
        <v>6202</v>
      </c>
      <c r="F361" s="5" t="str">
        <f>IFERROR(__xludf.DUMMYFUNCTION("GOOGLETRANSLATE(A361, ""en"", ""hi"")"),"360")</f>
        <v>360</v>
      </c>
      <c r="G361" s="5" t="str">
        <f>IFERROR(__xludf.DUMMYFUNCTION("GOOGLETRANSLATE(B361, ""en"", ""hi"")"),"ढोल खेल में डायरेक्ट फ्री किक के दौरान खिलाड़ी को किस बात पर ध्यान केंद्रित करना चाहिए?")</f>
        <v>ढोल खेल में डायरेक्ट फ्री किक के दौरान खिलाड़ी को किस बात पर ध्यान केंद्रित करना चाहिए?</v>
      </c>
      <c r="H361" s="5" t="str">
        <f>IFERROR(__xludf.DUMMYFUNCTION("GOOGLETRANSLATE(C361, ""en"", ""hi"")"),"A) सटीकता और शक्ति के साथ गोल पर निशाना लगाना, B) टीम के साथी को गेंद पास करना, C) प्रतिद्वंद्वी के कदम उठाने की प्रतीक्षा करना, D) केवल बचाव पर ध्यान केंद्रित करना")</f>
        <v>A) सटीकता और शक्ति के साथ गोल पर निशाना लगाना, B) टीम के साथी को गेंद पास करना, C) प्रतिद्वंद्वी के कदम उठाने की प्रतीक्षा करना, D) केवल बचाव पर ध्यान केंद्रित करना</v>
      </c>
      <c r="I361" s="5" t="str">
        <f>IFERROR(__xludf.DUMMYFUNCTION("GOOGLETRANSLATE(D361, ""en"", ""hi"")"),"A) सटीकता और शक्ति के साथ लक्ष्य पर निशाना लगाना")</f>
        <v>A) सटीकता और शक्ति के साथ लक्ष्य पर निशाना लगाना</v>
      </c>
    </row>
    <row r="362" ht="22.5" customHeight="1">
      <c r="A362" s="2">
        <v>361.0</v>
      </c>
      <c r="B362" s="3" t="s">
        <v>6203</v>
      </c>
      <c r="C362" s="3" t="s">
        <v>6204</v>
      </c>
      <c r="D362" s="3" t="s">
        <v>6205</v>
      </c>
      <c r="F362" s="5" t="str">
        <f>IFERROR(__xludf.DUMMYFUNCTION("GOOGLETRANSLATE(A362, ""en"", ""hi"")"),"361")</f>
        <v>361</v>
      </c>
      <c r="G362" s="5" t="str">
        <f>IFERROR(__xludf.DUMMYFUNCTION("GOOGLETRANSLATE(B362, ""en"", ""hi"")"),"ढोल खेल में, खिलाड़ी के गेंद पर नियंत्रण को बेहतर बनाने के लिए आम अभ्यास क्या है?")</f>
        <v>ढोल खेल में, खिलाड़ी के गेंद पर नियंत्रण को बेहतर बनाने के लिए आम अभ्यास क्या है?</v>
      </c>
      <c r="H362" s="5" t="str">
        <f>IFERROR(__xludf.DUMMYFUNCTION("GOOGLETRANSLATE(C362, ""en"", ""hi"")"),"A) शंकुओं के बीच से ड्रिब्लिंग करना और गेंद पर नजदीकी नियंत्रण का अभ्यास करना, B) लंबी दूरी तक दौड़ना, C) गोल किक का अभ्यास करना, D) गेंद पर नियंत्रण अभ्यास की अनदेखी करना")</f>
        <v>A) शंकुओं के बीच से ड्रिब्लिंग करना और गेंद पर नजदीकी नियंत्रण का अभ्यास करना, B) लंबी दूरी तक दौड़ना, C) गोल किक का अभ्यास करना, D) गेंद पर नियंत्रण अभ्यास की अनदेखी करना</v>
      </c>
      <c r="I362" s="5" t="str">
        <f>IFERROR(__xludf.DUMMYFUNCTION("GOOGLETRANSLATE(D362, ""en"", ""hi"")"),"A) शंकुओं के बीच से ड्रिब्लिंग करना और निकट गेंद नियंत्रण का अभ्यास करना")</f>
        <v>A) शंकुओं के बीच से ड्रिब्लिंग करना और निकट गेंद नियंत्रण का अभ्यास करना</v>
      </c>
    </row>
    <row r="363" ht="22.5" customHeight="1">
      <c r="A363" s="2">
        <v>362.0</v>
      </c>
      <c r="B363" s="3" t="s">
        <v>6206</v>
      </c>
      <c r="C363" s="3" t="s">
        <v>6207</v>
      </c>
      <c r="D363" s="3" t="s">
        <v>6208</v>
      </c>
      <c r="F363" s="5" t="str">
        <f>IFERROR(__xludf.DUMMYFUNCTION("GOOGLETRANSLATE(A363, ""en"", ""hi"")"),"362")</f>
        <v>362</v>
      </c>
      <c r="G363" s="5" t="str">
        <f>IFERROR(__xludf.DUMMYFUNCTION("GOOGLETRANSLATE(B363, ""en"", ""hi"")"),"ढोल खेल में जवाबी हमले का प्राथमिक उद्देश्य क्या है?")</f>
        <v>ढोल खेल में जवाबी हमले का प्राथमिक उद्देश्य क्या है?</v>
      </c>
      <c r="H363" s="5" t="str">
        <f>IFERROR(__xludf.DUMMYFUNCTION("GOOGLETRANSLATE(C363, ""en"", ""hi"")"),"A) रक्षा से आक्रमण की ओर तेजी से बढ़ना और प्रतिद्वंद्वी की कमजोरियों का फायदा उठाना, B) केवल बचाव पर ध्यान केंद्रित करना, C) खेल में देरी करना, D) गोलकीपिंग तकनीकों का अभ्यास करना")</f>
        <v>A) रक्षा से आक्रमण की ओर तेजी से बढ़ना और प्रतिद्वंद्वी की कमजोरियों का फायदा उठाना, B) केवल बचाव पर ध्यान केंद्रित करना, C) खेल में देरी करना, D) गोलकीपिंग तकनीकों का अभ्यास करना</v>
      </c>
      <c r="I363" s="5" t="str">
        <f>IFERROR(__xludf.DUMMYFUNCTION("GOOGLETRANSLATE(D363, ""en"", ""hi"")"),"A) रक्षा से आक्रमण की ओर शीघ्रता से संक्रमण करना और प्रतिद्वंद्वी की कमजोरियों का फायदा उठाना")</f>
        <v>A) रक्षा से आक्रमण की ओर शीघ्रता से संक्रमण करना और प्रतिद्वंद्वी की कमजोरियों का फायदा उठाना</v>
      </c>
    </row>
    <row r="364" ht="22.5" customHeight="1">
      <c r="A364" s="2">
        <v>363.0</v>
      </c>
      <c r="B364" s="3" t="s">
        <v>6209</v>
      </c>
      <c r="C364" s="3" t="s">
        <v>6210</v>
      </c>
      <c r="D364" s="3" t="s">
        <v>6211</v>
      </c>
      <c r="F364" s="5" t="str">
        <f>IFERROR(__xludf.DUMMYFUNCTION("GOOGLETRANSLATE(A364, ""en"", ""hi"")"),"363")</f>
        <v>363</v>
      </c>
      <c r="G364" s="5" t="str">
        <f>IFERROR(__xludf.DUMMYFUNCTION("GOOGLETRANSLATE(B364, ""en"", ""hi"")"),"ढोल खेल में, किसी टीम के आक्रामक खेल को सुधारने का सामान्य तरीका क्या है?")</f>
        <v>ढोल खेल में, किसी टीम के आक्रामक खेल को सुधारने का सामान्य तरीका क्या है?</v>
      </c>
      <c r="H364" s="5" t="str">
        <f>IFERROR(__xludf.DUMMYFUNCTION("GOOGLETRANSLATE(C364, ""en"", ""hi"")"),"A) प्रतिद्वंद्वी की रक्षा को तोड़ने के लिए त्वरित पासिंग और मूवमेंट पर काम करना, B) आक्रामक रणनीति की अनदेखी करना, C) केवल व्यक्तिगत कौशल पर ध्यान केंद्रित करना, D) केवल रक्षात्मक अभ्यास करना")</f>
        <v>A) प्रतिद्वंद्वी की रक्षा को तोड़ने के लिए त्वरित पासिंग और मूवमेंट पर काम करना, B) आक्रामक रणनीति की अनदेखी करना, C) केवल व्यक्तिगत कौशल पर ध्यान केंद्रित करना, D) केवल रक्षात्मक अभ्यास करना</v>
      </c>
      <c r="I364" s="5" t="str">
        <f>IFERROR(__xludf.DUMMYFUNCTION("GOOGLETRANSLATE(D364, ""en"", ""hi"")"),"A) प्रतिद्वंद्वी की रक्षा को तोड़ने के लिए त्वरित पासिंग और मूवमेंट पर काम करना")</f>
        <v>A) प्रतिद्वंद्वी की रक्षा को तोड़ने के लिए त्वरित पासिंग और मूवमेंट पर काम करना</v>
      </c>
    </row>
    <row r="365" ht="22.5" customHeight="1">
      <c r="A365" s="2">
        <v>364.0</v>
      </c>
      <c r="B365" s="3" t="s">
        <v>6212</v>
      </c>
      <c r="C365" s="3" t="s">
        <v>6213</v>
      </c>
      <c r="D365" s="3" t="s">
        <v>6214</v>
      </c>
      <c r="F365" s="5" t="str">
        <f>IFERROR(__xludf.DUMMYFUNCTION("GOOGLETRANSLATE(A365, ""en"", ""hi"")"),"364")</f>
        <v>364</v>
      </c>
      <c r="G365" s="5" t="str">
        <f>IFERROR(__xludf.DUMMYFUNCTION("GOOGLETRANSLATE(B365, ""en"", ""hi"")"),"ढोल खेल में जब खिलाड़ी को किसी मजबूत प्रतिद्वंद्वी का सामना करना हो तो उसे खेल के प्रति कैसा दृष्टिकोण अपनाना चाहिए?")</f>
        <v>ढोल खेल में जब खिलाड़ी को किसी मजबूत प्रतिद्वंद्वी का सामना करना हो तो उसे खेल के प्रति कैसा दृष्टिकोण अपनाना चाहिए?</v>
      </c>
      <c r="H365" s="5" t="str">
        <f>IFERROR(__xludf.DUMMYFUNCTION("GOOGLETRANSLATE(C365, ""en"", ""hi"")"),"A) सामरिक अनुशासन पर ध्यान केंद्रित करके और किसी भी कमजोरी का फायदा उठाकर, B) लापरवाही से खेलकर, C) टीम की रणनीतियों की अनदेखी करके, D) केवल व्यक्तिगत कौशल पर ध्यान केंद्रित करके")</f>
        <v>A) सामरिक अनुशासन पर ध्यान केंद्रित करके और किसी भी कमजोरी का फायदा उठाकर, B) लापरवाही से खेलकर, C) टीम की रणनीतियों की अनदेखी करके, D) केवल व्यक्तिगत कौशल पर ध्यान केंद्रित करके</v>
      </c>
      <c r="I365" s="5" t="str">
        <f>IFERROR(__xludf.DUMMYFUNCTION("GOOGLETRANSLATE(D365, ""en"", ""hi"")"),"A) सामरिक अनुशासन पर ध्यान केंद्रित करके और किसी भी कमजोरी का फायदा उठाकर")</f>
        <v>A) सामरिक अनुशासन पर ध्यान केंद्रित करके और किसी भी कमजोरी का फायदा उठाकर</v>
      </c>
    </row>
    <row r="366" ht="22.5" customHeight="1">
      <c r="A366" s="2">
        <v>365.0</v>
      </c>
      <c r="B366" s="3" t="s">
        <v>6215</v>
      </c>
      <c r="C366" s="3" t="s">
        <v>6216</v>
      </c>
      <c r="D366" s="3" t="s">
        <v>6217</v>
      </c>
      <c r="F366" s="5" t="str">
        <f>IFERROR(__xludf.DUMMYFUNCTION("GOOGLETRANSLATE(A366, ""en"", ""hi"")"),"365")</f>
        <v>365</v>
      </c>
      <c r="G366" s="5" t="str">
        <f>IFERROR(__xludf.DUMMYFUNCTION("GOOGLETRANSLATE(B366, ""en"", ""hi"")"),"ढोल खेल में मैच की तैयारी का एक महत्वपूर्ण पहलू क्या है?")</f>
        <v>ढोल खेल में मैच की तैयारी का एक महत्वपूर्ण पहलू क्या है?</v>
      </c>
      <c r="H366" s="5" t="str">
        <f>IFERROR(__xludf.DUMMYFUNCTION("GOOGLETRANSLATE(C366, ""en"", ""hi"")"),"A) प्रतिद्वंद्वी की ताकत और कमजोरियों को समझना और उसके अनुसार योजना बनाना, B) प्रतिद्वंद्वी की रणनीति को नजरअंदाज करना, C) केवल व्यक्तिगत प्रदर्शन पर ध्यान केंद्रित करना, D) अभ्यास सत्रों से बचना")</f>
        <v>A) प्रतिद्वंद्वी की ताकत और कमजोरियों को समझना और उसके अनुसार योजना बनाना, B) प्रतिद्वंद्वी की रणनीति को नजरअंदाज करना, C) केवल व्यक्तिगत प्रदर्शन पर ध्यान केंद्रित करना, D) अभ्यास सत्रों से बचना</v>
      </c>
      <c r="I366" s="5" t="str">
        <f>IFERROR(__xludf.DUMMYFUNCTION("GOOGLETRANSLATE(D366, ""en"", ""hi"")"),"A) प्रतिद्वंद्वी की ताकत और कमजोरियों को समझना और उसके अनुसार योजना बनाना")</f>
        <v>A) प्रतिद्वंद्वी की ताकत और कमजोरियों को समझना और उसके अनुसार योजना बनाना</v>
      </c>
    </row>
    <row r="367" ht="22.5" customHeight="1">
      <c r="A367" s="2">
        <v>366.0</v>
      </c>
      <c r="B367" s="3" t="s">
        <v>6218</v>
      </c>
      <c r="C367" s="3" t="s">
        <v>6219</v>
      </c>
      <c r="D367" s="3" t="s">
        <v>6220</v>
      </c>
      <c r="F367" s="5" t="str">
        <f>IFERROR(__xludf.DUMMYFUNCTION("GOOGLETRANSLATE(A367, ""en"", ""hi"")"),"366")</f>
        <v>366</v>
      </c>
      <c r="G367" s="5" t="str">
        <f>IFERROR(__xludf.DUMMYFUNCTION("GOOGLETRANSLATE(B367, ""en"", ""hi"")"),"ढोल खेल में टीम के सहयोगी स्टाफ की क्या भूमिका होती है?")</f>
        <v>ढोल खेल में टीम के सहयोगी स्टाफ की क्या भूमिका होती है?</v>
      </c>
      <c r="H367" s="5" t="str">
        <f>IFERROR(__xludf.DUMMYFUNCTION("GOOGLETRANSLATE(C367, ""en"", ""hi"")"),"ए) प्रशिक्षण, चिकित्सा देखभाल और रसद में सहायता प्रदान करना, बी) फॉरवर्ड के रूप में खेलना, सी) गोल किक लेना, डी) केवल व्यक्तिगत खिलाड़ी कौशल पर ध्यान केंद्रित करना")</f>
        <v>ए) प्रशिक्षण, चिकित्सा देखभाल और रसद में सहायता प्रदान करना, बी) फॉरवर्ड के रूप में खेलना, सी) गोल किक लेना, डी) केवल व्यक्तिगत खिलाड़ी कौशल पर ध्यान केंद्रित करना</v>
      </c>
      <c r="I367" s="5" t="str">
        <f>IFERROR(__xludf.DUMMYFUNCTION("GOOGLETRANSLATE(D367, ""en"", ""hi"")"),"A) प्रशिक्षण, चिकित्सा देखभाल और रसद में सहायता प्रदान करना")</f>
        <v>A) प्रशिक्षण, चिकित्सा देखभाल और रसद में सहायता प्रदान करना</v>
      </c>
    </row>
    <row r="368" ht="22.5" customHeight="1">
      <c r="A368" s="2">
        <v>367.0</v>
      </c>
      <c r="B368" s="3" t="s">
        <v>6221</v>
      </c>
      <c r="C368" s="3" t="s">
        <v>6222</v>
      </c>
      <c r="D368" s="3" t="s">
        <v>6223</v>
      </c>
      <c r="F368" s="5" t="str">
        <f>IFERROR(__xludf.DUMMYFUNCTION("GOOGLETRANSLATE(A368, ""en"", ""hi"")"),"367")</f>
        <v>367</v>
      </c>
      <c r="G368" s="5" t="str">
        <f>IFERROR(__xludf.DUMMYFUNCTION("GOOGLETRANSLATE(B368, ""en"", ""hi"")"),"ढोल खेल में मैच के दौरान एक खिलाड़ी दबाव से प्रभावी ढंग से कैसे निपट सकता है?")</f>
        <v>ढोल खेल में मैच के दौरान एक खिलाड़ी दबाव से प्रभावी ढंग से कैसे निपट सकता है?</v>
      </c>
      <c r="H368" s="5" t="str">
        <f>IFERROR(__xludf.DUMMYFUNCTION("GOOGLETRANSLATE(C368, ""en"", ""hi"")"),"A) ध्यान केंद्रित रखकर, धैर्य बनाए रखकर, और खेल की योजना पर अड़े रहकर, B) घबराकर और जल्दबाजी में निर्णय लेकर, C) खेल की योजना को नजरअंदाज करके, D) गेंद के संपर्क से बचकर")</f>
        <v>A) ध्यान केंद्रित रखकर, धैर्य बनाए रखकर, और खेल की योजना पर अड़े रहकर, B) घबराकर और जल्दबाजी में निर्णय लेकर, C) खेल की योजना को नजरअंदाज करके, D) गेंद के संपर्क से बचकर</v>
      </c>
      <c r="I368" s="5" t="str">
        <f>IFERROR(__xludf.DUMMYFUNCTION("GOOGLETRANSLATE(D368, ""en"", ""hi"")"),"A) ध्यान केंद्रित रखकर, धैर्य बनाए रखकर, और खेल योजना पर अडिग रहकर")</f>
        <v>A) ध्यान केंद्रित रखकर, धैर्य बनाए रखकर, और खेल योजना पर अडिग रहकर</v>
      </c>
    </row>
    <row r="369" ht="22.5" customHeight="1">
      <c r="A369" s="2">
        <v>368.0</v>
      </c>
      <c r="B369" s="3" t="s">
        <v>6224</v>
      </c>
      <c r="C369" s="3" t="s">
        <v>6225</v>
      </c>
      <c r="D369" s="3" t="s">
        <v>6226</v>
      </c>
      <c r="F369" s="5" t="str">
        <f>IFERROR(__xludf.DUMMYFUNCTION("GOOGLETRANSLATE(A369, ""en"", ""hi"")"),"368")</f>
        <v>368</v>
      </c>
      <c r="G369" s="5" t="str">
        <f>IFERROR(__xludf.DUMMYFUNCTION("GOOGLETRANSLATE(B369, ""en"", ""hi"")"),"ढोल खेल में मिडफील्डर का मुख्य उद्देश्य क्या है?")</f>
        <v>ढोल खेल में मिडफील्डर का मुख्य उद्देश्य क्या है?</v>
      </c>
      <c r="H369" s="5" t="str">
        <f>IFERROR(__xludf.DUMMYFUNCTION("GOOGLETRANSLATE(C369, ""en"", ""hi"")"),"A) खेल की गति को नियंत्रित करना और गेंद को प्रभावी ढंग से वितरित करना, B) गोल करना, C) गोल की रक्षा करना, D) गोल किक लेना")</f>
        <v>A) खेल की गति को नियंत्रित करना और गेंद को प्रभावी ढंग से वितरित करना, B) गोल करना, C) गोल की रक्षा करना, D) गोल किक लेना</v>
      </c>
      <c r="I369" s="5" t="str">
        <f>IFERROR(__xludf.DUMMYFUNCTION("GOOGLETRANSLATE(D369, ""en"", ""hi"")"),"A) खेल की गति को नियंत्रित करना और गेंद को प्रभावी ढंग से वितरित करना")</f>
        <v>A) खेल की गति को नियंत्रित करना और गेंद को प्रभावी ढंग से वितरित करना</v>
      </c>
    </row>
    <row r="370" ht="22.5" customHeight="1">
      <c r="A370" s="2">
        <v>369.0</v>
      </c>
      <c r="B370" s="3" t="s">
        <v>6227</v>
      </c>
      <c r="C370" s="3" t="s">
        <v>6228</v>
      </c>
      <c r="D370" s="3" t="s">
        <v>6229</v>
      </c>
      <c r="F370" s="5" t="str">
        <f>IFERROR(__xludf.DUMMYFUNCTION("GOOGLETRANSLATE(A370, ""en"", ""hi"")"),"369")</f>
        <v>369</v>
      </c>
      <c r="G370" s="5" t="str">
        <f>IFERROR(__xludf.DUMMYFUNCTION("GOOGLETRANSLATE(B370, ""en"", ""hi"")"),"ढोल खेल में मैच के दौरान गेंद पर कब्जा बनाए रखने के लिए क्या महत्वपूर्ण है?")</f>
        <v>ढोल खेल में मैच के दौरान गेंद पर कब्जा बनाए रखने के लिए क्या महत्वपूर्ण है?</v>
      </c>
      <c r="H370" s="5" t="str">
        <f>IFERROR(__xludf.DUMMYFUNCTION("GOOGLETRANSLATE(C370, ""en"", ""hi"")"),"A) सटीक पासिंग और त्वरित गति, B) केवल रक्षा पर ध्यान केंद्रित करना, C) टीम के साथियों की अनदेखी करना, D) गेंद को लंबी दूरी तक किक करना")</f>
        <v>A) सटीक पासिंग और त्वरित गति, B) केवल रक्षा पर ध्यान केंद्रित करना, C) टीम के साथियों की अनदेखी करना, D) गेंद को लंबी दूरी तक किक करना</v>
      </c>
      <c r="I370" s="5" t="str">
        <f>IFERROR(__xludf.DUMMYFUNCTION("GOOGLETRANSLATE(D370, ""en"", ""hi"")"),"A) सटीक पासिंग और त्वरित गति")</f>
        <v>A) सटीक पासिंग और त्वरित गति</v>
      </c>
    </row>
    <row r="371" ht="22.5" customHeight="1">
      <c r="A371" s="2">
        <v>370.0</v>
      </c>
      <c r="B371" s="3" t="s">
        <v>6230</v>
      </c>
      <c r="C371" s="3" t="s">
        <v>6231</v>
      </c>
      <c r="D371" s="3" t="s">
        <v>6232</v>
      </c>
      <c r="F371" s="5" t="str">
        <f>IFERROR(__xludf.DUMMYFUNCTION("GOOGLETRANSLATE(A371, ""en"", ""hi"")"),"370")</f>
        <v>370</v>
      </c>
      <c r="G371" s="5" t="str">
        <f>IFERROR(__xludf.DUMMYFUNCTION("GOOGLETRANSLATE(B371, ""en"", ""hi"")"),"ढोल खेल में गोलकीपर की प्राथमिक भूमिका क्या है?")</f>
        <v>ढोल खेल में गोलकीपर की प्राथमिक भूमिका क्या है?</v>
      </c>
      <c r="H371" s="5" t="str">
        <f>IFERROR(__xludf.DUMMYFUNCTION("GOOGLETRANSLATE(C371, ""en"", ""hi"")"),"A) गेंद को गोल में जाने से रोकना, B) गोल करना, C) कॉर्नर किक लेना, D) फॉरवर्ड के रूप में काम करना")</f>
        <v>A) गेंद को गोल में जाने से रोकना, B) गोल करना, C) कॉर्नर किक लेना, D) फॉरवर्ड के रूप में काम करना</v>
      </c>
      <c r="I371" s="5" t="str">
        <f>IFERROR(__xludf.DUMMYFUNCTION("GOOGLETRANSLATE(D371, ""en"", ""hi"")"),"A) गेंद को गोल में जाने से रोकने के लिए")</f>
        <v>A) गेंद को गोल में जाने से रोकने के लिए</v>
      </c>
    </row>
    <row r="372" ht="22.5" customHeight="1">
      <c r="A372" s="2">
        <v>371.0</v>
      </c>
      <c r="B372" s="3" t="s">
        <v>6233</v>
      </c>
      <c r="C372" s="3" t="s">
        <v>6234</v>
      </c>
      <c r="D372" s="3" t="s">
        <v>6235</v>
      </c>
      <c r="F372" s="5" t="str">
        <f>IFERROR(__xludf.DUMMYFUNCTION("GOOGLETRANSLATE(A372, ""en"", ""hi"")"),"371")</f>
        <v>371</v>
      </c>
      <c r="G372" s="5" t="str">
        <f>IFERROR(__xludf.DUMMYFUNCTION("GOOGLETRANSLATE(B372, ""en"", ""hi"")"),"ढोल खेल में यदि किसी खिलाड़ी को पेनल्टी किक दी जाए तो उसे क्या करना चाहिए?")</f>
        <v>ढोल खेल में यदि किसी खिलाड़ी को पेनल्टी किक दी जाए तो उसे क्या करना चाहिए?</v>
      </c>
      <c r="H372" s="5" t="str">
        <f>IFERROR(__xludf.DUMMYFUNCTION("GOOGLETRANSLATE(C372, ""en"", ""hi"")"),"A) सटीकता और शक्ति के साथ गोल पर निशाना लगाना, B) गेंद को टीम के साथी को पास करना, C) किक में देरी करना, D) बचाव पर ध्यान केंद्रित करना")</f>
        <v>A) सटीकता और शक्ति के साथ गोल पर निशाना लगाना, B) गेंद को टीम के साथी को पास करना, C) किक में देरी करना, D) बचाव पर ध्यान केंद्रित करना</v>
      </c>
      <c r="I372" s="5" t="str">
        <f>IFERROR(__xludf.DUMMYFUNCTION("GOOGLETRANSLATE(D372, ""en"", ""hi"")"),"A) सटीकता और शक्ति के साथ लक्ष्य पर निशाना साधें")</f>
        <v>A) सटीकता और शक्ति के साथ लक्ष्य पर निशाना साधें</v>
      </c>
    </row>
    <row r="373" ht="22.5" customHeight="1">
      <c r="A373" s="2">
        <v>372.0</v>
      </c>
      <c r="B373" s="3" t="s">
        <v>6236</v>
      </c>
      <c r="C373" s="3" t="s">
        <v>6237</v>
      </c>
      <c r="D373" s="3" t="s">
        <v>6238</v>
      </c>
      <c r="F373" s="5" t="str">
        <f>IFERROR(__xludf.DUMMYFUNCTION("GOOGLETRANSLATE(A373, ""en"", ""hi"")"),"372")</f>
        <v>372</v>
      </c>
      <c r="G373" s="5" t="str">
        <f>IFERROR(__xludf.DUMMYFUNCTION("GOOGLETRANSLATE(B373, ""en"", ""hi"")"),"ढोल खेल में तीव्र जवाबी हमले से बचाव की सामान्य रणनीति क्या है?")</f>
        <v>ढोल खेल में तीव्र जवाबी हमले से बचाव की सामान्य रणनीति क्या है?</v>
      </c>
      <c r="H373" s="5" t="str">
        <f>IFERROR(__xludf.DUMMYFUNCTION("GOOGLETRANSLATE(C373, ""en"", ""hi"")"),"A) आक्रमणकारी खिलाड़ियों को शीघ्रता से पुनः स्थान देना और रोकना, B) जवाबी आक्रमण को नजरअंदाज करना, C) रक्षात्मक भाग में वापस जाना, D) आक्रमण पर ध्यान केंद्रित करना")</f>
        <v>A) आक्रमणकारी खिलाड़ियों को शीघ्रता से पुनः स्थान देना और रोकना, B) जवाबी आक्रमण को नजरअंदाज करना, C) रक्षात्मक भाग में वापस जाना, D) आक्रमण पर ध्यान केंद्रित करना</v>
      </c>
      <c r="I373" s="5" t="str">
        <f>IFERROR(__xludf.DUMMYFUNCTION("GOOGLETRANSLATE(D373, ""en"", ""hi"")"),"A) आक्रमणकारी खिलाड़ियों को शीघ्रता से पुनः स्थान देना और रोकना")</f>
        <v>A) आक्रमणकारी खिलाड़ियों को शीघ्रता से पुनः स्थान देना और रोकना</v>
      </c>
    </row>
    <row r="374" ht="22.5" customHeight="1">
      <c r="A374" s="2">
        <v>373.0</v>
      </c>
      <c r="B374" s="3" t="s">
        <v>6239</v>
      </c>
      <c r="C374" s="3" t="s">
        <v>6240</v>
      </c>
      <c r="D374" s="3" t="s">
        <v>6241</v>
      </c>
      <c r="F374" s="5" t="str">
        <f>IFERROR(__xludf.DUMMYFUNCTION("GOOGLETRANSLATE(A374, ""en"", ""hi"")"),"373")</f>
        <v>373</v>
      </c>
      <c r="G374" s="5" t="str">
        <f>IFERROR(__xludf.DUMMYFUNCTION("GOOGLETRANSLATE(B374, ""en"", ""hi"")"),"ढोल खेल में एक टीम किस प्रकार मजबूत रक्षा पंक्ति को प्रभावी ढंग से ध्वस्त कर सकती है?")</f>
        <v>ढोल खेल में एक टीम किस प्रकार मजबूत रक्षा पंक्ति को प्रभावी ढंग से ध्वस्त कर सकती है?</v>
      </c>
      <c r="H374" s="5" t="str">
        <f>IFERROR(__xludf.DUMMYFUNCTION("GOOGLETRANSLATE(C374, ""en"", ""hi"")"),"A) त्वरित पास देकर और जगह बनाकर, B) लंबी गेंदें खेलकर, C) केवल व्यक्तिगत कौशल पर ध्यान केंद्रित करके, D) रक्षा की अनदेखी करके")</f>
        <v>A) त्वरित पास देकर और जगह बनाकर, B) लंबी गेंदें खेलकर, C) केवल व्यक्तिगत कौशल पर ध्यान केंद्रित करके, D) रक्षा की अनदेखी करके</v>
      </c>
      <c r="I374" s="5" t="str">
        <f>IFERROR(__xludf.DUMMYFUNCTION("GOOGLETRANSLATE(D374, ""en"", ""hi"")"),"A) त्वरित पास का उपयोग करके और जगह बनाकर")</f>
        <v>A) त्वरित पास का उपयोग करके और जगह बनाकर</v>
      </c>
    </row>
    <row r="375" ht="22.5" customHeight="1">
      <c r="A375" s="2">
        <v>374.0</v>
      </c>
      <c r="B375" s="3" t="s">
        <v>6242</v>
      </c>
      <c r="C375" s="3" t="s">
        <v>6243</v>
      </c>
      <c r="D375" s="3" t="s">
        <v>6244</v>
      </c>
      <c r="F375" s="5" t="str">
        <f>IFERROR(__xludf.DUMMYFUNCTION("GOOGLETRANSLATE(A375, ""en"", ""hi"")"),"374")</f>
        <v>374</v>
      </c>
      <c r="G375" s="5" t="str">
        <f>IFERROR(__xludf.DUMMYFUNCTION("GOOGLETRANSLATE(B375, ""en"", ""hi"")"),"ढोल खेल में सफल थ्रो-इन का मुख्य तत्व क्या है?")</f>
        <v>ढोल खेल में सफल थ्रो-इन का मुख्य तत्व क्या है?</v>
      </c>
      <c r="H375" s="5" t="str">
        <f>IFERROR(__xludf.DUMMYFUNCTION("GOOGLETRANSLATE(C375, ""en"", ""hi"")"),"A) सिर के पीछे से और दोनों पैरों को ज़मीन पर रखकर गेंद फेंकना, B) गेंद को किक मारना, C) गेंद को प्रतिद्वंद्वी को पास करना, D) रेफरी की अनदेखी करना")</f>
        <v>A) सिर के पीछे से और दोनों पैरों को ज़मीन पर रखकर गेंद फेंकना, B) गेंद को किक मारना, C) गेंद को प्रतिद्वंद्वी को पास करना, D) रेफरी की अनदेखी करना</v>
      </c>
      <c r="I375" s="5" t="str">
        <f>IFERROR(__xludf.DUMMYFUNCTION("GOOGLETRANSLATE(D375, ""en"", ""hi"")"),"A) गेंद को सिर के पीछे से और दोनों पैरों को ज़मीन पर रखकर फेंकना")</f>
        <v>A) गेंद को सिर के पीछे से और दोनों पैरों को ज़मीन पर रखकर फेंकना</v>
      </c>
    </row>
    <row r="376" ht="22.5" customHeight="1">
      <c r="A376" s="2">
        <v>375.0</v>
      </c>
      <c r="B376" s="3" t="s">
        <v>6245</v>
      </c>
      <c r="C376" s="3" t="s">
        <v>6246</v>
      </c>
      <c r="D376" s="3" t="s">
        <v>6247</v>
      </c>
      <c r="F376" s="5" t="str">
        <f>IFERROR(__xludf.DUMMYFUNCTION("GOOGLETRANSLATE(A376, ""en"", ""hi"")"),"375")</f>
        <v>375</v>
      </c>
      <c r="G376" s="5" t="str">
        <f>IFERROR(__xludf.DUMMYFUNCTION("GOOGLETRANSLATE(B376, ""en"", ""hi"")"),"ढोल खेल में सेट पीस का अभ्यास करने का उद्देश्य क्या है?")</f>
        <v>ढोल खेल में सेट पीस का अभ्यास करने का उद्देश्य क्या है?</v>
      </c>
      <c r="H376" s="5" t="str">
        <f>IFERROR(__xludf.DUMMYFUNCTION("GOOGLETRANSLATE(C376, ""en"", ""hi"")"),"A) स्कोरिंग के अवसर और रक्षात्मक संगठन को बढ़ाने के लिए, B) ड्रिब्लिंग पर ध्यान केंद्रित करने के लिए, C) लंबी दूरी की दौड़ का अभ्यास करने के लिए, D) व्यक्तिगत कौशल पर काम करने के लिए")</f>
        <v>A) स्कोरिंग के अवसर और रक्षात्मक संगठन को बढ़ाने के लिए, B) ड्रिब्लिंग पर ध्यान केंद्रित करने के लिए, C) लंबी दूरी की दौड़ का अभ्यास करने के लिए, D) व्यक्तिगत कौशल पर काम करने के लिए</v>
      </c>
      <c r="I376" s="5" t="str">
        <f>IFERROR(__xludf.DUMMYFUNCTION("GOOGLETRANSLATE(D376, ""en"", ""hi"")"),"A) स्कोरिंग अवसरों और रक्षात्मक संगठन को बढ़ाने के लिए")</f>
        <v>A) स्कोरिंग अवसरों और रक्षात्मक संगठन को बढ़ाने के लिए</v>
      </c>
    </row>
    <row r="377" ht="22.5" customHeight="1">
      <c r="A377" s="2">
        <v>376.0</v>
      </c>
      <c r="B377" s="3" t="s">
        <v>6248</v>
      </c>
      <c r="C377" s="3" t="s">
        <v>6249</v>
      </c>
      <c r="D377" s="3" t="s">
        <v>6250</v>
      </c>
      <c r="F377" s="5" t="str">
        <f>IFERROR(__xludf.DUMMYFUNCTION("GOOGLETRANSLATE(A377, ""en"", ""hi"")"),"376")</f>
        <v>376</v>
      </c>
      <c r="G377" s="5" t="str">
        <f>IFERROR(__xludf.DUMMYFUNCTION("GOOGLETRANSLATE(B377, ""en"", ""hi"")"),"ढोल खेल में यदि किसी खिलाड़ी को प्रतिद्वंद्वी द्वारा कड़ी टक्कर दी जाए तो उसे क्या करना चाहिए?")</f>
        <v>ढोल खेल में यदि किसी खिलाड़ी को प्रतिद्वंद्वी द्वारा कड़ी टक्कर दी जाए तो उसे क्या करना चाहिए?</v>
      </c>
      <c r="H377" s="5" t="str">
        <f>IFERROR(__xludf.DUMMYFUNCTION("GOOGLETRANSLATE(C377, ""en"", ""hi"")"),"A) जगह बनाने के लिए छल-कपट और दिशा में त्वरित परिवर्तन का प्रयोग करें, B) स्थिर खड़े रहें, C) प्रतिद्वंद्वी को गेंद पास करें, D) मार्किंग की अनदेखी करें")</f>
        <v>A) जगह बनाने के लिए छल-कपट और दिशा में त्वरित परिवर्तन का प्रयोग करें, B) स्थिर खड़े रहें, C) प्रतिद्वंद्वी को गेंद पास करें, D) मार्किंग की अनदेखी करें</v>
      </c>
      <c r="I377" s="5" t="str">
        <f>IFERROR(__xludf.DUMMYFUNCTION("GOOGLETRANSLATE(D377, ""en"", ""hi"")"),"A) जगह बनाने के लिए दिशा में छल और त्वरित परिवर्तन का उपयोग करें")</f>
        <v>A) जगह बनाने के लिए दिशा में छल और त्वरित परिवर्तन का उपयोग करें</v>
      </c>
    </row>
    <row r="378" ht="22.5" customHeight="1">
      <c r="A378" s="2">
        <v>377.0</v>
      </c>
      <c r="B378" s="3" t="s">
        <v>6102</v>
      </c>
      <c r="C378" s="3" t="s">
        <v>6251</v>
      </c>
      <c r="D378" s="3" t="s">
        <v>6252</v>
      </c>
      <c r="F378" s="5" t="str">
        <f>IFERROR(__xludf.DUMMYFUNCTION("GOOGLETRANSLATE(A378, ""en"", ""hi"")"),"377")</f>
        <v>377</v>
      </c>
      <c r="G378" s="5" t="str">
        <f>IFERROR(__xludf.DUMMYFUNCTION("GOOGLETRANSLATE(B378, ""en"", ""hi"")"),"ढोल खेल में रक्षात्मक मिडफील्डर की भूमिका क्या है?")</f>
        <v>ढोल खेल में रक्षात्मक मिडफील्डर की भूमिका क्या है?</v>
      </c>
      <c r="H378" s="5" t="str">
        <f>IFERROR(__xludf.DUMMYFUNCTION("GOOGLETRANSLATE(C378, ""en"", ""hi"")"),"A) रक्षा की रक्षा करना और प्रतिद्वंद्वी के खेल को बाधित करना, B) गोल करना, C) गोलकीपर के रूप में कार्य करना, D) कॉर्नर किक लेना")</f>
        <v>A) रक्षा की रक्षा करना और प्रतिद्वंद्वी के खेल को बाधित करना, B) गोल करना, C) गोलकीपर के रूप में कार्य करना, D) कॉर्नर किक लेना</v>
      </c>
      <c r="I378" s="5" t="str">
        <f>IFERROR(__xludf.DUMMYFUNCTION("GOOGLETRANSLATE(D378, ""en"", ""hi"")"),"A) रक्षा की रक्षा करना और प्रतिद्वंद्वी के खेल को बाधित करना")</f>
        <v>A) रक्षा की रक्षा करना और प्रतिद्वंद्वी के खेल को बाधित करना</v>
      </c>
    </row>
    <row r="379" ht="22.5" customHeight="1">
      <c r="A379" s="2">
        <v>378.0</v>
      </c>
      <c r="B379" s="3" t="s">
        <v>6253</v>
      </c>
      <c r="C379" s="3" t="s">
        <v>6254</v>
      </c>
      <c r="D379" s="3" t="s">
        <v>6255</v>
      </c>
      <c r="F379" s="5" t="str">
        <f>IFERROR(__xludf.DUMMYFUNCTION("GOOGLETRANSLATE(A379, ""en"", ""hi"")"),"378")</f>
        <v>378</v>
      </c>
      <c r="G379" s="5" t="str">
        <f>IFERROR(__xludf.DUMMYFUNCTION("GOOGLETRANSLATE(B379, ""en"", ""hi"")"),"ढोल खेल में फॉरवर्ड के लिए आवश्यक कौशल क्या है?")</f>
        <v>ढोल खेल में फॉरवर्ड के लिए आवश्यक कौशल क्या है?</v>
      </c>
      <c r="H379" s="5" t="str">
        <f>IFERROR(__xludf.DUMMYFUNCTION("GOOGLETRANSLATE(C379, ""en"", ""hi"")"),"A) मौकों को पूरा करना और गोल करना, B) प्रतिद्वंद्वी के हमलावरों से बचाव करना, C) गोल किक लेना, D) गोलकीपर को गेंद पास करना")</f>
        <v>A) मौकों को पूरा करना और गोल करना, B) प्रतिद्वंद्वी के हमलावरों से बचाव करना, C) गोल किक लेना, D) गोलकीपर को गेंद पास करना</v>
      </c>
      <c r="I379" s="5" t="str">
        <f>IFERROR(__xludf.DUMMYFUNCTION("GOOGLETRANSLATE(D379, ""en"", ""hi"")"),"A) मौके खत्म करना और गोल करना")</f>
        <v>A) मौके खत्म करना और गोल करना</v>
      </c>
    </row>
    <row r="380" ht="22.5" customHeight="1">
      <c r="A380" s="2">
        <v>379.0</v>
      </c>
      <c r="B380" s="3" t="s">
        <v>6256</v>
      </c>
      <c r="C380" s="3" t="s">
        <v>6257</v>
      </c>
      <c r="D380" s="3" t="s">
        <v>6258</v>
      </c>
      <c r="F380" s="5" t="str">
        <f>IFERROR(__xludf.DUMMYFUNCTION("GOOGLETRANSLATE(A380, ""en"", ""hi"")"),"379")</f>
        <v>379</v>
      </c>
      <c r="G380" s="5" t="str">
        <f>IFERROR(__xludf.DUMMYFUNCTION("GOOGLETRANSLATE(B380, ""en"", ""hi"")"),"ढोल खेल में, खतरनाक स्थिति से ली गई फ्री किक से बचाव का सामान्य तरीका क्या है?")</f>
        <v>ढोल खेल में, खतरनाक स्थिति से ली गई फ्री किक से बचाव का सामान्य तरीका क्या है?</v>
      </c>
      <c r="H380" s="5" t="str">
        <f>IFERROR(__xludf.DUMMYFUNCTION("GOOGLETRANSLATE(C380, ""en"", ""hi"")"),"A) शॉट को रोकने के लिए खिलाड़ियों की एक दीवार खड़ी करना, B) फ्री किक को नज़रअंदाज़ करना, C) गोल की ओर वापस जाना, D) केवल गेंद पर ध्यान केंद्रित करना")</f>
        <v>A) शॉट को रोकने के लिए खिलाड़ियों की एक दीवार खड़ी करना, B) फ्री किक को नज़रअंदाज़ करना, C) गोल की ओर वापस जाना, D) केवल गेंद पर ध्यान केंद्रित करना</v>
      </c>
      <c r="I380" s="5" t="str">
        <f>IFERROR(__xludf.DUMMYFUNCTION("GOOGLETRANSLATE(D380, ""en"", ""hi"")"),"A) शॉट को रोकने के लिए खिलाड़ियों की एक दीवार खड़ी करना")</f>
        <v>A) शॉट को रोकने के लिए खिलाड़ियों की एक दीवार खड़ी करना</v>
      </c>
    </row>
    <row r="381" ht="22.5" customHeight="1">
      <c r="A381" s="2">
        <v>380.0</v>
      </c>
      <c r="B381" s="3" t="s">
        <v>6259</v>
      </c>
      <c r="C381" s="3" t="s">
        <v>6260</v>
      </c>
      <c r="D381" s="3" t="s">
        <v>6261</v>
      </c>
      <c r="F381" s="5" t="str">
        <f>IFERROR(__xludf.DUMMYFUNCTION("GOOGLETRANSLATE(A381, ""en"", ""hi"")"),"380")</f>
        <v>380</v>
      </c>
      <c r="G381" s="5" t="str">
        <f>IFERROR(__xludf.DUMMYFUNCTION("GOOGLETRANSLATE(B381, ""en"", ""hi"")"),"ढोल खेल में मैच के दौरान एक टीम प्रभावी संचार कैसे बनाए रख सकती है?")</f>
        <v>ढोल खेल में मैच के दौरान एक टीम प्रभावी संचार कैसे बनाए रख सकती है?</v>
      </c>
      <c r="H381" s="5" t="str">
        <f>IFERROR(__xludf.DUMMYFUNCTION("GOOGLETRANSLATE(C381, ""en"", ""hi"")"),"A) टीम के साथियों से नियमित रूप से बात करके और संकेत देकर, B) चुप रहकर, C) टीम के साथियों की अनदेखी करके, D) केवल व्यक्तिगत प्रदर्शन पर ध्यान केंद्रित करके")</f>
        <v>A) टीम के साथियों से नियमित रूप से बात करके और संकेत देकर, B) चुप रहकर, C) टीम के साथियों की अनदेखी करके, D) केवल व्यक्तिगत प्रदर्शन पर ध्यान केंद्रित करके</v>
      </c>
      <c r="I381" s="5" t="str">
        <f>IFERROR(__xludf.DUMMYFUNCTION("GOOGLETRANSLATE(D381, ""en"", ""hi"")"),"A) टीम के साथियों से नियमित रूप से बात करके और संकेत देकर")</f>
        <v>A) टीम के साथियों से नियमित रूप से बात करके और संकेत देकर</v>
      </c>
    </row>
    <row r="382" ht="22.5" customHeight="1">
      <c r="A382" s="2">
        <v>381.0</v>
      </c>
      <c r="B382" s="3" t="s">
        <v>6262</v>
      </c>
      <c r="C382" s="3" t="s">
        <v>6263</v>
      </c>
      <c r="D382" s="3" t="s">
        <v>6264</v>
      </c>
      <c r="F382" s="5" t="str">
        <f>IFERROR(__xludf.DUMMYFUNCTION("GOOGLETRANSLATE(A382, ""en"", ""hi"")"),"381")</f>
        <v>381</v>
      </c>
      <c r="G382" s="5" t="str">
        <f>IFERROR(__xludf.DUMMYFUNCTION("GOOGLETRANSLATE(B382, ""en"", ""hi"")"),"ढोल खेल में खिलाड़ी की पासिंग सटीकता में सुधार करने के लिए सामान्य अभ्यास क्या है?")</f>
        <v>ढोल खेल में खिलाड़ी की पासिंग सटीकता में सुधार करने के लिए सामान्य अभ्यास क्या है?</v>
      </c>
      <c r="H382" s="5" t="str">
        <f>IFERROR(__xludf.DUMMYFUNCTION("GOOGLETRANSLATE(C382, ""en"", ""hi"")"),"A) गेंद को लक्ष्य के बीच से या गतिशील साथी को पास करना, B) लंबी दूरी तक दौड़ना, C) गोल किक का अभ्यास करना, D) पासिंग अभ्यास की उपेक्षा करना")</f>
        <v>A) गेंद को लक्ष्य के बीच से या गतिशील साथी को पास करना, B) लंबी दूरी तक दौड़ना, C) गोल किक का अभ्यास करना, D) पासिंग अभ्यास की उपेक्षा करना</v>
      </c>
      <c r="I382" s="5" t="str">
        <f>IFERROR(__xludf.DUMMYFUNCTION("GOOGLETRANSLATE(D382, ""en"", ""hi"")"),"A) गेंद को लक्ष्य के बीच से या गतिशील साथी तक पास करना")</f>
        <v>A) गेंद को लक्ष्य के बीच से या गतिशील साथी तक पास करना</v>
      </c>
    </row>
    <row r="383" ht="22.5" customHeight="1">
      <c r="A383" s="2">
        <v>382.0</v>
      </c>
      <c r="B383" s="3" t="s">
        <v>6014</v>
      </c>
      <c r="C383" s="3" t="s">
        <v>6265</v>
      </c>
      <c r="D383" s="3" t="s">
        <v>6266</v>
      </c>
      <c r="F383" s="5" t="str">
        <f>IFERROR(__xludf.DUMMYFUNCTION("GOOGLETRANSLATE(A383, ""en"", ""hi"")"),"382")</f>
        <v>382</v>
      </c>
      <c r="G383" s="5" t="str">
        <f>IFERROR(__xludf.DUMMYFUNCTION("GOOGLETRANSLATE(B383, ""en"", ""hi"")"),"ढोल खेल में कॉर्नर किक लेते समय खिलाड़ी को किस बात पर ध्यान देना चाहिए?")</f>
        <v>ढोल खेल में कॉर्नर किक लेते समय खिलाड़ी को किस बात पर ध्यान देना चाहिए?</v>
      </c>
      <c r="H383" s="5" t="str">
        <f>IFERROR(__xludf.DUMMYFUNCTION("GOOGLETRANSLATE(C383, ""en"", ""hi"")"),"A) गेंद को टीम के साथी खिलाड़ी तक या खतरनाक क्षेत्र में सटीक रूप से पहुंचाना, B) गेंद को खेल से बाहर किक करना, C) गेंद को प्रतिद्वंद्वी को पास करना, D) टीम के साथी खिलाड़ी द्वारा किक लेने का इंतजार करना")</f>
        <v>A) गेंद को टीम के साथी खिलाड़ी तक या खतरनाक क्षेत्र में सटीक रूप से पहुंचाना, B) गेंद को खेल से बाहर किक करना, C) गेंद को प्रतिद्वंद्वी को पास करना, D) टीम के साथी खिलाड़ी द्वारा किक लेने का इंतजार करना</v>
      </c>
      <c r="I383" s="5" t="str">
        <f>IFERROR(__xludf.DUMMYFUNCTION("GOOGLETRANSLATE(D383, ""en"", ""hi"")"),"A) गेंद को टीम के साथी खिलाड़ी तक या खतरनाक क्षेत्र में सटीक ढंग से पहुंचाना")</f>
        <v>A) गेंद को टीम के साथी खिलाड़ी तक या खतरनाक क्षेत्र में सटीक ढंग से पहुंचाना</v>
      </c>
    </row>
    <row r="384" ht="22.5" customHeight="1">
      <c r="A384" s="2">
        <v>383.0</v>
      </c>
      <c r="B384" s="3" t="s">
        <v>6267</v>
      </c>
      <c r="C384" s="3" t="s">
        <v>6268</v>
      </c>
      <c r="D384" s="3" t="s">
        <v>6269</v>
      </c>
      <c r="F384" s="5" t="str">
        <f>IFERROR(__xludf.DUMMYFUNCTION("GOOGLETRANSLATE(A384, ""en"", ""hi"")"),"383")</f>
        <v>383</v>
      </c>
      <c r="G384" s="5" t="str">
        <f>IFERROR(__xludf.DUMMYFUNCTION("GOOGLETRANSLATE(B384, ""en"", ""hi"")"),"ढोल खेल में, एक टीम को उस स्थिति से कैसे निपटना चाहिए जब उसका प्रतिद्वंद्वी तेज ब्रेक पर हो?")</f>
        <v>ढोल खेल में, एक टीम को उस स्थिति से कैसे निपटना चाहिए जब उसका प्रतिद्वंद्वी तेज ब्रेक पर हो?</v>
      </c>
      <c r="H384" s="5" t="str">
        <f>IFERROR(__xludf.DUMMYFUNCTION("GOOGLETRANSLATE(C384, ""en"", ""hi"")"),"A) तुरंत बचाव के लिए वापस आकर और रक्षात्मक रेखा का आयोजन करके, B) केवल आक्रमण पर ध्यान केंद्रित करके, C) रक्षात्मक आधे भाग में प्रतीक्षा करके, D) प्रतिद्वंद्वी की उपेक्षा करके")</f>
        <v>A) तुरंत बचाव के लिए वापस आकर और रक्षात्मक रेखा का आयोजन करके, B) केवल आक्रमण पर ध्यान केंद्रित करके, C) रक्षात्मक आधे भाग में प्रतीक्षा करके, D) प्रतिद्वंद्वी की उपेक्षा करके</v>
      </c>
      <c r="I384" s="5" t="str">
        <f>IFERROR(__xludf.DUMMYFUNCTION("GOOGLETRANSLATE(D384, ""en"", ""hi"")"),"A) शीघ्रता से बचाव के लिए वापस आकर तथा रक्षात्मक रेखा का आयोजन करके")</f>
        <v>A) शीघ्रता से बचाव के लिए वापस आकर तथा रक्षात्मक रेखा का आयोजन करके</v>
      </c>
    </row>
    <row r="385" ht="22.5" customHeight="1">
      <c r="A385" s="2">
        <v>384.0</v>
      </c>
      <c r="B385" s="3" t="s">
        <v>6270</v>
      </c>
      <c r="C385" s="3" t="s">
        <v>6271</v>
      </c>
      <c r="D385" s="3" t="s">
        <v>6272</v>
      </c>
      <c r="F385" s="5" t="str">
        <f>IFERROR(__xludf.DUMMYFUNCTION("GOOGLETRANSLATE(A385, ""en"", ""hi"")"),"384")</f>
        <v>384</v>
      </c>
      <c r="G385" s="5" t="str">
        <f>IFERROR(__xludf.DUMMYFUNCTION("GOOGLETRANSLATE(B385, ""en"", ""hi"")"),"ढोल खेल में गेंद पर प्रभावी नियंत्रण की कुंजी क्या है?")</f>
        <v>ढोल खेल में गेंद पर प्रभावी नियंत्रण की कुंजी क्या है?</v>
      </c>
      <c r="H385" s="5" t="str">
        <f>IFERROR(__xludf.DUMMYFUNCTION("GOOGLETRANSLATE(C385, ""en"", ""hi"")"),"A) गेंद को प्राप्त करने और नियंत्रित करने के लिए सही तकनीक का उपयोग करना, B) गेंद को लंबी दूरी तक किक करना, C) गेंद नियंत्रण अभ्यास की उपेक्षा करना, D) केवल गोलकीपिंग कौशल का अभ्यास करना")</f>
        <v>A) गेंद को प्राप्त करने और नियंत्रित करने के लिए सही तकनीक का उपयोग करना, B) गेंद को लंबी दूरी तक किक करना, C) गेंद नियंत्रण अभ्यास की उपेक्षा करना, D) केवल गोलकीपिंग कौशल का अभ्यास करना</v>
      </c>
      <c r="I385" s="5" t="str">
        <f>IFERROR(__xludf.DUMMYFUNCTION("GOOGLETRANSLATE(D385, ""en"", ""hi"")"),"A) गेंद को प्राप्त करने और नियंत्रित करने के लिए सही तकनीक का उपयोग करना")</f>
        <v>A) गेंद को प्राप्त करने और नियंत्रित करने के लिए सही तकनीक का उपयोग करना</v>
      </c>
    </row>
    <row r="386" ht="22.5" customHeight="1">
      <c r="A386" s="2">
        <v>385.0</v>
      </c>
      <c r="B386" s="3" t="s">
        <v>6273</v>
      </c>
      <c r="C386" s="3" t="s">
        <v>6274</v>
      </c>
      <c r="D386" s="3" t="s">
        <v>6275</v>
      </c>
      <c r="F386" s="5" t="str">
        <f>IFERROR(__xludf.DUMMYFUNCTION("GOOGLETRANSLATE(A386, ""en"", ""hi"")"),"385")</f>
        <v>385</v>
      </c>
      <c r="G386" s="5" t="str">
        <f>IFERROR(__xludf.DUMMYFUNCTION("GOOGLETRANSLATE(B386, ""en"", ""hi"")"),"ढोल खेल में विरोधी फॉरवर्ड का सामना करते समय डिफेंडर को क्या करना चाहिए?")</f>
        <v>ढोल खेल में विरोधी फॉरवर्ड का सामना करते समय डिफेंडर को क्या करना चाहिए?</v>
      </c>
      <c r="H386" s="5" t="str">
        <f>IFERROR(__xludf.DUMMYFUNCTION("GOOGLETRANSLATE(C386, ""en"", ""hi"")"),"ए) पास रहें और गेंद को रोकने या रोकने के लिए खुद को स्थिति में रखें, बी) आक्रमण पर ध्यान केंद्रित करें, सी) गेंद के उनके पास आने की प्रतीक्षा करें, डी) फॉरवर्ड को अनदेखा करें")</f>
        <v>ए) पास रहें और गेंद को रोकने या रोकने के लिए खुद को स्थिति में रखें, बी) आक्रमण पर ध्यान केंद्रित करें, सी) गेंद के उनके पास आने की प्रतीक्षा करें, डी) फॉरवर्ड को अनदेखा करें</v>
      </c>
      <c r="I386" s="5" t="str">
        <f>IFERROR(__xludf.DUMMYFUNCTION("GOOGLETRANSLATE(D386, ""en"", ""hi"")"),"ए) पास रहें और गेंद को रोकने या रोकने के लिए खुद को स्थिति में रखें")</f>
        <v>ए) पास रहें और गेंद को रोकने या रोकने के लिए खुद को स्थिति में रखें</v>
      </c>
    </row>
    <row r="387" ht="22.5" customHeight="1">
      <c r="A387" s="2">
        <v>386.0</v>
      </c>
      <c r="B387" s="3" t="s">
        <v>6276</v>
      </c>
      <c r="C387" s="3" t="s">
        <v>6277</v>
      </c>
      <c r="D387" s="3" t="s">
        <v>6278</v>
      </c>
      <c r="F387" s="5" t="str">
        <f>IFERROR(__xludf.DUMMYFUNCTION("GOOGLETRANSLATE(A387, ""en"", ""hi"")"),"386")</f>
        <v>386</v>
      </c>
      <c r="G387" s="5" t="str">
        <f>IFERROR(__xludf.DUMMYFUNCTION("GOOGLETRANSLATE(B387, ""en"", ""hi"")"),"ढोल खेल में टीम वर्क को बेहतर बनाने का सामान्य तरीका क्या है?")</f>
        <v>ढोल खेल में टीम वर्क को बेहतर बनाने का सामान्य तरीका क्या है?</v>
      </c>
      <c r="H387" s="5" t="str">
        <f>IFERROR(__xludf.DUMMYFUNCTION("GOOGLETRANSLATE(C387, ""en"", ""hi"")"),"A) संचार और समन्वय पर जोर देने वाले अभ्यासों का अभ्यास करना, B) टीम अभ्यासों की अनदेखी करना, C) केवल व्यक्तिगत कौशल पर ध्यान केंद्रित करना, D) अभ्यास सत्रों से बचना")</f>
        <v>A) संचार और समन्वय पर जोर देने वाले अभ्यासों का अभ्यास करना, B) टीम अभ्यासों की अनदेखी करना, C) केवल व्यक्तिगत कौशल पर ध्यान केंद्रित करना, D) अभ्यास सत्रों से बचना</v>
      </c>
      <c r="I387" s="5" t="str">
        <f>IFERROR(__xludf.DUMMYFUNCTION("GOOGLETRANSLATE(D387, ""en"", ""hi"")"),"A) संचार और समन्वय पर जोर देने वाले अभ्यासों का अभ्यास करना")</f>
        <v>A) संचार और समन्वय पर जोर देने वाले अभ्यासों का अभ्यास करना</v>
      </c>
    </row>
    <row r="388" ht="22.5" customHeight="1">
      <c r="A388" s="2">
        <v>387.0</v>
      </c>
      <c r="B388" s="3" t="s">
        <v>6279</v>
      </c>
      <c r="C388" s="3" t="s">
        <v>6280</v>
      </c>
      <c r="D388" s="3" t="s">
        <v>6281</v>
      </c>
      <c r="F388" s="5" t="str">
        <f>IFERROR(__xludf.DUMMYFUNCTION("GOOGLETRANSLATE(A388, ""en"", ""hi"")"),"387")</f>
        <v>387</v>
      </c>
      <c r="G388" s="5" t="str">
        <f>IFERROR(__xludf.DUMMYFUNCTION("GOOGLETRANSLATE(B388, ""en"", ""hi"")"),"ढोल खेल में सेंटर बैक की क्या भूमिका होती है?")</f>
        <v>ढोल खेल में सेंटर बैक की क्या भूमिका होती है?</v>
      </c>
      <c r="H388" s="5" t="str">
        <f>IFERROR(__xludf.DUMMYFUNCTION("GOOGLETRANSLATE(C388, ""en"", ""hi"")"),"A) प्रतिद्वंद्वी के स्ट्राइकरों से बचाव करना और रक्षात्मक क्षेत्र से गेंद को हटाना, B) गोल करना, C) गोल किक लेना, D) मिडफील्डर के रूप में कार्य करना")</f>
        <v>A) प्रतिद्वंद्वी के स्ट्राइकरों से बचाव करना और रक्षात्मक क्षेत्र से गेंद को हटाना, B) गोल करना, C) गोल किक लेना, D) मिडफील्डर के रूप में कार्य करना</v>
      </c>
      <c r="I388" s="5" t="str">
        <f>IFERROR(__xludf.DUMMYFUNCTION("GOOGLETRANSLATE(D388, ""en"", ""hi"")"),"A) प्रतिद्वंद्वी के स्ट्राइकरों से बचाव करना और गेंद को रक्षात्मक क्षेत्र से बाहर निकालना")</f>
        <v>A) प्रतिद्वंद्वी के स्ट्राइकरों से बचाव करना और गेंद को रक्षात्मक क्षेत्र से बाहर निकालना</v>
      </c>
    </row>
    <row r="389" ht="22.5" customHeight="1">
      <c r="A389" s="2">
        <v>388.0</v>
      </c>
      <c r="B389" s="3" t="s">
        <v>6282</v>
      </c>
      <c r="C389" s="3" t="s">
        <v>6283</v>
      </c>
      <c r="D389" s="3" t="s">
        <v>6284</v>
      </c>
      <c r="F389" s="5" t="str">
        <f>IFERROR(__xludf.DUMMYFUNCTION("GOOGLETRANSLATE(A389, ""en"", ""hi"")"),"388")</f>
        <v>388</v>
      </c>
      <c r="G389" s="5" t="str">
        <f>IFERROR(__xludf.DUMMYFUNCTION("GOOGLETRANSLATE(B389, ""en"", ""hi"")"),"ढोल खेल में, खिलाड़ी को पेनल्टी क्षेत्र में ऊंची गेंद को कैसे लेना चाहिए?")</f>
        <v>ढोल खेल में, खिलाड़ी को पेनल्टी क्षेत्र में ऊंची गेंद को कैसे लेना चाहिए?</v>
      </c>
      <c r="H389" s="5" t="str">
        <f>IFERROR(__xludf.DUMMYFUNCTION("GOOGLETRANSLATE(C389, ""en"", ""hi"")"),"A) स्वयं को सही स्थिति में रखकर तथा हेडर या गेंद को नियंत्रित करने के लिए उचित तकनीक का उपयोग करके, B) गेंद को अनदेखा करके, C) गेंद को दूर फेंककर, D) गेंद के नीचे आने का इंतजार करके")</f>
        <v>A) स्वयं को सही स्थिति में रखकर तथा हेडर या गेंद को नियंत्रित करने के लिए उचित तकनीक का उपयोग करके, B) गेंद को अनदेखा करके, C) गेंद को दूर फेंककर, D) गेंद के नीचे आने का इंतजार करके</v>
      </c>
      <c r="I389" s="5" t="str">
        <f>IFERROR(__xludf.DUMMYFUNCTION("GOOGLETRANSLATE(D389, ""en"", ""hi"")"),"A) स्वयं को सही स्थिति में रखकर तथा हेडर या गेंद को नियंत्रित करने के लिए उचित तकनीक का उपयोग करके")</f>
        <v>A) स्वयं को सही स्थिति में रखकर तथा हेडर या गेंद को नियंत्रित करने के लिए उचित तकनीक का उपयोग करके</v>
      </c>
    </row>
    <row r="390" ht="22.5" customHeight="1">
      <c r="A390" s="2">
        <v>389.0</v>
      </c>
      <c r="B390" s="3" t="s">
        <v>6285</v>
      </c>
      <c r="C390" s="3" t="s">
        <v>6286</v>
      </c>
      <c r="D390" s="3" t="s">
        <v>6287</v>
      </c>
      <c r="F390" s="5" t="str">
        <f>IFERROR(__xludf.DUMMYFUNCTION("GOOGLETRANSLATE(A390, ""en"", ""hi"")"),"389")</f>
        <v>389</v>
      </c>
      <c r="G390" s="5" t="str">
        <f>IFERROR(__xludf.DUMMYFUNCTION("GOOGLETRANSLATE(B390, ""en"", ""hi"")"),"ढोल खेल में फुल-बैक का मुख्य उद्देश्य क्या है?")</f>
        <v>ढोल खेल में फुल-बैक का मुख्य उद्देश्य क्या है?</v>
      </c>
      <c r="H390" s="5" t="str">
        <f>IFERROR(__xludf.DUMMYFUNCTION("GOOGLETRANSLATE(C390, ""en"", ""hi"")"),"ए) पार्श्व की रक्षा करना तथा रक्षा और आक्रमण दोनों का समर्थन करना, बी) गोलकीपर के रूप में कार्य करना, सी) केवल गोल करने पर ध्यान केंद्रित करना, डी) सभी सेट पीस लेना")</f>
        <v>ए) पार्श्व की रक्षा करना तथा रक्षा और आक्रमण दोनों का समर्थन करना, बी) गोलकीपर के रूप में कार्य करना, सी) केवल गोल करने पर ध्यान केंद्रित करना, डी) सभी सेट पीस लेना</v>
      </c>
      <c r="I390" s="5" t="str">
        <f>IFERROR(__xludf.DUMMYFUNCTION("GOOGLETRANSLATE(D390, ""en"", ""hi"")"),"A) पार्श्वों की रक्षा करना तथा रक्षा और आक्रमण दोनों का समर्थन करना")</f>
        <v>A) पार्श्वों की रक्षा करना तथा रक्षा और आक्रमण दोनों का समर्थन करना</v>
      </c>
    </row>
    <row r="391" ht="22.5" customHeight="1">
      <c r="A391" s="2">
        <v>390.0</v>
      </c>
      <c r="B391" s="3" t="s">
        <v>6288</v>
      </c>
      <c r="C391" s="3" t="s">
        <v>6289</v>
      </c>
      <c r="D391" s="3" t="s">
        <v>6290</v>
      </c>
      <c r="F391" s="5" t="str">
        <f>IFERROR(__xludf.DUMMYFUNCTION("GOOGLETRANSLATE(A391, ""en"", ""hi"")"),"390")</f>
        <v>390</v>
      </c>
      <c r="G391" s="5" t="str">
        <f>IFERROR(__xludf.DUMMYFUNCTION("GOOGLETRANSLATE(B391, ""en"", ""hi"")"),"ढोल खेल में खिलाड़ी के ड्रिब्लिंग कौशल को सुधारने के लिए सामान्य अभ्यास क्या है?")</f>
        <v>ढोल खेल में खिलाड़ी के ड्रिब्लिंग कौशल को सुधारने के लिए सामान्य अभ्यास क्या है?</v>
      </c>
      <c r="H391" s="5" t="str">
        <f>IFERROR(__xludf.DUMMYFUNCTION("GOOGLETRANSLATE(C391, ""en"", ""hi"")"),"A) शंकुओं के बीच से ड्रिब्लिंग करना और करीबी नियंत्रण का अभ्यास करना, B) लंबी दूरी तक दौड़ना, C) गोल किक का अभ्यास करना, D) ड्रिब्लिंग अभ्यास की अनदेखी करना")</f>
        <v>A) शंकुओं के बीच से ड्रिब्लिंग करना और करीबी नियंत्रण का अभ्यास करना, B) लंबी दूरी तक दौड़ना, C) गोल किक का अभ्यास करना, D) ड्रिब्लिंग अभ्यास की अनदेखी करना</v>
      </c>
      <c r="I391" s="5" t="str">
        <f>IFERROR(__xludf.DUMMYFUNCTION("GOOGLETRANSLATE(D391, ""en"", ""hi"")"),"A) शंकुओं के बीच से ड्रिब्लिंग करना और निकट नियंत्रण का अभ्यास करना")</f>
        <v>A) शंकुओं के बीच से ड्रिब्लिंग करना और निकट नियंत्रण का अभ्यास करना</v>
      </c>
    </row>
    <row r="392" ht="22.5" customHeight="1">
      <c r="A392" s="2">
        <v>391.0</v>
      </c>
      <c r="B392" s="3" t="s">
        <v>6291</v>
      </c>
      <c r="C392" s="3" t="s">
        <v>6292</v>
      </c>
      <c r="D392" s="3" t="s">
        <v>6293</v>
      </c>
      <c r="F392" s="5" t="str">
        <f>IFERROR(__xludf.DUMMYFUNCTION("GOOGLETRANSLATE(A392, ""en"", ""hi"")"),"391")</f>
        <v>391</v>
      </c>
      <c r="G392" s="5" t="str">
        <f>IFERROR(__xludf.DUMMYFUNCTION("GOOGLETRANSLATE(B392, ""en"", ""hi"")"),"ढोल खेल में गेंद पर कब्ज़ा खोने पर टीम को कैसी प्रतिक्रिया करनी चाहिए?")</f>
        <v>ढोल खेल में गेंद पर कब्ज़ा खोने पर टीम को कैसी प्रतिक्रिया करनी चाहिए?</v>
      </c>
      <c r="H392" s="5" t="str">
        <f>IFERROR(__xludf.DUMMYFUNCTION("GOOGLETRANSLATE(C392, ""en"", ""hi"")"),"A) गेंद पर कब्ज़ा वापस पाने के लिए तेज़ी से दबाव बनाकर या प्रतिद्वंद्वी के खेल में बाधा डालकर, B) गेंद की अनदेखी करके, C) केवल बचाव पर ध्यान केंद्रित करके, D) उनकी प्रतिक्रिया में देरी करके")</f>
        <v>A) गेंद पर कब्ज़ा वापस पाने के लिए तेज़ी से दबाव बनाकर या प्रतिद्वंद्वी के खेल में बाधा डालकर, B) गेंद की अनदेखी करके, C) केवल बचाव पर ध्यान केंद्रित करके, D) उनकी प्रतिक्रिया में देरी करके</v>
      </c>
      <c r="I392" s="5" t="str">
        <f>IFERROR(__xludf.DUMMYFUNCTION("GOOGLETRANSLATE(D392, ""en"", ""hi"")"),"A) जल्दी से कब्जा वापस पाने के लिए दबाव डालकर या प्रतिद्वंद्वी के खेल में बाधा डालकर")</f>
        <v>A) जल्दी से कब्जा वापस पाने के लिए दबाव डालकर या प्रतिद्वंद्वी के खेल में बाधा डालकर</v>
      </c>
    </row>
    <row r="393" ht="22.5" customHeight="1">
      <c r="A393" s="2">
        <v>392.0</v>
      </c>
      <c r="B393" s="3" t="s">
        <v>6294</v>
      </c>
      <c r="C393" s="3" t="s">
        <v>6295</v>
      </c>
      <c r="D393" s="3" t="s">
        <v>6296</v>
      </c>
      <c r="F393" s="5" t="str">
        <f>IFERROR(__xludf.DUMMYFUNCTION("GOOGLETRANSLATE(A393, ""en"", ""hi"")"),"392")</f>
        <v>392</v>
      </c>
      <c r="G393" s="5" t="str">
        <f>IFERROR(__xludf.DUMMYFUNCTION("GOOGLETRANSLATE(B393, ""en"", ""hi"")"),"ढोल खेल में बढ़त बनाए रखने के लिए किसी टीम के लिए प्रभावी रणनीति क्या है?")</f>
        <v>ढोल खेल में बढ़त बनाए रखने के लिए किसी टीम के लिए प्रभावी रणनीति क्या है?</v>
      </c>
      <c r="H393" s="5" t="str">
        <f>IFERROR(__xludf.DUMMYFUNCTION("GOOGLETRANSLATE(C393, ""en"", ""hi"")"),"A) ठोस रक्षात्मक स्थिति बनाए रखकर और खेल की गति का प्रबंधन करके, B) आक्रामक तरीके से हमला करके, C) रक्षात्मक रणनीति की अनदेखी करके, D) केवल व्यक्तिगत कौशल पर ध्यान केंद्रित करके")</f>
        <v>A) ठोस रक्षात्मक स्थिति बनाए रखकर और खेल की गति का प्रबंधन करके, B) आक्रामक तरीके से हमला करके, C) रक्षात्मक रणनीति की अनदेखी करके, D) केवल व्यक्तिगत कौशल पर ध्यान केंद्रित करके</v>
      </c>
      <c r="I393" s="5" t="str">
        <f>IFERROR(__xludf.DUMMYFUNCTION("GOOGLETRANSLATE(D393, ""en"", ""hi"")"),"A) ठोस रक्षात्मक स्थिति बनाए रखकर और खेल की गति का प्रबंधन करके")</f>
        <v>A) ठोस रक्षात्मक स्थिति बनाए रखकर और खेल की गति का प्रबंधन करके</v>
      </c>
    </row>
    <row r="394" ht="22.5" customHeight="1">
      <c r="A394" s="2">
        <v>393.0</v>
      </c>
      <c r="B394" s="3" t="s">
        <v>6297</v>
      </c>
      <c r="C394" s="3" t="s">
        <v>6298</v>
      </c>
      <c r="D394" s="3" t="s">
        <v>6299</v>
      </c>
      <c r="F394" s="5" t="str">
        <f>IFERROR(__xludf.DUMMYFUNCTION("GOOGLETRANSLATE(A394, ""en"", ""hi"")"),"393")</f>
        <v>393</v>
      </c>
      <c r="G394" s="5" t="str">
        <f>IFERROR(__xludf.DUMMYFUNCTION("GOOGLETRANSLATE(B394, ""en"", ""hi"")"),"ढोल खेल में मैच से पहले टीम के वार्म-अप रूटीन का महत्वपूर्ण पहलू क्या है?")</f>
        <v>ढोल खेल में मैच से पहले टीम के वार्म-अप रूटीन का महत्वपूर्ण पहलू क्या है?</v>
      </c>
      <c r="H394" s="5" t="str">
        <f>IFERROR(__xludf.DUMMYFUNCTION("GOOGLETRANSLATE(C394, ""en"", ""hi"")"),"A) शारीरिक और मानसिक रूप से तैयार होने के लिए गतिशील स्ट्रेच और हल्के अभ्यास करना, B) वार्म-अप की अनदेखी करना, C) केवल सामरिक चर्चाओं पर ध्यान केंद्रित करना, D) शारीरिक परिश्रम से बचना")</f>
        <v>A) शारीरिक और मानसिक रूप से तैयार होने के लिए गतिशील स्ट्रेच और हल्के अभ्यास करना, B) वार्म-अप की अनदेखी करना, C) केवल सामरिक चर्चाओं पर ध्यान केंद्रित करना, D) शारीरिक परिश्रम से बचना</v>
      </c>
      <c r="I394" s="5" t="str">
        <f>IFERROR(__xludf.DUMMYFUNCTION("GOOGLETRANSLATE(D394, ""en"", ""hi"")"),"क) शारीरिक और मानसिक रूप से तैयार होने के लिए गतिशील स्ट्रेच और हल्के अभ्यास करना")</f>
        <v>क) शारीरिक और मानसिक रूप से तैयार होने के लिए गतिशील स्ट्रेच और हल्के अभ्यास करना</v>
      </c>
    </row>
    <row r="395" ht="22.5" customHeight="1">
      <c r="A395" s="2">
        <v>394.0</v>
      </c>
      <c r="B395" s="3" t="s">
        <v>6300</v>
      </c>
      <c r="C395" s="3" t="s">
        <v>6301</v>
      </c>
      <c r="D395" s="3" t="s">
        <v>6302</v>
      </c>
      <c r="F395" s="5" t="str">
        <f>IFERROR(__xludf.DUMMYFUNCTION("GOOGLETRANSLATE(A395, ""en"", ""hi"")"),"394")</f>
        <v>394</v>
      </c>
      <c r="G395" s="5" t="str">
        <f>IFERROR(__xludf.DUMMYFUNCTION("GOOGLETRANSLATE(B395, ""en"", ""hi"")"),"ढोल खेल में मैच के दौरान एक टीम थकान का प्रभावी ढंग से प्रबंधन कैसे कर सकती है?")</f>
        <v>ढोल खेल में मैच के दौरान एक टीम थकान का प्रभावी ढंग से प्रबंधन कैसे कर सकती है?</v>
      </c>
      <c r="H395" s="5" t="str">
        <f>IFERROR(__xludf.DUMMYFUNCTION("GOOGLETRANSLATE(C395, ""en"", ""hi"")"),"ए) खिलाड़ियों को घुमाकर और उचित जलयोजन सुनिश्चित करके, बी) बिना ब्रेक के लगातार खेलकर, सी) खिलाड़ियों की थकान को नजरअंदाज करके, डी) केवल स्कोरिंग पर ध्यान केंद्रित करके")</f>
        <v>ए) खिलाड़ियों को घुमाकर और उचित जलयोजन सुनिश्चित करके, बी) बिना ब्रेक के लगातार खेलकर, सी) खिलाड़ियों की थकान को नजरअंदाज करके, डी) केवल स्कोरिंग पर ध्यान केंद्रित करके</v>
      </c>
      <c r="I395" s="5" t="str">
        <f>IFERROR(__xludf.DUMMYFUNCTION("GOOGLETRANSLATE(D395, ""en"", ""hi"")"),"A) खिलाड़ियों को घुमाकर और उचित जलयोजन सुनिश्चित करके")</f>
        <v>A) खिलाड़ियों को घुमाकर और उचित जलयोजन सुनिश्चित करके</v>
      </c>
    </row>
    <row r="396" ht="22.5" customHeight="1">
      <c r="A396" s="2">
        <v>395.0</v>
      </c>
      <c r="B396" s="3" t="s">
        <v>6303</v>
      </c>
      <c r="C396" s="3" t="s">
        <v>6304</v>
      </c>
      <c r="D396" s="3" t="s">
        <v>6305</v>
      </c>
      <c r="F396" s="5" t="str">
        <f>IFERROR(__xludf.DUMMYFUNCTION("GOOGLETRANSLATE(A396, ""en"", ""hi"")"),"395")</f>
        <v>395</v>
      </c>
      <c r="G396" s="5" t="str">
        <f>IFERROR(__xludf.DUMMYFUNCTION("GOOGLETRANSLATE(B396, ""en"", ""hi"")"),"ढोल खेल में मैच के दौरान कोच की क्या भूमिका होती है?")</f>
        <v>ढोल खेल में मैच के दौरान कोच की क्या भूमिका होती है?</v>
      </c>
      <c r="H396" s="5" t="str">
        <f>IFERROR(__xludf.DUMMYFUNCTION("GOOGLETRANSLATE(C396, ""en"", ""hi"")"),"A) सामरिक निर्देश प्रदान करना और टीम को प्रेरित करना, B) स्थानापन्न के रूप में खेलना, C) खेल में भाग लेना, D) खेल की गतिशीलता को अनदेखा करना")</f>
        <v>A) सामरिक निर्देश प्रदान करना और टीम को प्रेरित करना, B) स्थानापन्न के रूप में खेलना, C) खेल में भाग लेना, D) खेल की गतिशीलता को अनदेखा करना</v>
      </c>
      <c r="I396" s="5" t="str">
        <f>IFERROR(__xludf.DUMMYFUNCTION("GOOGLETRANSLATE(D396, ""en"", ""hi"")"),"A) सामरिक निर्देश प्रदान करना और टीम को प्रेरित करना")</f>
        <v>A) सामरिक निर्देश प्रदान करना और टीम को प्रेरित करना</v>
      </c>
    </row>
    <row r="397" ht="22.5" customHeight="1">
      <c r="A397" s="2">
        <v>396.0</v>
      </c>
      <c r="B397" s="3" t="s">
        <v>6306</v>
      </c>
      <c r="C397" s="3" t="s">
        <v>6307</v>
      </c>
      <c r="D397" s="3" t="s">
        <v>6308</v>
      </c>
      <c r="F397" s="5" t="str">
        <f>IFERROR(__xludf.DUMMYFUNCTION("GOOGLETRANSLATE(A397, ""en"", ""hi"")"),"396")</f>
        <v>396</v>
      </c>
      <c r="G397" s="5" t="str">
        <f>IFERROR(__xludf.DUMMYFUNCTION("GOOGLETRANSLATE(B397, ""en"", ""hi"")"),"ढोल खेल में खिलाड़ी द्वारा अपनी निशानेबाजी की सटीकता में सुधार करने की सामान्य तकनीक क्या है?")</f>
        <v>ढोल खेल में खिलाड़ी द्वारा अपनी निशानेबाजी की सटीकता में सुधार करने की सामान्य तकनीक क्या है?</v>
      </c>
      <c r="H397" s="5" t="str">
        <f>IFERROR(__xludf.DUMMYFUNCTION("GOOGLETRANSLATE(C397, ""en"", ""hi"")"),"A) पैर के विभिन्न भागों से शूटिंग का अभ्यास करना और विशिष्ट लक्ष्यों पर निशाना लगाना, B) शूटिंग अभ्यास की उपेक्षा करना, C) केवल ड्रिब्लिंग पर ध्यान केंद्रित करना, D) यादृच्छिक शॉट लेना")</f>
        <v>A) पैर के विभिन्न भागों से शूटिंग का अभ्यास करना और विशिष्ट लक्ष्यों पर निशाना लगाना, B) शूटिंग अभ्यास की उपेक्षा करना, C) केवल ड्रिब्लिंग पर ध्यान केंद्रित करना, D) यादृच्छिक शॉट लेना</v>
      </c>
      <c r="I397" s="5" t="str">
        <f>IFERROR(__xludf.DUMMYFUNCTION("GOOGLETRANSLATE(D397, ""en"", ""hi"")"),"A) पैर के विभिन्न भागों से निशाना लगाने का अभ्यास करना और विशिष्ट लक्ष्यों पर निशाना लगाना")</f>
        <v>A) पैर के विभिन्न भागों से निशाना लगाने का अभ्यास करना और विशिष्ट लक्ष्यों पर निशाना लगाना</v>
      </c>
    </row>
    <row r="398" ht="22.5" customHeight="1">
      <c r="A398" s="2">
        <v>397.0</v>
      </c>
      <c r="B398" s="3" t="s">
        <v>6309</v>
      </c>
      <c r="C398" s="3" t="s">
        <v>6310</v>
      </c>
      <c r="D398" s="3" t="s">
        <v>6311</v>
      </c>
      <c r="F398" s="5" t="str">
        <f>IFERROR(__xludf.DUMMYFUNCTION("GOOGLETRANSLATE(A398, ""en"", ""hi"")"),"397")</f>
        <v>397</v>
      </c>
      <c r="G398" s="5" t="str">
        <f>IFERROR(__xludf.DUMMYFUNCTION("GOOGLETRANSLATE(B398, ""en"", ""hi"")"),"ढोल खेल में किसी मजबूत आक्रामक हमले का जवाब देने के लिए टीम के लिए प्रभावी तरीका क्या है?")</f>
        <v>ढोल खेल में किसी मजबूत आक्रामक हमले का जवाब देने के लिए टीम के लिए प्रभावी तरीका क्या है?</v>
      </c>
      <c r="H398" s="5" t="str">
        <f>IFERROR(__xludf.DUMMYFUNCTION("GOOGLETRANSLATE(C398, ""en"", ""hi"")"),"A) कड़ी सुरक्षा व्यवस्था करके और हमलावरों पर बारीकी से नजर रखकर, B) केवल आक्रमण पर ध्यान केंद्रित करके, C) आक्रमण की अनदेखी करके, D) विरोधियों को आक्रमण करने की अनुमति देकर")</f>
        <v>A) कड़ी सुरक्षा व्यवस्था करके और हमलावरों पर बारीकी से नजर रखकर, B) केवल आक्रमण पर ध्यान केंद्रित करके, C) आक्रमण की अनदेखी करके, D) विरोधियों को आक्रमण करने की अनुमति देकर</v>
      </c>
      <c r="I398" s="5" t="str">
        <f>IFERROR(__xludf.DUMMYFUNCTION("GOOGLETRANSLATE(D398, ""en"", ""hi"")"),"A) कड़ी सुरक्षा व्यवस्था करके और हमलावरों पर बारीकी से नजर रखकर")</f>
        <v>A) कड़ी सुरक्षा व्यवस्था करके और हमलावरों पर बारीकी से नजर रखकर</v>
      </c>
    </row>
    <row r="399" ht="22.5" customHeight="1">
      <c r="A399" s="2">
        <v>398.0</v>
      </c>
      <c r="B399" s="3" t="s">
        <v>6312</v>
      </c>
      <c r="C399" s="3" t="s">
        <v>6313</v>
      </c>
      <c r="D399" s="3" t="s">
        <v>6314</v>
      </c>
      <c r="F399" s="5" t="str">
        <f>IFERROR(__xludf.DUMMYFUNCTION("GOOGLETRANSLATE(A399, ""en"", ""hi"")"),"398")</f>
        <v>398</v>
      </c>
      <c r="G399" s="5" t="str">
        <f>IFERROR(__xludf.DUMMYFUNCTION("GOOGLETRANSLATE(B399, ""en"", ""hi"")"),"ढोल खेल में कोई खिलाड़ी अपनी हेडिंग क्षमता कैसे सुधार सकता है?")</f>
        <v>ढोल खेल में कोई खिलाड़ी अपनी हेडिंग क्षमता कैसे सुधार सकता है?</v>
      </c>
      <c r="H399" s="5" t="str">
        <f>IFERROR(__xludf.DUMMYFUNCTION("GOOGLETRANSLATE(C399, ""en"", ""hi"")"),"A) हेडिंग अभ्यास करके और समय और तकनीक पर ध्यान केंद्रित करके, B) हेडिंग अभ्यास से बचकर, C) केवल पासिंग पर ध्यान केंद्रित करके, D) हेडिंग अभ्यास को अनदेखा करके")</f>
        <v>A) हेडिंग अभ्यास करके और समय और तकनीक पर ध्यान केंद्रित करके, B) हेडिंग अभ्यास से बचकर, C) केवल पासिंग पर ध्यान केंद्रित करके, D) हेडिंग अभ्यास को अनदेखा करके</v>
      </c>
      <c r="I399" s="5" t="str">
        <f>IFERROR(__xludf.DUMMYFUNCTION("GOOGLETRANSLATE(D399, ""en"", ""hi"")"),"A) हेडिंग ड्रिल का अभ्यास करके और समय और तकनीक पर ध्यान केंद्रित करके")</f>
        <v>A) हेडिंग ड्रिल का अभ्यास करके और समय और तकनीक पर ध्यान केंद्रित करके</v>
      </c>
    </row>
    <row r="400" ht="22.5" customHeight="1">
      <c r="A400" s="2">
        <v>399.0</v>
      </c>
      <c r="B400" s="3" t="s">
        <v>6315</v>
      </c>
      <c r="C400" s="3" t="s">
        <v>6316</v>
      </c>
      <c r="D400" s="3" t="s">
        <v>6317</v>
      </c>
      <c r="F400" s="5" t="str">
        <f>IFERROR(__xludf.DUMMYFUNCTION("GOOGLETRANSLATE(A400, ""en"", ""hi"")"),"399")</f>
        <v>399</v>
      </c>
      <c r="G400" s="5" t="str">
        <f>IFERROR(__xludf.DUMMYFUNCTION("GOOGLETRANSLATE(B400, ""en"", ""hi"")"),"ढोल खेल में सफल रक्षात्मक रणनीति के लिए मुख्य कारक क्या है?")</f>
        <v>ढोल खेल में सफल रक्षात्मक रणनीति के लिए मुख्य कारक क्या है?</v>
      </c>
      <c r="H400" s="5" t="str">
        <f>IFERROR(__xludf.DUMMYFUNCTION("GOOGLETRANSLATE(C400, ""en"", ""hi"")"),"ए) रक्षकों के बीच प्रभावी संचार और स्थिति, बी) रक्षात्मक रणनीति की अनदेखी, सी) केवल आक्रमण पर ध्यान केंद्रित करना, डी) रक्षात्मक अभ्यास से बचना")</f>
        <v>ए) रक्षकों के बीच प्रभावी संचार और स्थिति, बी) रक्षात्मक रणनीति की अनदेखी, सी) केवल आक्रमण पर ध्यान केंद्रित करना, डी) रक्षात्मक अभ्यास से बचना</v>
      </c>
      <c r="I400" s="5" t="str">
        <f>IFERROR(__xludf.DUMMYFUNCTION("GOOGLETRANSLATE(D400, ""en"", ""hi"")"),"ए) रक्षकों के बीच प्रभावी संचार और स्थिति निर्धारण")</f>
        <v>ए) रक्षकों के बीच प्रभावी संचार और स्थिति निर्धारण</v>
      </c>
    </row>
    <row r="401" ht="22.5" customHeight="1">
      <c r="A401" s="2">
        <v>400.0</v>
      </c>
      <c r="B401" s="3" t="s">
        <v>6318</v>
      </c>
      <c r="C401" s="3" t="s">
        <v>6319</v>
      </c>
      <c r="D401" s="3" t="s">
        <v>6320</v>
      </c>
      <c r="F401" s="5" t="str">
        <f>IFERROR(__xludf.DUMMYFUNCTION("GOOGLETRANSLATE(A401, ""en"", ""hi"")"),"400")</f>
        <v>400</v>
      </c>
      <c r="G401" s="5" t="str">
        <f>IFERROR(__xludf.DUMMYFUNCTION("GOOGLETRANSLATE(B401, ""en"", ""hi"")"),"ढोल खेल में उच्च दबाव की स्थिति में कोई टीम अपने प्रदर्शन को कैसे बेहतर बना सकती है?")</f>
        <v>ढोल खेल में उच्च दबाव की स्थिति में कोई टीम अपने प्रदर्शन को कैसे बेहतर बना सकती है?</v>
      </c>
      <c r="H401" s="5" t="str">
        <f>IFERROR(__xludf.DUMMYFUNCTION("GOOGLETRANSLATE(C401, ""en"", ""hi"")"),"A) धैर्य बनाए रखकर और अपनी खेल योजना पर अड़े रहकर, B) घबराकर और जल्दबाजी में निर्णय लेकर, C) दबाव को नजरअंदाज करके, D) केवल व्यक्तिगत प्रदर्शन पर ध्यान केंद्रित करके")</f>
        <v>A) धैर्य बनाए रखकर और अपनी खेल योजना पर अड़े रहकर, B) घबराकर और जल्दबाजी में निर्णय लेकर, C) दबाव को नजरअंदाज करके, D) केवल व्यक्तिगत प्रदर्शन पर ध्यान केंद्रित करके</v>
      </c>
      <c r="I401" s="5" t="str">
        <f>IFERROR(__xludf.DUMMYFUNCTION("GOOGLETRANSLATE(D401, ""en"", ""hi"")"),"A) धैर्य बनाए रखकर और अपनी खेल योजना पर अडिग रहकर")</f>
        <v>A) धैर्य बनाए रखकर और अपनी खेल योजना पर अडिग रहकर</v>
      </c>
    </row>
    <row r="402" ht="22.5" customHeight="1">
      <c r="A402" s="2">
        <v>401.0</v>
      </c>
      <c r="B402" s="3" t="s">
        <v>6321</v>
      </c>
      <c r="C402" s="3" t="s">
        <v>6322</v>
      </c>
      <c r="D402" s="3" t="s">
        <v>6323</v>
      </c>
      <c r="F402" s="5" t="str">
        <f>IFERROR(__xludf.DUMMYFUNCTION("GOOGLETRANSLATE(A402, ""en"", ""hi"")"),"401")</f>
        <v>401</v>
      </c>
      <c r="G402" s="5" t="str">
        <f>IFERROR(__xludf.DUMMYFUNCTION("GOOGLETRANSLATE(B402, ""en"", ""hi"")"),"ढोल खेल में पास प्राप्त करते समय खिलाड़ी की तकनीक का महत्वपूर्ण पहलू क्या है?")</f>
        <v>ढोल खेल में पास प्राप्त करते समय खिलाड़ी की तकनीक का महत्वपूर्ण पहलू क्या है?</v>
      </c>
      <c r="H402" s="5" t="str">
        <f>IFERROR(__xludf.DUMMYFUNCTION("GOOGLETRANSLATE(C402, ""en"", ""hi"")"),"A) पैर से गेंद को सहारा देना और शरीर को नियंत्रित करने के लिए स्थिति में लाना, B) गेंद को दूर किक करना, C) गेंद को अनदेखा करना, D) केवल शूटिंग पर ध्यान केंद्रित करना")</f>
        <v>A) पैर से गेंद को सहारा देना और शरीर को नियंत्रित करने के लिए स्थिति में लाना, B) गेंद को दूर किक करना, C) गेंद को अनदेखा करना, D) केवल शूटिंग पर ध्यान केंद्रित करना</v>
      </c>
      <c r="I402" s="5" t="str">
        <f>IFERROR(__xludf.DUMMYFUNCTION("GOOGLETRANSLATE(D402, ""en"", ""hi"")"),"A) पैर से गेंद को सहारा देना और शरीर को नियंत्रित करने की स्थिति में रखना")</f>
        <v>A) पैर से गेंद को सहारा देना और शरीर को नियंत्रित करने की स्थिति में रखना</v>
      </c>
    </row>
    <row r="403" ht="22.5" customHeight="1">
      <c r="A403" s="2">
        <v>402.0</v>
      </c>
      <c r="B403" s="3" t="s">
        <v>6324</v>
      </c>
      <c r="C403" s="3" t="s">
        <v>6325</v>
      </c>
      <c r="D403" s="3" t="s">
        <v>6326</v>
      </c>
      <c r="F403" s="5" t="str">
        <f>IFERROR(__xludf.DUMMYFUNCTION("GOOGLETRANSLATE(A403, ""en"", ""hi"")"),"402")</f>
        <v>402</v>
      </c>
      <c r="G403" s="5" t="str">
        <f>IFERROR(__xludf.DUMMYFUNCTION("GOOGLETRANSLATE(B403, ""en"", ""hi"")"),"ढोल खेल में सेट पीस का मुख्य उद्देश्य क्या है?")</f>
        <v>ढोल खेल में सेट पीस का मुख्य उद्देश्य क्या है?</v>
      </c>
      <c r="H403" s="5" t="str">
        <f>IFERROR(__xludf.DUMMYFUNCTION("GOOGLETRANSLATE(C403, ""en"", ""hi"")"),"A) स्कोरिंग के अवसर पैदा करना या उनसे बचाव करना, B) केवल ड्रिब्लिंग पर ध्यान केंद्रित करना, C) यादृच्छिक शॉट लेना, D) सेट पीस को अनदेखा करना")</f>
        <v>A) स्कोरिंग के अवसर पैदा करना या उनसे बचाव करना, B) केवल ड्रिब्लिंग पर ध्यान केंद्रित करना, C) यादृच्छिक शॉट लेना, D) सेट पीस को अनदेखा करना</v>
      </c>
      <c r="I403" s="5" t="str">
        <f>IFERROR(__xludf.DUMMYFUNCTION("GOOGLETRANSLATE(D403, ""en"", ""hi"")"),"A) स्कोरिंग के अवसर पैदा करना या उनसे बचाव करना")</f>
        <v>A) स्कोरिंग के अवसर पैदा करना या उनसे बचाव करना</v>
      </c>
    </row>
    <row r="404" ht="22.5" customHeight="1">
      <c r="A404" s="2">
        <v>403.0</v>
      </c>
      <c r="B404" s="3" t="s">
        <v>6327</v>
      </c>
      <c r="C404" s="3" t="s">
        <v>6328</v>
      </c>
      <c r="D404" s="3" t="s">
        <v>6329</v>
      </c>
      <c r="F404" s="5" t="str">
        <f>IFERROR(__xludf.DUMMYFUNCTION("GOOGLETRANSLATE(A404, ""en"", ""hi"")"),"403")</f>
        <v>403</v>
      </c>
      <c r="G404" s="5" t="str">
        <f>IFERROR(__xludf.DUMMYFUNCTION("GOOGLETRANSLATE(B404, ""en"", ""hi"")"),"ढोल खेल में हमलावर के साथ आमने-सामने की स्थिति का सामना करते समय डिफेंडर को क्या करना चाहिए?")</f>
        <v>ढोल खेल में हमलावर के साथ आमने-सामने की स्थिति का सामना करते समय डिफेंडर को क्या करना चाहिए?</v>
      </c>
      <c r="H404" s="5" t="str">
        <f>IFERROR(__xludf.DUMMYFUNCTION("GOOGLETRANSLATE(C404, ""en"", ""hi"")"),"A) पास रहें, हमलावर की चाल का अनुमान लगाएं, और रोकने या रोकने के लिए स्थिति बनाएं, B) हमला करने पर ध्यान केंद्रित करें, C) हमलावर के कदम उठाने की प्रतीक्षा करें, D) हमलावर को अनदेखा करें")</f>
        <v>A) पास रहें, हमलावर की चाल का अनुमान लगाएं, और रोकने या रोकने के लिए स्थिति बनाएं, B) हमला करने पर ध्यान केंद्रित करें, C) हमलावर के कदम उठाने की प्रतीक्षा करें, D) हमलावर को अनदेखा करें</v>
      </c>
      <c r="I404" s="5" t="str">
        <f>IFERROR(__xludf.DUMMYFUNCTION("GOOGLETRANSLATE(D404, ""en"", ""hi"")"),"A) पास रहें, हमलावर की चाल का अनुमान लगाएं, तथा उसे रोकने या रोकने के लिए स्थिति बनाएं")</f>
        <v>A) पास रहें, हमलावर की चाल का अनुमान लगाएं, तथा उसे रोकने या रोकने के लिए स्थिति बनाएं</v>
      </c>
    </row>
    <row r="405" ht="22.5" customHeight="1">
      <c r="A405" s="2">
        <v>404.0</v>
      </c>
      <c r="B405" s="3" t="s">
        <v>6330</v>
      </c>
      <c r="C405" s="3" t="s">
        <v>6331</v>
      </c>
      <c r="D405" s="3" t="s">
        <v>6332</v>
      </c>
      <c r="F405" s="5" t="str">
        <f>IFERROR(__xludf.DUMMYFUNCTION("GOOGLETRANSLATE(A405, ""en"", ""hi"")"),"404")</f>
        <v>404</v>
      </c>
      <c r="G405" s="5" t="str">
        <f>IFERROR(__xludf.DUMMYFUNCTION("GOOGLETRANSLATE(B405, ""en"", ""hi"")"),"ढोल खेल के लिए खिलाड़ी के फिटनेस स्तर को सुधारने का सामान्य तरीका क्या है?")</f>
        <v>ढोल खेल के लिए खिलाड़ी के फिटनेस स्तर को सुधारने का सामान्य तरीका क्या है?</v>
      </c>
      <c r="H405" s="5" t="str">
        <f>IFERROR(__xludf.DUMMYFUNCTION("GOOGLETRANSLATE(C405, ""en"", ""hi"")"),"A) नियमित रूप से हृदय और शक्ति प्रशिक्षण अभ्यास में संलग्न होना, B) फिटनेस प्रशिक्षण की उपेक्षा करना, C) केवल तकनीकी कौशल पर ध्यान केंद्रित करना, D) शारीरिक व्यायाम से बचना")</f>
        <v>A) नियमित रूप से हृदय और शक्ति प्रशिक्षण अभ्यास में संलग्न होना, B) फिटनेस प्रशिक्षण की उपेक्षा करना, C) केवल तकनीकी कौशल पर ध्यान केंद्रित करना, D) शारीरिक व्यायाम से बचना</v>
      </c>
      <c r="I405" s="5" t="str">
        <f>IFERROR(__xludf.DUMMYFUNCTION("GOOGLETRANSLATE(D405, ""en"", ""hi"")"),"ए) नियमित रूप से हृदय और शक्ति प्रशिक्षण अभ्यास में संलग्न रहना")</f>
        <v>ए) नियमित रूप से हृदय और शक्ति प्रशिक्षण अभ्यास में संलग्न रहना</v>
      </c>
    </row>
    <row r="406" ht="22.5" customHeight="1">
      <c r="A406" s="2">
        <v>405.0</v>
      </c>
      <c r="B406" s="3" t="s">
        <v>6333</v>
      </c>
      <c r="C406" s="3" t="s">
        <v>6334</v>
      </c>
      <c r="D406" s="3" t="s">
        <v>6335</v>
      </c>
      <c r="F406" s="5" t="str">
        <f>IFERROR(__xludf.DUMMYFUNCTION("GOOGLETRANSLATE(A406, ""en"", ""hi"")"),"405")</f>
        <v>405</v>
      </c>
      <c r="G406" s="5" t="str">
        <f>IFERROR(__xludf.DUMMYFUNCTION("GOOGLETRANSLATE(B406, ""en"", ""hi"")"),"ढोल खेल में अंतिम समय में खेल के दौरान किसी टीम के लिए प्रभावी रणनीति क्या है?")</f>
        <v>ढोल खेल में अंतिम समय में खेल के दौरान किसी टीम के लिए प्रभावी रणनीति क्या है?</v>
      </c>
      <c r="H406" s="5" t="str">
        <f>IFERROR(__xludf.DUMMYFUNCTION("GOOGLETRANSLATE(C406, ""en"", ""hi"")"),"A) तत्परता से खेलना और स्कोरिंग अवसर बनाने पर ध्यान केंद्रित करना, B) खेल की स्थिति को अनदेखा करना, C) रक्षात्मक रूप से खेलना, D) जोखिम भरे खेलों से बचना")</f>
        <v>A) तत्परता से खेलना और स्कोरिंग अवसर बनाने पर ध्यान केंद्रित करना, B) खेल की स्थिति को अनदेखा करना, C) रक्षात्मक रूप से खेलना, D) जोखिम भरे खेलों से बचना</v>
      </c>
      <c r="I406" s="5" t="str">
        <f>IFERROR(__xludf.DUMMYFUNCTION("GOOGLETRANSLATE(D406, ""en"", ""hi"")"),"A) तत्परता से खेलना और स्कोरिंग अवसर बनाने पर ध्यान केंद्रित करना")</f>
        <v>A) तत्परता से खेलना और स्कोरिंग अवसर बनाने पर ध्यान केंद्रित करना</v>
      </c>
    </row>
    <row r="407" ht="22.5" customHeight="1">
      <c r="A407" s="2">
        <v>406.0</v>
      </c>
      <c r="B407" s="3" t="s">
        <v>6336</v>
      </c>
      <c r="C407" s="3" t="s">
        <v>6337</v>
      </c>
      <c r="D407" s="3" t="s">
        <v>6338</v>
      </c>
      <c r="F407" s="5" t="str">
        <f>IFERROR(__xludf.DUMMYFUNCTION("GOOGLETRANSLATE(A407, ""en"", ""hi"")"),"406")</f>
        <v>406</v>
      </c>
      <c r="G407" s="5" t="str">
        <f>IFERROR(__xludf.DUMMYFUNCTION("GOOGLETRANSLATE(B407, ""en"", ""hi"")"),"ढोल खेल में सटीक लम्बे पास देने की अपनी क्षमता को कोई खिलाड़ी कैसे बढ़ा सकता है?")</f>
        <v>ढोल खेल में सटीक लम्बे पास देने की अपनी क्षमता को कोई खिलाड़ी कैसे बढ़ा सकता है?</v>
      </c>
      <c r="H407" s="5" t="str">
        <f>IFERROR(__xludf.DUMMYFUNCTION("GOOGLETRANSLATE(C407, ""en"", ""hi"")"),"A) लंबी पासिंग तकनीकों का अभ्यास करके और सटीकता पर ध्यान केंद्रित करके, B) पासिंग अभ्यासों की अनदेखी करके, C) केवल छोटे पास पर ध्यान केंद्रित करके, D) पासिंग अभ्यास से बचना")</f>
        <v>A) लंबी पासिंग तकनीकों का अभ्यास करके और सटीकता पर ध्यान केंद्रित करके, B) पासिंग अभ्यासों की अनदेखी करके, C) केवल छोटे पास पर ध्यान केंद्रित करके, D) पासिंग अभ्यास से बचना</v>
      </c>
      <c r="I407" s="5" t="str">
        <f>IFERROR(__xludf.DUMMYFUNCTION("GOOGLETRANSLATE(D407, ""en"", ""hi"")"),"A) लंबी पासिंग तकनीकों का अभ्यास करके और सटीकता पर ध्यान केंद्रित करके")</f>
        <v>A) लंबी पासिंग तकनीकों का अभ्यास करके और सटीकता पर ध्यान केंद्रित करके</v>
      </c>
    </row>
    <row r="408" ht="22.5" customHeight="1">
      <c r="A408" s="2">
        <v>407.0</v>
      </c>
      <c r="B408" s="3" t="s">
        <v>6339</v>
      </c>
      <c r="C408" s="3" t="s">
        <v>6340</v>
      </c>
      <c r="D408" s="3" t="s">
        <v>6341</v>
      </c>
      <c r="F408" s="5" t="str">
        <f>IFERROR(__xludf.DUMMYFUNCTION("GOOGLETRANSLATE(A408, ""en"", ""hi"")"),"407")</f>
        <v>407</v>
      </c>
      <c r="G408" s="5" t="str">
        <f>IFERROR(__xludf.DUMMYFUNCTION("GOOGLETRANSLATE(B408, ""en"", ""hi"")"),"ढोल खेल में टीम के गठन का मुख्य पहलू क्या है?")</f>
        <v>ढोल खेल में टीम के गठन का मुख्य पहलू क्या है?</v>
      </c>
      <c r="H408" s="5" t="str">
        <f>IFERROR(__xludf.DUMMYFUNCTION("GOOGLETRANSLATE(C408, ""en"", ""hi"")"),"A) खिलाड़ियों को इस तरह से व्यवस्थित करना कि रक्षा और आक्रमण में संतुलन बना रहे, B) संरचनाओं की अनदेखी करना, C) केवल व्यक्तिगत स्थितियों पर ध्यान केंद्रित करना, D) खिलाड़ियों को अपनी स्थिति चुनने की अनुमति देना")</f>
        <v>A) खिलाड़ियों को इस तरह से व्यवस्थित करना कि रक्षा और आक्रमण में संतुलन बना रहे, B) संरचनाओं की अनदेखी करना, C) केवल व्यक्तिगत स्थितियों पर ध्यान केंद्रित करना, D) खिलाड़ियों को अपनी स्थिति चुनने की अनुमति देना</v>
      </c>
      <c r="I408" s="5" t="str">
        <f>IFERROR(__xludf.DUMMYFUNCTION("GOOGLETRANSLATE(D408, ""en"", ""hi"")"),"A) खिलाड़ियों को इस तरह से संगठित करना जिससे रक्षा और आक्रमण में संतुलन बना रहे")</f>
        <v>A) खिलाड़ियों को इस तरह से संगठित करना जिससे रक्षा और आक्रमण में संतुलन बना रहे</v>
      </c>
    </row>
    <row r="409" ht="22.5" customHeight="1">
      <c r="A409" s="2">
        <v>408.0</v>
      </c>
      <c r="B409" s="3" t="s">
        <v>6342</v>
      </c>
      <c r="C409" s="3" t="s">
        <v>6343</v>
      </c>
      <c r="D409" s="3" t="s">
        <v>6344</v>
      </c>
      <c r="F409" s="5" t="str">
        <f>IFERROR(__xludf.DUMMYFUNCTION("GOOGLETRANSLATE(A409, ""en"", ""hi"")"),"408")</f>
        <v>408</v>
      </c>
      <c r="G409" s="5" t="str">
        <f>IFERROR(__xludf.DUMMYFUNCTION("GOOGLETRANSLATE(B409, ""en"", ""hi"")"),"ढोल खेल में उच्च दबाव वाली पेनल्टी स्थिति में खिलाड़ी को किस प्रकार से काम करना चाहिए?")</f>
        <v>ढोल खेल में उच्च दबाव वाली पेनल्टी स्थिति में खिलाड़ी को किस प्रकार से काम करना चाहिए?</v>
      </c>
      <c r="H409" s="5" t="str">
        <f>IFERROR(__xludf.DUMMYFUNCTION("GOOGLETRANSLATE(C409, ""en"", ""hi"")"),"A) शांत रहकर, तकनीक पर ध्यान केंद्रित करके, और लक्ष्य पर निशाना साधकर, B) घबराकर और जल्दबाजी में शॉट मारकर, C) पेनल्टी किक को नजरअंदाज करके, D) गोलकीपर के हिलने का इंतजार करके")</f>
        <v>A) शांत रहकर, तकनीक पर ध्यान केंद्रित करके, और लक्ष्य पर निशाना साधकर, B) घबराकर और जल्दबाजी में शॉट मारकर, C) पेनल्टी किक को नजरअंदाज करके, D) गोलकीपर के हिलने का इंतजार करके</v>
      </c>
      <c r="I409" s="5" t="str">
        <f>IFERROR(__xludf.DUMMYFUNCTION("GOOGLETRANSLATE(D409, ""en"", ""hi"")"),"A) शांत रहकर, तकनीक पर ध्यान केंद्रित करके, और लक्ष्य पर निशाना साधकर")</f>
        <v>A) शांत रहकर, तकनीक पर ध्यान केंद्रित करके, और लक्ष्य पर निशाना साधकर</v>
      </c>
    </row>
    <row r="410" ht="22.5" customHeight="1">
      <c r="A410" s="2">
        <v>409.0</v>
      </c>
      <c r="B410" s="3" t="s">
        <v>6345</v>
      </c>
      <c r="C410" s="3" t="s">
        <v>6346</v>
      </c>
      <c r="D410" s="3" t="s">
        <v>6347</v>
      </c>
      <c r="F410" s="5" t="str">
        <f>IFERROR(__xludf.DUMMYFUNCTION("GOOGLETRANSLATE(A410, ""en"", ""hi"")"),"409")</f>
        <v>409</v>
      </c>
      <c r="G410" s="5" t="str">
        <f>IFERROR(__xludf.DUMMYFUNCTION("GOOGLETRANSLATE(B410, ""en"", ""hi"")"),"ढोल खेल में टीम के ट्रांजिशन खेल को बेहतर बनाने का प्रभावी तरीका क्या है?")</f>
        <v>ढोल खेल में टीम के ट्रांजिशन खेल को बेहतर बनाने का प्रभावी तरीका क्या है?</v>
      </c>
      <c r="H410" s="5" t="str">
        <f>IFERROR(__xludf.DUMMYFUNCTION("GOOGLETRANSLATE(C410, ""en"", ""hi"")"),"A) बचाव से आक्रमण और इसके विपरीत त्वरित परिवर्तन का अभ्यास करना, B) संक्रमण अभ्यासों की अनदेखी करना, C) केवल आक्रमण पर ध्यान केंद्रित करना, D) संक्रमण में देरी करना")</f>
        <v>A) बचाव से आक्रमण और इसके विपरीत त्वरित परिवर्तन का अभ्यास करना, B) संक्रमण अभ्यासों की अनदेखी करना, C) केवल आक्रमण पर ध्यान केंद्रित करना, D) संक्रमण में देरी करना</v>
      </c>
      <c r="I410" s="5" t="str">
        <f>IFERROR(__xludf.DUMMYFUNCTION("GOOGLETRANSLATE(D410, ""en"", ""hi"")"),"A) बचाव से आक्रमण और इसके विपरीत त्वरित परिवर्तन का अभ्यास करना")</f>
        <v>A) बचाव से आक्रमण और इसके विपरीत त्वरित परिवर्तन का अभ्यास करना</v>
      </c>
    </row>
    <row r="411" ht="22.5" customHeight="1">
      <c r="A411" s="2">
        <v>410.0</v>
      </c>
      <c r="B411" s="3" t="s">
        <v>6348</v>
      </c>
      <c r="C411" s="3" t="s">
        <v>6349</v>
      </c>
      <c r="D411" s="3" t="s">
        <v>6350</v>
      </c>
      <c r="F411" s="5" t="str">
        <f>IFERROR(__xludf.DUMMYFUNCTION("GOOGLETRANSLATE(A411, ""en"", ""hi"")"),"410")</f>
        <v>410</v>
      </c>
      <c r="G411" s="5" t="str">
        <f>IFERROR(__xludf.DUMMYFUNCTION("GOOGLETRANSLATE(B411, ""en"", ""hi"")"),"ढोल खेल में एक टीम मैदान की चौड़ाई का प्रभावी ढंग से उपयोग कैसे कर सकती है?")</f>
        <v>ढोल खेल में एक टीम मैदान की चौड़ाई का प्रभावी ढंग से उपयोग कैसे कर सकती है?</v>
      </c>
      <c r="H411" s="5" t="str">
        <f>IFERROR(__xludf.DUMMYFUNCTION("GOOGLETRANSLATE(C411, ""en"", ""hi"")"),"ए) फैलकर और पूरी चौड़ाई का उपयोग करके जगह बनाकर और प्रतिद्वंद्वी की रक्षा को फैलाकर, बी) खिलाड़ियों को केंद्र में इकट्ठा करके, सी) केवल लंबी गेंदों पर ध्यान केंद्रित करके, डी) मैदान की चौड़ाई को अनदेखा करके")</f>
        <v>ए) फैलकर और पूरी चौड़ाई का उपयोग करके जगह बनाकर और प्रतिद्वंद्वी की रक्षा को फैलाकर, बी) खिलाड़ियों को केंद्र में इकट्ठा करके, सी) केवल लंबी गेंदों पर ध्यान केंद्रित करके, डी) मैदान की चौड़ाई को अनदेखा करके</v>
      </c>
      <c r="I411" s="5" t="str">
        <f>IFERROR(__xludf.DUMMYFUNCTION("GOOGLETRANSLATE(D411, ""en"", ""hi"")"),"A) फैलकर और पूरी चौड़ाई का उपयोग करके जगह बनाकर तथा प्रतिद्वंद्वी की रक्षा को फैलाकर")</f>
        <v>A) फैलकर और पूरी चौड़ाई का उपयोग करके जगह बनाकर तथा प्रतिद्वंद्वी की रक्षा को फैलाकर</v>
      </c>
    </row>
    <row r="412" ht="22.5" customHeight="1">
      <c r="A412" s="2">
        <v>411.0</v>
      </c>
      <c r="B412" s="3" t="s">
        <v>6351</v>
      </c>
      <c r="C412" s="3" t="s">
        <v>6352</v>
      </c>
      <c r="D412" s="3" t="s">
        <v>6353</v>
      </c>
      <c r="F412" s="5" t="str">
        <f>IFERROR(__xludf.DUMMYFUNCTION("GOOGLETRANSLATE(A412, ""en"", ""hi"")"),"411")</f>
        <v>411</v>
      </c>
      <c r="G412" s="5" t="str">
        <f>IFERROR(__xludf.DUMMYFUNCTION("GOOGLETRANSLATE(B412, ""en"", ""hi"")"),"ढोल खेल में खिलाड़ी की प्रतिक्रिया समय में सुधार करने के लिए सामान्य अभ्यास क्या है?")</f>
        <v>ढोल खेल में खिलाड़ी की प्रतिक्रिया समय में सुधार करने के लिए सामान्य अभ्यास क्या है?</v>
      </c>
      <c r="H412" s="5" t="str">
        <f>IFERROR(__xludf.DUMMYFUNCTION("GOOGLETRANSLATE(C412, ""en"", ""hi"")"),"A) त्वरित निर्णय लेने वाले अभ्यास और प्रतिक्रिया अभ्यास का अभ्यास करना, B) प्रतिक्रिया अभ्यास की उपेक्षा करना, C) केवल ड्रिब्लिंग पर ध्यान केंद्रित करना, D) शारीरिक व्यायाम से बचना")</f>
        <v>A) त्वरित निर्णय लेने वाले अभ्यास और प्रतिक्रिया अभ्यास का अभ्यास करना, B) प्रतिक्रिया अभ्यास की उपेक्षा करना, C) केवल ड्रिब्लिंग पर ध्यान केंद्रित करना, D) शारीरिक व्यायाम से बचना</v>
      </c>
      <c r="I412" s="5" t="str">
        <f>IFERROR(__xludf.DUMMYFUNCTION("GOOGLETRANSLATE(D412, ""en"", ""hi"")"),"A) त्वरित निर्णय लेने का अभ्यास और प्रतिक्रिया अभ्यास")</f>
        <v>A) त्वरित निर्णय लेने का अभ्यास और प्रतिक्रिया अभ्यास</v>
      </c>
    </row>
    <row r="413" ht="22.5" customHeight="1">
      <c r="A413" s="2">
        <v>412.0</v>
      </c>
      <c r="B413" s="3" t="s">
        <v>6354</v>
      </c>
      <c r="C413" s="3" t="s">
        <v>6355</v>
      </c>
      <c r="D413" s="3" t="s">
        <v>6356</v>
      </c>
      <c r="F413" s="5" t="str">
        <f>IFERROR(__xludf.DUMMYFUNCTION("GOOGLETRANSLATE(A413, ""en"", ""hi"")"),"412")</f>
        <v>412</v>
      </c>
      <c r="G413" s="5" t="str">
        <f>IFERROR(__xludf.DUMMYFUNCTION("GOOGLETRANSLATE(B413, ""en"", ""hi"")"),"ढोल खेल में रक्षात्मक स्थिति अभ्यास के दौरान खिलाड़ी को किस बात पर ध्यान केंद्रित करना चाहिए?")</f>
        <v>ढोल खेल में रक्षात्मक स्थिति अभ्यास के दौरान खिलाड़ी को किस बात पर ध्यान केंद्रित करना चाहिए?</v>
      </c>
      <c r="H413" s="5" t="str">
        <f>IFERROR(__xludf.DUMMYFUNCTION("GOOGLETRANSLATE(C413, ""en"", ""hi"")"),"A) गेंद और विरोधियों के प्रति उचित स्थिति और जागरूकता बनाए रखना, B) स्थिति की अनदेखी करना, C) केवल आक्रमण पर ध्यान केंद्रित करना, D) रक्षात्मक अभ्यास से बचना")</f>
        <v>A) गेंद और विरोधियों के प्रति उचित स्थिति और जागरूकता बनाए रखना, B) स्थिति की अनदेखी करना, C) केवल आक्रमण पर ध्यान केंद्रित करना, D) रक्षात्मक अभ्यास से बचना</v>
      </c>
      <c r="I413" s="5" t="str">
        <f>IFERROR(__xludf.DUMMYFUNCTION("GOOGLETRANSLATE(D413, ""en"", ""hi"")"),"ए) गेंद और विरोधियों की उचित स्थिति और जागरूकता बनाए रखना")</f>
        <v>ए) गेंद और विरोधियों की उचित स्थिति और जागरूकता बनाए रखना</v>
      </c>
    </row>
    <row r="414" ht="22.5" customHeight="1">
      <c r="A414" s="2">
        <v>413.0</v>
      </c>
      <c r="B414" s="3" t="s">
        <v>6357</v>
      </c>
      <c r="C414" s="3" t="s">
        <v>6358</v>
      </c>
      <c r="D414" s="3" t="s">
        <v>6359</v>
      </c>
      <c r="F414" s="5" t="str">
        <f>IFERROR(__xludf.DUMMYFUNCTION("GOOGLETRANSLATE(A414, ""en"", ""hi"")"),"413")</f>
        <v>413</v>
      </c>
      <c r="G414" s="5" t="str">
        <f>IFERROR(__xludf.DUMMYFUNCTION("GOOGLETRANSLATE(B414, ""en"", ""hi"")"),"ढोल खेल में पेनल्टी शूटआउट के लिए एक टीम प्रभावी ढंग से कैसे तैयारी कर सकती है?")</f>
        <v>ढोल खेल में पेनल्टी शूटआउट के लिए एक टीम प्रभावी ढंग से कैसे तैयारी कर सकती है?</v>
      </c>
      <c r="H414" s="5" t="str">
        <f>IFERROR(__xludf.DUMMYFUNCTION("GOOGLETRANSLATE(C414, ""en"", ""hi"")"),"A) पेनल्टी किक और गोलकीपिंग तकनीकों का अभ्यास करके, B) पेनल्टी शूटआउट की अनदेखी करके, C) केवल आक्रामक रणनीति पर ध्यान केंद्रित करके, D) पेनल्टी अभ्यास से बचना")</f>
        <v>A) पेनल्टी किक और गोलकीपिंग तकनीकों का अभ्यास करके, B) पेनल्टी शूटआउट की अनदेखी करके, C) केवल आक्रामक रणनीति पर ध्यान केंद्रित करके, D) पेनल्टी अभ्यास से बचना</v>
      </c>
      <c r="I414" s="5" t="str">
        <f>IFERROR(__xludf.DUMMYFUNCTION("GOOGLETRANSLATE(D414, ""en"", ""hi"")"),"A) पेनल्टी किक और गोलकीपिंग तकनीकों का अभ्यास करके")</f>
        <v>A) पेनल्टी किक और गोलकीपिंग तकनीकों का अभ्यास करके</v>
      </c>
    </row>
    <row r="415" ht="22.5" customHeight="1">
      <c r="A415" s="2">
        <v>414.0</v>
      </c>
      <c r="B415" s="3" t="s">
        <v>6360</v>
      </c>
      <c r="C415" s="3" t="s">
        <v>6361</v>
      </c>
      <c r="D415" s="3" t="s">
        <v>6362</v>
      </c>
      <c r="F415" s="5" t="str">
        <f>IFERROR(__xludf.DUMMYFUNCTION("GOOGLETRANSLATE(A415, ""en"", ""hi"")"),"414")</f>
        <v>414</v>
      </c>
      <c r="G415" s="5" t="str">
        <f>IFERROR(__xludf.DUMMYFUNCTION("GOOGLETRANSLATE(B415, ""en"", ""hi"")"),"ढोल खेल में टीम के रक्षात्मक संगठन का एक महत्वपूर्ण पहलू क्या है?")</f>
        <v>ढोल खेल में टीम के रक्षात्मक संगठन का एक महत्वपूर्ण पहलू क्या है?</v>
      </c>
      <c r="H415" s="5" t="str">
        <f>IFERROR(__xludf.DUMMYFUNCTION("GOOGLETRANSLATE(C415, ""en"", ""hi"")"),"A) प्रतिद्वंद्वी के आक्रमण विकल्पों को रोकने के लिए उचित संरेखण और कवरेज सुनिश्चित करना, B) रक्षात्मक संगठन की अनदेखी करना, C) केवल आक्रमण पर ध्यान केंद्रित करना, D) हमलावरों को स्वतंत्र रूप से घूमने देना")</f>
        <v>A) प्रतिद्वंद्वी के आक्रमण विकल्पों को रोकने के लिए उचित संरेखण और कवरेज सुनिश्चित करना, B) रक्षात्मक संगठन की अनदेखी करना, C) केवल आक्रमण पर ध्यान केंद्रित करना, D) हमलावरों को स्वतंत्र रूप से घूमने देना</v>
      </c>
      <c r="I415" s="5" t="str">
        <f>IFERROR(__xludf.DUMMYFUNCTION("GOOGLETRANSLATE(D415, ""en"", ""hi"")"),"A) प्रतिद्वंद्वी के आक्रमण विकल्पों को रोकने के लिए उचित संरेखण और कवरेज सुनिश्चित करना")</f>
        <v>A) प्रतिद्वंद्वी के आक्रमण विकल्पों को रोकने के लिए उचित संरेखण और कवरेज सुनिश्चित करना</v>
      </c>
    </row>
    <row r="416" ht="22.5" customHeight="1">
      <c r="A416" s="2">
        <v>415.0</v>
      </c>
      <c r="B416" s="3" t="s">
        <v>6363</v>
      </c>
      <c r="C416" s="3" t="s">
        <v>6364</v>
      </c>
      <c r="D416" s="3" t="s">
        <v>6365</v>
      </c>
      <c r="F416" s="5" t="str">
        <f>IFERROR(__xludf.DUMMYFUNCTION("GOOGLETRANSLATE(A416, ""en"", ""hi"")"),"415")</f>
        <v>415</v>
      </c>
      <c r="G416" s="5" t="str">
        <f>IFERROR(__xludf.DUMMYFUNCTION("GOOGLETRANSLATE(B416, ""en"", ""hi"")"),"ढोल खेल में सटीक क्रॉस लगाने की अपनी क्षमता को कोई खिलाड़ी कैसे सुधार सकता है?")</f>
        <v>ढोल खेल में सटीक क्रॉस लगाने की अपनी क्षमता को कोई खिलाड़ी कैसे सुधार सकता है?</v>
      </c>
      <c r="H416" s="5" t="str">
        <f>IFERROR(__xludf.DUMMYFUNCTION("GOOGLETRANSLATE(C416, ""en"", ""hi"")"),"A) क्रॉसिंग तकनीकों का अभ्यास करके और विशिष्ट लक्ष्यों पर निशाना लगाकर, B) क्रॉसिंग अभ्यास की अनदेखी करके, C) केवल शूटिंग पर ध्यान केंद्रित करके, D) क्रॉसिंग अभ्यास से बचना")</f>
        <v>A) क्रॉसिंग तकनीकों का अभ्यास करके और विशिष्ट लक्ष्यों पर निशाना लगाकर, B) क्रॉसिंग अभ्यास की अनदेखी करके, C) केवल शूटिंग पर ध्यान केंद्रित करके, D) क्रॉसिंग अभ्यास से बचना</v>
      </c>
      <c r="I416" s="5" t="str">
        <f>IFERROR(__xludf.DUMMYFUNCTION("GOOGLETRANSLATE(D416, ""en"", ""hi"")"),"A) क्रॉसिंग तकनीकों का अभ्यास करके और विशिष्ट लक्ष्यों पर निशाना लगाकर")</f>
        <v>A) क्रॉसिंग तकनीकों का अभ्यास करके और विशिष्ट लक्ष्यों पर निशाना लगाकर</v>
      </c>
    </row>
    <row r="417" ht="22.5" customHeight="1">
      <c r="A417" s="2">
        <v>416.0</v>
      </c>
      <c r="B417" s="3" t="s">
        <v>6366</v>
      </c>
      <c r="C417" s="3" t="s">
        <v>6367</v>
      </c>
      <c r="D417" s="3" t="s">
        <v>6368</v>
      </c>
      <c r="F417" s="5" t="str">
        <f>IFERROR(__xludf.DUMMYFUNCTION("GOOGLETRANSLATE(A417, ""en"", ""hi"")"),"416")</f>
        <v>416</v>
      </c>
      <c r="G417" s="5" t="str">
        <f>IFERROR(__xludf.DUMMYFUNCTION("GOOGLETRANSLATE(B417, ""en"", ""hi"")"),"ढोल खेल के लिए खिलाड़ी के फिटनेस स्तर को बढ़ाने का सामान्य तरीका क्या है?")</f>
        <v>ढोल खेल के लिए खिलाड़ी के फिटनेस स्तर को बढ़ाने का सामान्य तरीका क्या है?</v>
      </c>
      <c r="H417" s="5" t="str">
        <f>IFERROR(__xludf.DUMMYFUNCTION("GOOGLETRANSLATE(C417, ""en"", ""hi"")"),"A) अपनी दिनचर्या में अंतराल प्रशिक्षण और शक्ति अभ्यास को शामिल करना, B) फिटनेस प्रशिक्षण की अनदेखी करना, C) केवल तकनीकी कौशल पर ध्यान केंद्रित करना, D) शारीरिक व्यायाम से बचना")</f>
        <v>A) अपनी दिनचर्या में अंतराल प्रशिक्षण और शक्ति अभ्यास को शामिल करना, B) फिटनेस प्रशिक्षण की अनदेखी करना, C) केवल तकनीकी कौशल पर ध्यान केंद्रित करना, D) शारीरिक व्यायाम से बचना</v>
      </c>
      <c r="I417" s="5" t="str">
        <f>IFERROR(__xludf.DUMMYFUNCTION("GOOGLETRANSLATE(D417, ""en"", ""hi"")"),"A) अपनी दिनचर्या में अंतराल प्रशिक्षण और शक्ति व्यायाम को शामिल करना")</f>
        <v>A) अपनी दिनचर्या में अंतराल प्रशिक्षण और शक्ति व्यायाम को शामिल करना</v>
      </c>
    </row>
    <row r="418" ht="22.5" customHeight="1">
      <c r="A418" s="2">
        <v>417.0</v>
      </c>
      <c r="B418" s="3" t="s">
        <v>6369</v>
      </c>
      <c r="C418" s="3" t="s">
        <v>6370</v>
      </c>
      <c r="D418" s="3" t="s">
        <v>6371</v>
      </c>
      <c r="F418" s="5" t="str">
        <f>IFERROR(__xludf.DUMMYFUNCTION("GOOGLETRANSLATE(A418, ""en"", ""hi"")"),"417")</f>
        <v>417</v>
      </c>
      <c r="G418" s="5" t="str">
        <f>IFERROR(__xludf.DUMMYFUNCTION("GOOGLETRANSLATE(B418, ""en"", ""hi"")"),"ढोल खेल में खेल के दौरान किसी टीम के लिए अपनी रणनीति का प्रबंधन करने का प्रभावी तरीका क्या है?")</f>
        <v>ढोल खेल में खेल के दौरान किसी टीम के लिए अपनी रणनीति का प्रबंधन करने का प्रभावी तरीका क्या है?</v>
      </c>
      <c r="H418" s="5" t="str">
        <f>IFERROR(__xludf.DUMMYFUNCTION("GOOGLETRANSLATE(C418, ""en"", ""hi"")"),"A) प्रतिद्वंद्वी के खेल और खेल की स्थिति के आधार पर रणनीति अपनाना, B) खेल की रणनीति की अनदेखी करना, C) केवल व्यक्तिगत कौशल पर ध्यान केंद्रित करना, D) सामरिक समायोजन से बचना")</f>
        <v>A) प्रतिद्वंद्वी के खेल और खेल की स्थिति के आधार पर रणनीति अपनाना, B) खेल की रणनीति की अनदेखी करना, C) केवल व्यक्तिगत कौशल पर ध्यान केंद्रित करना, D) सामरिक समायोजन से बचना</v>
      </c>
      <c r="I418" s="5" t="str">
        <f>IFERROR(__xludf.DUMMYFUNCTION("GOOGLETRANSLATE(D418, ""en"", ""hi"")"),"A) प्रतिद्वंद्वी के खेल और खेल की स्थिति के आधार पर रणनीति अपनाकर")</f>
        <v>A) प्रतिद्वंद्वी के खेल और खेल की स्थिति के आधार पर रणनीति अपनाकर</v>
      </c>
    </row>
    <row r="419" ht="22.5" customHeight="1">
      <c r="A419" s="2">
        <v>418.0</v>
      </c>
      <c r="B419" s="3" t="s">
        <v>6372</v>
      </c>
      <c r="C419" s="3" t="s">
        <v>6373</v>
      </c>
      <c r="D419" s="3" t="s">
        <v>6374</v>
      </c>
      <c r="F419" s="5" t="str">
        <f>IFERROR(__xludf.DUMMYFUNCTION("GOOGLETRANSLATE(A419, ""en"", ""hi"")"),"418")</f>
        <v>418</v>
      </c>
      <c r="G419" s="5" t="str">
        <f>IFERROR(__xludf.DUMMYFUNCTION("GOOGLETRANSLATE(B419, ""en"", ""hi"")"),"ढोल खेल में कब्ज़ा बनाए रखने का महत्वपूर्ण पहलू क्या है?")</f>
        <v>ढोल खेल में कब्ज़ा बनाए रखने का महत्वपूर्ण पहलू क्या है?</v>
      </c>
      <c r="H419" s="5" t="str">
        <f>IFERROR(__xludf.DUMMYFUNCTION("GOOGLETRANSLATE(C419, ""en"", ""hi"")"),"A) छोटे, सटीक पास का उपयोग करना और नियंत्रण बनाए रखना, B) गेंद को दूर किक करना, C) गेंद पर नियंत्रण की अनदेखी करना, D) केवल लंबे पास पर ध्यान केंद्रित करना")</f>
        <v>A) छोटे, सटीक पास का उपयोग करना और नियंत्रण बनाए रखना, B) गेंद को दूर किक करना, C) गेंद पर नियंत्रण की अनदेखी करना, D) केवल लंबे पास पर ध्यान केंद्रित करना</v>
      </c>
      <c r="I419" s="5" t="str">
        <f>IFERROR(__xludf.DUMMYFUNCTION("GOOGLETRANSLATE(D419, ""en"", ""hi"")"),"A) छोटे, सटीक पास का उपयोग करना और नियंत्रण बनाए रखना")</f>
        <v>A) छोटे, सटीक पास का उपयोग करना और नियंत्रण बनाए रखना</v>
      </c>
    </row>
    <row r="420" ht="22.5" customHeight="1">
      <c r="A420" s="2">
        <v>419.0</v>
      </c>
      <c r="B420" s="3" t="s">
        <v>6375</v>
      </c>
      <c r="C420" s="3" t="s">
        <v>6376</v>
      </c>
      <c r="D420" s="3" t="s">
        <v>6377</v>
      </c>
      <c r="F420" s="5" t="str">
        <f>IFERROR(__xludf.DUMMYFUNCTION("GOOGLETRANSLATE(A420, ""en"", ""hi"")"),"419")</f>
        <v>419</v>
      </c>
      <c r="G420" s="5" t="str">
        <f>IFERROR(__xludf.DUMMYFUNCTION("GOOGLETRANSLATE(B420, ""en"", ""hi"")"),"ढोल खेल में डिफेंडर के साथ आमने-सामने की स्थिति में खिलाड़ी को क्या करना चाहिए?")</f>
        <v>ढोल खेल में डिफेंडर के साथ आमने-सामने की स्थिति में खिलाड़ी को क्या करना चाहिए?</v>
      </c>
      <c r="H420" s="5" t="str">
        <f>IFERROR(__xludf.DUMMYFUNCTION("GOOGLETRANSLATE(C420, ""en"", ""hi"")"),"ए) डिफेंडर से आगे निकलने के लिए ड्रिब्लिंग कौशल और दिशा में त्वरित परिवर्तन का उपयोग करें, बी) डिफेंडर को अनदेखा करें, सी) केवल पासिंग पर ध्यान केंद्रित करें, डी) उनके कदम में देरी करें")</f>
        <v>ए) डिफेंडर से आगे निकलने के लिए ड्रिब्लिंग कौशल और दिशा में त्वरित परिवर्तन का उपयोग करें, बी) डिफेंडर को अनदेखा करें, सी) केवल पासिंग पर ध्यान केंद्रित करें, डी) उनके कदम में देरी करें</v>
      </c>
      <c r="I420" s="5" t="str">
        <f>IFERROR(__xludf.DUMMYFUNCTION("GOOGLETRANSLATE(D420, ""en"", ""hi"")"),"ए) डिफेंडर से आगे निकलने के लिए ड्रिब्लिंग कौशल और दिशा में त्वरित परिवर्तन का उपयोग करें")</f>
        <v>ए) डिफेंडर से आगे निकलने के लिए ड्रिब्लिंग कौशल और दिशा में त्वरित परिवर्तन का उपयोग करें</v>
      </c>
    </row>
    <row r="421" ht="22.5" customHeight="1">
      <c r="A421" s="2">
        <v>420.0</v>
      </c>
      <c r="B421" s="3" t="s">
        <v>6378</v>
      </c>
      <c r="C421" s="3" t="s">
        <v>6379</v>
      </c>
      <c r="D421" s="3" t="s">
        <v>6380</v>
      </c>
      <c r="F421" s="5" t="str">
        <f>IFERROR(__xludf.DUMMYFUNCTION("GOOGLETRANSLATE(A421, ""en"", ""hi"")"),"420")</f>
        <v>420</v>
      </c>
      <c r="G421" s="5" t="str">
        <f>IFERROR(__xludf.DUMMYFUNCTION("GOOGLETRANSLATE(B421, ""en"", ""hi"")"),"ढोल खेल में एक टीम प्रतिद्वंद्वी के आक्रामक खेल का प्रभावी ढंग से प्रतिकार कैसे कर सकती है?")</f>
        <v>ढोल खेल में एक टीम प्रतिद्वंद्वी के आक्रामक खेल का प्रभावी ढंग से प्रतिकार कैसे कर सकती है?</v>
      </c>
      <c r="H421" s="5" t="str">
        <f>IFERROR(__xludf.DUMMYFUNCTION("GOOGLETRANSLATE(C421, ""en"", ""hi"")"),"A) संयम बनाए रखकर, रक्षा का आयोजन करके, और त्वरित जवाबी हमलों का उपयोग करके, B) प्रतिद्वंद्वी के खेल को अनदेखा करके, C) केवल हमले पर ध्यान केंद्रित करके, D) जवाबी हमलों से बचकर")</f>
        <v>A) संयम बनाए रखकर, रक्षा का आयोजन करके, और त्वरित जवाबी हमलों का उपयोग करके, B) प्रतिद्वंद्वी के खेल को अनदेखा करके, C) केवल हमले पर ध्यान केंद्रित करके, D) जवाबी हमलों से बचकर</v>
      </c>
      <c r="I421" s="5" t="str">
        <f>IFERROR(__xludf.DUMMYFUNCTION("GOOGLETRANSLATE(D421, ""en"", ""hi"")"),"A) धैर्य बनाए रखकर, रक्षा का आयोजन करके, और त्वरित जवाबी हमलों का उपयोग करके")</f>
        <v>A) धैर्य बनाए रखकर, रक्षा का आयोजन करके, और त्वरित जवाबी हमलों का उपयोग करके</v>
      </c>
    </row>
    <row r="422" ht="22.5" customHeight="1">
      <c r="A422" s="2">
        <v>421.0</v>
      </c>
      <c r="B422" s="3" t="s">
        <v>6381</v>
      </c>
      <c r="C422" s="3" t="s">
        <v>6382</v>
      </c>
      <c r="D422" s="3" t="s">
        <v>6383</v>
      </c>
      <c r="F422" s="5" t="str">
        <f>IFERROR(__xludf.DUMMYFUNCTION("GOOGLETRANSLATE(A422, ""en"", ""hi"")"),"421")</f>
        <v>421</v>
      </c>
      <c r="G422" s="5" t="str">
        <f>IFERROR(__xludf.DUMMYFUNCTION("GOOGLETRANSLATE(B422, ""en"", ""hi"")"),"ढोल खेल में मैच के दौरान टीम के कप्तान की क्या भूमिका होती है?")</f>
        <v>ढोल खेल में मैच के दौरान टीम के कप्तान की क्या भूमिका होती है?</v>
      </c>
      <c r="H422" s="5" t="str">
        <f>IFERROR(__xludf.DUMMYFUNCTION("GOOGLETRANSLATE(C422, ""en"", ""hi"")"),"A) उदाहरण प्रस्तुत करना, टीम के साथियों को प्रेरित करना और रेफरी के साथ संवाद करना, B) स्थानापन्न के रूप में खेलना, C) टीम की गतिशीलता को नजरअंदाज करना, D) केवल व्यक्तिगत प्रदर्शन पर ध्यान केंद्रित करना")</f>
        <v>A) उदाहरण प्रस्तुत करना, टीम के साथियों को प्रेरित करना और रेफरी के साथ संवाद करना, B) स्थानापन्न के रूप में खेलना, C) टीम की गतिशीलता को नजरअंदाज करना, D) केवल व्यक्तिगत प्रदर्शन पर ध्यान केंद्रित करना</v>
      </c>
      <c r="I422" s="5" t="str">
        <f>IFERROR(__xludf.DUMMYFUNCTION("GOOGLETRANSLATE(D422, ""en"", ""hi"")"),"A) उदाहरण प्रस्तुत करना, टीम के साथियों को प्रेरित करना और रेफरी के साथ संवाद करना")</f>
        <v>A) उदाहरण प्रस्तुत करना, टीम के साथियों को प्रेरित करना और रेफरी के साथ संवाद करना</v>
      </c>
    </row>
    <row r="423" ht="22.5" customHeight="1">
      <c r="A423" s="2">
        <v>422.0</v>
      </c>
      <c r="B423" s="3" t="s">
        <v>6384</v>
      </c>
      <c r="C423" s="3" t="s">
        <v>6385</v>
      </c>
      <c r="D423" s="3" t="s">
        <v>6386</v>
      </c>
      <c r="F423" s="5" t="str">
        <f>IFERROR(__xludf.DUMMYFUNCTION("GOOGLETRANSLATE(A423, ""en"", ""hi"")"),"422")</f>
        <v>422</v>
      </c>
      <c r="G423" s="5" t="str">
        <f>IFERROR(__xludf.DUMMYFUNCTION("GOOGLETRANSLATE(B423, ""en"", ""hi"")"),"ढोल खेल में खिलाड़ी की चपलता में सुधार करने की सामान्य तकनीक क्या है?")</f>
        <v>ढोल खेल में खिलाड़ी की चपलता में सुधार करने की सामान्य तकनीक क्या है?</v>
      </c>
      <c r="H423" s="5" t="str">
        <f>IFERROR(__xludf.DUMMYFUNCTION("GOOGLETRANSLATE(C423, ""en"", ""hi"")"),"ए) सीढ़ी अभ्यास और शंकु अभ्यास जैसे चपलता अभ्यास करना, बी) चपलता प्रशिक्षण की अनदेखी करना, सी) केवल ताकत पर ध्यान केंद्रित करना, डी) चपलता अभ्यास से बचना")</f>
        <v>ए) सीढ़ी अभ्यास और शंकु अभ्यास जैसे चपलता अभ्यास करना, बी) चपलता प्रशिक्षण की अनदेखी करना, सी) केवल ताकत पर ध्यान केंद्रित करना, डी) चपलता अभ्यास से बचना</v>
      </c>
      <c r="I423" s="5" t="str">
        <f>IFERROR(__xludf.DUMMYFUNCTION("GOOGLETRANSLATE(D423, ""en"", ""hi"")"),"ए) सीढ़ी अभ्यास और शंकु अभ्यास जैसे चपलता अभ्यास करना")</f>
        <v>ए) सीढ़ी अभ्यास और शंकु अभ्यास जैसे चपलता अभ्यास करना</v>
      </c>
    </row>
    <row r="424" ht="22.5" customHeight="1">
      <c r="A424" s="2">
        <v>423.0</v>
      </c>
      <c r="B424" s="3" t="s">
        <v>6387</v>
      </c>
      <c r="C424" s="3" t="s">
        <v>6388</v>
      </c>
      <c r="D424" s="3" t="s">
        <v>6389</v>
      </c>
      <c r="F424" s="5" t="str">
        <f>IFERROR(__xludf.DUMMYFUNCTION("GOOGLETRANSLATE(A424, ""en"", ""hi"")"),"423")</f>
        <v>423</v>
      </c>
      <c r="G424" s="5" t="str">
        <f>IFERROR(__xludf.DUMMYFUNCTION("GOOGLETRANSLATE(B424, ""en"", ""hi"")"),"ढोल खेल में मैच के दौरान टीम के समन्वय को बेहतर बनाने का प्रभावी तरीका क्या है?")</f>
        <v>ढोल खेल में मैच के दौरान टीम के समन्वय को बेहतर बनाने का प्रभावी तरीका क्या है?</v>
      </c>
      <c r="H424" s="5" t="str">
        <f>IFERROR(__xludf.DUMMYFUNCTION("GOOGLETRANSLATE(C424, ""en"", ""hi"")"),"A) समन्वित अभ्यास का अभ्यास करके और टीम संचार पर जोर देकर, B) समन्वय अभ्यास की उपेक्षा करके, C) केवल व्यक्तिगत कौशल पर ध्यान केंद्रित करके, D) अभ्यास सत्रों से बचना")</f>
        <v>A) समन्वित अभ्यास का अभ्यास करके और टीम संचार पर जोर देकर, B) समन्वय अभ्यास की उपेक्षा करके, C) केवल व्यक्तिगत कौशल पर ध्यान केंद्रित करके, D) अभ्यास सत्रों से बचना</v>
      </c>
      <c r="I424" s="5" t="str">
        <f>IFERROR(__xludf.DUMMYFUNCTION("GOOGLETRANSLATE(D424, ""en"", ""hi"")"),"A) समन्वित अभ्यास का अभ्यास करके और टीम संचार पर जोर देकर")</f>
        <v>A) समन्वित अभ्यास का अभ्यास करके और टीम संचार पर जोर देकर</v>
      </c>
    </row>
    <row r="425" ht="22.5" customHeight="1">
      <c r="A425" s="2">
        <v>424.0</v>
      </c>
      <c r="B425" s="3" t="s">
        <v>6390</v>
      </c>
      <c r="C425" s="3" t="s">
        <v>6391</v>
      </c>
      <c r="D425" s="3" t="s">
        <v>6392</v>
      </c>
      <c r="F425" s="5" t="str">
        <f>IFERROR(__xludf.DUMMYFUNCTION("GOOGLETRANSLATE(A425, ""en"", ""hi"")"),"424")</f>
        <v>424</v>
      </c>
      <c r="G425" s="5" t="str">
        <f>IFERROR(__xludf.DUMMYFUNCTION("GOOGLETRANSLATE(B425, ""en"", ""hi"")"),"ढोल खेल में फ्री किक लेते समय खिलाड़ी को किस बात पर ध्यान देना चाहिए?")</f>
        <v>ढोल खेल में फ्री किक लेते समय खिलाड़ी को किस बात पर ध्यान देना चाहिए?</v>
      </c>
      <c r="H425" s="5" t="str">
        <f>IFERROR(__xludf.DUMMYFUNCTION("GOOGLETRANSLATE(C425, ""en"", ""hi"")"),"A) सटीक निशाना लगाना और दीवार तथा गोलकीपर की स्थिति को ध्यान में रखना, B) किक को नज़रअंदाज़ करना, C) केवल ड्रिब्लिंग पर ध्यान केंद्रित करना, D) किक में देरी करना")</f>
        <v>A) सटीक निशाना लगाना और दीवार तथा गोलकीपर की स्थिति को ध्यान में रखना, B) किक को नज़रअंदाज़ करना, C) केवल ड्रिब्लिंग पर ध्यान केंद्रित करना, D) किक में देरी करना</v>
      </c>
      <c r="I425" s="5" t="str">
        <f>IFERROR(__xludf.DUMMYFUNCTION("GOOGLETRANSLATE(D425, ""en"", ""hi"")"),"A) सटीक निशाना लगाना और दीवार और गोलकीपर की स्थिति को ध्यान में रखना")</f>
        <v>A) सटीक निशाना लगाना और दीवार और गोलकीपर की स्थिति को ध्यान में रखना</v>
      </c>
    </row>
    <row r="426" ht="22.5" customHeight="1">
      <c r="A426" s="2">
        <v>425.0</v>
      </c>
      <c r="B426" s="3" t="s">
        <v>6393</v>
      </c>
      <c r="C426" s="3" t="s">
        <v>6394</v>
      </c>
      <c r="D426" s="3" t="s">
        <v>6395</v>
      </c>
      <c r="F426" s="5" t="str">
        <f>IFERROR(__xludf.DUMMYFUNCTION("GOOGLETRANSLATE(A426, ""en"", ""hi"")"),"425")</f>
        <v>425</v>
      </c>
      <c r="G426" s="5" t="str">
        <f>IFERROR(__xludf.DUMMYFUNCTION("GOOGLETRANSLATE(B426, ""en"", ""hi"")"),"ढोल खेल में सफल रक्षात्मक खेल का महत्वपूर्ण पहलू क्या है?")</f>
        <v>ढोल खेल में सफल रक्षात्मक खेल का महत्वपूर्ण पहलू क्या है?</v>
      </c>
      <c r="H426" s="5" t="str">
        <f>IFERROR(__xludf.DUMMYFUNCTION("GOOGLETRANSLATE(C426, ""en"", ""hi"")"),"ए) गेंद को रोकने या रोकने के लिए टैकल और पोजिशनिंग का समय, बी) रक्षात्मक रणनीति की अनदेखी करना, सी) केवल आक्रमण पर ध्यान केंद्रित करना, डी) रक्षात्मक अभ्यास से बचना")</f>
        <v>ए) गेंद को रोकने या रोकने के लिए टैकल और पोजिशनिंग का समय, बी) रक्षात्मक रणनीति की अनदेखी करना, सी) केवल आक्रमण पर ध्यान केंद्रित करना, डी) रक्षात्मक अभ्यास से बचना</v>
      </c>
      <c r="I426" s="5" t="str">
        <f>IFERROR(__xludf.DUMMYFUNCTION("GOOGLETRANSLATE(D426, ""en"", ""hi"")"),"ए) गेंद को रोकने या रोकने के लिए समय पर टैकल करना और स्थिति बनाना")</f>
        <v>ए) गेंद को रोकने या रोकने के लिए समय पर टैकल करना और स्थिति बनाना</v>
      </c>
    </row>
    <row r="427" ht="22.5" customHeight="1">
      <c r="A427" s="2">
        <v>426.0</v>
      </c>
      <c r="B427" s="3" t="s">
        <v>6396</v>
      </c>
      <c r="C427" s="3" t="s">
        <v>6397</v>
      </c>
      <c r="D427" s="3" t="s">
        <v>6398</v>
      </c>
      <c r="F427" s="5" t="str">
        <f>IFERROR(__xludf.DUMMYFUNCTION("GOOGLETRANSLATE(A427, ""en"", ""hi"")"),"426")</f>
        <v>426</v>
      </c>
      <c r="G427" s="5" t="str">
        <f>IFERROR(__xludf.DUMMYFUNCTION("GOOGLETRANSLATE(B427, ""en"", ""hi"")"),"ढोल खेल में खिलाड़ी खेल को समझने की अपनी क्षमता कैसे सुधार सकते हैं?")</f>
        <v>ढोल खेल में खिलाड़ी खेल को समझने की अपनी क्षमता कैसे सुधार सकते हैं?</v>
      </c>
      <c r="H427" s="5" t="str">
        <f>IFERROR(__xludf.DUMMYFUNCTION("GOOGLETRANSLATE(C427, ""en"", ""hi"")"),"A) खेल की स्थितियों का अध्ययन करके, विरोधियों की प्रवृत्तियों को समझकर और मैचों का अवलोकन करके, B) खेल विश्लेषण की उपेक्षा करके, C) केवल तकनीकी कौशल पर ध्यान केंद्रित करके, D) खेल अवलोकन से बचना")</f>
        <v>A) खेल की स्थितियों का अध्ययन करके, विरोधियों की प्रवृत्तियों को समझकर और मैचों का अवलोकन करके, B) खेल विश्लेषण की उपेक्षा करके, C) केवल तकनीकी कौशल पर ध्यान केंद्रित करके, D) खेल अवलोकन से बचना</v>
      </c>
      <c r="I427" s="5" t="str">
        <f>IFERROR(__xludf.DUMMYFUNCTION("GOOGLETRANSLATE(D427, ""en"", ""hi"")"),"A) खेल की स्थितियों का अध्ययन करके, विरोधियों की प्रवृत्तियों को समझकर, और मैचों का अवलोकन करके")</f>
        <v>A) खेल की स्थितियों का अध्ययन करके, विरोधियों की प्रवृत्तियों को समझकर, और मैचों का अवलोकन करके</v>
      </c>
    </row>
    <row r="428" ht="22.5" customHeight="1">
      <c r="A428" s="2">
        <v>427.0</v>
      </c>
      <c r="B428" s="3" t="s">
        <v>6399</v>
      </c>
      <c r="C428" s="3" t="s">
        <v>6400</v>
      </c>
      <c r="D428" s="3" t="s">
        <v>6401</v>
      </c>
      <c r="F428" s="5" t="str">
        <f>IFERROR(__xludf.DUMMYFUNCTION("GOOGLETRANSLATE(A428, ""en"", ""hi"")"),"427")</f>
        <v>427</v>
      </c>
      <c r="G428" s="5" t="str">
        <f>IFERROR(__xludf.DUMMYFUNCTION("GOOGLETRANSLATE(B428, ""en"", ""hi"")"),"ढोल खेल में खिलाड़ी की शूटिंग तकनीक को बढ़ाने के लिए एक सामान्य अभ्यास क्या है?")</f>
        <v>ढोल खेल में खिलाड़ी की शूटिंग तकनीक को बढ़ाने के लिए एक सामान्य अभ्यास क्या है?</v>
      </c>
      <c r="H428" s="5" t="str">
        <f>IFERROR(__xludf.DUMMYFUNCTION("GOOGLETRANSLATE(C428, ""en"", ""hi"")"),"A) विभिन्न कोणों और दूरियों से शॉट का अभ्यास करना, B) शूटिंग अभ्यास की अनदेखी करना, C) केवल पासिंग पर ध्यान केंद्रित करना, D) शूटिंग अभ्यास से बचना")</f>
        <v>A) विभिन्न कोणों और दूरियों से शॉट का अभ्यास करना, B) शूटिंग अभ्यास की अनदेखी करना, C) केवल पासिंग पर ध्यान केंद्रित करना, D) शूटिंग अभ्यास से बचना</v>
      </c>
      <c r="I428" s="5" t="str">
        <f>IFERROR(__xludf.DUMMYFUNCTION("GOOGLETRANSLATE(D428, ""en"", ""hi"")"),"A) विभिन्न कोणों और दूरियों से शॉट का अभ्यास करना")</f>
        <v>A) विभिन्न कोणों और दूरियों से शॉट का अभ्यास करना</v>
      </c>
    </row>
    <row r="429" ht="22.5" customHeight="1">
      <c r="A429" s="2">
        <v>428.0</v>
      </c>
      <c r="B429" s="3" t="s">
        <v>6402</v>
      </c>
      <c r="C429" s="3" t="s">
        <v>6403</v>
      </c>
      <c r="D429" s="3" t="s">
        <v>6404</v>
      </c>
      <c r="F429" s="5" t="str">
        <f>IFERROR(__xludf.DUMMYFUNCTION("GOOGLETRANSLATE(A429, ""en"", ""hi"")"),"428")</f>
        <v>428</v>
      </c>
      <c r="G429" s="5" t="str">
        <f>IFERROR(__xludf.DUMMYFUNCTION("GOOGLETRANSLATE(B429, ""en"", ""hi"")"),"ढोल खेल में एक टीम को उस स्थिति से कैसे निपटना चाहिए जहां वह एक गोल से पीछे हो?")</f>
        <v>ढोल खेल में एक टीम को उस स्थिति से कैसे निपटना चाहिए जहां वह एक गोल से पीछे हो?</v>
      </c>
      <c r="H429" s="5" t="str">
        <f>IFERROR(__xludf.DUMMYFUNCTION("GOOGLETRANSLATE(C429, ""en"", ""hi"")"),"A) अपने आक्रमण प्रयासों को बढ़ाकर और सकारात्मक मानसिकता बनाए रखकर, B) घाटे को नजरअंदाज करके, C) केवल रक्षा पर ध्यान केंद्रित करके, D) अपनी प्रतिक्रिया में देरी करके")</f>
        <v>A) अपने आक्रमण प्रयासों को बढ़ाकर और सकारात्मक मानसिकता बनाए रखकर, B) घाटे को नजरअंदाज करके, C) केवल रक्षा पर ध्यान केंद्रित करके, D) अपनी प्रतिक्रिया में देरी करके</v>
      </c>
      <c r="I429" s="5" t="str">
        <f>IFERROR(__xludf.DUMMYFUNCTION("GOOGLETRANSLATE(D429, ""en"", ""hi"")"),"A) अपने आक्रमण प्रयासों को बढ़ाकर और सकारात्मक मानसिकता बनाए रखकर")</f>
        <v>A) अपने आक्रमण प्रयासों को बढ़ाकर और सकारात्मक मानसिकता बनाए रखकर</v>
      </c>
    </row>
    <row r="430" ht="22.5" customHeight="1">
      <c r="A430" s="2">
        <v>429.0</v>
      </c>
      <c r="B430" s="3" t="s">
        <v>6405</v>
      </c>
      <c r="C430" s="3" t="s">
        <v>6406</v>
      </c>
      <c r="D430" s="3" t="s">
        <v>6407</v>
      </c>
      <c r="F430" s="5" t="str">
        <f>IFERROR(__xludf.DUMMYFUNCTION("GOOGLETRANSLATE(A430, ""en"", ""hi"")"),"429")</f>
        <v>429</v>
      </c>
      <c r="G430" s="5" t="str">
        <f>IFERROR(__xludf.DUMMYFUNCTION("GOOGLETRANSLATE(B430, ""en"", ""hi"")"),"ढोल खेल में प्रभावी टीम आकार बनाए रखने का एक महत्वपूर्ण पहलू क्या है?")</f>
        <v>ढोल खेल में प्रभावी टीम आकार बनाए रखने का एक महत्वपूर्ण पहलू क्या है?</v>
      </c>
      <c r="H430" s="5" t="str">
        <f>IFERROR(__xludf.DUMMYFUNCTION("GOOGLETRANSLATE(C430, ""en"", ""hi"")"),"A) यह सुनिश्चित करना कि खिलाड़ी अपनी भूमिका और खेल की स्थिति के अनुसार उचित स्थिति में हों, B) टीम के स्वरूप की अनदेखी करना, C) केवल व्यक्तिगत स्थिति पर ध्यान केंद्रित करना, D) खिलाड़ियों को स्वतंत्र रूप से घूमने देना")</f>
        <v>A) यह सुनिश्चित करना कि खिलाड़ी अपनी भूमिका और खेल की स्थिति के अनुसार उचित स्थिति में हों, B) टीम के स्वरूप की अनदेखी करना, C) केवल व्यक्तिगत स्थिति पर ध्यान केंद्रित करना, D) खिलाड़ियों को स्वतंत्र रूप से घूमने देना</v>
      </c>
      <c r="I430" s="5" t="str">
        <f>IFERROR(__xludf.DUMMYFUNCTION("GOOGLETRANSLATE(D430, ""en"", ""hi"")"),"क) यह सुनिश्चित करना कि खिलाड़ी अपनी भूमिका और खेल की स्थिति के अनुसार उचित स्थिति में हों")</f>
        <v>क) यह सुनिश्चित करना कि खिलाड़ी अपनी भूमिका और खेल की स्थिति के अनुसार उचित स्थिति में हों</v>
      </c>
    </row>
    <row r="431" ht="22.5" customHeight="1">
      <c r="A431" s="2">
        <v>430.0</v>
      </c>
      <c r="B431" s="3" t="s">
        <v>6408</v>
      </c>
      <c r="C431" s="3" t="s">
        <v>6409</v>
      </c>
      <c r="D431" s="3" t="s">
        <v>6410</v>
      </c>
      <c r="F431" s="5" t="str">
        <f>IFERROR(__xludf.DUMMYFUNCTION("GOOGLETRANSLATE(A431, ""en"", ""hi"")"),"430")</f>
        <v>430</v>
      </c>
      <c r="G431" s="5" t="str">
        <f>IFERROR(__xludf.DUMMYFUNCTION("GOOGLETRANSLATE(B431, ""en"", ""hi"")"),"ढोल खेल में त्वरित थ्रो-इन को सफलतापूर्वक निष्पादित करने में मुख्य कारक क्या है?")</f>
        <v>ढोल खेल में त्वरित थ्रो-इन को सफलतापूर्वक निष्पादित करने में मुख्य कारक क्या है?</v>
      </c>
      <c r="H431" s="5" t="str">
        <f>IFERROR(__xludf.DUMMYFUNCTION("GOOGLETRANSLATE(C431, ""en"", ""hi"")"),"A) गेंद को टीम के साथी को जल्दी और सही तरीके से देना, B) थ्रो-इन नियमों की अनदेखी करना, C) केवल बचाव पर ध्यान केंद्रित करना, D) रेफरी का इंतजार करना")</f>
        <v>A) गेंद को टीम के साथी को जल्दी और सही तरीके से देना, B) थ्रो-इन नियमों की अनदेखी करना, C) केवल बचाव पर ध्यान केंद्रित करना, D) रेफरी का इंतजार करना</v>
      </c>
      <c r="I431" s="5" t="str">
        <f>IFERROR(__xludf.DUMMYFUNCTION("GOOGLETRANSLATE(D431, ""en"", ""hi"")"),"A) गेंद को टीम के साथी को शीघ्रता और सटीकता से पहुंचाना")</f>
        <v>A) गेंद को टीम के साथी को शीघ्रता और सटीकता से पहुंचाना</v>
      </c>
    </row>
    <row r="432" ht="22.5" customHeight="1">
      <c r="A432" s="2">
        <v>431.0</v>
      </c>
      <c r="B432" s="3" t="s">
        <v>6411</v>
      </c>
      <c r="C432" s="3" t="s">
        <v>6412</v>
      </c>
      <c r="D432" s="3" t="s">
        <v>6413</v>
      </c>
      <c r="F432" s="5" t="str">
        <f>IFERROR(__xludf.DUMMYFUNCTION("GOOGLETRANSLATE(A432, ""en"", ""hi"")"),"431")</f>
        <v>431</v>
      </c>
      <c r="G432" s="5" t="str">
        <f>IFERROR(__xludf.DUMMYFUNCTION("GOOGLETRANSLATE(B432, ""en"", ""hi"")"),"ढोल खेल में आक्रमण के दौरान एक खिलाड़ी अपने साथियों का प्रभावी ढंग से समर्थन कैसे कर सकता है?")</f>
        <v>ढोल खेल में आक्रमण के दौरान एक खिलाड़ी अपने साथियों का प्रभावी ढंग से समर्थन कैसे कर सकता है?</v>
      </c>
      <c r="H432" s="5" t="str">
        <f>IFERROR(__xludf.DUMMYFUNCTION("GOOGLETRANSLATE(C432, ""en"", ""hi"")"),"A) जगह में दौड़कर और पासिंग के विकल्प प्रदान करके, B) टीम के साथियों की अनदेखी करके, C) केवल व्यक्तिगत खेल पर ध्यान केंद्रित करके, D) हमलावर समर्थन से बचकर")</f>
        <v>A) जगह में दौड़कर और पासिंग के विकल्प प्रदान करके, B) टीम के साथियों की अनदेखी करके, C) केवल व्यक्तिगत खेल पर ध्यान केंद्रित करके, D) हमलावर समर्थन से बचकर</v>
      </c>
      <c r="I432" s="5" t="str">
        <f>IFERROR(__xludf.DUMMYFUNCTION("GOOGLETRANSLATE(D432, ""en"", ""hi"")"),"A) जगह में दौड़कर और पासिंग के विकल्प प्रदान करके")</f>
        <v>A) जगह में दौड़कर और पासिंग के विकल्प प्रदान करके</v>
      </c>
    </row>
    <row r="433" ht="22.5" customHeight="1">
      <c r="A433" s="2">
        <v>432.0</v>
      </c>
      <c r="B433" s="3" t="s">
        <v>6414</v>
      </c>
      <c r="C433" s="3" t="s">
        <v>6415</v>
      </c>
      <c r="D433" s="3" t="s">
        <v>6416</v>
      </c>
      <c r="F433" s="5" t="str">
        <f>IFERROR(__xludf.DUMMYFUNCTION("GOOGLETRANSLATE(A433, ""en"", ""hi"")"),"432")</f>
        <v>432</v>
      </c>
      <c r="G433" s="5" t="str">
        <f>IFERROR(__xludf.DUMMYFUNCTION("GOOGLETRANSLATE(B433, ""en"", ""hi"")"),"ढोल खेल में खिलाड़ी के रक्षात्मक कौशल को सुधारने का सामान्य तरीका क्या है?")</f>
        <v>ढोल खेल में खिलाड़ी के रक्षात्मक कौशल को सुधारने का सामान्य तरीका क्या है?</v>
      </c>
      <c r="H433" s="5" t="str">
        <f>IFERROR(__xludf.DUMMYFUNCTION("GOOGLETRANSLATE(C433, ""en"", ""hi"")"),"A) पोजिशनिंग, टैकलिंग और मार्किंग ड्रिल का अभ्यास करना, B) रक्षात्मक अभ्यास की अनदेखी करना, C) केवल आक्रमण पर ध्यान केंद्रित करना, D) रक्षात्मक अभ्यास से बचना")</f>
        <v>A) पोजिशनिंग, टैकलिंग और मार्किंग ड्रिल का अभ्यास करना, B) रक्षात्मक अभ्यास की अनदेखी करना, C) केवल आक्रमण पर ध्यान केंद्रित करना, D) रक्षात्मक अभ्यास से बचना</v>
      </c>
      <c r="I433" s="5" t="str">
        <f>IFERROR(__xludf.DUMMYFUNCTION("GOOGLETRANSLATE(D433, ""en"", ""hi"")"),"ए) पोजिशनिंग, टैकलिंग और मार्किंग अभ्यास का अभ्यास करना")</f>
        <v>ए) पोजिशनिंग, टैकलिंग और मार्किंग अभ्यास का अभ्यास करना</v>
      </c>
    </row>
    <row r="434" ht="22.5" customHeight="1">
      <c r="A434" s="2">
        <v>433.0</v>
      </c>
      <c r="B434" s="3" t="s">
        <v>6417</v>
      </c>
      <c r="C434" s="3" t="s">
        <v>6418</v>
      </c>
      <c r="D434" s="3" t="s">
        <v>6419</v>
      </c>
      <c r="F434" s="5" t="str">
        <f>IFERROR(__xludf.DUMMYFUNCTION("GOOGLETRANSLATE(A434, ""en"", ""hi"")"),"433")</f>
        <v>433</v>
      </c>
      <c r="G434" s="5" t="str">
        <f>IFERROR(__xludf.DUMMYFUNCTION("GOOGLETRANSLATE(B434, ""en"", ""hi"")"),"ढोल खेल में गोल के पास सीधे फ्री किक मिलने पर खिलाड़ी को क्या करना चाहिए?")</f>
        <v>ढोल खेल में गोल के पास सीधे फ्री किक मिलने पर खिलाड़ी को क्या करना चाहिए?</v>
      </c>
      <c r="H434" s="5" t="str">
        <f>IFERROR(__xludf.DUMMYFUNCTION("GOOGLETRANSLATE(C434, ""en"", ""hi"")"),"A) सटीक निशाना लगाएँ और दीवार तथा गोलकीपर की स्थिति पर विचार करें, B) फ्री किक को नज़रअंदाज़ करें, C) केवल पासिंग पर ध्यान केंद्रित करें, D) किक में देरी करें")</f>
        <v>A) सटीक निशाना लगाएँ और दीवार तथा गोलकीपर की स्थिति पर विचार करें, B) फ्री किक को नज़रअंदाज़ करें, C) केवल पासिंग पर ध्यान केंद्रित करें, D) किक में देरी करें</v>
      </c>
      <c r="I434" s="5" t="str">
        <f>IFERROR(__xludf.DUMMYFUNCTION("GOOGLETRANSLATE(D434, ""en"", ""hi"")"),"A) सटीक निशाना लगाएं और दीवार और गोलकीपर की स्थिति पर विचार करें")</f>
        <v>A) सटीक निशाना लगाएं और दीवार और गोलकीपर की स्थिति पर विचार करें</v>
      </c>
    </row>
    <row r="435" ht="22.5" customHeight="1">
      <c r="A435" s="2">
        <v>434.0</v>
      </c>
      <c r="B435" s="3" t="s">
        <v>6420</v>
      </c>
      <c r="C435" s="3" t="s">
        <v>6421</v>
      </c>
      <c r="D435" s="3" t="s">
        <v>6422</v>
      </c>
      <c r="F435" s="5" t="str">
        <f>IFERROR(__xludf.DUMMYFUNCTION("GOOGLETRANSLATE(A435, ""en"", ""hi"")"),"434")</f>
        <v>434</v>
      </c>
      <c r="G435" s="5" t="str">
        <f>IFERROR(__xludf.DUMMYFUNCTION("GOOGLETRANSLATE(B435, ""en"", ""hi"")"),"ढोल खेल में मैच के दौरान कोई टीम प्रतिस्थापन का प्रभावी ढंग से उपयोग कैसे कर सकती है?")</f>
        <v>ढोल खेल में मैच के दौरान कोई टीम प्रतिस्थापन का प्रभावी ढंग से उपयोग कैसे कर सकती है?</v>
      </c>
      <c r="H435" s="5" t="str">
        <f>IFERROR(__xludf.DUMMYFUNCTION("GOOGLETRANSLATE(C435, ""en"", ""hi"")"),"A) खिलाड़ियों को तरोताजा करने और खेल की स्थिति के अनुकूल बनाने के लिए प्रतिस्थापन का उपयोग करके, B) प्रतिस्थापन की अनदेखी करके, C) केवल शुरुआती खिलाड़ियों पर ध्यान केंद्रित करके, D) प्रतिस्थापन से बचना")</f>
        <v>A) खिलाड़ियों को तरोताजा करने और खेल की स्थिति के अनुकूल बनाने के लिए प्रतिस्थापन का उपयोग करके, B) प्रतिस्थापन की अनदेखी करके, C) केवल शुरुआती खिलाड़ियों पर ध्यान केंद्रित करके, D) प्रतिस्थापन से बचना</v>
      </c>
      <c r="I435" s="5" t="str">
        <f>IFERROR(__xludf.DUMMYFUNCTION("GOOGLETRANSLATE(D435, ""en"", ""hi"")"),"A) खिलाड़ियों को तरोताजा करने और खेल की स्थिति के अनुकूल बनाने के लिए प्रतिस्थापन का उपयोग करके")</f>
        <v>A) खिलाड़ियों को तरोताजा करने और खेल की स्थिति के अनुकूल बनाने के लिए प्रतिस्थापन का उपयोग करके</v>
      </c>
    </row>
    <row r="436" ht="22.5" customHeight="1">
      <c r="A436" s="2">
        <v>435.0</v>
      </c>
      <c r="B436" s="3" t="s">
        <v>6423</v>
      </c>
      <c r="C436" s="3" t="s">
        <v>6424</v>
      </c>
      <c r="D436" s="3" t="s">
        <v>6425</v>
      </c>
      <c r="F436" s="5" t="str">
        <f>IFERROR(__xludf.DUMMYFUNCTION("GOOGLETRANSLATE(A436, ""en"", ""hi"")"),"435")</f>
        <v>435</v>
      </c>
      <c r="G436" s="5" t="str">
        <f>IFERROR(__xludf.DUMMYFUNCTION("GOOGLETRANSLATE(B436, ""en"", ""hi"")"),"ढोल खेल में ड्रिब्लिंग करते समय खिलाड़ी की तकनीक का मुख्य पहलू क्या है?")</f>
        <v>ढोल खेल में ड्रिब्लिंग करते समय खिलाड़ी की तकनीक का मुख्य पहलू क्या है?</v>
      </c>
      <c r="H436" s="5" t="str">
        <f>IFERROR(__xludf.DUMMYFUNCTION("GOOGLETRANSLATE(C436, ""en"", ""hi"")"),"A) गेंद को पास रखना और त्वरित, नियंत्रित स्पर्श का उपयोग करना, B) गेंद को लंबी दूरी तक किक करना, C) ड्रिब्लिंग तकनीकों को अनदेखा करना, D) केवल शूटिंग पर ध्यान केंद्रित करना")</f>
        <v>A) गेंद को पास रखना और त्वरित, नियंत्रित स्पर्श का उपयोग करना, B) गेंद को लंबी दूरी तक किक करना, C) ड्रिब्लिंग तकनीकों को अनदेखा करना, D) केवल शूटिंग पर ध्यान केंद्रित करना</v>
      </c>
      <c r="I436" s="5" t="str">
        <f>IFERROR(__xludf.DUMMYFUNCTION("GOOGLETRANSLATE(D436, ""en"", ""hi"")"),"A) गेंद को पास रखना और त्वरित, नियंत्रित स्पर्श का उपयोग करना")</f>
        <v>A) गेंद को पास रखना और त्वरित, नियंत्रित स्पर्श का उपयोग करना</v>
      </c>
    </row>
    <row r="437" ht="22.5" customHeight="1">
      <c r="A437" s="2">
        <v>436.0</v>
      </c>
      <c r="B437" s="3" t="s">
        <v>6426</v>
      </c>
      <c r="C437" s="3" t="s">
        <v>6427</v>
      </c>
      <c r="D437" s="3" t="s">
        <v>6428</v>
      </c>
      <c r="F437" s="5" t="str">
        <f>IFERROR(__xludf.DUMMYFUNCTION("GOOGLETRANSLATE(A437, ""en"", ""hi"")"),"436")</f>
        <v>436</v>
      </c>
      <c r="G437" s="5" t="str">
        <f>IFERROR(__xludf.DUMMYFUNCTION("GOOGLETRANSLATE(B437, ""en"", ""hi"")"),"ढोल खेल में हवाई नियंत्रण का अभ्यास करने का प्रभावी तरीका क्या है?")</f>
        <v>ढोल खेल में हवाई नियंत्रण का अभ्यास करने का प्रभावी तरीका क्या है?</v>
      </c>
      <c r="H437" s="5" t="str">
        <f>IFERROR(__xludf.DUMMYFUNCTION("GOOGLETRANSLATE(C437, ""en"", ""hi"")"),"A) शरीर के विभिन्न भागों से ऊँची गेंदों को हेड करने और नियंत्रित करने का अभ्यास करके, B) हवाई अभ्यासों की उपेक्षा करके, C) केवल ड्रिब्लिंग पर ध्यान केंद्रित करके, D) हवाई नियंत्रण अभ्यास से बचना")</f>
        <v>A) शरीर के विभिन्न भागों से ऊँची गेंदों को हेड करने और नियंत्रित करने का अभ्यास करके, B) हवाई अभ्यासों की उपेक्षा करके, C) केवल ड्रिब्लिंग पर ध्यान केंद्रित करके, D) हवाई नियंत्रण अभ्यास से बचना</v>
      </c>
      <c r="I437" s="5" t="str">
        <f>IFERROR(__xludf.DUMMYFUNCTION("GOOGLETRANSLATE(D437, ""en"", ""hi"")"),"A) शरीर के विभिन्न भागों से ऊंची गेंदों को हेड करने और नियंत्रित करने का अभ्यास करके")</f>
        <v>A) शरीर के विभिन्न भागों से ऊंची गेंदों को हेड करने और नियंत्रित करने का अभ्यास करके</v>
      </c>
    </row>
    <row r="438" ht="22.5" customHeight="1">
      <c r="A438" s="2">
        <v>437.0</v>
      </c>
      <c r="B438" s="3" t="s">
        <v>6429</v>
      </c>
      <c r="C438" s="3" t="s">
        <v>6430</v>
      </c>
      <c r="D438" s="3" t="s">
        <v>6431</v>
      </c>
      <c r="F438" s="5" t="str">
        <f>IFERROR(__xludf.DUMMYFUNCTION("GOOGLETRANSLATE(A438, ""en"", ""hi"")"),"437")</f>
        <v>437</v>
      </c>
      <c r="G438" s="5" t="str">
        <f>IFERROR(__xludf.DUMMYFUNCTION("GOOGLETRANSLATE(B438, ""en"", ""hi"")"),"ढोल खेल में एक टीम को एक मजबूत प्रतिद्वंद्वी के खिलाफ खेल को किस प्रकार से खेलना चाहिए?")</f>
        <v>ढोल खेल में एक टीम को एक मजबूत प्रतिद्वंद्वी के खिलाफ खेल को किस प्रकार से खेलना चाहिए?</v>
      </c>
      <c r="H438" s="5" t="str">
        <f>IFERROR(__xludf.DUMMYFUNCTION("GOOGLETRANSLATE(C438, ""en"", ""hi"")"),"A) रक्षात्मक संगठन पर ध्यान केंद्रित करके और जवाबी हमले के अवसरों का फायदा उठाकर, B) प्रतिद्वंद्वी की ताकत को नजरअंदाज करके, C) केवल आक्रमण पर ध्यान केंद्रित करके, D) सामरिक योजना से बचना")</f>
        <v>A) रक्षात्मक संगठन पर ध्यान केंद्रित करके और जवाबी हमले के अवसरों का फायदा उठाकर, B) प्रतिद्वंद्वी की ताकत को नजरअंदाज करके, C) केवल आक्रमण पर ध्यान केंद्रित करके, D) सामरिक योजना से बचना</v>
      </c>
      <c r="I438" s="5" t="str">
        <f>IFERROR(__xludf.DUMMYFUNCTION("GOOGLETRANSLATE(D438, ""en"", ""hi"")"),"A) रक्षात्मक संगठन पर ध्यान केंद्रित करके और जवाबी हमले के अवसरों का फायदा उठाकर")</f>
        <v>A) रक्षात्मक संगठन पर ध्यान केंद्रित करके और जवाबी हमले के अवसरों का फायदा उठाकर</v>
      </c>
    </row>
    <row r="439" ht="22.5" customHeight="1">
      <c r="A439" s="2">
        <v>438.0</v>
      </c>
      <c r="B439" s="3" t="s">
        <v>6432</v>
      </c>
      <c r="C439" s="3" t="s">
        <v>6433</v>
      </c>
      <c r="D439" s="3" t="s">
        <v>6434</v>
      </c>
      <c r="F439" s="5" t="str">
        <f>IFERROR(__xludf.DUMMYFUNCTION("GOOGLETRANSLATE(A439, ""en"", ""hi"")"),"438")</f>
        <v>438</v>
      </c>
      <c r="G439" s="5" t="str">
        <f>IFERROR(__xludf.DUMMYFUNCTION("GOOGLETRANSLATE(B439, ""en"", ""hi"")"),"ढोल खेल में प्रभावी टीमवर्क बनाए रखने का एक महत्वपूर्ण पहलू क्या है?")</f>
        <v>ढोल खेल में प्रभावी टीमवर्क बनाए रखने का एक महत्वपूर्ण पहलू क्या है?</v>
      </c>
      <c r="H439" s="5" t="str">
        <f>IFERROR(__xludf.DUMMYFUNCTION("GOOGLETRANSLATE(C439, ""en"", ""hi"")"),"A) यह सुनिश्चित करना कि खिलाड़ी अच्छी तरह से संवाद करें और अपनी भूमिकाओं को समझें, B) टीम की गतिशीलता को अनदेखा करना, C) केवल व्यक्तिगत कौशल पर ध्यान केंद्रित करना, D) खिलाड़ियों को स्वतंत्र रूप से कार्य करने की अनुमति देना")</f>
        <v>A) यह सुनिश्चित करना कि खिलाड़ी अच्छी तरह से संवाद करें और अपनी भूमिकाओं को समझें, B) टीम की गतिशीलता को अनदेखा करना, C) केवल व्यक्तिगत कौशल पर ध्यान केंद्रित करना, D) खिलाड़ियों को स्वतंत्र रूप से कार्य करने की अनुमति देना</v>
      </c>
      <c r="I439" s="5" t="str">
        <f>IFERROR(__xludf.DUMMYFUNCTION("GOOGLETRANSLATE(D439, ""en"", ""hi"")"),"A) यह सुनिश्चित करना कि खिलाड़ी अच्छी तरह से संवाद करें और अपनी भूमिकाओं को समझें")</f>
        <v>A) यह सुनिश्चित करना कि खिलाड़ी अच्छी तरह से संवाद करें और अपनी भूमिकाओं को समझें</v>
      </c>
    </row>
    <row r="440" ht="22.5" customHeight="1">
      <c r="A440" s="2">
        <v>439.0</v>
      </c>
      <c r="B440" s="3" t="s">
        <v>6435</v>
      </c>
      <c r="C440" s="3" t="s">
        <v>6436</v>
      </c>
      <c r="D440" s="3" t="s">
        <v>6437</v>
      </c>
      <c r="F440" s="5" t="str">
        <f>IFERROR(__xludf.DUMMYFUNCTION("GOOGLETRANSLATE(A440, ""en"", ""hi"")"),"439")</f>
        <v>439</v>
      </c>
      <c r="G440" s="5" t="str">
        <f>IFERROR(__xludf.DUMMYFUNCTION("GOOGLETRANSLATE(B440, ""en"", ""hi"")"),"ढोल खेल में ऊंची गेंद प्राप्त करते समय खिलाड़ी को किस बात पर ध्यान देना चाहिए?")</f>
        <v>ढोल खेल में ऊंची गेंद प्राप्त करते समय खिलाड़ी को किस बात पर ध्यान देना चाहिए?</v>
      </c>
      <c r="H440" s="5" t="str">
        <f>IFERROR(__xludf.DUMMYFUNCTION("GOOGLETRANSLATE(C440, ""en"", ""hi"")"),"A) गेंद को सहारा देने और नियंत्रण सुरक्षित करने के लिए अपने शरीर को स्थिति में रखना, B) गेंद को अनदेखा करना, C) केवल पासिंग पर ध्यान केंद्रित करना, D) अपनी चाल में देरी करना")</f>
        <v>A) गेंद को सहारा देने और नियंत्रण सुरक्षित करने के लिए अपने शरीर को स्थिति में रखना, B) गेंद को अनदेखा करना, C) केवल पासिंग पर ध्यान केंद्रित करना, D) अपनी चाल में देरी करना</v>
      </c>
      <c r="I440" s="5" t="str">
        <f>IFERROR(__xludf.DUMMYFUNCTION("GOOGLETRANSLATE(D440, ""en"", ""hi"")"),"A) गेंद को सहारा देने और नियंत्रण सुरक्षित करने के लिए अपने शरीर की स्थिति बनाना")</f>
        <v>A) गेंद को सहारा देने और नियंत्रण सुरक्षित करने के लिए अपने शरीर की स्थिति बनाना</v>
      </c>
    </row>
    <row r="441" ht="22.5" customHeight="1">
      <c r="A441" s="2">
        <v>440.0</v>
      </c>
      <c r="B441" s="3" t="s">
        <v>6438</v>
      </c>
      <c r="C441" s="3" t="s">
        <v>6439</v>
      </c>
      <c r="D441" s="3" t="s">
        <v>6440</v>
      </c>
      <c r="F441" s="5" t="str">
        <f>IFERROR(__xludf.DUMMYFUNCTION("GOOGLETRANSLATE(A441, ""en"", ""hi"")"),"440")</f>
        <v>440</v>
      </c>
      <c r="G441" s="5" t="str">
        <f>IFERROR(__xludf.DUMMYFUNCTION("GOOGLETRANSLATE(B441, ""en"", ""hi"")"),"ढोल खेल में प्रभावी ढंग से पास देने के लिए मूलभूत कौशल क्या है?")</f>
        <v>ढोल खेल में प्रभावी ढंग से पास देने के लिए मूलभूत कौशल क्या है?</v>
      </c>
      <c r="H441" s="5" t="str">
        <f>IFERROR(__xludf.DUMMYFUNCTION("GOOGLETRANSLATE(C441, ""en"", ""hi"")"),"A) सटीकता के लिए पैर के अंदरूनी हिस्से का उपयोग करना, B) पैर की उंगलियों से किक करना, C) पैर की स्थिति की अनदेखी करना, D) केवल ड्रिब्लिंग पर ध्यान केंद्रित करना")</f>
        <v>A) सटीकता के लिए पैर के अंदरूनी हिस्से का उपयोग करना, B) पैर की उंगलियों से किक करना, C) पैर की स्थिति की अनदेखी करना, D) केवल ड्रिब्लिंग पर ध्यान केंद्रित करना</v>
      </c>
      <c r="I441" s="5" t="str">
        <f>IFERROR(__xludf.DUMMYFUNCTION("GOOGLETRANSLATE(D441, ""en"", ""hi"")"),"A) सटीकता के लिए पैर के अंदरूनी हिस्से का उपयोग करना")</f>
        <v>A) सटीकता के लिए पैर के अंदरूनी हिस्से का उपयोग करना</v>
      </c>
    </row>
    <row r="442" ht="22.5" customHeight="1">
      <c r="A442" s="2">
        <v>441.0</v>
      </c>
      <c r="B442" s="3" t="s">
        <v>6441</v>
      </c>
      <c r="C442" s="3" t="s">
        <v>6442</v>
      </c>
      <c r="D442" s="3" t="s">
        <v>6443</v>
      </c>
      <c r="F442" s="5" t="str">
        <f>IFERROR(__xludf.DUMMYFUNCTION("GOOGLETRANSLATE(A442, ""en"", ""hi"")"),"441")</f>
        <v>441</v>
      </c>
      <c r="G442" s="5" t="str">
        <f>IFERROR(__xludf.DUMMYFUNCTION("GOOGLETRANSLATE(B442, ""en"", ""hi"")"),"ढोल खेल में खिलाड़ी अपनी प्रतिक्रिया समय कैसे सुधार सकते हैं?")</f>
        <v>ढोल खेल में खिलाड़ी अपनी प्रतिक्रिया समय कैसे सुधार सकते हैं?</v>
      </c>
      <c r="H442" s="5" t="str">
        <f>IFERROR(__xludf.DUMMYFUNCTION("GOOGLETRANSLATE(C442, ""en"", ""hi"")"),"A) त्वरित निर्णय लेने वाले अभ्यास और प्रतिवर्त अभ्यास का अभ्यास करके, B) प्रतिक्रिया अभ्यास की उपेक्षा करके, C) केवल शक्ति पर ध्यान केंद्रित करके, D) अभ्यास से बचना")</f>
        <v>A) त्वरित निर्णय लेने वाले अभ्यास और प्रतिवर्त अभ्यास का अभ्यास करके, B) प्रतिक्रिया अभ्यास की उपेक्षा करके, C) केवल शक्ति पर ध्यान केंद्रित करके, D) अभ्यास से बचना</v>
      </c>
      <c r="I442" s="5" t="str">
        <f>IFERROR(__xludf.DUMMYFUNCTION("GOOGLETRANSLATE(D442, ""en"", ""hi"")"),"A) त्वरित निर्णय लेने के अभ्यास और प्रतिवर्त अभ्यास द्वारा")</f>
        <v>A) त्वरित निर्णय लेने के अभ्यास और प्रतिवर्त अभ्यास द्वारा</v>
      </c>
    </row>
    <row r="443" ht="22.5" customHeight="1">
      <c r="A443" s="2">
        <v>442.0</v>
      </c>
      <c r="B443" s="3" t="s">
        <v>6444</v>
      </c>
      <c r="C443" s="3" t="s">
        <v>6445</v>
      </c>
      <c r="D443" s="3" t="s">
        <v>6446</v>
      </c>
      <c r="F443" s="5" t="str">
        <f>IFERROR(__xludf.DUMMYFUNCTION("GOOGLETRANSLATE(A443, ""en"", ""hi"")"),"442")</f>
        <v>442</v>
      </c>
      <c r="G443" s="5" t="str">
        <f>IFERROR(__xludf.DUMMYFUNCTION("GOOGLETRANSLATE(B443, ""en"", ""hi"")"),"ढोल खेल के मैदान पर प्रभावी संचार का मुख्य पहलू क्या है?")</f>
        <v>ढोल खेल के मैदान पर प्रभावी संचार का मुख्य पहलू क्या है?</v>
      </c>
      <c r="H443" s="5" t="str">
        <f>IFERROR(__xludf.DUMMYFUNCTION("GOOGLETRANSLATE(C443, ""en"", ""hi"")"),"A) टीम के सदस्यों को स्पष्ट, संक्षिप्त निर्देश और फीडबैक देना, B) संचार की उपेक्षा करना, C) केवल व्यक्तिगत प्रदर्शन पर ध्यान केंद्रित करना, D) मौखिक बातचीत से बचना")</f>
        <v>A) टीम के सदस्यों को स्पष्ट, संक्षिप्त निर्देश और फीडबैक देना, B) संचार की उपेक्षा करना, C) केवल व्यक्तिगत प्रदर्शन पर ध्यान केंद्रित करना, D) मौखिक बातचीत से बचना</v>
      </c>
      <c r="I443" s="5" t="str">
        <f>IFERROR(__xludf.DUMMYFUNCTION("GOOGLETRANSLATE(D443, ""en"", ""hi"")"),"A) टीम के सदस्यों को स्पष्ट, संक्षिप्त निर्देश और फीडबैक प्रदान करना")</f>
        <v>A) टीम के सदस्यों को स्पष्ट, संक्षिप्त निर्देश और फीडबैक प्रदान करना</v>
      </c>
    </row>
    <row r="444" ht="22.5" customHeight="1">
      <c r="A444" s="2">
        <v>443.0</v>
      </c>
      <c r="B444" s="3" t="s">
        <v>6447</v>
      </c>
      <c r="C444" s="3" t="s">
        <v>6448</v>
      </c>
      <c r="D444" s="3" t="s">
        <v>6449</v>
      </c>
      <c r="F444" s="5" t="str">
        <f>IFERROR(__xludf.DUMMYFUNCTION("GOOGLETRANSLATE(A444, ""en"", ""hi"")"),"443")</f>
        <v>443</v>
      </c>
      <c r="G444" s="5" t="str">
        <f>IFERROR(__xludf.DUMMYFUNCTION("GOOGLETRANSLATE(B444, ""en"", ""hi"")"),"ढोल खेल में खिलाड़ी अपने गेंद नियंत्रण कौशल को कैसे बढ़ा सकते हैं?")</f>
        <v>ढोल खेल में खिलाड़ी अपने गेंद नियंत्रण कौशल को कैसे बढ़ा सकते हैं?</v>
      </c>
      <c r="H444" s="5" t="str">
        <f>IFERROR(__xludf.DUMMYFUNCTION("GOOGLETRANSLATE(C444, ""en"", ""hi"")"),"A) विभिन्न सतहों और अलग-अलग गेंद की गति के साथ अभ्यास करके, B) गेंद नियंत्रण अभ्यास की उपेक्षा करके, C) केवल शूटिंग पर ध्यान केंद्रित करके, D) नियंत्रण अभ्यास से बचना")</f>
        <v>A) विभिन्न सतहों और अलग-अलग गेंद की गति के साथ अभ्यास करके, B) गेंद नियंत्रण अभ्यास की उपेक्षा करके, C) केवल शूटिंग पर ध्यान केंद्रित करके, D) नियंत्रण अभ्यास से बचना</v>
      </c>
      <c r="I444" s="5" t="str">
        <f>IFERROR(__xludf.DUMMYFUNCTION("GOOGLETRANSLATE(D444, ""en"", ""hi"")"),"A) विभिन्न सतहों और अलग-अलग गेंद की गति के साथ अभ्यास करके")</f>
        <v>A) विभिन्न सतहों और अलग-अलग गेंद की गति के साथ अभ्यास करके</v>
      </c>
    </row>
    <row r="445" ht="22.5" customHeight="1">
      <c r="A445" s="2">
        <v>444.0</v>
      </c>
      <c r="B445" s="3" t="s">
        <v>6450</v>
      </c>
      <c r="C445" s="3" t="s">
        <v>6451</v>
      </c>
      <c r="D445" s="3" t="s">
        <v>6452</v>
      </c>
      <c r="F445" s="5" t="str">
        <f>IFERROR(__xludf.DUMMYFUNCTION("GOOGLETRANSLATE(A445, ""en"", ""hi"")"),"444")</f>
        <v>444</v>
      </c>
      <c r="G445" s="5" t="str">
        <f>IFERROR(__xludf.DUMMYFUNCTION("GOOGLETRANSLATE(B445, ""en"", ""hi"")"),"ढोल खेल में तेज ब्रेक से बचाव के लिए प्रभावी रणनीति क्या है?")</f>
        <v>ढोल खेल में तेज ब्रेक से बचाव के लिए प्रभावी रणनीति क्या है?</v>
      </c>
      <c r="H445" s="5" t="str">
        <f>IFERROR(__xludf.DUMMYFUNCTION("GOOGLETRANSLATE(C445, ""en"", ""hi"")"),"A) रक्षा को शीघ्रता से व्यवस्थित करना और स्थान को बंद करना, B) ब्रेक की अनदेखी करना, C) केवल आक्रमण पर ध्यान केंद्रित करना, D) रक्षात्मक कार्यों में देरी करना")</f>
        <v>A) रक्षा को शीघ्रता से व्यवस्थित करना और स्थान को बंद करना, B) ब्रेक की अनदेखी करना, C) केवल आक्रमण पर ध्यान केंद्रित करना, D) रक्षात्मक कार्यों में देरी करना</v>
      </c>
      <c r="I445" s="5" t="str">
        <f>IFERROR(__xludf.DUMMYFUNCTION("GOOGLETRANSLATE(D445, ""en"", ""hi"")"),"A) शीघ्रता से रक्षा का आयोजन करना और स्थान को बंद करना")</f>
        <v>A) शीघ्रता से रक्षा का आयोजन करना और स्थान को बंद करना</v>
      </c>
    </row>
    <row r="446" ht="22.5" customHeight="1">
      <c r="A446" s="2">
        <v>445.0</v>
      </c>
      <c r="B446" s="3" t="s">
        <v>6453</v>
      </c>
      <c r="C446" s="3" t="s">
        <v>6454</v>
      </c>
      <c r="D446" s="3" t="s">
        <v>6455</v>
      </c>
      <c r="F446" s="5" t="str">
        <f>IFERROR(__xludf.DUMMYFUNCTION("GOOGLETRANSLATE(A446, ""en"", ""hi"")"),"445")</f>
        <v>445</v>
      </c>
      <c r="G446" s="5" t="str">
        <f>IFERROR(__xludf.DUMMYFUNCTION("GOOGLETRANSLATE(B446, ""en"", ""hi"")"),"ढोल खेल में हेडिंग की सटीकता सुधारने के लिए खिलाड़ी को क्या करना चाहिए?")</f>
        <v>ढोल खेल में हेडिंग की सटीकता सुधारने के लिए खिलाड़ी को क्या करना चाहिए?</v>
      </c>
      <c r="H446" s="5" t="str">
        <f>IFERROR(__xludf.DUMMYFUNCTION("GOOGLETRANSLATE(C446, ""en"", ""hi"")"),"ए) माथे के विभिन्न हिस्सों और टाइमिंग के साथ हेडिंग का अभ्यास करें, बी) हेडिंग अभ्यास को अनदेखा करें, सी) केवल फुटवर्क पर ध्यान केंद्रित करें, डी) हेडिंग ड्रिल से बचें")</f>
        <v>ए) माथे के विभिन्न हिस्सों और टाइमिंग के साथ हेडिंग का अभ्यास करें, बी) हेडिंग अभ्यास को अनदेखा करें, सी) केवल फुटवर्क पर ध्यान केंद्रित करें, डी) हेडिंग ड्रिल से बचें</v>
      </c>
      <c r="I446" s="5" t="str">
        <f>IFERROR(__xludf.DUMMYFUNCTION("GOOGLETRANSLATE(D446, ""en"", ""hi"")"),"क) माथे के विभिन्न भागों और समय के साथ शीर्षासन का अभ्यास करें")</f>
        <v>क) माथे के विभिन्न भागों और समय के साथ शीर्षासन का अभ्यास करें</v>
      </c>
    </row>
    <row r="447" ht="22.5" customHeight="1">
      <c r="A447" s="2">
        <v>446.0</v>
      </c>
      <c r="B447" s="3" t="s">
        <v>6456</v>
      </c>
      <c r="C447" s="3" t="s">
        <v>6457</v>
      </c>
      <c r="D447" s="3" t="s">
        <v>6458</v>
      </c>
      <c r="F447" s="5" t="str">
        <f>IFERROR(__xludf.DUMMYFUNCTION("GOOGLETRANSLATE(A447, ""en"", ""hi"")"),"446")</f>
        <v>446</v>
      </c>
      <c r="G447" s="5" t="str">
        <f>IFERROR(__xludf.DUMMYFUNCTION("GOOGLETRANSLATE(B447, ""en"", ""hi"")"),"ढोल खेल में सफल कॉर्नर किक का महत्वपूर्ण पहलू क्या है?")</f>
        <v>ढोल खेल में सफल कॉर्नर किक का महत्वपूर्ण पहलू क्या है?</v>
      </c>
      <c r="H447" s="5" t="str">
        <f>IFERROR(__xludf.DUMMYFUNCTION("GOOGLETRANSLATE(C447, ""en"", ""hi"")"),"A) गेंद को सटीकता के साथ लक्षित क्षेत्र में पहुंचाना, B) किक की स्थिति को अनदेखा करना, C) केवल दूरी पर ध्यान केंद्रित करना, D) कॉर्नर किक से बचना")</f>
        <v>A) गेंद को सटीकता के साथ लक्षित क्षेत्र में पहुंचाना, B) किक की स्थिति को अनदेखा करना, C) केवल दूरी पर ध्यान केंद्रित करना, D) कॉर्नर किक से बचना</v>
      </c>
      <c r="I447" s="5" t="str">
        <f>IFERROR(__xludf.DUMMYFUNCTION("GOOGLETRANSLATE(D447, ""en"", ""hi"")"),"A) गेंद को सटीकता के साथ लक्षित क्षेत्र में पहुंचाना")</f>
        <v>A) गेंद को सटीकता के साथ लक्षित क्षेत्र में पहुंचाना</v>
      </c>
    </row>
    <row r="448" ht="22.5" customHeight="1">
      <c r="A448" s="2">
        <v>447.0</v>
      </c>
      <c r="B448" s="3" t="s">
        <v>6459</v>
      </c>
      <c r="C448" s="3" t="s">
        <v>6460</v>
      </c>
      <c r="D448" s="3" t="s">
        <v>6461</v>
      </c>
      <c r="F448" s="5" t="str">
        <f>IFERROR(__xludf.DUMMYFUNCTION("GOOGLETRANSLATE(A448, ""en"", ""hi"")"),"447")</f>
        <v>447</v>
      </c>
      <c r="G448" s="5" t="str">
        <f>IFERROR(__xludf.DUMMYFUNCTION("GOOGLETRANSLATE(B448, ""en"", ""hi"")"),"ढोल खेल में गेंद को बचाने के लिए खिलाड़ी अपने शरीर का प्रभावी ढंग से उपयोग कैसे कर सकता है?")</f>
        <v>ढोल खेल में गेंद को बचाने के लिए खिलाड़ी अपने शरीर का प्रभावी ढंग से उपयोग कैसे कर सकता है?</v>
      </c>
      <c r="H448" s="5" t="str">
        <f>IFERROR(__xludf.DUMMYFUNCTION("GOOGLETRANSLATE(C448, ""en"", ""hi"")"),"A) गेंद और प्रतिद्वंद्वी के बीच अपने शरीर को रखकर, B) ढाल तकनीकों की अनदेखी करके, C) केवल ड्रिब्लिंग पर ध्यान केंद्रित करके, D) शरीर की स्थिति के अभ्यास से बचना")</f>
        <v>A) गेंद और प्रतिद्वंद्वी के बीच अपने शरीर को रखकर, B) ढाल तकनीकों की अनदेखी करके, C) केवल ड्रिब्लिंग पर ध्यान केंद्रित करके, D) शरीर की स्थिति के अभ्यास से बचना</v>
      </c>
      <c r="I448" s="5" t="str">
        <f>IFERROR(__xludf.DUMMYFUNCTION("GOOGLETRANSLATE(D448, ""en"", ""hi"")"),"A) गेंद और प्रतिद्वंद्वी के बीच अपना शरीर रखकर")</f>
        <v>A) गेंद और प्रतिद्वंद्वी के बीच अपना शरीर रखकर</v>
      </c>
    </row>
    <row r="449" ht="22.5" customHeight="1">
      <c r="A449" s="2">
        <v>448.0</v>
      </c>
      <c r="B449" s="3" t="s">
        <v>6462</v>
      </c>
      <c r="C449" s="3" t="s">
        <v>6463</v>
      </c>
      <c r="D449" s="3" t="s">
        <v>6464</v>
      </c>
      <c r="F449" s="5" t="str">
        <f>IFERROR(__xludf.DUMMYFUNCTION("GOOGLETRANSLATE(A449, ""en"", ""hi"")"),"448")</f>
        <v>448</v>
      </c>
      <c r="G449" s="5" t="str">
        <f>IFERROR(__xludf.DUMMYFUNCTION("GOOGLETRANSLATE(B449, ""en"", ""hi"")"),"ढोल खेल में टीम सामंजस्य को बेहतर बनाने का प्रभावी तरीका क्या है?")</f>
        <v>ढोल खेल में टीम सामंजस्य को बेहतर बनाने का प्रभावी तरीका क्या है?</v>
      </c>
      <c r="H449" s="5" t="str">
        <f>IFERROR(__xludf.DUMMYFUNCTION("GOOGLETRANSLATE(C449, ""en"", ""hi"")"),"A) टीम-निर्माण गतिविधियों में भाग लेकर और नियमित रूप से एक साथ अभ्यास करके, B) टीम-निर्माण की उपेक्षा करके, C) केवल व्यक्तिगत कौशल पर ध्यान केंद्रित करके, D) टीम अभ्यास सत्रों से बचना")</f>
        <v>A) टीम-निर्माण गतिविधियों में भाग लेकर और नियमित रूप से एक साथ अभ्यास करके, B) टीम-निर्माण की उपेक्षा करके, C) केवल व्यक्तिगत कौशल पर ध्यान केंद्रित करके, D) टीम अभ्यास सत्रों से बचना</v>
      </c>
      <c r="I449" s="5" t="str">
        <f>IFERROR(__xludf.DUMMYFUNCTION("GOOGLETRANSLATE(D449, ""en"", ""hi"")"),"A) टीम-निर्माण गतिविधियों में भाग लेकर और नियमित रूप से एक साथ अभ्यास करके")</f>
        <v>A) टीम-निर्माण गतिविधियों में भाग लेकर और नियमित रूप से एक साथ अभ्यास करके</v>
      </c>
    </row>
    <row r="450" ht="22.5" customHeight="1">
      <c r="A450" s="2">
        <v>449.0</v>
      </c>
      <c r="B450" s="3" t="s">
        <v>5988</v>
      </c>
      <c r="C450" s="3" t="s">
        <v>6465</v>
      </c>
      <c r="D450" s="3" t="s">
        <v>6466</v>
      </c>
      <c r="F450" s="5" t="str">
        <f>IFERROR(__xludf.DUMMYFUNCTION("GOOGLETRANSLATE(A450, ""en"", ""hi"")"),"449")</f>
        <v>449</v>
      </c>
      <c r="G450" s="5" t="str">
        <f>IFERROR(__xludf.DUMMYFUNCTION("GOOGLETRANSLATE(B450, ""en"", ""hi"")"),"ढोल खेल में पेनल्टी किक मारते समय खिलाड़ी को किस बात पर ध्यान देना चाहिए?")</f>
        <v>ढोल खेल में पेनल्टी किक मारते समय खिलाड़ी को किस बात पर ध्यान देना चाहिए?</v>
      </c>
      <c r="H450" s="5" t="str">
        <f>IFERROR(__xludf.DUMMYFUNCTION("GOOGLETRANSLATE(C450, ""en"", ""hi"")"),"A) सटीक निशाना लगाना और गोलकीपर की स्थिति पर विचार करना, B) किक की स्थिति को नज़रअंदाज़ करना, C) केवल शक्ति पर ध्यान केंद्रित करना, D) किक में देरी करना")</f>
        <v>A) सटीक निशाना लगाना और गोलकीपर की स्थिति पर विचार करना, B) किक की स्थिति को नज़रअंदाज़ करना, C) केवल शक्ति पर ध्यान केंद्रित करना, D) किक में देरी करना</v>
      </c>
      <c r="I450" s="5" t="str">
        <f>IFERROR(__xludf.DUMMYFUNCTION("GOOGLETRANSLATE(D450, ""en"", ""hi"")"),"A) सटीक निशाना लगाना और गोलकीपर की स्थिति को ध्यान में रखना")</f>
        <v>A) सटीक निशाना लगाना और गोलकीपर की स्थिति को ध्यान में रखना</v>
      </c>
    </row>
    <row r="451" ht="22.5" customHeight="1">
      <c r="A451" s="2">
        <v>450.0</v>
      </c>
      <c r="B451" s="3" t="s">
        <v>6467</v>
      </c>
      <c r="C451" s="3" t="s">
        <v>6468</v>
      </c>
      <c r="D451" s="3" t="s">
        <v>6469</v>
      </c>
      <c r="F451" s="5" t="str">
        <f>IFERROR(__xludf.DUMMYFUNCTION("GOOGLETRANSLATE(A451, ""en"", ""hi"")"),"450")</f>
        <v>450</v>
      </c>
      <c r="G451" s="5" t="str">
        <f>IFERROR(__xludf.DUMMYFUNCTION("GOOGLETRANSLATE(B451, ""en"", ""hi"")"),"ढोल खेल में एक टीम किस प्रकार एक उच्च दबाव वाले प्रतिद्वंद्वी का प्रभावी ढंग से मुकाबला कर सकती है?")</f>
        <v>ढोल खेल में एक टीम किस प्रकार एक उच्च दबाव वाले प्रतिद्वंद्वी का प्रभावी ढंग से मुकाबला कर सकती है?</v>
      </c>
      <c r="H451" s="5" t="str">
        <f>IFERROR(__xludf.DUMMYFUNCTION("GOOGLETRANSLATE(C451, ""en"", ""hi"")"),"A) त्वरित, छोटे पास का उपयोग करके और गेंद को तेजी से आगे बढ़ाकर, B) दबाव की अनदेखी करके, C) केवल लंबे पास पर ध्यान केंद्रित करके, D) त्वरित पास से बचना")</f>
        <v>A) त्वरित, छोटे पास का उपयोग करके और गेंद को तेजी से आगे बढ़ाकर, B) दबाव की अनदेखी करके, C) केवल लंबे पास पर ध्यान केंद्रित करके, D) त्वरित पास से बचना</v>
      </c>
      <c r="I451" s="5" t="str">
        <f>IFERROR(__xludf.DUMMYFUNCTION("GOOGLETRANSLATE(D451, ""en"", ""hi"")"),"A) त्वरित, छोटे पास का उपयोग करके और गेंद को तेजी से आगे बढ़ाकर")</f>
        <v>A) त्वरित, छोटे पास का उपयोग करके और गेंद को तेजी से आगे बढ़ाकर</v>
      </c>
    </row>
    <row r="452" ht="22.5" customHeight="1">
      <c r="A452" s="2">
        <v>451.0</v>
      </c>
      <c r="B452" s="3" t="s">
        <v>6470</v>
      </c>
      <c r="C452" s="3" t="s">
        <v>6471</v>
      </c>
      <c r="D452" s="3" t="s">
        <v>6472</v>
      </c>
      <c r="F452" s="5" t="str">
        <f>IFERROR(__xludf.DUMMYFUNCTION("GOOGLETRANSLATE(A452, ""en"", ""hi"")"),"451")</f>
        <v>451</v>
      </c>
      <c r="G452" s="5" t="str">
        <f>IFERROR(__xludf.DUMMYFUNCTION("GOOGLETRANSLATE(B452, ""en"", ""hi"")"),"ढोल खेल में प्रभावी रक्षात्मक स्थिति बनाए रखने में मुख्य कारक क्या है?")</f>
        <v>ढोल खेल में प्रभावी रक्षात्मक स्थिति बनाए रखने में मुख्य कारक क्या है?</v>
      </c>
      <c r="H452" s="5" t="str">
        <f>IFERROR(__xludf.DUMMYFUNCTION("GOOGLETRANSLATE(C452, ""en"", ""hi"")"),"A) यह सुनिश्चित करना कि खिलाड़ी सही ढंग से संरेखित हों और प्रमुख क्षेत्रों को कवर कर रहे हों, B) रक्षात्मक स्थिति की अनदेखी करना, C) केवल आक्रमण पर ध्यान केंद्रित करना, D) खिलाड़ियों को स्वतंत्र रूप से घूमने की अनुमति देना")</f>
        <v>A) यह सुनिश्चित करना कि खिलाड़ी सही ढंग से संरेखित हों और प्रमुख क्षेत्रों को कवर कर रहे हों, B) रक्षात्मक स्थिति की अनदेखी करना, C) केवल आक्रमण पर ध्यान केंद्रित करना, D) खिलाड़ियों को स्वतंत्र रूप से घूमने की अनुमति देना</v>
      </c>
      <c r="I452" s="5" t="str">
        <f>IFERROR(__xludf.DUMMYFUNCTION("GOOGLETRANSLATE(D452, ""en"", ""hi"")"),"A) यह सुनिश्चित करना कि खिलाड़ी सही ढंग से संरेखित हों और प्रमुख क्षेत्रों को कवर कर रहे हों")</f>
        <v>A) यह सुनिश्चित करना कि खिलाड़ी सही ढंग से संरेखित हों और प्रमुख क्षेत्रों को कवर कर रहे हों</v>
      </c>
    </row>
    <row r="453" ht="22.5" customHeight="1">
      <c r="A453" s="2">
        <v>452.0</v>
      </c>
      <c r="B453" s="3" t="s">
        <v>6473</v>
      </c>
      <c r="C453" s="3" t="s">
        <v>6474</v>
      </c>
      <c r="D453" s="3" t="s">
        <v>6475</v>
      </c>
      <c r="F453" s="5" t="str">
        <f>IFERROR(__xludf.DUMMYFUNCTION("GOOGLETRANSLATE(A453, ""en"", ""hi"")"),"452")</f>
        <v>452</v>
      </c>
      <c r="G453" s="5" t="str">
        <f>IFERROR(__xludf.DUMMYFUNCTION("GOOGLETRANSLATE(B453, ""en"", ""hi"")"),"ढोल खेल में खिलाड़ी अपनी सामरिक जागरूकता कैसे सुधार सकते हैं?")</f>
        <v>ढोल खेल में खिलाड़ी अपनी सामरिक जागरूकता कैसे सुधार सकते हैं?</v>
      </c>
      <c r="H453" s="5" t="str">
        <f>IFERROR(__xludf.DUMMYFUNCTION("GOOGLETRANSLATE(C453, ""en"", ""hi"")"),"A) खेल फुटेज का अध्ययन करके और विभिन्न संरचनाओं को समझकर, B) सामरिक प्रशिक्षण की अनदेखी करके, C) केवल तकनीकी कौशल पर ध्यान केंद्रित करके, D) खेल विश्लेषण से बचना")</f>
        <v>A) खेल फुटेज का अध्ययन करके और विभिन्न संरचनाओं को समझकर, B) सामरिक प्रशिक्षण की अनदेखी करके, C) केवल तकनीकी कौशल पर ध्यान केंद्रित करके, D) खेल विश्लेषण से बचना</v>
      </c>
      <c r="I453" s="5" t="str">
        <f>IFERROR(__xludf.DUMMYFUNCTION("GOOGLETRANSLATE(D453, ""en"", ""hi"")"),"A) खेल फुटेज का अध्ययन करके और विभिन्न संरचनाओं को समझकर")</f>
        <v>A) खेल फुटेज का अध्ययन करके और विभिन्न संरचनाओं को समझकर</v>
      </c>
    </row>
    <row r="454" ht="22.5" customHeight="1">
      <c r="A454" s="2">
        <v>453.0</v>
      </c>
      <c r="B454" s="3" t="s">
        <v>6476</v>
      </c>
      <c r="C454" s="3" t="s">
        <v>6477</v>
      </c>
      <c r="D454" s="3" t="s">
        <v>6478</v>
      </c>
      <c r="F454" s="5" t="str">
        <f>IFERROR(__xludf.DUMMYFUNCTION("GOOGLETRANSLATE(A454, ""en"", ""hi"")"),"453")</f>
        <v>453</v>
      </c>
      <c r="G454" s="5" t="str">
        <f>IFERROR(__xludf.DUMMYFUNCTION("GOOGLETRANSLATE(B454, ""en"", ""hi"")"),"ढोल खेल में प्रभावी गोलकीपिंग का महत्वपूर्ण पहलू क्या है?")</f>
        <v>ढोल खेल में प्रभावी गोलकीपिंग का महत्वपूर्ण पहलू क्या है?</v>
      </c>
      <c r="H454" s="5" t="str">
        <f>IFERROR(__xludf.DUMMYFUNCTION("GOOGLETRANSLATE(C454, ""en"", ""hi"")"),"A) सही ढंग से पोजिशनिंग करना, खेल को पढ़ना और समय पर बचाव करना, B) गोलकीपिंग तकनीकों की अनदेखी करना, C) केवल किकिंग पर ध्यान केंद्रित करना, D) अभ्यास से बचना")</f>
        <v>A) सही ढंग से पोजिशनिंग करना, खेल को पढ़ना और समय पर बचाव करना, B) गोलकीपिंग तकनीकों की अनदेखी करना, C) केवल किकिंग पर ध्यान केंद्रित करना, D) अभ्यास से बचना</v>
      </c>
      <c r="I454" s="5" t="str">
        <f>IFERROR(__xludf.DUMMYFUNCTION("GOOGLETRANSLATE(D454, ""en"", ""hi"")"),"A) सही स्थिति में रहना, खेल को समझना और समय पर बचाव करना")</f>
        <v>A) सही स्थिति में रहना, खेल को समझना और समय पर बचाव करना</v>
      </c>
    </row>
    <row r="455" ht="22.5" customHeight="1">
      <c r="A455" s="2">
        <v>454.0</v>
      </c>
      <c r="B455" s="3" t="s">
        <v>6479</v>
      </c>
      <c r="C455" s="3" t="s">
        <v>6480</v>
      </c>
      <c r="D455" s="3" t="s">
        <v>6481</v>
      </c>
      <c r="F455" s="5" t="str">
        <f>IFERROR(__xludf.DUMMYFUNCTION("GOOGLETRANSLATE(A455, ""en"", ""hi"")"),"454")</f>
        <v>454</v>
      </c>
      <c r="G455" s="5" t="str">
        <f>IFERROR(__xludf.DUMMYFUNCTION("GOOGLETRANSLATE(B455, ""en"", ""hi"")"),"ढोल खेल में थ्रो-इन का प्रयोग करते समय क्या महत्वपूर्ण बात ध्यान में रखनी चाहिए?")</f>
        <v>ढोल खेल में थ्रो-इन का प्रयोग करते समय क्या महत्वपूर्ण बात ध्यान में रखनी चाहिए?</v>
      </c>
      <c r="H455" s="5" t="str">
        <f>IFERROR(__xludf.DUMMYFUNCTION("GOOGLETRANSLATE(C455, ""en"", ""hi"")"),"A) दोनों पैर ज़मीन पर रखकर सिर के पीछे से गेंद फेंकना, B) थ्रो-इन नियमों की अनदेखी करना, C) केवल दूरी पर ध्यान केंद्रित करना, D) थ्रो में देरी करना")</f>
        <v>A) दोनों पैर ज़मीन पर रखकर सिर के पीछे से गेंद फेंकना, B) थ्रो-इन नियमों की अनदेखी करना, C) केवल दूरी पर ध्यान केंद्रित करना, D) थ्रो में देरी करना</v>
      </c>
      <c r="I455" s="5" t="str">
        <f>IFERROR(__xludf.DUMMYFUNCTION("GOOGLETRANSLATE(D455, ""en"", ""hi"")"),"A) दोनों पैरों को ज़मीन पर रखकर सिर के पीछे से गेंद फेंकना")</f>
        <v>A) दोनों पैरों को ज़मीन पर रखकर सिर के पीछे से गेंद फेंकना</v>
      </c>
    </row>
    <row r="456" ht="22.5" customHeight="1">
      <c r="A456" s="2">
        <v>455.0</v>
      </c>
      <c r="B456" s="3" t="s">
        <v>6482</v>
      </c>
      <c r="C456" s="3" t="s">
        <v>6483</v>
      </c>
      <c r="D456" s="3" t="s">
        <v>6484</v>
      </c>
      <c r="F456" s="5" t="str">
        <f>IFERROR(__xludf.DUMMYFUNCTION("GOOGLETRANSLATE(A456, ""en"", ""hi"")"),"455")</f>
        <v>455</v>
      </c>
      <c r="G456" s="5" t="str">
        <f>IFERROR(__xludf.DUMMYFUNCTION("GOOGLETRANSLATE(B456, ""en"", ""hi"")"),"ढोल खेल में एक खिलाड़ी को एक-पर-एक ड्रिब्लिंग चुनौती का सामना कैसे करना चाहिए?")</f>
        <v>ढोल खेल में एक खिलाड़ी को एक-पर-एक ड्रिब्लिंग चुनौती का सामना कैसे करना चाहिए?</v>
      </c>
      <c r="H456" s="5" t="str">
        <f>IFERROR(__xludf.DUMMYFUNCTION("GOOGLETRANSLATE(C456, ""en"", ""hi"")"),"ए) डिफेंडर को मात देने के लिए दिशा में त्वरित परिवर्तन और करीबी नियंत्रण का उपयोग करके, बी) डिफेंडर की अनदेखी करके, सी) केवल पासिंग पर ध्यान केंद्रित करके, डी) चाल में देरी करके")</f>
        <v>ए) डिफेंडर को मात देने के लिए दिशा में त्वरित परिवर्तन और करीबी नियंत्रण का उपयोग करके, बी) डिफेंडर की अनदेखी करके, सी) केवल पासिंग पर ध्यान केंद्रित करके, डी) चाल में देरी करके</v>
      </c>
      <c r="I456" s="5" t="str">
        <f>IFERROR(__xludf.DUMMYFUNCTION("GOOGLETRANSLATE(D456, ""en"", ""hi"")"),"A) डिफेंडर को मात देने के लिए दिशा में त्वरित परिवर्तन और करीबी नियंत्रण का उपयोग करके")</f>
        <v>A) डिफेंडर को मात देने के लिए दिशा में त्वरित परिवर्तन और करीबी नियंत्रण का उपयोग करके</v>
      </c>
    </row>
    <row r="457" ht="22.5" customHeight="1">
      <c r="A457" s="2">
        <v>456.0</v>
      </c>
      <c r="B457" s="3" t="s">
        <v>6485</v>
      </c>
      <c r="C457" s="3" t="s">
        <v>6486</v>
      </c>
      <c r="D457" s="3" t="s">
        <v>6487</v>
      </c>
      <c r="F457" s="5" t="str">
        <f>IFERROR(__xludf.DUMMYFUNCTION("GOOGLETRANSLATE(A457, ""en"", ""hi"")"),"456")</f>
        <v>456</v>
      </c>
      <c r="G457" s="5" t="str">
        <f>IFERROR(__xludf.DUMMYFUNCTION("GOOGLETRANSLATE(B457, ""en"", ""hi"")"),"ढोल खेल में रक्षात्मक अंकन का अभ्यास करने का प्रभावी तरीका क्या है?")</f>
        <v>ढोल खेल में रक्षात्मक अंकन का अभ्यास करने का प्रभावी तरीका क्या है?</v>
      </c>
      <c r="H457" s="5" t="str">
        <f>IFERROR(__xludf.DUMMYFUNCTION("GOOGLETRANSLATE(C457, ""en"", ""hi"")"),"A) प्रतिद्वंद्वी के साथ निकटता बनाए रखने और उनकी गतिविधियों को पढ़ने पर केंद्रित अभ्यास करके, B) मार्किंग अभ्यासों को अनदेखा करके, C) केवल आक्रमण पर ध्यान केंद्रित करके, D) अभ्यास से बचना")</f>
        <v>A) प्रतिद्वंद्वी के साथ निकटता बनाए रखने और उनकी गतिविधियों को पढ़ने पर केंद्रित अभ्यास करके, B) मार्किंग अभ्यासों को अनदेखा करके, C) केवल आक्रमण पर ध्यान केंद्रित करके, D) अभ्यास से बचना</v>
      </c>
      <c r="I457" s="5" t="str">
        <f>IFERROR(__xludf.DUMMYFUNCTION("GOOGLETRANSLATE(D457, ""en"", ""hi"")"),"क) ऐसे अभ्यास करके जो प्रतिद्वंद्वी के साथ निकटता बनाए रखने और उनकी गतिविधियों को पढ़ने पर केंद्रित हों")</f>
        <v>क) ऐसे अभ्यास करके जो प्रतिद्वंद्वी के साथ निकटता बनाए रखने और उनकी गतिविधियों को पढ़ने पर केंद्रित हों</v>
      </c>
    </row>
    <row r="458" ht="22.5" customHeight="1">
      <c r="A458" s="2">
        <v>457.0</v>
      </c>
      <c r="B458" s="3" t="s">
        <v>6488</v>
      </c>
      <c r="C458" s="3" t="s">
        <v>6489</v>
      </c>
      <c r="D458" s="3" t="s">
        <v>6490</v>
      </c>
      <c r="F458" s="5" t="str">
        <f>IFERROR(__xludf.DUMMYFUNCTION("GOOGLETRANSLATE(A458, ""en"", ""hi"")"),"457")</f>
        <v>457</v>
      </c>
      <c r="G458" s="5" t="str">
        <f>IFERROR(__xludf.DUMMYFUNCTION("GOOGLETRANSLATE(B458, ""en"", ""hi"")"),"ढोल खेल में खेल को नियंत्रित करने के लिए एक टीम प्रभावी ढंग से कब्जे का उपयोग कैसे कर सकती है?")</f>
        <v>ढोल खेल में खेल को नियंत्रित करने के लिए एक टीम प्रभावी ढंग से कब्जे का उपयोग कैसे कर सकती है?</v>
      </c>
      <c r="H458" s="5" t="str">
        <f>IFERROR(__xludf.DUMMYFUNCTION("GOOGLETRANSLATE(C458, ""en"", ""hi"")"),"A) धैर्यपूर्वक बिल्ड-अप खेल को बनाए रखना और गति को नियंत्रित करना, B) कब्जे की अनदेखी करना, C) केवल तेज ब्रेक पर ध्यान केंद्रित करना, D) गेंद पर नियंत्रण से बचना")</f>
        <v>A) धैर्यपूर्वक बिल्ड-अप खेल को बनाए रखना और गति को नियंत्रित करना, B) कब्जे की अनदेखी करना, C) केवल तेज ब्रेक पर ध्यान केंद्रित करना, D) गेंद पर नियंत्रण से बचना</v>
      </c>
      <c r="I458" s="5" t="str">
        <f>IFERROR(__xludf.DUMMYFUNCTION("GOOGLETRANSLATE(D458, ""en"", ""hi"")"),"A) धैर्यपूर्वक बिल्ड-अप खेल को बनाए रखते हुए और गति को नियंत्रित करते हुए")</f>
        <v>A) धैर्यपूर्वक बिल्ड-अप खेल को बनाए रखते हुए और गति को नियंत्रित करते हुए</v>
      </c>
    </row>
    <row r="459" ht="22.5" customHeight="1">
      <c r="A459" s="2">
        <v>458.0</v>
      </c>
      <c r="B459" s="3" t="s">
        <v>6491</v>
      </c>
      <c r="C459" s="3" t="s">
        <v>6492</v>
      </c>
      <c r="D459" s="3" t="s">
        <v>6493</v>
      </c>
      <c r="F459" s="5" t="str">
        <f>IFERROR(__xludf.DUMMYFUNCTION("GOOGLETRANSLATE(A459, ""en"", ""hi"")"),"458")</f>
        <v>458</v>
      </c>
      <c r="G459" s="5" t="str">
        <f>IFERROR(__xludf.DUMMYFUNCTION("GOOGLETRANSLATE(B459, ""en"", ""hi"")"),"ढोल खेल में सफल आक्रमण रणनीति का मुख्य घटक क्या है?")</f>
        <v>ढोल खेल में सफल आक्रमण रणनीति का मुख्य घटक क्या है?</v>
      </c>
      <c r="H459" s="5" t="str">
        <f>IFERROR(__xludf.DUMMYFUNCTION("GOOGLETRANSLATE(C459, ""en"", ""hi"")"),"ए) गति के माध्यम से स्थान बनाना और सुरक्षा को तोड़ने के लिए संयोजनों का उपयोग करना, बी) आक्रमणकारी रणनीतियों की अनदेखी करना, सी) केवल व्यक्तिगत खेल पर ध्यान केंद्रित करना, डी) आक्रमणकारी अभ्यास से बचना")</f>
        <v>ए) गति के माध्यम से स्थान बनाना और सुरक्षा को तोड़ने के लिए संयोजनों का उपयोग करना, बी) आक्रमणकारी रणनीतियों की अनदेखी करना, सी) केवल व्यक्तिगत खेल पर ध्यान केंद्रित करना, डी) आक्रमणकारी अभ्यास से बचना</v>
      </c>
      <c r="I459" s="5" t="str">
        <f>IFERROR(__xludf.DUMMYFUNCTION("GOOGLETRANSLATE(D459, ""en"", ""hi"")"),"A) गति के माध्यम से स्थान बनाना और सुरक्षा को तोड़ने के लिए संयोजनों का उपयोग करना")</f>
        <v>A) गति के माध्यम से स्थान बनाना और सुरक्षा को तोड़ने के लिए संयोजनों का उपयोग करना</v>
      </c>
    </row>
    <row r="460" ht="22.5" customHeight="1">
      <c r="A460" s="2">
        <v>459.0</v>
      </c>
      <c r="B460" s="3" t="s">
        <v>6494</v>
      </c>
      <c r="C460" s="3" t="s">
        <v>6495</v>
      </c>
      <c r="D460" s="3" t="s">
        <v>6496</v>
      </c>
      <c r="F460" s="5" t="str">
        <f>IFERROR(__xludf.DUMMYFUNCTION("GOOGLETRANSLATE(A460, ""en"", ""hi"")"),"459")</f>
        <v>459</v>
      </c>
      <c r="G460" s="5" t="str">
        <f>IFERROR(__xludf.DUMMYFUNCTION("GOOGLETRANSLATE(B460, ""en"", ""hi"")"),"ढोल खेल में रक्षात्मक टैकल करते समय महत्वपूर्ण कारक क्या है?")</f>
        <v>ढोल खेल में रक्षात्मक टैकल करते समय महत्वपूर्ण कारक क्या है?</v>
      </c>
      <c r="H460" s="5" t="str">
        <f>IFERROR(__xludf.DUMMYFUNCTION("GOOGLETRANSLATE(C460, ""en"", ""hi"")"),"ए) टैकल का समय और प्रतिद्वंद्वी के बजाय गेंद से संपर्क बनाना, बी) टैकल टाइमिंग की अनदेखी करना, सी) केवल आक्रामकता पर ध्यान केंद्रित करना, डी) टैकलिंग अभ्यास से बचना")</f>
        <v>ए) टैकल का समय और प्रतिद्वंद्वी के बजाय गेंद से संपर्क बनाना, बी) टैकल टाइमिंग की अनदेखी करना, सी) केवल आक्रामकता पर ध्यान केंद्रित करना, डी) टैकलिंग अभ्यास से बचना</v>
      </c>
      <c r="I460" s="5" t="str">
        <f>IFERROR(__xludf.DUMMYFUNCTION("GOOGLETRANSLATE(D460, ""en"", ""hi"")"),"ए) टैकल का समय निर्धारित करना और प्रतिद्वंद्वी के बजाय गेंद से संपर्क बनाना")</f>
        <v>ए) टैकल का समय निर्धारित करना और प्रतिद्वंद्वी के बजाय गेंद से संपर्क बनाना</v>
      </c>
    </row>
    <row r="461" ht="22.5" customHeight="1">
      <c r="A461" s="2">
        <v>460.0</v>
      </c>
      <c r="B461" s="3" t="s">
        <v>6497</v>
      </c>
      <c r="C461" s="3" t="s">
        <v>6498</v>
      </c>
      <c r="D461" s="3" t="s">
        <v>6499</v>
      </c>
      <c r="F461" s="5" t="str">
        <f>IFERROR(__xludf.DUMMYFUNCTION("GOOGLETRANSLATE(A461, ""en"", ""hi"")"),"460")</f>
        <v>460</v>
      </c>
      <c r="G461" s="5" t="str">
        <f>IFERROR(__xludf.DUMMYFUNCTION("GOOGLETRANSLATE(B461, ""en"", ""hi"")"),"ढोल खेल की मांग के अनुरूप कोई खिलाड़ी अपनी फिटनेस कैसे सुधार सकता है?")</f>
        <v>ढोल खेल की मांग के अनुरूप कोई खिलाड़ी अपनी फिटनेस कैसे सुधार सकता है?</v>
      </c>
      <c r="H461" s="5" t="str">
        <f>IFERROR(__xludf.DUMMYFUNCTION("GOOGLETRANSLATE(C461, ""en"", ""hi"")"),"A) अपने दिनचर्या में सहनशक्ति, शक्ति और चपलता प्रशिक्षण को शामिल करके, B) फिटनेस प्रशिक्षण की अनदेखी करके, C) केवल तकनीक पर ध्यान केंद्रित करके, D) व्यायाम से परहेज करके")</f>
        <v>A) अपने दिनचर्या में सहनशक्ति, शक्ति और चपलता प्रशिक्षण को शामिल करके, B) फिटनेस प्रशिक्षण की अनदेखी करके, C) केवल तकनीक पर ध्यान केंद्रित करके, D) व्यायाम से परहेज करके</v>
      </c>
      <c r="I461" s="5" t="str">
        <f>IFERROR(__xludf.DUMMYFUNCTION("GOOGLETRANSLATE(D461, ""en"", ""hi"")"),"A) अपने दिनचर्या में सहनशक्ति, शक्ति और चपलता प्रशिक्षण को शामिल करके")</f>
        <v>A) अपने दिनचर्या में सहनशक्ति, शक्ति और चपलता प्रशिक्षण को शामिल करके</v>
      </c>
    </row>
    <row r="462" ht="22.5" customHeight="1">
      <c r="A462" s="2">
        <v>461.0</v>
      </c>
      <c r="B462" s="3" t="s">
        <v>6500</v>
      </c>
      <c r="C462" s="3" t="s">
        <v>6501</v>
      </c>
      <c r="D462" s="3" t="s">
        <v>6502</v>
      </c>
      <c r="F462" s="5" t="str">
        <f>IFERROR(__xludf.DUMMYFUNCTION("GOOGLETRANSLATE(A462, ""en"", ""hi"")"),"461")</f>
        <v>461</v>
      </c>
      <c r="G462" s="5" t="str">
        <f>IFERROR(__xludf.DUMMYFUNCTION("GOOGLETRANSLATE(B462, ""en"", ""hi"")"),"ढोल खेल में टीम केमिस्ट्री बनाने का प्रभावी तरीका क्या है?")</f>
        <v>ढोल खेल में टीम केमिस्ट्री बनाने का प्रभावी तरीका क्या है?</v>
      </c>
      <c r="H462" s="5" t="str">
        <f>IFERROR(__xludf.DUMMYFUNCTION("GOOGLETRANSLATE(C462, ""en"", ""hi"")"),"A) टीम गतिविधियों में शामिल होकर और खुले संचार को बढ़ावा देकर, B) टीम-निर्माण की उपेक्षा करके, C) केवल व्यक्तिगत प्रदर्शन पर ध्यान केंद्रित करके, D) टीम इंटरैक्शन से बचना")</f>
        <v>A) टीम गतिविधियों में शामिल होकर और खुले संचार को बढ़ावा देकर, B) टीम-निर्माण की उपेक्षा करके, C) केवल व्यक्तिगत प्रदर्शन पर ध्यान केंद्रित करके, D) टीम इंटरैक्शन से बचना</v>
      </c>
      <c r="I462" s="5" t="str">
        <f>IFERROR(__xludf.DUMMYFUNCTION("GOOGLETRANSLATE(D462, ""en"", ""hi"")"),"A) टीम गतिविधियों में शामिल होकर और खुले संचार को बढ़ावा देकर")</f>
        <v>A) टीम गतिविधियों में शामिल होकर और खुले संचार को बढ़ावा देकर</v>
      </c>
    </row>
    <row r="463" ht="22.5" customHeight="1">
      <c r="A463" s="2">
        <v>462.0</v>
      </c>
      <c r="B463" s="3" t="s">
        <v>6503</v>
      </c>
      <c r="C463" s="3" t="s">
        <v>6504</v>
      </c>
      <c r="D463" s="3" t="s">
        <v>6505</v>
      </c>
      <c r="F463" s="5" t="str">
        <f>IFERROR(__xludf.DUMMYFUNCTION("GOOGLETRANSLATE(A463, ""en"", ""hi"")"),"462")</f>
        <v>462</v>
      </c>
      <c r="G463" s="5" t="str">
        <f>IFERROR(__xludf.DUMMYFUNCTION("GOOGLETRANSLATE(B463, ""en"", ""hi"")"),"ढोल खेल में तेज हमलावर के खिलाफ बचाव करते समय खिलाड़ी को किस प्रकार अपनी स्थिति बनाए रखनी चाहिए?")</f>
        <v>ढोल खेल में तेज हमलावर के खिलाफ बचाव करते समय खिलाड़ी को किस प्रकार अपनी स्थिति बनाए रखनी चाहिए?</v>
      </c>
      <c r="H463" s="5" t="str">
        <f>IFERROR(__xludf.DUMMYFUNCTION("GOOGLETRANSLATE(C463, ""en"", ""hi"")"),"A) नीचे रहकर, संतुलित रुख बनाए रखकर, तथा हमलावर और लक्ष्य के बीच स्थिति बनाकर, B) स्थिति की अनदेखी करके, C) केवल आक्रामकता पर ध्यान केंद्रित करके, D) रक्षात्मक रुख अभ्यास से बचना")</f>
        <v>A) नीचे रहकर, संतुलित रुख बनाए रखकर, तथा हमलावर और लक्ष्य के बीच स्थिति बनाकर, B) स्थिति की अनदेखी करके, C) केवल आक्रामकता पर ध्यान केंद्रित करके, D) रक्षात्मक रुख अभ्यास से बचना</v>
      </c>
      <c r="I463" s="5" t="str">
        <f>IFERROR(__xludf.DUMMYFUNCTION("GOOGLETRANSLATE(D463, ""en"", ""hi"")"),"A) नीचे रहकर, संतुलित रुख बनाए रखकर, तथा हमलावर और लक्ष्य के बीच स्थिति बनाकर")</f>
        <v>A) नीचे रहकर, संतुलित रुख बनाए रखकर, तथा हमलावर और लक्ष्य के बीच स्थिति बनाकर</v>
      </c>
    </row>
    <row r="464" ht="22.5" customHeight="1">
      <c r="A464" s="2">
        <v>463.0</v>
      </c>
      <c r="B464" s="3" t="s">
        <v>6506</v>
      </c>
      <c r="C464" s="3" t="s">
        <v>6507</v>
      </c>
      <c r="D464" s="3" t="s">
        <v>6508</v>
      </c>
      <c r="F464" s="5" t="str">
        <f>IFERROR(__xludf.DUMMYFUNCTION("GOOGLETRANSLATE(A464, ""en"", ""hi"")"),"463")</f>
        <v>463</v>
      </c>
      <c r="G464" s="5" t="str">
        <f>IFERROR(__xludf.DUMMYFUNCTION("GOOGLETRANSLATE(B464, ""en"", ""hi"")"),"ढोल खेल में सफल फ्री किक का महत्वपूर्ण पहलू क्या है?")</f>
        <v>ढोल खेल में सफल फ्री किक का महत्वपूर्ण पहलू क्या है?</v>
      </c>
      <c r="H464" s="5" t="str">
        <f>IFERROR(__xludf.DUMMYFUNCTION("GOOGLETRANSLATE(C464, ""en"", ""hi"")"),"A) दीवार और गोलकीपर की स्थिति और लक्ष्य का सटीक आकलन करना, B) फ्री किक प्लेसमेंट की अनदेखी करना, C) केवल शक्ति पर ध्यान केंद्रित करना, D) किक में देरी करना")</f>
        <v>A) दीवार और गोलकीपर की स्थिति और लक्ष्य का सटीक आकलन करना, B) फ्री किक प्लेसमेंट की अनदेखी करना, C) केवल शक्ति पर ध्यान केंद्रित करना, D) किक में देरी करना</v>
      </c>
      <c r="I464" s="5" t="str">
        <f>IFERROR(__xludf.DUMMYFUNCTION("GOOGLETRANSLATE(D464, ""en"", ""hi"")"),"A) दीवार और गोलकीपर की स्थिति का आकलन करना और सटीक निशाना लगाना")</f>
        <v>A) दीवार और गोलकीपर की स्थिति का आकलन करना और सटीक निशाना लगाना</v>
      </c>
    </row>
    <row r="465" ht="22.5" customHeight="1">
      <c r="A465" s="2">
        <v>464.0</v>
      </c>
      <c r="B465" s="3" t="s">
        <v>6509</v>
      </c>
      <c r="C465" s="3" t="s">
        <v>6510</v>
      </c>
      <c r="D465" s="3" t="s">
        <v>6511</v>
      </c>
      <c r="F465" s="5" t="str">
        <f>IFERROR(__xludf.DUMMYFUNCTION("GOOGLETRANSLATE(A465, ""en"", ""hi"")"),"464")</f>
        <v>464</v>
      </c>
      <c r="G465" s="5" t="str">
        <f>IFERROR(__xludf.DUMMYFUNCTION("GOOGLETRANSLATE(B465, ""en"", ""hi"")"),"ढोल खेल में मैदान पर खिलाड़ी बेहतर दृष्टि कैसे विकसित कर सकता है?")</f>
        <v>ढोल खेल में मैदान पर खिलाड़ी बेहतर दृष्टि कैसे विकसित कर सकता है?</v>
      </c>
      <c r="H465" s="5" t="str">
        <f>IFERROR(__xludf.DUMMYFUNCTION("GOOGLETRANSLATE(C465, ""en"", ""hi"")"),"A) नियमित रूप से मैदान को स्कैन करने का अभ्यास करके और जागरूकता में सुधार करके, B) मैदानी दृष्टि की अनदेखी करके, C) केवल ड्रिब्लिंग पर ध्यान केंद्रित करके, D) दृष्टि अभ्यास से बचना")</f>
        <v>A) नियमित रूप से मैदान को स्कैन करने का अभ्यास करके और जागरूकता में सुधार करके, B) मैदानी दृष्टि की अनदेखी करके, C) केवल ड्रिब्लिंग पर ध्यान केंद्रित करके, D) दृष्टि अभ्यास से बचना</v>
      </c>
      <c r="I465" s="5" t="str">
        <f>IFERROR(__xludf.DUMMYFUNCTION("GOOGLETRANSLATE(D465, ""en"", ""hi"")"),"A) नियमित रूप से क्षेत्र को स्कैन करने का अभ्यास करके और जागरूकता में सुधार करके")</f>
        <v>A) नियमित रूप से क्षेत्र को स्कैन करने का अभ्यास करके और जागरूकता में सुधार करके</v>
      </c>
    </row>
    <row r="466" ht="22.5" customHeight="1">
      <c r="A466" s="2">
        <v>465.0</v>
      </c>
      <c r="B466" s="3" t="s">
        <v>6512</v>
      </c>
      <c r="C466" s="3" t="s">
        <v>6513</v>
      </c>
      <c r="D466" s="3" t="s">
        <v>6514</v>
      </c>
      <c r="F466" s="5" t="str">
        <f>IFERROR(__xludf.DUMMYFUNCTION("GOOGLETRANSLATE(A466, ""en"", ""hi"")"),"465")</f>
        <v>465</v>
      </c>
      <c r="G466" s="5" t="str">
        <f>IFERROR(__xludf.DUMMYFUNCTION("GOOGLETRANSLATE(B466, ""en"", ""hi"")"),"ढोल खेल में पास प्राप्त करते समय खिलाड़ी को किस बात पर ध्यान देना चाहिए?")</f>
        <v>ढोल खेल में पास प्राप्त करते समय खिलाड़ी को किस बात पर ध्यान देना चाहिए?</v>
      </c>
      <c r="H466" s="5" t="str">
        <f>IFERROR(__xludf.DUMMYFUNCTION("GOOGLETRANSLATE(C466, ""en"", ""hi"")"),"ए) गेंद को कुशन करने और अगले कदम के लिए तैयार होने के लिए सही तकनीक का उपयोग करना, बी) प्राप्त करने की तकनीक की अनदेखी करना, सी) केवल पासिंग पर ध्यान केंद्रित करना, डी) रिसेप्शन में देरी करना")</f>
        <v>ए) गेंद को कुशन करने और अगले कदम के लिए तैयार होने के लिए सही तकनीक का उपयोग करना, बी) प्राप्त करने की तकनीक की अनदेखी करना, सी) केवल पासिंग पर ध्यान केंद्रित करना, डी) रिसेप्शन में देरी करना</v>
      </c>
      <c r="I466" s="5" t="str">
        <f>IFERROR(__xludf.DUMMYFUNCTION("GOOGLETRANSLATE(D466, ""en"", ""hi"")"),"ए) गेंद को कुशन करने और अगले कदम के लिए तैयार करने के लिए सही तकनीक का उपयोग करना")</f>
        <v>ए) गेंद को कुशन करने और अगले कदम के लिए तैयार करने के लिए सही तकनीक का उपयोग करना</v>
      </c>
    </row>
    <row r="467" ht="22.5" customHeight="1">
      <c r="A467" s="2">
        <v>466.0</v>
      </c>
      <c r="B467" s="3" t="s">
        <v>6515</v>
      </c>
      <c r="C467" s="3" t="s">
        <v>6516</v>
      </c>
      <c r="D467" s="3" t="s">
        <v>6517</v>
      </c>
      <c r="F467" s="5" t="str">
        <f>IFERROR(__xludf.DUMMYFUNCTION("GOOGLETRANSLATE(A467, ""en"", ""hi"")"),"466")</f>
        <v>466</v>
      </c>
      <c r="G467" s="5" t="str">
        <f>IFERROR(__xludf.DUMMYFUNCTION("GOOGLETRANSLATE(B467, ""en"", ""hi"")"),"ढोल खेल में मजबूत रक्षा को तोड़ने की मुख्य रणनीति क्या है?")</f>
        <v>ढोल खेल में मजबूत रक्षा को तोड़ने की मुख्य रणनीति क्या है?</v>
      </c>
      <c r="H467" s="5" t="str">
        <f>IFERROR(__xludf.DUMMYFUNCTION("GOOGLETRANSLATE(C467, ""en"", ""hi"")"),"ए) मौके बनाने के लिए त्वरित, सटीक पासिंग और मूवमेंट का उपयोग करना, बी) रक्षात्मक रणनीतियों की अनदेखी करना, सी) केवल व्यक्तिगत कौशल पर ध्यान केंद्रित करना, डी) पासिंग संयोजनों से बचना")</f>
        <v>ए) मौके बनाने के लिए त्वरित, सटीक पासिंग और मूवमेंट का उपयोग करना, बी) रक्षात्मक रणनीतियों की अनदेखी करना, सी) केवल व्यक्तिगत कौशल पर ध्यान केंद्रित करना, डी) पासिंग संयोजनों से बचना</v>
      </c>
      <c r="I467" s="5" t="str">
        <f>IFERROR(__xludf.DUMMYFUNCTION("GOOGLETRANSLATE(D467, ""en"", ""hi"")"),"A) ओपनिंग बनाने के लिए त्वरित, सटीक पासिंग और मूवमेंट का उपयोग करना")</f>
        <v>A) ओपनिंग बनाने के लिए त्वरित, सटीक पासिंग और मूवमेंट का उपयोग करना</v>
      </c>
    </row>
    <row r="468" ht="22.5" customHeight="1">
      <c r="A468" s="2">
        <v>467.0</v>
      </c>
      <c r="B468" s="3" t="s">
        <v>6518</v>
      </c>
      <c r="C468" s="3" t="s">
        <v>6519</v>
      </c>
      <c r="D468" s="3" t="s">
        <v>6520</v>
      </c>
      <c r="F468" s="5" t="str">
        <f>IFERROR(__xludf.DUMMYFUNCTION("GOOGLETRANSLATE(A468, ""en"", ""hi"")"),"467")</f>
        <v>467</v>
      </c>
      <c r="G468" s="5" t="str">
        <f>IFERROR(__xludf.DUMMYFUNCTION("GOOGLETRANSLATE(B468, ""en"", ""hi"")"),"ढोल खेल में एक खिलाड़ी किस प्रकार सेट-पीस स्थितियों में प्रभावी रूप से योगदान दे सकता है?")</f>
        <v>ढोल खेल में एक खिलाड़ी किस प्रकार सेट-पीस स्थितियों में प्रभावी रूप से योगदान दे सकता है?</v>
      </c>
      <c r="H468" s="5" t="str">
        <f>IFERROR(__xludf.DUMMYFUNCTION("GOOGLETRANSLATE(C468, ""en"", ""hi"")"),"A) सटीक डिलीवरी और गेंद को पूरा करने के लिए समय पर दौड़ने का अभ्यास करके, B) सेट-पीस अभ्यास की अनदेखी करके, C) केवल रक्षात्मक स्थिति पर ध्यान केंद्रित करके, D) सेट-पीस अभ्यास से बचना")</f>
        <v>A) सटीक डिलीवरी और गेंद को पूरा करने के लिए समय पर दौड़ने का अभ्यास करके, B) सेट-पीस अभ्यास की अनदेखी करके, C) केवल रक्षात्मक स्थिति पर ध्यान केंद्रित करके, D) सेट-पीस अभ्यास से बचना</v>
      </c>
      <c r="I468" s="5" t="str">
        <f>IFERROR(__xludf.DUMMYFUNCTION("GOOGLETRANSLATE(D468, ""en"", ""hi"")"),"A) सटीक डिलीवरी और समय पर गेंद को पूरा करने के लिए दौड़ने का अभ्यास करके")</f>
        <v>A) सटीक डिलीवरी और समय पर गेंद को पूरा करने के लिए दौड़ने का अभ्यास करके</v>
      </c>
    </row>
    <row r="469" ht="22.5" customHeight="1">
      <c r="A469" s="2">
        <v>468.0</v>
      </c>
      <c r="B469" s="3" t="s">
        <v>6521</v>
      </c>
      <c r="C469" s="3" t="s">
        <v>6522</v>
      </c>
      <c r="D469" s="3" t="s">
        <v>6523</v>
      </c>
      <c r="F469" s="5" t="str">
        <f>IFERROR(__xludf.DUMMYFUNCTION("GOOGLETRANSLATE(A469, ""en"", ""hi"")"),"468")</f>
        <v>468</v>
      </c>
      <c r="G469" s="5" t="str">
        <f>IFERROR(__xludf.DUMMYFUNCTION("GOOGLETRANSLATE(B469, ""en"", ""hi"")"),"ढोल खेल में गोल किक करते समय क्या महत्वपूर्ण बात ध्यान में रखनी चाहिए?")</f>
        <v>ढोल खेल में गोल किक करते समय क्या महत्वपूर्ण बात ध्यान में रखनी चाहिए?</v>
      </c>
      <c r="H469" s="5" t="str">
        <f>IFERROR(__xludf.DUMMYFUNCTION("GOOGLETRANSLATE(C469, ""en"", ""hi"")"),"A) गेंद को लक्षित क्षेत्र में मारना और उचित तकनीक का उपयोग करना, B) गोल किक प्लेसमेंट की अनदेखी करना, C) केवल दूरी पर ध्यान केंद्रित करना, D) किक में देरी करना")</f>
        <v>A) गेंद को लक्षित क्षेत्र में मारना और उचित तकनीक का उपयोग करना, B) गोल किक प्लेसमेंट की अनदेखी करना, C) केवल दूरी पर ध्यान केंद्रित करना, D) किक में देरी करना</v>
      </c>
      <c r="I469" s="5" t="str">
        <f>IFERROR(__xludf.DUMMYFUNCTION("GOOGLETRANSLATE(D469, ""en"", ""hi"")"),"ए) गेंद को लक्षित क्षेत्र में किक करना और उचित तकनीक का उपयोग करना")</f>
        <v>ए) गेंद को लक्षित क्षेत्र में किक करना और उचित तकनीक का उपयोग करना</v>
      </c>
    </row>
    <row r="470" ht="22.5" customHeight="1">
      <c r="A470" s="2">
        <v>469.0</v>
      </c>
      <c r="B470" s="3" t="s">
        <v>6524</v>
      </c>
      <c r="C470" s="3" t="s">
        <v>6525</v>
      </c>
      <c r="D470" s="3" t="s">
        <v>6526</v>
      </c>
      <c r="F470" s="5" t="str">
        <f>IFERROR(__xludf.DUMMYFUNCTION("GOOGLETRANSLATE(A470, ""en"", ""hi"")"),"469")</f>
        <v>469</v>
      </c>
      <c r="G470" s="5" t="str">
        <f>IFERROR(__xludf.DUMMYFUNCTION("GOOGLETRANSLATE(B470, ""en"", ""hi"")"),"ढोल खेल में दबाव की स्थिति में प्रदर्शन करने की अपनी क्षमता को कोई खिलाड़ी कैसे सुधार सकता है?")</f>
        <v>ढोल खेल में दबाव की स्थिति में प्रदर्शन करने की अपनी क्षमता को कोई खिलाड़ी कैसे सुधार सकता है?</v>
      </c>
      <c r="H470" s="5" t="str">
        <f>IFERROR(__xludf.DUMMYFUNCTION("GOOGLETRANSLATE(C470, ""en"", ""hi"")"),"ए) प्रशिक्षण के दौरान उच्च दबाव वाले परिदृश्यों का अनुकरण करके और धैर्य पर ध्यान केंद्रित करके, बी) दबाव प्रशिक्षण की अनदेखी करके, सी) केवल व्यक्तिगत अभ्यास पर ध्यान केंद्रित करके, डी) उच्च दबाव वाली स्थितियों से बचना")</f>
        <v>ए) प्रशिक्षण के दौरान उच्च दबाव वाले परिदृश्यों का अनुकरण करके और धैर्य पर ध्यान केंद्रित करके, बी) दबाव प्रशिक्षण की अनदेखी करके, सी) केवल व्यक्तिगत अभ्यास पर ध्यान केंद्रित करके, डी) उच्च दबाव वाली स्थितियों से बचना</v>
      </c>
      <c r="I470" s="5" t="str">
        <f>IFERROR(__xludf.DUMMYFUNCTION("GOOGLETRANSLATE(D470, ""en"", ""hi"")"),"A) प्रशिक्षण के दौरान उच्च दबाव वाले परिदृश्यों का अनुकरण करके और धैर्य पर ध्यान केंद्रित करके")</f>
        <v>A) प्रशिक्षण के दौरान उच्च दबाव वाले परिदृश्यों का अनुकरण करके और धैर्य पर ध्यान केंद्रित करके</v>
      </c>
    </row>
    <row r="471" ht="22.5" customHeight="1">
      <c r="A471" s="2">
        <v>470.0</v>
      </c>
      <c r="B471" s="3" t="s">
        <v>6527</v>
      </c>
      <c r="C471" s="3" t="s">
        <v>6528</v>
      </c>
      <c r="D471" s="3" t="s">
        <v>6529</v>
      </c>
      <c r="F471" s="5" t="str">
        <f>IFERROR(__xludf.DUMMYFUNCTION("GOOGLETRANSLATE(A471, ""en"", ""hi"")"),"470")</f>
        <v>470</v>
      </c>
      <c r="G471" s="5" t="str">
        <f>IFERROR(__xludf.DUMMYFUNCTION("GOOGLETRANSLATE(B471, ""en"", ""hi"")"),"ढोल खेल में तीसरे आक्रमणकारी क्षेत्र में दौड़ते समय खिलाड़ी को क्या प्राथमिकता देनी चाहिए?")</f>
        <v>ढोल खेल में तीसरे आक्रमणकारी क्षेत्र में दौड़ते समय खिलाड़ी को क्या प्राथमिकता देनी चाहिए?</v>
      </c>
      <c r="H471" s="5" t="str">
        <f>IFERROR(__xludf.DUMMYFUNCTION("GOOGLETRANSLATE(C471, ""en"", ""hi"")"),"ए) ऑनसाइड रहने के लिए रन का समय निर्धारित करना और साथियों के लिए जगह बनाना, बी) टाइमिंग की अनदेखी करना, सी) केवल गति पर ध्यान केंद्रित करना, डी) आक्रमणकारी थर्ड में रन बनाने से बचना")</f>
        <v>ए) ऑनसाइड रहने के लिए रन का समय निर्धारित करना और साथियों के लिए जगह बनाना, बी) टाइमिंग की अनदेखी करना, सी) केवल गति पर ध्यान केंद्रित करना, डी) आक्रमणकारी थर्ड में रन बनाने से बचना</v>
      </c>
      <c r="I471" s="5" t="str">
        <f>IFERROR(__xludf.DUMMYFUNCTION("GOOGLETRANSLATE(D471, ""en"", ""hi"")"),"A) ऑनसाइड रहने के लिए रन का समय निर्धारित करना और टीम के साथियों के लिए जगह बनाना")</f>
        <v>A) ऑनसाइड रहने के लिए रन का समय निर्धारित करना और टीम के साथियों के लिए जगह बनाना</v>
      </c>
    </row>
    <row r="472" ht="22.5" customHeight="1">
      <c r="A472" s="2">
        <v>471.0</v>
      </c>
      <c r="B472" s="3" t="s">
        <v>6530</v>
      </c>
      <c r="C472" s="3" t="s">
        <v>6531</v>
      </c>
      <c r="D472" s="3" t="s">
        <v>6532</v>
      </c>
      <c r="F472" s="5" t="str">
        <f>IFERROR(__xludf.DUMMYFUNCTION("GOOGLETRANSLATE(A472, ""en"", ""hi"")"),"471")</f>
        <v>471</v>
      </c>
      <c r="G472" s="5" t="str">
        <f>IFERROR(__xludf.DUMMYFUNCTION("GOOGLETRANSLATE(B472, ""en"", ""hi"")"),"ढोल खेल में कोई टीम गेंद पर कब्ज़ा कैसे प्रभावी ढंग से बनाए रख सकती है?")</f>
        <v>ढोल खेल में कोई टीम गेंद पर कब्ज़ा कैसे प्रभावी ढंग से बनाए रख सकती है?</v>
      </c>
      <c r="H472" s="5" t="str">
        <f>IFERROR(__xludf.DUMMYFUNCTION("GOOGLETRANSLATE(C472, ""en"", ""hi"")"),"ए) छोटे, नियंत्रित पास का उपयोग करके और उच्च स्तर की गति बनाए रखकर, बी) कब्जे की रणनीति की अनदेखी करके, सी) केवल लंबे पास पर ध्यान केंद्रित करके, डी) गेंद नियंत्रण अभ्यास से बचना")</f>
        <v>ए) छोटे, नियंत्रित पास का उपयोग करके और उच्च स्तर की गति बनाए रखकर, बी) कब्जे की रणनीति की अनदेखी करके, सी) केवल लंबे पास पर ध्यान केंद्रित करके, डी) गेंद नियंत्रण अभ्यास से बचना</v>
      </c>
      <c r="I472" s="5" t="str">
        <f>IFERROR(__xludf.DUMMYFUNCTION("GOOGLETRANSLATE(D472, ""en"", ""hi"")"),"A) छोटे, नियंत्रित पास का उपयोग करके और उच्च स्तर की गति बनाए रखकर")</f>
        <v>A) छोटे, नियंत्रित पास का उपयोग करके और उच्च स्तर की गति बनाए रखकर</v>
      </c>
    </row>
    <row r="473" ht="22.5" customHeight="1">
      <c r="A473" s="2">
        <v>472.0</v>
      </c>
      <c r="B473" s="3" t="s">
        <v>6533</v>
      </c>
      <c r="C473" s="3" t="s">
        <v>6534</v>
      </c>
      <c r="D473" s="3" t="s">
        <v>6535</v>
      </c>
      <c r="F473" s="5" t="str">
        <f>IFERROR(__xludf.DUMMYFUNCTION("GOOGLETRANSLATE(A473, ""en"", ""hi"")"),"472")</f>
        <v>472</v>
      </c>
      <c r="G473" s="5" t="str">
        <f>IFERROR(__xludf.DUMMYFUNCTION("GOOGLETRANSLATE(B473, ""en"", ""hi"")"),"ढोल खेल में लंबे पास को प्रभावी ढंग से निष्पादित करने में महत्वपूर्ण कारक क्या है?")</f>
        <v>ढोल खेल में लंबे पास को प्रभावी ढंग से निष्पादित करने में महत्वपूर्ण कारक क्या है?</v>
      </c>
      <c r="H473" s="5" t="str">
        <f>IFERROR(__xludf.DUMMYFUNCTION("GOOGLETRANSLATE(C473, ""en"", ""hi"")"),"A) इच्छित लक्ष्य तक पहुँचने के लिए दिशा और शक्ति में सटीकता, B) पास सटीकता की अनदेखी, C) केवल शक्ति पर ध्यान केंद्रित करना, D) पास में देरी करना")</f>
        <v>A) इच्छित लक्ष्य तक पहुँचने के लिए दिशा और शक्ति में सटीकता, B) पास सटीकता की अनदेखी, C) केवल शक्ति पर ध्यान केंद्रित करना, D) पास में देरी करना</v>
      </c>
      <c r="I473" s="5" t="str">
        <f>IFERROR(__xludf.DUMMYFUNCTION("GOOGLETRANSLATE(D473, ""en"", ""hi"")"),"A) दिशा में सटीकता और इच्छित लक्ष्य तक पहुँचने की शक्ति")</f>
        <v>A) दिशा में सटीकता और इच्छित लक्ष्य तक पहुँचने की शक्ति</v>
      </c>
    </row>
    <row r="474" ht="22.5" customHeight="1">
      <c r="A474" s="2">
        <v>473.0</v>
      </c>
      <c r="B474" s="3" t="s">
        <v>6536</v>
      </c>
      <c r="C474" s="3" t="s">
        <v>6537</v>
      </c>
      <c r="D474" s="3" t="s">
        <v>6538</v>
      </c>
      <c r="F474" s="5" t="str">
        <f>IFERROR(__xludf.DUMMYFUNCTION("GOOGLETRANSLATE(A474, ""en"", ""hi"")"),"473")</f>
        <v>473</v>
      </c>
      <c r="G474" s="5" t="str">
        <f>IFERROR(__xludf.DUMMYFUNCTION("GOOGLETRANSLATE(B474, ""en"", ""hi"")"),"ढोल खेल में कोई खिलाड़ी अपनी रक्षात्मक स्थिति कैसे सुधार सकता है?")</f>
        <v>ढोल खेल में कोई खिलाड़ी अपनी रक्षात्मक स्थिति कैसे सुधार सकता है?</v>
      </c>
      <c r="H474" s="5" t="str">
        <f>IFERROR(__xludf.DUMMYFUNCTION("GOOGLETRANSLATE(C474, ""en"", ""hi"")"),"A) पोजिशनिंग अभ्यास का अभ्यास करके और प्रमुख रक्षात्मक सिद्धांतों को समझकर, B) रक्षात्मक अभ्यासों की अनदेखी करके, C) केवल आक्रमण पर ध्यान केंद्रित करके, D) रक्षात्मक अभ्यास से बचना")</f>
        <v>A) पोजिशनिंग अभ्यास का अभ्यास करके और प्रमुख रक्षात्मक सिद्धांतों को समझकर, B) रक्षात्मक अभ्यासों की अनदेखी करके, C) केवल आक्रमण पर ध्यान केंद्रित करके, D) रक्षात्मक अभ्यास से बचना</v>
      </c>
      <c r="I474" s="5" t="str">
        <f>IFERROR(__xludf.DUMMYFUNCTION("GOOGLETRANSLATE(D474, ""en"", ""hi"")"),"A) पोजिशनिंग अभ्यास का अभ्यास करके और प्रमुख रक्षात्मक सिद्धांतों को समझकर")</f>
        <v>A) पोजिशनिंग अभ्यास का अभ्यास करके और प्रमुख रक्षात्मक सिद्धांतों को समझकर</v>
      </c>
    </row>
    <row r="475" ht="22.5" customHeight="1">
      <c r="A475" s="2">
        <v>474.0</v>
      </c>
      <c r="B475" s="3" t="s">
        <v>6539</v>
      </c>
      <c r="C475" s="3" t="s">
        <v>6540</v>
      </c>
      <c r="D475" s="3" t="s">
        <v>6541</v>
      </c>
      <c r="F475" s="5" t="str">
        <f>IFERROR(__xludf.DUMMYFUNCTION("GOOGLETRANSLATE(A475, ""en"", ""hi"")"),"474")</f>
        <v>474</v>
      </c>
      <c r="G475" s="5" t="str">
        <f>IFERROR(__xludf.DUMMYFUNCTION("GOOGLETRANSLATE(B475, ""en"", ""hi"")"),"ढोल खेल में आक्रमण कर रहे टीम के साथी को समर्थन देने का प्रभावी तरीका क्या है?")</f>
        <v>ढोल खेल में आक्रमण कर रहे टीम के साथी को समर्थन देने का प्रभावी तरीका क्या है?</v>
      </c>
      <c r="H475" s="5" t="str">
        <f>IFERROR(__xludf.DUMMYFUNCTION("GOOGLETRANSLATE(C475, ""en"", ""hi"")"),"A) बुद्धिमानी से रन बनाकर और पासिंग विकल्प प्रदान करके, B) सहायक भूमिकाओं की अनदेखी करके, C) केवल व्यक्तिगत खेल पर ध्यान केंद्रित करके, D) हमलों में शामिल होने से बचना")</f>
        <v>A) बुद्धिमानी से रन बनाकर और पासिंग विकल्प प्रदान करके, B) सहायक भूमिकाओं की अनदेखी करके, C) केवल व्यक्तिगत खेल पर ध्यान केंद्रित करके, D) हमलों में शामिल होने से बचना</v>
      </c>
      <c r="I475" s="5" t="str">
        <f>IFERROR(__xludf.DUMMYFUNCTION("GOOGLETRANSLATE(D475, ""en"", ""hi"")"),"A) बुद्धिमानी से रन बनाकर और पासिंग विकल्प प्रदान करके")</f>
        <v>A) बुद्धिमानी से रन बनाकर और पासिंग विकल्प प्रदान करके</v>
      </c>
    </row>
    <row r="476" ht="22.5" customHeight="1">
      <c r="A476" s="2">
        <v>475.0</v>
      </c>
      <c r="B476" s="3" t="s">
        <v>6542</v>
      </c>
      <c r="C476" s="3" t="s">
        <v>6543</v>
      </c>
      <c r="D476" s="3" t="s">
        <v>6544</v>
      </c>
      <c r="F476" s="5" t="str">
        <f>IFERROR(__xludf.DUMMYFUNCTION("GOOGLETRANSLATE(A476, ""en"", ""hi"")"),"475")</f>
        <v>475</v>
      </c>
      <c r="G476" s="5" t="str">
        <f>IFERROR(__xludf.DUMMYFUNCTION("GOOGLETRANSLATE(B476, ""en"", ""hi"")"),"ढोल खेल में कोई खिलाड़ी अपने गैर-प्रमुख पैर का प्रभावी ढंग से उपयोग कैसे कर सकता है?")</f>
        <v>ढोल खेल में कोई खिलाड़ी अपने गैर-प्रमुख पैर का प्रभावी ढंग से उपयोग कैसे कर सकता है?</v>
      </c>
      <c r="H476" s="5" t="str">
        <f>IFERROR(__xludf.DUMMYFUNCTION("GOOGLETRANSLATE(C476, ""en"", ""hi"")"),"ए) नियंत्रण और बहुमुखी प्रतिभा में सुधार के लिए नियमित रूप से अभ्यास करके, बी) गैर-प्रमुख पैर अभ्यास को अनदेखा करके, सी) केवल प्रमुख पैर पर ध्यान केंद्रित करके, डी) गैर-प्रमुख पैर अभ्यास से बचना")</f>
        <v>ए) नियंत्रण और बहुमुखी प्रतिभा में सुधार के लिए नियमित रूप से अभ्यास करके, बी) गैर-प्रमुख पैर अभ्यास को अनदेखा करके, सी) केवल प्रमुख पैर पर ध्यान केंद्रित करके, डी) गैर-प्रमुख पैर अभ्यास से बचना</v>
      </c>
      <c r="I476" s="5" t="str">
        <f>IFERROR(__xludf.DUMMYFUNCTION("GOOGLETRANSLATE(D476, ""en"", ""hi"")"),"A) नियंत्रण और बहुमुखी प्रतिभा में सुधार के लिए नियमित रूप से अभ्यास करके")</f>
        <v>A) नियंत्रण और बहुमुखी प्रतिभा में सुधार के लिए नियमित रूप से अभ्यास करके</v>
      </c>
    </row>
    <row r="477" ht="22.5" customHeight="1">
      <c r="A477" s="2">
        <v>476.0</v>
      </c>
      <c r="B477" s="3" t="s">
        <v>6545</v>
      </c>
      <c r="C477" s="3" t="s">
        <v>6546</v>
      </c>
      <c r="D477" s="3" t="s">
        <v>6547</v>
      </c>
      <c r="F477" s="5" t="str">
        <f>IFERROR(__xludf.DUMMYFUNCTION("GOOGLETRANSLATE(A477, ""en"", ""hi"")"),"476")</f>
        <v>476</v>
      </c>
      <c r="G477" s="5" t="str">
        <f>IFERROR(__xludf.DUMMYFUNCTION("GOOGLETRANSLATE(B477, ""en"", ""hi"")"),"ढोल खेल में प्रभावी परिवर्तन का एक महत्वपूर्ण पहलू क्या है?")</f>
        <v>ढोल खेल में प्रभावी परिवर्तन का एक महत्वपूर्ण पहलू क्या है?</v>
      </c>
      <c r="H477" s="5" t="str">
        <f>IFERROR(__xludf.DUMMYFUNCTION("GOOGLETRANSLATE(C477, ""en"", ""hi"")"),"A) उद्देश्यपूर्ण और सटीक तरीके से बचाव से आक्रमण की ओर तेजी से बढ़ना, B) संक्रमण खेल की अनदेखी करना, C) केवल व्यक्तिगत प्रदर्शन पर ध्यान केंद्रित करना, D) संक्रमणकालीन गतिविधियों से बचना")</f>
        <v>A) उद्देश्यपूर्ण और सटीक तरीके से बचाव से आक्रमण की ओर तेजी से बढ़ना, B) संक्रमण खेल की अनदेखी करना, C) केवल व्यक्तिगत प्रदर्शन पर ध्यान केंद्रित करना, D) संक्रमणकालीन गतिविधियों से बचना</v>
      </c>
      <c r="I477" s="5" t="str">
        <f>IFERROR(__xludf.DUMMYFUNCTION("GOOGLETRANSLATE(D477, ""en"", ""hi"")"),"A) उद्देश्यपूर्ण और सटीक तरीके से बचाव से आक्रमण की ओर तेजी से बढ़ना")</f>
        <v>A) उद्देश्यपूर्ण और सटीक तरीके से बचाव से आक्रमण की ओर तेजी से बढ़ना</v>
      </c>
    </row>
    <row r="478" ht="22.5" customHeight="1">
      <c r="A478" s="2">
        <v>477.0</v>
      </c>
      <c r="B478" s="3" t="s">
        <v>6548</v>
      </c>
      <c r="C478" s="3" t="s">
        <v>6549</v>
      </c>
      <c r="D478" s="3" t="s">
        <v>6550</v>
      </c>
      <c r="F478" s="5" t="str">
        <f>IFERROR(__xludf.DUMMYFUNCTION("GOOGLETRANSLATE(A478, ""en"", ""hi"")"),"477")</f>
        <v>477</v>
      </c>
      <c r="G478" s="5" t="str">
        <f>IFERROR(__xludf.DUMMYFUNCTION("GOOGLETRANSLATE(B478, ""en"", ""hi"")"),"ढोल खेल में शूटिंग करते समय खिलाड़ी अपनी सटीकता कैसे सुधार सकते हैं?")</f>
        <v>ढोल खेल में शूटिंग करते समय खिलाड़ी अपनी सटीकता कैसे सुधार सकते हैं?</v>
      </c>
      <c r="H478" s="5" t="str">
        <f>IFERROR(__xludf.DUMMYFUNCTION("GOOGLETRANSLATE(C478, ""en"", ""hi"")"),"A) विभिन्न कोणों से अभ्यास करके और सही तकनीक का उपयोग करके, B) शूटिंग अभ्यास की उपेक्षा करके, C) केवल शक्ति पर ध्यान केंद्रित करके, D) सटीकता अभ्यास से बचना")</f>
        <v>A) विभिन्न कोणों से अभ्यास करके और सही तकनीक का उपयोग करके, B) शूटिंग अभ्यास की उपेक्षा करके, C) केवल शक्ति पर ध्यान केंद्रित करके, D) सटीकता अभ्यास से बचना</v>
      </c>
      <c r="I478" s="5" t="str">
        <f>IFERROR(__xludf.DUMMYFUNCTION("GOOGLETRANSLATE(D478, ""en"", ""hi"")"),"A) विभिन्न कोणों से अभ्यास करके और सही तकनीक का उपयोग करके")</f>
        <v>A) विभिन्न कोणों से अभ्यास करके और सही तकनीक का उपयोग करके</v>
      </c>
    </row>
    <row r="479" ht="22.5" customHeight="1">
      <c r="A479" s="2">
        <v>478.0</v>
      </c>
      <c r="B479" s="3" t="s">
        <v>6551</v>
      </c>
      <c r="C479" s="3" t="s">
        <v>6552</v>
      </c>
      <c r="D479" s="3" t="s">
        <v>6553</v>
      </c>
      <c r="F479" s="5" t="str">
        <f>IFERROR(__xludf.DUMMYFUNCTION("GOOGLETRANSLATE(A479, ""en"", ""hi"")"),"478")</f>
        <v>478</v>
      </c>
      <c r="G479" s="5" t="str">
        <f>IFERROR(__xludf.DUMMYFUNCTION("GOOGLETRANSLATE(B479, ""en"", ""hi"")"),"ढोल खेल में प्रतिद्वंद्वी को चिह्नित करने की मुख्य रणनीति क्या है?")</f>
        <v>ढोल खेल में प्रतिद्वंद्वी को चिह्नित करने की मुख्य रणनीति क्या है?</v>
      </c>
      <c r="H479" s="5" t="str">
        <f>IFERROR(__xludf.DUMMYFUNCTION("GOOGLETRANSLATE(C479, ""en"", ""hi"")"),"A) करीब रहना, उनकी गतिविधियों का पूर्वानुमान लगाना और उनके विकल्पों को सीमित करना, B) मार्किंग रणनीतियों की अनदेखी करना, C) केवल आक्रमण पर ध्यान केंद्रित करना, D) रक्षात्मक जिम्मेदारियों से बचना")</f>
        <v>A) करीब रहना, उनकी गतिविधियों का पूर्वानुमान लगाना और उनके विकल्पों को सीमित करना, B) मार्किंग रणनीतियों की अनदेखी करना, C) केवल आक्रमण पर ध्यान केंद्रित करना, D) रक्षात्मक जिम्मेदारियों से बचना</v>
      </c>
      <c r="I479" s="5" t="str">
        <f>IFERROR(__xludf.DUMMYFUNCTION("GOOGLETRANSLATE(D479, ""en"", ""hi"")"),"A) करीब रहना, उनकी गतिविधियों का पूर्वानुमान लगाना, और उनके विकल्पों को सीमित करना")</f>
        <v>A) करीब रहना, उनकी गतिविधियों का पूर्वानुमान लगाना, और उनके विकल्पों को सीमित करना</v>
      </c>
    </row>
    <row r="480" ht="22.5" customHeight="1">
      <c r="A480" s="2">
        <v>479.0</v>
      </c>
      <c r="B480" s="3" t="s">
        <v>6554</v>
      </c>
      <c r="C480" s="3" t="s">
        <v>6555</v>
      </c>
      <c r="D480" s="3" t="s">
        <v>6556</v>
      </c>
      <c r="F480" s="5" t="str">
        <f>IFERROR(__xludf.DUMMYFUNCTION("GOOGLETRANSLATE(A480, ""en"", ""hi"")"),"479")</f>
        <v>479</v>
      </c>
      <c r="G480" s="5" t="str">
        <f>IFERROR(__xludf.DUMMYFUNCTION("GOOGLETRANSLATE(B480, ""en"", ""hi"")"),"ढोल खेल में ऊंचा पास प्राप्त करते समय खिलाड़ी को क्या करना चाहिए?")</f>
        <v>ढोल खेल में ऊंचा पास प्राप्त करते समय खिलाड़ी को क्या करना चाहिए?</v>
      </c>
      <c r="H480" s="5" t="str">
        <f>IFERROR(__xludf.DUMMYFUNCTION("GOOGLETRANSLATE(C480, ""en"", ""hi"")"),"A) गेंद को सहारा देने के लिए अपने शरीर को स्थिति में रखना और नियंत्रण के लिए तैयार रहना, B) गेंद को नजरअंदाज करना, C) केवल पास देने पर ध्यान केंद्रित करना, D) गेंद को लेने में देरी करना")</f>
        <v>A) गेंद को सहारा देने के लिए अपने शरीर को स्थिति में रखना और नियंत्रण के लिए तैयार रहना, B) गेंद को नजरअंदाज करना, C) केवल पास देने पर ध्यान केंद्रित करना, D) गेंद को लेने में देरी करना</v>
      </c>
      <c r="I480" s="5" t="str">
        <f>IFERROR(__xludf.DUMMYFUNCTION("GOOGLETRANSLATE(D480, ""en"", ""hi"")"),"A) गेंद को सहारा देने के लिए अपने शरीर को स्थिति में रखें और नियंत्रण के लिए तैयार रहें")</f>
        <v>A) गेंद को सहारा देने के लिए अपने शरीर को स्थिति में रखें और नियंत्रण के लिए तैयार रहें</v>
      </c>
    </row>
    <row r="481" ht="22.5" customHeight="1">
      <c r="A481" s="2">
        <v>480.0</v>
      </c>
      <c r="B481" s="3" t="s">
        <v>6557</v>
      </c>
      <c r="C481" s="3" t="s">
        <v>6558</v>
      </c>
      <c r="D481" s="3" t="s">
        <v>6559</v>
      </c>
      <c r="F481" s="5" t="str">
        <f>IFERROR(__xludf.DUMMYFUNCTION("GOOGLETRANSLATE(A481, ""en"", ""hi"")"),"480")</f>
        <v>480</v>
      </c>
      <c r="G481" s="5" t="str">
        <f>IFERROR(__xludf.DUMMYFUNCTION("GOOGLETRANSLATE(B481, ""en"", ""hi"")"),"ढोल खेल में मैच के दौरान खिलाड़ी थकान का प्रभावी ढंग से प्रबंधन कैसे कर सकता है?")</f>
        <v>ढोल खेल में मैच के दौरान खिलाड़ी थकान का प्रभावी ढंग से प्रबंधन कैसे कर सकता है?</v>
      </c>
      <c r="H481" s="5" t="str">
        <f>IFERROR(__xludf.DUMMYFUNCTION("GOOGLETRANSLATE(C481, ""en"", ""hi"")"),"ए) उचित जलयोजन, पोषण बनाए रखना और अपने प्रयासों की गति को नियंत्रित करना, बी) थकान प्रबंधन की अनदेखी करना, सी) केवल तीव्रता पर ध्यान केंद्रित करना, डी) आराम के अवकाश से बचना")</f>
        <v>ए) उचित जलयोजन, पोषण बनाए रखना और अपने प्रयासों की गति को नियंत्रित करना, बी) थकान प्रबंधन की अनदेखी करना, सी) केवल तीव्रता पर ध्यान केंद्रित करना, डी) आराम के अवकाश से बचना</v>
      </c>
      <c r="I481" s="5" t="str">
        <f>IFERROR(__xludf.DUMMYFUNCTION("GOOGLETRANSLATE(D481, ""en"", ""hi"")"),"A) उचित जलयोजन, पोषण बनाए रखकर और अपने प्रयासों की गति को नियंत्रित करके")</f>
        <v>A) उचित जलयोजन, पोषण बनाए रखकर और अपने प्रयासों की गति को नियंत्रित करके</v>
      </c>
    </row>
    <row r="482" ht="22.5" customHeight="1">
      <c r="A482" s="2">
        <v>481.0</v>
      </c>
      <c r="B482" s="3" t="s">
        <v>6560</v>
      </c>
      <c r="C482" s="3" t="s">
        <v>6561</v>
      </c>
      <c r="D482" s="3" t="s">
        <v>6562</v>
      </c>
      <c r="F482" s="5" t="str">
        <f>IFERROR(__xludf.DUMMYFUNCTION("GOOGLETRANSLATE(A482, ""en"", ""hi"")"),"481")</f>
        <v>481</v>
      </c>
      <c r="G482" s="5" t="str">
        <f>IFERROR(__xludf.DUMMYFUNCTION("GOOGLETRANSLATE(B482, ""en"", ""hi"")"),"ढोल खेल में गोलकीपिंग पोजिशनिंग का एक महत्वपूर्ण पहलू क्या है?")</f>
        <v>ढोल खेल में गोलकीपिंग पोजिशनिंग का एक महत्वपूर्ण पहलू क्या है?</v>
      </c>
      <c r="H482" s="5" t="str">
        <f>IFERROR(__xludf.DUMMYFUNCTION("GOOGLETRANSLATE(C482, ""en"", ""hi"")"),"A) गोल में केंद्र में स्थिति बनाना और गेंद के स्थान के आधार पर समायोजन करना, B) स्थिति की अनदेखी करना, C) केवल बचाव पर ध्यान केंद्रित करना, D) स्थिति समायोजन से बचना")</f>
        <v>A) गोल में केंद्र में स्थिति बनाना और गेंद के स्थान के आधार पर समायोजन करना, B) स्थिति की अनदेखी करना, C) केवल बचाव पर ध्यान केंद्रित करना, D) स्थिति समायोजन से बचना</v>
      </c>
      <c r="I482" s="5" t="str">
        <f>IFERROR(__xludf.DUMMYFUNCTION("GOOGLETRANSLATE(D482, ""en"", ""hi"")"),"ए) गोल में केंद्रीय स्थिति बनाना और गेंद के स्थान के आधार पर समायोजन करना")</f>
        <v>ए) गोल में केंद्रीय स्थिति बनाना और गेंद के स्थान के आधार पर समायोजन करना</v>
      </c>
    </row>
    <row r="483" ht="22.5" customHeight="1">
      <c r="A483" s="2">
        <v>482.0</v>
      </c>
      <c r="B483" s="3" t="s">
        <v>6563</v>
      </c>
      <c r="C483" s="3" t="s">
        <v>6564</v>
      </c>
      <c r="D483" s="3" t="s">
        <v>6565</v>
      </c>
      <c r="F483" s="5" t="str">
        <f>IFERROR(__xludf.DUMMYFUNCTION("GOOGLETRANSLATE(A483, ""en"", ""hi"")"),"482")</f>
        <v>482</v>
      </c>
      <c r="G483" s="5" t="str">
        <f>IFERROR(__xludf.DUMMYFUNCTION("GOOGLETRANSLATE(B483, ""en"", ""hi"")"),"ढोल खेल में एक टीम किस प्रकार एक उच्च दबाव वाले प्रतिद्वंद्वी का प्रभावी ढंग से मुकाबला कर सकती है?")</f>
        <v>ढोल खेल में एक टीम किस प्रकार एक उच्च दबाव वाले प्रतिद्वंद्वी का प्रभावी ढंग से मुकाबला कर सकती है?</v>
      </c>
      <c r="H483" s="5" t="str">
        <f>IFERROR(__xludf.DUMMYFUNCTION("GOOGLETRANSLATE(C483, ""en"", ""hi"")"),"A) त्वरित, छोटे पास का उपयोग करके और दबाव को कम करने के लिए जगह बनाकर, B) उच्च दबाव रणनीतियों की अनदेखी करके, C) केवल लंबे पास पर ध्यान केंद्रित करके, D) त्वरित पासिंग से बचना")</f>
        <v>A) त्वरित, छोटे पास का उपयोग करके और दबाव को कम करने के लिए जगह बनाकर, B) उच्च दबाव रणनीतियों की अनदेखी करके, C) केवल लंबे पास पर ध्यान केंद्रित करके, D) त्वरित पासिंग से बचना</v>
      </c>
      <c r="I483" s="5" t="str">
        <f>IFERROR(__xludf.DUMMYFUNCTION("GOOGLETRANSLATE(D483, ""en"", ""hi"")"),"A) त्वरित, छोटे पास का उपयोग करके और दबाव को कम करने के लिए जगह बनाकर")</f>
        <v>A) त्वरित, छोटे पास का उपयोग करके और दबाव को कम करने के लिए जगह बनाकर</v>
      </c>
    </row>
    <row r="484" ht="22.5" customHeight="1">
      <c r="A484" s="2">
        <v>483.0</v>
      </c>
      <c r="B484" s="3" t="s">
        <v>6566</v>
      </c>
      <c r="C484" s="3" t="s">
        <v>6567</v>
      </c>
      <c r="D484" s="3" t="s">
        <v>6568</v>
      </c>
      <c r="F484" s="5" t="str">
        <f>IFERROR(__xludf.DUMMYFUNCTION("GOOGLETRANSLATE(A484, ""en"", ""hi"")"),"483")</f>
        <v>483</v>
      </c>
      <c r="G484" s="5" t="str">
        <f>IFERROR(__xludf.DUMMYFUNCTION("GOOGLETRANSLATE(B484, ""en"", ""hi"")"),"ढोल खेल में सफल ड्रिबल प्रदर्शन के लिए मुख्य कारक क्या है?")</f>
        <v>ढोल खेल में सफल ड्रिबल प्रदर्शन के लिए मुख्य कारक क्या है?</v>
      </c>
      <c r="H484" s="5" t="str">
        <f>IFERROR(__xludf.DUMMYFUNCTION("GOOGLETRANSLATE(C484, ""en"", ""hi"")"),"A) नियंत्रित स्पर्श और दिशा में त्वरित परिवर्तन का उपयोग करना, B) ड्रिब्लिंग तकनीक की अनदेखी करना, C) केवल गति पर ध्यान केंद्रित करना, D) ड्रिब्लिंग में देरी करना")</f>
        <v>A) नियंत्रित स्पर्श और दिशा में त्वरित परिवर्तन का उपयोग करना, B) ड्रिब्लिंग तकनीक की अनदेखी करना, C) केवल गति पर ध्यान केंद्रित करना, D) ड्रिब्लिंग में देरी करना</v>
      </c>
      <c r="I484" s="5" t="str">
        <f>IFERROR(__xludf.DUMMYFUNCTION("GOOGLETRANSLATE(D484, ""en"", ""hi"")"),"A) नियंत्रित स्पर्श और दिशा में त्वरित परिवर्तन का उपयोग करना")</f>
        <v>A) नियंत्रित स्पर्श और दिशा में त्वरित परिवर्तन का उपयोग करना</v>
      </c>
    </row>
    <row r="485" ht="22.5" customHeight="1">
      <c r="A485" s="2">
        <v>484.0</v>
      </c>
      <c r="B485" s="3" t="s">
        <v>6569</v>
      </c>
      <c r="C485" s="3" t="s">
        <v>6570</v>
      </c>
      <c r="D485" s="3" t="s">
        <v>6571</v>
      </c>
      <c r="F485" s="5" t="str">
        <f>IFERROR(__xludf.DUMMYFUNCTION("GOOGLETRANSLATE(A485, ""en"", ""hi"")"),"484")</f>
        <v>484</v>
      </c>
      <c r="G485" s="5" t="str">
        <f>IFERROR(__xludf.DUMMYFUNCTION("GOOGLETRANSLATE(B485, ""en"", ""hi"")"),"ढोल खेल में एक खिलाड़ी अपनी समग्र खेल रणनीति को प्रभावी ढंग से कैसे सुधार सकता है?")</f>
        <v>ढोल खेल में एक खिलाड़ी अपनी समग्र खेल रणनीति को प्रभावी ढंग से कैसे सुधार सकता है?</v>
      </c>
      <c r="H485" s="5" t="str">
        <f>IFERROR(__xludf.DUMMYFUNCTION("GOOGLETRANSLATE(C485, ""en"", ""hi"")"),"A) खेल फुटेज का विश्लेषण करके, विभिन्न रणनीतियों को समझकर, और सीखी गई रणनीतियों को लागू करके, B) खेल रणनीति की अनदेखी करके, C) केवल व्यक्तिगत कौशल पर ध्यान केंद्रित करके, D) खेल विश्लेषण से बचना")</f>
        <v>A) खेल फुटेज का विश्लेषण करके, विभिन्न रणनीतियों को समझकर, और सीखी गई रणनीतियों को लागू करके, B) खेल रणनीति की अनदेखी करके, C) केवल व्यक्तिगत कौशल पर ध्यान केंद्रित करके, D) खेल विश्लेषण से बचना</v>
      </c>
      <c r="I485" s="5" t="str">
        <f>IFERROR(__xludf.DUMMYFUNCTION("GOOGLETRANSLATE(D485, ""en"", ""hi"")"),"A) खेल फुटेज का विश्लेषण करके, विभिन्न रणनीतियों को समझकर, और सीखी गई रणनीतियों को लागू करके")</f>
        <v>A) खेल फुटेज का विश्लेषण करके, विभिन्न रणनीतियों को समझकर, और सीखी गई रणनीतियों को लागू करके</v>
      </c>
    </row>
    <row r="486" ht="22.5" customHeight="1">
      <c r="A486" s="2">
        <v>485.0</v>
      </c>
      <c r="B486" s="3" t="s">
        <v>6572</v>
      </c>
      <c r="C486" s="3" t="s">
        <v>6573</v>
      </c>
      <c r="D486" s="3" t="s">
        <v>6574</v>
      </c>
      <c r="F486" s="5" t="str">
        <f>IFERROR(__xludf.DUMMYFUNCTION("GOOGLETRANSLATE(A486, ""en"", ""hi"")"),"485")</f>
        <v>485</v>
      </c>
      <c r="G486" s="5" t="str">
        <f>IFERROR(__xludf.DUMMYFUNCTION("GOOGLETRANSLATE(B486, ""en"", ""hi"")"),"ढोल खेल में थ्रो-इन को वैध बनाने के लिए इसे निष्पादित करते समय मुख्य विचार क्या है?")</f>
        <v>ढोल खेल में थ्रो-इन को वैध बनाने के लिए इसे निष्पादित करते समय मुख्य विचार क्या है?</v>
      </c>
      <c r="H486" s="5" t="str">
        <f>IFERROR(__xludf.DUMMYFUNCTION("GOOGLETRANSLATE(C486, ""en"", ""hi"")"),"A) सिर के पीछे से दोनों हाथों से फेंकना और दोनों पैरों को ज़मीन पर रखना, B) थ्रो-इन नियमों की अनदेखी करना, C) केवल दूरी पर ध्यान केंद्रित करना, D) थ्रो में देरी करना")</f>
        <v>A) सिर के पीछे से दोनों हाथों से फेंकना और दोनों पैरों को ज़मीन पर रखना, B) थ्रो-इन नियमों की अनदेखी करना, C) केवल दूरी पर ध्यान केंद्रित करना, D) थ्रो में देरी करना</v>
      </c>
      <c r="I486" s="5" t="str">
        <f>IFERROR(__xludf.DUMMYFUNCTION("GOOGLETRANSLATE(D486, ""en"", ""hi"")"),"A) सिर के पीछे से दोनों हाथों से फेंकना और दोनों पैरों को ज़मीन पर रखना")</f>
        <v>A) सिर के पीछे से दोनों हाथों से फेंकना और दोनों पैरों को ज़मीन पर रखना</v>
      </c>
    </row>
    <row r="487" ht="22.5" customHeight="1">
      <c r="A487" s="2">
        <v>486.0</v>
      </c>
      <c r="B487" s="3" t="s">
        <v>6575</v>
      </c>
      <c r="C487" s="3" t="s">
        <v>6460</v>
      </c>
      <c r="D487" s="3" t="s">
        <v>6461</v>
      </c>
      <c r="F487" s="5" t="str">
        <f>IFERROR(__xludf.DUMMYFUNCTION("GOOGLETRANSLATE(A487, ""en"", ""hi"")"),"486")</f>
        <v>486</v>
      </c>
      <c r="G487" s="5" t="str">
        <f>IFERROR(__xludf.DUMMYFUNCTION("GOOGLETRANSLATE(B487, ""en"", ""hi"")"),"ढोल खेल में एक खिलाड़ी प्रतिद्वंद्वी से गेंद को बचाने के लिए अपने शरीर का प्रभावी ढंग से उपयोग कैसे कर सकता है?")</f>
        <v>ढोल खेल में एक खिलाड़ी प्रतिद्वंद्वी से गेंद को बचाने के लिए अपने शरीर का प्रभावी ढंग से उपयोग कैसे कर सकता है?</v>
      </c>
      <c r="H487" s="5" t="str">
        <f>IFERROR(__xludf.DUMMYFUNCTION("GOOGLETRANSLATE(C487, ""en"", ""hi"")"),"A) गेंद और प्रतिद्वंद्वी के बीच अपने शरीर को रखकर, B) ढाल तकनीकों की अनदेखी करके, C) केवल ड्रिब्लिंग पर ध्यान केंद्रित करके, D) शरीर की स्थिति के अभ्यास से बचना")</f>
        <v>A) गेंद और प्रतिद्वंद्वी के बीच अपने शरीर को रखकर, B) ढाल तकनीकों की अनदेखी करके, C) केवल ड्रिब्लिंग पर ध्यान केंद्रित करके, D) शरीर की स्थिति के अभ्यास से बचना</v>
      </c>
      <c r="I487" s="5" t="str">
        <f>IFERROR(__xludf.DUMMYFUNCTION("GOOGLETRANSLATE(D487, ""en"", ""hi"")"),"A) गेंद और प्रतिद्वंद्वी के बीच अपना शरीर रखकर")</f>
        <v>A) गेंद और प्रतिद्वंद्वी के बीच अपना शरीर रखकर</v>
      </c>
    </row>
    <row r="488" ht="22.5" customHeight="1">
      <c r="A488" s="2">
        <v>487.0</v>
      </c>
      <c r="B488" s="3" t="s">
        <v>6576</v>
      </c>
      <c r="C488" s="3" t="s">
        <v>6577</v>
      </c>
      <c r="D488" s="3" t="s">
        <v>6578</v>
      </c>
      <c r="F488" s="5" t="str">
        <f>IFERROR(__xludf.DUMMYFUNCTION("GOOGLETRANSLATE(A488, ""en"", ""hi"")"),"487")</f>
        <v>487</v>
      </c>
      <c r="G488" s="5" t="str">
        <f>IFERROR(__xludf.DUMMYFUNCTION("GOOGLETRANSLATE(B488, ""en"", ""hi"")"),"ढोल खेल में पासिंग सटीकता में सुधार के लिए प्रभावी तरीका क्या है?")</f>
        <v>ढोल खेल में पासिंग सटीकता में सुधार के लिए प्रभावी तरीका क्या है?</v>
      </c>
      <c r="H488" s="5" t="str">
        <f>IFERROR(__xludf.DUMMYFUNCTION("GOOGLETRANSLATE(C488, ""en"", ""hi"")"),"A) विभिन्न स्तरों की शक्ति और सटीकता के साथ पास का अभ्यास करना, B) पासिंग अभ्यास की उपेक्षा करना, C) केवल ड्रिब्लिंग पर ध्यान केंद्रित करना, D) सटीकता अभ्यास से बचना")</f>
        <v>A) विभिन्न स्तरों की शक्ति और सटीकता के साथ पास का अभ्यास करना, B) पासिंग अभ्यास की उपेक्षा करना, C) केवल ड्रिब्लिंग पर ध्यान केंद्रित करना, D) सटीकता अभ्यास से बचना</v>
      </c>
      <c r="I488" s="5" t="str">
        <f>IFERROR(__xludf.DUMMYFUNCTION("GOOGLETRANSLATE(D488, ""en"", ""hi"")"),"A) विभिन्न स्तरों की शक्ति और सटीकता के साथ पास का अभ्यास करना")</f>
        <v>A) विभिन्न स्तरों की शक्ति और सटीकता के साथ पास का अभ्यास करना</v>
      </c>
    </row>
    <row r="489" ht="22.5" customHeight="1">
      <c r="A489" s="2">
        <v>488.0</v>
      </c>
      <c r="B489" s="3" t="s">
        <v>6579</v>
      </c>
      <c r="C489" s="3" t="s">
        <v>6580</v>
      </c>
      <c r="D489" s="3" t="s">
        <v>6581</v>
      </c>
      <c r="F489" s="5" t="str">
        <f>IFERROR(__xludf.DUMMYFUNCTION("GOOGLETRANSLATE(A489, ""en"", ""hi"")"),"488")</f>
        <v>488</v>
      </c>
      <c r="G489" s="5" t="str">
        <f>IFERROR(__xludf.DUMMYFUNCTION("GOOGLETRANSLATE(B489, ""en"", ""hi"")"),"ढोल खेल में एक खिलाड़ी को रक्षात्मक 50-50 गेंद की स्थिति में कैसे खेलना चाहिए?")</f>
        <v>ढोल खेल में एक खिलाड़ी को रक्षात्मक 50-50 गेंद की स्थिति में कैसे खेलना चाहिए?</v>
      </c>
      <c r="H489" s="5" t="str">
        <f>IFERROR(__xludf.DUMMYFUNCTION("GOOGLETRANSLATE(C489, ""en"", ""hi"")"),"A) अपनी चुनौती का सही समय पर सामना करके और गेंद जीतने के लिए दृढ़ निश्चयी होकर, B) चुनौती को नज़रअंदाज़ करके, C) केवल संपर्क से बचने पर ध्यान केंद्रित करके, D) 50-50 स्थितियों से बचकर")</f>
        <v>A) अपनी चुनौती का सही समय पर सामना करके और गेंद जीतने के लिए दृढ़ निश्चयी होकर, B) चुनौती को नज़रअंदाज़ करके, C) केवल संपर्क से बचने पर ध्यान केंद्रित करके, D) 50-50 स्थितियों से बचकर</v>
      </c>
      <c r="I489" s="5" t="str">
        <f>IFERROR(__xludf.DUMMYFUNCTION("GOOGLETRANSLATE(D489, ""en"", ""hi"")"),"A) अपनी चुनौती का सही समय पर सामना करके और गेंद जीतने के लिए दृढ़ निश्चयी होकर")</f>
        <v>A) अपनी चुनौती का सही समय पर सामना करके और गेंद जीतने के लिए दृढ़ निश्चयी होकर</v>
      </c>
    </row>
    <row r="490" ht="22.5" customHeight="1">
      <c r="A490" s="2">
        <v>489.0</v>
      </c>
      <c r="B490" s="3" t="s">
        <v>6582</v>
      </c>
      <c r="C490" s="3" t="s">
        <v>6583</v>
      </c>
      <c r="D490" s="3" t="s">
        <v>6584</v>
      </c>
      <c r="F490" s="5" t="str">
        <f>IFERROR(__xludf.DUMMYFUNCTION("GOOGLETRANSLATE(A490, ""en"", ""hi"")"),"489")</f>
        <v>489</v>
      </c>
      <c r="G490" s="5" t="str">
        <f>IFERROR(__xludf.DUMMYFUNCTION("GOOGLETRANSLATE(B490, ""en"", ""hi"")"),"ढोल खेल में विभिन्न मौसम स्थितियों में प्रभावी ढंग से खेलने का एक महत्वपूर्ण पहलू क्या है?")</f>
        <v>ढोल खेल में विभिन्न मौसम स्थितियों में प्रभावी ढंग से खेलने का एक महत्वपूर्ण पहलू क्या है?</v>
      </c>
      <c r="H490" s="5" t="str">
        <f>IFERROR(__xludf.DUMMYFUNCTION("GOOGLETRANSLATE(C490, ""en"", ""hi"")"),"A) परिस्थितियों के अनुसार रणनीति और तकनीकों को अनुकूलित करना, जैसे पासिंग और गेंद नियंत्रण को समायोजित करना, B) मौसम की स्थिति को अनदेखा करना, C) केवल तकनीक पर ध्यान केंद्रित करना, D) अनुकूलन से बचना")</f>
        <v>A) परिस्थितियों के अनुसार रणनीति और तकनीकों को अनुकूलित करना, जैसे पासिंग और गेंद नियंत्रण को समायोजित करना, B) मौसम की स्थिति को अनदेखा करना, C) केवल तकनीक पर ध्यान केंद्रित करना, D) अनुकूलन से बचना</v>
      </c>
      <c r="I490" s="5" t="str">
        <f>IFERROR(__xludf.DUMMYFUNCTION("GOOGLETRANSLATE(D490, ""en"", ""hi"")"),"A) परिस्थितियों के अनुसार रणनीति और तकनीकों को अनुकूलित करना, जैसे पासिंग और गेंद नियंत्रण को समायोजित करना")</f>
        <v>A) परिस्थितियों के अनुसार रणनीति और तकनीकों को अनुकूलित करना, जैसे पासिंग और गेंद नियंत्रण को समायोजित करना</v>
      </c>
    </row>
    <row r="491" ht="22.5" customHeight="1">
      <c r="A491" s="2">
        <v>490.0</v>
      </c>
      <c r="B491" s="3" t="s">
        <v>6585</v>
      </c>
      <c r="C491" s="3" t="s">
        <v>6586</v>
      </c>
      <c r="D491" s="3" t="s">
        <v>6587</v>
      </c>
      <c r="F491" s="5" t="str">
        <f>IFERROR(__xludf.DUMMYFUNCTION("GOOGLETRANSLATE(A491, ""en"", ""hi"")"),"490")</f>
        <v>490</v>
      </c>
      <c r="G491" s="5" t="str">
        <f>IFERROR(__xludf.DUMMYFUNCTION("GOOGLETRANSLATE(B491, ""en"", ""hi"")"),"ढोल खेल में एक खिलाड़ी आमने-सामने की स्थिति में अपने कौशल को कैसे बढ़ा सकता है?")</f>
        <v>ढोल खेल में एक खिलाड़ी आमने-सामने की स्थिति में अपने कौशल को कैसे बढ़ा सकता है?</v>
      </c>
      <c r="H491" s="5" t="str">
        <f>IFERROR(__xludf.DUMMYFUNCTION("GOOGLETRANSLATE(C491, ""en"", ""hi"")"),"A) त्वरित फुटवर्क, करीबी नियंत्रण और निर्णय लेने का अभ्यास करके, B) एक-पर-एक अभ्यास की अनदेखी करके, C) केवल पासिंग पर ध्यान केंद्रित करके, D) अभ्यास से बचना")</f>
        <v>A) त्वरित फुटवर्क, करीबी नियंत्रण और निर्णय लेने का अभ्यास करके, B) एक-पर-एक अभ्यास की अनदेखी करके, C) केवल पासिंग पर ध्यान केंद्रित करके, D) अभ्यास से बचना</v>
      </c>
      <c r="I491" s="5" t="str">
        <f>IFERROR(__xludf.DUMMYFUNCTION("GOOGLETRANSLATE(D491, ""en"", ""hi"")"),"A) त्वरित फुटवर्क, करीबी नियंत्रण और निर्णय लेने का अभ्यास करके")</f>
        <v>A) त्वरित फुटवर्क, करीबी नियंत्रण और निर्णय लेने का अभ्यास करके</v>
      </c>
    </row>
    <row r="492" ht="22.5" customHeight="1">
      <c r="A492" s="2">
        <v>491.0</v>
      </c>
      <c r="B492" s="3" t="s">
        <v>6588</v>
      </c>
      <c r="C492" s="3" t="s">
        <v>6589</v>
      </c>
      <c r="D492" s="3" t="s">
        <v>6590</v>
      </c>
      <c r="F492" s="5" t="str">
        <f>IFERROR(__xludf.DUMMYFUNCTION("GOOGLETRANSLATE(A492, ""en"", ""hi"")"),"491")</f>
        <v>491</v>
      </c>
      <c r="G492" s="5" t="str">
        <f>IFERROR(__xludf.DUMMYFUNCTION("GOOGLETRANSLATE(B492, ""en"", ""hi"")"),"ढोल खेल में गोल किक को प्रभावी ढंग से निष्पादित करने के लिए मुख्य विचार क्या है?")</f>
        <v>ढोल खेल में गोल किक को प्रभावी ढंग से निष्पादित करने के लिए मुख्य विचार क्या है?</v>
      </c>
      <c r="H492" s="5" t="str">
        <f>IFERROR(__xludf.DUMMYFUNCTION("GOOGLETRANSLATE(C492, ""en"", ""hi"")"),"A) टीम के साथियों और विरोधियों की स्थिति को ध्यान में रखते हुए वांछित लक्ष्य क्षेत्र पर सटीक किक करना, B) सटीकता की अनदेखी करना, C) केवल शक्ति पर ध्यान केंद्रित करना, D) किक में देरी करना")</f>
        <v>A) टीम के साथियों और विरोधियों की स्थिति को ध्यान में रखते हुए वांछित लक्ष्य क्षेत्र पर सटीक किक करना, B) सटीकता की अनदेखी करना, C) केवल शक्ति पर ध्यान केंद्रित करना, D) किक में देरी करना</v>
      </c>
      <c r="I492" s="5" t="str">
        <f>IFERROR(__xludf.DUMMYFUNCTION("GOOGLETRANSLATE(D492, ""en"", ""hi"")"),"A) टीम के साथियों और विरोधियों की स्थिति को ध्यान में रखते हुए वांछित लक्ष्य क्षेत्र पर सटीक किक मारना")</f>
        <v>A) टीम के साथियों और विरोधियों की स्थिति को ध्यान में रखते हुए वांछित लक्ष्य क्षेत्र पर सटीक किक मारना</v>
      </c>
    </row>
    <row r="493" ht="22.5" customHeight="1">
      <c r="A493" s="2">
        <v>492.0</v>
      </c>
      <c r="B493" s="3" t="s">
        <v>6591</v>
      </c>
      <c r="C493" s="3" t="s">
        <v>6592</v>
      </c>
      <c r="D493" s="3" t="s">
        <v>6593</v>
      </c>
      <c r="F493" s="5" t="str">
        <f>IFERROR(__xludf.DUMMYFUNCTION("GOOGLETRANSLATE(A493, ""en"", ""hi"")"),"492")</f>
        <v>492</v>
      </c>
      <c r="G493" s="5" t="str">
        <f>IFERROR(__xludf.DUMMYFUNCTION("GOOGLETRANSLATE(B493, ""en"", ""hi"")"),"ढोल खेल में गेमप्ले को बेहतर बनाने के लिए कोई खिलाड़ी अपनी दृष्टि का प्रभावी ढंग से उपयोग कैसे कर सकता है?")</f>
        <v>ढोल खेल में गेमप्ले को बेहतर बनाने के लिए कोई खिलाड़ी अपनी दृष्टि का प्रभावी ढंग से उपयोग कैसे कर सकता है?</v>
      </c>
      <c r="H493" s="5" t="str">
        <f>IFERROR(__xludf.DUMMYFUNCTION("GOOGLETRANSLATE(C493, ""en"", ""hi"")"),"A) लगातार मैदान को स्कैन करना और उपलब्ध जानकारी के आधार पर सूचित निर्णय लेना, B) मैदान की दृष्टि को अनदेखा करना, C) केवल गेंद पर नियंत्रण पर ध्यान केंद्रित करना, D) दृष्टि अभ्यास से बचना")</f>
        <v>A) लगातार मैदान को स्कैन करना और उपलब्ध जानकारी के आधार पर सूचित निर्णय लेना, B) मैदान की दृष्टि को अनदेखा करना, C) केवल गेंद पर नियंत्रण पर ध्यान केंद्रित करना, D) दृष्टि अभ्यास से बचना</v>
      </c>
      <c r="I493" s="5" t="str">
        <f>IFERROR(__xludf.DUMMYFUNCTION("GOOGLETRANSLATE(D493, ""en"", ""hi"")"),"A) क्षेत्र का लगातार निरीक्षण करके और उपलब्ध जानकारी के आधार पर सूचित निर्णय लेकर")</f>
        <v>A) क्षेत्र का लगातार निरीक्षण करके और उपलब्ध जानकारी के आधार पर सूचित निर्णय लेकर</v>
      </c>
    </row>
    <row r="494" ht="22.5" customHeight="1">
      <c r="A494" s="2">
        <v>493.0</v>
      </c>
      <c r="B494" s="3" t="s">
        <v>6594</v>
      </c>
      <c r="C494" s="3" t="s">
        <v>6595</v>
      </c>
      <c r="D494" s="3" t="s">
        <v>6596</v>
      </c>
      <c r="F494" s="5" t="str">
        <f>IFERROR(__xludf.DUMMYFUNCTION("GOOGLETRANSLATE(A494, ""en"", ""hi"")"),"493")</f>
        <v>493</v>
      </c>
      <c r="G494" s="5" t="str">
        <f>IFERROR(__xludf.DUMMYFUNCTION("GOOGLETRANSLATE(B494, ""en"", ""hi"")"),"ढोल खेल में डिफेंडर के लिए पोजिशनिंग का एक महत्वपूर्ण पहलू क्या है?")</f>
        <v>ढोल खेल में डिफेंडर के लिए पोजिशनिंग का एक महत्वपूर्ण पहलू क्या है?</v>
      </c>
      <c r="H494" s="5" t="str">
        <f>IFERROR(__xludf.DUMMYFUNCTION("GOOGLETRANSLATE(C494, ""en"", ""hi"")"),"A) हमलावर के गोल की ओर रहना और उचित दूरी बनाए रखना, B) स्थिति की अनदेखी करना, C) केवल आक्रामकता पर ध्यान केंद्रित करना, D) स्थिति समायोजन से बचना")</f>
        <v>A) हमलावर के गोल की ओर रहना और उचित दूरी बनाए रखना, B) स्थिति की अनदेखी करना, C) केवल आक्रामकता पर ध्यान केंद्रित करना, D) स्थिति समायोजन से बचना</v>
      </c>
      <c r="I494" s="5" t="str">
        <f>IFERROR(__xludf.DUMMYFUNCTION("GOOGLETRANSLATE(D494, ""en"", ""hi"")"),"A) हमलावर के गोल की ओर रहना और उचित दूरी बनाए रखना")</f>
        <v>A) हमलावर के गोल की ओर रहना और उचित दूरी बनाए रखना</v>
      </c>
    </row>
    <row r="495" ht="22.5" customHeight="1">
      <c r="A495" s="2">
        <v>494.0</v>
      </c>
      <c r="B495" s="3" t="s">
        <v>6597</v>
      </c>
      <c r="C495" s="3" t="s">
        <v>6598</v>
      </c>
      <c r="D495" s="3" t="s">
        <v>6599</v>
      </c>
      <c r="F495" s="5" t="str">
        <f>IFERROR(__xludf.DUMMYFUNCTION("GOOGLETRANSLATE(A495, ""en"", ""hi"")"),"494")</f>
        <v>494</v>
      </c>
      <c r="G495" s="5" t="str">
        <f>IFERROR(__xludf.DUMMYFUNCTION("GOOGLETRANSLATE(B495, ""en"", ""hi"")"),"ढोल खेल में एक खिलाड़ी को अपने ड्रिब्लिंग कौशल का अभ्यास कैसे करना चाहिए?")</f>
        <v>ढोल खेल में एक खिलाड़ी को अपने ड्रिब्लिंग कौशल का अभ्यास कैसे करना चाहिए?</v>
      </c>
      <c r="H495" s="5" t="str">
        <f>IFERROR(__xludf.DUMMYFUNCTION("GOOGLETRANSLATE(C495, ""en"", ""hi"")"),"A) नियंत्रण, चपलता और तकनीक में सुधार के लिए विभिन्न अभ्यासों का उपयोग करके, B) ड्रिब्लिंग अभ्यास की उपेक्षा करके, C) केवल पासिंग पर ध्यान केंद्रित करके, D) ड्रिब्लिंग अभ्यास से बचना")</f>
        <v>A) नियंत्रण, चपलता और तकनीक में सुधार के लिए विभिन्न अभ्यासों का उपयोग करके, B) ड्रिब्लिंग अभ्यास की उपेक्षा करके, C) केवल पासिंग पर ध्यान केंद्रित करके, D) ड्रिब्लिंग अभ्यास से बचना</v>
      </c>
      <c r="I495" s="5" t="str">
        <f>IFERROR(__xludf.DUMMYFUNCTION("GOOGLETRANSLATE(D495, ""en"", ""hi"")"),"A) नियंत्रण, चपलता और तकनीक में सुधार के लिए विभिन्न अभ्यासों का उपयोग करके")</f>
        <v>A) नियंत्रण, चपलता और तकनीक में सुधार के लिए विभिन्न अभ्यासों का उपयोग करके</v>
      </c>
    </row>
    <row r="496" ht="22.5" customHeight="1">
      <c r="A496" s="2">
        <v>495.0</v>
      </c>
      <c r="B496" s="3" t="s">
        <v>6600</v>
      </c>
      <c r="C496" s="3" t="s">
        <v>6601</v>
      </c>
      <c r="D496" s="3" t="s">
        <v>6602</v>
      </c>
      <c r="F496" s="5" t="str">
        <f>IFERROR(__xludf.DUMMYFUNCTION("GOOGLETRANSLATE(A496, ""en"", ""hi"")"),"495")</f>
        <v>495</v>
      </c>
      <c r="G496" s="5" t="str">
        <f>IFERROR(__xludf.DUMMYFUNCTION("GOOGLETRANSLATE(B496, ""en"", ""hi"")"),"ढोल खेल में सेट पीस के खिलाफ बचाव करते समय मुख्य बात क्या है?")</f>
        <v>ढोल खेल में सेट पीस के खिलाफ बचाव करते समय मुख्य बात क्या है?</v>
      </c>
      <c r="H496" s="5" t="str">
        <f>IFERROR(__xludf.DUMMYFUNCTION("GOOGLETRANSLATE(C496, ""en"", ""hi"")"),"ए) रक्षात्मक पंक्ति को व्यवस्थित करना और प्रमुख खिलाड़ियों को चिह्नित करना, बी) सेट-पीस रक्षा को नजरअंदाज करना, सी) केवल आक्रमण पर ध्यान केंद्रित करना, डी) रक्षात्मक स्थिति से बचना")</f>
        <v>ए) रक्षात्मक पंक्ति को व्यवस्थित करना और प्रमुख खिलाड़ियों को चिह्नित करना, बी) सेट-पीस रक्षा को नजरअंदाज करना, सी) केवल आक्रमण पर ध्यान केंद्रित करना, डी) रक्षात्मक स्थिति से बचना</v>
      </c>
      <c r="I496" s="5" t="str">
        <f>IFERROR(__xludf.DUMMYFUNCTION("GOOGLETRANSLATE(D496, ""en"", ""hi"")"),"A) रक्षात्मक पंक्ति का आयोजन और प्रमुख खिलाड़ियों को चिह्नित करना")</f>
        <v>A) रक्षात्मक पंक्ति का आयोजन और प्रमुख खिलाड़ियों को चिह्नित करना</v>
      </c>
    </row>
    <row r="497" ht="22.5" customHeight="1">
      <c r="A497" s="2">
        <v>496.0</v>
      </c>
      <c r="B497" s="3" t="s">
        <v>6603</v>
      </c>
      <c r="C497" s="3" t="s">
        <v>6604</v>
      </c>
      <c r="D497" s="3" t="s">
        <v>6605</v>
      </c>
      <c r="F497" s="5" t="str">
        <f>IFERROR(__xludf.DUMMYFUNCTION("GOOGLETRANSLATE(A497, ""en"", ""hi"")"),"496")</f>
        <v>496</v>
      </c>
      <c r="G497" s="5" t="str">
        <f>IFERROR(__xludf.DUMMYFUNCTION("GOOGLETRANSLATE(B497, ""en"", ""hi"")"),"ढोल खेल में मैच के दौरान एक खिलाड़ी टीम के खेल में प्रभावी रूप से कैसे योगदान दे सकता है?")</f>
        <v>ढोल खेल में मैच के दौरान एक खिलाड़ी टीम के खेल में प्रभावी रूप से कैसे योगदान दे सकता है?</v>
      </c>
      <c r="H497" s="5" t="str">
        <f>IFERROR(__xludf.DUMMYFUNCTION("GOOGLETRANSLATE(C497, ""en"", ""hi"")"),"A) बुद्धिमानी से रन बनाकर, टीम के साथियों के साथ संवाद करके, तथा रक्षा और आक्रमण दोनों का समर्थन करके, B) टीम के योगदान को नजरअंदाज करके, C) केवल व्यक्तिगत प्रदर्शन पर ध्यान केंद्रित करके, D) टीम वर्क से बचना")</f>
        <v>A) बुद्धिमानी से रन बनाकर, टीम के साथियों के साथ संवाद करके, तथा रक्षा और आक्रमण दोनों का समर्थन करके, B) टीम के योगदान को नजरअंदाज करके, C) केवल व्यक्तिगत प्रदर्शन पर ध्यान केंद्रित करके, D) टीम वर्क से बचना</v>
      </c>
      <c r="I497" s="5" t="str">
        <f>IFERROR(__xludf.DUMMYFUNCTION("GOOGLETRANSLATE(D497, ""en"", ""hi"")"),"A) बुद्धिमानी से रन बनाकर, टीम के साथियों के साथ संवाद करके, तथा रक्षा और आक्रमण दोनों का समर्थन करके")</f>
        <v>A) बुद्धिमानी से रन बनाकर, टीम के साथियों के साथ संवाद करके, तथा रक्षा और आक्रमण दोनों का समर्थन करके</v>
      </c>
    </row>
    <row r="498" ht="22.5" customHeight="1">
      <c r="A498" s="2">
        <v>497.0</v>
      </c>
      <c r="B498" s="3" t="s">
        <v>6606</v>
      </c>
      <c r="C498" s="3" t="s">
        <v>6607</v>
      </c>
      <c r="D498" s="3" t="s">
        <v>6608</v>
      </c>
      <c r="F498" s="5" t="str">
        <f>IFERROR(__xludf.DUMMYFUNCTION("GOOGLETRANSLATE(A498, ""en"", ""hi"")"),"497")</f>
        <v>497</v>
      </c>
      <c r="G498" s="5" t="str">
        <f>IFERROR(__xludf.DUMMYFUNCTION("GOOGLETRANSLATE(B498, ""en"", ""hi"")"),"ढोल खेल में हवाई मुकाबले जीतने के लिए प्रभावी रणनीति क्या है?")</f>
        <v>ढोल खेल में हवाई मुकाबले जीतने के लिए प्रभावी रणनीति क्या है?</v>
      </c>
      <c r="H498" s="5" t="str">
        <f>IFERROR(__xludf.DUMMYFUNCTION("GOOGLETRANSLATE(C498, ""en"", ""hi"")"),"ए) सही समय पर कूदना, उचित हेडिंग तकनीक और पोजिशनिंग का उपयोग करना, बी) हवाई द्वंद्वों को नजरअंदाज करना, सी) केवल ग्राउंड प्ले पर ध्यान केंद्रित करना, डी) हेडिंग अभ्यास से बचना")</f>
        <v>ए) सही समय पर कूदना, उचित हेडिंग तकनीक और पोजिशनिंग का उपयोग करना, बी) हवाई द्वंद्वों को नजरअंदाज करना, सी) केवल ग्राउंड प्ले पर ध्यान केंद्रित करना, डी) हेडिंग अभ्यास से बचना</v>
      </c>
      <c r="I498" s="5" t="str">
        <f>IFERROR(__xludf.DUMMYFUNCTION("GOOGLETRANSLATE(D498, ""en"", ""hi"")"),"ए) उचित हेडिंग तकनीक और पोजिशनिंग का उपयोग करके सही समय पर कूदना")</f>
        <v>ए) उचित हेडिंग तकनीक और पोजिशनिंग का उपयोग करके सही समय पर कूदना</v>
      </c>
    </row>
    <row r="499" ht="22.5" customHeight="1">
      <c r="A499" s="2">
        <v>498.0</v>
      </c>
      <c r="B499" s="3" t="s">
        <v>6609</v>
      </c>
      <c r="C499" s="3" t="s">
        <v>6610</v>
      </c>
      <c r="D499" s="3" t="s">
        <v>6611</v>
      </c>
      <c r="F499" s="5" t="str">
        <f>IFERROR(__xludf.DUMMYFUNCTION("GOOGLETRANSLATE(A499, ""en"", ""hi"")"),"498")</f>
        <v>498</v>
      </c>
      <c r="G499" s="5" t="str">
        <f>IFERROR(__xludf.DUMMYFUNCTION("GOOGLETRANSLATE(B499, ""en"", ""hi"")"),"ढोल खेल में कोई खिलाड़ी अपनी शूटिंग की सटीकता को प्रभावी ढंग से कैसे सुधार सकता है?")</f>
        <v>ढोल खेल में कोई खिलाड़ी अपनी शूटिंग की सटीकता को प्रभावी ढंग से कैसे सुधार सकता है?</v>
      </c>
      <c r="H499" s="5" t="str">
        <f>IFERROR(__xludf.DUMMYFUNCTION("GOOGLETRANSLATE(C499, ""en"", ""hi"")"),"A) विभिन्न प्रकार के शॉट्स के साथ अभ्यास करके और तकनीक और सटीकता पर ध्यान केंद्रित करके, B) शूटिंग की सटीकता को अनदेखा करके, C) केवल शक्ति पर ध्यान केंद्रित करके, D) सटीकता अभ्यास से बचना")</f>
        <v>A) विभिन्न प्रकार के शॉट्स के साथ अभ्यास करके और तकनीक और सटीकता पर ध्यान केंद्रित करके, B) शूटिंग की सटीकता को अनदेखा करके, C) केवल शक्ति पर ध्यान केंद्रित करके, D) सटीकता अभ्यास से बचना</v>
      </c>
      <c r="I499" s="5" t="str">
        <f>IFERROR(__xludf.DUMMYFUNCTION("GOOGLETRANSLATE(D499, ""en"", ""hi"")"),"A) विभिन्न प्रकार के शॉट्स का अभ्यास करके और तकनीक और सटीकता पर ध्यान केंद्रित करके")</f>
        <v>A) विभिन्न प्रकार के शॉट्स का अभ्यास करके और तकनीक और सटीकता पर ध्यान केंद्रित करके</v>
      </c>
    </row>
    <row r="500" ht="22.5" customHeight="1">
      <c r="A500" s="2">
        <v>499.0</v>
      </c>
      <c r="B500" s="3" t="s">
        <v>6479</v>
      </c>
      <c r="C500" s="3" t="s">
        <v>6612</v>
      </c>
      <c r="D500" s="3" t="s">
        <v>6613</v>
      </c>
      <c r="F500" s="5" t="str">
        <f>IFERROR(__xludf.DUMMYFUNCTION("GOOGLETRANSLATE(A500, ""en"", ""hi"")"),"499")</f>
        <v>499</v>
      </c>
      <c r="G500" s="5" t="str">
        <f>IFERROR(__xludf.DUMMYFUNCTION("GOOGLETRANSLATE(B500, ""en"", ""hi"")"),"ढोल खेल में थ्रो-इन का प्रयोग करते समय क्या महत्वपूर्ण बात ध्यान में रखनी चाहिए?")</f>
        <v>ढोल खेल में थ्रो-इन का प्रयोग करते समय क्या महत्वपूर्ण बात ध्यान में रखनी चाहिए?</v>
      </c>
      <c r="H500" s="5" t="str">
        <f>IFERROR(__xludf.DUMMYFUNCTION("GOOGLETRANSLATE(C500, ""en"", ""hi"")"),"A) यह सुनिश्चित करना कि दोनों पैर ज़मीन पर हों और थ्रो सिर के पीछे से लिया जाए, B) थ्रो-इन नियमों की अनदेखी करना, C) केवल दूरी पर ध्यान केंद्रित करना, D) थ्रो में देरी करना")</f>
        <v>A) यह सुनिश्चित करना कि दोनों पैर ज़मीन पर हों और थ्रो सिर के पीछे से लिया जाए, B) थ्रो-इन नियमों की अनदेखी करना, C) केवल दूरी पर ध्यान केंद्रित करना, D) थ्रो में देरी करना</v>
      </c>
      <c r="I500" s="5" t="str">
        <f>IFERROR(__xludf.DUMMYFUNCTION("GOOGLETRANSLATE(D500, ""en"", ""hi"")"),"A) यह सुनिश्चित करना कि दोनों पैर ज़मीन पर हों और थ्रो सिर के पीछे से किया जाए")</f>
        <v>A) यह सुनिश्चित करना कि दोनों पैर ज़मीन पर हों और थ्रो सिर के पीछे से किया जाए</v>
      </c>
    </row>
    <row r="501" ht="22.5" customHeight="1">
      <c r="A501" s="2">
        <v>500.0</v>
      </c>
      <c r="B501" s="3" t="s">
        <v>6396</v>
      </c>
      <c r="C501" s="3" t="s">
        <v>6614</v>
      </c>
      <c r="D501" s="3" t="s">
        <v>6615</v>
      </c>
      <c r="F501" s="5" t="str">
        <f>IFERROR(__xludf.DUMMYFUNCTION("GOOGLETRANSLATE(A501, ""en"", ""hi"")"),"500")</f>
        <v>500</v>
      </c>
      <c r="G501" s="5" t="str">
        <f>IFERROR(__xludf.DUMMYFUNCTION("GOOGLETRANSLATE(B501, ""en"", ""hi"")"),"ढोल खेल में खिलाड़ी खेल को समझने की अपनी क्षमता कैसे सुधार सकते हैं?")</f>
        <v>ढोल खेल में खिलाड़ी खेल को समझने की अपनी क्षमता कैसे सुधार सकते हैं?</v>
      </c>
      <c r="H501" s="5" t="str">
        <f>IFERROR(__xludf.DUMMYFUNCTION("GOOGLETRANSLATE(C501, ""en"", ""hi"")"),"A) विभिन्न खेल शैलियों का अध्ययन करके और खेल की गतिशीलता को समझकर, B) खेल पढ़ने के कौशल की अनदेखी करके, C) केवल व्यक्तिगत कौशल पर ध्यान केंद्रित करके, D) खेल विश्लेषण से बचना")</f>
        <v>A) विभिन्न खेल शैलियों का अध्ययन करके और खेल की गतिशीलता को समझकर, B) खेल पढ़ने के कौशल की अनदेखी करके, C) केवल व्यक्तिगत कौशल पर ध्यान केंद्रित करके, D) खेल विश्लेषण से बचना</v>
      </c>
      <c r="I501" s="5" t="str">
        <f>IFERROR(__xludf.DUMMYFUNCTION("GOOGLETRANSLATE(D501, ""en"", ""hi"")"),"A) विभिन्न खेल शैलियों का अध्ययन करके और खेल की गतिशीलता को समझकर")</f>
        <v>A) विभिन्न खेल शैलियों का अध्ययन करके और खेल की गतिशीलता को समझकर</v>
      </c>
    </row>
    <row r="502" ht="22.5" customHeight="1">
      <c r="A502" s="2">
        <v>501.0</v>
      </c>
      <c r="B502" s="3" t="s">
        <v>6616</v>
      </c>
      <c r="C502" s="3" t="s">
        <v>6617</v>
      </c>
      <c r="D502" s="3" t="s">
        <v>6618</v>
      </c>
      <c r="F502" s="5" t="str">
        <f>IFERROR(__xludf.DUMMYFUNCTION("GOOGLETRANSLATE(A502, ""en"", ""hi"")"),"501")</f>
        <v>501</v>
      </c>
      <c r="G502" s="5" t="str">
        <f>IFERROR(__xludf.DUMMYFUNCTION("GOOGLETRANSLATE(B502, ""en"", ""hi"")"),"ढोल खेल में सफल पास देने का महत्वपूर्ण पहलू क्या है?")</f>
        <v>ढोल खेल में सफल पास देने का महत्वपूर्ण पहलू क्या है?</v>
      </c>
      <c r="H502" s="5" t="str">
        <f>IFERROR(__xludf.DUMMYFUNCTION("GOOGLETRANSLATE(C502, ""en"", ""hi"")"),"A) उचित मात्रा में शक्ति का प्रयोग करना और सटीक निशाना लगाना, B) पास की सटीकता को नज़रअंदाज़ करना, C) केवल ड्रिब्लिंग पर ध्यान केंद्रित करना, D) पास में देरी करना")</f>
        <v>A) उचित मात्रा में शक्ति का प्रयोग करना और सटीक निशाना लगाना, B) पास की सटीकता को नज़रअंदाज़ करना, C) केवल ड्रिब्लिंग पर ध्यान केंद्रित करना, D) पास में देरी करना</v>
      </c>
      <c r="I502" s="5" t="str">
        <f>IFERROR(__xludf.DUMMYFUNCTION("GOOGLETRANSLATE(D502, ""en"", ""hi"")"),"A) उचित मात्रा में शक्ति का उपयोग करना और सटीक निशाना लगाना")</f>
        <v>A) उचित मात्रा में शक्ति का उपयोग करना और सटीक निशाना लगाना</v>
      </c>
    </row>
    <row r="503" ht="22.5" customHeight="1">
      <c r="A503" s="2">
        <v>502.0</v>
      </c>
      <c r="B503" s="3" t="s">
        <v>6619</v>
      </c>
      <c r="C503" s="3" t="s">
        <v>6620</v>
      </c>
      <c r="D503" s="3" t="s">
        <v>6621</v>
      </c>
      <c r="F503" s="5" t="str">
        <f>IFERROR(__xludf.DUMMYFUNCTION("GOOGLETRANSLATE(A503, ""en"", ""hi"")"),"502")</f>
        <v>502</v>
      </c>
      <c r="G503" s="5" t="str">
        <f>IFERROR(__xludf.DUMMYFUNCTION("GOOGLETRANSLATE(B503, ""en"", ""hi"")"),"ढोल खेल में एक खिलाड़ी खेल की गति को प्रभावी ढंग से कैसे प्रबंधित कर सकता है?")</f>
        <v>ढोल खेल में एक खिलाड़ी खेल की गति को प्रभावी ढंग से कैसे प्रबंधित कर सकता है?</v>
      </c>
      <c r="H503" s="5" t="str">
        <f>IFERROR(__xludf.DUMMYFUNCTION("GOOGLETRANSLATE(C503, ""en"", ""hi"")"),"A) पासिंग गति और मूवमेंट के माध्यम से गति को नियंत्रित करके, B) खेल की गति को अनदेखा करके, C) केवल व्यक्तिगत खेल पर ध्यान केंद्रित करके, D) गति प्रबंधन से बचना")</f>
        <v>A) पासिंग गति और मूवमेंट के माध्यम से गति को नियंत्रित करके, B) खेल की गति को अनदेखा करके, C) केवल व्यक्तिगत खेल पर ध्यान केंद्रित करके, D) गति प्रबंधन से बचना</v>
      </c>
      <c r="I503" s="5" t="str">
        <f>IFERROR(__xludf.DUMMYFUNCTION("GOOGLETRANSLATE(D503, ""en"", ""hi"")"),"A) गति और चाल के माध्यम से गति को नियंत्रित करके")</f>
        <v>A) गति और चाल के माध्यम से गति को नियंत्रित करके</v>
      </c>
    </row>
    <row r="504" ht="22.5" customHeight="1">
      <c r="A504" s="2">
        <v>503.0</v>
      </c>
      <c r="B504" s="3" t="s">
        <v>6622</v>
      </c>
      <c r="C504" s="3" t="s">
        <v>6623</v>
      </c>
      <c r="D504" s="3" t="s">
        <v>6624</v>
      </c>
      <c r="F504" s="5" t="str">
        <f>IFERROR(__xludf.DUMMYFUNCTION("GOOGLETRANSLATE(A504, ""en"", ""hi"")"),"503")</f>
        <v>503</v>
      </c>
      <c r="G504" s="5" t="str">
        <f>IFERROR(__xludf.DUMMYFUNCTION("GOOGLETRANSLATE(B504, ""en"", ""hi"")"),"ढोल खेल में जवाबी हमले से बचाव का एक महत्वपूर्ण पहलू क्या है?")</f>
        <v>ढोल खेल में जवाबी हमले से बचाव का एक महत्वपूर्ण पहलू क्या है?</v>
      </c>
      <c r="H504" s="5" t="str">
        <f>IFERROR(__xludf.DUMMYFUNCTION("GOOGLETRANSLATE(C504, ""en"", ""hi"")"),"A) रक्षा को शीघ्रता से पुनर्गठित करना और प्रमुख क्षेत्रों को कवर करना, B) जवाबी हमले की रणनीतियों की अनदेखी करना, C) केवल आक्रमण पर ध्यान केंद्रित करना, D) रक्षात्मक संगठन से बचना")</f>
        <v>A) रक्षा को शीघ्रता से पुनर्गठित करना और प्रमुख क्षेत्रों को कवर करना, B) जवाबी हमले की रणनीतियों की अनदेखी करना, C) केवल आक्रमण पर ध्यान केंद्रित करना, D) रक्षात्मक संगठन से बचना</v>
      </c>
      <c r="I504" s="5" t="str">
        <f>IFERROR(__xludf.DUMMYFUNCTION("GOOGLETRANSLATE(D504, ""en"", ""hi"")"),"A) रक्षा को शीघ्रता से पुनर्गठित करना और प्रमुख क्षेत्रों को कवर करना")</f>
        <v>A) रक्षा को शीघ्रता से पुनर्गठित करना और प्रमुख क्षेत्रों को कवर करना</v>
      </c>
    </row>
    <row r="505" ht="22.5" customHeight="1">
      <c r="A505" s="2">
        <v>504.0</v>
      </c>
      <c r="B505" s="3" t="s">
        <v>6625</v>
      </c>
      <c r="C505" s="3" t="s">
        <v>6626</v>
      </c>
      <c r="D505" s="3" t="s">
        <v>6627</v>
      </c>
      <c r="F505" s="5" t="str">
        <f>IFERROR(__xludf.DUMMYFUNCTION("GOOGLETRANSLATE(A505, ""en"", ""hi"")"),"504")</f>
        <v>504</v>
      </c>
      <c r="G505" s="5" t="str">
        <f>IFERROR(__xludf.DUMMYFUNCTION("GOOGLETRANSLATE(B505, ""en"", ""hi"")"),"ढोल खेल खेलने के लिए कोई खिलाड़ी अपनी फिटनेस को प्रभावी ढंग से कैसे सुधार सकता है?")</f>
        <v>ढोल खेल खेलने के लिए कोई खिलाड़ी अपनी फिटनेस को प्रभावी ढंग से कैसे सुधार सकता है?</v>
      </c>
      <c r="H505" s="5" t="str">
        <f>IFERROR(__xludf.DUMMYFUNCTION("GOOGLETRANSLATE(C505, ""en"", ""hi"")"),"A) धीरज, शक्ति और चपलता अभ्यास सहित संतुलित प्रशिक्षण व्यवस्था को शामिल करके, B) फिटनेस प्रशिक्षण की अनदेखी करके, C) केवल तकनीक पर ध्यान केंद्रित करके, D) व्यायाम से परहेज करके")</f>
        <v>A) धीरज, शक्ति और चपलता अभ्यास सहित संतुलित प्रशिक्षण व्यवस्था को शामिल करके, B) फिटनेस प्रशिक्षण की अनदेखी करके, C) केवल तकनीक पर ध्यान केंद्रित करके, D) व्यायाम से परहेज करके</v>
      </c>
      <c r="I505" s="5" t="str">
        <f>IFERROR(__xludf.DUMMYFUNCTION("GOOGLETRANSLATE(D505, ""en"", ""hi"")"),"A) सहनशक्ति, शक्ति और चपलता अभ्यास सहित संतुलित प्रशिक्षण व्यवस्था को शामिल करके")</f>
        <v>A) सहनशक्ति, शक्ति और चपलता अभ्यास सहित संतुलित प्रशिक्षण व्यवस्था को शामिल करके</v>
      </c>
    </row>
    <row r="506" ht="22.5" customHeight="1">
      <c r="A506" s="2">
        <v>505.0</v>
      </c>
      <c r="B506" s="3" t="s">
        <v>6628</v>
      </c>
      <c r="C506" s="3" t="s">
        <v>6629</v>
      </c>
      <c r="D506" s="3" t="s">
        <v>6630</v>
      </c>
      <c r="F506" s="5" t="str">
        <f>IFERROR(__xludf.DUMMYFUNCTION("GOOGLETRANSLATE(A506, ""en"", ""hi"")"),"505")</f>
        <v>505</v>
      </c>
      <c r="G506" s="5" t="str">
        <f>IFERROR(__xludf.DUMMYFUNCTION("GOOGLETRANSLATE(B506, ""en"", ""hi"")"),"ढोल खेल में किसी टीम के लिए रक्षात्मक संगठन बनाए रखने का प्रभावी तरीका क्या है?")</f>
        <v>ढोल खेल में किसी टीम के लिए रक्षात्मक संगठन बनाए रखने का प्रभावी तरीका क्या है?</v>
      </c>
      <c r="H506" s="5" t="str">
        <f>IFERROR(__xludf.DUMMYFUNCTION("GOOGLETRANSLATE(C506, ""en"", ""hi"")"),"A) यह सुनिश्चित करना कि खिलाड़ी अपनी स्थिति बनाए रखें और प्रभावी ढंग से संवाद करें, B) रक्षात्मक संगठन की अनदेखी करना, C) केवल आक्रमण पर ध्यान केंद्रित करना, D) स्थितिगत अनुशासन से बचना")</f>
        <v>A) यह सुनिश्चित करना कि खिलाड़ी अपनी स्थिति बनाए रखें और प्रभावी ढंग से संवाद करें, B) रक्षात्मक संगठन की अनदेखी करना, C) केवल आक्रमण पर ध्यान केंद्रित करना, D) स्थितिगत अनुशासन से बचना</v>
      </c>
      <c r="I506" s="5" t="str">
        <f>IFERROR(__xludf.DUMMYFUNCTION("GOOGLETRANSLATE(D506, ""en"", ""hi"")"),"A) यह सुनिश्चित करना कि खिलाड़ी अपनी स्थिति बनाए रखें और प्रभावी ढंग से संवाद करें")</f>
        <v>A) यह सुनिश्चित करना कि खिलाड़ी अपनी स्थिति बनाए रखें और प्रभावी ढंग से संवाद करें</v>
      </c>
    </row>
    <row r="507" ht="22.5" customHeight="1">
      <c r="A507" s="2">
        <v>506.0</v>
      </c>
      <c r="B507" s="3" t="s">
        <v>6631</v>
      </c>
      <c r="C507" s="3" t="s">
        <v>6632</v>
      </c>
      <c r="D507" s="3" t="s">
        <v>6633</v>
      </c>
      <c r="F507" s="5" t="str">
        <f>IFERROR(__xludf.DUMMYFUNCTION("GOOGLETRANSLATE(A507, ""en"", ""hi"")"),"506")</f>
        <v>506</v>
      </c>
      <c r="G507" s="5" t="str">
        <f>IFERROR(__xludf.DUMMYFUNCTION("GOOGLETRANSLATE(B507, ""en"", ""hi"")"),"ढोल खेल में पास प्राप्त करते समय खिलाड़ी को किस प्रकार अपनी स्थिति बनानी चाहिए?")</f>
        <v>ढोल खेल में पास प्राप्त करते समय खिलाड़ी को किस प्रकार अपनी स्थिति बनानी चाहिए?</v>
      </c>
      <c r="H507" s="5" t="str">
        <f>IFERROR(__xludf.DUMMYFUNCTION("GOOGLETRANSLATE(C507, ""en"", ""hi"")"),"A) गेंद को नियंत्रण के साथ प्राप्त करने और अगले कदम के लिए तैयार होने के लिए अपने शरीर की स्थिति बनाकर, B) स्थिति की अनदेखी करके, C) केवल पासिंग पर ध्यान केंद्रित करके, D) रिसेप्शन में देरी करके")</f>
        <v>A) गेंद को नियंत्रण के साथ प्राप्त करने और अगले कदम के लिए तैयार होने के लिए अपने शरीर की स्थिति बनाकर, B) स्थिति की अनदेखी करके, C) केवल पासिंग पर ध्यान केंद्रित करके, D) रिसेप्शन में देरी करके</v>
      </c>
      <c r="I507" s="5" t="str">
        <f>IFERROR(__xludf.DUMMYFUNCTION("GOOGLETRANSLATE(D507, ""en"", ""hi"")"),"A) गेंद को नियंत्रण के साथ प्राप्त करने और अगले कदम के लिए तैयार होने के लिए अपने शरीर को स्थिति में रखकर")</f>
        <v>A) गेंद को नियंत्रण के साथ प्राप्त करने और अगले कदम के लिए तैयार होने के लिए अपने शरीर को स्थिति में रखकर</v>
      </c>
    </row>
    <row r="508" ht="22.5" customHeight="1">
      <c r="A508" s="2">
        <v>507.0</v>
      </c>
      <c r="B508" s="3" t="s">
        <v>6634</v>
      </c>
      <c r="C508" s="3" t="s">
        <v>6635</v>
      </c>
      <c r="D508" s="3" t="s">
        <v>6636</v>
      </c>
      <c r="F508" s="5" t="str">
        <f>IFERROR(__xludf.DUMMYFUNCTION("GOOGLETRANSLATE(A508, ""en"", ""hi"")"),"507")</f>
        <v>507</v>
      </c>
      <c r="G508" s="5" t="str">
        <f>IFERROR(__xludf.DUMMYFUNCTION("GOOGLETRANSLATE(B508, ""en"", ""hi"")"),"ढोल खेल में रक्षात्मक क्लीयरेंस करते समय मुख्य बात क्या है?")</f>
        <v>ढोल खेल में रक्षात्मक क्लीयरेंस करते समय मुख्य बात क्या है?</v>
      </c>
      <c r="H508" s="5" t="str">
        <f>IFERROR(__xludf.DUMMYFUNCTION("GOOGLETRANSLATE(C508, ""en"", ""hi"")"),"ए) गेंद को सुरक्षित क्षेत्र में पहुंचाना और यह सुनिश्चित करना कि वह तत्काल खतरे से बाहर है, बी) निकासी तकनीकों की अनदेखी करना, सी) केवल आक्रमण पर ध्यान केंद्रित करना, डी) निकासी में देरी करना")</f>
        <v>ए) गेंद को सुरक्षित क्षेत्र में पहुंचाना और यह सुनिश्चित करना कि वह तत्काल खतरे से बाहर है, बी) निकासी तकनीकों की अनदेखी करना, सी) केवल आक्रमण पर ध्यान केंद्रित करना, डी) निकासी में देरी करना</v>
      </c>
      <c r="I508" s="5" t="str">
        <f>IFERROR(__xludf.DUMMYFUNCTION("GOOGLETRANSLATE(D508, ""en"", ""hi"")"),"A) गेंद को सुरक्षित क्षेत्र में ले जाना और यह सुनिश्चित करना कि वह तत्काल खतरे से बाहर है")</f>
        <v>A) गेंद को सुरक्षित क्षेत्र में ले जाना और यह सुनिश्चित करना कि वह तत्काल खतरे से बाहर है</v>
      </c>
    </row>
    <row r="509" ht="22.5" customHeight="1">
      <c r="A509" s="2">
        <v>508.0</v>
      </c>
      <c r="B509" s="3" t="s">
        <v>6637</v>
      </c>
      <c r="C509" s="3" t="s">
        <v>6638</v>
      </c>
      <c r="D509" s="3" t="s">
        <v>6639</v>
      </c>
      <c r="F509" s="5" t="str">
        <f>IFERROR(__xludf.DUMMYFUNCTION("GOOGLETRANSLATE(A509, ""en"", ""hi"")"),"508")</f>
        <v>508</v>
      </c>
      <c r="G509" s="5" t="str">
        <f>IFERROR(__xludf.DUMMYFUNCTION("GOOGLETRANSLATE(B509, ""en"", ""hi"")"),"ढोल खेल में एक खिलाड़ी टीम के आक्रामक खेल में प्रभावी रूप से कैसे योगदान दे सकता है?")</f>
        <v>ढोल खेल में एक खिलाड़ी टीम के आक्रामक खेल में प्रभावी रूप से कैसे योगदान दे सकता है?</v>
      </c>
      <c r="H509" s="5" t="str">
        <f>IFERROR(__xludf.DUMMYFUNCTION("GOOGLETRANSLATE(C509, ""en"", ""hi"")"),"A) बुद्धिमानी से रन बनाकर, जगह बनाकर और पासिंग विकल्प प्रदान करके, B) आक्रामक भूमिकाओं की अनदेखी करके, C) केवल व्यक्तिगत प्रदर्शन पर ध्यान केंद्रित करके, D) आक्रामक भागीदारी से बचना")</f>
        <v>A) बुद्धिमानी से रन बनाकर, जगह बनाकर और पासिंग विकल्प प्रदान करके, B) आक्रामक भूमिकाओं की अनदेखी करके, C) केवल व्यक्तिगत प्रदर्शन पर ध्यान केंद्रित करके, D) आक्रामक भागीदारी से बचना</v>
      </c>
      <c r="I509" s="5" t="str">
        <f>IFERROR(__xludf.DUMMYFUNCTION("GOOGLETRANSLATE(D509, ""en"", ""hi"")"),"A) बुद्धिमानी से रन बनाकर, जगह बनाकर और पासिंग विकल्प प्रदान करके")</f>
        <v>A) बुद्धिमानी से रन बनाकर, जगह बनाकर और पासिंग विकल्प प्रदान करके</v>
      </c>
    </row>
    <row r="510" ht="22.5" customHeight="1">
      <c r="A510" s="2">
        <v>509.0</v>
      </c>
      <c r="B510" s="3" t="s">
        <v>6640</v>
      </c>
      <c r="C510" s="3" t="s">
        <v>6641</v>
      </c>
      <c r="D510" s="3" t="s">
        <v>6642</v>
      </c>
      <c r="F510" s="5" t="str">
        <f>IFERROR(__xludf.DUMMYFUNCTION("GOOGLETRANSLATE(A510, ""en"", ""hi"")"),"509")</f>
        <v>509</v>
      </c>
      <c r="G510" s="5" t="str">
        <f>IFERROR(__xludf.DUMMYFUNCTION("GOOGLETRANSLATE(B510, ""en"", ""hi"")"),"ढोल खेल में प्रभावी गेंद नियंत्रण का महत्वपूर्ण पहलू क्या है?")</f>
        <v>ढोल खेल में प्रभावी गेंद नियंत्रण का महत्वपूर्ण पहलू क्या है?</v>
      </c>
      <c r="H510" s="5" t="str">
        <f>IFERROR(__xludf.DUMMYFUNCTION("GOOGLETRANSLATE(C510, ""en"", ""hi"")"),"A) गेंद को संभालने और संभालने के लिए पैर या शरीर के सही हिस्से का उपयोग करना, B) गेंद नियंत्रण तकनीकों की अनदेखी करना, C) केवल गति पर ध्यान केंद्रित करना, D) नियंत्रण अभ्यास से बचना")</f>
        <v>A) गेंद को संभालने और संभालने के लिए पैर या शरीर के सही हिस्से का उपयोग करना, B) गेंद नियंत्रण तकनीकों की अनदेखी करना, C) केवल गति पर ध्यान केंद्रित करना, D) नियंत्रण अभ्यास से बचना</v>
      </c>
      <c r="I510" s="5" t="str">
        <f>IFERROR(__xludf.DUMMYFUNCTION("GOOGLETRANSLATE(D510, ""en"", ""hi"")"),"A) गेंद को सहारा देने और नियंत्रित करने के लिए पैर या शरीर के सही हिस्से का उपयोग करना")</f>
        <v>A) गेंद को सहारा देने और नियंत्रित करने के लिए पैर या शरीर के सही हिस्से का उपयोग करना</v>
      </c>
    </row>
    <row r="511" ht="22.5" customHeight="1">
      <c r="A511" s="2">
        <v>510.0</v>
      </c>
      <c r="B511" s="3" t="s">
        <v>6643</v>
      </c>
      <c r="C511" s="3" t="s">
        <v>6644</v>
      </c>
      <c r="D511" s="3" t="s">
        <v>6645</v>
      </c>
      <c r="F511" s="5" t="str">
        <f>IFERROR(__xludf.DUMMYFUNCTION("GOOGLETRANSLATE(A511, ""en"", ""hi"")"),"510")</f>
        <v>510</v>
      </c>
      <c r="G511" s="5" t="str">
        <f>IFERROR(__xludf.DUMMYFUNCTION("GOOGLETRANSLATE(B511, ""en"", ""hi"")"),"ढोल खेल में एक खिलाड़ी प्रतिद्वंद्वी की चालों का अनुमान लगाने की अपनी क्षमता कैसे सुधार सकता है?")</f>
        <v>ढोल खेल में एक खिलाड़ी प्रतिद्वंद्वी की चालों का अनुमान लगाने की अपनी क्षमता कैसे सुधार सकता है?</v>
      </c>
      <c r="H511" s="5" t="str">
        <f>IFERROR(__xludf.DUMMYFUNCTION("GOOGLETRANSLATE(C511, ""en"", ""hi"")"),"A) उनकी प्रवृत्तियों का अध्ययन करके, खेल के पैटर्न को समझकर और उसके अनुसार प्रतिक्रिया करके, B) प्रतिद्वंद्वी विश्लेषण को अनदेखा करके, C) केवल व्यक्तिगत खेल पर ध्यान केंद्रित करके, D) प्रत्याशा अभ्यास से बचना")</f>
        <v>A) उनकी प्रवृत्तियों का अध्ययन करके, खेल के पैटर्न को समझकर और उसके अनुसार प्रतिक्रिया करके, B) प्रतिद्वंद्वी विश्लेषण को अनदेखा करके, C) केवल व्यक्तिगत खेल पर ध्यान केंद्रित करके, D) प्रत्याशा अभ्यास से बचना</v>
      </c>
      <c r="I511" s="5" t="str">
        <f>IFERROR(__xludf.DUMMYFUNCTION("GOOGLETRANSLATE(D511, ""en"", ""hi"")"),"A) उनकी प्रवृत्तियों का अध्ययन करके, खेल के पैटर्न को समझकर, और तदनुसार प्रतिक्रिया करके")</f>
        <v>A) उनकी प्रवृत्तियों का अध्ययन करके, खेल के पैटर्न को समझकर, और तदनुसार प्रतिक्रिया करके</v>
      </c>
    </row>
    <row r="512" ht="22.5" customHeight="1">
      <c r="A512" s="2">
        <v>511.0</v>
      </c>
      <c r="B512" s="3" t="s">
        <v>6646</v>
      </c>
      <c r="C512" s="3" t="s">
        <v>6647</v>
      </c>
      <c r="D512" s="3" t="s">
        <v>6648</v>
      </c>
      <c r="F512" s="5" t="str">
        <f>IFERROR(__xludf.DUMMYFUNCTION("GOOGLETRANSLATE(A512, ""en"", ""hi"")"),"511")</f>
        <v>511</v>
      </c>
      <c r="G512" s="5" t="str">
        <f>IFERROR(__xludf.DUMMYFUNCTION("GOOGLETRANSLATE(B512, ""en"", ""hi"")"),"ढोल खेल में गेंद खोने के बाद खिलाड़ी के लिए गेंद पर कब्जा वापस पाने की सबसे अच्छी रणनीति क्या है?")</f>
        <v>ढोल खेल में गेंद खोने के बाद खिलाड़ी के लिए गेंद पर कब्जा वापस पाने की सबसे अच्छी रणनीति क्या है?</v>
      </c>
      <c r="H512" s="5" t="str">
        <f>IFERROR(__xludf.DUMMYFUNCTION("GOOGLETRANSLATE(C512, ""en"", ""hi"")"),"ए) तुरंत दबाव बनाना और उच्च दबाव डालना, बी) पीछे हटना और अवसर की प्रतीक्षा करना, सी) कब्जे के नुकसान की अनदेखी करना, डी) केवल आक्रमण पर ध्यान केंद्रित करना")</f>
        <v>ए) तुरंत दबाव बनाना और उच्च दबाव डालना, बी) पीछे हटना और अवसर की प्रतीक्षा करना, सी) कब्जे के नुकसान की अनदेखी करना, डी) केवल आक्रमण पर ध्यान केंद्रित करना</v>
      </c>
      <c r="I512" s="5" t="str">
        <f>IFERROR(__xludf.DUMMYFUNCTION("GOOGLETRANSLATE(D512, ""en"", ""hi"")"),"A) तुरंत दबाना और उच्च दबाव डालना")</f>
        <v>A) तुरंत दबाना और उच्च दबाव डालना</v>
      </c>
    </row>
    <row r="513" ht="22.5" customHeight="1">
      <c r="A513" s="2">
        <v>512.0</v>
      </c>
      <c r="B513" s="3" t="s">
        <v>6649</v>
      </c>
      <c r="C513" s="3" t="s">
        <v>6650</v>
      </c>
      <c r="D513" s="3" t="s">
        <v>6651</v>
      </c>
      <c r="F513" s="5" t="str">
        <f>IFERROR(__xludf.DUMMYFUNCTION("GOOGLETRANSLATE(A513, ""en"", ""hi"")"),"512")</f>
        <v>512</v>
      </c>
      <c r="G513" s="5" t="str">
        <f>IFERROR(__xludf.DUMMYFUNCTION("GOOGLETRANSLATE(B513, ""en"", ""hi"")"),"ढोल खेल में कॉर्नर किक करते समय खिलाड़ी का प्राथमिक ध्यान किस पर होता है?")</f>
        <v>ढोल खेल में कॉर्नर किक करते समय खिलाड़ी का प्राथमिक ध्यान किस पर होता है?</v>
      </c>
      <c r="H513" s="5" t="str">
        <f>IFERROR(__xludf.DUMMYFUNCTION("GOOGLETRANSLATE(C513, ""en"", ""hi"")"),"A) गेंद को बॉक्स में निर्दिष्ट क्षेत्र में सटीक रूप से पहुंचाना, B) टीम के साथियों की स्थिति को अनदेखा करना, C) केवल किक की दूरी पर ध्यान केंद्रित करना, D) किक में देरी करना")</f>
        <v>A) गेंद को बॉक्स में निर्दिष्ट क्षेत्र में सटीक रूप से पहुंचाना, B) टीम के साथियों की स्थिति को अनदेखा करना, C) केवल किक की दूरी पर ध्यान केंद्रित करना, D) किक में देरी करना</v>
      </c>
      <c r="I513" s="5" t="str">
        <f>IFERROR(__xludf.DUMMYFUNCTION("GOOGLETRANSLATE(D513, ""en"", ""hi"")"),"A) गेंद को बॉक्स में निर्दिष्ट क्षेत्र में सटीक रूप से पहुंचाना")</f>
        <v>A) गेंद को बॉक्स में निर्दिष्ट क्षेत्र में सटीक रूप से पहुंचाना</v>
      </c>
    </row>
    <row r="514" ht="22.5" customHeight="1">
      <c r="A514" s="2">
        <v>513.0</v>
      </c>
      <c r="B514" s="3" t="s">
        <v>6652</v>
      </c>
      <c r="C514" s="3" t="s">
        <v>6653</v>
      </c>
      <c r="D514" s="3" t="s">
        <v>6654</v>
      </c>
      <c r="F514" s="5" t="str">
        <f>IFERROR(__xludf.DUMMYFUNCTION("GOOGLETRANSLATE(A514, ""en"", ""hi"")"),"513")</f>
        <v>513</v>
      </c>
      <c r="G514" s="5" t="str">
        <f>IFERROR(__xludf.DUMMYFUNCTION("GOOGLETRANSLATE(B514, ""en"", ""hi"")"),"ढोल खेल में किसी मजबूत प्रतिद्वंद्वी का सामना करते समय खिलाड़ी को अपनी खेल शैली को किस प्रकार समायोजित करना चाहिए?")</f>
        <v>ढोल खेल में किसी मजबूत प्रतिद्वंद्वी का सामना करते समय खिलाड़ी को अपनी खेल शैली को किस प्रकार समायोजित करना चाहिए?</v>
      </c>
      <c r="H514" s="5" t="str">
        <f>IFERROR(__xludf.DUMMYFUNCTION("GOOGLETRANSLATE(C514, ""en"", ""hi"")"),"A) अधिक रक्षात्मक खेलकर और जवाबी हमले के अवसरों का उपयोग करके, B) प्रतिद्वंद्वी की ताकत को नजरअंदाज करके, C) केवल व्यक्तिगत कौशल पर ध्यान केंद्रित करके, D) समायोजन से बचना")</f>
        <v>A) अधिक रक्षात्मक खेलकर और जवाबी हमले के अवसरों का उपयोग करके, B) प्रतिद्वंद्वी की ताकत को नजरअंदाज करके, C) केवल व्यक्तिगत कौशल पर ध्यान केंद्रित करके, D) समायोजन से बचना</v>
      </c>
      <c r="I514" s="5" t="str">
        <f>IFERROR(__xludf.DUMMYFUNCTION("GOOGLETRANSLATE(D514, ""en"", ""hi"")"),"A) अधिक रक्षात्मक खेलकर और जवाबी हमले के अवसरों का उपयोग करके")</f>
        <v>A) अधिक रक्षात्मक खेलकर और जवाबी हमले के अवसरों का उपयोग करके</v>
      </c>
    </row>
    <row r="515" ht="22.5" customHeight="1">
      <c r="A515" s="2">
        <v>514.0</v>
      </c>
      <c r="B515" s="3" t="s">
        <v>6655</v>
      </c>
      <c r="C515" s="3" t="s">
        <v>6656</v>
      </c>
      <c r="D515" s="3" t="s">
        <v>6657</v>
      </c>
      <c r="F515" s="5" t="str">
        <f>IFERROR(__xludf.DUMMYFUNCTION("GOOGLETRANSLATE(A515, ""en"", ""hi"")"),"514")</f>
        <v>514</v>
      </c>
      <c r="G515" s="5" t="str">
        <f>IFERROR(__xludf.DUMMYFUNCTION("GOOGLETRANSLATE(B515, ""en"", ""hi"")"),"ढोल खेल के लिए सहनशक्ति में सुधार करने का प्रभावी तरीका क्या है?")</f>
        <v>ढोल खेल के लिए सहनशक्ति में सुधार करने का प्रभावी तरीका क्या है?</v>
      </c>
      <c r="H515" s="5" t="str">
        <f>IFERROR(__xludf.DUMMYFUNCTION("GOOGLETRANSLATE(C515, ""en"", ""hi"")"),"A) अपनी दिनचर्या में अंतराल प्रशिक्षण और सहनशक्ति अभ्यास को शामिल करना, B) फिटनेस की अनदेखी करना, C) केवल तकनीक पर ध्यान केंद्रित करना, D) सहनशक्ति प्रशिक्षण से बचना")</f>
        <v>A) अपनी दिनचर्या में अंतराल प्रशिक्षण और सहनशक्ति अभ्यास को शामिल करना, B) फिटनेस की अनदेखी करना, C) केवल तकनीक पर ध्यान केंद्रित करना, D) सहनशक्ति प्रशिक्षण से बचना</v>
      </c>
      <c r="I515" s="5" t="str">
        <f>IFERROR(__xludf.DUMMYFUNCTION("GOOGLETRANSLATE(D515, ""en"", ""hi"")"),"A) अपनी दिनचर्या में अंतराल प्रशिक्षण और सहनशक्ति अभ्यास को शामिल करना")</f>
        <v>A) अपनी दिनचर्या में अंतराल प्रशिक्षण और सहनशक्ति अभ्यास को शामिल करना</v>
      </c>
    </row>
    <row r="516" ht="22.5" customHeight="1">
      <c r="A516" s="2">
        <v>515.0</v>
      </c>
      <c r="B516" s="3" t="s">
        <v>6441</v>
      </c>
      <c r="C516" s="3" t="s">
        <v>6658</v>
      </c>
      <c r="D516" s="3" t="s">
        <v>6659</v>
      </c>
      <c r="F516" s="5" t="str">
        <f>IFERROR(__xludf.DUMMYFUNCTION("GOOGLETRANSLATE(A516, ""en"", ""hi"")"),"515")</f>
        <v>515</v>
      </c>
      <c r="G516" s="5" t="str">
        <f>IFERROR(__xludf.DUMMYFUNCTION("GOOGLETRANSLATE(B516, ""en"", ""hi"")"),"ढोल खेल में खिलाड़ी अपनी प्रतिक्रिया समय कैसे सुधार सकते हैं?")</f>
        <v>ढोल खेल में खिलाड़ी अपनी प्रतिक्रिया समय कैसे सुधार सकते हैं?</v>
      </c>
      <c r="H516" s="5" t="str">
        <f>IFERROR(__xludf.DUMMYFUNCTION("GOOGLETRANSLATE(C516, ""en"", ""hi"")"),"A) त्वरित निर्णय लेने वाले अभ्यास और चपलता अभ्यास का अभ्यास करके, B) प्रतिक्रिया समय की अनदेखी करके, C) केवल शक्ति प्रशिक्षण पर ध्यान केंद्रित करके, D) प्रतिक्रिया अभ्यास से बचना")</f>
        <v>A) त्वरित निर्णय लेने वाले अभ्यास और चपलता अभ्यास का अभ्यास करके, B) प्रतिक्रिया समय की अनदेखी करके, C) केवल शक्ति प्रशिक्षण पर ध्यान केंद्रित करके, D) प्रतिक्रिया अभ्यास से बचना</v>
      </c>
      <c r="I516" s="5" t="str">
        <f>IFERROR(__xludf.DUMMYFUNCTION("GOOGLETRANSLATE(D516, ""en"", ""hi"")"),"A) त्वरित निर्णय लेने के अभ्यास और चपलता अभ्यास द्वारा")</f>
        <v>A) त्वरित निर्णय लेने के अभ्यास और चपलता अभ्यास द्वारा</v>
      </c>
    </row>
    <row r="517" ht="22.5" customHeight="1">
      <c r="A517" s="2">
        <v>516.0</v>
      </c>
      <c r="B517" s="3" t="s">
        <v>6660</v>
      </c>
      <c r="C517" s="3" t="s">
        <v>6661</v>
      </c>
      <c r="D517" s="3" t="s">
        <v>6662</v>
      </c>
      <c r="F517" s="5" t="str">
        <f>IFERROR(__xludf.DUMMYFUNCTION("GOOGLETRANSLATE(A517, ""en"", ""hi"")"),"516")</f>
        <v>516</v>
      </c>
      <c r="G517" s="5" t="str">
        <f>IFERROR(__xludf.DUMMYFUNCTION("GOOGLETRANSLATE(B517, ""en"", ""hi"")"),"ढोल खेल में सफल फ्री किक लगाने की कुंजी क्या है?")</f>
        <v>ढोल खेल में सफल फ्री किक लगाने की कुंजी क्या है?</v>
      </c>
      <c r="H517" s="5" t="str">
        <f>IFERROR(__xludf.DUMMYFUNCTION("GOOGLETRANSLATE(C517, ""en"", ""hi"")"),"A) सही तकनीक का चयन करना और गोल के विशिष्ट क्षेत्र को लक्ष्य बनाना, B) फ्री किक तकनीकों को नज़रअंदाज़ करना, C) केवल शक्ति पर ध्यान केंद्रित करना, D) किक में देरी करना")</f>
        <v>A) सही तकनीक का चयन करना और गोल के विशिष्ट क्षेत्र को लक्ष्य बनाना, B) फ्री किक तकनीकों को नज़रअंदाज़ करना, C) केवल शक्ति पर ध्यान केंद्रित करना, D) किक में देरी करना</v>
      </c>
      <c r="I517" s="5" t="str">
        <f>IFERROR(__xludf.DUMMYFUNCTION("GOOGLETRANSLATE(D517, ""en"", ""hi"")"),"A) सही तकनीक का चयन करना और लक्ष्य के विशिष्ट क्षेत्र को लक्षित करना")</f>
        <v>A) सही तकनीक का चयन करना और लक्ष्य के विशिष्ट क्षेत्र को लक्षित करना</v>
      </c>
    </row>
    <row r="518" ht="22.5" customHeight="1">
      <c r="A518" s="2">
        <v>517.0</v>
      </c>
      <c r="B518" s="3" t="s">
        <v>6663</v>
      </c>
      <c r="C518" s="3" t="s">
        <v>6664</v>
      </c>
      <c r="D518" s="3" t="s">
        <v>6665</v>
      </c>
      <c r="F518" s="5" t="str">
        <f>IFERROR(__xludf.DUMMYFUNCTION("GOOGLETRANSLATE(A518, ""en"", ""hi"")"),"517")</f>
        <v>517</v>
      </c>
      <c r="G518" s="5" t="str">
        <f>IFERROR(__xludf.DUMMYFUNCTION("GOOGLETRANSLATE(B518, ""en"", ""hi"")"),"ढोल खेल में प्रभावी रक्षात्मक रुख के लिए खिलाड़ी को किस प्रकार अपनी स्थिति बनानी चाहिए?")</f>
        <v>ढोल खेल में प्रभावी रक्षात्मक रुख के लिए खिलाड़ी को किस प्रकार अपनी स्थिति बनानी चाहिए?</v>
      </c>
      <c r="H518" s="5" t="str">
        <f>IFERROR(__xludf.DUMMYFUNCTION("GOOGLETRANSLATE(C518, ""en"", ""hi"")"),"A) गुरुत्वाकर्षण का केंद्र कम रखकर और वजन बदलने के लिए तैयार रहकर, B) रक्षात्मक स्थिति को नजरअंदाज करके, C) केवल आक्रमण पर ध्यान केंद्रित करके, D) स्थिति से बचकर")</f>
        <v>A) गुरुत्वाकर्षण का केंद्र कम रखकर और वजन बदलने के लिए तैयार रहकर, B) रक्षात्मक स्थिति को नजरअंदाज करके, C) केवल आक्रमण पर ध्यान केंद्रित करके, D) स्थिति से बचकर</v>
      </c>
      <c r="I518" s="5" t="str">
        <f>IFERROR(__xludf.DUMMYFUNCTION("GOOGLETRANSLATE(D518, ""en"", ""hi"")"),"A) गुरुत्वाकर्षण का केंद्र कम रखकर और वजन स्थानांतरित करने के लिए तैयार रहकर")</f>
        <v>A) गुरुत्वाकर्षण का केंद्र कम रखकर और वजन स्थानांतरित करने के लिए तैयार रहकर</v>
      </c>
    </row>
    <row r="519" ht="22.5" customHeight="1">
      <c r="A519" s="2">
        <v>518.0</v>
      </c>
      <c r="B519" s="3" t="s">
        <v>6666</v>
      </c>
      <c r="C519" s="3" t="s">
        <v>6667</v>
      </c>
      <c r="D519" s="3" t="s">
        <v>6668</v>
      </c>
      <c r="F519" s="5" t="str">
        <f>IFERROR(__xludf.DUMMYFUNCTION("GOOGLETRANSLATE(A519, ""en"", ""hi"")"),"518")</f>
        <v>518</v>
      </c>
      <c r="G519" s="5" t="str">
        <f>IFERROR(__xludf.DUMMYFUNCTION("GOOGLETRANSLATE(B519, ""en"", ""hi"")"),"ढोल खेल में मैच के दौरान सफल टीम संचार का मुख्य कारक क्या है?")</f>
        <v>ढोल खेल में मैच के दौरान सफल टीम संचार का मुख्य कारक क्या है?</v>
      </c>
      <c r="H519" s="5" t="str">
        <f>IFERROR(__xludf.DUMMYFUNCTION("GOOGLETRANSLATE(C519, ""en"", ""hi"")"),"A) खिलाड़ियों के बीच स्पष्ट और संक्षिप्त मौखिक और गैर-मौखिक संकेत, B) संचार की अनदेखी, C) केवल व्यक्तिगत खेल पर ध्यान केंद्रित करना, D) टीम संचार से बचना")</f>
        <v>A) खिलाड़ियों के बीच स्पष्ट और संक्षिप्त मौखिक और गैर-मौखिक संकेत, B) संचार की अनदेखी, C) केवल व्यक्तिगत खेल पर ध्यान केंद्रित करना, D) टीम संचार से बचना</v>
      </c>
      <c r="I519" s="5" t="str">
        <f>IFERROR(__xludf.DUMMYFUNCTION("GOOGLETRANSLATE(D519, ""en"", ""hi"")"),"ए) खिलाड़ियों के बीच स्पष्ट और संक्षिप्त मौखिक और गैर-मौखिक संकेत")</f>
        <v>ए) खिलाड़ियों के बीच स्पष्ट और संक्षिप्त मौखिक और गैर-मौखिक संकेत</v>
      </c>
    </row>
    <row r="520" ht="22.5" customHeight="1">
      <c r="A520" s="2">
        <v>519.0</v>
      </c>
      <c r="B520" s="3" t="s">
        <v>6669</v>
      </c>
      <c r="C520" s="3" t="s">
        <v>6670</v>
      </c>
      <c r="D520" s="3" t="s">
        <v>6671</v>
      </c>
      <c r="F520" s="5" t="str">
        <f>IFERROR(__xludf.DUMMYFUNCTION("GOOGLETRANSLATE(A520, ""en"", ""hi"")"),"519")</f>
        <v>519</v>
      </c>
      <c r="G520" s="5" t="str">
        <f>IFERROR(__xludf.DUMMYFUNCTION("GOOGLETRANSLATE(B520, ""en"", ""hi"")"),"ढोल खेल के मैच में एक खिलाड़ी उच्च दबाव वाली स्थिति को प्रभावी ढंग से कैसे संभाल सकता है?")</f>
        <v>ढोल खेल के मैच में एक खिलाड़ी उच्च दबाव वाली स्थिति को प्रभावी ढंग से कैसे संभाल सकता है?</v>
      </c>
      <c r="H520" s="5" t="str">
        <f>IFERROR(__xludf.DUMMYFUNCTION("GOOGLETRANSLATE(C520, ""en"", ""hi"")"),"A) शांत रहकर, ध्यान केंद्रित करके, और अपनी खेल योजना पर अड़े रहकर, B) दबाव को नज़रअंदाज़ करके, C) केवल व्यक्तिगत प्रदर्शन पर ध्यान केंद्रित करके, D) उच्च दबाव वाली स्थितियों से बचकर")</f>
        <v>A) शांत रहकर, ध्यान केंद्रित करके, और अपनी खेल योजना पर अड़े रहकर, B) दबाव को नज़रअंदाज़ करके, C) केवल व्यक्तिगत प्रदर्शन पर ध्यान केंद्रित करके, D) उच्च दबाव वाली स्थितियों से बचकर</v>
      </c>
      <c r="I520" s="5" t="str">
        <f>IFERROR(__xludf.DUMMYFUNCTION("GOOGLETRANSLATE(D520, ""en"", ""hi"")"),"A) शांत रहकर, केंद्रित रहकर, और अपनी खेल योजना पर अडिग रहकर")</f>
        <v>A) शांत रहकर, केंद्रित रहकर, और अपनी खेल योजना पर अडिग रहकर</v>
      </c>
    </row>
    <row r="521" ht="22.5" customHeight="1">
      <c r="A521" s="2">
        <v>520.0</v>
      </c>
      <c r="B521" s="3" t="s">
        <v>6672</v>
      </c>
      <c r="C521" s="3" t="s">
        <v>6673</v>
      </c>
      <c r="D521" s="3" t="s">
        <v>6674</v>
      </c>
      <c r="F521" s="5" t="str">
        <f>IFERROR(__xludf.DUMMYFUNCTION("GOOGLETRANSLATE(A521, ""en"", ""hi"")"),"520")</f>
        <v>520</v>
      </c>
      <c r="G521" s="5" t="str">
        <f>IFERROR(__xludf.DUMMYFUNCTION("GOOGLETRANSLATE(B521, ""en"", ""hi"")"),"ढोल खेल में रक्षात्मक स्लाइड टैकल करते समय क्या महत्वपूर्ण बात है?")</f>
        <v>ढोल खेल में रक्षात्मक स्लाइड टैकल करते समय क्या महत्वपूर्ण बात है?</v>
      </c>
      <c r="H521" s="5" t="str">
        <f>IFERROR(__xludf.DUMMYFUNCTION("GOOGLETRANSLATE(C521, ""en"", ""hi"")"),"ए) फाउल से बचने और गेंद को प्रभावी ढंग से जीतने के लिए टैकल का सही समय पर उपयोग करना, बी) समय की अनदेखी करना, सी) केवल गति पर ध्यान केंद्रित करना, डी) टैकल में देरी करना")</f>
        <v>ए) फाउल से बचने और गेंद को प्रभावी ढंग से जीतने के लिए टैकल का सही समय पर उपयोग करना, बी) समय की अनदेखी करना, सी) केवल गति पर ध्यान केंद्रित करना, डी) टैकल में देरी करना</v>
      </c>
      <c r="I521" s="5" t="str">
        <f>IFERROR(__xludf.DUMMYFUNCTION("GOOGLETRANSLATE(D521, ""en"", ""hi"")"),"ए) फ़ाउल से बचने और गेंद को प्रभावी ढंग से जीतने के लिए टैकल का सही समय पर उपयोग करना")</f>
        <v>ए) फ़ाउल से बचने और गेंद को प्रभावी ढंग से जीतने के लिए टैकल का सही समय पर उपयोग करना</v>
      </c>
    </row>
    <row r="522" ht="22.5" customHeight="1">
      <c r="A522" s="2">
        <v>521.0</v>
      </c>
      <c r="B522" s="3" t="s">
        <v>6675</v>
      </c>
      <c r="C522" s="3" t="s">
        <v>6676</v>
      </c>
      <c r="D522" s="3" t="s">
        <v>6677</v>
      </c>
      <c r="F522" s="5" t="str">
        <f>IFERROR(__xludf.DUMMYFUNCTION("GOOGLETRANSLATE(A522, ""en"", ""hi"")"),"521")</f>
        <v>521</v>
      </c>
      <c r="G522" s="5" t="str">
        <f>IFERROR(__xludf.DUMMYFUNCTION("GOOGLETRANSLATE(B522, ""en"", ""hi"")"),"ढोल खेल में कोई खिलाड़ी अपनी पासिंग रेंज कैसे सुधार सकता है?")</f>
        <v>ढोल खेल में कोई खिलाड़ी अपनी पासिंग रेंज कैसे सुधार सकता है?</v>
      </c>
      <c r="H522" s="5" t="str">
        <f>IFERROR(__xludf.DUMMYFUNCTION("GOOGLETRANSLATE(C522, ""en"", ""hi"")"),"A) लंबी दूरी के पास और विभिन्न तकनीकों का अभ्यास करके, B) पासिंग रेंज की अनदेखी करके, C) केवल छोटे पास पर ध्यान केंद्रित करके, D) लंबे पास अभ्यास से बचना")</f>
        <v>A) लंबी दूरी के पास और विभिन्न तकनीकों का अभ्यास करके, B) पासिंग रेंज की अनदेखी करके, C) केवल छोटे पास पर ध्यान केंद्रित करके, D) लंबे पास अभ्यास से बचना</v>
      </c>
      <c r="I522" s="5" t="str">
        <f>IFERROR(__xludf.DUMMYFUNCTION("GOOGLETRANSLATE(D522, ""en"", ""hi"")"),"A) लंबी दूरी के पास और विभिन्न तकनीकों का अभ्यास करके")</f>
        <v>A) लंबी दूरी के पास और विभिन्न तकनीकों का अभ्यास करके</v>
      </c>
    </row>
    <row r="523" ht="22.5" customHeight="1">
      <c r="A523" s="2">
        <v>522.0</v>
      </c>
      <c r="B523" s="3" t="s">
        <v>6678</v>
      </c>
      <c r="C523" s="3" t="s">
        <v>6679</v>
      </c>
      <c r="D523" s="3" t="s">
        <v>6680</v>
      </c>
      <c r="F523" s="5" t="str">
        <f>IFERROR(__xludf.DUMMYFUNCTION("GOOGLETRANSLATE(A523, ""en"", ""hi"")"),"522")</f>
        <v>522</v>
      </c>
      <c r="G523" s="5" t="str">
        <f>IFERROR(__xludf.DUMMYFUNCTION("GOOGLETRANSLATE(B523, ""en"", ""hi"")"),"ढोल खेल में तीसरे आक्रमणकारी क्षेत्र में दौड़ते समय पोजिशनिंग का मुख्य पहलू क्या है?")</f>
        <v>ढोल खेल में तीसरे आक्रमणकारी क्षेत्र में दौड़ते समय पोजिशनिंग का मुख्य पहलू क्या है?</v>
      </c>
      <c r="H523" s="5" t="str">
        <f>IFERROR(__xludf.DUMMYFUNCTION("GOOGLETRANSLATE(C523, ""en"", ""hi"")"),"A) गेंद को अनुकूल स्थिति में प्राप्त करने के लिए रन का समय निर्धारित करना, B) स्थिति की अनदेखी करना, C) केवल गति पर ध्यान केंद्रित करना, D) टाइमिंग रन से बचना")</f>
        <v>A) गेंद को अनुकूल स्थिति में प्राप्त करने के लिए रन का समय निर्धारित करना, B) स्थिति की अनदेखी करना, C) केवल गति पर ध्यान केंद्रित करना, D) टाइमिंग रन से बचना</v>
      </c>
      <c r="I523" s="5" t="str">
        <f>IFERROR(__xludf.DUMMYFUNCTION("GOOGLETRANSLATE(D523, ""en"", ""hi"")"),"A) गेंद को अनुकूल स्थिति में प्राप्त करने के लिए दौड़ने का समय")</f>
        <v>A) गेंद को अनुकूल स्थिति में प्राप्त करने के लिए दौड़ने का समय</v>
      </c>
    </row>
    <row r="524" ht="22.5" customHeight="1">
      <c r="A524" s="2">
        <v>523.0</v>
      </c>
      <c r="B524" s="3" t="s">
        <v>6681</v>
      </c>
      <c r="C524" s="3" t="s">
        <v>6682</v>
      </c>
      <c r="D524" s="3" t="s">
        <v>6683</v>
      </c>
      <c r="F524" s="5" t="str">
        <f>IFERROR(__xludf.DUMMYFUNCTION("GOOGLETRANSLATE(A524, ""en"", ""hi"")"),"523")</f>
        <v>523</v>
      </c>
      <c r="G524" s="5" t="str">
        <f>IFERROR(__xludf.DUMMYFUNCTION("GOOGLETRANSLATE(B524, ""en"", ""hi"")"),"ढोल खेल में गोलकीपर के साथ आमने-सामने की स्थिति में खिलाड़ी को किस प्रकार से सामना करना चाहिए?")</f>
        <v>ढोल खेल में गोलकीपर के साथ आमने-सामने की स्थिति में खिलाड़ी को किस प्रकार से सामना करना चाहिए?</v>
      </c>
      <c r="H524" s="5" t="str">
        <f>IFERROR(__xludf.DUMMYFUNCTION("GOOGLETRANSLATE(C524, ""en"", ""hi"")"),"A) शांतचित्त रहकर और शूट या ड्रिबल करने के लिए सही क्षण चुनकर, B) गोलकीपर को नजरअंदाज करके, C) केवल शूटिंग पर ध्यान केंद्रित करके, D) आमने-सामने की स्थिति से बचकर")</f>
        <v>A) शांतचित्त रहकर और शूट या ड्रिबल करने के लिए सही क्षण चुनकर, B) गोलकीपर को नजरअंदाज करके, C) केवल शूटिंग पर ध्यान केंद्रित करके, D) आमने-सामने की स्थिति से बचकर</v>
      </c>
      <c r="I524" s="5" t="str">
        <f>IFERROR(__xludf.DUMMYFUNCTION("GOOGLETRANSLATE(D524, ""en"", ""hi"")"),"A) शांतचित्त रहकर और शॉट या ड्रिबल करने के लिए सही क्षण चुनकर")</f>
        <v>A) शांतचित्त रहकर और शॉट या ड्रिबल करने के लिए सही क्षण चुनकर</v>
      </c>
    </row>
    <row r="525" ht="22.5" customHeight="1">
      <c r="A525" s="2">
        <v>524.0</v>
      </c>
      <c r="B525" s="3" t="s">
        <v>6684</v>
      </c>
      <c r="C525" s="3" t="s">
        <v>6685</v>
      </c>
      <c r="D525" s="3" t="s">
        <v>6686</v>
      </c>
      <c r="F525" s="5" t="str">
        <f>IFERROR(__xludf.DUMMYFUNCTION("GOOGLETRANSLATE(A525, ""en"", ""hi"")"),"524")</f>
        <v>524</v>
      </c>
      <c r="G525" s="5" t="str">
        <f>IFERROR(__xludf.DUMMYFUNCTION("GOOGLETRANSLATE(B525, ""en"", ""hi"")"),"ढोल खेल में चपलता के लिए प्रशिक्षण का प्रभावी तरीका क्या है?")</f>
        <v>ढोल खेल में चपलता के लिए प्रशिक्षण का प्रभावी तरीका क्या है?</v>
      </c>
      <c r="H525" s="5" t="str">
        <f>IFERROR(__xludf.DUMMYFUNCTION("GOOGLETRANSLATE(C525, ""en"", ""hi"")"),"ए) शंकु अभ्यास, सीढ़ी अभ्यास और त्वरित फुटवर्क अभ्यास को शामिल करके, बी) चपलता प्रशिक्षण की अनदेखी करके, सी) केवल ताकत पर ध्यान केंद्रित करके, डी) चपलता अभ्यास से बचना")</f>
        <v>ए) शंकु अभ्यास, सीढ़ी अभ्यास और त्वरित फुटवर्क अभ्यास को शामिल करके, बी) चपलता प्रशिक्षण की अनदेखी करके, सी) केवल ताकत पर ध्यान केंद्रित करके, डी) चपलता अभ्यास से बचना</v>
      </c>
      <c r="I525" s="5" t="str">
        <f>IFERROR(__xludf.DUMMYFUNCTION("GOOGLETRANSLATE(D525, ""en"", ""hi"")"),"A) शंकु अभ्यास, सीढ़ी अभ्यास और त्वरित फुटवर्क अभ्यास को शामिल करके")</f>
        <v>A) शंकु अभ्यास, सीढ़ी अभ्यास और त्वरित फुटवर्क अभ्यास को शामिल करके</v>
      </c>
    </row>
    <row r="526" ht="22.5" customHeight="1">
      <c r="A526" s="2">
        <v>525.0</v>
      </c>
      <c r="B526" s="3" t="s">
        <v>6687</v>
      </c>
      <c r="C526" s="3" t="s">
        <v>6688</v>
      </c>
      <c r="D526" s="3" t="s">
        <v>6689</v>
      </c>
      <c r="F526" s="5" t="str">
        <f>IFERROR(__xludf.DUMMYFUNCTION("GOOGLETRANSLATE(A526, ""en"", ""hi"")"),"525")</f>
        <v>525</v>
      </c>
      <c r="G526" s="5" t="str">
        <f>IFERROR(__xludf.DUMMYFUNCTION("GOOGLETRANSLATE(B526, ""en"", ""hi"")"),"ढोल खेल में एक खिलाड़ी को मैच के दौरान अपनी ऊर्जा के स्तर का प्रबंधन कैसे करना चाहिए?")</f>
        <v>ढोल खेल में एक खिलाड़ी को मैच के दौरान अपनी ऊर्जा के स्तर का प्रबंधन कैसे करना चाहिए?</v>
      </c>
      <c r="H526" s="5" t="str">
        <f>IFERROR(__xludf.DUMMYFUNCTION("GOOGLETRANSLATE(C526, ""en"", ""hi"")"),"ए) अपनी गति को नियंत्रित करके, हाइड्रेटेड रहकर, और ब्रेक का लाभ उठाकर, बी) ऊर्जा प्रबंधन की अनदेखी करके, सी) केवल अधिकतम प्रयास पर ध्यान केंद्रित करके, डी) ब्रेक से बचना")</f>
        <v>ए) अपनी गति को नियंत्रित करके, हाइड्रेटेड रहकर, और ब्रेक का लाभ उठाकर, बी) ऊर्जा प्रबंधन की अनदेखी करके, सी) केवल अधिकतम प्रयास पर ध्यान केंद्रित करके, डी) ब्रेक से बचना</v>
      </c>
      <c r="I526" s="5" t="str">
        <f>IFERROR(__xludf.DUMMYFUNCTION("GOOGLETRANSLATE(D526, ""en"", ""hi"")"),"A) अपनी गति बनाए रखकर, हाइड्रेटेड रहकर, और ब्रेक का लाभ उठाकर")</f>
        <v>A) अपनी गति बनाए रखकर, हाइड्रेटेड रहकर, और ब्रेक का लाभ उठाकर</v>
      </c>
    </row>
    <row r="527" ht="22.5" customHeight="1">
      <c r="A527" s="2">
        <v>526.0</v>
      </c>
      <c r="B527" s="3" t="s">
        <v>6690</v>
      </c>
      <c r="C527" s="3" t="s">
        <v>6691</v>
      </c>
      <c r="D527" s="3" t="s">
        <v>6692</v>
      </c>
      <c r="F527" s="5" t="str">
        <f>IFERROR(__xludf.DUMMYFUNCTION("GOOGLETRANSLATE(A527, ""en"", ""hi"")"),"526")</f>
        <v>526</v>
      </c>
      <c r="G527" s="5" t="str">
        <f>IFERROR(__xludf.DUMMYFUNCTION("GOOGLETRANSLATE(B527, ""en"", ""hi"")"),"ढोल खेल में रक्षात्मक चिह्न का प्रदर्शन करते समय मुख्य बात क्या है?")</f>
        <v>ढोल खेल में रक्षात्मक चिह्न का प्रदर्शन करते समय मुख्य बात क्या है?</v>
      </c>
      <c r="H527" s="5" t="str">
        <f>IFERROR(__xludf.DUMMYFUNCTION("GOOGLETRANSLATE(C527, ""en"", ""hi"")"),"A) प्रतिद्वंद्वी के करीब रहना और उनकी गतिविधियों पर प्रभावी ढंग से नज़र रखना, B) मार्किंग तकनीकों को नज़रअंदाज़ करना, C) केवल आक्रमण पर ध्यान केंद्रित करना, D) मार्किंग से बचना")</f>
        <v>A) प्रतिद्वंद्वी के करीब रहना और उनकी गतिविधियों पर प्रभावी ढंग से नज़र रखना, B) मार्किंग तकनीकों को नज़रअंदाज़ करना, C) केवल आक्रमण पर ध्यान केंद्रित करना, D) मार्किंग से बचना</v>
      </c>
      <c r="I527" s="5" t="str">
        <f>IFERROR(__xludf.DUMMYFUNCTION("GOOGLETRANSLATE(D527, ""en"", ""hi"")"),"A) प्रतिद्वंद्वी के करीब रहना और उनकी गतिविधियों पर प्रभावी ढंग से नज़र रखना")</f>
        <v>A) प्रतिद्वंद्वी के करीब रहना और उनकी गतिविधियों पर प्रभावी ढंग से नज़र रखना</v>
      </c>
    </row>
    <row r="528" ht="22.5" customHeight="1">
      <c r="A528" s="2">
        <v>527.0</v>
      </c>
      <c r="B528" s="3" t="s">
        <v>6693</v>
      </c>
      <c r="C528" s="3" t="s">
        <v>6694</v>
      </c>
      <c r="D528" s="3" t="s">
        <v>6695</v>
      </c>
      <c r="F528" s="5" t="str">
        <f>IFERROR(__xludf.DUMMYFUNCTION("GOOGLETRANSLATE(A528, ""en"", ""hi"")"),"527")</f>
        <v>527</v>
      </c>
      <c r="G528" s="5" t="str">
        <f>IFERROR(__xludf.DUMMYFUNCTION("GOOGLETRANSLATE(B528, ""en"", ""hi"")"),"ढोल खेल में कोई खिलाड़ी अपने गोल स्कोरिंग अवसरों को कैसे बेहतर बना सकता है?")</f>
        <v>ढोल खेल में कोई खिलाड़ी अपने गोल स्कोरिंग अवसरों को कैसे बेहतर बना सकता है?</v>
      </c>
      <c r="H528" s="5" t="str">
        <f>IFERROR(__xludf.DUMMYFUNCTION("GOOGLETRANSLATE(C528, ""en"", ""hi"")"),"ए) पोजिशनिंग, टाइमिंग और फिनिशिंग तकनीकों पर काम करके, बी) गोल स्कोरिंग अवसरों को नजरअंदाज करके, सी) केवल पासिंग पर ध्यान केंद्रित करके, डी) फिनिशिंग अभ्यास से बचना")</f>
        <v>ए) पोजिशनिंग, टाइमिंग और फिनिशिंग तकनीकों पर काम करके, बी) गोल स्कोरिंग अवसरों को नजरअंदाज करके, सी) केवल पासिंग पर ध्यान केंद्रित करके, डी) फिनिशिंग अभ्यास से बचना</v>
      </c>
      <c r="I528" s="5" t="str">
        <f>IFERROR(__xludf.DUMMYFUNCTION("GOOGLETRANSLATE(D528, ""en"", ""hi"")"),"A) पोजिशनिंग, टाइमिंग और फिनिशिंग तकनीकों पर काम करके")</f>
        <v>A) पोजिशनिंग, टाइमिंग और फिनिशिंग तकनीकों पर काम करके</v>
      </c>
    </row>
    <row r="529" ht="22.5" customHeight="1">
      <c r="A529" s="2">
        <v>528.0</v>
      </c>
      <c r="B529" s="3" t="s">
        <v>6696</v>
      </c>
      <c r="C529" s="3" t="s">
        <v>6697</v>
      </c>
      <c r="D529" s="3" t="s">
        <v>6698</v>
      </c>
      <c r="F529" s="5" t="str">
        <f>IFERROR(__xludf.DUMMYFUNCTION("GOOGLETRANSLATE(A529, ""en"", ""hi"")"),"528")</f>
        <v>528</v>
      </c>
      <c r="G529" s="5" t="str">
        <f>IFERROR(__xludf.DUMMYFUNCTION("GOOGLETRANSLATE(B529, ""en"", ""hi"")"),"ढोल खेल में कब्ज़ा बनाए रखने का एक महत्वपूर्ण पहलू क्या है?")</f>
        <v>ढोल खेल में कब्ज़ा बनाए रखने का एक महत्वपूर्ण पहलू क्या है?</v>
      </c>
      <c r="H529" s="5" t="str">
        <f>IFERROR(__xludf.DUMMYFUNCTION("GOOGLETRANSLATE(C529, ""en"", ""hi"")"),"ए) गेंद को बनाए रखने के लिए करीबी नियंत्रण और त्वरित, सटीक पास का उपयोग करना, बी) कब्जे की अनदेखी करना, सी) केवल ड्रिब्लिंग पर ध्यान केंद्रित करना, डी) कब्जे की तकनीकों से बचना")</f>
        <v>ए) गेंद को बनाए रखने के लिए करीबी नियंत्रण और त्वरित, सटीक पास का उपयोग करना, बी) कब्जे की अनदेखी करना, सी) केवल ड्रिब्लिंग पर ध्यान केंद्रित करना, डी) कब्जे की तकनीकों से बचना</v>
      </c>
      <c r="I529" s="5" t="str">
        <f>IFERROR(__xludf.DUMMYFUNCTION("GOOGLETRANSLATE(D529, ""en"", ""hi"")"),"A) गेंद को अपने पास बनाए रखने के लिए करीबी नियंत्रण और त्वरित, सटीक पास का उपयोग करना")</f>
        <v>A) गेंद को अपने पास बनाए रखने के लिए करीबी नियंत्रण और त्वरित, सटीक पास का उपयोग करना</v>
      </c>
    </row>
    <row r="530" ht="22.5" customHeight="1">
      <c r="A530" s="2">
        <v>529.0</v>
      </c>
      <c r="B530" s="3" t="s">
        <v>6699</v>
      </c>
      <c r="C530" s="3" t="s">
        <v>6700</v>
      </c>
      <c r="D530" s="3" t="s">
        <v>6701</v>
      </c>
      <c r="F530" s="5" t="str">
        <f>IFERROR(__xludf.DUMMYFUNCTION("GOOGLETRANSLATE(A530, ""en"", ""hi"")"),"529")</f>
        <v>529</v>
      </c>
      <c r="G530" s="5" t="str">
        <f>IFERROR(__xludf.DUMMYFUNCTION("GOOGLETRANSLATE(B530, ""en"", ""hi"")"),"ढोल खेल में मैच के दौरान खिलाड़ी स्थान का प्रभावी ढंग से उपयोग कैसे कर सकता है?")</f>
        <v>ढोल खेल में मैच के दौरान खिलाड़ी स्थान का प्रभावी ढंग से उपयोग कैसे कर सकता है?</v>
      </c>
      <c r="H530" s="5" t="str">
        <f>IFERROR(__xludf.DUMMYFUNCTION("GOOGLETRANSLATE(C530, ""en"", ""hi"")"),"A) बुद्धिमानी से रन बनाकर और अपने तथा साथियों के लिए जगह बनाकर, B) जगह के उपयोग को नज़रअंदाज़ करके, C) केवल व्यक्तिगत खेल पर ध्यान केंद्रित करके, D) जगह बनाने से बचना")</f>
        <v>A) बुद्धिमानी से रन बनाकर और अपने तथा साथियों के लिए जगह बनाकर, B) जगह के उपयोग को नज़रअंदाज़ करके, C) केवल व्यक्तिगत खेल पर ध्यान केंद्रित करके, D) जगह बनाने से बचना</v>
      </c>
      <c r="I530" s="5" t="str">
        <f>IFERROR(__xludf.DUMMYFUNCTION("GOOGLETRANSLATE(D530, ""en"", ""hi"")"),"A) बुद्धिमानी से रन बनाकर और अपने और टीम के साथियों के लिए जगह बनाकर")</f>
        <v>A) बुद्धिमानी से रन बनाकर और अपने और टीम के साथियों के लिए जगह बनाकर</v>
      </c>
    </row>
    <row r="531" ht="22.5" customHeight="1">
      <c r="A531" s="2">
        <v>530.0</v>
      </c>
      <c r="B531" s="3" t="s">
        <v>6702</v>
      </c>
      <c r="C531" s="3" t="s">
        <v>6703</v>
      </c>
      <c r="D531" s="3" t="s">
        <v>6704</v>
      </c>
      <c r="F531" s="5" t="str">
        <f>IFERROR(__xludf.DUMMYFUNCTION("GOOGLETRANSLATE(A531, ""en"", ""hi"")"),"530")</f>
        <v>530</v>
      </c>
      <c r="G531" s="5" t="str">
        <f>IFERROR(__xludf.DUMMYFUNCTION("GOOGLETRANSLATE(B531, ""en"", ""hi"")"),"ढोल खेल में प्रभावी गेंद वितरण का महत्वपूर्ण पहलू क्या है?")</f>
        <v>ढोल खेल में प्रभावी गेंद वितरण का महत्वपूर्ण पहलू क्या है?</v>
      </c>
      <c r="H531" s="5" t="str">
        <f>IFERROR(__xludf.DUMMYFUNCTION("GOOGLETRANSLATE(C531, ""en"", ""hi"")"),"A) सही प्रकार का पास चुनना और इच्छित टीम के साथी को सटीक रूप से निशाना बनाना, B) वितरण तकनीकों की अनदेखी करना, C) केवल व्यक्तिगत कौशल पर ध्यान केंद्रित करना, D) पास में देरी करना")</f>
        <v>A) सही प्रकार का पास चुनना और इच्छित टीम के साथी को सटीक रूप से निशाना बनाना, B) वितरण तकनीकों की अनदेखी करना, C) केवल व्यक्तिगत कौशल पर ध्यान केंद्रित करना, D) पास में देरी करना</v>
      </c>
      <c r="I531" s="5" t="str">
        <f>IFERROR(__xludf.DUMMYFUNCTION("GOOGLETRANSLATE(D531, ""en"", ""hi"")"),"A) सही प्रकार का पास चुनना और इच्छित टीम के साथी को सटीक रूप से निशाना बनाना")</f>
        <v>A) सही प्रकार का पास चुनना और इच्छित टीम के साथी को सटीक रूप से निशाना बनाना</v>
      </c>
    </row>
    <row r="532" ht="22.5" customHeight="1">
      <c r="A532" s="2">
        <v>531.0</v>
      </c>
      <c r="B532" s="3" t="s">
        <v>6524</v>
      </c>
      <c r="C532" s="3" t="s">
        <v>6705</v>
      </c>
      <c r="D532" s="3" t="s">
        <v>6706</v>
      </c>
      <c r="F532" s="5" t="str">
        <f>IFERROR(__xludf.DUMMYFUNCTION("GOOGLETRANSLATE(A532, ""en"", ""hi"")"),"531")</f>
        <v>531</v>
      </c>
      <c r="G532" s="5" t="str">
        <f>IFERROR(__xludf.DUMMYFUNCTION("GOOGLETRANSLATE(B532, ""en"", ""hi"")"),"ढोल खेल में दबाव की स्थिति में प्रदर्शन करने की अपनी क्षमता को कोई खिलाड़ी कैसे सुधार सकता है?")</f>
        <v>ढोल खेल में दबाव की स्थिति में प्रदर्शन करने की अपनी क्षमता को कोई खिलाड़ी कैसे सुधार सकता है?</v>
      </c>
      <c r="H532" s="5" t="str">
        <f>IFERROR(__xludf.DUMMYFUNCTION("GOOGLETRANSLATE(C532, ""en"", ""hi"")"),"A) उच्च दबाव वाले परिदृश्यों का अभ्यास करके और ध्यान बनाए रखकर, B) दबाव प्रशिक्षण की अनदेखी करके, C) केवल तकनीकी कौशल पर ध्यान केंद्रित करके, D) दबाव की स्थितियों से बचना")</f>
        <v>A) उच्च दबाव वाले परिदृश्यों का अभ्यास करके और ध्यान बनाए रखकर, B) दबाव प्रशिक्षण की अनदेखी करके, C) केवल तकनीकी कौशल पर ध्यान केंद्रित करके, D) दबाव की स्थितियों से बचना</v>
      </c>
      <c r="I532" s="5" t="str">
        <f>IFERROR(__xludf.DUMMYFUNCTION("GOOGLETRANSLATE(D532, ""en"", ""hi"")"),"A) उच्च दबाव वाले परिदृश्यों का अभ्यास करके और ध्यान बनाए रखकर")</f>
        <v>A) उच्च दबाव वाले परिदृश्यों का अभ्यास करके और ध्यान बनाए रखकर</v>
      </c>
    </row>
    <row r="533" ht="22.5" customHeight="1">
      <c r="A533" s="2">
        <v>532.0</v>
      </c>
      <c r="B533" s="3" t="s">
        <v>6707</v>
      </c>
      <c r="C533" s="3" t="s">
        <v>6708</v>
      </c>
      <c r="D533" s="3" t="s">
        <v>6709</v>
      </c>
      <c r="F533" s="5" t="str">
        <f>IFERROR(__xludf.DUMMYFUNCTION("GOOGLETRANSLATE(A533, ""en"", ""hi"")"),"532")</f>
        <v>532</v>
      </c>
      <c r="G533" s="5" t="str">
        <f>IFERROR(__xludf.DUMMYFUNCTION("GOOGLETRANSLATE(B533, ""en"", ""hi"")"),"ढोल खेल में मैचों के दौरान टीम वर्क को बेहतर बनाने का प्रभावी तरीका क्या है?")</f>
        <v>ढोल खेल में मैचों के दौरान टीम वर्क को बेहतर बनाने का प्रभावी तरीका क्या है?</v>
      </c>
      <c r="H533" s="5" t="str">
        <f>IFERROR(__xludf.DUMMYFUNCTION("GOOGLETRANSLATE(C533, ""en"", ""hi"")"),"A) नियमित टीम-निर्माण गतिविधियों में शामिल होकर और टीम रणनीतियों का अभ्यास करके, B) टीमवर्क की अनदेखी करके, C) केवल व्यक्तिगत कौशल पर ध्यान केंद्रित करके, D) टीम प्रथाओं से बचना")</f>
        <v>A) नियमित टीम-निर्माण गतिविधियों में शामिल होकर और टीम रणनीतियों का अभ्यास करके, B) टीमवर्क की अनदेखी करके, C) केवल व्यक्तिगत कौशल पर ध्यान केंद्रित करके, D) टीम प्रथाओं से बचना</v>
      </c>
      <c r="I533" s="5" t="str">
        <f>IFERROR(__xludf.DUMMYFUNCTION("GOOGLETRANSLATE(D533, ""en"", ""hi"")"),"A) नियमित टीम-निर्माण गतिविधियों में शामिल होकर और टीम रणनीतियों का अभ्यास करके")</f>
        <v>A) नियमित टीम-निर्माण गतिविधियों में शामिल होकर और टीम रणनीतियों का अभ्यास करके</v>
      </c>
    </row>
    <row r="534" ht="22.5" customHeight="1">
      <c r="A534" s="2">
        <v>533.0</v>
      </c>
      <c r="B534" s="3" t="s">
        <v>6710</v>
      </c>
      <c r="C534" s="3" t="s">
        <v>6711</v>
      </c>
      <c r="D534" s="3" t="s">
        <v>6712</v>
      </c>
      <c r="F534" s="5" t="str">
        <f>IFERROR(__xludf.DUMMYFUNCTION("GOOGLETRANSLATE(A534, ""en"", ""hi"")"),"533")</f>
        <v>533</v>
      </c>
      <c r="G534" s="5" t="str">
        <f>IFERROR(__xludf.DUMMYFUNCTION("GOOGLETRANSLATE(B534, ""en"", ""hi"")"),"ढोल खेल में रक्षात्मक त्रुटि से उबरते समय खिलाड़ी को किस बात पर ध्यान केंद्रित करना चाहिए?")</f>
        <v>ढोल खेल में रक्षात्मक त्रुटि से उबरते समय खिलाड़ी को किस बात पर ध्यान केंद्रित करना चाहिए?</v>
      </c>
      <c r="H534" s="5" t="str">
        <f>IFERROR(__xludf.DUMMYFUNCTION("GOOGLETRANSLATE(C534, ""en"", ""hi"")"),"A) शीघ्रता से पुनः स्थिति बदलना और गलती को सुधारने का प्रयास करना, B) गलती को अनदेखा करना, C) केवल आक्रमण पर ध्यान केन्द्रित करना, D) पुनर्प्राप्ति प्रयासों से बचना")</f>
        <v>A) शीघ्रता से पुनः स्थिति बदलना और गलती को सुधारने का प्रयास करना, B) गलती को अनदेखा करना, C) केवल आक्रमण पर ध्यान केन्द्रित करना, D) पुनर्प्राप्ति प्रयासों से बचना</v>
      </c>
      <c r="I534" s="5" t="str">
        <f>IFERROR(__xludf.DUMMYFUNCTION("GOOGLETRANSLATE(D534, ""en"", ""hi"")"),"A) शीघ्रता से पुनः स्थिति बदलना और गलती को सुधारने का प्रयास करना")</f>
        <v>A) शीघ्रता से पुनः स्थिति बदलना और गलती को सुधारने का प्रयास करना</v>
      </c>
    </row>
    <row r="535" ht="22.5" customHeight="1">
      <c r="A535" s="2">
        <v>534.0</v>
      </c>
      <c r="B535" s="3" t="s">
        <v>6459</v>
      </c>
      <c r="C535" s="3" t="s">
        <v>6713</v>
      </c>
      <c r="D535" s="3" t="s">
        <v>6714</v>
      </c>
      <c r="F535" s="5" t="str">
        <f>IFERROR(__xludf.DUMMYFUNCTION("GOOGLETRANSLATE(A535, ""en"", ""hi"")"),"534")</f>
        <v>534</v>
      </c>
      <c r="G535" s="5" t="str">
        <f>IFERROR(__xludf.DUMMYFUNCTION("GOOGLETRANSLATE(B535, ""en"", ""hi"")"),"ढोल खेल में गेंद को बचाने के लिए खिलाड़ी अपने शरीर का प्रभावी ढंग से उपयोग कैसे कर सकता है?")</f>
        <v>ढोल खेल में गेंद को बचाने के लिए खिलाड़ी अपने शरीर का प्रभावी ढंग से उपयोग कैसे कर सकता है?</v>
      </c>
      <c r="H535" s="5" t="str">
        <f>IFERROR(__xludf.DUMMYFUNCTION("GOOGLETRANSLATE(C535, ""en"", ""hi"")"),"A) गेंद और प्रतिद्वंद्वी के बीच अपने शरीर को रखकर और नियंत्रण बनाए रखकर, B) शरीर की स्थिति को अनदेखा करके, C) केवल गति पर ध्यान केंद्रित करके, D) ढाल तकनीकों से बचना")</f>
        <v>A) गेंद और प्रतिद्वंद्वी के बीच अपने शरीर को रखकर और नियंत्रण बनाए रखकर, B) शरीर की स्थिति को अनदेखा करके, C) केवल गति पर ध्यान केंद्रित करके, D) ढाल तकनीकों से बचना</v>
      </c>
      <c r="I535" s="5" t="str">
        <f>IFERROR(__xludf.DUMMYFUNCTION("GOOGLETRANSLATE(D535, ""en"", ""hi"")"),"A) गेंद और प्रतिद्वंद्वी के बीच अपने शरीर को रखकर और नियंत्रण बनाए रखकर")</f>
        <v>A) गेंद और प्रतिद्वंद्वी के बीच अपने शरीर को रखकर और नियंत्रण बनाए रखकर</v>
      </c>
    </row>
    <row r="536" ht="22.5" customHeight="1">
      <c r="A536" s="2">
        <v>535.0</v>
      </c>
      <c r="B536" s="3" t="s">
        <v>6715</v>
      </c>
      <c r="C536" s="3" t="s">
        <v>6716</v>
      </c>
      <c r="D536" s="3" t="s">
        <v>6717</v>
      </c>
      <c r="F536" s="5" t="str">
        <f>IFERROR(__xludf.DUMMYFUNCTION("GOOGLETRANSLATE(A536, ""en"", ""hi"")"),"535")</f>
        <v>535</v>
      </c>
      <c r="G536" s="5" t="str">
        <f>IFERROR(__xludf.DUMMYFUNCTION("GOOGLETRANSLATE(B536, ""en"", ""hi"")"),"ढोल खेल में सफल हेडर लगाने में मुख्य कारक क्या है?")</f>
        <v>ढोल खेल में सफल हेडर लगाने में मुख्य कारक क्या है?</v>
      </c>
      <c r="H536" s="5" t="str">
        <f>IFERROR(__xludf.DUMMYFUNCTION("GOOGLETRANSLATE(C536, ""en"", ""hi"")"),"ए) गेंद को निर्देशित करने के लिए कूदने का समय और सिर को सही स्थिति में रखना, बी) हेडर तकनीकों की अनदेखी करना, सी) केवल ताकत पर ध्यान केंद्रित करना, डी) हेडर में देरी करना")</f>
        <v>ए) गेंद को निर्देशित करने के लिए कूदने का समय और सिर को सही स्थिति में रखना, बी) हेडर तकनीकों की अनदेखी करना, सी) केवल ताकत पर ध्यान केंद्रित करना, डी) हेडर में देरी करना</v>
      </c>
      <c r="I536" s="5" t="str">
        <f>IFERROR(__xludf.DUMMYFUNCTION("GOOGLETRANSLATE(D536, ""en"", ""hi"")"),"क) गेंद को दिशा देने के लिए कूदने का समय और सिर को सही स्थिति में रखना")</f>
        <v>क) गेंद को दिशा देने के लिए कूदने का समय और सिर को सही स्थिति में रखना</v>
      </c>
    </row>
    <row r="537" ht="22.5" customHeight="1">
      <c r="A537" s="2">
        <v>536.0</v>
      </c>
      <c r="B537" s="3" t="s">
        <v>6718</v>
      </c>
      <c r="C537" s="3" t="s">
        <v>6719</v>
      </c>
      <c r="D537" s="3" t="s">
        <v>6720</v>
      </c>
      <c r="F537" s="5" t="str">
        <f>IFERROR(__xludf.DUMMYFUNCTION("GOOGLETRANSLATE(A537, ""en"", ""hi"")"),"536")</f>
        <v>536</v>
      </c>
      <c r="G537" s="5" t="str">
        <f>IFERROR(__xludf.DUMMYFUNCTION("GOOGLETRANSLATE(B537, ""en"", ""hi"")"),"ढोल खेल में थ्रो-इन की स्थिति में खिलाड़ी को किस प्रकार से काम करना चाहिए?")</f>
        <v>ढोल खेल में थ्रो-इन की स्थिति में खिलाड़ी को किस प्रकार से काम करना चाहिए?</v>
      </c>
      <c r="H537" s="5" t="str">
        <f>IFERROR(__xludf.DUMMYFUNCTION("GOOGLETRANSLATE(C537, ""en"", ""hi"")"),"A) यह सुनिश्चित करके कि थ्रो सिर के पीछे से लिया जाए और टीम के साथी को प्रभावी ढंग से लक्ष्य करके, B) थ्रो-इन नियमों की अनदेखी करके, C) केवल दूरी पर ध्यान केंद्रित करके, D) थ्रो-इन अभ्यास से बचना")</f>
        <v>A) यह सुनिश्चित करके कि थ्रो सिर के पीछे से लिया जाए और टीम के साथी को प्रभावी ढंग से लक्ष्य करके, B) थ्रो-इन नियमों की अनदेखी करके, C) केवल दूरी पर ध्यान केंद्रित करके, D) थ्रो-इन अभ्यास से बचना</v>
      </c>
      <c r="I537" s="5" t="str">
        <f>IFERROR(__xludf.DUMMYFUNCTION("GOOGLETRANSLATE(D537, ""en"", ""hi"")"),"A) यह सुनिश्चित करके कि थ्रो सिर के पीछे से लिया जाए और टीम के साथी को प्रभावी ढंग से लक्ष्य करके फेंका जाए")</f>
        <v>A) यह सुनिश्चित करके कि थ्रो सिर के पीछे से लिया जाए और टीम के साथी को प्रभावी ढंग से लक्ष्य करके फेंका जाए</v>
      </c>
    </row>
    <row r="538" ht="22.5" customHeight="1">
      <c r="A538" s="2">
        <v>537.0</v>
      </c>
      <c r="B538" s="3" t="s">
        <v>6721</v>
      </c>
      <c r="C538" s="3" t="s">
        <v>6722</v>
      </c>
      <c r="D538" s="3" t="s">
        <v>6723</v>
      </c>
      <c r="F538" s="5" t="str">
        <f>IFERROR(__xludf.DUMMYFUNCTION("GOOGLETRANSLATE(A538, ""en"", ""hi"")"),"537")</f>
        <v>537</v>
      </c>
      <c r="G538" s="5" t="str">
        <f>IFERROR(__xludf.DUMMYFUNCTION("GOOGLETRANSLATE(B538, ""en"", ""hi"")"),"ढोल खेल में तेज ब्रेक से बचाव का एक महत्वपूर्ण पहलू क्या है?")</f>
        <v>ढोल खेल में तेज ब्रेक से बचाव का एक महत्वपूर्ण पहलू क्या है?</v>
      </c>
      <c r="H538" s="5" t="str">
        <f>IFERROR(__xludf.DUMMYFUNCTION("GOOGLETRANSLATE(C538, ""en"", ""hi"")"),"A) पासिंग लेन को ब्लॉक करने के लिए खुद को पोजिशन करना और तेजी से दबाव डालना, B) तेज ब्रेक को नजरअंदाज करना, C) केवल आक्रमण पर ध्यान केंद्रित करना, D) रक्षात्मक पोजिशनिंग से बचना")</f>
        <v>A) पासिंग लेन को ब्लॉक करने के लिए खुद को पोजिशन करना और तेजी से दबाव डालना, B) तेज ब्रेक को नजरअंदाज करना, C) केवल आक्रमण पर ध्यान केंद्रित करना, D) रक्षात्मक पोजिशनिंग से बचना</v>
      </c>
      <c r="I538" s="5" t="str">
        <f>IFERROR(__xludf.DUMMYFUNCTION("GOOGLETRANSLATE(D538, ""en"", ""hi"")"),"A) पासिंग लेन को ब्लॉक करने के लिए स्वयं को तैयार करना और शीघ्रता से दबाव डालना")</f>
        <v>A) पासिंग लेन को ब्लॉक करने के लिए स्वयं को तैयार करना और शीघ्रता से दबाव डालना</v>
      </c>
    </row>
    <row r="539" ht="22.5" customHeight="1">
      <c r="A539" s="2">
        <v>538.0</v>
      </c>
      <c r="B539" s="3" t="s">
        <v>6724</v>
      </c>
      <c r="C539" s="3" t="s">
        <v>6725</v>
      </c>
      <c r="D539" s="3" t="s">
        <v>6726</v>
      </c>
      <c r="F539" s="5" t="str">
        <f>IFERROR(__xludf.DUMMYFUNCTION("GOOGLETRANSLATE(A539, ""en"", ""hi"")"),"538")</f>
        <v>538</v>
      </c>
      <c r="G539" s="5" t="str">
        <f>IFERROR(__xludf.DUMMYFUNCTION("GOOGLETRANSLATE(B539, ""en"", ""hi"")"),"ढोल खेल में कोई खिलाड़ी क्रॉस को प्रभावी ढंग से कैसे निष्पादित कर सकता है?")</f>
        <v>ढोल खेल में कोई खिलाड़ी क्रॉस को प्रभावी ढंग से कैसे निष्पादित कर सकता है?</v>
      </c>
      <c r="H539" s="5" t="str">
        <f>IFERROR(__xludf.DUMMYFUNCTION("GOOGLETRANSLATE(C539, ""en"", ""hi"")"),"A) सही ऊंचाई और गति के साथ गेंद को बॉक्स में सटीक रूप से पहुंचाना, B) क्रॉसिंग तकनीकों को नजरअंदाज करना, C) केवल दूरी पर ध्यान केंद्रित करना, D) क्रॉस में देरी करना")</f>
        <v>A) सही ऊंचाई और गति के साथ गेंद को बॉक्स में सटीक रूप से पहुंचाना, B) क्रॉसिंग तकनीकों को नजरअंदाज करना, C) केवल दूरी पर ध्यान केंद्रित करना, D) क्रॉस में देरी करना</v>
      </c>
      <c r="I539" s="5" t="str">
        <f>IFERROR(__xludf.DUMMYFUNCTION("GOOGLETRANSLATE(D539, ""en"", ""hi"")"),"A) गेंद को सही ऊंचाई और गति के साथ बॉक्स में सटीक रूप से पहुंचाकर")</f>
        <v>A) गेंद को सही ऊंचाई और गति के साथ बॉक्स में सटीक रूप से पहुंचाकर</v>
      </c>
    </row>
    <row r="540" ht="22.5" customHeight="1">
      <c r="A540" s="2">
        <v>539.0</v>
      </c>
      <c r="B540" s="3" t="s">
        <v>6727</v>
      </c>
      <c r="C540" s="3" t="s">
        <v>6728</v>
      </c>
      <c r="D540" s="3" t="s">
        <v>6729</v>
      </c>
      <c r="F540" s="5" t="str">
        <f>IFERROR(__xludf.DUMMYFUNCTION("GOOGLETRANSLATE(A540, ""en"", ""hi"")"),"539")</f>
        <v>539</v>
      </c>
      <c r="G540" s="5" t="str">
        <f>IFERROR(__xludf.DUMMYFUNCTION("GOOGLETRANSLATE(B540, ""en"", ""hi"")"),"ढोल खेल में निशानेबाजी में सटीकता बढ़ाने के लिए प्रभावी तरीका क्या है?")</f>
        <v>ढोल खेल में निशानेबाजी में सटीकता बढ़ाने के लिए प्रभावी तरीका क्या है?</v>
      </c>
      <c r="H540" s="5" t="str">
        <f>IFERROR(__xludf.DUMMYFUNCTION("GOOGLETRANSLATE(C540, ""en"", ""hi"")"),"A) विभिन्न शूटिंग तकनीकों का अभ्यास करना और लक्ष्य के विशिष्ट क्षेत्रों को निशाना बनाना, B) सटीकता की अनदेखी करना, C) केवल शक्ति पर ध्यान केंद्रित करना, D) शूटिंग अभ्यास से बचना")</f>
        <v>A) विभिन्न शूटिंग तकनीकों का अभ्यास करना और लक्ष्य के विशिष्ट क्षेत्रों को निशाना बनाना, B) सटीकता की अनदेखी करना, C) केवल शक्ति पर ध्यान केंद्रित करना, D) शूटिंग अभ्यास से बचना</v>
      </c>
      <c r="I540" s="5" t="str">
        <f>IFERROR(__xludf.DUMMYFUNCTION("GOOGLETRANSLATE(D540, ""en"", ""hi"")"),"A) विभिन्न शूटिंग तकनीकों का अभ्यास करना और लक्ष्य के विशिष्ट क्षेत्रों को निशाना बनाना")</f>
        <v>A) विभिन्न शूटिंग तकनीकों का अभ्यास करना और लक्ष्य के विशिष्ट क्षेत्रों को निशाना बनाना</v>
      </c>
    </row>
    <row r="541" ht="22.5" customHeight="1">
      <c r="A541" s="2">
        <v>540.0</v>
      </c>
      <c r="B541" s="3" t="s">
        <v>6730</v>
      </c>
      <c r="C541" s="3" t="s">
        <v>6731</v>
      </c>
      <c r="D541" s="3" t="s">
        <v>6732</v>
      </c>
      <c r="F541" s="5" t="str">
        <f>IFERROR(__xludf.DUMMYFUNCTION("GOOGLETRANSLATE(A541, ""en"", ""hi"")"),"540")</f>
        <v>540</v>
      </c>
      <c r="G541" s="5" t="str">
        <f>IFERROR(__xludf.DUMMYFUNCTION("GOOGLETRANSLATE(B541, ""en"", ""hi"")"),"ढोल खेल में एक खिलाड़ी को एक-पर-एक रक्षात्मक स्थिति का सामना कैसे करना चाहिए?")</f>
        <v>ढोल खेल में एक खिलाड़ी को एक-पर-एक रक्षात्मक स्थिति का सामना कैसे करना चाहिए?</v>
      </c>
      <c r="H541" s="5" t="str">
        <f>IFERROR(__xludf.DUMMYFUNCTION("GOOGLETRANSLATE(C541, ""en"", ""hi"")"),"A) हमलावर के सामने रहकर और उन्हें कम अनुकूल कोणों की ओर जाने के लिए मजबूर करके, B) रक्षात्मक स्थिति की अनदेखी करके, C) केवल टैकलिंग पर ध्यान केंद्रित करके, D) आमने-सामने की स्थितियों से बचना")</f>
        <v>A) हमलावर के सामने रहकर और उन्हें कम अनुकूल कोणों की ओर जाने के लिए मजबूर करके, B) रक्षात्मक स्थिति की अनदेखी करके, C) केवल टैकलिंग पर ध्यान केंद्रित करके, D) आमने-सामने की स्थितियों से बचना</v>
      </c>
      <c r="I541" s="5" t="str">
        <f>IFERROR(__xludf.DUMMYFUNCTION("GOOGLETRANSLATE(D541, ""en"", ""hi"")"),"A) हमलावर के सामने रहकर और उन्हें कम अनुकूल कोणों की ओर धकेलकर")</f>
        <v>A) हमलावर के सामने रहकर और उन्हें कम अनुकूल कोणों की ओर धकेलकर</v>
      </c>
    </row>
    <row r="542" ht="22.5" customHeight="1">
      <c r="A542" s="2">
        <v>541.0</v>
      </c>
      <c r="B542" s="3" t="s">
        <v>6733</v>
      </c>
      <c r="C542" s="3" t="s">
        <v>6734</v>
      </c>
      <c r="D542" s="3" t="s">
        <v>6735</v>
      </c>
      <c r="F542" s="5" t="str">
        <f>IFERROR(__xludf.DUMMYFUNCTION("GOOGLETRANSLATE(A542, ""en"", ""hi"")"),"541")</f>
        <v>541</v>
      </c>
      <c r="G542" s="5" t="str">
        <f>IFERROR(__xludf.DUMMYFUNCTION("GOOGLETRANSLATE(B542, ""en"", ""hi"")"),"ढोल खेल में लंबा पास देते समय खिलाड़ी के लिए मुख्य बात क्या है?")</f>
        <v>ढोल खेल में लंबा पास देते समय खिलाड़ी के लिए मुख्य बात क्या है?</v>
      </c>
      <c r="H542" s="5" t="str">
        <f>IFERROR(__xludf.DUMMYFUNCTION("GOOGLETRANSLATE(C542, ""en"", ""hi"")"),"A) लक्ष्य क्षेत्र का आकलन करना और लक्ष्य तक पहुँचने के लिए उपयुक्त तकनीक का चयन करना, B) लंबे पास तकनीकों की अनदेखी करना, C) केवल छोटे पास पर ध्यान केंद्रित करना, D) लंबे पास में देरी करना")</f>
        <v>A) लक्ष्य क्षेत्र का आकलन करना और लक्ष्य तक पहुँचने के लिए उपयुक्त तकनीक का चयन करना, B) लंबे पास तकनीकों की अनदेखी करना, C) केवल छोटे पास पर ध्यान केंद्रित करना, D) लंबे पास में देरी करना</v>
      </c>
      <c r="I542" s="5" t="str">
        <f>IFERROR(__xludf.DUMMYFUNCTION("GOOGLETRANSLATE(D542, ""en"", ""hi"")"),"क) लक्ष्य क्षेत्र का आकलन करना और लक्ष्य तक पहुँचने के लिए उपयुक्त तकनीक का चयन करना")</f>
        <v>क) लक्ष्य क्षेत्र का आकलन करना और लक्ष्य तक पहुँचने के लिए उपयुक्त तकनीक का चयन करना</v>
      </c>
    </row>
    <row r="543" ht="22.5" customHeight="1">
      <c r="A543" s="2">
        <v>542.0</v>
      </c>
      <c r="B543" s="3" t="s">
        <v>6536</v>
      </c>
      <c r="C543" s="3" t="s">
        <v>6736</v>
      </c>
      <c r="D543" s="3" t="s">
        <v>6737</v>
      </c>
      <c r="F543" s="5" t="str">
        <f>IFERROR(__xludf.DUMMYFUNCTION("GOOGLETRANSLATE(A543, ""en"", ""hi"")"),"542")</f>
        <v>542</v>
      </c>
      <c r="G543" s="5" t="str">
        <f>IFERROR(__xludf.DUMMYFUNCTION("GOOGLETRANSLATE(B543, ""en"", ""hi"")"),"ढोल खेल में कोई खिलाड़ी अपनी रक्षात्मक स्थिति कैसे सुधार सकता है?")</f>
        <v>ढोल खेल में कोई खिलाड़ी अपनी रक्षात्मक स्थिति कैसे सुधार सकता है?</v>
      </c>
      <c r="H543" s="5" t="str">
        <f>IFERROR(__xludf.DUMMYFUNCTION("GOOGLETRANSLATE(C543, ""en"", ""hi"")"),"A) विरोधियों की प्रवृत्तियों का अध्ययन करके और पोजिशनिंग अभ्यास का अभ्यास करके, B) रक्षात्मक अभ्यास की अनदेखी करके, C) केवल आक्रमण पर ध्यान केंद्रित करके, D) पोजिशनिंग अभ्यास से बचना")</f>
        <v>A) विरोधियों की प्रवृत्तियों का अध्ययन करके और पोजिशनिंग अभ्यास का अभ्यास करके, B) रक्षात्मक अभ्यास की अनदेखी करके, C) केवल आक्रमण पर ध्यान केंद्रित करके, D) पोजिशनिंग अभ्यास से बचना</v>
      </c>
      <c r="I543" s="5" t="str">
        <f>IFERROR(__xludf.DUMMYFUNCTION("GOOGLETRANSLATE(D543, ""en"", ""hi"")"),"A) विरोधियों की प्रवृत्तियों का अध्ययन करके और पोजिशनिंग अभ्यास का अभ्यास करके")</f>
        <v>A) विरोधियों की प्रवृत्तियों का अध्ययन करके और पोजिशनिंग अभ्यास का अभ्यास करके</v>
      </c>
    </row>
    <row r="544" ht="22.5" customHeight="1">
      <c r="A544" s="2">
        <v>543.0</v>
      </c>
      <c r="B544" s="3" t="s">
        <v>6738</v>
      </c>
      <c r="C544" s="3" t="s">
        <v>6739</v>
      </c>
      <c r="D544" s="3" t="s">
        <v>6740</v>
      </c>
      <c r="F544" s="5" t="str">
        <f>IFERROR(__xludf.DUMMYFUNCTION("GOOGLETRANSLATE(A544, ""en"", ""hi"")"),"543")</f>
        <v>543</v>
      </c>
      <c r="G544" s="5" t="str">
        <f>IFERROR(__xludf.DUMMYFUNCTION("GOOGLETRANSLATE(B544, ""en"", ""hi"")"),"ढोल खेल में ऊंची गेंद को संभालने का प्रभावी तरीका क्या है?")</f>
        <v>ढोल खेल में ऊंची गेंद को संभालने का प्रभावी तरीका क्या है?</v>
      </c>
      <c r="H544" s="5" t="str">
        <f>IFERROR(__xludf.DUMMYFUNCTION("GOOGLETRANSLATE(C544, ""en"", ""hi"")"),"ए) शरीर को सही स्थिति में रखकर और गेंद को नियंत्रित करने के लिए छाती या सिर का उपयोग करके, बी) हाई बॉल तकनीकों को अनदेखा करके, सी) केवल ग्राउंड बॉल पर ध्यान केंद्रित करके, डी) हाई बॉल अभ्यास से बचना")</f>
        <v>ए) शरीर को सही स्थिति में रखकर और गेंद को नियंत्रित करने के लिए छाती या सिर का उपयोग करके, बी) हाई बॉल तकनीकों को अनदेखा करके, सी) केवल ग्राउंड बॉल पर ध्यान केंद्रित करके, डी) हाई बॉल अभ्यास से बचना</v>
      </c>
      <c r="I544" s="5" t="str">
        <f>IFERROR(__xludf.DUMMYFUNCTION("GOOGLETRANSLATE(D544, ""en"", ""hi"")"),"A) शरीर को सही स्थिति में रखकर और गेंद को नियंत्रित करने के लिए छाती या सिर का उपयोग करके")</f>
        <v>A) शरीर को सही स्थिति में रखकर और गेंद को नियंत्रित करने के लिए छाती या सिर का उपयोग करके</v>
      </c>
    </row>
    <row r="545" ht="22.5" customHeight="1">
      <c r="A545" s="2">
        <v>544.0</v>
      </c>
      <c r="B545" s="3" t="s">
        <v>6741</v>
      </c>
      <c r="C545" s="3" t="s">
        <v>6742</v>
      </c>
      <c r="D545" s="3" t="s">
        <v>6743</v>
      </c>
      <c r="F545" s="5" t="str">
        <f>IFERROR(__xludf.DUMMYFUNCTION("GOOGLETRANSLATE(A545, ""en"", ""hi"")"),"544")</f>
        <v>544</v>
      </c>
      <c r="G545" s="5" t="str">
        <f>IFERROR(__xludf.DUMMYFUNCTION("GOOGLETRANSLATE(B545, ""en"", ""hi"")"),"ढोल खेल में जब कोई खिलाड़ी शारीरिक रूप से थका हुआ हो तो उसे खेल के प्रति कैसा दृष्टिकोण रखना चाहिए?")</f>
        <v>ढोल खेल में जब कोई खिलाड़ी शारीरिक रूप से थका हुआ हो तो उसे खेल के प्रति कैसा दृष्टिकोण रखना चाहिए?</v>
      </c>
      <c r="H545" s="5" t="str">
        <f>IFERROR(__xludf.DUMMYFUNCTION("GOOGLETRANSLATE(C545, ""en"", ""hi"")"),"ए) अपनी ऊर्जा का प्रबंधन करके, स्थिति पर ध्यान केंद्रित करके और स्मार्ट निर्णय लेकर, बी) थकान को नज़रअंदाज़ करके, सी) केवल गति पर ध्यान केंद्रित करके, डी) खेल में भाग लेने से बचना")</f>
        <v>ए) अपनी ऊर्जा का प्रबंधन करके, स्थिति पर ध्यान केंद्रित करके और स्मार्ट निर्णय लेकर, बी) थकान को नज़रअंदाज़ करके, सी) केवल गति पर ध्यान केंद्रित करके, डी) खेल में भाग लेने से बचना</v>
      </c>
      <c r="I545" s="5" t="str">
        <f>IFERROR(__xludf.DUMMYFUNCTION("GOOGLETRANSLATE(D545, ""en"", ""hi"")"),"A) अपनी ऊर्जा का प्रबंधन करके, स्थिति पर ध्यान केंद्रित करके, और स्मार्ट निर्णय लेकर")</f>
        <v>A) अपनी ऊर्जा का प्रबंधन करके, स्थिति पर ध्यान केंद्रित करके, और स्मार्ट निर्णय लेकर</v>
      </c>
    </row>
    <row r="546" ht="22.5" customHeight="1">
      <c r="A546" s="2">
        <v>545.0</v>
      </c>
      <c r="B546" s="3" t="s">
        <v>6744</v>
      </c>
      <c r="C546" s="3" t="s">
        <v>6745</v>
      </c>
      <c r="D546" s="3" t="s">
        <v>6746</v>
      </c>
      <c r="F546" s="5" t="str">
        <f>IFERROR(__xludf.DUMMYFUNCTION("GOOGLETRANSLATE(A546, ""en"", ""hi"")"),"545")</f>
        <v>545</v>
      </c>
      <c r="G546" s="5" t="str">
        <f>IFERROR(__xludf.DUMMYFUNCTION("GOOGLETRANSLATE(B546, ""en"", ""hi"")"),"ढोल खेल में रक्षकों के बीच प्रभावी संचार का महत्वपूर्ण पहलू क्या है?")</f>
        <v>ढोल खेल में रक्षकों के बीच प्रभावी संचार का महत्वपूर्ण पहलू क्या है?</v>
      </c>
      <c r="H546" s="5" t="str">
        <f>IFERROR(__xludf.DUMMYFUNCTION("GOOGLETRANSLATE(C546, ""en"", ""hi"")"),"ए) स्पष्ट मौखिक संकेतों का उपयोग करना और एक-दूसरे की स्थिति के बारे में जागरूकता बनाए रखना, बी) संचार की उपेक्षा करना, सी) केवल व्यक्तिगत रक्षा पर ध्यान केंद्रित करना, डी) संचार से बचना")</f>
        <v>ए) स्पष्ट मौखिक संकेतों का उपयोग करना और एक-दूसरे की स्थिति के बारे में जागरूकता बनाए रखना, बी) संचार की उपेक्षा करना, सी) केवल व्यक्तिगत रक्षा पर ध्यान केंद्रित करना, डी) संचार से बचना</v>
      </c>
      <c r="I546" s="5" t="str">
        <f>IFERROR(__xludf.DUMMYFUNCTION("GOOGLETRANSLATE(D546, ""en"", ""hi"")"),"A) स्पष्ट मौखिक संकेतों का उपयोग करना और एक-दूसरे की स्थिति के बारे में जागरूकता बनाए रखना")</f>
        <v>A) स्पष्ट मौखिक संकेतों का उपयोग करना और एक-दूसरे की स्थिति के बारे में जागरूकता बनाए रखना</v>
      </c>
    </row>
    <row r="547" ht="22.5" customHeight="1">
      <c r="A547" s="2">
        <v>546.0</v>
      </c>
      <c r="B547" s="3" t="s">
        <v>6747</v>
      </c>
      <c r="C547" s="3" t="s">
        <v>6748</v>
      </c>
      <c r="D547" s="3" t="s">
        <v>6749</v>
      </c>
      <c r="F547" s="5" t="str">
        <f>IFERROR(__xludf.DUMMYFUNCTION("GOOGLETRANSLATE(A547, ""en"", ""hi"")"),"546")</f>
        <v>546</v>
      </c>
      <c r="G547" s="5" t="str">
        <f>IFERROR(__xludf.DUMMYFUNCTION("GOOGLETRANSLATE(B547, ""en"", ""hi"")"),"ढोल खेल में खिलाड़ी अपनी गति का प्रभावी ढंग से उपयोग कैसे कर सकते हैं?")</f>
        <v>ढोल खेल में खिलाड़ी अपनी गति का प्रभावी ढंग से उपयोग कैसे कर सकते हैं?</v>
      </c>
      <c r="H547" s="5" t="str">
        <f>IFERROR(__xludf.DUMMYFUNCTION("GOOGLETRANSLATE(C547, ""en"", ""hi"")"),"A) बुद्धिमानी से दौड़कर और अंतराल का फायदा उठाने के लिए खुद को तैनात करके, B) गति के उपयोग को नजरअंदाज करके, C) केवल ताकत पर ध्यान केंद्रित करके, D) गति प्रशिक्षण से बचना")</f>
        <v>A) बुद्धिमानी से दौड़कर और अंतराल का फायदा उठाने के लिए खुद को तैनात करके, B) गति के उपयोग को नजरअंदाज करके, C) केवल ताकत पर ध्यान केंद्रित करके, D) गति प्रशिक्षण से बचना</v>
      </c>
      <c r="I547" s="5" t="str">
        <f>IFERROR(__xludf.DUMMYFUNCTION("GOOGLETRANSLATE(D547, ""en"", ""hi"")"),"A) बुद्धिमानी से रन बनाकर और अंतराल का फायदा उठाने के लिए खुद को तैयार करके")</f>
        <v>A) बुद्धिमानी से रन बनाकर और अंतराल का फायदा उठाने के लिए खुद को तैयार करके</v>
      </c>
    </row>
    <row r="548" ht="22.5" customHeight="1">
      <c r="A548" s="2">
        <v>547.0</v>
      </c>
      <c r="B548" s="3" t="s">
        <v>6750</v>
      </c>
      <c r="C548" s="3" t="s">
        <v>6751</v>
      </c>
      <c r="D548" s="3" t="s">
        <v>6752</v>
      </c>
      <c r="F548" s="5" t="str">
        <f>IFERROR(__xludf.DUMMYFUNCTION("GOOGLETRANSLATE(A548, ""en"", ""hi"")"),"547")</f>
        <v>547</v>
      </c>
      <c r="G548" s="5" t="str">
        <f>IFERROR(__xludf.DUMMYFUNCTION("GOOGLETRANSLATE(B548, ""en"", ""hi"")"),"ढोल खेल में गेंद पर नियंत्रण सुधारने के लिए प्रभावी तकनीक क्या है?")</f>
        <v>ढोल खेल में गेंद पर नियंत्रण सुधारने के लिए प्रभावी तकनीक क्या है?</v>
      </c>
      <c r="H548" s="5" t="str">
        <f>IFERROR(__xludf.DUMMYFUNCTION("GOOGLETRANSLATE(C548, ""en"", ""hi"")"),"A) ड्रिब्लिंग ड्रिल और बॉल कंट्रोल अभ्यास का नियमित अभ्यास करना, B) नियंत्रण तकनीकों की अनदेखी करना, C) केवल पासिंग पर ध्यान केंद्रित करना, D) बॉल कंट्रोल अभ्यास से बचना")</f>
        <v>A) ड्रिब्लिंग ड्रिल और बॉल कंट्रोल अभ्यास का नियमित अभ्यास करना, B) नियंत्रण तकनीकों की अनदेखी करना, C) केवल पासिंग पर ध्यान केंद्रित करना, D) बॉल कंट्रोल अभ्यास से बचना</v>
      </c>
      <c r="I548" s="5" t="str">
        <f>IFERROR(__xludf.DUMMYFUNCTION("GOOGLETRANSLATE(D548, ""en"", ""hi"")"),"ए) ड्रिब्लिंग अभ्यास और गेंद नियंत्रण अभ्यास का नियमित अभ्यास करना")</f>
        <v>ए) ड्रिब्लिंग अभ्यास और गेंद नियंत्रण अभ्यास का नियमित अभ्यास करना</v>
      </c>
    </row>
    <row r="549" ht="22.5" customHeight="1">
      <c r="A549" s="2">
        <v>548.0</v>
      </c>
      <c r="B549" s="3" t="s">
        <v>6753</v>
      </c>
      <c r="C549" s="3" t="s">
        <v>6754</v>
      </c>
      <c r="D549" s="3" t="s">
        <v>6755</v>
      </c>
      <c r="F549" s="5" t="str">
        <f>IFERROR(__xludf.DUMMYFUNCTION("GOOGLETRANSLATE(A549, ""en"", ""hi"")"),"548")</f>
        <v>548</v>
      </c>
      <c r="G549" s="5" t="str">
        <f>IFERROR(__xludf.DUMMYFUNCTION("GOOGLETRANSLATE(B549, ""en"", ""hi"")"),"ढोल खेल में खिलाड़ी खेल को प्रभावी ढंग से कैसे पढ़ सकता है?")</f>
        <v>ढोल खेल में खिलाड़ी खेल को प्रभावी ढंग से कैसे पढ़ सकता है?</v>
      </c>
      <c r="H549" s="5" t="str">
        <f>IFERROR(__xludf.DUMMYFUNCTION("GOOGLETRANSLATE(C549, ""en"", ""hi"")"),"A) विरोधियों की गतिविधियों का विश्लेषण करके और खेल का पूर्वानुमान लगाकर, B) खेल विश्लेषण की अनदेखी करके, C) केवल व्यक्तिगत प्रदर्शन पर ध्यान केंद्रित करके, D) खेल पढ़ने के अभ्यास से बचना")</f>
        <v>A) विरोधियों की गतिविधियों का विश्लेषण करके और खेल का पूर्वानुमान लगाकर, B) खेल विश्लेषण की अनदेखी करके, C) केवल व्यक्तिगत प्रदर्शन पर ध्यान केंद्रित करके, D) खेल पढ़ने के अभ्यास से बचना</v>
      </c>
      <c r="I549" s="5" t="str">
        <f>IFERROR(__xludf.DUMMYFUNCTION("GOOGLETRANSLATE(D549, ""en"", ""hi"")"),"A) विरोधियों की गतिविधियों का विश्लेषण करके और खेल का पूर्वानुमान लगाकर")</f>
        <v>A) विरोधियों की गतिविधियों का विश्लेषण करके और खेल का पूर्वानुमान लगाकर</v>
      </c>
    </row>
    <row r="550" ht="22.5" customHeight="1">
      <c r="A550" s="2">
        <v>549.0</v>
      </c>
      <c r="B550" s="3" t="s">
        <v>6756</v>
      </c>
      <c r="C550" s="3" t="s">
        <v>6757</v>
      </c>
      <c r="D550" s="3" t="s">
        <v>6758</v>
      </c>
      <c r="F550" s="5" t="str">
        <f>IFERROR(__xludf.DUMMYFUNCTION("GOOGLETRANSLATE(A550, ""en"", ""hi"")"),"549")</f>
        <v>549</v>
      </c>
      <c r="G550" s="5" t="str">
        <f>IFERROR(__xludf.DUMMYFUNCTION("GOOGLETRANSLATE(B550, ""en"", ""hi"")"),"ढोल खेल में सफल सेट पीस का मुख्य कारक क्या है?")</f>
        <v>ढोल खेल में सफल सेट पीस का मुख्य कारक क्या है?</v>
      </c>
      <c r="H550" s="5" t="str">
        <f>IFERROR(__xludf.DUMMYFUNCTION("GOOGLETRANSLATE(C550, ""en"", ""hi"")"),"A) टीम के साथियों के साथ समन्वय करना और सेट पीस रणनीति को प्रभावी ढंग से क्रियान्वित करना, B) सेट पीस तकनीकों की अनदेखी करना, C) केवल व्यक्तिगत कौशल पर ध्यान केंद्रित करना, D) सेट पीस में देरी करना")</f>
        <v>A) टीम के साथियों के साथ समन्वय करना और सेट पीस रणनीति को प्रभावी ढंग से क्रियान्वित करना, B) सेट पीस तकनीकों की अनदेखी करना, C) केवल व्यक्तिगत कौशल पर ध्यान केंद्रित करना, D) सेट पीस में देरी करना</v>
      </c>
      <c r="I550" s="5" t="str">
        <f>IFERROR(__xludf.DUMMYFUNCTION("GOOGLETRANSLATE(D550, ""en"", ""hi"")"),"A) टीम के साथियों के साथ समन्वय करना और निर्धारित रणनीति को प्रभावी ढंग से क्रियान्वित करना")</f>
        <v>A) टीम के साथियों के साथ समन्वय करना और निर्धारित रणनीति को प्रभावी ढंग से क्रियान्वित करना</v>
      </c>
    </row>
    <row r="551" ht="22.5" customHeight="1">
      <c r="A551" s="2">
        <v>550.0</v>
      </c>
      <c r="B551" s="3" t="s">
        <v>6759</v>
      </c>
      <c r="C551" s="3" t="s">
        <v>6760</v>
      </c>
      <c r="D551" s="3" t="s">
        <v>6761</v>
      </c>
      <c r="F551" s="5" t="str">
        <f>IFERROR(__xludf.DUMMYFUNCTION("GOOGLETRANSLATE(A551, ""en"", ""hi"")"),"550")</f>
        <v>550</v>
      </c>
      <c r="G551" s="5" t="str">
        <f>IFERROR(__xludf.DUMMYFUNCTION("GOOGLETRANSLATE(B551, ""en"", ""hi"")"),"ढोल खेल में खिलाड़ी को रक्षात्मक बदलाव किस प्रकार करना चाहिए?")</f>
        <v>ढोल खेल में खिलाड़ी को रक्षात्मक बदलाव किस प्रकार करना चाहिए?</v>
      </c>
      <c r="H551" s="5" t="str">
        <f>IFERROR(__xludf.DUMMYFUNCTION("GOOGLETRANSLATE(C551, ""en"", ""hi"")"),"A) रक्षा को शीघ्रता से पुनः स्थापित और व्यवस्थित करके, B) रक्षात्मक परिवर्तनों को अनदेखा करके, C) केवल आक्रमण पर ध्यान केंद्रित करके, D) परिवर्तन अभ्यास से बचना")</f>
        <v>A) रक्षा को शीघ्रता से पुनः स्थापित और व्यवस्थित करके, B) रक्षात्मक परिवर्तनों को अनदेखा करके, C) केवल आक्रमण पर ध्यान केंद्रित करके, D) परिवर्तन अभ्यास से बचना</v>
      </c>
      <c r="I551" s="5" t="str">
        <f>IFERROR(__xludf.DUMMYFUNCTION("GOOGLETRANSLATE(D551, ""en"", ""hi"")"),"A) रक्षा को शीघ्रता से पुनः स्थापित और व्यवस्थित करके")</f>
        <v>A) रक्षा को शीघ्रता से पुनः स्थापित और व्यवस्थित करके</v>
      </c>
    </row>
    <row r="552" ht="22.5" customHeight="1">
      <c r="A552" s="2">
        <v>551.0</v>
      </c>
      <c r="B552" s="3" t="s">
        <v>6634</v>
      </c>
      <c r="C552" s="3" t="s">
        <v>6762</v>
      </c>
      <c r="D552" s="3" t="s">
        <v>6763</v>
      </c>
      <c r="F552" s="5" t="str">
        <f>IFERROR(__xludf.DUMMYFUNCTION("GOOGLETRANSLATE(A552, ""en"", ""hi"")"),"551")</f>
        <v>551</v>
      </c>
      <c r="G552" s="5" t="str">
        <f>IFERROR(__xludf.DUMMYFUNCTION("GOOGLETRANSLATE(B552, ""en"", ""hi"")"),"ढोल खेल में रक्षात्मक क्लीयरेंस करते समय मुख्य बात क्या है?")</f>
        <v>ढोल खेल में रक्षात्मक क्लीयरेंस करते समय मुख्य बात क्या है?</v>
      </c>
      <c r="H552" s="5" t="str">
        <f>IFERROR(__xludf.DUMMYFUNCTION("GOOGLETRANSLATE(C552, ""en"", ""hi"")"),"A) यह सुनिश्चित करना कि तत्काल खतरे को दूर करने के लिए निकासी सटीकता और दूरी के साथ की जाए, B) निकासी तकनीकों की अनदेखी करना, C) केवल हमला करने पर ध्यान केंद्रित करना, D) निकासी में देरी करना")</f>
        <v>A) यह सुनिश्चित करना कि तत्काल खतरे को दूर करने के लिए निकासी सटीकता और दूरी के साथ की जाए, B) निकासी तकनीकों की अनदेखी करना, C) केवल हमला करने पर ध्यान केंद्रित करना, D) निकासी में देरी करना</v>
      </c>
      <c r="I552" s="5" t="str">
        <f>IFERROR(__xludf.DUMMYFUNCTION("GOOGLETRANSLATE(D552, ""en"", ""hi"")"),"क) यह सुनिश्चित करना कि तत्काल खतरे को दूर करने के लिए निकासी सटीकता और दूरी के साथ की जाए")</f>
        <v>क) यह सुनिश्चित करना कि तत्काल खतरे को दूर करने के लिए निकासी सटीकता और दूरी के साथ की जाए</v>
      </c>
    </row>
    <row r="553" ht="22.5" customHeight="1">
      <c r="A553" s="2">
        <v>552.0</v>
      </c>
      <c r="B553" s="3" t="s">
        <v>6764</v>
      </c>
      <c r="C553" s="3" t="s">
        <v>6765</v>
      </c>
      <c r="D553" s="3" t="s">
        <v>6766</v>
      </c>
      <c r="F553" s="5" t="str">
        <f>IFERROR(__xludf.DUMMYFUNCTION("GOOGLETRANSLATE(A553, ""en"", ""hi"")"),"552")</f>
        <v>552</v>
      </c>
      <c r="G553" s="5" t="str">
        <f>IFERROR(__xludf.DUMMYFUNCTION("GOOGLETRANSLATE(B553, ""en"", ""hi"")"),"ढोल खेल में खिलाड़ी खेल की रणनीति की अपनी समझ को कैसे बेहतर बना सकते हैं?")</f>
        <v>ढोल खेल में खिलाड़ी खेल की रणनीति की अपनी समझ को कैसे बेहतर बना सकते हैं?</v>
      </c>
      <c r="H553" s="5" t="str">
        <f>IFERROR(__xludf.DUMMYFUNCTION("GOOGLETRANSLATE(C553, ""en"", ""hi"")"),"A) खेल रणनीतियों का अध्ययन करके, मैचों का विश्लेषण करके, और कोचों के साथ रणनीति पर चर्चा करके, B) सामरिक समझ की अनदेखी करके, C) केवल शारीरिक प्रशिक्षण पर ध्यान केंद्रित करके, D) सामरिक चर्चाओं से बचना")</f>
        <v>A) खेल रणनीतियों का अध्ययन करके, मैचों का विश्लेषण करके, और कोचों के साथ रणनीति पर चर्चा करके, B) सामरिक समझ की अनदेखी करके, C) केवल शारीरिक प्रशिक्षण पर ध्यान केंद्रित करके, D) सामरिक चर्चाओं से बचना</v>
      </c>
      <c r="I553" s="5" t="str">
        <f>IFERROR(__xludf.DUMMYFUNCTION("GOOGLETRANSLATE(D553, ""en"", ""hi"")"),"A) खेल रणनीतियों का अध्ययन करके, मैचों का विश्लेषण करके, और कोचों के साथ रणनीति पर चर्चा करके")</f>
        <v>A) खेल रणनीतियों का अध्ययन करके, मैचों का विश्लेषण करके, और कोचों के साथ रणनीति पर चर्चा करके</v>
      </c>
    </row>
    <row r="554" ht="22.5" customHeight="1">
      <c r="A554" s="2">
        <v>553.0</v>
      </c>
      <c r="B554" s="3" t="s">
        <v>6767</v>
      </c>
      <c r="C554" s="3" t="s">
        <v>6768</v>
      </c>
      <c r="D554" s="3" t="s">
        <v>6769</v>
      </c>
      <c r="F554" s="5" t="str">
        <f>IFERROR(__xludf.DUMMYFUNCTION("GOOGLETRANSLATE(A554, ""en"", ""hi"")"),"553")</f>
        <v>553</v>
      </c>
      <c r="G554" s="5" t="str">
        <f>IFERROR(__xludf.DUMMYFUNCTION("GOOGLETRANSLATE(B554, ""en"", ""hi"")"),"ढोल खेल में ड्रिब्लिंग कौशल का अभ्यास करने का प्रभावी तरीका क्या है?")</f>
        <v>ढोल खेल में ड्रिब्लिंग कौशल का अभ्यास करने का प्रभावी तरीका क्या है?</v>
      </c>
      <c r="H554" s="5" t="str">
        <f>IFERROR(__xludf.DUMMYFUNCTION("GOOGLETRANSLATE(C554, ""en"", ""hi"")"),"ए) शंकु अभ्यास का उपयोग करके, निकट नियंत्रण का अभ्यास करके, और एक-पर-एक अभ्यास में संलग्न होकर, बी) ड्रिब्लिंग अभ्यास की उपेक्षा करके, सी) केवल पासिंग पर ध्यान केंद्रित करके, डी) ड्रिब्लिंग अभ्यास से बचना")</f>
        <v>ए) शंकु अभ्यास का उपयोग करके, निकट नियंत्रण का अभ्यास करके, और एक-पर-एक अभ्यास में संलग्न होकर, बी) ड्रिब्लिंग अभ्यास की उपेक्षा करके, सी) केवल पासिंग पर ध्यान केंद्रित करके, डी) ड्रिब्लिंग अभ्यास से बचना</v>
      </c>
      <c r="I554" s="5" t="str">
        <f>IFERROR(__xludf.DUMMYFUNCTION("GOOGLETRANSLATE(D554, ""en"", ""hi"")"),"ए) शंकु अभ्यास का उपयोग करके, निकट नियंत्रण का अभ्यास करके, और एक-पर-एक अभ्यास में संलग्न होकर")</f>
        <v>ए) शंकु अभ्यास का उपयोग करके, निकट नियंत्रण का अभ्यास करके, और एक-पर-एक अभ्यास में संलग्न होकर</v>
      </c>
    </row>
    <row r="555" ht="22.5" customHeight="1">
      <c r="A555" s="2">
        <v>554.0</v>
      </c>
      <c r="B555" s="3" t="s">
        <v>6770</v>
      </c>
      <c r="C555" s="3" t="s">
        <v>6771</v>
      </c>
      <c r="D555" s="3" t="s">
        <v>6772</v>
      </c>
      <c r="F555" s="5" t="str">
        <f>IFERROR(__xludf.DUMMYFUNCTION("GOOGLETRANSLATE(A555, ""en"", ""hi"")"),"554")</f>
        <v>554</v>
      </c>
      <c r="G555" s="5" t="str">
        <f>IFERROR(__xludf.DUMMYFUNCTION("GOOGLETRANSLATE(B555, ""en"", ""hi"")"),"ढोल खेल में जब कोई खिलाड़ी मानसिक रूप से थक जाता है तो उसे खेल के प्रति कैसा दृष्टिकोण अपनाना चाहिए?")</f>
        <v>ढोल खेल में जब कोई खिलाड़ी मानसिक रूप से थक जाता है तो उसे खेल के प्रति कैसा दृष्टिकोण अपनाना चाहिए?</v>
      </c>
      <c r="H555" s="5" t="str">
        <f>IFERROR(__xludf.DUMMYFUNCTION("GOOGLETRANSLATE(C555, ""en"", ""hi"")"),"A) अपने खेल को सरल बनाने, एकाग्रता बनाए रखने और तनाव प्रबंधन पर ध्यान केंद्रित करके, B) मानसिक थकावट को नजरअंदाज करके, C) केवल शारीरिक प्रदर्शन पर ध्यान केंद्रित करके, D) खेल में भाग लेने से बचना")</f>
        <v>A) अपने खेल को सरल बनाने, एकाग्रता बनाए रखने और तनाव प्रबंधन पर ध्यान केंद्रित करके, B) मानसिक थकावट को नजरअंदाज करके, C) केवल शारीरिक प्रदर्शन पर ध्यान केंद्रित करके, D) खेल में भाग लेने से बचना</v>
      </c>
      <c r="I555" s="5" t="str">
        <f>IFERROR(__xludf.DUMMYFUNCTION("GOOGLETRANSLATE(D555, ""en"", ""hi"")"),"A) उनके खेल को सरल बनाने, एकाग्रता बनाए रखने और तनाव प्रबंधन पर ध्यान केंद्रित करके")</f>
        <v>A) उनके खेल को सरल बनाने, एकाग्रता बनाए रखने और तनाव प्रबंधन पर ध्यान केंद्रित करके</v>
      </c>
    </row>
    <row r="556" ht="22.5" customHeight="1">
      <c r="A556" s="2">
        <v>555.0</v>
      </c>
      <c r="B556" s="3" t="s">
        <v>6773</v>
      </c>
      <c r="C556" s="3" t="s">
        <v>6774</v>
      </c>
      <c r="D556" s="3" t="s">
        <v>6775</v>
      </c>
      <c r="F556" s="5" t="str">
        <f>IFERROR(__xludf.DUMMYFUNCTION("GOOGLETRANSLATE(A556, ""en"", ""hi"")"),"555")</f>
        <v>555</v>
      </c>
      <c r="G556" s="5" t="str">
        <f>IFERROR(__xludf.DUMMYFUNCTION("GOOGLETRANSLATE(B556, ""en"", ""hi"")"),"ढोल खेल में प्रभावी रक्षात्मक स्थिति बनाए रखने का मुख्य पहलू क्या है?")</f>
        <v>ढोल खेल में प्रभावी रक्षात्मक स्थिति बनाए रखने का मुख्य पहलू क्या है?</v>
      </c>
      <c r="H556" s="5" t="str">
        <f>IFERROR(__xludf.DUMMYFUNCTION("GOOGLETRANSLATE(C556, ""en"", ""hi"")"),"ए) एक सघन संरचना बनाए रखना और रक्षकों के बीच उचित दूरी सुनिश्चित करना, बी) रक्षात्मक संरचना की अनदेखी करना, सी) केवल आक्रमण पर ध्यान केंद्रित करना, डी) संरचना अभ्यास से बचना")</f>
        <v>ए) एक सघन संरचना बनाए रखना और रक्षकों के बीच उचित दूरी सुनिश्चित करना, बी) रक्षात्मक संरचना की अनदेखी करना, सी) केवल आक्रमण पर ध्यान केंद्रित करना, डी) संरचना अभ्यास से बचना</v>
      </c>
      <c r="I556" s="5" t="str">
        <f>IFERROR(__xludf.DUMMYFUNCTION("GOOGLETRANSLATE(D556, ""en"", ""hi"")"),"ए) एक सघन संरचना बनाए रखना और रक्षकों के बीच उचित दूरी सुनिश्चित करना")</f>
        <v>ए) एक सघन संरचना बनाए रखना और रक्षकों के बीच उचित दूरी सुनिश्चित करना</v>
      </c>
    </row>
    <row r="557" ht="22.5" customHeight="1">
      <c r="A557" s="2">
        <v>556.0</v>
      </c>
      <c r="B557" s="3" t="s">
        <v>6776</v>
      </c>
      <c r="C557" s="3" t="s">
        <v>6777</v>
      </c>
      <c r="D557" s="3" t="s">
        <v>6778</v>
      </c>
      <c r="F557" s="5" t="str">
        <f>IFERROR(__xludf.DUMMYFUNCTION("GOOGLETRANSLATE(A557, ""en"", ""hi"")"),"556")</f>
        <v>556</v>
      </c>
      <c r="G557" s="5" t="str">
        <f>IFERROR(__xludf.DUMMYFUNCTION("GOOGLETRANSLATE(B557, ""en"", ""hi"")"),"ढोल खेल में कोई खिलाड़ी अपनी हेडिंग सटीकता को प्रभावी ढंग से कैसे सुधार सकता है?")</f>
        <v>ढोल खेल में कोई खिलाड़ी अपनी हेडिंग सटीकता को प्रभावी ढंग से कैसे सुधार सकता है?</v>
      </c>
      <c r="H557" s="5" t="str">
        <f>IFERROR(__xludf.DUMMYFUNCTION("GOOGLETRANSLATE(C557, ""en"", ""hi"")"),"ए) हेडिंग तकनीकों का अभ्यास करके, टाइमिंग पर ध्यान केंद्रित करके और पोजिशनिंग में सुधार करके, बी) हेडिंग अभ्यास की अनदेखी करके, सी) केवल फुटवर्क पर ध्यान केंद्रित करके, डी) हेडिंग अभ्यास से बचना")</f>
        <v>ए) हेडिंग तकनीकों का अभ्यास करके, टाइमिंग पर ध्यान केंद्रित करके और पोजिशनिंग में सुधार करके, बी) हेडिंग अभ्यास की अनदेखी करके, सी) केवल फुटवर्क पर ध्यान केंद्रित करके, डी) हेडिंग अभ्यास से बचना</v>
      </c>
      <c r="I557" s="5" t="str">
        <f>IFERROR(__xludf.DUMMYFUNCTION("GOOGLETRANSLATE(D557, ""en"", ""hi"")"),"ए) हेडिंग तकनीकों का अभ्यास करके, समय पर ध्यान केंद्रित करके और स्थिति में सुधार करके")</f>
        <v>ए) हेडिंग तकनीकों का अभ्यास करके, समय पर ध्यान केंद्रित करके और स्थिति में सुधार करके</v>
      </c>
    </row>
    <row r="558" ht="22.5" customHeight="1">
      <c r="A558" s="2">
        <v>557.0</v>
      </c>
      <c r="B558" s="3" t="s">
        <v>6779</v>
      </c>
      <c r="C558" s="3" t="s">
        <v>6780</v>
      </c>
      <c r="D558" s="3" t="s">
        <v>6781</v>
      </c>
      <c r="F558" s="5" t="str">
        <f>IFERROR(__xludf.DUMMYFUNCTION("GOOGLETRANSLATE(A558, ""en"", ""hi"")"),"557")</f>
        <v>557</v>
      </c>
      <c r="G558" s="5" t="str">
        <f>IFERROR(__xludf.DUMMYFUNCTION("GOOGLETRANSLATE(B558, ""en"", ""hi"")"),"ढोल खेल में कब्ज़ा वापस पाने के लिए प्रभावी रणनीति क्या है?")</f>
        <v>ढोल खेल में कब्ज़ा वापस पाने के लिए प्रभावी रणनीति क्या है?</v>
      </c>
      <c r="H558" s="5" t="str">
        <f>IFERROR(__xludf.DUMMYFUNCTION("GOOGLETRANSLATE(C558, ""en"", ""hi"")"),"A) दबाव डालना, पास रोकना, और प्रतिद्वंद्वी की चालों का पूर्वानुमान लगाना, B) कब्ज़ा पुनः प्राप्त करने की तकनीकों को नज़रअंदाज़ करना, C) केवल आक्रमण पर ध्यान केंद्रित करना, D) दबाव डालने से बचना")</f>
        <v>A) दबाव डालना, पास रोकना, और प्रतिद्वंद्वी की चालों का पूर्वानुमान लगाना, B) कब्ज़ा पुनः प्राप्त करने की तकनीकों को नज़रअंदाज़ करना, C) केवल आक्रमण पर ध्यान केंद्रित करना, D) दबाव डालने से बचना</v>
      </c>
      <c r="I558" s="5" t="str">
        <f>IFERROR(__xludf.DUMMYFUNCTION("GOOGLETRANSLATE(D558, ""en"", ""hi"")"),"A) दबाव डालना, पास रोकना और प्रतिद्वंद्वी की चाल का अनुमान लगाना")</f>
        <v>A) दबाव डालना, पास रोकना और प्रतिद्वंद्वी की चाल का अनुमान लगाना</v>
      </c>
    </row>
    <row r="559" ht="22.5" customHeight="1">
      <c r="A559" s="2">
        <v>558.0</v>
      </c>
      <c r="B559" s="3" t="s">
        <v>6782</v>
      </c>
      <c r="C559" s="3" t="s">
        <v>6783</v>
      </c>
      <c r="D559" s="3" t="s">
        <v>6784</v>
      </c>
      <c r="F559" s="5" t="str">
        <f>IFERROR(__xludf.DUMMYFUNCTION("GOOGLETRANSLATE(A559, ""en"", ""hi"")"),"558")</f>
        <v>558</v>
      </c>
      <c r="G559" s="5" t="str">
        <f>IFERROR(__xludf.DUMMYFUNCTION("GOOGLETRANSLATE(B559, ""en"", ""hi"")"),"ढोल खेल में किसी खिलाड़ी को उस स्थिति से कैसे निपटना चाहिए, जहां रक्षात्मक रूप से उसकी संख्या कम हो?")</f>
        <v>ढोल खेल में किसी खिलाड़ी को उस स्थिति से कैसे निपटना चाहिए, जहां रक्षात्मक रूप से उसकी संख्या कम हो?</v>
      </c>
      <c r="H559" s="5" t="str">
        <f>IFERROR(__xludf.DUMMYFUNCTION("GOOGLETRANSLATE(C559, ""en"", ""hi"")"),"A) संगठित रहकर, सही स्थिति में रहकर, और साथियों से सहयोग प्राप्त करके, B) स्थिति की अनदेखी करके, C) केवल व्यक्तिगत रक्षा पर ध्यान केंद्रित करके, D) रक्षात्मक संगठन से बचकर")</f>
        <v>A) संगठित रहकर, सही स्थिति में रहकर, और साथियों से सहयोग प्राप्त करके, B) स्थिति की अनदेखी करके, C) केवल व्यक्तिगत रक्षा पर ध्यान केंद्रित करके, D) रक्षात्मक संगठन से बचकर</v>
      </c>
      <c r="I559" s="5" t="str">
        <f>IFERROR(__xludf.DUMMYFUNCTION("GOOGLETRANSLATE(D559, ""en"", ""hi"")"),"A) संगठित रहकर, सही स्थिति में रहकर, और टीम के साथियों से सहयोग प्राप्त करके")</f>
        <v>A) संगठित रहकर, सही स्थिति में रहकर, और टीम के साथियों से सहयोग प्राप्त करके</v>
      </c>
    </row>
    <row r="560" ht="22.5" customHeight="1">
      <c r="A560" s="2">
        <v>559.0</v>
      </c>
      <c r="B560" s="3" t="s">
        <v>6785</v>
      </c>
      <c r="C560" s="3" t="s">
        <v>6786</v>
      </c>
      <c r="D560" s="3" t="s">
        <v>6787</v>
      </c>
      <c r="F560" s="5" t="str">
        <f>IFERROR(__xludf.DUMMYFUNCTION("GOOGLETRANSLATE(A560, ""en"", ""hi"")"),"559")</f>
        <v>559</v>
      </c>
      <c r="G560" s="5" t="str">
        <f>IFERROR(__xludf.DUMMYFUNCTION("GOOGLETRANSLATE(B560, ""en"", ""hi"")"),"ढोल खेल में शॉर्ट पासिंग में सटीकता में सुधार के लिए प्रभावी तरीका क्या है?")</f>
        <v>ढोल खेल में शॉर्ट पासिंग में सटीकता में सुधार के लिए प्रभावी तरीका क्या है?</v>
      </c>
      <c r="H560" s="5" t="str">
        <f>IFERROR(__xludf.DUMMYFUNCTION("GOOGLETRANSLATE(C560, ""en"", ""hi"")"),"ए) सटीक पास का अभ्यास करना, तकनीक पर ध्यान केंद्रित करना, और लक्ष्य अभ्यास का उपयोग करना, बी) पासिंग सटीकता की अनदेखी करना, सी) केवल लंबे पास पर ध्यान केंद्रित करना, डी) छोटे पास अभ्यास से बचना")</f>
        <v>ए) सटीक पास का अभ्यास करना, तकनीक पर ध्यान केंद्रित करना, और लक्ष्य अभ्यास का उपयोग करना, बी) पासिंग सटीकता की अनदेखी करना, सी) केवल लंबे पास पर ध्यान केंद्रित करना, डी) छोटे पास अभ्यास से बचना</v>
      </c>
      <c r="I560" s="5" t="str">
        <f>IFERROR(__xludf.DUMMYFUNCTION("GOOGLETRANSLATE(D560, ""en"", ""hi"")"),"ए) सटीक पास का अभ्यास करना, तकनीक पर ध्यान केंद्रित करना, और लक्ष्य अभ्यास का उपयोग करना")</f>
        <v>ए) सटीक पास का अभ्यास करना, तकनीक पर ध्यान केंद्रित करना, और लक्ष्य अभ्यास का उपयोग करना</v>
      </c>
    </row>
    <row r="561" ht="22.5" customHeight="1">
      <c r="A561" s="2">
        <v>560.0</v>
      </c>
      <c r="B561" s="3" t="s">
        <v>6788</v>
      </c>
      <c r="C561" s="3" t="s">
        <v>6789</v>
      </c>
      <c r="D561" s="3" t="s">
        <v>6790</v>
      </c>
      <c r="F561" s="5" t="str">
        <f>IFERROR(__xludf.DUMMYFUNCTION("GOOGLETRANSLATE(A561, ""en"", ""hi"")"),"560")</f>
        <v>560</v>
      </c>
      <c r="G561" s="5" t="str">
        <f>IFERROR(__xludf.DUMMYFUNCTION("GOOGLETRANSLATE(B561, ""en"", ""hi"")"),"ढोल खेल में खिलाड़ी कैसे छल और चाल का प्रभावी ढंग से उपयोग कर सकता है?")</f>
        <v>ढोल खेल में खिलाड़ी कैसे छल और चाल का प्रभावी ढंग से उपयोग कर सकता है?</v>
      </c>
      <c r="H561" s="5" t="str">
        <f>IFERROR(__xludf.DUMMYFUNCTION("GOOGLETRANSLATE(C561, ""en"", ""hi"")"),"A) जगह बनाने और विरोधियों को धोखा देने के लिए उनका उपयोग करके, B) छल और चालों को अनदेखा करके, C) केवल प्रत्यक्ष खेल पर ध्यान केंद्रित करके, D) चाल तकनीकों से बचना")</f>
        <v>A) जगह बनाने और विरोधियों को धोखा देने के लिए उनका उपयोग करके, B) छल और चालों को अनदेखा करके, C) केवल प्रत्यक्ष खेल पर ध्यान केंद्रित करके, D) चाल तकनीकों से बचना</v>
      </c>
      <c r="I561" s="5" t="str">
        <f>IFERROR(__xludf.DUMMYFUNCTION("GOOGLETRANSLATE(D561, ""en"", ""hi"")"),"A) जगह बनाने और विरोधियों को धोखा देने के लिए उनका उपयोग करके")</f>
        <v>A) जगह बनाने और विरोधियों को धोखा देने के लिए उनका उपयोग करके</v>
      </c>
    </row>
    <row r="562" ht="22.5" customHeight="1">
      <c r="A562" s="2">
        <v>561.0</v>
      </c>
      <c r="B562" s="3" t="s">
        <v>6791</v>
      </c>
      <c r="C562" s="3" t="s">
        <v>6792</v>
      </c>
      <c r="D562" s="3" t="s">
        <v>6793</v>
      </c>
      <c r="F562" s="5" t="str">
        <f>IFERROR(__xludf.DUMMYFUNCTION("GOOGLETRANSLATE(A562, ""en"", ""hi"")"),"561")</f>
        <v>561</v>
      </c>
      <c r="G562" s="5" t="str">
        <f>IFERROR(__xludf.DUMMYFUNCTION("GOOGLETRANSLATE(B562, ""en"", ""hi"")"),"ढोल खेल में प्रभावी बॉल रिकवरी का मुख्य पहलू क्या है?")</f>
        <v>ढोल खेल में प्रभावी बॉल रिकवरी का मुख्य पहलू क्या है?</v>
      </c>
      <c r="H562" s="5" t="str">
        <f>IFERROR(__xludf.DUMMYFUNCTION("GOOGLETRANSLATE(C562, ""en"", ""hi"")"),"ए) शीघ्र प्रतिक्रिया करना, उचित तकनीकों का उपयोग करना, और गेंद पर कब्ज़ा बनाए रखना, बी) गेंद की रिकवरी को नज़रअंदाज़ करना, सी) केवल आक्रामक खेल पर ध्यान केंद्रित करना, डी) रिकवरी प्रथाओं से बचना")</f>
        <v>ए) शीघ्र प्रतिक्रिया करना, उचित तकनीकों का उपयोग करना, और गेंद पर कब्ज़ा बनाए रखना, बी) गेंद की रिकवरी को नज़रअंदाज़ करना, सी) केवल आक्रामक खेल पर ध्यान केंद्रित करना, डी) रिकवरी प्रथाओं से बचना</v>
      </c>
      <c r="I562" s="5" t="str">
        <f>IFERROR(__xludf.DUMMYFUNCTION("GOOGLETRANSLATE(D562, ""en"", ""hi"")"),"A) शीघ्र प्रतिक्रिया करना, उचित तकनीकों का उपयोग करना, और कब्ज़ा सुरक्षित करना")</f>
        <v>A) शीघ्र प्रतिक्रिया करना, उचित तकनीकों का उपयोग करना, और कब्ज़ा सुरक्षित करना</v>
      </c>
    </row>
    <row r="563" ht="22.5" customHeight="1">
      <c r="A563" s="2">
        <v>562.0</v>
      </c>
      <c r="B563" s="3" t="s">
        <v>6794</v>
      </c>
      <c r="C563" s="3" t="s">
        <v>6795</v>
      </c>
      <c r="D563" s="3" t="s">
        <v>6796</v>
      </c>
      <c r="F563" s="5" t="str">
        <f>IFERROR(__xludf.DUMMYFUNCTION("GOOGLETRANSLATE(A563, ""en"", ""hi"")"),"562")</f>
        <v>562</v>
      </c>
      <c r="G563" s="5" t="str">
        <f>IFERROR(__xludf.DUMMYFUNCTION("GOOGLETRANSLATE(B563, ""en"", ""hi"")"),"ढोल खेल में एक खिलाड़ी को उच्च दबाव वाले मैच की स्थिति में किस प्रकार से खेलना चाहिए?")</f>
        <v>ढोल खेल में एक खिलाड़ी को उच्च दबाव वाले मैच की स्थिति में किस प्रकार से खेलना चाहिए?</v>
      </c>
      <c r="H563" s="5" t="str">
        <f>IFERROR(__xludf.DUMMYFUNCTION("GOOGLETRANSLATE(C563, ""en"", ""hi"")"),"ए) संयमित रहकर, खेल योजना पर अडिग रहकर, और मुख्य रणनीतियों पर ध्यान केंद्रित करके, बी) दबाव की स्थितियों को नजरअंदाज करके, सी) केवल व्यक्तिगत प्रदर्शन पर ध्यान केंद्रित करके, डी) उच्च दबाव वाले परिदृश्यों से बचकर")</f>
        <v>ए) संयमित रहकर, खेल योजना पर अडिग रहकर, और मुख्य रणनीतियों पर ध्यान केंद्रित करके, बी) दबाव की स्थितियों को नजरअंदाज करके, सी) केवल व्यक्तिगत प्रदर्शन पर ध्यान केंद्रित करके, डी) उच्च दबाव वाले परिदृश्यों से बचकर</v>
      </c>
      <c r="I563" s="5" t="str">
        <f>IFERROR(__xludf.DUMMYFUNCTION("GOOGLETRANSLATE(D563, ""en"", ""hi"")"),"A) संयमित रहकर, खेल योजना पर अडिग रहकर, तथा प्रमुख रणनीतियों पर ध्यान केंद्रित करके")</f>
        <v>A) संयमित रहकर, खेल योजना पर अडिग रहकर, तथा प्रमुख रणनीतियों पर ध्यान केंद्रित करके</v>
      </c>
    </row>
    <row r="564" ht="22.5" customHeight="1">
      <c r="A564" s="2">
        <v>563.0</v>
      </c>
      <c r="B564" s="3" t="s">
        <v>6797</v>
      </c>
      <c r="C564" s="3" t="s">
        <v>6798</v>
      </c>
      <c r="D564" s="3" t="s">
        <v>6799</v>
      </c>
      <c r="F564" s="5" t="str">
        <f>IFERROR(__xludf.DUMMYFUNCTION("GOOGLETRANSLATE(A564, ""en"", ""hi"")"),"563")</f>
        <v>563</v>
      </c>
      <c r="G564" s="5" t="str">
        <f>IFERROR(__xludf.DUMMYFUNCTION("GOOGLETRANSLATE(B564, ""en"", ""hi"")"),"ढोल खेल में त्वरित बदलाव का अभ्यास करने का प्रभावी तरीका क्या है?")</f>
        <v>ढोल खेल में त्वरित बदलाव का अभ्यास करने का प्रभावी तरीका क्या है?</v>
      </c>
      <c r="H564" s="5" t="str">
        <f>IFERROR(__xludf.DUMMYFUNCTION("GOOGLETRANSLATE(C564, ""en"", ""hi"")"),"A) आक्रमण और बचाव के बीच तीव्र परिवर्तन का अनुकरण करने वाले अभ्यास करके, B) संक्रमण अभ्यास की उपेक्षा करके, C) केवल व्यक्तिगत कौशल पर ध्यान केंद्रित करके, D) संक्रमण अभ्यास से बचना")</f>
        <v>A) आक्रमण और बचाव के बीच तीव्र परिवर्तन का अनुकरण करने वाले अभ्यास करके, B) संक्रमण अभ्यास की उपेक्षा करके, C) केवल व्यक्तिगत कौशल पर ध्यान केंद्रित करके, D) संक्रमण अभ्यास से बचना</v>
      </c>
      <c r="I564" s="5" t="str">
        <f>IFERROR(__xludf.DUMMYFUNCTION("GOOGLETRANSLATE(D564, ""en"", ""hi"")"),"A) आक्रमण और बचाव के बीच तीव्र परिवर्तन का अनुकरण करने वाले अभ्यासों का प्रदर्शन करके")</f>
        <v>A) आक्रमण और बचाव के बीच तीव्र परिवर्तन का अनुकरण करने वाले अभ्यासों का प्रदर्शन करके</v>
      </c>
    </row>
    <row r="565" ht="22.5" customHeight="1">
      <c r="A565" s="2">
        <v>564.0</v>
      </c>
      <c r="B565" s="3" t="s">
        <v>6800</v>
      </c>
      <c r="C565" s="3" t="s">
        <v>6801</v>
      </c>
      <c r="D565" s="3" t="s">
        <v>6802</v>
      </c>
      <c r="F565" s="5" t="str">
        <f>IFERROR(__xludf.DUMMYFUNCTION("GOOGLETRANSLATE(A565, ""en"", ""hi"")"),"564")</f>
        <v>564</v>
      </c>
      <c r="G565" s="5" t="str">
        <f>IFERROR(__xludf.DUMMYFUNCTION("GOOGLETRANSLATE(B565, ""en"", ""hi"")"),"ढोल खेल में एक खिलाड़ी अपने प्रतिद्वंद्वी के खेल को प्रभावी ढंग से कैसे पढ़ सकता है?")</f>
        <v>ढोल खेल में एक खिलाड़ी अपने प्रतिद्वंद्वी के खेल को प्रभावी ढंग से कैसे पढ़ सकता है?</v>
      </c>
      <c r="H565" s="5" t="str">
        <f>IFERROR(__xludf.DUMMYFUNCTION("GOOGLETRANSLATE(C565, ""en"", ""hi"")"),"A) उनकी गतिविधियों, पैटर्न और प्रवृत्तियों का विश्लेषण करके, B) प्रतिद्वंद्वी विश्लेषण की अनदेखी करके, C) केवल व्यक्तिगत प्रदर्शन पर ध्यान केंद्रित करके, D) खेल विश्लेषण से बचना")</f>
        <v>A) उनकी गतिविधियों, पैटर्न और प्रवृत्तियों का विश्लेषण करके, B) प्रतिद्वंद्वी विश्लेषण की अनदेखी करके, C) केवल व्यक्तिगत प्रदर्शन पर ध्यान केंद्रित करके, D) खेल विश्लेषण से बचना</v>
      </c>
      <c r="I565" s="5" t="str">
        <f>IFERROR(__xludf.DUMMYFUNCTION("GOOGLETRANSLATE(D565, ""en"", ""hi"")"),"A) उनकी गतिविधियों, पैटर्न और प्रवृत्तियों का विश्लेषण करके")</f>
        <v>A) उनकी गतिविधियों, पैटर्न और प्रवृत्तियों का विश्लेषण करके</v>
      </c>
    </row>
    <row r="566" ht="22.5" customHeight="1">
      <c r="A566" s="2">
        <v>565.0</v>
      </c>
      <c r="B566" s="3" t="s">
        <v>6803</v>
      </c>
      <c r="C566" s="3" t="s">
        <v>6804</v>
      </c>
      <c r="D566" s="3" t="s">
        <v>6805</v>
      </c>
      <c r="F566" s="5" t="str">
        <f>IFERROR(__xludf.DUMMYFUNCTION("GOOGLETRANSLATE(A566, ""en"", ""hi"")"),"565")</f>
        <v>565</v>
      </c>
      <c r="G566" s="5" t="str">
        <f>IFERROR(__xludf.DUMMYFUNCTION("GOOGLETRANSLATE(B566, ""en"", ""hi"")"),"ढोल खेल में मैच के दौरान सामरिक परिवर्तन करते समय क्या महत्वपूर्ण बात ध्यान में रखनी चाहिए?")</f>
        <v>ढोल खेल में मैच के दौरान सामरिक परिवर्तन करते समय क्या महत्वपूर्ण बात ध्यान में रखनी चाहिए?</v>
      </c>
      <c r="H566" s="5" t="str">
        <f>IFERROR(__xludf.DUMMYFUNCTION("GOOGLETRANSLATE(C566, ""en"", ""hi"")"),"A) टीम के साथियों के साथ प्रभावी ढंग से संवाद करना और रणनीतिक रूप से परिवर्तन को लागू करना, B) सामरिक परिवर्तनों को अनदेखा करना, C) केवल व्यक्तिगत खेल पर ध्यान केंद्रित करना, D) सामरिक परिवर्तनों में देरी करना")</f>
        <v>A) टीम के साथियों के साथ प्रभावी ढंग से संवाद करना और रणनीतिक रूप से परिवर्तन को लागू करना, B) सामरिक परिवर्तनों को अनदेखा करना, C) केवल व्यक्तिगत खेल पर ध्यान केंद्रित करना, D) सामरिक परिवर्तनों में देरी करना</v>
      </c>
      <c r="I566" s="5" t="str">
        <f>IFERROR(__xludf.DUMMYFUNCTION("GOOGLETRANSLATE(D566, ""en"", ""hi"")"),"A) टीम के सदस्यों के साथ प्रभावी ढंग से संवाद करना और रणनीतिक रूप से परिवर्तन को लागू करना")</f>
        <v>A) टीम के सदस्यों के साथ प्रभावी ढंग से संवाद करना और रणनीतिक रूप से परिवर्तन को लागू करना</v>
      </c>
    </row>
    <row r="567" ht="22.5" customHeight="1">
      <c r="A567" s="2">
        <v>566.0</v>
      </c>
      <c r="B567" s="3" t="s">
        <v>6806</v>
      </c>
      <c r="C567" s="3" t="s">
        <v>6807</v>
      </c>
      <c r="D567" s="3" t="s">
        <v>6808</v>
      </c>
      <c r="F567" s="5" t="str">
        <f>IFERROR(__xludf.DUMMYFUNCTION("GOOGLETRANSLATE(A567, ""en"", ""hi"")"),"566")</f>
        <v>566</v>
      </c>
      <c r="G567" s="5" t="str">
        <f>IFERROR(__xludf.DUMMYFUNCTION("GOOGLETRANSLATE(B567, ""en"", ""hi"")"),"ढोल खेल में पेनल्टी शूटआउट के लिए खिलाड़ी को कैसे तैयारी करनी चाहिए?")</f>
        <v>ढोल खेल में पेनल्टी शूटआउट के लिए खिलाड़ी को कैसे तैयारी करनी चाहिए?</v>
      </c>
      <c r="H567" s="5" t="str">
        <f>IFERROR(__xludf.DUMMYFUNCTION("GOOGLETRANSLATE(C567, ""en"", ""hi"")"),"A) दबाव में पेनल्टी किक का अभ्यास करना और तकनीक पर ध्यान केंद्रित करना, B) पेनल्टी की तैयारी को नजरअंदाज करना, C) केवल गोलकीपिंग पर ध्यान केंद्रित करना, D) पेनल्टी अभ्यास से बचना")</f>
        <v>A) दबाव में पेनल्टी किक का अभ्यास करना और तकनीक पर ध्यान केंद्रित करना, B) पेनल्टी की तैयारी को नजरअंदाज करना, C) केवल गोलकीपिंग पर ध्यान केंद्रित करना, D) पेनल्टी अभ्यास से बचना</v>
      </c>
      <c r="I567" s="5" t="str">
        <f>IFERROR(__xludf.DUMMYFUNCTION("GOOGLETRANSLATE(D567, ""en"", ""hi"")"),"A) दबाव में पेनल्टी किक का अभ्यास करके और तकनीक पर ध्यान केंद्रित करके")</f>
        <v>A) दबाव में पेनल्टी किक का अभ्यास करके और तकनीक पर ध्यान केंद्रित करके</v>
      </c>
    </row>
    <row r="568" ht="22.5" customHeight="1">
      <c r="A568" s="2">
        <v>567.0</v>
      </c>
      <c r="B568" s="3" t="s">
        <v>6809</v>
      </c>
      <c r="C568" s="3" t="s">
        <v>6810</v>
      </c>
      <c r="D568" s="3" t="s">
        <v>6811</v>
      </c>
      <c r="F568" s="5" t="str">
        <f>IFERROR(__xludf.DUMMYFUNCTION("GOOGLETRANSLATE(A568, ""en"", ""hi"")"),"567")</f>
        <v>567</v>
      </c>
      <c r="G568" s="5" t="str">
        <f>IFERROR(__xludf.DUMMYFUNCTION("GOOGLETRANSLATE(B568, ""en"", ""hi"")"),"ढोल खेल में एक-पर-एक ड्रिबल से बचाव के लिए प्रभावी तकनीक क्या है?")</f>
        <v>ढोल खेल में एक-पर-एक ड्रिबल से बचाव के लिए प्रभावी तकनीक क्या है?</v>
      </c>
      <c r="H568" s="5" t="str">
        <f>IFERROR(__xludf.DUMMYFUNCTION("GOOGLETRANSLATE(C568, ""en"", ""hi"")"),"A) हमलावर का रास्ता रोकने के लिए खुद को तैयार करना और नियंत्रित टैकल का उपयोग करना, B) ड्रिबलिंग डिफेंस को नजरअंदाज करना, C) केवल टैकलिंग पर ध्यान केंद्रित करना, D) एक-पर-एक डिफेंस अभ्यास से बचना")</f>
        <v>A) हमलावर का रास्ता रोकने के लिए खुद को तैयार करना और नियंत्रित टैकल का उपयोग करना, B) ड्रिबलिंग डिफेंस को नजरअंदाज करना, C) केवल टैकलिंग पर ध्यान केंद्रित करना, D) एक-पर-एक डिफेंस अभ्यास से बचना</v>
      </c>
      <c r="I568" s="5" t="str">
        <f>IFERROR(__xludf.DUMMYFUNCTION("GOOGLETRANSLATE(D568, ""en"", ""hi"")"),"A) हमलावर का रास्ता रोकने के लिए खुद को तैयार करना और नियंत्रित टैकल का उपयोग करना")</f>
        <v>A) हमलावर का रास्ता रोकने के लिए खुद को तैयार करना और नियंत्रित टैकल का उपयोग करना</v>
      </c>
    </row>
    <row r="569" ht="22.5" customHeight="1">
      <c r="A569" s="2">
        <v>568.0</v>
      </c>
      <c r="B569" s="3" t="s">
        <v>6812</v>
      </c>
      <c r="C569" s="3" t="s">
        <v>6813</v>
      </c>
      <c r="D569" s="3" t="s">
        <v>6814</v>
      </c>
      <c r="F569" s="5" t="str">
        <f>IFERROR(__xludf.DUMMYFUNCTION("GOOGLETRANSLATE(A569, ""en"", ""hi"")"),"568")</f>
        <v>568</v>
      </c>
      <c r="G569" s="5" t="str">
        <f>IFERROR(__xludf.DUMMYFUNCTION("GOOGLETRANSLATE(B569, ""en"", ""hi"")"),"ढोल खेल के लिए कोई खिलाड़ी अपनी फिटनेस का स्तर कैसे सुधार सकता है?")</f>
        <v>ढोल खेल के लिए कोई खिलाड़ी अपनी फिटनेस का स्तर कैसे सुधार सकता है?</v>
      </c>
      <c r="H569" s="5" t="str">
        <f>IFERROR(__xludf.DUMMYFUNCTION("GOOGLETRANSLATE(C569, ""en"", ""hi"")"),"A) एक पूर्णतः संतुलित फिटनेस व्यवस्था में शामिल होकर, जिसमें हृदय, शक्ति और लचीलेपन का प्रशिक्षण शामिल है, B) फिटनेस प्रशिक्षण की अनदेखी करके, C) केवल कौशल विकास पर ध्यान केंद्रित करके, D) फिटनेस अभ्यासों से बचना")</f>
        <v>A) एक पूर्णतः संतुलित फिटनेस व्यवस्था में शामिल होकर, जिसमें हृदय, शक्ति और लचीलेपन का प्रशिक्षण शामिल है, B) फिटनेस प्रशिक्षण की अनदेखी करके, C) केवल कौशल विकास पर ध्यान केंद्रित करके, D) फिटनेस अभ्यासों से बचना</v>
      </c>
      <c r="I569" s="5" t="str">
        <f>IFERROR(__xludf.DUMMYFUNCTION("GOOGLETRANSLATE(D569, ""en"", ""hi"")"),"A) एक समग्र फिटनेस व्यवस्था में शामिल होकर जिसमें हृदय, शक्ति और लचीलेपन का प्रशिक्षण शामिल हो")</f>
        <v>A) एक समग्र फिटनेस व्यवस्था में शामिल होकर जिसमें हृदय, शक्ति और लचीलेपन का प्रशिक्षण शामिल हो</v>
      </c>
    </row>
    <row r="570" ht="22.5" customHeight="1">
      <c r="A570" s="2">
        <v>569.0</v>
      </c>
      <c r="B570" s="3" t="s">
        <v>6815</v>
      </c>
      <c r="C570" s="3" t="s">
        <v>6816</v>
      </c>
      <c r="D570" s="3" t="s">
        <v>6817</v>
      </c>
      <c r="F570" s="5" t="str">
        <f>IFERROR(__xludf.DUMMYFUNCTION("GOOGLETRANSLATE(A570, ""en"", ""hi"")"),"569")</f>
        <v>569</v>
      </c>
      <c r="G570" s="5" t="str">
        <f>IFERROR(__xludf.DUMMYFUNCTION("GOOGLETRANSLATE(B570, ""en"", ""hi"")"),"ढोल खेल में टीमवर्क और सामंजस्य को बेहतर बनाने का मुख्य पहलू क्या है?")</f>
        <v>ढोल खेल में टीमवर्क और सामंजस्य को बेहतर बनाने का मुख्य पहलू क्या है?</v>
      </c>
      <c r="H570" s="5" t="str">
        <f>IFERROR(__xludf.DUMMYFUNCTION("GOOGLETRANSLATE(C570, ""en"", ""hi"")"),"A) टीम-निर्माण गतिविधियों में शामिल होना और संचार और विश्वास को बढ़ावा देना, B) टीमवर्क की अनदेखी करना, C) केवल व्यक्तिगत कौशल पर ध्यान केंद्रित करना, D) टीम प्रथाओं से बचना")</f>
        <v>A) टीम-निर्माण गतिविधियों में शामिल होना और संचार और विश्वास को बढ़ावा देना, B) टीमवर्क की अनदेखी करना, C) केवल व्यक्तिगत कौशल पर ध्यान केंद्रित करना, D) टीम प्रथाओं से बचना</v>
      </c>
      <c r="I570" s="5" t="str">
        <f>IFERROR(__xludf.DUMMYFUNCTION("GOOGLETRANSLATE(D570, ""en"", ""hi"")"),"A) टीम-निर्माण गतिविधियों में शामिल होना और संचार एवं विश्वास को बढ़ावा देना")</f>
        <v>A) टीम-निर्माण गतिविधियों में शामिल होना और संचार एवं विश्वास को बढ़ावा देना</v>
      </c>
    </row>
    <row r="571" ht="22.5" customHeight="1">
      <c r="A571" s="2">
        <v>570.0</v>
      </c>
      <c r="B571" s="3" t="s">
        <v>6818</v>
      </c>
      <c r="C571" s="3" t="s">
        <v>6819</v>
      </c>
      <c r="D571" s="3" t="s">
        <v>6820</v>
      </c>
      <c r="F571" s="5" t="str">
        <f>IFERROR(__xludf.DUMMYFUNCTION("GOOGLETRANSLATE(A571, ""en"", ""hi"")"),"570")</f>
        <v>570</v>
      </c>
      <c r="G571" s="5" t="str">
        <f>IFERROR(__xludf.DUMMYFUNCTION("GOOGLETRANSLATE(B571, ""en"", ""hi"")"),"एक खिलाड़ी को उस स्थिति से कैसे निपटना चाहिए जब उसे ढोल खेल में एक नया स्थान दिया जाता है?")</f>
        <v>एक खिलाड़ी को उस स्थिति से कैसे निपटना चाहिए जब उसे ढोल खेल में एक नया स्थान दिया जाता है?</v>
      </c>
      <c r="H571" s="5" t="str">
        <f>IFERROR(__xludf.DUMMYFUNCTION("GOOGLETRANSLATE(C571, ""en"", ""hi"")"),"A) नए पद की जिम्मेदारियों को सीखकर और उसके अनुसार अभ्यास करके, B) नए पद की अनदेखी करके, C) केवल परिचित पदों पर ध्यान केंद्रित करके, D) पद परिवर्तन से बचना")</f>
        <v>A) नए पद की जिम्मेदारियों को सीखकर और उसके अनुसार अभ्यास करके, B) नए पद की अनदेखी करके, C) केवल परिचित पदों पर ध्यान केंद्रित करके, D) पद परिवर्तन से बचना</v>
      </c>
      <c r="I571" s="5" t="str">
        <f>IFERROR(__xludf.DUMMYFUNCTION("GOOGLETRANSLATE(D571, ""en"", ""hi"")"),"A) नए पद की जिम्मेदारियों को सीखकर और उसके अनुसार अभ्यास करके")</f>
        <v>A) नए पद की जिम्मेदारियों को सीखकर और उसके अनुसार अभ्यास करके</v>
      </c>
    </row>
    <row r="572" ht="22.5" customHeight="1">
      <c r="A572" s="2">
        <v>571.0</v>
      </c>
      <c r="B572" s="3" t="s">
        <v>6821</v>
      </c>
      <c r="C572" s="3" t="s">
        <v>6822</v>
      </c>
      <c r="D572" s="3" t="s">
        <v>6823</v>
      </c>
      <c r="F572" s="5" t="str">
        <f>IFERROR(__xludf.DUMMYFUNCTION("GOOGLETRANSLATE(A572, ""en"", ""hi"")"),"571")</f>
        <v>571</v>
      </c>
      <c r="G572" s="5" t="str">
        <f>IFERROR(__xludf.DUMMYFUNCTION("GOOGLETRANSLATE(B572, ""en"", ""hi"")"),"ढोल खेल में रक्षात्मक स्थिति का अभ्यास करने का प्रभावी तरीका क्या है?")</f>
        <v>ढोल खेल में रक्षात्मक स्थिति का अभ्यास करने का प्रभावी तरीका क्या है?</v>
      </c>
      <c r="H572" s="5" t="str">
        <f>IFERROR(__xludf.DUMMYFUNCTION("GOOGLETRANSLATE(C572, ""en"", ""hi"")"),"A) विभिन्न आक्रमणकारी परिदृश्यों का अनुकरण करने वाले अभ्यास करके और तदनुसार स्थिति निर्धारण का अभ्यास करके, B) रक्षात्मक अभ्यासों की उपेक्षा करके, C) केवल आक्रमण पर ध्यान केंद्रित करके, D) स्थिति निर्धारण अभ्यासों से बचना")</f>
        <v>A) विभिन्न आक्रमणकारी परिदृश्यों का अनुकरण करने वाले अभ्यास करके और तदनुसार स्थिति निर्धारण का अभ्यास करके, B) रक्षात्मक अभ्यासों की उपेक्षा करके, C) केवल आक्रमण पर ध्यान केंद्रित करके, D) स्थिति निर्धारण अभ्यासों से बचना</v>
      </c>
      <c r="I572" s="5" t="str">
        <f>IFERROR(__xludf.DUMMYFUNCTION("GOOGLETRANSLATE(D572, ""en"", ""hi"")"),"A) विभिन्न आक्रमण परिदृश्यों का अनुकरण करने वाले अभ्यास करके और तदनुसार स्थिति निर्धारण का अभ्यास करके")</f>
        <v>A) विभिन्न आक्रमण परिदृश्यों का अनुकरण करने वाले अभ्यास करके और तदनुसार स्थिति निर्धारण का अभ्यास करके</v>
      </c>
    </row>
    <row r="573" ht="22.5" customHeight="1">
      <c r="A573" s="2">
        <v>572.0</v>
      </c>
      <c r="B573" s="3" t="s">
        <v>6824</v>
      </c>
      <c r="C573" s="3" t="s">
        <v>6825</v>
      </c>
      <c r="D573" s="3" t="s">
        <v>6826</v>
      </c>
      <c r="F573" s="5" t="str">
        <f>IFERROR(__xludf.DUMMYFUNCTION("GOOGLETRANSLATE(A573, ""en"", ""hi"")"),"572")</f>
        <v>572</v>
      </c>
      <c r="G573" s="5" t="str">
        <f>IFERROR(__xludf.DUMMYFUNCTION("GOOGLETRANSLATE(B573, ""en"", ""hi"")"),"ढोल खेल में एक खिलाड़ी चोट से प्रभावी ढंग से कैसे उबर सकता है?")</f>
        <v>ढोल खेल में एक खिलाड़ी चोट से प्रभावी ढंग से कैसे उबर सकता है?</v>
      </c>
      <c r="H573" s="5" t="str">
        <f>IFERROR(__xludf.DUMMYFUNCTION("GOOGLETRANSLATE(C573, ""en"", ""hi"")"),"A) उचित पुनर्वास कार्यक्रम का पालन करके और धीरे-धीरे खेल में वापसी करके, B) पुनर्वास की अनदेखी करके, C) केवल फिटनेस पर ध्यान केंद्रित करके, D) रिकवरी प्रथाओं से बचना")</f>
        <v>A) उचित पुनर्वास कार्यक्रम का पालन करके और धीरे-धीरे खेल में वापसी करके, B) पुनर्वास की अनदेखी करके, C) केवल फिटनेस पर ध्यान केंद्रित करके, D) रिकवरी प्रथाओं से बचना</v>
      </c>
      <c r="I573" s="5" t="str">
        <f>IFERROR(__xludf.DUMMYFUNCTION("GOOGLETRANSLATE(D573, ""en"", ""hi"")"),"A) उचित पुनर्वास कार्यक्रम का पालन करके और धीरे-धीरे खेल में वापसी करके")</f>
        <v>A) उचित पुनर्वास कार्यक्रम का पालन करके और धीरे-धीरे खेल में वापसी करके</v>
      </c>
    </row>
    <row r="574" ht="22.5" customHeight="1">
      <c r="A574" s="2">
        <v>573.0</v>
      </c>
      <c r="B574" s="3" t="s">
        <v>6827</v>
      </c>
      <c r="C574" s="3" t="s">
        <v>6828</v>
      </c>
      <c r="D574" s="3" t="s">
        <v>6829</v>
      </c>
      <c r="F574" s="5" t="str">
        <f>IFERROR(__xludf.DUMMYFUNCTION("GOOGLETRANSLATE(A574, ""en"", ""hi"")"),"573")</f>
        <v>573</v>
      </c>
      <c r="G574" s="5" t="str">
        <f>IFERROR(__xludf.DUMMYFUNCTION("GOOGLETRANSLATE(B574, ""en"", ""hi"")"),"ढोल खेल में सामरिक समायोजन करते समय क्या महत्वपूर्ण बात ध्यान में रखनी चाहिए?")</f>
        <v>ढोल खेल में सामरिक समायोजन करते समय क्या महत्वपूर्ण बात ध्यान में रखनी चाहिए?</v>
      </c>
      <c r="H574" s="5" t="str">
        <f>IFERROR(__xludf.DUMMYFUNCTION("GOOGLETRANSLATE(C574, ""en"", ""hi"")"),"A) यह सुनिश्चित करना कि सभी खिलाड़ी नई रणनीति को प्रभावी ढंग से समझें और अपनाएं, B) सामरिक समायोजनों की अनदेखी करना, C) केवल व्यक्तिगत भूमिकाओं पर ध्यान केंद्रित करना, D) समायोजन में देरी करना")</f>
        <v>A) यह सुनिश्चित करना कि सभी खिलाड़ी नई रणनीति को प्रभावी ढंग से समझें और अपनाएं, B) सामरिक समायोजनों की अनदेखी करना, C) केवल व्यक्तिगत भूमिकाओं पर ध्यान केंद्रित करना, D) समायोजन में देरी करना</v>
      </c>
      <c r="I574" s="5" t="str">
        <f>IFERROR(__xludf.DUMMYFUNCTION("GOOGLETRANSLATE(D574, ""en"", ""hi"")"),"A) यह सुनिश्चित करना कि सभी खिलाड़ी नई रणनीति को प्रभावी ढंग से समझें और अपनाएं")</f>
        <v>A) यह सुनिश्चित करना कि सभी खिलाड़ी नई रणनीति को प्रभावी ढंग से समझें और अपनाएं</v>
      </c>
    </row>
    <row r="575" ht="22.5" customHeight="1">
      <c r="A575" s="2">
        <v>574.0</v>
      </c>
      <c r="B575" s="3" t="s">
        <v>6830</v>
      </c>
      <c r="C575" s="3" t="s">
        <v>6831</v>
      </c>
      <c r="D575" s="3" t="s">
        <v>6832</v>
      </c>
      <c r="F575" s="5" t="str">
        <f>IFERROR(__xludf.DUMMYFUNCTION("GOOGLETRANSLATE(A575, ""en"", ""hi"")"),"574")</f>
        <v>574</v>
      </c>
      <c r="G575" s="5" t="str">
        <f>IFERROR(__xludf.DUMMYFUNCTION("GOOGLETRANSLATE(B575, ""en"", ""hi"")"),"ढोल खेल में किसी खिलाड़ी को उस स्थिति से कैसे निपटना चाहिए, जब वह मैच के अंतिम क्षणों में आगे चल रहा हो?")</f>
        <v>ढोल खेल में किसी खिलाड़ी को उस स्थिति से कैसे निपटना चाहिए, जब वह मैच के अंतिम क्षणों में आगे चल रहा हो?</v>
      </c>
      <c r="H575" s="5" t="str">
        <f>IFERROR(__xludf.DUMMYFUNCTION("GOOGLETRANSLATE(C575, ""en"", ""hi"")"),"A) खेल का प्रबंधन करके, गेंद पर कब्ज़ा बनाए रखने और प्रभावी ढंग से बचाव करने पर ध्यान केंद्रित करके, B) स्कोर की अनदेखी करके, C) केवल आक्रमण पर ध्यान केंद्रित करके, D) खेल प्रबंधन से बचकर")</f>
        <v>A) खेल का प्रबंधन करके, गेंद पर कब्ज़ा बनाए रखने और प्रभावी ढंग से बचाव करने पर ध्यान केंद्रित करके, B) स्कोर की अनदेखी करके, C) केवल आक्रमण पर ध्यान केंद्रित करके, D) खेल प्रबंधन से बचकर</v>
      </c>
      <c r="I575" s="5" t="str">
        <f>IFERROR(__xludf.DUMMYFUNCTION("GOOGLETRANSLATE(D575, ""en"", ""hi"")"),"A) खेल का प्रबंधन करके, गेंद पर कब्ज़ा बनाए रखने पर ध्यान केंद्रित करके, और प्रभावी ढंग से बचाव करके")</f>
        <v>A) खेल का प्रबंधन करके, गेंद पर कब्ज़ा बनाए रखने पर ध्यान केंद्रित करके, और प्रभावी ढंग से बचाव करके</v>
      </c>
    </row>
    <row r="576" ht="22.5" customHeight="1">
      <c r="A576" s="2">
        <v>575.0</v>
      </c>
      <c r="B576" s="3" t="s">
        <v>6833</v>
      </c>
      <c r="C576" s="3" t="s">
        <v>6834</v>
      </c>
      <c r="D576" s="3" t="s">
        <v>6835</v>
      </c>
      <c r="F576" s="5" t="str">
        <f>IFERROR(__xludf.DUMMYFUNCTION("GOOGLETRANSLATE(A576, ""en"", ""hi"")"),"575")</f>
        <v>575</v>
      </c>
      <c r="G576" s="5" t="str">
        <f>IFERROR(__xludf.DUMMYFUNCTION("GOOGLETRANSLATE(B576, ""en"", ""hi"")"),"ढोल खेल में किसी बाधा से उबरने के लिए प्रभावी रणनीति क्या है?")</f>
        <v>ढोल खेल में किसी बाधा से उबरने के लिए प्रभावी रणनीति क्या है?</v>
      </c>
      <c r="H576" s="5" t="str">
        <f>IFERROR(__xludf.DUMMYFUNCTION("GOOGLETRANSLATE(C576, ""en"", ""hi"")"),"A) असफलता का विश्लेषण करके, उससे सीखकर, और उसके अनुसार रणनीतियों को समायोजित करके, B) असफलताओं को अनदेखा करके, C) केवल पिछली गलतियों पर ध्यान केंद्रित करके, D) समायोजन से बचना")</f>
        <v>A) असफलता का विश्लेषण करके, उससे सीखकर, और उसके अनुसार रणनीतियों को समायोजित करके, B) असफलताओं को अनदेखा करके, C) केवल पिछली गलतियों पर ध्यान केंद्रित करके, D) समायोजन से बचना</v>
      </c>
      <c r="I576" s="5" t="str">
        <f>IFERROR(__xludf.DUMMYFUNCTION("GOOGLETRANSLATE(D576, ""en"", ""hi"")"),"A) असफलता का विश्लेषण करके, उससे सीखकर, और तदनुसार रणनीतियों को समायोजित करके")</f>
        <v>A) असफलता का विश्लेषण करके, उससे सीखकर, और तदनुसार रणनीतियों को समायोजित करके</v>
      </c>
    </row>
    <row r="577" ht="22.5" customHeight="1">
      <c r="A577" s="2">
        <v>576.0</v>
      </c>
      <c r="B577" s="3" t="s">
        <v>6836</v>
      </c>
      <c r="C577" s="3" t="s">
        <v>6837</v>
      </c>
      <c r="D577" s="3" t="s">
        <v>6838</v>
      </c>
      <c r="F577" s="5" t="str">
        <f>IFERROR(__xludf.DUMMYFUNCTION("GOOGLETRANSLATE(A577, ""en"", ""hi"")"),"576")</f>
        <v>576</v>
      </c>
      <c r="G577" s="5" t="str">
        <f>IFERROR(__xludf.DUMMYFUNCTION("GOOGLETRANSLATE(B577, ""en"", ""hi"")"),"ढोल खेल में कोई खिलाड़ी अपने खेल में नई रणनीति को प्रभावी ढंग से कैसे शामिल कर सकता है?")</f>
        <v>ढोल खेल में कोई खिलाड़ी अपने खेल में नई रणनीति को प्रभावी ढंग से कैसे शामिल कर सकता है?</v>
      </c>
      <c r="H577" s="5" t="str">
        <f>IFERROR(__xludf.DUMMYFUNCTION("GOOGLETRANSLATE(C577, ""en"", ""hi"")"),"A) प्रशिक्षण सत्रों में नई रणनीतियों का अभ्यास करके और मैचों के दौरान उन्हें लागू करके, B) नई रणनीतियों की अनदेखी करके, C) केवल परिचित रणनीतियों पर ध्यान केंद्रित करके, D) नई रणनीतियों से बचना")</f>
        <v>A) प्रशिक्षण सत्रों में नई रणनीतियों का अभ्यास करके और मैचों के दौरान उन्हें लागू करके, B) नई रणनीतियों की अनदेखी करके, C) केवल परिचित रणनीतियों पर ध्यान केंद्रित करके, D) नई रणनीतियों से बचना</v>
      </c>
      <c r="I577" s="5" t="str">
        <f>IFERROR(__xludf.DUMMYFUNCTION("GOOGLETRANSLATE(D577, ""en"", ""hi"")"),"A) प्रशिक्षण सत्रों में नई रणनीतियों का अभ्यास करके और मैचों के दौरान उन्हें लागू करके")</f>
        <v>A) प्रशिक्षण सत्रों में नई रणनीतियों का अभ्यास करके और मैचों के दौरान उन्हें लागू करके</v>
      </c>
    </row>
    <row r="578" ht="22.5" customHeight="1">
      <c r="A578" s="2">
        <v>577.0</v>
      </c>
      <c r="B578" s="3" t="s">
        <v>6839</v>
      </c>
      <c r="C578" s="3" t="s">
        <v>6840</v>
      </c>
      <c r="D578" s="3" t="s">
        <v>6841</v>
      </c>
      <c r="F578" s="5" t="str">
        <f>IFERROR(__xludf.DUMMYFUNCTION("GOOGLETRANSLATE(A578, ""en"", ""hi"")"),"577")</f>
        <v>577</v>
      </c>
      <c r="G578" s="5" t="str">
        <f>IFERROR(__xludf.DUMMYFUNCTION("GOOGLETRANSLATE(B578, ""en"", ""hi"")"),"ढोल खेल में टीम के साथियों के साथ प्रभावी संचार बनाए रखने में महत्वपूर्ण कारक क्या है?")</f>
        <v>ढोल खेल में टीम के साथियों के साथ प्रभावी संचार बनाए रखने में महत्वपूर्ण कारक क्या है?</v>
      </c>
      <c r="H578" s="5" t="str">
        <f>IFERROR(__xludf.DUMMYFUNCTION("GOOGLETRANSLATE(C578, ""en"", ""hi"")"),"A) स्पष्ट और समय पर मौखिक और गैर-मौखिक संकेतों का उपयोग करना, B) संचार की उपेक्षा करना, C) केवल व्यक्तिगत प्रदर्शन पर ध्यान केंद्रित करना, D) संचार से बचना")</f>
        <v>A) स्पष्ट और समय पर मौखिक और गैर-मौखिक संकेतों का उपयोग करना, B) संचार की उपेक्षा करना, C) केवल व्यक्तिगत प्रदर्शन पर ध्यान केंद्रित करना, D) संचार से बचना</v>
      </c>
      <c r="I578" s="5" t="str">
        <f>IFERROR(__xludf.DUMMYFUNCTION("GOOGLETRANSLATE(D578, ""en"", ""hi"")"),"A) स्पष्ट एवं समय पर मौखिक और गैर-मौखिक संकेतों का उपयोग करना")</f>
        <v>A) स्पष्ट एवं समय पर मौखिक और गैर-मौखिक संकेतों का उपयोग करना</v>
      </c>
    </row>
    <row r="579" ht="22.5" customHeight="1">
      <c r="A579" s="2">
        <v>578.0</v>
      </c>
      <c r="B579" s="3" t="s">
        <v>6842</v>
      </c>
      <c r="C579" s="3" t="s">
        <v>6843</v>
      </c>
      <c r="D579" s="3" t="s">
        <v>6844</v>
      </c>
      <c r="F579" s="5" t="str">
        <f>IFERROR(__xludf.DUMMYFUNCTION("GOOGLETRANSLATE(A579, ""en"", ""hi"")"),"578")</f>
        <v>578</v>
      </c>
      <c r="G579" s="5" t="str">
        <f>IFERROR(__xludf.DUMMYFUNCTION("GOOGLETRANSLATE(B579, ""en"", ""hi"")"),"ढोल खेल में मैच के दौरान कोई खिलाड़ी अपने प्रदर्शन को प्रभावी ढंग से कैसे प्रबंधित कर सकता है?")</f>
        <v>ढोल खेल में मैच के दौरान कोई खिलाड़ी अपने प्रदर्शन को प्रभावी ढंग से कैसे प्रबंधित कर सकता है?</v>
      </c>
      <c r="H579" s="5" t="str">
        <f>IFERROR(__xludf.DUMMYFUNCTION("GOOGLETRANSLATE(C579, ""en"", ""hi"")"),"A) ध्यान केंद्रित करके, ऊर्जा के स्तर का प्रबंधन करके, और आवश्यकतानुसार सामरिक समायोजन करके, B) प्रदर्शन प्रबंधन की अनदेखी करके, C) केवल शारीरिक परिश्रम पर ध्यान केंद्रित करके, D) प्रदर्शन निगरानी से बचना")</f>
        <v>A) ध्यान केंद्रित करके, ऊर्जा के स्तर का प्रबंधन करके, और आवश्यकतानुसार सामरिक समायोजन करके, B) प्रदर्शन प्रबंधन की अनदेखी करके, C) केवल शारीरिक परिश्रम पर ध्यान केंद्रित करके, D) प्रदर्शन निगरानी से बचना</v>
      </c>
      <c r="I579" s="5" t="str">
        <f>IFERROR(__xludf.DUMMYFUNCTION("GOOGLETRANSLATE(D579, ""en"", ""hi"")"),"A) ध्यान केंद्रित रखकर, ऊर्जा के स्तर को प्रबंधित करके, और आवश्यकतानुसार सामरिक समायोजन करके")</f>
        <v>A) ध्यान केंद्रित रखकर, ऊर्जा के स्तर को प्रबंधित करके, और आवश्यकतानुसार सामरिक समायोजन करके</v>
      </c>
    </row>
    <row r="580" ht="22.5" customHeight="1">
      <c r="A580" s="2">
        <v>579.0</v>
      </c>
      <c r="B580" s="3" t="s">
        <v>6845</v>
      </c>
      <c r="C580" s="3" t="s">
        <v>6846</v>
      </c>
      <c r="D580" s="3" t="s">
        <v>6847</v>
      </c>
      <c r="F580" s="5" t="str">
        <f>IFERROR(__xludf.DUMMYFUNCTION("GOOGLETRANSLATE(A580, ""en"", ""hi"")"),"579")</f>
        <v>579</v>
      </c>
      <c r="G580" s="5" t="str">
        <f>IFERROR(__xludf.DUMMYFUNCTION("GOOGLETRANSLATE(B580, ""en"", ""hi"")"),"ढोल खेल में मैदान पर खिलाड़ी की दृष्टि सुधारने के लिए प्रभावी तकनीक क्या है?")</f>
        <v>ढोल खेल में मैदान पर खिलाड़ी की दृष्टि सुधारने के लिए प्रभावी तकनीक क्या है?</v>
      </c>
      <c r="H580" s="5" t="str">
        <f>IFERROR(__xludf.DUMMYFUNCTION("GOOGLETRANSLATE(C580, ""en"", ""hi"")"),"A) स्थानिक जागरूकता अभ्यास का अभ्यास करके और परिधीय दृष्टि को बढ़ाकर, B) दृष्टि सुधार की अनदेखी करके, C) केवल गेंद नियंत्रण पर ध्यान केंद्रित करके, D) दृष्टि अभ्यास से बचना")</f>
        <v>A) स्थानिक जागरूकता अभ्यास का अभ्यास करके और परिधीय दृष्टि को बढ़ाकर, B) दृष्टि सुधार की अनदेखी करके, C) केवल गेंद नियंत्रण पर ध्यान केंद्रित करके, D) दृष्टि अभ्यास से बचना</v>
      </c>
      <c r="I580" s="5" t="str">
        <f>IFERROR(__xludf.DUMMYFUNCTION("GOOGLETRANSLATE(D580, ""en"", ""hi"")"),"A) स्थानिक जागरूकता अभ्यास और परिधीय दृष्टि को बढ़ाकर")</f>
        <v>A) स्थानिक जागरूकता अभ्यास और परिधीय दृष्टि को बढ़ाकर</v>
      </c>
    </row>
    <row r="581" ht="22.5" customHeight="1">
      <c r="A581" s="2">
        <v>580.0</v>
      </c>
      <c r="B581" s="3" t="s">
        <v>6848</v>
      </c>
      <c r="C581" s="3" t="s">
        <v>6849</v>
      </c>
      <c r="D581" s="3" t="s">
        <v>6850</v>
      </c>
      <c r="F581" s="5" t="str">
        <f>IFERROR(__xludf.DUMMYFUNCTION("GOOGLETRANSLATE(A581, ""en"", ""hi"")"),"580")</f>
        <v>580</v>
      </c>
      <c r="G581" s="5" t="str">
        <f>IFERROR(__xludf.DUMMYFUNCTION("GOOGLETRANSLATE(B581, ""en"", ""hi"")"),"ढोल खेल में टीम को लाभ पहुंचाने के लिए कोई खिलाड़ी अपनी ताकत का प्रभावी ढंग से उपयोग कैसे कर सकता है?")</f>
        <v>ढोल खेल में टीम को लाभ पहुंचाने के लिए कोई खिलाड़ी अपनी ताकत का प्रभावी ढंग से उपयोग कैसे कर सकता है?</v>
      </c>
      <c r="H581" s="5" t="str">
        <f>IFERROR(__xludf.DUMMYFUNCTION("GOOGLETRANSLATE(C581, ""en"", ""hi"")"),"A) अपनी निर्दिष्ट भूमिका में अपने विशिष्ट कौशल और विशेषताओं का लाभ उठाकर, B) शक्तियों की अनदेखी करके, C) केवल कमजोरियों पर ध्यान केंद्रित करके, D) भूमिका-विशिष्ट खेल से बचना")</f>
        <v>A) अपनी निर्दिष्ट भूमिका में अपने विशिष्ट कौशल और विशेषताओं का लाभ उठाकर, B) शक्तियों की अनदेखी करके, C) केवल कमजोरियों पर ध्यान केंद्रित करके, D) भूमिका-विशिष्ट खेल से बचना</v>
      </c>
      <c r="I581" s="5" t="str">
        <f>IFERROR(__xludf.DUMMYFUNCTION("GOOGLETRANSLATE(D581, ""en"", ""hi"")"),"A) अपनी निर्दिष्ट भूमिका में अपने विशिष्ट कौशल और विशेषताओं का लाभ उठाकर")</f>
        <v>A) अपनी निर्दिष्ट भूमिका में अपने विशिष्ट कौशल और विशेषताओं का लाभ उठाकर</v>
      </c>
    </row>
    <row r="582" ht="22.5" customHeight="1">
      <c r="A582" s="2">
        <v>581.0</v>
      </c>
      <c r="B582" s="3" t="s">
        <v>6851</v>
      </c>
      <c r="C582" s="3" t="s">
        <v>6852</v>
      </c>
      <c r="D582" s="3" t="s">
        <v>6853</v>
      </c>
      <c r="F582" s="5" t="str">
        <f>IFERROR(__xludf.DUMMYFUNCTION("GOOGLETRANSLATE(A582, ""en"", ""hi"")"),"581")</f>
        <v>581</v>
      </c>
      <c r="G582" s="5" t="str">
        <f>IFERROR(__xludf.DUMMYFUNCTION("GOOGLETRANSLATE(B582, ""en"", ""hi"")"),"ढोल खेल में रक्षा स्थापित करते समय प्राथमिक उद्देश्य क्या है?")</f>
        <v>ढोल खेल में रक्षा स्थापित करते समय प्राथमिक उद्देश्य क्या है?</v>
      </c>
      <c r="H582" s="5" t="str">
        <f>IFERROR(__xludf.DUMMYFUNCTION("GOOGLETRANSLATE(C582, ""en"", ""hi"")"),"A) प्रतिद्वंद्वी के स्कोरिंग अवसरों को रोकना और गोल क्षेत्र की रक्षा करना, B) केवल आक्रमण पर ध्यान केंद्रित करना, C) रक्षात्मक जिम्मेदारियों से बचना, D) गेंद पर कब्जा बनाए रखना")</f>
        <v>A) प्रतिद्वंद्वी के स्कोरिंग अवसरों को रोकना और गोल क्षेत्र की रक्षा करना, B) केवल आक्रमण पर ध्यान केंद्रित करना, C) रक्षात्मक जिम्मेदारियों से बचना, D) गेंद पर कब्जा बनाए रखना</v>
      </c>
      <c r="I582" s="5" t="str">
        <f>IFERROR(__xludf.DUMMYFUNCTION("GOOGLETRANSLATE(D582, ""en"", ""hi"")"),"A) प्रतिद्वंद्वी के स्कोरिंग अवसरों को रोकना और गोल क्षेत्र की रक्षा करना")</f>
        <v>A) प्रतिद्वंद्वी के स्कोरिंग अवसरों को रोकना और गोल क्षेत्र की रक्षा करना</v>
      </c>
    </row>
    <row r="583" ht="22.5" customHeight="1">
      <c r="A583" s="2">
        <v>582.0</v>
      </c>
      <c r="B583" s="3" t="s">
        <v>6854</v>
      </c>
      <c r="C583" s="3" t="s">
        <v>6855</v>
      </c>
      <c r="D583" s="3" t="s">
        <v>6856</v>
      </c>
      <c r="F583" s="5" t="str">
        <f>IFERROR(__xludf.DUMMYFUNCTION("GOOGLETRANSLATE(A583, ""en"", ""hi"")"),"582")</f>
        <v>582</v>
      </c>
      <c r="G583" s="5" t="str">
        <f>IFERROR(__xludf.DUMMYFUNCTION("GOOGLETRANSLATE(B583, ""en"", ""hi"")"),"ढोल खेल में कोई खिलाड़ी अपनी गेंद संभालने की कुशलता कैसे सुधार सकता है?")</f>
        <v>ढोल खेल में कोई खिलाड़ी अपनी गेंद संभालने की कुशलता कैसे सुधार सकता है?</v>
      </c>
      <c r="H583" s="5" t="str">
        <f>IFERROR(__xludf.DUMMYFUNCTION("GOOGLETRANSLATE(C583, ""en"", ""hi"")"),"ए) ड्रिब्लिंग अभ्यास करके, पकड़ पर काम करके, और हाथ-आंख समन्वय को बढ़ाकर, बी) गेंद को संभालने के अभ्यास को नजरअंदाज करके, सी) केवल पासिंग पर ध्यान केंद्रित करके, डी) गेंद को नियंत्रित करने के अभ्यास से बचना")</f>
        <v>ए) ड्रिब्लिंग अभ्यास करके, पकड़ पर काम करके, और हाथ-आंख समन्वय को बढ़ाकर, बी) गेंद को संभालने के अभ्यास को नजरअंदाज करके, सी) केवल पासिंग पर ध्यान केंद्रित करके, डी) गेंद को नियंत्रित करने के अभ्यास से बचना</v>
      </c>
      <c r="I583" s="5" t="str">
        <f>IFERROR(__xludf.DUMMYFUNCTION("GOOGLETRANSLATE(D583, ""en"", ""hi"")"),"ए) ड्रिब्लिंग अभ्यास, पकड़ पर काम और हाथ-आँख समन्वय को बढ़ाकर")</f>
        <v>ए) ड्रिब्लिंग अभ्यास, पकड़ पर काम और हाथ-आँख समन्वय को बढ़ाकर</v>
      </c>
    </row>
    <row r="584" ht="22.5" customHeight="1">
      <c r="A584" s="2">
        <v>583.0</v>
      </c>
      <c r="B584" s="3" t="s">
        <v>6857</v>
      </c>
      <c r="C584" s="3" t="s">
        <v>6858</v>
      </c>
      <c r="D584" s="3" t="s">
        <v>6859</v>
      </c>
      <c r="F584" s="5" t="str">
        <f>IFERROR(__xludf.DUMMYFUNCTION("GOOGLETRANSLATE(A584, ""en"", ""hi"")"),"583")</f>
        <v>583</v>
      </c>
      <c r="G584" s="5" t="str">
        <f>IFERROR(__xludf.DUMMYFUNCTION("GOOGLETRANSLATE(B584, ""en"", ""hi"")"),"ढोल खेल में कठिन मैच के दौरान टीम का मनोबल बनाए रखने का प्रभावी तरीका क्या है?")</f>
        <v>ढोल खेल में कठिन मैच के दौरान टीम का मनोबल बनाए रखने का प्रभावी तरीका क्या है?</v>
      </c>
      <c r="H584" s="5" t="str">
        <f>IFERROR(__xludf.DUMMYFUNCTION("GOOGLETRANSLATE(C584, ""en"", ""hi"")"),"A) टीम के साथियों को प्रोत्साहित करके, सकारात्मक सुदृढीकरण प्रदान करके, और खेल योजना पर ध्यान केंद्रित करके, B) टीम के मनोबल की अनदेखी करके, C) केवल व्यक्तिगत प्रदर्शन पर ध्यान केंद्रित करके, D) संचार से बचना")</f>
        <v>A) टीम के साथियों को प्रोत्साहित करके, सकारात्मक सुदृढीकरण प्रदान करके, और खेल योजना पर ध्यान केंद्रित करके, B) टीम के मनोबल की अनदेखी करके, C) केवल व्यक्तिगत प्रदर्शन पर ध्यान केंद्रित करके, D) संचार से बचना</v>
      </c>
      <c r="I584" s="5" t="str">
        <f>IFERROR(__xludf.DUMMYFUNCTION("GOOGLETRANSLATE(D584, ""en"", ""hi"")"),"A) टीम के साथियों को प्रोत्साहित करके, सकारात्मक सुदृढीकरण प्रदान करके, और खेल योजना पर ध्यान केंद्रित करके")</f>
        <v>A) टीम के साथियों को प्रोत्साहित करके, सकारात्मक सुदृढीकरण प्रदान करके, और खेल योजना पर ध्यान केंद्रित करके</v>
      </c>
    </row>
    <row r="585" ht="22.5" customHeight="1">
      <c r="A585" s="2">
        <v>584.0</v>
      </c>
      <c r="B585" s="3" t="s">
        <v>6860</v>
      </c>
      <c r="C585" s="3" t="s">
        <v>6861</v>
      </c>
      <c r="D585" s="3" t="s">
        <v>6862</v>
      </c>
      <c r="F585" s="5" t="str">
        <f>IFERROR(__xludf.DUMMYFUNCTION("GOOGLETRANSLATE(A585, ""en"", ""hi"")"),"584")</f>
        <v>584</v>
      </c>
      <c r="G585" s="5" t="str">
        <f>IFERROR(__xludf.DUMMYFUNCTION("GOOGLETRANSLATE(B585, ""en"", ""hi"")"),"ढोल खेल में किसी करीबी खेल के अंतिम क्षणों में खिलाड़ी को किस प्रकार खेलना चाहिए?")</f>
        <v>ढोल खेल में किसी करीबी खेल के अंतिम क्षणों में खिलाड़ी को किस प्रकार खेलना चाहिए?</v>
      </c>
      <c r="H585" s="5" t="str">
        <f>IFERROR(__xludf.DUMMYFUNCTION("GOOGLETRANSLATE(C585, ""en"", ""hi"")"),"A) खेल योजना को क्रियान्वित करके, समय का प्रभावी प्रबंधन करके, और दबाव में शांत रहकर, B) खेल की स्थिति को अनदेखा करके, C) केवल व्यक्तिगत खेल पर ध्यान केंद्रित करके, D) रणनीतिक खेल से बचकर")</f>
        <v>A) खेल योजना को क्रियान्वित करके, समय का प्रभावी प्रबंधन करके, और दबाव में शांत रहकर, B) खेल की स्थिति को अनदेखा करके, C) केवल व्यक्तिगत खेल पर ध्यान केंद्रित करके, D) रणनीतिक खेल से बचकर</v>
      </c>
      <c r="I585" s="5" t="str">
        <f>IFERROR(__xludf.DUMMYFUNCTION("GOOGLETRANSLATE(D585, ""en"", ""hi"")"),"A) खेल योजना को क्रियान्वित करके, समय का प्रभावी प्रबंधन करके, तथा दबाव में शांत रहकर")</f>
        <v>A) खेल योजना को क्रियान्वित करके, समय का प्रभावी प्रबंधन करके, तथा दबाव में शांत रहकर</v>
      </c>
    </row>
    <row r="586" ht="22.5" customHeight="1">
      <c r="A586" s="2">
        <v>585.0</v>
      </c>
      <c r="B586" s="3" t="s">
        <v>6863</v>
      </c>
      <c r="C586" s="3" t="s">
        <v>6864</v>
      </c>
      <c r="D586" s="3" t="s">
        <v>6865</v>
      </c>
      <c r="F586" s="5" t="str">
        <f>IFERROR(__xludf.DUMMYFUNCTION("GOOGLETRANSLATE(A586, ""en"", ""hi"")"),"585")</f>
        <v>585</v>
      </c>
      <c r="G586" s="5" t="str">
        <f>IFERROR(__xludf.DUMMYFUNCTION("GOOGLETRANSLATE(B586, ""en"", ""hi"")"),"ढोल खेल में रणनीतिक खेल विकसित करने का प्रभावी तरीका क्या है?")</f>
        <v>ढोल खेल में रणनीतिक खेल विकसित करने का प्रभावी तरीका क्या है?</v>
      </c>
      <c r="H586" s="5" t="str">
        <f>IFERROR(__xludf.DUMMYFUNCTION("GOOGLETRANSLATE(C586, ""en"", ""hi"")"),"A) खेल फुटेज का अध्ययन करके, विरोधियों का विश्लेषण करके, और विभिन्न रणनीतियों का अभ्यास करके, B) रणनीतिक विकास की अनदेखी करके, C) केवल शारीरिक प्रशिक्षण पर ध्यान केंद्रित करके, D) खेल विश्लेषण से बचना")</f>
        <v>A) खेल फुटेज का अध्ययन करके, विरोधियों का विश्लेषण करके, और विभिन्न रणनीतियों का अभ्यास करके, B) रणनीतिक विकास की अनदेखी करके, C) केवल शारीरिक प्रशिक्षण पर ध्यान केंद्रित करके, D) खेल विश्लेषण से बचना</v>
      </c>
      <c r="I586" s="5" t="str">
        <f>IFERROR(__xludf.DUMMYFUNCTION("GOOGLETRANSLATE(D586, ""en"", ""hi"")"),"A) खेल फुटेज का अध्ययन करके, विरोधियों का विश्लेषण करके, और विभिन्न रणनीतियों का अभ्यास करके")</f>
        <v>A) खेल फुटेज का अध्ययन करके, विरोधियों का विश्लेषण करके, और विभिन्न रणनीतियों का अभ्यास करके</v>
      </c>
    </row>
    <row r="587" ht="22.5" customHeight="1">
      <c r="A587" s="2">
        <v>586.0</v>
      </c>
      <c r="B587" s="3" t="s">
        <v>6866</v>
      </c>
      <c r="C587" s="3" t="s">
        <v>6867</v>
      </c>
      <c r="D587" s="3" t="s">
        <v>6868</v>
      </c>
      <c r="F587" s="5" t="str">
        <f>IFERROR(__xludf.DUMMYFUNCTION("GOOGLETRANSLATE(A587, ""en"", ""hi"")"),"586")</f>
        <v>586</v>
      </c>
      <c r="G587" s="5" t="str">
        <f>IFERROR(__xludf.DUMMYFUNCTION("GOOGLETRANSLATE(B587, ""en"", ""hi"")"),"ढोल खेल में कोई खिलाड़ी अपनी प्रतिक्रिया समय को प्रभावी ढंग से कैसे सुधार सकता है?")</f>
        <v>ढोल खेल में कोई खिलाड़ी अपनी प्रतिक्रिया समय को प्रभावी ढंग से कैसे सुधार सकता है?</v>
      </c>
      <c r="H587" s="5" t="str">
        <f>IFERROR(__xludf.DUMMYFUNCTION("GOOGLETRANSLATE(C587, ""en"", ""hi"")"),"A) प्रतिक्रिया अभ्यास करके, त्वरित निर्णय लेने का अभ्यास करके, और मानसिक सतर्कता बढ़ाकर, B) प्रतिक्रिया प्रशिक्षण की उपेक्षा करके, C) केवल शारीरिक शक्ति पर ध्यान केंद्रित करके, D) प्रतिक्रिया अभ्यास से बचना")</f>
        <v>A) प्रतिक्रिया अभ्यास करके, त्वरित निर्णय लेने का अभ्यास करके, और मानसिक सतर्कता बढ़ाकर, B) प्रतिक्रिया प्रशिक्षण की उपेक्षा करके, C) केवल शारीरिक शक्ति पर ध्यान केंद्रित करके, D) प्रतिक्रिया अभ्यास से बचना</v>
      </c>
      <c r="I587" s="5" t="str">
        <f>IFERROR(__xludf.DUMMYFUNCTION("GOOGLETRANSLATE(D587, ""en"", ""hi"")"),"A) प्रतिक्रिया अभ्यास करके, त्वरित निर्णय लेने का अभ्यास करके, और मानसिक सतर्कता बढ़ाकर")</f>
        <v>A) प्रतिक्रिया अभ्यास करके, त्वरित निर्णय लेने का अभ्यास करके, और मानसिक सतर्कता बढ़ाकर</v>
      </c>
    </row>
    <row r="588" ht="22.5" customHeight="1">
      <c r="A588" s="2">
        <v>587.0</v>
      </c>
      <c r="B588" s="3" t="s">
        <v>6476</v>
      </c>
      <c r="C588" s="3" t="s">
        <v>6869</v>
      </c>
      <c r="D588" s="3" t="s">
        <v>6870</v>
      </c>
      <c r="F588" s="5" t="str">
        <f>IFERROR(__xludf.DUMMYFUNCTION("GOOGLETRANSLATE(A588, ""en"", ""hi"")"),"587")</f>
        <v>587</v>
      </c>
      <c r="G588" s="5" t="str">
        <f>IFERROR(__xludf.DUMMYFUNCTION("GOOGLETRANSLATE(B588, ""en"", ""hi"")"),"ढोल खेल में प्रभावी गोलकीपिंग का महत्वपूर्ण पहलू क्या है?")</f>
        <v>ढोल खेल में प्रभावी गोलकीपिंग का महत्वपूर्ण पहलू क्या है?</v>
      </c>
      <c r="H588" s="5" t="str">
        <f>IFERROR(__xludf.DUMMYFUNCTION("GOOGLETRANSLATE(C588, ""en"", ""hi"")"),"A) सही ढंग से पोजिशनिंग करना, त्वरित प्रतिक्रिया देना और निर्णायक बचाव करना, B) गोलकीपिंग अभ्यास की अनदेखी करना, C) केवल आक्रामक खेल पर ध्यान केंद्रित करना, D) गोलकीपिंग अभ्यास से बचना")</f>
        <v>A) सही ढंग से पोजिशनिंग करना, त्वरित प्रतिक्रिया देना और निर्णायक बचाव करना, B) गोलकीपिंग अभ्यास की अनदेखी करना, C) केवल आक्रामक खेल पर ध्यान केंद्रित करना, D) गोलकीपिंग अभ्यास से बचना</v>
      </c>
      <c r="I588" s="5" t="str">
        <f>IFERROR(__xludf.DUMMYFUNCTION("GOOGLETRANSLATE(D588, ""en"", ""hi"")"),"A) सही स्थिति में रहना, त्वरित प्रतिक्रिया देना, और निर्णायक बचाव करना")</f>
        <v>A) सही स्थिति में रहना, त्वरित प्रतिक्रिया देना, और निर्णायक बचाव करना</v>
      </c>
    </row>
    <row r="589" ht="22.5" customHeight="1">
      <c r="A589" s="2">
        <v>588.0</v>
      </c>
      <c r="B589" s="3" t="s">
        <v>6871</v>
      </c>
      <c r="C589" s="3" t="s">
        <v>6872</v>
      </c>
      <c r="D589" s="3" t="s">
        <v>6873</v>
      </c>
      <c r="F589" s="5" t="str">
        <f>IFERROR(__xludf.DUMMYFUNCTION("GOOGLETRANSLATE(A589, ""en"", ""hi"")"),"588")</f>
        <v>588</v>
      </c>
      <c r="G589" s="5" t="str">
        <f>IFERROR(__xludf.DUMMYFUNCTION("GOOGLETRANSLATE(B589, ""en"", ""hi"")"),"ढोल खेल में एक खिलाड़ी अपनी टीमवर्क कौशल को कैसे बढ़ा सकता है?")</f>
        <v>ढोल खेल में एक खिलाड़ी अपनी टीमवर्क कौशल को कैसे बढ़ा सकता है?</v>
      </c>
      <c r="H589" s="5" t="str">
        <f>IFERROR(__xludf.DUMMYFUNCTION("GOOGLETRANSLATE(C589, ""en"", ""hi"")"),"A) टीम-निर्माण गतिविधियों में भाग लेकर, संचार का अभ्यास करके, और टीम के साथियों का समर्थन करके, B) टीमवर्क की अनदेखी करके, C) केवल व्यक्तिगत कौशल पर ध्यान केंद्रित करके, D) टीम इंटरैक्शन से बचना")</f>
        <v>A) टीम-निर्माण गतिविधियों में भाग लेकर, संचार का अभ्यास करके, और टीम के साथियों का समर्थन करके, B) टीमवर्क की अनदेखी करके, C) केवल व्यक्तिगत कौशल पर ध्यान केंद्रित करके, D) टीम इंटरैक्शन से बचना</v>
      </c>
      <c r="I589" s="5" t="str">
        <f>IFERROR(__xludf.DUMMYFUNCTION("GOOGLETRANSLATE(D589, ""en"", ""hi"")"),"A) टीम-निर्माण गतिविधियों में भाग लेकर, संचार का अभ्यास करके, और टीम के साथियों का समर्थन करके")</f>
        <v>A) टीम-निर्माण गतिविधियों में भाग लेकर, संचार का अभ्यास करके, और टीम के साथियों का समर्थन करके</v>
      </c>
    </row>
    <row r="590" ht="22.5" customHeight="1">
      <c r="A590" s="2">
        <v>589.0</v>
      </c>
      <c r="B590" s="3" t="s">
        <v>6874</v>
      </c>
      <c r="C590" s="3" t="s">
        <v>6875</v>
      </c>
      <c r="D590" s="3" t="s">
        <v>6876</v>
      </c>
      <c r="F590" s="5" t="str">
        <f>IFERROR(__xludf.DUMMYFUNCTION("GOOGLETRANSLATE(A590, ""en"", ""hi"")"),"589")</f>
        <v>589</v>
      </c>
      <c r="G590" s="5" t="str">
        <f>IFERROR(__xludf.DUMMYFUNCTION("GOOGLETRANSLATE(B590, ""en"", ""hi"")"),"ढोल खेल में मैच के दौरान थकान को प्रबंधित करने के लिए प्रभावी रणनीति क्या है?")</f>
        <v>ढोल खेल में मैच के दौरान थकान को प्रबंधित करने के लिए प्रभावी रणनीति क्या है?</v>
      </c>
      <c r="H590" s="5" t="str">
        <f>IFERROR(__xludf.DUMMYFUNCTION("GOOGLETRANSLATE(C590, ""en"", ""hi"")"),"ए) उचित जलयोजन बनाए रखकर, ऊर्जा के स्तर का प्रबंधन करके, और प्रभावी आराम अवधि का उपयोग करके, बी) थकान प्रबंधन की अनदेखी करके, सी) केवल निरंतर खेल पर ध्यान केंद्रित करके, डी) आराम अवकाश से बचना")</f>
        <v>ए) उचित जलयोजन बनाए रखकर, ऊर्जा के स्तर का प्रबंधन करके, और प्रभावी आराम अवधि का उपयोग करके, बी) थकान प्रबंधन की अनदेखी करके, सी) केवल निरंतर खेल पर ध्यान केंद्रित करके, डी) आराम अवकाश से बचना</v>
      </c>
      <c r="I590" s="5" t="str">
        <f>IFERROR(__xludf.DUMMYFUNCTION("GOOGLETRANSLATE(D590, ""en"", ""hi"")"),"A) उचित जलयोजन बनाए रखकर, ऊर्जा के स्तर का प्रबंधन करके, और प्रभावी विश्राम अवधि का उपयोग करके")</f>
        <v>A) उचित जलयोजन बनाए रखकर, ऊर्जा के स्तर का प्रबंधन करके, और प्रभावी विश्राम अवधि का उपयोग करके</v>
      </c>
    </row>
    <row r="591" ht="22.5" customHeight="1">
      <c r="A591" s="2">
        <v>590.0</v>
      </c>
      <c r="B591" s="3" t="s">
        <v>6877</v>
      </c>
      <c r="C591" s="3" t="s">
        <v>6878</v>
      </c>
      <c r="D591" s="3" t="s">
        <v>6879</v>
      </c>
      <c r="F591" s="5" t="str">
        <f>IFERROR(__xludf.DUMMYFUNCTION("GOOGLETRANSLATE(A591, ""en"", ""hi"")"),"590")</f>
        <v>590</v>
      </c>
      <c r="G591" s="5" t="str">
        <f>IFERROR(__xludf.DUMMYFUNCTION("GOOGLETRANSLATE(B591, ""en"", ""hi"")"),"ढोल खेल में एक खिलाड़ी आक्रामक प्रतिद्वंद्वियों को प्रभावी ढंग से कैसे संभाल सकता है?")</f>
        <v>ढोल खेल में एक खिलाड़ी आक्रामक प्रतिद्वंद्वियों को प्रभावी ढंग से कैसे संभाल सकता है?</v>
      </c>
      <c r="H591" s="5" t="str">
        <f>IFERROR(__xludf.DUMMYFUNCTION("GOOGLETRANSLATE(C591, ""en"", ""hi"")"),"A) संयमित रहकर, उचित तकनीकों का उपयोग करके, और अनावश्यक टकरावों से बचकर, B) आक्रामक व्यवहार को नज़रअंदाज़ करके, C) केवल जवाबी हमले पर ध्यान केंद्रित करके, D) रक्षात्मक रणनीतियों से बचकर")</f>
        <v>A) संयमित रहकर, उचित तकनीकों का उपयोग करके, और अनावश्यक टकरावों से बचकर, B) आक्रामक व्यवहार को नज़रअंदाज़ करके, C) केवल जवाबी हमले पर ध्यान केंद्रित करके, D) रक्षात्मक रणनीतियों से बचकर</v>
      </c>
      <c r="I591" s="5" t="str">
        <f>IFERROR(__xludf.DUMMYFUNCTION("GOOGLETRANSLATE(D591, ""en"", ""hi"")"),"A) शांतचित्त रहकर, उचित तकनीकों का उपयोग करके, और अनावश्यक टकरावों से बचकर")</f>
        <v>A) शांतचित्त रहकर, उचित तकनीकों का उपयोग करके, और अनावश्यक टकरावों से बचकर</v>
      </c>
    </row>
    <row r="592" ht="22.5" customHeight="1">
      <c r="A592" s="2">
        <v>591.0</v>
      </c>
      <c r="B592" s="3" t="s">
        <v>6880</v>
      </c>
      <c r="C592" s="3" t="s">
        <v>6881</v>
      </c>
      <c r="D592" s="3" t="s">
        <v>6882</v>
      </c>
      <c r="F592" s="5" t="str">
        <f>IFERROR(__xludf.DUMMYFUNCTION("GOOGLETRANSLATE(A592, ""en"", ""hi"")"),"591")</f>
        <v>591</v>
      </c>
      <c r="G592" s="5" t="str">
        <f>IFERROR(__xludf.DUMMYFUNCTION("GOOGLETRANSLATE(B592, ""en"", ""hi"")"),"ढोल खेल में सफल पासिंग का मुख्य तत्व क्या है?")</f>
        <v>ढोल खेल में सफल पासिंग का मुख्य तत्व क्या है?</v>
      </c>
      <c r="H592" s="5" t="str">
        <f>IFERROR(__xludf.DUMMYFUNCTION("GOOGLETRANSLATE(C592, ""en"", ""hi"")"),"ए) सटीकता, समय और रिसीवर की गतिविधियों को पढ़ना, बी) पासिंग के मूल सिद्धांतों की अनदेखी करना, सी) केवल शक्ति पर ध्यान केंद्रित करना, डी) सटीकता से बचना")</f>
        <v>ए) सटीकता, समय और रिसीवर की गतिविधियों को पढ़ना, बी) पासिंग के मूल सिद्धांतों की अनदेखी करना, सी) केवल शक्ति पर ध्यान केंद्रित करना, डी) सटीकता से बचना</v>
      </c>
      <c r="I592" s="5" t="str">
        <f>IFERROR(__xludf.DUMMYFUNCTION("GOOGLETRANSLATE(D592, ""en"", ""hi"")"),"ए) सटीकता, समय और रिसीवर की गतिविधियों को पढ़ना")</f>
        <v>ए) सटीकता, समय और रिसीवर की गतिविधियों को पढ़ना</v>
      </c>
    </row>
    <row r="593" ht="22.5" customHeight="1">
      <c r="A593" s="2">
        <v>592.0</v>
      </c>
      <c r="B593" s="3" t="s">
        <v>6883</v>
      </c>
      <c r="C593" s="3" t="s">
        <v>6884</v>
      </c>
      <c r="D593" s="3" t="s">
        <v>6885</v>
      </c>
      <c r="F593" s="5" t="str">
        <f>IFERROR(__xludf.DUMMYFUNCTION("GOOGLETRANSLATE(A593, ""en"", ""hi"")"),"592")</f>
        <v>592</v>
      </c>
      <c r="G593" s="5" t="str">
        <f>IFERROR(__xludf.DUMMYFUNCTION("GOOGLETRANSLATE(B593, ""en"", ""hi"")"),"ढोल खेल में एक खिलाड़ी को उस स्थिति से कैसे निपटना चाहिए, जहां उसे एक चुनौतीपूर्ण प्रतिद्वंद्वी दिया जाता है?")</f>
        <v>ढोल खेल में एक खिलाड़ी को उस स्थिति से कैसे निपटना चाहिए, जहां उसे एक चुनौतीपूर्ण प्रतिद्वंद्वी दिया जाता है?</v>
      </c>
      <c r="H593" s="5" t="str">
        <f>IFERROR(__xludf.DUMMYFUNCTION("GOOGLETRANSLATE(C593, ""en"", ""hi"")"),"A) प्रतिद्वंद्वी की ताकत और कमजोरियों का विश्लेषण करके और उसके अनुसार अपनी रणनीति को समायोजित करके, B) चुनौती को नजरअंदाज करके, C) केवल व्यक्तिगत कौशल पर ध्यान केंद्रित करके, D) रणनीतिक समायोजन से बचना")</f>
        <v>A) प्रतिद्वंद्वी की ताकत और कमजोरियों का विश्लेषण करके और उसके अनुसार अपनी रणनीति को समायोजित करके, B) चुनौती को नजरअंदाज करके, C) केवल व्यक्तिगत कौशल पर ध्यान केंद्रित करके, D) रणनीतिक समायोजन से बचना</v>
      </c>
      <c r="I593" s="5" t="str">
        <f>IFERROR(__xludf.DUMMYFUNCTION("GOOGLETRANSLATE(D593, ""en"", ""hi"")"),"A) प्रतिद्वंद्वी की ताकत और कमजोरियों का विश्लेषण करके और उसके अनुसार अपनी रणनीति को समायोजित करके")</f>
        <v>A) प्रतिद्वंद्वी की ताकत और कमजोरियों का विश्लेषण करके और उसके अनुसार अपनी रणनीति को समायोजित करके</v>
      </c>
    </row>
    <row r="594" ht="22.5" customHeight="1">
      <c r="A594" s="2">
        <v>593.0</v>
      </c>
      <c r="B594" s="3" t="s">
        <v>6886</v>
      </c>
      <c r="C594" s="3" t="s">
        <v>6887</v>
      </c>
      <c r="D594" s="3" t="s">
        <v>6888</v>
      </c>
      <c r="F594" s="5" t="str">
        <f>IFERROR(__xludf.DUMMYFUNCTION("GOOGLETRANSLATE(A594, ""en"", ""hi"")"),"593")</f>
        <v>593</v>
      </c>
      <c r="G594" s="5" t="str">
        <f>IFERROR(__xludf.DUMMYFUNCTION("GOOGLETRANSLATE(B594, ""en"", ""hi"")"),"ढोल खेल में निशानेबाजी की सटीकता में सुधार के लिए प्रभावी तरीका क्या है?")</f>
        <v>ढोल खेल में निशानेबाजी की सटीकता में सुधार के लिए प्रभावी तरीका क्या है?</v>
      </c>
      <c r="H594" s="5" t="str">
        <f>IFERROR(__xludf.DUMMYFUNCTION("GOOGLETRANSLATE(C594, ""en"", ""hi"")"),"A) शूटिंग अभ्यास का अभ्यास करके, तकनीक पर ध्यान केंद्रित करके, और लक्ष्य-आधारित अभ्यास का उपयोग करके, B) शूटिंग अभ्यास की उपेक्षा करके, C) केवल शक्ति पर ध्यान केंद्रित करके, D) सटीकता अभ्यास से बचना")</f>
        <v>A) शूटिंग अभ्यास का अभ्यास करके, तकनीक पर ध्यान केंद्रित करके, और लक्ष्य-आधारित अभ्यास का उपयोग करके, B) शूटिंग अभ्यास की उपेक्षा करके, C) केवल शक्ति पर ध्यान केंद्रित करके, D) सटीकता अभ्यास से बचना</v>
      </c>
      <c r="I594" s="5" t="str">
        <f>IFERROR(__xludf.DUMMYFUNCTION("GOOGLETRANSLATE(D594, ""en"", ""hi"")"),"ए) शूटिंग अभ्यास का अभ्यास करके, तकनीक पर ध्यान केंद्रित करके, और लक्ष्य-आधारित अभ्यासों का उपयोग करके")</f>
        <v>ए) शूटिंग अभ्यास का अभ्यास करके, तकनीक पर ध्यान केंद्रित करके, और लक्ष्य-आधारित अभ्यासों का उपयोग करके</v>
      </c>
    </row>
    <row r="595" ht="22.5" customHeight="1">
      <c r="A595" s="2">
        <v>594.0</v>
      </c>
      <c r="B595" s="3" t="s">
        <v>6889</v>
      </c>
      <c r="C595" s="3" t="s">
        <v>6890</v>
      </c>
      <c r="D595" s="3" t="s">
        <v>6891</v>
      </c>
      <c r="F595" s="5" t="str">
        <f>IFERROR(__xludf.DUMMYFUNCTION("GOOGLETRANSLATE(A595, ""en"", ""hi"")"),"594")</f>
        <v>594</v>
      </c>
      <c r="G595" s="5" t="str">
        <f>IFERROR(__xludf.DUMMYFUNCTION("GOOGLETRANSLATE(B595, ""en"", ""hi"")"),"ढोल खेल में कोई खिलाड़ी अपने गेमप्ले में नए कौशल को प्रभावी ढंग से कैसे एकीकृत कर सकता है?")</f>
        <v>ढोल खेल में कोई खिलाड़ी अपने गेमप्ले में नए कौशल को प्रभावी ढंग से कैसे एकीकृत कर सकता है?</v>
      </c>
      <c r="H595" s="5" t="str">
        <f>IFERROR(__xludf.DUMMYFUNCTION("GOOGLETRANSLATE(C595, ""en"", ""hi"")"),"A) प्रशिक्षण में कौशल का अभ्यास करके और मैचों के दौरान उन्हें लागू करके, B) कौशल एकीकरण की अनदेखी करके, C) केवल मौजूदा कौशल पर ध्यान केंद्रित करके, D) कौशल अभ्यास से बचना")</f>
        <v>A) प्रशिक्षण में कौशल का अभ्यास करके और मैचों के दौरान उन्हें लागू करके, B) कौशल एकीकरण की अनदेखी करके, C) केवल मौजूदा कौशल पर ध्यान केंद्रित करके, D) कौशल अभ्यास से बचना</v>
      </c>
      <c r="I595" s="5" t="str">
        <f>IFERROR(__xludf.DUMMYFUNCTION("GOOGLETRANSLATE(D595, ""en"", ""hi"")"),"A) प्रशिक्षण में कौशल का अभ्यास करके और मैचों के दौरान उन्हें लागू करके")</f>
        <v>A) प्रशिक्षण में कौशल का अभ्यास करके और मैचों के दौरान उन्हें लागू करके</v>
      </c>
    </row>
    <row r="596" ht="22.5" customHeight="1">
      <c r="A596" s="2">
        <v>595.0</v>
      </c>
      <c r="B596" s="3" t="s">
        <v>6892</v>
      </c>
      <c r="C596" s="3" t="s">
        <v>6893</v>
      </c>
      <c r="D596" s="3" t="s">
        <v>6894</v>
      </c>
      <c r="F596" s="5" t="str">
        <f>IFERROR(__xludf.DUMMYFUNCTION("GOOGLETRANSLATE(A596, ""en"", ""hi"")"),"595")</f>
        <v>595</v>
      </c>
      <c r="G596" s="5" t="str">
        <f>IFERROR(__xludf.DUMMYFUNCTION("GOOGLETRANSLATE(B596, ""en"", ""hi"")"),"ढोल खेल में संरचना स्थापित करते समय क्या महत्वपूर्ण बात ध्यान में रखनी चाहिए?")</f>
        <v>ढोल खेल में संरचना स्थापित करते समय क्या महत्वपूर्ण बात ध्यान में रखनी चाहिए?</v>
      </c>
      <c r="H596" s="5" t="str">
        <f>IFERROR(__xludf.DUMMYFUNCTION("GOOGLETRANSLATE(C596, ""en"", ""hi"")"),"A) यह सुनिश्चित करना कि संरचना टीम की ताकत के अनुकूल हो और प्रतिद्वंद्वी की रणनीति का मुकाबला करे, B) संरचना सेटअप की अनदेखी करना, C) केवल व्यक्तिगत भूमिकाओं पर ध्यान केंद्रित करना, D) सामरिक योजना से बचना")</f>
        <v>A) यह सुनिश्चित करना कि संरचना टीम की ताकत के अनुकूल हो और प्रतिद्वंद्वी की रणनीति का मुकाबला करे, B) संरचना सेटअप की अनदेखी करना, C) केवल व्यक्तिगत भूमिकाओं पर ध्यान केंद्रित करना, D) सामरिक योजना से बचना</v>
      </c>
      <c r="I596" s="5" t="str">
        <f>IFERROR(__xludf.DUMMYFUNCTION("GOOGLETRANSLATE(D596, ""en"", ""hi"")"),"A) यह सुनिश्चित करना कि संरचना टीम की ताकत के अनुकूल हो और प्रतिद्वंद्वी की रणनीति का मुकाबला करे")</f>
        <v>A) यह सुनिश्चित करना कि संरचना टीम की ताकत के अनुकूल हो और प्रतिद्वंद्वी की रणनीति का मुकाबला करे</v>
      </c>
    </row>
    <row r="597" ht="22.5" customHeight="1">
      <c r="A597" s="2">
        <v>596.0</v>
      </c>
      <c r="B597" s="3" t="s">
        <v>6895</v>
      </c>
      <c r="C597" s="3" t="s">
        <v>6896</v>
      </c>
      <c r="D597" s="3" t="s">
        <v>6897</v>
      </c>
      <c r="F597" s="5" t="str">
        <f>IFERROR(__xludf.DUMMYFUNCTION("GOOGLETRANSLATE(A597, ""en"", ""hi"")"),"596")</f>
        <v>596</v>
      </c>
      <c r="G597" s="5" t="str">
        <f>IFERROR(__xludf.DUMMYFUNCTION("GOOGLETRANSLATE(B597, ""en"", ""hi"")"),"ढोल खेल में मैच के दौरान एक खिलाड़ी उच्च दबाव की स्थिति को प्रभावी ढंग से कैसे संभाल सकता है?")</f>
        <v>ढोल खेल में मैच के दौरान एक खिलाड़ी उच्च दबाव की स्थिति को प्रभावी ढंग से कैसे संभाल सकता है?</v>
      </c>
      <c r="H597" s="5" t="str">
        <f>IFERROR(__xludf.DUMMYFUNCTION("GOOGLETRANSLATE(C597, ""en"", ""hi"")"),"ए) ध्यान केंद्रित करके, तनाव का प्रबंधन करके और खेल योजना का पालन करके, बी) दबाव प्रबंधन की अनदेखी करके, सी) केवल व्यक्तिगत प्रदर्शन पर ध्यान केंद्रित करके, डी) उच्च दबाव की स्थितियों से बचना")</f>
        <v>ए) ध्यान केंद्रित करके, तनाव का प्रबंधन करके और खेल योजना का पालन करके, बी) दबाव प्रबंधन की अनदेखी करके, सी) केवल व्यक्तिगत प्रदर्शन पर ध्यान केंद्रित करके, डी) उच्च दबाव की स्थितियों से बचना</v>
      </c>
      <c r="I597" s="5" t="str">
        <f>IFERROR(__xludf.DUMMYFUNCTION("GOOGLETRANSLATE(D597, ""en"", ""hi"")"),"A) ध्यान केंद्रित रखकर, तनाव प्रबंधन करके, और खेल योजना का पालन करके")</f>
        <v>A) ध्यान केंद्रित रखकर, तनाव प्रबंधन करके, और खेल योजना का पालन करके</v>
      </c>
    </row>
    <row r="598" ht="22.5" customHeight="1">
      <c r="A598" s="2">
        <v>597.0</v>
      </c>
      <c r="B598" s="3" t="s">
        <v>6898</v>
      </c>
      <c r="C598" s="3" t="s">
        <v>6899</v>
      </c>
      <c r="D598" s="3" t="s">
        <v>6900</v>
      </c>
      <c r="F598" s="5" t="str">
        <f>IFERROR(__xludf.DUMMYFUNCTION("GOOGLETRANSLATE(A598, ""en"", ""hi"")"),"597")</f>
        <v>597</v>
      </c>
      <c r="G598" s="5" t="str">
        <f>IFERROR(__xludf.DUMMYFUNCTION("GOOGLETRANSLATE(B598, ""en"", ""hi"")"),"ढोल खेल में रक्षात्मक रणनीति में सुधार करने का मुख्य कारक क्या है?")</f>
        <v>ढोल खेल में रक्षात्मक रणनीति में सुधार करने का मुख्य कारक क्या है?</v>
      </c>
      <c r="H598" s="5" t="str">
        <f>IFERROR(__xludf.DUMMYFUNCTION("GOOGLETRANSLATE(C598, ""en"", ""hi"")"),"A) विरोधियों का विश्लेषण करना, रक्षात्मक अभ्यास करना और प्रभावी स्थिति बनाए रखना, B) रक्षात्मक रणनीति की अनदेखी करना, C) केवल आक्रमण पर ध्यान केंद्रित करना, D) रक्षात्मक अभ्यास से बचना")</f>
        <v>A) विरोधियों का विश्लेषण करना, रक्षात्मक अभ्यास करना और प्रभावी स्थिति बनाए रखना, B) रक्षात्मक रणनीति की अनदेखी करना, C) केवल आक्रमण पर ध्यान केंद्रित करना, D) रक्षात्मक अभ्यास से बचना</v>
      </c>
      <c r="I598" s="5" t="str">
        <f>IFERROR(__xludf.DUMMYFUNCTION("GOOGLETRANSLATE(D598, ""en"", ""hi"")"),"ए) विरोधियों का विश्लेषण करना, रक्षात्मक अभ्यास करना और प्रभावी स्थिति बनाए रखना")</f>
        <v>ए) विरोधियों का विश्लेषण करना, रक्षात्मक अभ्यास करना और प्रभावी स्थिति बनाए रखना</v>
      </c>
    </row>
    <row r="599" ht="22.5" customHeight="1">
      <c r="A599" s="2">
        <v>598.0</v>
      </c>
      <c r="B599" s="3" t="s">
        <v>6901</v>
      </c>
      <c r="C599" s="3" t="s">
        <v>6902</v>
      </c>
      <c r="D599" s="3" t="s">
        <v>6903</v>
      </c>
      <c r="F599" s="5" t="str">
        <f>IFERROR(__xludf.DUMMYFUNCTION("GOOGLETRANSLATE(A599, ""en"", ""hi"")"),"598")</f>
        <v>598</v>
      </c>
      <c r="G599" s="5" t="str">
        <f>IFERROR(__xludf.DUMMYFUNCTION("GOOGLETRANSLATE(B599, ""en"", ""hi"")"),"ढोल खेल में एक खिलाड़ी अपने साथियों की ताकत का प्रभावी ढंग से उपयोग कैसे कर सकता है?")</f>
        <v>ढोल खेल में एक खिलाड़ी अपने साथियों की ताकत का प्रभावी ढंग से उपयोग कैसे कर सकता है?</v>
      </c>
      <c r="H599" s="5" t="str">
        <f>IFERROR(__xludf.DUMMYFUNCTION("GOOGLETRANSLATE(C599, ""en"", ""hi"")"),"A) टीम की समग्र रणनीति के पूरक के रूप में अपने साथियों के कौशल को समझकर और उनका लाभ उठाकर, B) साथियों की ताकत को नजरअंदाज करके, C) केवल व्यक्तिगत ताकत पर ध्यान केंद्रित करके, D) टीम वर्क से बचना")</f>
        <v>A) टीम की समग्र रणनीति के पूरक के रूप में अपने साथियों के कौशल को समझकर और उनका लाभ उठाकर, B) साथियों की ताकत को नजरअंदाज करके, C) केवल व्यक्तिगत ताकत पर ध्यान केंद्रित करके, D) टीम वर्क से बचना</v>
      </c>
      <c r="I599" s="5" t="str">
        <f>IFERROR(__xludf.DUMMYFUNCTION("GOOGLETRANSLATE(D599, ""en"", ""hi"")"),"A) टीम की समग्र रणनीति को पूरा करने के लिए अपने साथियों के कौशल को समझकर और उनका लाभ उठाकर")</f>
        <v>A) टीम की समग्र रणनीति को पूरा करने के लिए अपने साथियों के कौशल को समझकर और उनका लाभ उठाकर</v>
      </c>
    </row>
    <row r="600" ht="22.5" customHeight="1">
      <c r="A600" s="2">
        <v>599.0</v>
      </c>
      <c r="B600" s="3" t="s">
        <v>6904</v>
      </c>
      <c r="C600" s="3" t="s">
        <v>6905</v>
      </c>
      <c r="D600" s="3" t="s">
        <v>6906</v>
      </c>
      <c r="F600" s="5" t="str">
        <f>IFERROR(__xludf.DUMMYFUNCTION("GOOGLETRANSLATE(A600, ""en"", ""hi"")"),"599")</f>
        <v>599</v>
      </c>
      <c r="G600" s="5" t="str">
        <f>IFERROR(__xludf.DUMMYFUNCTION("GOOGLETRANSLATE(B600, ""en"", ""hi"")"),"ढोल खेल में नए प्रतिद्वंद्वी के लिए तैयारी करने का प्रभावी तरीका क्या है?")</f>
        <v>ढोल खेल में नए प्रतिद्वंद्वी के लिए तैयारी करने का प्रभावी तरीका क्या है?</v>
      </c>
      <c r="H600" s="5" t="str">
        <f>IFERROR(__xludf.DUMMYFUNCTION("GOOGLETRANSLATE(C600, ""en"", ""hi"")"),"A) उनकी खेल शैली पर शोध करके, पिछले मैचों का विश्लेषण करके, और जवाबी रणनीतियां विकसित करके, B) प्रतिद्वंद्वी विश्लेषण की अनदेखी करके, C) केवल व्यक्तिगत कौशल पर ध्यान केंद्रित करके, D) तैयारी से बचना")</f>
        <v>A) उनकी खेल शैली पर शोध करके, पिछले मैचों का विश्लेषण करके, और जवाबी रणनीतियां विकसित करके, B) प्रतिद्वंद्वी विश्लेषण की अनदेखी करके, C) केवल व्यक्तिगत कौशल पर ध्यान केंद्रित करके, D) तैयारी से बचना</v>
      </c>
      <c r="I600" s="5" t="str">
        <f>IFERROR(__xludf.DUMMYFUNCTION("GOOGLETRANSLATE(D600, ""en"", ""hi"")"),"A) उनकी खेल शैली पर शोध करके, पिछले मैचों का विश्लेषण करके, और जवाबी रणनीति विकसित करके")</f>
        <v>A) उनकी खेल शैली पर शोध करके, पिछले मैचों का विश्लेषण करके, और जवाबी रणनीति विकसित करके</v>
      </c>
    </row>
    <row r="601" ht="22.5" customHeight="1">
      <c r="A601" s="2">
        <v>600.0</v>
      </c>
      <c r="B601" s="3" t="s">
        <v>6907</v>
      </c>
      <c r="C601" s="3" t="s">
        <v>6908</v>
      </c>
      <c r="D601" s="3" t="s">
        <v>6909</v>
      </c>
      <c r="F601" s="5" t="str">
        <f>IFERROR(__xludf.DUMMYFUNCTION("GOOGLETRANSLATE(A601, ""en"", ""hi"")"),"600")</f>
        <v>600</v>
      </c>
      <c r="G601" s="5" t="str">
        <f>IFERROR(__xludf.DUMMYFUNCTION("GOOGLETRANSLATE(B601, ""en"", ""hi"")"),"ढोल खेल में धीरज के लिए एक खिलाड़ी अपनी फिटनेस कैसे सुधार सकता है?")</f>
        <v>ढोल खेल में धीरज के लिए एक खिलाड़ी अपनी फिटनेस कैसे सुधार सकता है?</v>
      </c>
      <c r="H601" s="5" t="str">
        <f>IFERROR(__xludf.DUMMYFUNCTION("GOOGLETRANSLATE(C601, ""en"", ""hi"")"),"ए) लंबी दूरी की दौड़, अंतराल प्रशिक्षण और धीरज अभ्यास को अपने दिनचर्या में शामिल करके, बी) धीरज प्रशिक्षण की अनदेखी करके, सी) केवल ताकत पर ध्यान केंद्रित करके, डी) लंबी दूरी के व्यायाम से बचना")</f>
        <v>ए) लंबी दूरी की दौड़, अंतराल प्रशिक्षण और धीरज अभ्यास को अपने दिनचर्या में शामिल करके, बी) धीरज प्रशिक्षण की अनदेखी करके, सी) केवल ताकत पर ध्यान केंद्रित करके, डी) लंबी दूरी के व्यायाम से बचना</v>
      </c>
      <c r="I601" s="5" t="str">
        <f>IFERROR(__xludf.DUMMYFUNCTION("GOOGLETRANSLATE(D601, ""en"", ""hi"")"),"A) लंबी दूरी की दौड़, अंतराल प्रशिक्षण और सहनशक्ति अभ्यास को अपने दिनचर्या में शामिल करके")</f>
        <v>A) लंबी दूरी की दौड़, अंतराल प्रशिक्षण और सहनशक्ति अभ्यास को अपने दिनचर्या में शामिल करके</v>
      </c>
    </row>
    <row r="602" ht="22.5" customHeight="1">
      <c r="A602" s="2">
        <v>601.0</v>
      </c>
      <c r="B602" s="3" t="s">
        <v>6910</v>
      </c>
      <c r="C602" s="3" t="s">
        <v>6911</v>
      </c>
      <c r="D602" s="3" t="s">
        <v>6912</v>
      </c>
      <c r="F602" s="5" t="str">
        <f>IFERROR(__xludf.DUMMYFUNCTION("GOOGLETRANSLATE(A602, ""en"", ""hi"")"),"601")</f>
        <v>601</v>
      </c>
      <c r="G602" s="5" t="str">
        <f>IFERROR(__xludf.DUMMYFUNCTION("GOOGLETRANSLATE(B602, ""en"", ""hi"")"),"ढोल खेल में मजबूत रक्षा को भेदने के लिए प्रभावी रणनीति क्या है?")</f>
        <v>ढोल खेल में मजबूत रक्षा को भेदने के लिए प्रभावी रणनीति क्या है?</v>
      </c>
      <c r="H602" s="5" t="str">
        <f>IFERROR(__xludf.DUMMYFUNCTION("GOOGLETRANSLATE(C602, ""en"", ""hi"")"),"A) त्वरित पास का उपयोग करके, जगह बनाकर और रणनीतिक खेल अपनाकर, B) रक्षात्मक रणनीतियों की अनदेखी करके, C) केवल व्यक्तिगत खेल पर ध्यान केंद्रित करके, D) रणनीतिक समायोजन से बचना")</f>
        <v>A) त्वरित पास का उपयोग करके, जगह बनाकर और रणनीतिक खेल अपनाकर, B) रक्षात्मक रणनीतियों की अनदेखी करके, C) केवल व्यक्तिगत खेल पर ध्यान केंद्रित करके, D) रणनीतिक समायोजन से बचना</v>
      </c>
      <c r="I602" s="5" t="str">
        <f>IFERROR(__xludf.DUMMYFUNCTION("GOOGLETRANSLATE(D602, ""en"", ""hi"")"),"A) त्वरित पास का उपयोग करके, जगह बनाकर, और रणनीतिक खेल अपनाकर")</f>
        <v>A) त्वरित पास का उपयोग करके, जगह बनाकर, और रणनीतिक खेल अपनाकर</v>
      </c>
    </row>
    <row r="603" ht="22.5" customHeight="1">
      <c r="A603" s="2">
        <v>602.0</v>
      </c>
      <c r="B603" s="3" t="s">
        <v>6913</v>
      </c>
      <c r="C603" s="3" t="s">
        <v>6914</v>
      </c>
      <c r="D603" s="3" t="s">
        <v>6915</v>
      </c>
      <c r="F603" s="5" t="str">
        <f>IFERROR(__xludf.DUMMYFUNCTION("GOOGLETRANSLATE(A603, ""en"", ""hi"")"),"602")</f>
        <v>602</v>
      </c>
      <c r="G603" s="5" t="str">
        <f>IFERROR(__xludf.DUMMYFUNCTION("GOOGLETRANSLATE(B603, ""en"", ""hi"")"),"ढोल खेल के लिए खिलाड़ी को अभ्यास सत्र कैसे करना चाहिए?")</f>
        <v>ढोल खेल के लिए खिलाड़ी को अभ्यास सत्र कैसे करना चाहिए?</v>
      </c>
      <c r="H603" s="5" t="str">
        <f>IFERROR(__xludf.DUMMYFUNCTION("GOOGLETRANSLATE(C603, ""en"", ""hi"")"),"A) विशिष्ट लक्ष्य निर्धारित करके, कमजोर क्षेत्रों पर ध्यान केंद्रित करके, और लगातार अभ्यास करके, B) अभ्यास लक्ष्यों की अनदेखी करके, C) केवल ताकत पर ध्यान केंद्रित करके, D) लगातार अभ्यास से बचना")</f>
        <v>A) विशिष्ट लक्ष्य निर्धारित करके, कमजोर क्षेत्रों पर ध्यान केंद्रित करके, और लगातार अभ्यास करके, B) अभ्यास लक्ष्यों की अनदेखी करके, C) केवल ताकत पर ध्यान केंद्रित करके, D) लगातार अभ्यास से बचना</v>
      </c>
      <c r="I603" s="5" t="str">
        <f>IFERROR(__xludf.DUMMYFUNCTION("GOOGLETRANSLATE(D603, ""en"", ""hi"")"),"A) विशिष्ट लक्ष्य निर्धारित करके, कमजोर क्षेत्रों पर ध्यान केंद्रित करके और लगातार अभ्यास करके")</f>
        <v>A) विशिष्ट लक्ष्य निर्धारित करके, कमजोर क्षेत्रों पर ध्यान केंद्रित करके और लगातार अभ्यास करके</v>
      </c>
    </row>
    <row r="604" ht="22.5" customHeight="1">
      <c r="A604" s="2">
        <v>603.0</v>
      </c>
      <c r="B604" s="3" t="s">
        <v>6916</v>
      </c>
      <c r="C604" s="3" t="s">
        <v>6917</v>
      </c>
      <c r="D604" s="3" t="s">
        <v>6918</v>
      </c>
      <c r="F604" s="5" t="str">
        <f>IFERROR(__xludf.DUMMYFUNCTION("GOOGLETRANSLATE(A604, ""en"", ""hi"")"),"603")</f>
        <v>603</v>
      </c>
      <c r="G604" s="5" t="str">
        <f>IFERROR(__xludf.DUMMYFUNCTION("GOOGLETRANSLATE(B604, ""en"", ""hi"")"),"ढोल खेल में दबाव में पासिंग सुधारने के लिए प्रभावी तकनीक क्या है?")</f>
        <v>ढोल खेल में दबाव में पासिंग सुधारने के लिए प्रभावी तकनीक क्या है?</v>
      </c>
      <c r="H604" s="5" t="str">
        <f>IFERROR(__xludf.DUMMYFUNCTION("GOOGLETRANSLATE(C604, ""en"", ""hi"")"),"A) त्वरित निर्णय लेने, संयम बनाए रखने और सटीक पास का उपयोग करने का अभ्यास करके, B) दबाव में पासिंग को नजरअंदाज करके, C) केवल पावर पासिंग पर ध्यान केंद्रित करके, D) दबाव की स्थिति से बचना")</f>
        <v>A) त्वरित निर्णय लेने, संयम बनाए रखने और सटीक पास का उपयोग करने का अभ्यास करके, B) दबाव में पासिंग को नजरअंदाज करके, C) केवल पावर पासिंग पर ध्यान केंद्रित करके, D) दबाव की स्थिति से बचना</v>
      </c>
      <c r="I604" s="5" t="str">
        <f>IFERROR(__xludf.DUMMYFUNCTION("GOOGLETRANSLATE(D604, ""en"", ""hi"")"),"A) त्वरित निर्णय लेने, संयम बनाए रखने और सटीक पास का उपयोग करने का अभ्यास करके")</f>
        <v>A) त्वरित निर्णय लेने, संयम बनाए रखने और सटीक पास का उपयोग करने का अभ्यास करके</v>
      </c>
    </row>
    <row r="605" ht="22.5" customHeight="1">
      <c r="A605" s="2">
        <v>604.0</v>
      </c>
      <c r="B605" s="3" t="s">
        <v>6919</v>
      </c>
      <c r="C605" s="3" t="s">
        <v>6920</v>
      </c>
      <c r="D605" s="3" t="s">
        <v>6921</v>
      </c>
      <c r="F605" s="5" t="str">
        <f>IFERROR(__xludf.DUMMYFUNCTION("GOOGLETRANSLATE(A605, ""en"", ""hi"")"),"604")</f>
        <v>604</v>
      </c>
      <c r="G605" s="5" t="str">
        <f>IFERROR(__xludf.DUMMYFUNCTION("GOOGLETRANSLATE(B605, ""en"", ""hi"")"),"ढोल खेल में मैच के दौरान एक खिलाड़ी अपने ऊर्जा स्तर को प्रभावी ढंग से कैसे प्रबंधित कर सकता है?")</f>
        <v>ढोल खेल में मैच के दौरान एक खिलाड़ी अपने ऊर्जा स्तर को प्रभावी ढंग से कैसे प्रबंधित कर सकता है?</v>
      </c>
      <c r="H605" s="5" t="str">
        <f>IFERROR(__xludf.DUMMYFUNCTION("GOOGLETRANSLATE(C605, ""en"", ""hi"")"),"ए) खुद को गति देकर, प्रभावी आराम अवधि का उपयोग करके, और जलयोजन का प्रबंधन करके, बी) ऊर्जा प्रबंधन की अनदेखी करके, सी) केवल निरंतर खेल पर ध्यान केंद्रित करके, डी) आराम अवधि से बचना")</f>
        <v>ए) खुद को गति देकर, प्रभावी आराम अवधि का उपयोग करके, और जलयोजन का प्रबंधन करके, बी) ऊर्जा प्रबंधन की अनदेखी करके, सी) केवल निरंतर खेल पर ध्यान केंद्रित करके, डी) आराम अवधि से बचना</v>
      </c>
      <c r="I605" s="5" t="str">
        <f>IFERROR(__xludf.DUMMYFUNCTION("GOOGLETRANSLATE(D605, ""en"", ""hi"")"),"A) अपनी गति को नियंत्रित करके, प्रभावी विश्राम अवधि का उपयोग करके, और जलयोजन का प्रबंधन करके")</f>
        <v>A) अपनी गति को नियंत्रित करके, प्रभावी विश्राम अवधि का उपयोग करके, और जलयोजन का प्रबंधन करके</v>
      </c>
    </row>
    <row r="606" ht="22.5" customHeight="1">
      <c r="A606" s="2">
        <v>605.0</v>
      </c>
      <c r="B606" s="3" t="s">
        <v>6922</v>
      </c>
      <c r="C606" s="3" t="s">
        <v>6923</v>
      </c>
      <c r="D606" s="3" t="s">
        <v>6924</v>
      </c>
      <c r="F606" s="5" t="str">
        <f>IFERROR(__xludf.DUMMYFUNCTION("GOOGLETRANSLATE(A606, ""en"", ""hi"")"),"605")</f>
        <v>605</v>
      </c>
      <c r="G606" s="5" t="str">
        <f>IFERROR(__xludf.DUMMYFUNCTION("GOOGLETRANSLATE(B606, ""en"", ""hi"")"),"ढोल खेल में सफल टीम संचार का मुख्य पहलू क्या है?")</f>
        <v>ढोल खेल में सफल टीम संचार का मुख्य पहलू क्या है?</v>
      </c>
      <c r="H606" s="5" t="str">
        <f>IFERROR(__xludf.DUMMYFUNCTION("GOOGLETRANSLATE(C606, ""en"", ""hi"")"),"A) खेल के दौरान स्पष्ट, संक्षिप्त और लगातार संवाद, B) संवाद की अनदेखी, C) केवल गैर-मौखिक संकेतों पर ध्यान केंद्रित करना, D) टीम चर्चा से बचना")</f>
        <v>A) खेल के दौरान स्पष्ट, संक्षिप्त और लगातार संवाद, B) संवाद की अनदेखी, C) केवल गैर-मौखिक संकेतों पर ध्यान केंद्रित करना, D) टीम चर्चा से बचना</v>
      </c>
      <c r="I606" s="5" t="str">
        <f>IFERROR(__xludf.DUMMYFUNCTION("GOOGLETRANSLATE(D606, ""en"", ""hi"")"),"ए) खेल के दौरान स्पष्ट, संक्षिप्त और लगातार संचार")</f>
        <v>ए) खेल के दौरान स्पष्ट, संक्षिप्त और लगातार संचार</v>
      </c>
    </row>
    <row r="607" ht="22.5" customHeight="1">
      <c r="A607" s="2">
        <v>606.0</v>
      </c>
      <c r="B607" s="3" t="s">
        <v>6925</v>
      </c>
      <c r="C607" s="3" t="s">
        <v>6926</v>
      </c>
      <c r="D607" s="3" t="s">
        <v>6927</v>
      </c>
      <c r="F607" s="5" t="str">
        <f>IFERROR(__xludf.DUMMYFUNCTION("GOOGLETRANSLATE(A607, ""en"", ""hi"")"),"606")</f>
        <v>606</v>
      </c>
      <c r="G607" s="5" t="str">
        <f>IFERROR(__xludf.DUMMYFUNCTION("GOOGLETRANSLATE(B607, ""en"", ""hi"")"),"ढोल खेल में एक खिलाड़ी विभिन्न प्रतिद्वंद्वियों के लिए अपनी खेल शैली को प्रभावी ढंग से कैसे अनुकूलित कर सकता है?")</f>
        <v>ढोल खेल में एक खिलाड़ी विभिन्न प्रतिद्वंद्वियों के लिए अपनी खेल शैली को प्रभावी ढंग से कैसे अनुकूलित कर सकता है?</v>
      </c>
      <c r="H607" s="5" t="str">
        <f>IFERROR(__xludf.DUMMYFUNCTION("GOOGLETRANSLATE(C607, ""en"", ""hi"")"),"A) प्रतिद्वंद्वियों की ताकत और कमजोरियों का विश्लेषण करके और तदनुसार रणनीति समायोजित करके, B) प्रतिद्वंद्वी अनुकूलन की अनदेखी करके, C) केवल व्यक्तिगत खेल शैली पर ध्यान केंद्रित करके, D) सामरिक समायोजन से बचना")</f>
        <v>A) प्रतिद्वंद्वियों की ताकत और कमजोरियों का विश्लेषण करके और तदनुसार रणनीति समायोजित करके, B) प्रतिद्वंद्वी अनुकूलन की अनदेखी करके, C) केवल व्यक्तिगत खेल शैली पर ध्यान केंद्रित करके, D) सामरिक समायोजन से बचना</v>
      </c>
      <c r="I607" s="5" t="str">
        <f>IFERROR(__xludf.DUMMYFUNCTION("GOOGLETRANSLATE(D607, ""en"", ""hi"")"),"A) विरोधियों की ताकत और कमजोरियों का विश्लेषण करके और तदनुसार रणनीति समायोजित करके")</f>
        <v>A) विरोधियों की ताकत और कमजोरियों का विश्लेषण करके और तदनुसार रणनीति समायोजित करके</v>
      </c>
    </row>
    <row r="608" ht="22.5" customHeight="1">
      <c r="A608" s="2">
        <v>607.0</v>
      </c>
      <c r="B608" s="3" t="s">
        <v>6928</v>
      </c>
      <c r="C608" s="3" t="s">
        <v>6929</v>
      </c>
      <c r="D608" s="3" t="s">
        <v>6930</v>
      </c>
      <c r="F608" s="5" t="str">
        <f>IFERROR(__xludf.DUMMYFUNCTION("GOOGLETRANSLATE(A608, ""en"", ""hi"")"),"607")</f>
        <v>607</v>
      </c>
      <c r="G608" s="5" t="str">
        <f>IFERROR(__xludf.DUMMYFUNCTION("GOOGLETRANSLATE(B608, ""en"", ""hi"")"),"ढोल खेल में टीम वर्क को बेहतर बनाने के लिए महत्वपूर्ण बात क्या है?")</f>
        <v>ढोल खेल में टीम वर्क को बेहतर बनाने के लिए महत्वपूर्ण बात क्या है?</v>
      </c>
      <c r="H608" s="5" t="str">
        <f>IFERROR(__xludf.DUMMYFUNCTION("GOOGLETRANSLATE(C608, ""en"", ""hi"")"),"ए) प्रत्येक टीम सदस्य की ताकत को समझना और उसका उपयोग करना, सहयोगात्मक अभ्यास का अभ्यास करना और टीम सामंजस्य को बढ़ावा देना, बी) टीमवर्क प्रथाओं की अनदेखी करना, सी) केवल व्यक्तिगत कौशल पर ध्यान केंद्रित करना, डी) टीम गतिविधियों से बचना")</f>
        <v>ए) प्रत्येक टीम सदस्य की ताकत को समझना और उसका उपयोग करना, सहयोगात्मक अभ्यास का अभ्यास करना और टीम सामंजस्य को बढ़ावा देना, बी) टीमवर्क प्रथाओं की अनदेखी करना, सी) केवल व्यक्तिगत कौशल पर ध्यान केंद्रित करना, डी) टीम गतिविधियों से बचना</v>
      </c>
      <c r="I608" s="5" t="str">
        <f>IFERROR(__xludf.DUMMYFUNCTION("GOOGLETRANSLATE(D608, ""en"", ""hi"")"),"क) प्रत्येक टीम सदस्य की शक्तियों को समझना और उनका उपयोग करना, सहयोगात्मक अभ्यास करना, और टीम सामंजस्य को बढ़ावा देना")</f>
        <v>क) प्रत्येक टीम सदस्य की शक्तियों को समझना और उनका उपयोग करना, सहयोगात्मक अभ्यास करना, और टीम सामंजस्य को बढ़ावा देना</v>
      </c>
    </row>
    <row r="609" ht="22.5" customHeight="1">
      <c r="A609" s="2">
        <v>608.0</v>
      </c>
      <c r="B609" s="3" t="s">
        <v>6931</v>
      </c>
      <c r="C609" s="3" t="s">
        <v>6932</v>
      </c>
      <c r="D609" s="3" t="s">
        <v>6933</v>
      </c>
      <c r="F609" s="5" t="str">
        <f>IFERROR(__xludf.DUMMYFUNCTION("GOOGLETRANSLATE(A609, ""en"", ""hi"")"),"608")</f>
        <v>608</v>
      </c>
      <c r="G609" s="5" t="str">
        <f>IFERROR(__xludf.DUMMYFUNCTION("GOOGLETRANSLATE(B609, ""en"", ""hi"")"),"ढोल खेल में मैच के दौरान खिलाड़ी को अपने प्रदर्शन में गिरावट का सामना कैसे करना चाहिए?")</f>
        <v>ढोल खेल में मैच के दौरान खिलाड़ी को अपने प्रदर्शन में गिरावट का सामना कैसे करना चाहिए?</v>
      </c>
      <c r="H609" s="5" t="str">
        <f>IFERROR(__xludf.DUMMYFUNCTION("GOOGLETRANSLATE(C609, ""en"", ""hi"")"),"A) अपनी तकनीक का आकलन और समायोजन करके, सुधार क्षेत्रों पर ध्यान केंद्रित करके और प्रेरित रहकर, B) प्रदर्शन संबंधी मुद्दों को अनदेखा करके, C) केवल दूसरों की गलतियों पर ध्यान केंद्रित करके, D) आत्म-मूल्यांकन से बचना")</f>
        <v>A) अपनी तकनीक का आकलन और समायोजन करके, सुधार क्षेत्रों पर ध्यान केंद्रित करके और प्रेरित रहकर, B) प्रदर्शन संबंधी मुद्दों को अनदेखा करके, C) केवल दूसरों की गलतियों पर ध्यान केंद्रित करके, D) आत्म-मूल्यांकन से बचना</v>
      </c>
      <c r="I609" s="5" t="str">
        <f>IFERROR(__xludf.DUMMYFUNCTION("GOOGLETRANSLATE(D609, ""en"", ""hi"")"),"A) अपनी तकनीक का मूल्यांकन और समायोजन करके, सुधार के क्षेत्रों पर ध्यान केंद्रित करके, और प्रेरित रहकर")</f>
        <v>A) अपनी तकनीक का मूल्यांकन और समायोजन करके, सुधार के क्षेत्रों पर ध्यान केंद्रित करके, और प्रेरित रहकर</v>
      </c>
    </row>
    <row r="610" ht="22.5" customHeight="1">
      <c r="A610" s="2">
        <v>609.0</v>
      </c>
      <c r="B610" s="3" t="s">
        <v>6934</v>
      </c>
      <c r="C610" s="3" t="s">
        <v>6935</v>
      </c>
      <c r="D610" s="3" t="s">
        <v>6936</v>
      </c>
      <c r="F610" s="5" t="str">
        <f>IFERROR(__xludf.DUMMYFUNCTION("GOOGLETRANSLATE(A610, ""en"", ""hi"")"),"609")</f>
        <v>609</v>
      </c>
      <c r="G610" s="5" t="str">
        <f>IFERROR(__xludf.DUMMYFUNCTION("GOOGLETRANSLATE(B610, ""en"", ""hi"")"),"ढोल खेल में स्थानिक जागरूकता को बेहतर बनाने का प्रभावी तरीका क्या है?")</f>
        <v>ढोल खेल में स्थानिक जागरूकता को बेहतर बनाने का प्रभावी तरीका क्या है?</v>
      </c>
      <c r="H610" s="5" t="str">
        <f>IFERROR(__xludf.DUMMYFUNCTION("GOOGLETRANSLATE(C610, ""en"", ""hi"")"),"ए) पोजिशनिंग, स्थानिक जागरूकता अभ्यास और गेम सिमुलेशन पर ध्यान केंद्रित करने वाले अभ्यासों का अभ्यास करके, बी) स्थानिक जागरूकता प्रशिक्षण की अनदेखी करके, सी) केवल शारीरिक फिटनेस पर ध्यान केंद्रित करके, डी) पोजिशनिंग अभ्यासों से बचना")</f>
        <v>ए) पोजिशनिंग, स्थानिक जागरूकता अभ्यास और गेम सिमुलेशन पर ध्यान केंद्रित करने वाले अभ्यासों का अभ्यास करके, बी) स्थानिक जागरूकता प्रशिक्षण की अनदेखी करके, सी) केवल शारीरिक फिटनेस पर ध्यान केंद्रित करके, डी) पोजिशनिंग अभ्यासों से बचना</v>
      </c>
      <c r="I610" s="5" t="str">
        <f>IFERROR(__xludf.DUMMYFUNCTION("GOOGLETRANSLATE(D610, ""en"", ""hi"")"),"ए) ऐसे अभ्यासों का अभ्यास करके जो स्थिति निर्धारण, स्थानिक जागरूकता अभ्यास और खेल सिमुलेशन पर केंद्रित हों")</f>
        <v>ए) ऐसे अभ्यासों का अभ्यास करके जो स्थिति निर्धारण, स्थानिक जागरूकता अभ्यास और खेल सिमुलेशन पर केंद्रित हों</v>
      </c>
    </row>
    <row r="611" ht="22.5" customHeight="1">
      <c r="A611" s="2">
        <v>610.0</v>
      </c>
      <c r="B611" s="3" t="s">
        <v>6937</v>
      </c>
      <c r="C611" s="3" t="s">
        <v>6938</v>
      </c>
      <c r="D611" s="3" t="s">
        <v>6939</v>
      </c>
      <c r="F611" s="5" t="str">
        <f>IFERROR(__xludf.DUMMYFUNCTION("GOOGLETRANSLATE(A611, ""en"", ""hi"")"),"610")</f>
        <v>610</v>
      </c>
      <c r="G611" s="5" t="str">
        <f>IFERROR(__xludf.DUMMYFUNCTION("GOOGLETRANSLATE(B611, ""en"", ""hi"")"),"ढोल खेल में एक खिलाड़ी टीम की रणनीति में प्रभावी रूप से कैसे योगदान दे सकता है?")</f>
        <v>ढोल खेल में एक खिलाड़ी टीम की रणनीति में प्रभावी रूप से कैसे योगदान दे सकता है?</v>
      </c>
      <c r="H611" s="5" t="str">
        <f>IFERROR(__xludf.DUMMYFUNCTION("GOOGLETRANSLATE(C611, ""en"", ""hi"")"),"A) रणनीति के भीतर अपनी भूमिका को समझकर, टीम के साथियों के साथ प्रभावी ढंग से संवाद करके, और सौंपे गए कार्यों को निष्पादित करके, B) टीम की रणनीति की अनदेखी करके, C) केवल व्यक्तिगत प्रदर्शन पर ध्यान केंद्रित करके, D) भूमिका जिम्मेदारियों से बचकर")</f>
        <v>A) रणनीति के भीतर अपनी भूमिका को समझकर, टीम के साथियों के साथ प्रभावी ढंग से संवाद करके, और सौंपे गए कार्यों को निष्पादित करके, B) टीम की रणनीति की अनदेखी करके, C) केवल व्यक्तिगत प्रदर्शन पर ध्यान केंद्रित करके, D) भूमिका जिम्मेदारियों से बचकर</v>
      </c>
      <c r="I611" s="5" t="str">
        <f>IFERROR(__xludf.DUMMYFUNCTION("GOOGLETRANSLATE(D611, ""en"", ""hi"")"),"A) रणनीति में अपनी भूमिका को समझकर, टीम के सदस्यों के साथ प्रभावी ढंग से संवाद करके, और सौंपे गए कार्यों को निष्पादित करके")</f>
        <v>A) रणनीति में अपनी भूमिका को समझकर, टीम के सदस्यों के साथ प्रभावी ढंग से संवाद करके, और सौंपे गए कार्यों को निष्पादित करके</v>
      </c>
    </row>
    <row r="612" ht="22.5" customHeight="1">
      <c r="A612" s="2">
        <v>611.0</v>
      </c>
      <c r="B612" s="3" t="s">
        <v>6940</v>
      </c>
      <c r="C612" s="3" t="s">
        <v>6941</v>
      </c>
      <c r="D612" s="3" t="s">
        <v>6942</v>
      </c>
      <c r="F612" s="5" t="str">
        <f>IFERROR(__xludf.DUMMYFUNCTION("GOOGLETRANSLATE(A612, ""en"", ""hi"")"),"611")</f>
        <v>611</v>
      </c>
      <c r="G612" s="5" t="str">
        <f>IFERROR(__xludf.DUMMYFUNCTION("GOOGLETRANSLATE(B612, ""en"", ""hi"")"),"ढोल खेल में सामरिक जागरूकता बढ़ाने में महत्वपूर्ण कारक क्या है?")</f>
        <v>ढोल खेल में सामरिक जागरूकता बढ़ाने में महत्वपूर्ण कारक क्या है?</v>
      </c>
      <c r="H612" s="5" t="str">
        <f>IFERROR(__xludf.DUMMYFUNCTION("GOOGLETRANSLATE(C612, ""en"", ""hi"")"),"A) खेल परिदृश्यों का अध्ययन करना, सामरिक पैटर्न का विश्लेषण करना और रणनीतिक खेलों का अभ्यास करना, B) सामरिक जागरूकता की अनदेखी करना, C) केवल शारीरिक प्रशिक्षण पर ध्यान केंद्रित करना, D) खेल विश्लेषण से बचना")</f>
        <v>A) खेल परिदृश्यों का अध्ययन करना, सामरिक पैटर्न का विश्लेषण करना और रणनीतिक खेलों का अभ्यास करना, B) सामरिक जागरूकता की अनदेखी करना, C) केवल शारीरिक प्रशिक्षण पर ध्यान केंद्रित करना, D) खेल विश्लेषण से बचना</v>
      </c>
      <c r="I612" s="5" t="str">
        <f>IFERROR(__xludf.DUMMYFUNCTION("GOOGLETRANSLATE(D612, ""en"", ""hi"")"),"ए) खेल परिदृश्यों का अध्ययन करना, सामरिक पैटर्न का विश्लेषण करना और रणनीतिक खेलों का अभ्यास करना")</f>
        <v>ए) खेल परिदृश्यों का अध्ययन करना, सामरिक पैटर्न का विश्लेषण करना और रणनीतिक खेलों का अभ्यास करना</v>
      </c>
    </row>
    <row r="613" ht="22.5" customHeight="1">
      <c r="A613" s="2">
        <v>612.0</v>
      </c>
      <c r="B613" s="3" t="s">
        <v>6943</v>
      </c>
      <c r="C613" s="3" t="s">
        <v>6944</v>
      </c>
      <c r="D613" s="3" t="s">
        <v>6945</v>
      </c>
      <c r="F613" s="5" t="str">
        <f>IFERROR(__xludf.DUMMYFUNCTION("GOOGLETRANSLATE(A613, ""en"", ""hi"")"),"612")</f>
        <v>612</v>
      </c>
      <c r="G613" s="5" t="str">
        <f>IFERROR(__xludf.DUMMYFUNCTION("GOOGLETRANSLATE(B613, ""en"", ""hi"")"),"ढोल खेल में अपने खेल को बेहतर बनाने के लिए कोई खिलाड़ी फीडबैक का प्रभावी ढंग से उपयोग कैसे कर सकता है?")</f>
        <v>ढोल खेल में अपने खेल को बेहतर बनाने के लिए कोई खिलाड़ी फीडबैक का प्रभावी ढंग से उपयोग कैसे कर सकता है?</v>
      </c>
      <c r="H613" s="5" t="str">
        <f>IFERROR(__xludf.DUMMYFUNCTION("GOOGLETRANSLATE(C613, ""en"", ""hi"")"),"ए) रचनात्मक प्रतिक्रिया सुनकर, सुझावों को व्यवहार में लागू करके और आवश्यक समायोजन करके, बी) प्रतिक्रिया को अनदेखा करके, सी) केवल व्यक्तिगत राय पर ध्यान केंद्रित करके, डी) प्रतिक्रिया आवेदन से बचना")</f>
        <v>ए) रचनात्मक प्रतिक्रिया सुनकर, सुझावों को व्यवहार में लागू करके और आवश्यक समायोजन करके, बी) प्रतिक्रिया को अनदेखा करके, सी) केवल व्यक्तिगत राय पर ध्यान केंद्रित करके, डी) प्रतिक्रिया आवेदन से बचना</v>
      </c>
      <c r="I613" s="5" t="str">
        <f>IFERROR(__xludf.DUMMYFUNCTION("GOOGLETRANSLATE(D613, ""en"", ""hi"")"),"क) रचनात्मक प्रतिक्रिया सुनकर, सुझावों को व्यवहार में लागू करके, और आवश्यक समायोजन करके")</f>
        <v>क) रचनात्मक प्रतिक्रिया सुनकर, सुझावों को व्यवहार में लागू करके, और आवश्यक समायोजन करके</v>
      </c>
    </row>
    <row r="614" ht="22.5" customHeight="1">
      <c r="A614" s="2">
        <v>613.0</v>
      </c>
      <c r="B614" s="3" t="s">
        <v>6946</v>
      </c>
      <c r="C614" s="3" t="s">
        <v>6947</v>
      </c>
      <c r="D614" s="3" t="s">
        <v>6948</v>
      </c>
      <c r="F614" s="5" t="str">
        <f>IFERROR(__xludf.DUMMYFUNCTION("GOOGLETRANSLATE(A614, ""en"", ""hi"")"),"613")</f>
        <v>613</v>
      </c>
      <c r="G614" s="5" t="str">
        <f>IFERROR(__xludf.DUMMYFUNCTION("GOOGLETRANSLATE(B614, ""en"", ""hi"")"),"ढोल खेल में प्रतिस्पर्धात्मक बढ़त विकसित करने का प्रभावी तरीका क्या है?")</f>
        <v>ढोल खेल में प्रतिस्पर्धात्मक बढ़त विकसित करने का प्रभावी तरीका क्या है?</v>
      </c>
      <c r="H614" s="5" t="str">
        <f>IFERROR(__xludf.DUMMYFUNCTION("GOOGLETRANSLATE(C614, ""en"", ""hi"")"),"A) समर्पित अभ्यास के माध्यम से कौशल को बढ़ाना, प्रतिस्पर्धियों का विश्लेषण करना और उन्नत रणनीतियों को लागू करना, B) कौशल विकास की अनदेखी करना, C) केवल शारीरिक फिटनेस पर ध्यान केंद्रित करना, D) प्रतिस्पर्धी विश्लेषण से बचना")</f>
        <v>A) समर्पित अभ्यास के माध्यम से कौशल को बढ़ाना, प्रतिस्पर्धियों का विश्लेषण करना और उन्नत रणनीतियों को लागू करना, B) कौशल विकास की अनदेखी करना, C) केवल शारीरिक फिटनेस पर ध्यान केंद्रित करना, D) प्रतिस्पर्धी विश्लेषण से बचना</v>
      </c>
      <c r="I614" s="5" t="str">
        <f>IFERROR(__xludf.DUMMYFUNCTION("GOOGLETRANSLATE(D614, ""en"", ""hi"")"),"A) समर्पित अभ्यास के माध्यम से कौशल को बढ़ाकर, प्रतिस्पर्धियों का विश्लेषण करके और उन्नत रणनीतियों को लागू करके")</f>
        <v>A) समर्पित अभ्यास के माध्यम से कौशल को बढ़ाकर, प्रतिस्पर्धियों का विश्लेषण करके और उन्नत रणनीतियों को लागू करके</v>
      </c>
    </row>
    <row r="615" ht="22.5" customHeight="1">
      <c r="A615" s="2">
        <v>614.0</v>
      </c>
      <c r="B615" s="3" t="s">
        <v>6949</v>
      </c>
      <c r="C615" s="3" t="s">
        <v>6950</v>
      </c>
      <c r="D615" s="3" t="s">
        <v>6951</v>
      </c>
      <c r="F615" s="5" t="str">
        <f>IFERROR(__xludf.DUMMYFUNCTION("GOOGLETRANSLATE(A615, ""en"", ""hi"")"),"614")</f>
        <v>614</v>
      </c>
      <c r="G615" s="5" t="str">
        <f>IFERROR(__xludf.DUMMYFUNCTION("GOOGLETRANSLATE(B615, ""en"", ""hi"")"),"ढोल खेल में मैच के दौरान कोई खिलाड़ी अपने समय का प्रभावी प्रबंधन कैसे कर सकता है?")</f>
        <v>ढोल खेल में मैच के दौरान कोई खिलाड़ी अपने समय का प्रभावी प्रबंधन कैसे कर सकता है?</v>
      </c>
      <c r="H615" s="5" t="str">
        <f>IFERROR(__xludf.DUMMYFUNCTION("GOOGLETRANSLATE(C615, ""en"", ""hi"")"),"ए) टाइमआउट का रणनीतिक उपयोग करके, गति का प्रबंधन करके, और महत्वपूर्ण क्षणों पर ध्यान केंद्रित करके, बी) समय प्रबंधन की अनदेखी करके, सी) केवल निरंतर खेल पर ध्यान केंद्रित करके, डी) समय-आधारित रणनीतियों से बचना")</f>
        <v>ए) टाइमआउट का रणनीतिक उपयोग करके, गति का प्रबंधन करके, और महत्वपूर्ण क्षणों पर ध्यान केंद्रित करके, बी) समय प्रबंधन की अनदेखी करके, सी) केवल निरंतर खेल पर ध्यान केंद्रित करके, डी) समय-आधारित रणनीतियों से बचना</v>
      </c>
      <c r="I615" s="5" t="str">
        <f>IFERROR(__xludf.DUMMYFUNCTION("GOOGLETRANSLATE(D615, ""en"", ""hi"")"),"A) टाइमआउट का रणनीतिक उपयोग करके, गति का प्रबंधन करके, और महत्वपूर्ण क्षणों पर ध्यान केंद्रित करके")</f>
        <v>A) टाइमआउट का रणनीतिक उपयोग करके, गति का प्रबंधन करके, और महत्वपूर्ण क्षणों पर ध्यान केंद्रित करके</v>
      </c>
    </row>
    <row r="616" ht="22.5" customHeight="1">
      <c r="A616" s="2">
        <v>615.0</v>
      </c>
      <c r="B616" s="3" t="s">
        <v>6952</v>
      </c>
      <c r="C616" s="3" t="s">
        <v>6953</v>
      </c>
      <c r="D616" s="3" t="s">
        <v>6954</v>
      </c>
      <c r="F616" s="5" t="str">
        <f>IFERROR(__xludf.DUMMYFUNCTION("GOOGLETRANSLATE(A616, ""en"", ""hi"")"),"615")</f>
        <v>615</v>
      </c>
      <c r="G616" s="5" t="str">
        <f>IFERROR(__xludf.DUMMYFUNCTION("GOOGLETRANSLATE(B616, ""en"", ""hi"")"),"ढोल खेल में रक्षात्मक युद्धाभ्यास का एक महत्वपूर्ण पहलू क्या है?")</f>
        <v>ढोल खेल में रक्षात्मक युद्धाभ्यास का एक महत्वपूर्ण पहलू क्या है?</v>
      </c>
      <c r="H616" s="5" t="str">
        <f>IFERROR(__xludf.DUMMYFUNCTION("GOOGLETRANSLATE(C616, ""en"", ""hi"")"),"ए) प्रतिक्रिया समय में सुधार, उचित स्थिति बनाए रखना, और विभिन्न रक्षात्मक तकनीकों का अभ्यास करना, बी) रक्षात्मक अभ्यासों की अनदेखी करना, सी) केवल आक्रामक कौशल पर ध्यान केंद्रित करना, डी) रक्षात्मक अभ्यास से बचना")</f>
        <v>ए) प्रतिक्रिया समय में सुधार, उचित स्थिति बनाए रखना, और विभिन्न रक्षात्मक तकनीकों का अभ्यास करना, बी) रक्षात्मक अभ्यासों की अनदेखी करना, सी) केवल आक्रामक कौशल पर ध्यान केंद्रित करना, डी) रक्षात्मक अभ्यास से बचना</v>
      </c>
      <c r="I616" s="5" t="str">
        <f>IFERROR(__xludf.DUMMYFUNCTION("GOOGLETRANSLATE(D616, ""en"", ""hi"")"),"ए) प्रतिक्रिया समय में सुधार, उचित स्थिति बनाए रखना, और विभिन्न रक्षात्मक तकनीकों का अभ्यास करना")</f>
        <v>ए) प्रतिक्रिया समय में सुधार, उचित स्थिति बनाए रखना, और विभिन्न रक्षात्मक तकनीकों का अभ्यास करना</v>
      </c>
    </row>
    <row r="617" ht="22.5" customHeight="1">
      <c r="A617" s="2">
        <v>616.0</v>
      </c>
      <c r="B617" s="3" t="s">
        <v>6955</v>
      </c>
      <c r="C617" s="3" t="s">
        <v>6956</v>
      </c>
      <c r="D617" s="3" t="s">
        <v>6957</v>
      </c>
      <c r="F617" s="5" t="str">
        <f>IFERROR(__xludf.DUMMYFUNCTION("GOOGLETRANSLATE(A617, ""en"", ""hi"")"),"616")</f>
        <v>616</v>
      </c>
      <c r="G617" s="5" t="str">
        <f>IFERROR(__xludf.DUMMYFUNCTION("GOOGLETRANSLATE(B617, ""en"", ""hi"")"),"ढोल खेल में एक खिलाड़ी प्रभावी ढंग से नेतृत्व गुण कैसे विकसित कर सकता है?")</f>
        <v>ढोल खेल में एक खिलाड़ी प्रभावी ढंग से नेतृत्व गुण कैसे विकसित कर सकता है?</v>
      </c>
      <c r="H617" s="5" t="str">
        <f>IFERROR(__xludf.DUMMYFUNCTION("GOOGLETRANSLATE(C617, ""en"", ""hi"")"),"A) पहल करके, स्पष्ट रूप से संवाद करके और टीम के साथियों को प्रेरित करके, B) नेतृत्व विकास की अनदेखी करके, C) केवल व्यक्तिगत प्रदर्शन पर ध्यान केंद्रित करके, D) नेतृत्व की भूमिकाओं से बचना")</f>
        <v>A) पहल करके, स्पष्ट रूप से संवाद करके और टीम के साथियों को प्रेरित करके, B) नेतृत्व विकास की अनदेखी करके, C) केवल व्यक्तिगत प्रदर्शन पर ध्यान केंद्रित करके, D) नेतृत्व की भूमिकाओं से बचना</v>
      </c>
      <c r="I617" s="5" t="str">
        <f>IFERROR(__xludf.DUMMYFUNCTION("GOOGLETRANSLATE(D617, ""en"", ""hi"")"),"A) पहल करके, स्पष्ट रूप से संवाद करके और टीम के सदस्यों को प्रेरित करके")</f>
        <v>A) पहल करके, स्पष्ट रूप से संवाद करके और टीम के सदस्यों को प्रेरित करके</v>
      </c>
    </row>
    <row r="618" ht="22.5" customHeight="1">
      <c r="A618" s="2">
        <v>617.0</v>
      </c>
      <c r="B618" s="3" t="s">
        <v>6958</v>
      </c>
      <c r="C618" s="3" t="s">
        <v>6959</v>
      </c>
      <c r="D618" s="3" t="s">
        <v>6960</v>
      </c>
      <c r="F618" s="5" t="str">
        <f>IFERROR(__xludf.DUMMYFUNCTION("GOOGLETRANSLATE(A618, ""en"", ""hi"")"),"617")</f>
        <v>617</v>
      </c>
      <c r="G618" s="5" t="str">
        <f>IFERROR(__xludf.DUMMYFUNCTION("GOOGLETRANSLATE(B618, ""en"", ""hi"")"),"ढोल खेल में लंबे मैचों के लिए सहनशक्ति विकसित करने का प्रभावी तरीका क्या है?")</f>
        <v>ढोल खेल में लंबे मैचों के लिए सहनशक्ति विकसित करने का प्रभावी तरीका क्या है?</v>
      </c>
      <c r="H618" s="5" t="str">
        <f>IFERROR(__xludf.DUMMYFUNCTION("GOOGLETRANSLATE(C618, ""en"", ""hi"")"),"A) सहनशक्ति प्रशिक्षण को शामिल करके, उचित पोषण बनाए रखकर, और आराम अवधि का प्रबंधन करके, B) सहनशक्ति प्रशिक्षण की उपेक्षा करके, C) केवल शक्ति पर ध्यान केंद्रित करके, D) सहनशक्ति अभ्यास से परहेज करके")</f>
        <v>A) सहनशक्ति प्रशिक्षण को शामिल करके, उचित पोषण बनाए रखकर, और आराम अवधि का प्रबंधन करके, B) सहनशक्ति प्रशिक्षण की उपेक्षा करके, C) केवल शक्ति पर ध्यान केंद्रित करके, D) सहनशक्ति अभ्यास से परहेज करके</v>
      </c>
      <c r="I618" s="5" t="str">
        <f>IFERROR(__xludf.DUMMYFUNCTION("GOOGLETRANSLATE(D618, ""en"", ""hi"")"),"A) सहनशक्ति प्रशिक्षण को शामिल करके, उचित पोषण बनाए रखकर, और आराम अवधि का प्रबंधन करके")</f>
        <v>A) सहनशक्ति प्रशिक्षण को शामिल करके, उचित पोषण बनाए रखकर, और आराम अवधि का प्रबंधन करके</v>
      </c>
    </row>
    <row r="619" ht="22.5" customHeight="1">
      <c r="A619" s="2">
        <v>618.0</v>
      </c>
      <c r="B619" s="3" t="s">
        <v>6961</v>
      </c>
      <c r="C619" s="3" t="s">
        <v>6962</v>
      </c>
      <c r="D619" s="3" t="s">
        <v>6963</v>
      </c>
      <c r="F619" s="5" t="str">
        <f>IFERROR(__xludf.DUMMYFUNCTION("GOOGLETRANSLATE(A619, ""en"", ""hi"")"),"618")</f>
        <v>618</v>
      </c>
      <c r="G619" s="5" t="str">
        <f>IFERROR(__xludf.DUMMYFUNCTION("GOOGLETRANSLATE(B619, ""en"", ""hi"")"),"ढोल खेल में खिलाड़ी खेल को समझने की अपनी क्षमता कैसे बढ़ा सकते हैं?")</f>
        <v>ढोल खेल में खिलाड़ी खेल को समझने की अपनी क्षमता कैसे बढ़ा सकते हैं?</v>
      </c>
      <c r="H619" s="5" t="str">
        <f>IFERROR(__xludf.DUMMYFUNCTION("GOOGLETRANSLATE(C619, ""en"", ""hi"")"),"ए) खेल के पैटर्न का अवलोकन करके, प्रतिद्वंद्वी के व्यवहार का विश्लेषण करके, और खेल के विकास का पूर्वानुमान लगाकर, बी) खेल पढ़ने की उपेक्षा करके, सी) केवल व्यक्तिगत कौशल पर ध्यान केंद्रित करके, डी) खेल विश्लेषण से बचना")</f>
        <v>ए) खेल के पैटर्न का अवलोकन करके, प्रतिद्वंद्वी के व्यवहार का विश्लेषण करके, और खेल के विकास का पूर्वानुमान लगाकर, बी) खेल पढ़ने की उपेक्षा करके, सी) केवल व्यक्तिगत कौशल पर ध्यान केंद्रित करके, डी) खेल विश्लेषण से बचना</v>
      </c>
      <c r="I619" s="5" t="str">
        <f>IFERROR(__xludf.DUMMYFUNCTION("GOOGLETRANSLATE(D619, ""en"", ""hi"")"),"A) खेल के पैटर्न का अवलोकन करके, प्रतिद्वंद्वी के व्यवहार का विश्लेषण करके, और खेल के विकास का पूर्वानुमान लगाकर")</f>
        <v>A) खेल के पैटर्न का अवलोकन करके, प्रतिद्वंद्वी के व्यवहार का विश्लेषण करके, और खेल के विकास का पूर्वानुमान लगाकर</v>
      </c>
    </row>
    <row r="620" ht="22.5" customHeight="1">
      <c r="A620" s="2">
        <v>619.0</v>
      </c>
      <c r="B620" s="3" t="s">
        <v>6964</v>
      </c>
      <c r="C620" s="3" t="s">
        <v>6965</v>
      </c>
      <c r="D620" s="3" t="s">
        <v>6966</v>
      </c>
      <c r="F620" s="5" t="str">
        <f>IFERROR(__xludf.DUMMYFUNCTION("GOOGLETRANSLATE(A620, ""en"", ""hi"")"),"619")</f>
        <v>619</v>
      </c>
      <c r="G620" s="5" t="str">
        <f>IFERROR(__xludf.DUMMYFUNCTION("GOOGLETRANSLATE(B620, ""en"", ""hi"")"),"ढोल खेल में खिलाड़ियों के लिए प्रभावी लक्ष्य निर्धारण का मुख्य पहलू क्या है?")</f>
        <v>ढोल खेल में खिलाड़ियों के लिए प्रभावी लक्ष्य निर्धारण का मुख्य पहलू क्या है?</v>
      </c>
      <c r="H620" s="5" t="str">
        <f>IFERROR(__xludf.DUMMYFUNCTION("GOOGLETRANSLATE(C620, ""en"", ""hi"")"),"A) विशिष्ट, मापनीय, प्राप्त करने योग्य, प्रासंगिक और समयबद्ध लक्ष्य निर्धारित करना, B) लक्ष्य निर्धारण की उपेक्षा करना, C) केवल सामान्य लक्ष्यों पर ध्यान केंद्रित करना, D) विस्तृत योजना से बचना")</f>
        <v>A) विशिष्ट, मापनीय, प्राप्त करने योग्य, प्रासंगिक और समयबद्ध लक्ष्य निर्धारित करना, B) लक्ष्य निर्धारण की उपेक्षा करना, C) केवल सामान्य लक्ष्यों पर ध्यान केंद्रित करना, D) विस्तृत योजना से बचना</v>
      </c>
      <c r="I620" s="5" t="str">
        <f>IFERROR(__xludf.DUMMYFUNCTION("GOOGLETRANSLATE(D620, ""en"", ""hi"")"),"A) विशिष्ट, मापनीय, प्राप्त करने योग्य, प्रासंगिक और समयबद्ध लक्ष्य निर्धारित करना")</f>
        <v>A) विशिष्ट, मापनीय, प्राप्त करने योग्य, प्रासंगिक और समयबद्ध लक्ष्य निर्धारित करना</v>
      </c>
    </row>
    <row r="621" ht="22.5" customHeight="1">
      <c r="A621" s="2">
        <v>620.0</v>
      </c>
      <c r="B621" s="3" t="s">
        <v>6967</v>
      </c>
      <c r="C621" s="3" t="s">
        <v>6968</v>
      </c>
      <c r="D621" s="3" t="s">
        <v>6969</v>
      </c>
      <c r="F621" s="5" t="str">
        <f>IFERROR(__xludf.DUMMYFUNCTION("GOOGLETRANSLATE(A621, ""en"", ""hi"")"),"620")</f>
        <v>620</v>
      </c>
      <c r="G621" s="5" t="str">
        <f>IFERROR(__xludf.DUMMYFUNCTION("GOOGLETRANSLATE(B621, ""en"", ""hi"")"),"ढोल खेल में कोई खिलाड़ी अपनी सामरिक निर्णय लेने की क्षमता को प्रभावी ढंग से कैसे सुधार सकता है?")</f>
        <v>ढोल खेल में कोई खिलाड़ी अपनी सामरिक निर्णय लेने की क्षमता को प्रभावी ढंग से कैसे सुधार सकता है?</v>
      </c>
      <c r="H621" s="5" t="str">
        <f>IFERROR(__xludf.DUMMYFUNCTION("GOOGLETRANSLATE(C621, ""en"", ""hi"")"),"A) विभिन्न खेल परिदृश्यों का अभ्यास करके, निर्णय लेने की प्रक्रियाओं का विश्लेषण करके और अनुभव से सीखकर, B) सामरिक अभ्यास की अनदेखी करके, C) केवल शारीरिक प्रशिक्षण पर ध्यान केंद्रित करके, D) निर्णय लेने के अभ्यास से बचना")</f>
        <v>A) विभिन्न खेल परिदृश्यों का अभ्यास करके, निर्णय लेने की प्रक्रियाओं का विश्लेषण करके और अनुभव से सीखकर, B) सामरिक अभ्यास की अनदेखी करके, C) केवल शारीरिक प्रशिक्षण पर ध्यान केंद्रित करके, D) निर्णय लेने के अभ्यास से बचना</v>
      </c>
      <c r="I621" s="5" t="str">
        <f>IFERROR(__xludf.DUMMYFUNCTION("GOOGLETRANSLATE(D621, ""en"", ""hi"")"),"A) विभिन्न खेल परिदृश्यों का अभ्यास करके, निर्णय लेने की प्रक्रियाओं का विश्लेषण करके, और अनुभव से सीखकर")</f>
        <v>A) विभिन्न खेल परिदृश्यों का अभ्यास करके, निर्णय लेने की प्रक्रियाओं का विश्लेषण करके, और अनुभव से सीखकर</v>
      </c>
    </row>
    <row r="622" ht="22.5" customHeight="1">
      <c r="A622" s="2">
        <v>621.0</v>
      </c>
      <c r="B622" s="3" t="s">
        <v>6970</v>
      </c>
      <c r="C622" s="3" t="s">
        <v>6971</v>
      </c>
      <c r="D622" s="3" t="s">
        <v>6972</v>
      </c>
      <c r="F622" s="5" t="str">
        <f>IFERROR(__xludf.DUMMYFUNCTION("GOOGLETRANSLATE(A622, ""en"", ""hi"")"),"621")</f>
        <v>621</v>
      </c>
      <c r="G622" s="5" t="str">
        <f>IFERROR(__xludf.DUMMYFUNCTION("GOOGLETRANSLATE(B622, ""en"", ""hi"")"),"ढोल खेल के लिए शारीरिक चपलता बढ़ाने का प्रभावी तरीका क्या है?")</f>
        <v>ढोल खेल के लिए शारीरिक चपलता बढ़ाने का प्रभावी तरीका क्या है?</v>
      </c>
      <c r="H622" s="5" t="str">
        <f>IFERROR(__xludf.DUMMYFUNCTION("GOOGLETRANSLATE(C622, ""en"", ""hi"")"),"ए) चपलता अभ्यास को शामिल करके, त्वरित गतिविधियों का अभ्यास करके, और लचीलेपन के व्यायाम पर ध्यान केंद्रित करके, बी) चपलता प्रशिक्षण की अनदेखी करके, सी) केवल ताकत पर ध्यान केंद्रित करके, डी) चपलता व्यायाम से बचना")</f>
        <v>ए) चपलता अभ्यास को शामिल करके, त्वरित गतिविधियों का अभ्यास करके, और लचीलेपन के व्यायाम पर ध्यान केंद्रित करके, बी) चपलता प्रशिक्षण की अनदेखी करके, सी) केवल ताकत पर ध्यान केंद्रित करके, डी) चपलता व्यायाम से बचना</v>
      </c>
      <c r="I622" s="5" t="str">
        <f>IFERROR(__xludf.DUMMYFUNCTION("GOOGLETRANSLATE(D622, ""en"", ""hi"")"),"ए) चपलता अभ्यास को शामिल करके, त्वरित गति का अभ्यास करके, और लचीलेपन के व्यायाम पर ध्यान केंद्रित करके")</f>
        <v>ए) चपलता अभ्यास को शामिल करके, त्वरित गति का अभ्यास करके, और लचीलेपन के व्यायाम पर ध्यान केंद्रित करके</v>
      </c>
    </row>
    <row r="623" ht="22.5" customHeight="1">
      <c r="A623" s="2">
        <v>622.0</v>
      </c>
      <c r="B623" s="3" t="s">
        <v>6973</v>
      </c>
      <c r="C623" s="3" t="s">
        <v>6974</v>
      </c>
      <c r="D623" s="3" t="s">
        <v>6975</v>
      </c>
      <c r="F623" s="5" t="str">
        <f>IFERROR(__xludf.DUMMYFUNCTION("GOOGLETRANSLATE(A623, ""en"", ""hi"")"),"622")</f>
        <v>622</v>
      </c>
      <c r="G623" s="5" t="str">
        <f>IFERROR(__xludf.DUMMYFUNCTION("GOOGLETRANSLATE(B623, ""en"", ""hi"")"),"ढोल खेल में मैचों के दौरान एक खिलाड़ी अपनी टीम वर्क को प्रभावी ढंग से कैसे सुधार सकता है?")</f>
        <v>ढोल खेल में मैचों के दौरान एक खिलाड़ी अपनी टीम वर्क को प्रभावी ढंग से कैसे सुधार सकता है?</v>
      </c>
      <c r="H623" s="5" t="str">
        <f>IFERROR(__xludf.DUMMYFUNCTION("GOOGLETRANSLATE(C623, ""en"", ""hi"")"),"A) सहयोगात्मक अभ्यास का अभ्यास करके, संचार को बढ़ाकर, और टीम की भूमिकाओं को समझकर, B) टीमवर्क अभ्यास की अनदेखी करके, C) केवल व्यक्तिगत प्रदर्शन पर ध्यान केंद्रित करके, D) टीम गतिविधियों से बचना")</f>
        <v>A) सहयोगात्मक अभ्यास का अभ्यास करके, संचार को बढ़ाकर, और टीम की भूमिकाओं को समझकर, B) टीमवर्क अभ्यास की अनदेखी करके, C) केवल व्यक्तिगत प्रदर्शन पर ध्यान केंद्रित करके, D) टीम गतिविधियों से बचना</v>
      </c>
      <c r="I623" s="5" t="str">
        <f>IFERROR(__xludf.DUMMYFUNCTION("GOOGLETRANSLATE(D623, ""en"", ""hi"")"),"A) सहकारी अभ्यास का अभ्यास करके, संचार को बढ़ाकर, और टीम की भूमिकाओं को समझकर")</f>
        <v>A) सहकारी अभ्यास का अभ्यास करके, संचार को बढ़ाकर, और टीम की भूमिकाओं को समझकर</v>
      </c>
    </row>
    <row r="624" ht="22.5" customHeight="1">
      <c r="A624" s="2">
        <v>623.0</v>
      </c>
      <c r="B624" s="3" t="s">
        <v>6976</v>
      </c>
      <c r="C624" s="3" t="s">
        <v>6977</v>
      </c>
      <c r="D624" s="3" t="s">
        <v>6978</v>
      </c>
      <c r="F624" s="5" t="str">
        <f>IFERROR(__xludf.DUMMYFUNCTION("GOOGLETRANSLATE(A624, ""en"", ""hi"")"),"623")</f>
        <v>623</v>
      </c>
      <c r="G624" s="5" t="str">
        <f>IFERROR(__xludf.DUMMYFUNCTION("GOOGLETRANSLATE(B624, ""en"", ""hi"")"),"ढोल खेल में रणनीतिक सोच को बेहतर बनाने में महत्वपूर्ण कारक क्या है?")</f>
        <v>ढोल खेल में रणनीतिक सोच को बेहतर बनाने में महत्वपूर्ण कारक क्या है?</v>
      </c>
      <c r="H624" s="5" t="str">
        <f>IFERROR(__xludf.DUMMYFUNCTION("GOOGLETRANSLATE(C624, ""en"", ""hi"")"),"A) खेल परिदृश्यों का विश्लेषण करना, रणनीतियों का अध्ययन करना और सामरिक खेलों का अभ्यास करना, B) रणनीतिक सोच की उपेक्षा करना, C) केवल शारीरिक प्रशिक्षण पर ध्यान केंद्रित करना, D) रणनीतिक अभ्यास से बचना")</f>
        <v>A) खेल परिदृश्यों का विश्लेषण करना, रणनीतियों का अध्ययन करना और सामरिक खेलों का अभ्यास करना, B) रणनीतिक सोच की उपेक्षा करना, C) केवल शारीरिक प्रशिक्षण पर ध्यान केंद्रित करना, D) रणनीतिक अभ्यास से बचना</v>
      </c>
      <c r="I624" s="5" t="str">
        <f>IFERROR(__xludf.DUMMYFUNCTION("GOOGLETRANSLATE(D624, ""en"", ""hi"")"),"A) खेल परिदृश्यों का विश्लेषण करना, रणनीतियों का अध्ययन करना और सामरिक खेलों का अभ्यास करना")</f>
        <v>A) खेल परिदृश्यों का विश्लेषण करना, रणनीतियों का अध्ययन करना और सामरिक खेलों का अभ्यास करना</v>
      </c>
    </row>
    <row r="625" ht="22.5" customHeight="1">
      <c r="A625" s="2">
        <v>624.0</v>
      </c>
      <c r="B625" s="3" t="s">
        <v>6979</v>
      </c>
      <c r="C625" s="3" t="s">
        <v>6980</v>
      </c>
      <c r="D625" s="3" t="s">
        <v>6981</v>
      </c>
      <c r="F625" s="5" t="str">
        <f>IFERROR(__xludf.DUMMYFUNCTION("GOOGLETRANSLATE(A625, ""en"", ""hi"")"),"624")</f>
        <v>624</v>
      </c>
      <c r="G625" s="5" t="str">
        <f>IFERROR(__xludf.DUMMYFUNCTION("GOOGLETRANSLATE(B625, ""en"", ""hi"")"),"ढोल खेल में एक गहन मैच के बाद खिलाड़ी को किस प्रकार से रिकवरी करनी चाहिए?")</f>
        <v>ढोल खेल में एक गहन मैच के बाद खिलाड़ी को किस प्रकार से रिकवरी करनी चाहिए?</v>
      </c>
      <c r="H625" s="5" t="str">
        <f>IFERROR(__xludf.DUMMYFUNCTION("GOOGLETRANSLATE(C625, ""en"", ""hi"")"),"ए) रिकवरी में सहायता के लिए आराम, जलयोजन और पोषण पर ध्यान केंद्रित करना, बी) रिकवरी प्रथाओं की अनदेखी करना, सी) केवल निरंतर खेल पर ध्यान केंद्रित करना, डी) आराम की अवधि से बचना")</f>
        <v>ए) रिकवरी में सहायता के लिए आराम, जलयोजन और पोषण पर ध्यान केंद्रित करना, बी) रिकवरी प्रथाओं की अनदेखी करना, सी) केवल निरंतर खेल पर ध्यान केंद्रित करना, डी) आराम की अवधि से बचना</v>
      </c>
      <c r="I625" s="5" t="str">
        <f>IFERROR(__xludf.DUMMYFUNCTION("GOOGLETRANSLATE(D625, ""en"", ""hi"")"),"A) स्वास्थ्य लाभ में सहायता के लिए आराम, जलयोजन और पोषण पर ध्यान केंद्रित करके")</f>
        <v>A) स्वास्थ्य लाभ में सहायता के लिए आराम, जलयोजन और पोषण पर ध्यान केंद्रित करके</v>
      </c>
    </row>
    <row r="626" ht="22.5" customHeight="1">
      <c r="A626" s="2">
        <v>625.0</v>
      </c>
      <c r="B626" s="3" t="s">
        <v>6982</v>
      </c>
      <c r="C626" s="3" t="s">
        <v>6983</v>
      </c>
      <c r="D626" s="3" t="s">
        <v>6984</v>
      </c>
      <c r="F626" s="5" t="str">
        <f>IFERROR(__xludf.DUMMYFUNCTION("GOOGLETRANSLATE(A626, ""en"", ""hi"")"),"625")</f>
        <v>625</v>
      </c>
      <c r="G626" s="5" t="str">
        <f>IFERROR(__xludf.DUMMYFUNCTION("GOOGLETRANSLATE(B626, ""en"", ""hi"")"),"ढोल खेल में मानसिक दृढ़ता बढ़ाने का प्रभावी तरीका क्या है?")</f>
        <v>ढोल खेल में मानसिक दृढ़ता बढ़ाने का प्रभावी तरीका क्या है?</v>
      </c>
      <c r="H626" s="5" t="str">
        <f>IFERROR(__xludf.DUMMYFUNCTION("GOOGLETRANSLATE(C626, ""en"", ""hi"")"),"A) माइंडफुलनेस का अभ्यास करके, सकारात्मक मानसिकता बनाए रखकर, और तनाव से निपटने की रणनीति विकसित करके, B) मानसिक दृढ़ता को नज़रअंदाज़ करके, C) केवल शारीरिक प्रशिक्षण पर ध्यान केंद्रित करके, D) मानसिक तैयारी से बचना")</f>
        <v>A) माइंडफुलनेस का अभ्यास करके, सकारात्मक मानसिकता बनाए रखकर, और तनाव से निपटने की रणनीति विकसित करके, B) मानसिक दृढ़ता को नज़रअंदाज़ करके, C) केवल शारीरिक प्रशिक्षण पर ध्यान केंद्रित करके, D) मानसिक तैयारी से बचना</v>
      </c>
      <c r="I626" s="5" t="str">
        <f>IFERROR(__xludf.DUMMYFUNCTION("GOOGLETRANSLATE(D626, ""en"", ""hi"")"),"A) सचेतनता का अभ्यास करके, सकारात्मक मानसिकता बनाए रखकर, और तनाव से निपटने की रणनीति विकसित करके")</f>
        <v>A) सचेतनता का अभ्यास करके, सकारात्मक मानसिकता बनाए रखकर, और तनाव से निपटने की रणनीति विकसित करके</v>
      </c>
    </row>
    <row r="627" ht="22.5" customHeight="1">
      <c r="A627" s="2">
        <v>626.0</v>
      </c>
      <c r="B627" s="3" t="s">
        <v>6985</v>
      </c>
      <c r="C627" s="3" t="s">
        <v>6986</v>
      </c>
      <c r="D627" s="3" t="s">
        <v>6987</v>
      </c>
      <c r="F627" s="5" t="str">
        <f>IFERROR(__xludf.DUMMYFUNCTION("GOOGLETRANSLATE(A627, ""en"", ""hi"")"),"626")</f>
        <v>626</v>
      </c>
      <c r="G627" s="5" t="str">
        <f>IFERROR(__xludf.DUMMYFUNCTION("GOOGLETRANSLATE(B627, ""en"", ""hi"")"),"ढोल खेल में प्रदर्शन सुधारने के लिए कोई खिलाड़ी वीडियो विश्लेषण का प्रभावी ढंग से उपयोग कैसे कर सकता है?")</f>
        <v>ढोल खेल में प्रदर्शन सुधारने के लिए कोई खिलाड़ी वीडियो विश्लेषण का प्रभावी ढंग से उपयोग कैसे कर सकता है?</v>
      </c>
      <c r="H627" s="5" t="str">
        <f>IFERROR(__xludf.DUMMYFUNCTION("GOOGLETRANSLATE(C627, ""en"", ""hi"")"),"ए) खेल फुटेज की समीक्षा करके, गलतियों का विश्लेषण करके, और सुधार के क्षेत्रों की पहचान करके, बी) वीडियो विश्लेषण की अनदेखी करके, सी) केवल लाइव अभ्यास पर ध्यान केंद्रित करके, डी) फुटेज समीक्षा से बचना")</f>
        <v>ए) खेल फुटेज की समीक्षा करके, गलतियों का विश्लेषण करके, और सुधार के क्षेत्रों की पहचान करके, बी) वीडियो विश्लेषण की अनदेखी करके, सी) केवल लाइव अभ्यास पर ध्यान केंद्रित करके, डी) फुटेज समीक्षा से बचना</v>
      </c>
      <c r="I627" s="5" t="str">
        <f>IFERROR(__xludf.DUMMYFUNCTION("GOOGLETRANSLATE(D627, ""en"", ""hi"")"),"A) खेल फुटेज की समीक्षा करके, गलतियों का विश्लेषण करके, और सुधार के क्षेत्रों की पहचान करके")</f>
        <v>A) खेल फुटेज की समीक्षा करके, गलतियों का विश्लेषण करके, और सुधार के क्षेत्रों की पहचान करके</v>
      </c>
    </row>
    <row r="628" ht="22.5" customHeight="1">
      <c r="A628" s="2">
        <v>627.0</v>
      </c>
      <c r="B628" s="3" t="s">
        <v>6988</v>
      </c>
      <c r="C628" s="3" t="s">
        <v>6989</v>
      </c>
      <c r="D628" s="3" t="s">
        <v>6990</v>
      </c>
      <c r="F628" s="5" t="str">
        <f>IFERROR(__xludf.DUMMYFUNCTION("GOOGLETRANSLATE(A628, ""en"", ""hi"")"),"627")</f>
        <v>627</v>
      </c>
      <c r="G628" s="5" t="str">
        <f>IFERROR(__xludf.DUMMYFUNCTION("GOOGLETRANSLATE(B628, ""en"", ""hi"")"),"ढोल खेल में एक टीम के लिए प्रभावी लक्ष्य निर्धारण का महत्वपूर्ण तत्व क्या है?")</f>
        <v>ढोल खेल में एक टीम के लिए प्रभावी लक्ष्य निर्धारण का महत्वपूर्ण तत्व क्या है?</v>
      </c>
      <c r="H628" s="5" t="str">
        <f>IFERROR(__xludf.DUMMYFUNCTION("GOOGLETRANSLATE(C628, ""en"", ""hi"")"),"A) स्पष्ट, प्राप्त करने योग्य लक्ष्य निर्धारित करना जो टीम की समग्र रणनीति के साथ संरेखित हों, B) टीम के लक्ष्यों की अनदेखी करना, C) केवल व्यक्तिगत लक्ष्यों पर ध्यान केंद्रित करना, D) लक्ष्य संरेखण से बचना")</f>
        <v>A) स्पष्ट, प्राप्त करने योग्य लक्ष्य निर्धारित करना जो टीम की समग्र रणनीति के साथ संरेखित हों, B) टीम के लक्ष्यों की अनदेखी करना, C) केवल व्यक्तिगत लक्ष्यों पर ध्यान केंद्रित करना, D) लक्ष्य संरेखण से बचना</v>
      </c>
      <c r="I628" s="5" t="str">
        <f>IFERROR(__xludf.DUMMYFUNCTION("GOOGLETRANSLATE(D628, ""en"", ""hi"")"),"A) स्पष्ट, प्राप्त करने योग्य लक्ष्य निर्धारित करना जो टीम की समग्र रणनीति के साथ संरेखित हों")</f>
        <v>A) स्पष्ट, प्राप्त करने योग्य लक्ष्य निर्धारित करना जो टीम की समग्र रणनीति के साथ संरेखित हों</v>
      </c>
    </row>
    <row r="629" ht="22.5" customHeight="1">
      <c r="A629" s="2">
        <v>628.0</v>
      </c>
      <c r="B629" s="3" t="s">
        <v>6991</v>
      </c>
      <c r="C629" s="3" t="s">
        <v>6992</v>
      </c>
      <c r="D629" s="3" t="s">
        <v>6993</v>
      </c>
      <c r="F629" s="5" t="str">
        <f>IFERROR(__xludf.DUMMYFUNCTION("GOOGLETRANSLATE(A629, ""en"", ""hi"")"),"628")</f>
        <v>628</v>
      </c>
      <c r="G629" s="5" t="str">
        <f>IFERROR(__xludf.DUMMYFUNCTION("GOOGLETRANSLATE(B629, ""en"", ""hi"")"),"ढोल खेल में किसी खिलाड़ी को विशिष्ट कौशल में सुधार के लिए किस प्रकार प्रयास करना चाहिए?")</f>
        <v>ढोल खेल में किसी खिलाड़ी को विशिष्ट कौशल में सुधार के लिए किस प्रकार प्रयास करना चाहिए?</v>
      </c>
      <c r="H629" s="5" t="str">
        <f>IFERROR(__xludf.DUMMYFUNCTION("GOOGLETRANSLATE(C629, ""en"", ""hi"")"),"A) कमजोरियों की पहचान करके, लक्षित अभ्यास पर ध्यान केंद्रित करके, और प्रतिक्रिया मांगकर, B) कौशल सुधार की अनदेखी करके, C) केवल ताकत पर ध्यान केंद्रित करके, D) लक्षित अभ्यास से बचना")</f>
        <v>A) कमजोरियों की पहचान करके, लक्षित अभ्यास पर ध्यान केंद्रित करके, और प्रतिक्रिया मांगकर, B) कौशल सुधार की अनदेखी करके, C) केवल ताकत पर ध्यान केंद्रित करके, D) लक्षित अभ्यास से बचना</v>
      </c>
      <c r="I629" s="5" t="str">
        <f>IFERROR(__xludf.DUMMYFUNCTION("GOOGLETRANSLATE(D629, ""en"", ""hi"")"),"A) कमजोरियों की पहचान करके, लक्षित अभ्यास पर ध्यान केंद्रित करके, और प्रतिक्रिया प्राप्त करके")</f>
        <v>A) कमजोरियों की पहचान करके, लक्षित अभ्यास पर ध्यान केंद्रित करके, और प्रतिक्रिया प्राप्त करके</v>
      </c>
    </row>
    <row r="630" ht="22.5" customHeight="1">
      <c r="A630" s="2">
        <v>629.0</v>
      </c>
      <c r="B630" s="3" t="s">
        <v>6994</v>
      </c>
      <c r="C630" s="3" t="s">
        <v>6995</v>
      </c>
      <c r="D630" s="3" t="s">
        <v>6996</v>
      </c>
      <c r="F630" s="5" t="str">
        <f>IFERROR(__xludf.DUMMYFUNCTION("GOOGLETRANSLATE(A630, ""en"", ""hi"")"),"629")</f>
        <v>629</v>
      </c>
      <c r="G630" s="5" t="str">
        <f>IFERROR(__xludf.DUMMYFUNCTION("GOOGLETRANSLATE(B630, ""en"", ""hi"")"),"ढोल खेल में प्रभावी आक्रामक रणनीति विकसित करने में महत्वपूर्ण कारक क्या है?")</f>
        <v>ढोल खेल में प्रभावी आक्रामक रणनीति विकसित करने में महत्वपूर्ण कारक क्या है?</v>
      </c>
      <c r="H630" s="5" t="str">
        <f>IFERROR(__xludf.DUMMYFUNCTION("GOOGLETRANSLATE(C630, ""en"", ""hi"")"),"A) प्रतिद्वंद्वी की रक्षा को समझना, टीम की ताकत का उपयोग करना, और विभिन्न आक्रामक खेलों का अभ्यास करना, B) आक्रामक रणनीतियों की अनदेखी करना, C) केवल व्यक्तिगत खेल पर ध्यान केंद्रित करना, D) रणनीतिक अभ्यास से बचना")</f>
        <v>A) प्रतिद्वंद्वी की रक्षा को समझना, टीम की ताकत का उपयोग करना, और विभिन्न आक्रामक खेलों का अभ्यास करना, B) आक्रामक रणनीतियों की अनदेखी करना, C) केवल व्यक्तिगत खेल पर ध्यान केंद्रित करना, D) रणनीतिक अभ्यास से बचना</v>
      </c>
      <c r="I630" s="5" t="str">
        <f>IFERROR(__xludf.DUMMYFUNCTION("GOOGLETRANSLATE(D630, ""en"", ""hi"")"),"A) प्रतिद्वंद्वी की रक्षा को समझना, टीम की ताकत का उपयोग करना, और विभिन्न आक्रामक खेलों का अभ्यास करना")</f>
        <v>A) प्रतिद्वंद्वी की रक्षा को समझना, टीम की ताकत का उपयोग करना, और विभिन्न आक्रामक खेलों का अभ्यास करना</v>
      </c>
    </row>
    <row r="631" ht="22.5" customHeight="1">
      <c r="A631" s="2">
        <v>630.0</v>
      </c>
      <c r="B631" s="3" t="s">
        <v>6997</v>
      </c>
      <c r="C631" s="3" t="s">
        <v>6998</v>
      </c>
      <c r="D631" s="3" t="s">
        <v>6999</v>
      </c>
      <c r="F631" s="5" t="str">
        <f>IFERROR(__xludf.DUMMYFUNCTION("GOOGLETRANSLATE(A631, ""en"", ""hi"")"),"630")</f>
        <v>630</v>
      </c>
      <c r="G631" s="5" t="str">
        <f>IFERROR(__xludf.DUMMYFUNCTION("GOOGLETRANSLATE(B631, ""en"", ""hi"")"),"ढोल खेल में उच्च दबाव के क्षणों के दौरान एक खिलाड़ी तनाव को प्रभावी ढंग से कैसे प्रबंधित कर सकता है?")</f>
        <v>ढोल खेल में उच्च दबाव के क्षणों के दौरान एक खिलाड़ी तनाव को प्रभावी ढंग से कैसे प्रबंधित कर सकता है?</v>
      </c>
      <c r="H631" s="5" t="str">
        <f>IFERROR(__xludf.DUMMYFUNCTION("GOOGLETRANSLATE(C631, ""en"", ""hi"")"),"A) तनाव प्रबंधन तकनीकों का उपयोग करके, ध्यान केंद्रित करके और धैर्य बनाए रखकर, B) तनाव प्रबंधन की अनदेखी करके, C) केवल प्रदर्शन पर ध्यान केंद्रित करके, D) तनाव से निपटने की रणनीतियों से बचना")</f>
        <v>A) तनाव प्रबंधन तकनीकों का उपयोग करके, ध्यान केंद्रित करके और धैर्य बनाए रखकर, B) तनाव प्रबंधन की अनदेखी करके, C) केवल प्रदर्शन पर ध्यान केंद्रित करके, D) तनाव से निपटने की रणनीतियों से बचना</v>
      </c>
      <c r="I631" s="5" t="str">
        <f>IFERROR(__xludf.DUMMYFUNCTION("GOOGLETRANSLATE(D631, ""en"", ""hi"")"),"A) तनाव प्रबंधन तकनीकों का उपयोग करके, ध्यान केंद्रित रखकर और धैर्य बनाए रखकर")</f>
        <v>A) तनाव प्रबंधन तकनीकों का उपयोग करके, ध्यान केंद्रित रखकर और धैर्य बनाए रखकर</v>
      </c>
    </row>
    <row r="632" ht="22.5" customHeight="1">
      <c r="A632" s="2">
        <v>631.0</v>
      </c>
      <c r="B632" s="3" t="s">
        <v>7000</v>
      </c>
      <c r="C632" s="3" t="s">
        <v>7001</v>
      </c>
      <c r="D632" s="3" t="s">
        <v>7002</v>
      </c>
      <c r="F632" s="5" t="str">
        <f>IFERROR(__xludf.DUMMYFUNCTION("GOOGLETRANSLATE(A632, ""en"", ""hi"")"),"631")</f>
        <v>631</v>
      </c>
      <c r="G632" s="5" t="str">
        <f>IFERROR(__xludf.DUMMYFUNCTION("GOOGLETRANSLATE(B632, ""en"", ""hi"")"),"ढोल खेल में टीमवर्क संचार को बेहतर बनाने के लिए प्रभावी तरीका क्या है?")</f>
        <v>ढोल खेल में टीमवर्क संचार को बेहतर बनाने के लिए प्रभावी तरीका क्या है?</v>
      </c>
      <c r="H632" s="5" t="str">
        <f>IFERROR(__xludf.DUMMYFUNCTION("GOOGLETRANSLATE(C632, ""en"", ""hi"")"),"A) स्पष्ट और संक्षिप्त मौखिक संचार का अभ्यास करके, एक सहयोगी वातावरण को बढ़ावा देकर, और टीम मीटिंग आयोजित करके, B) संचार प्रथाओं की अनदेखी करके, C) केवल गैर-मौखिक संकेतों पर ध्यान केंद्रित करके, D) टीम चर्चा से बचना")</f>
        <v>A) स्पष्ट और संक्षिप्त मौखिक संचार का अभ्यास करके, एक सहयोगी वातावरण को बढ़ावा देकर, और टीम मीटिंग आयोजित करके, B) संचार प्रथाओं की अनदेखी करके, C) केवल गैर-मौखिक संकेतों पर ध्यान केंद्रित करके, D) टीम चर्चा से बचना</v>
      </c>
      <c r="I632" s="5" t="str">
        <f>IFERROR(__xludf.DUMMYFUNCTION("GOOGLETRANSLATE(D632, ""en"", ""hi"")"),"A) स्पष्ट और संक्षिप्त मौखिक संचार का अभ्यास करके, सहयोगात्मक वातावरण को बढ़ावा देकर, और टीम मीटिंग आयोजित करके")</f>
        <v>A) स्पष्ट और संक्षिप्त मौखिक संचार का अभ्यास करके, सहयोगात्मक वातावरण को बढ़ावा देकर, और टीम मीटिंग आयोजित करके</v>
      </c>
    </row>
    <row r="633" ht="22.5" customHeight="1">
      <c r="A633" s="2">
        <v>632.0</v>
      </c>
      <c r="B633" s="3" t="s">
        <v>7003</v>
      </c>
      <c r="C633" s="3" t="s">
        <v>7004</v>
      </c>
      <c r="D633" s="3" t="s">
        <v>7005</v>
      </c>
      <c r="F633" s="5" t="str">
        <f>IFERROR(__xludf.DUMMYFUNCTION("GOOGLETRANSLATE(A633, ""en"", ""hi"")"),"632")</f>
        <v>632</v>
      </c>
      <c r="G633" s="5" t="str">
        <f>IFERROR(__xludf.DUMMYFUNCTION("GOOGLETRANSLATE(B633, ""en"", ""hi"")"),"ढोल खेल में एक खिलाड़ी अपनी शारीरिक शक्तियों का प्रभावी ढंग से उपयोग कैसे कर सकता है?")</f>
        <v>ढोल खेल में एक खिलाड़ी अपनी शारीरिक शक्तियों का प्रभावी ढंग से उपयोग कैसे कर सकता है?</v>
      </c>
      <c r="H633" s="5" t="str">
        <f>IFERROR(__xludf.DUMMYFUNCTION("GOOGLETRANSLATE(C633, ""en"", ""hi"")"),"A) अपनी शक्तियों को रणनीतिक खेलों में शामिल करके और उन क्षेत्रों पर ध्यान केंद्रित करके जहाँ वे उत्कृष्ट हैं, B) व्यक्तिगत शक्तियों को अनदेखा करके, C) केवल कमजोरियों पर ध्यान केंद्रित करके, D) शक्तियों के रणनीतिक उपयोग से बचना")</f>
        <v>A) अपनी शक्तियों को रणनीतिक खेलों में शामिल करके और उन क्षेत्रों पर ध्यान केंद्रित करके जहाँ वे उत्कृष्ट हैं, B) व्यक्तिगत शक्तियों को अनदेखा करके, C) केवल कमजोरियों पर ध्यान केंद्रित करके, D) शक्तियों के रणनीतिक उपयोग से बचना</v>
      </c>
      <c r="I633" s="5" t="str">
        <f>IFERROR(__xludf.DUMMYFUNCTION("GOOGLETRANSLATE(D633, ""en"", ""hi"")"),"A) अपनी शक्तियों को रणनीतिक गतिविधियों में शामिल करके तथा उन क्षेत्रों पर ध्यान केंद्रित करके जिनमें वे उत्कृष्ट हैं")</f>
        <v>A) अपनी शक्तियों को रणनीतिक गतिविधियों में शामिल करके तथा उन क्षेत्रों पर ध्यान केंद्रित करके जिनमें वे उत्कृष्ट हैं</v>
      </c>
    </row>
    <row r="634" ht="22.5" customHeight="1">
      <c r="A634" s="2">
        <v>633.0</v>
      </c>
      <c r="B634" s="3" t="s">
        <v>7006</v>
      </c>
      <c r="C634" s="3" t="s">
        <v>7007</v>
      </c>
      <c r="D634" s="3" t="s">
        <v>7008</v>
      </c>
      <c r="F634" s="5" t="str">
        <f>IFERROR(__xludf.DUMMYFUNCTION("GOOGLETRANSLATE(A634, ""en"", ""hi"")"),"633")</f>
        <v>633</v>
      </c>
      <c r="G634" s="5" t="str">
        <f>IFERROR(__xludf.DUMMYFUNCTION("GOOGLETRANSLATE(B634, ""en"", ""hi"")"),"ढोल खेल में रक्षात्मक कौशल विकसित करने का एक महत्वपूर्ण पहलू क्या है?")</f>
        <v>ढोल खेल में रक्षात्मक कौशल विकसित करने का एक महत्वपूर्ण पहलू क्या है?</v>
      </c>
      <c r="H634" s="5" t="str">
        <f>IFERROR(__xludf.DUMMYFUNCTION("GOOGLETRANSLATE(C634, ""en"", ""hi"")"),"A) पोजिशनिंग का अभ्यास करना, प्रतिक्रिया समय में सुधार करना और रक्षात्मक तकनीकों को समझना, B) रक्षात्मक कौशल की अनदेखी करना, C) केवल आक्रामक खेल पर ध्यान केंद्रित करना, D) रक्षात्मक अभ्यास से बचना")</f>
        <v>A) पोजिशनिंग का अभ्यास करना, प्रतिक्रिया समय में सुधार करना और रक्षात्मक तकनीकों को समझना, B) रक्षात्मक कौशल की अनदेखी करना, C) केवल आक्रामक खेल पर ध्यान केंद्रित करना, D) रक्षात्मक अभ्यास से बचना</v>
      </c>
      <c r="I634" s="5" t="str">
        <f>IFERROR(__xludf.DUMMYFUNCTION("GOOGLETRANSLATE(D634, ""en"", ""hi"")"),"ए) स्थिति निर्धारण का अभ्यास करना, प्रतिक्रिया समय में सुधार करना, और रक्षात्मक तकनीकों को समझना")</f>
        <v>ए) स्थिति निर्धारण का अभ्यास करना, प्रतिक्रिया समय में सुधार करना, और रक्षात्मक तकनीकों को समझना</v>
      </c>
    </row>
    <row r="635" ht="22.5" customHeight="1">
      <c r="A635" s="2">
        <v>634.0</v>
      </c>
      <c r="B635" s="3" t="s">
        <v>7009</v>
      </c>
      <c r="C635" s="3" t="s">
        <v>7010</v>
      </c>
      <c r="D635" s="3" t="s">
        <v>7011</v>
      </c>
      <c r="F635" s="5" t="str">
        <f>IFERROR(__xludf.DUMMYFUNCTION("GOOGLETRANSLATE(A635, ""en"", ""hi"")"),"634")</f>
        <v>634</v>
      </c>
      <c r="G635" s="5" t="str">
        <f>IFERROR(__xludf.DUMMYFUNCTION("GOOGLETRANSLATE(B635, ""en"", ""hi"")"),"ढोल खेल में कोई खिलाड़ी अपने गेमप्ले में नई रणनीतियों को प्रभावी ढंग से कैसे एकीकृत कर सकता है?")</f>
        <v>ढोल खेल में कोई खिलाड़ी अपने गेमप्ले में नई रणनीतियों को प्रभावी ढंग से कैसे एकीकृत कर सकता है?</v>
      </c>
      <c r="H635" s="5" t="str">
        <f>IFERROR(__xludf.DUMMYFUNCTION("GOOGLETRANSLATE(C635, ""en"", ""hi"")"),"A) प्रशिक्षण में नई रणनीतियों का अभ्यास करके, टीम के साथियों के साथ उन पर चर्चा करके, और मैचों के दौरान उन्हें लागू करके, B) रणनीति एकीकरण की अनदेखी करके, C) केवल परिचित रणनीतियों पर ध्यान केंद्रित करके, D) नई रणनीतियों से बचना")</f>
        <v>A) प्रशिक्षण में नई रणनीतियों का अभ्यास करके, टीम के साथियों के साथ उन पर चर्चा करके, और मैचों के दौरान उन्हें लागू करके, B) रणनीति एकीकरण की अनदेखी करके, C) केवल परिचित रणनीतियों पर ध्यान केंद्रित करके, D) नई रणनीतियों से बचना</v>
      </c>
      <c r="I635" s="5" t="str">
        <f>IFERROR(__xludf.DUMMYFUNCTION("GOOGLETRANSLATE(D635, ""en"", ""hi"")"),"A) प्रशिक्षण में नई रणनीतियों का अभ्यास करके, टीम के साथियों के साथ उन पर चर्चा करके, और मैचों के दौरान उन्हें लागू करके")</f>
        <v>A) प्रशिक्षण में नई रणनीतियों का अभ्यास करके, टीम के साथियों के साथ उन पर चर्चा करके, और मैचों के दौरान उन्हें लागू करके</v>
      </c>
    </row>
    <row r="636" ht="22.5" customHeight="1">
      <c r="A636" s="2">
        <v>635.0</v>
      </c>
      <c r="B636" s="3" t="s">
        <v>7012</v>
      </c>
      <c r="C636" s="3" t="s">
        <v>7013</v>
      </c>
      <c r="D636" s="3" t="s">
        <v>7014</v>
      </c>
      <c r="F636" s="5" t="str">
        <f>IFERROR(__xludf.DUMMYFUNCTION("GOOGLETRANSLATE(A636, ""en"", ""hi"")"),"635")</f>
        <v>635</v>
      </c>
      <c r="G636" s="5" t="str">
        <f>IFERROR(__xludf.DUMMYFUNCTION("GOOGLETRANSLATE(B636, ""en"", ""hi"")"),"ढोल खेल के लंबे सत्र के दौरान प्रेरणा बनाए रखने का मुख्य कारक क्या है?")</f>
        <v>ढोल खेल के लंबे सत्र के दौरान प्रेरणा बनाए रखने का मुख्य कारक क्या है?</v>
      </c>
      <c r="H636" s="5" t="str">
        <f>IFERROR(__xludf.DUMMYFUNCTION("GOOGLETRANSLATE(C636, ""en"", ""hi"")"),"A) व्यक्तिगत और टीम लक्ष्य निर्धारित करना, सुधार पर ध्यान केंद्रित करना और उपलब्धियों का जश्न मनाना, B) प्रेरणा की अनदेखी करना, C) केवल अल्पकालिक लक्ष्यों पर ध्यान केंद्रित करना, D) दीर्घकालिक योजना से बचना")</f>
        <v>A) व्यक्तिगत और टीम लक्ष्य निर्धारित करना, सुधार पर ध्यान केंद्रित करना और उपलब्धियों का जश्न मनाना, B) प्रेरणा की अनदेखी करना, C) केवल अल्पकालिक लक्ष्यों पर ध्यान केंद्रित करना, D) दीर्घकालिक योजना से बचना</v>
      </c>
      <c r="I636" s="5" t="str">
        <f>IFERROR(__xludf.DUMMYFUNCTION("GOOGLETRANSLATE(D636, ""en"", ""hi"")"),"A) व्यक्तिगत और टीम लक्ष्य निर्धारित करना, सुधार पर ध्यान केंद्रित रखना और उपलब्धियों का जश्न मनाना")</f>
        <v>A) व्यक्तिगत और टीम लक्ष्य निर्धारित करना, सुधार पर ध्यान केंद्रित रखना और उपलब्धियों का जश्न मनाना</v>
      </c>
    </row>
    <row r="637" ht="22.5" customHeight="1">
      <c r="A637" s="2">
        <v>636.0</v>
      </c>
      <c r="B637" s="3" t="s">
        <v>7015</v>
      </c>
      <c r="C637" s="3" t="s">
        <v>7016</v>
      </c>
      <c r="D637" s="3" t="s">
        <v>7017</v>
      </c>
      <c r="F637" s="5" t="str">
        <f>IFERROR(__xludf.DUMMYFUNCTION("GOOGLETRANSLATE(A637, ""en"", ""hi"")"),"636")</f>
        <v>636</v>
      </c>
      <c r="G637" s="5" t="str">
        <f>IFERROR(__xludf.DUMMYFUNCTION("GOOGLETRANSLATE(B637, ""en"", ""hi"")"),"ढोल खेल में एक खिलाड़ी हार को प्रभावी ढंग से कैसे संभाल सकता है?")</f>
        <v>ढोल खेल में एक खिलाड़ी हार को प्रभावी ढंग से कैसे संभाल सकता है?</v>
      </c>
      <c r="H637" s="5" t="str">
        <f>IFERROR(__xludf.DUMMYFUNCTION("GOOGLETRANSLATE(C637, ""en"", ""hi"")"),"A) खेल का विश्लेषण करके, गलतियों से सीखकर और सकारात्मक रहकर, B) हार को नज़रअंदाज़ करके, C) केवल नकारात्मक पहलुओं पर ध्यान केंद्रित करके, D) खेल के बाद के विश्लेषण से बचकर")</f>
        <v>A) खेल का विश्लेषण करके, गलतियों से सीखकर और सकारात्मक रहकर, B) हार को नज़रअंदाज़ करके, C) केवल नकारात्मक पहलुओं पर ध्यान केंद्रित करके, D) खेल के बाद के विश्लेषण से बचकर</v>
      </c>
      <c r="I637" s="5" t="str">
        <f>IFERROR(__xludf.DUMMYFUNCTION("GOOGLETRANSLATE(D637, ""en"", ""hi"")"),"A) खेल का विश्लेषण करके, गलतियों से सीखकर और सकारात्मक रहकर")</f>
        <v>A) खेल का विश्लेषण करके, गलतियों से सीखकर और सकारात्मक रहकर</v>
      </c>
    </row>
    <row r="638" ht="22.5" customHeight="1">
      <c r="A638" s="2">
        <v>637.0</v>
      </c>
      <c r="B638" s="3" t="s">
        <v>7018</v>
      </c>
      <c r="C638" s="3" t="s">
        <v>7019</v>
      </c>
      <c r="D638" s="3" t="s">
        <v>7020</v>
      </c>
      <c r="F638" s="5" t="str">
        <f>IFERROR(__xludf.DUMMYFUNCTION("GOOGLETRANSLATE(A638, ""en"", ""hi"")"),"637")</f>
        <v>637</v>
      </c>
      <c r="G638" s="5" t="str">
        <f>IFERROR(__xludf.DUMMYFUNCTION("GOOGLETRANSLATE(B638, ""en"", ""hi"")"),"ढोल खेल में मैच के दौरान एकाग्रता बढ़ाने के लिए प्रभावी तकनीक क्या है?")</f>
        <v>ढोल खेल में मैच के दौरान एकाग्रता बढ़ाने के लिए प्रभावी तकनीक क्या है?</v>
      </c>
      <c r="H638" s="5" t="str">
        <f>IFERROR(__xludf.DUMMYFUNCTION("GOOGLETRANSLATE(C638, ""en"", ""hi"")"),"A) माइंडफुलनेस का अभ्यास करके, स्पष्ट लक्ष्य निर्धारित करके, और खेल योजना पर ध्यान केंद्रित करके, B) एकाग्रता तकनीकों की अनदेखी करके, C) केवल शारीरिक कौशल पर ध्यान केंद्रित करके, D) मानसिक तैयारी से बचना")</f>
        <v>A) माइंडफुलनेस का अभ्यास करके, स्पष्ट लक्ष्य निर्धारित करके, और खेल योजना पर ध्यान केंद्रित करके, B) एकाग्रता तकनीकों की अनदेखी करके, C) केवल शारीरिक कौशल पर ध्यान केंद्रित करके, D) मानसिक तैयारी से बचना</v>
      </c>
      <c r="I638" s="5" t="str">
        <f>IFERROR(__xludf.DUMMYFUNCTION("GOOGLETRANSLATE(D638, ""en"", ""hi"")"),"A) सचेतनता का अभ्यास करके, स्पष्ट लक्ष्य निर्धारित करके, और खेल योजना पर ध्यान केंद्रित करके")</f>
        <v>A) सचेतनता का अभ्यास करके, स्पष्ट लक्ष्य निर्धारित करके, और खेल योजना पर ध्यान केंद्रित करके</v>
      </c>
    </row>
    <row r="639" ht="22.5" customHeight="1">
      <c r="A639" s="2">
        <v>638.0</v>
      </c>
      <c r="B639" s="3" t="s">
        <v>7021</v>
      </c>
      <c r="C639" s="3" t="s">
        <v>7022</v>
      </c>
      <c r="D639" s="3" t="s">
        <v>7023</v>
      </c>
      <c r="F639" s="5" t="str">
        <f>IFERROR(__xludf.DUMMYFUNCTION("GOOGLETRANSLATE(A639, ""en"", ""hi"")"),"638")</f>
        <v>638</v>
      </c>
      <c r="G639" s="5" t="str">
        <f>IFERROR(__xludf.DUMMYFUNCTION("GOOGLETRANSLATE(B639, ""en"", ""hi"")"),"ढोल खेल में एक खिलाड़ी अपनी खेल समझ को प्रभावी ढंग से कैसे सुधार सकता है?")</f>
        <v>ढोल खेल में एक खिलाड़ी अपनी खेल समझ को प्रभावी ढंग से कैसे सुधार सकता है?</v>
      </c>
      <c r="H639" s="5" t="str">
        <f>IFERROR(__xludf.DUMMYFUNCTION("GOOGLETRANSLATE(C639, ""en"", ""hi"")"),"A) खेल परिदृश्यों का विश्लेषण करके, अनुभव से सीखकर, और निर्णय लेने के कौशल में सुधार करके, B) खेल की समझ को नज़रअंदाज़ करके, C) केवल शारीरिक प्रशिक्षण पर ध्यान केंद्रित करके, D) खेल विश्लेषण से बचना")</f>
        <v>A) खेल परिदृश्यों का विश्लेषण करके, अनुभव से सीखकर, और निर्णय लेने के कौशल में सुधार करके, B) खेल की समझ को नज़रअंदाज़ करके, C) केवल शारीरिक प्रशिक्षण पर ध्यान केंद्रित करके, D) खेल विश्लेषण से बचना</v>
      </c>
      <c r="I639" s="5" t="str">
        <f>IFERROR(__xludf.DUMMYFUNCTION("GOOGLETRANSLATE(D639, ""en"", ""hi"")"),"A) खेल परिदृश्यों का विश्लेषण करके, अनुभव से सीखकर, और निर्णय लेने के कौशल में सुधार करके")</f>
        <v>A) खेल परिदृश्यों का विश्लेषण करके, अनुभव से सीखकर, और निर्णय लेने के कौशल में सुधार करके</v>
      </c>
    </row>
    <row r="640" ht="22.5" customHeight="1">
      <c r="A640" s="2">
        <v>639.0</v>
      </c>
      <c r="B640" s="3" t="s">
        <v>7024</v>
      </c>
      <c r="C640" s="3" t="s">
        <v>7025</v>
      </c>
      <c r="D640" s="3" t="s">
        <v>7026</v>
      </c>
      <c r="F640" s="5" t="str">
        <f>IFERROR(__xludf.DUMMYFUNCTION("GOOGLETRANSLATE(A640, ""en"", ""hi"")"),"639")</f>
        <v>639</v>
      </c>
      <c r="G640" s="5" t="str">
        <f>IFERROR(__xludf.DUMMYFUNCTION("GOOGLETRANSLATE(B640, ""en"", ""hi"")"),"ढोल खेल में गहन प्रशिक्षण के बाद प्रभावी पुनर्प्राप्ति का महत्वपूर्ण तत्व क्या है?")</f>
        <v>ढोल खेल में गहन प्रशिक्षण के बाद प्रभावी पुनर्प्राप्ति का महत्वपूर्ण तत्व क्या है?</v>
      </c>
      <c r="H640" s="5" t="str">
        <f>IFERROR(__xludf.DUMMYFUNCTION("GOOGLETRANSLATE(C640, ""en"", ""hi"")"),"ए) सक्रिय रिकवरी तकनीकों के साथ उचित आराम, जलयोजन और पोषण, बी) रिकवरी की अनदेखी करना, सी) केवल निरंतर प्रशिक्षण पर ध्यान केंद्रित करना, डी) आराम की अवधि से बचना")</f>
        <v>ए) सक्रिय रिकवरी तकनीकों के साथ उचित आराम, जलयोजन और पोषण, बी) रिकवरी की अनदेखी करना, सी) केवल निरंतर प्रशिक्षण पर ध्यान केंद्रित करना, डी) आराम की अवधि से बचना</v>
      </c>
      <c r="I640" s="5" t="str">
        <f>IFERROR(__xludf.DUMMYFUNCTION("GOOGLETRANSLATE(D640, ""en"", ""hi"")"),"ए) उचित आराम, जलयोजन और पोषण, साथ ही सक्रिय पुनर्प्राप्ति तकनीकें")</f>
        <v>ए) उचित आराम, जलयोजन और पोषण, साथ ही सक्रिय पुनर्प्राप्ति तकनीकें</v>
      </c>
    </row>
    <row r="641" ht="22.5" customHeight="1">
      <c r="A641" s="2">
        <v>640.0</v>
      </c>
      <c r="B641" s="3" t="s">
        <v>7027</v>
      </c>
      <c r="C641" s="3" t="s">
        <v>7028</v>
      </c>
      <c r="D641" s="3" t="s">
        <v>7029</v>
      </c>
      <c r="F641" s="5" t="str">
        <f>IFERROR(__xludf.DUMMYFUNCTION("GOOGLETRANSLATE(A641, ""en"", ""hi"")"),"640")</f>
        <v>640</v>
      </c>
      <c r="G641" s="5" t="str">
        <f>IFERROR(__xludf.DUMMYFUNCTION("GOOGLETRANSLATE(B641, ""en"", ""hi"")"),"ढोल खेल में खिलाड़ी अपनी गति का प्रभावी ढंग से उपयोग कैसे कर सकते हैं?")</f>
        <v>ढोल खेल में खिलाड़ी अपनी गति का प्रभावी ढंग से उपयोग कैसे कर सकते हैं?</v>
      </c>
      <c r="H641" s="5" t="str">
        <f>IFERROR(__xludf.DUMMYFUNCTION("GOOGLETRANSLATE(C641, ""en"", ""hi"")"),"A) त्वरित ब्रेक के लिए गति का उपयोग करके, स्थिति में सुधार करके, और तेज खेल को क्रियान्वित करके, B) गति की अनदेखी करके, C) केवल ताकत पर ध्यान केंद्रित करके, D) गति-आधारित रणनीतियों से बचना")</f>
        <v>A) त्वरित ब्रेक के लिए गति का उपयोग करके, स्थिति में सुधार करके, और तेज खेल को क्रियान्वित करके, B) गति की अनदेखी करके, C) केवल ताकत पर ध्यान केंद्रित करके, D) गति-आधारित रणनीतियों से बचना</v>
      </c>
      <c r="I641" s="5" t="str">
        <f>IFERROR(__xludf.DUMMYFUNCTION("GOOGLETRANSLATE(D641, ""en"", ""hi"")"),"A) त्वरित ब्रेक के लिए गति का उपयोग करके, स्थिति में सुधार करके, और तेज़ खेल को क्रियान्वित करके")</f>
        <v>A) त्वरित ब्रेक के लिए गति का उपयोग करके, स्थिति में सुधार करके, और तेज़ खेल को क्रियान्वित करके</v>
      </c>
    </row>
    <row r="642" ht="22.5" customHeight="1">
      <c r="A642" s="2">
        <v>641.0</v>
      </c>
      <c r="B642" s="3" t="s">
        <v>7030</v>
      </c>
      <c r="C642" s="3" t="s">
        <v>7031</v>
      </c>
      <c r="D642" s="3" t="s">
        <v>7032</v>
      </c>
      <c r="F642" s="5" t="str">
        <f>IFERROR(__xludf.DUMMYFUNCTION("GOOGLETRANSLATE(A642, ""en"", ""hi"")"),"641")</f>
        <v>641</v>
      </c>
      <c r="G642" s="5" t="str">
        <f>IFERROR(__xludf.DUMMYFUNCTION("GOOGLETRANSLATE(B642, ""en"", ""hi"")"),"ढोल खेल में प्रभावी नेतृत्व कौशल विकसित करने का एक महत्वपूर्ण पहलू क्या है?")</f>
        <v>ढोल खेल में प्रभावी नेतृत्व कौशल विकसित करने का एक महत्वपूर्ण पहलू क्या है?</v>
      </c>
      <c r="H642" s="5" t="str">
        <f>IFERROR(__xludf.DUMMYFUNCTION("GOOGLETRANSLATE(C642, ""en"", ""hi"")"),"A) उदाहरण प्रस्तुत करके नेतृत्व करना, प्रभावी ढंग से संवाद करना और टीम के साथियों को प्रेरित करना, B) नेतृत्व विकास की अनदेखी करना, C) केवल व्यक्तिगत प्रदर्शन पर ध्यान केंद्रित करना, D) नेतृत्व की जिम्मेदारियों से बचना")</f>
        <v>A) उदाहरण प्रस्तुत करके नेतृत्व करना, प्रभावी ढंग से संवाद करना और टीम के साथियों को प्रेरित करना, B) नेतृत्व विकास की अनदेखी करना, C) केवल व्यक्तिगत प्रदर्शन पर ध्यान केंद्रित करना, D) नेतृत्व की जिम्मेदारियों से बचना</v>
      </c>
      <c r="I642" s="5" t="str">
        <f>IFERROR(__xludf.DUMMYFUNCTION("GOOGLETRANSLATE(D642, ""en"", ""hi"")"),"A) उदाहरण प्रस्तुत करना, प्रभावी ढंग से संवाद करना और टीम के सदस्यों को प्रेरित करना")</f>
        <v>A) उदाहरण प्रस्तुत करना, प्रभावी ढंग से संवाद करना और टीम के सदस्यों को प्रेरित करना</v>
      </c>
    </row>
    <row r="643" ht="22.5" customHeight="1">
      <c r="A643" s="2">
        <v>642.0</v>
      </c>
      <c r="B643" s="3" t="s">
        <v>7033</v>
      </c>
      <c r="C643" s="3" t="s">
        <v>7034</v>
      </c>
      <c r="D643" s="3" t="s">
        <v>7035</v>
      </c>
      <c r="F643" s="5" t="str">
        <f>IFERROR(__xludf.DUMMYFUNCTION("GOOGLETRANSLATE(A643, ""en"", ""hi"")"),"642")</f>
        <v>642</v>
      </c>
      <c r="G643" s="5" t="str">
        <f>IFERROR(__xludf.DUMMYFUNCTION("GOOGLETRANSLATE(B643, ""en"", ""hi"")"),"ढोल खेल में कोई खिलाड़ी अपनी कमजोरियों को प्रभावी ढंग से कैसे दूर कर सकता है?")</f>
        <v>ढोल खेल में कोई खिलाड़ी अपनी कमजोरियों को प्रभावी ढंग से कैसे दूर कर सकता है?</v>
      </c>
      <c r="H643" s="5" t="str">
        <f>IFERROR(__xludf.DUMMYFUNCTION("GOOGLETRANSLATE(C643, ""en"", ""hi"")"),"A) सुधार के लिए विशिष्ट क्षेत्रों की पहचान करके, फीडबैक मांगकर, और लक्षित अभ्यास पर ध्यान केंद्रित करके, B) कमजोरियों को नजरअंदाज करके, C) केवल ताकत पर ध्यान केंद्रित करके, D) सुधार के प्रयासों से बचना")</f>
        <v>A) सुधार के लिए विशिष्ट क्षेत्रों की पहचान करके, फीडबैक मांगकर, और लक्षित अभ्यास पर ध्यान केंद्रित करके, B) कमजोरियों को नजरअंदाज करके, C) केवल ताकत पर ध्यान केंद्रित करके, D) सुधार के प्रयासों से बचना</v>
      </c>
      <c r="I643" s="5" t="str">
        <f>IFERROR(__xludf.DUMMYFUNCTION("GOOGLETRANSLATE(D643, ""en"", ""hi"")"),"A) सुधार के लिए विशिष्ट क्षेत्रों की पहचान करके, फीडबैक मांगकर, और लक्षित अभ्यास पर ध्यान केंद्रित करके")</f>
        <v>A) सुधार के लिए विशिष्ट क्षेत्रों की पहचान करके, फीडबैक मांगकर, और लक्षित अभ्यास पर ध्यान केंद्रित करके</v>
      </c>
    </row>
    <row r="644" ht="22.5" customHeight="1">
      <c r="A644" s="2">
        <v>643.0</v>
      </c>
      <c r="B644" s="3" t="s">
        <v>7036</v>
      </c>
      <c r="C644" s="3" t="s">
        <v>7037</v>
      </c>
      <c r="D644" s="3" t="s">
        <v>7038</v>
      </c>
      <c r="F644" s="5" t="str">
        <f>IFERROR(__xludf.DUMMYFUNCTION("GOOGLETRANSLATE(A644, ""en"", ""hi"")"),"643")</f>
        <v>643</v>
      </c>
      <c r="G644" s="5" t="str">
        <f>IFERROR(__xludf.DUMMYFUNCTION("GOOGLETRANSLATE(B644, ""en"", ""hi"")"),"ढोल खेल में मैच के दौरान सामरिक जागरूकता बढ़ाने का प्रभावी तरीका क्या है?")</f>
        <v>ढोल खेल में मैच के दौरान सामरिक जागरूकता बढ़ाने का प्रभावी तरीका क्या है?</v>
      </c>
      <c r="H644" s="5" t="str">
        <f>IFERROR(__xludf.DUMMYFUNCTION("GOOGLETRANSLATE(C644, ""en"", ""hi"")"),"A) खेल के प्रवाह का विश्लेषण करके, विरोधियों की रणनीति को समझकर और रणनीति अपनाकर, B) सामरिक जागरूकता की अनदेखी करके, C) केवल व्यक्तिगत खेल पर ध्यान केंद्रित करके, D) सामरिक विश्लेषण से बचना")</f>
        <v>A) खेल के प्रवाह का विश्लेषण करके, विरोधियों की रणनीति को समझकर और रणनीति अपनाकर, B) सामरिक जागरूकता की अनदेखी करके, C) केवल व्यक्तिगत खेल पर ध्यान केंद्रित करके, D) सामरिक विश्लेषण से बचना</v>
      </c>
      <c r="I644" s="5" t="str">
        <f>IFERROR(__xludf.DUMMYFUNCTION("GOOGLETRANSLATE(D644, ""en"", ""hi"")"),"A) खेल के प्रवाह का विश्लेषण करके, विरोधियों की रणनीति को समझकर, और रणनीति अपनाकर")</f>
        <v>A) खेल के प्रवाह का विश्लेषण करके, विरोधियों की रणनीति को समझकर, और रणनीति अपनाकर</v>
      </c>
    </row>
    <row r="645" ht="22.5" customHeight="1">
      <c r="A645" s="2">
        <v>644.0</v>
      </c>
      <c r="B645" s="3" t="s">
        <v>7039</v>
      </c>
      <c r="C645" s="3" t="s">
        <v>7040</v>
      </c>
      <c r="D645" s="3" t="s">
        <v>7041</v>
      </c>
      <c r="F645" s="5" t="str">
        <f>IFERROR(__xludf.DUMMYFUNCTION("GOOGLETRANSLATE(A645, ""en"", ""hi"")"),"644")</f>
        <v>644</v>
      </c>
      <c r="G645" s="5" t="str">
        <f>IFERROR(__xludf.DUMMYFUNCTION("GOOGLETRANSLATE(B645, ""en"", ""hi"")"),"ढोल खेल में लम्बे खेल के दौरान कोई खिलाड़ी प्रभावी ढंग से अपना ध्यान कैसे बनाए रख सकता है?")</f>
        <v>ढोल खेल में लम्बे खेल के दौरान कोई खिलाड़ी प्रभावी ढंग से अपना ध्यान कैसे बनाए रख सकता है?</v>
      </c>
      <c r="H645" s="5" t="str">
        <f>IFERROR(__xludf.DUMMYFUNCTION("GOOGLETRANSLATE(C645, ""en"", ""hi"")"),"A) मानसिक संकेत निर्धारित करके, एकाग्रता तकनीकों का अभ्यास करके, और खेल में व्यस्त रहकर, B) फोकस तकनीकों की अनदेखी करके, C) केवल शारीरिक पहलुओं पर ध्यान केंद्रित करके, D) मानसिक तैयारी से बचना")</f>
        <v>A) मानसिक संकेत निर्धारित करके, एकाग्रता तकनीकों का अभ्यास करके, और खेल में व्यस्त रहकर, B) फोकस तकनीकों की अनदेखी करके, C) केवल शारीरिक पहलुओं पर ध्यान केंद्रित करके, D) मानसिक तैयारी से बचना</v>
      </c>
      <c r="I645" s="5" t="str">
        <f>IFERROR(__xludf.DUMMYFUNCTION("GOOGLETRANSLATE(D645, ""en"", ""hi"")"),"A) मानसिक संकेत निर्धारित करके, एकाग्रता तकनीकों का अभ्यास करके, और खेल में व्यस्त रहकर")</f>
        <v>A) मानसिक संकेत निर्धारित करके, एकाग्रता तकनीकों का अभ्यास करके, और खेल में व्यस्त रहकर</v>
      </c>
    </row>
    <row r="646" ht="22.5" customHeight="1">
      <c r="A646" s="2">
        <v>645.0</v>
      </c>
      <c r="B646" s="3" t="s">
        <v>7042</v>
      </c>
      <c r="C646" s="3" t="s">
        <v>7043</v>
      </c>
      <c r="D646" s="3" t="s">
        <v>7044</v>
      </c>
      <c r="F646" s="5" t="str">
        <f>IFERROR(__xludf.DUMMYFUNCTION("GOOGLETRANSLATE(A646, ""en"", ""hi"")"),"645")</f>
        <v>645</v>
      </c>
      <c r="G646" s="5" t="str">
        <f>IFERROR(__xludf.DUMMYFUNCTION("GOOGLETRANSLATE(B646, ""en"", ""hi"")"),"ढोल खेल में टीमवर्क समन्वय में सुधार के लिए प्रभावी तरीका क्या है?")</f>
        <v>ढोल खेल में टीमवर्क समन्वय में सुधार के लिए प्रभावी तरीका क्या है?</v>
      </c>
      <c r="H646" s="5" t="str">
        <f>IFERROR(__xludf.DUMMYFUNCTION("GOOGLETRANSLATE(C646, ""en"", ""hi"")"),"A) समन्वित अभ्यास का अभ्यास करके, संचार में सुधार करके, और प्रत्येक टीम के साथी की भूमिका को समझकर, B) टीमवर्क की अनदेखी करके, C) केवल व्यक्तिगत कौशल पर ध्यान केंद्रित करके, D) समन्वित अभ्यास से बचना")</f>
        <v>A) समन्वित अभ्यास का अभ्यास करके, संचार में सुधार करके, और प्रत्येक टीम के साथी की भूमिका को समझकर, B) टीमवर्क की अनदेखी करके, C) केवल व्यक्तिगत कौशल पर ध्यान केंद्रित करके, D) समन्वित अभ्यास से बचना</v>
      </c>
      <c r="I646" s="5" t="str">
        <f>IFERROR(__xludf.DUMMYFUNCTION("GOOGLETRANSLATE(D646, ""en"", ""hi"")"),"A) समन्वित अभ्यास करके, संचार में सुधार करके, और प्रत्येक टीम के साथी की भूमिका को समझकर")</f>
        <v>A) समन्वित अभ्यास करके, संचार में सुधार करके, और प्रत्येक टीम के साथी की भूमिका को समझकर</v>
      </c>
    </row>
    <row r="647" ht="22.5" customHeight="1">
      <c r="A647" s="2">
        <v>646.0</v>
      </c>
      <c r="B647" s="3" t="s">
        <v>7045</v>
      </c>
      <c r="C647" s="3" t="s">
        <v>7046</v>
      </c>
      <c r="D647" s="3" t="s">
        <v>7047</v>
      </c>
      <c r="F647" s="5" t="str">
        <f>IFERROR(__xludf.DUMMYFUNCTION("GOOGLETRANSLATE(A647, ""en"", ""hi"")"),"646")</f>
        <v>646</v>
      </c>
      <c r="G647" s="5" t="str">
        <f>IFERROR(__xludf.DUMMYFUNCTION("GOOGLETRANSLATE(B647, ""en"", ""hi"")"),"ढोल खेल में नए कौशल विकसित करने के लिए खिलाड़ी को किस प्रकार प्रयास करना चाहिए?")</f>
        <v>ढोल खेल में नए कौशल विकसित करने के लिए खिलाड़ी को किस प्रकार प्रयास करना चाहिए?</v>
      </c>
      <c r="H647" s="5" t="str">
        <f>IFERROR(__xludf.DUMMYFUNCTION("GOOGLETRANSLATE(C647, ""en"", ""hi"")"),"A) विशिष्ट लक्ष्य निर्धारित करके, नियमित अभ्यास करके, और सुधार के लिए फीडबैक मांगकर, B) कौशल विकास की अनदेखी करके, C) केवल मौजूदा कौशल पर ध्यान केंद्रित करके, D) नए कौशल अभ्यास से बचना")</f>
        <v>A) विशिष्ट लक्ष्य निर्धारित करके, नियमित अभ्यास करके, और सुधार के लिए फीडबैक मांगकर, B) कौशल विकास की अनदेखी करके, C) केवल मौजूदा कौशल पर ध्यान केंद्रित करके, D) नए कौशल अभ्यास से बचना</v>
      </c>
      <c r="I647" s="5" t="str">
        <f>IFERROR(__xludf.DUMMYFUNCTION("GOOGLETRANSLATE(D647, ""en"", ""hi"")"),"A) विशिष्ट लक्ष्य निर्धारित करके, नियमित अभ्यास करके, और सुधार के लिए फीडबैक मांगकर")</f>
        <v>A) विशिष्ट लक्ष्य निर्धारित करके, नियमित अभ्यास करके, और सुधार के लिए फीडबैक मांगकर</v>
      </c>
    </row>
    <row r="648" ht="22.5" customHeight="1">
      <c r="A648" s="2">
        <v>647.0</v>
      </c>
      <c r="B648" s="3" t="s">
        <v>7048</v>
      </c>
      <c r="C648" s="3" t="s">
        <v>7049</v>
      </c>
      <c r="D648" s="3" t="s">
        <v>7050</v>
      </c>
      <c r="F648" s="5" t="str">
        <f>IFERROR(__xludf.DUMMYFUNCTION("GOOGLETRANSLATE(A648, ""en"", ""hi"")"),"647")</f>
        <v>647</v>
      </c>
      <c r="G648" s="5" t="str">
        <f>IFERROR(__xludf.DUMMYFUNCTION("GOOGLETRANSLATE(B648, ""en"", ""hi"")"),"ढोल खेल के लिए शारीरिक फिटनेस बनाए रखने में महत्वपूर्ण कारक क्या है?")</f>
        <v>ढोल खेल के लिए शारीरिक फिटनेस बनाए रखने में महत्वपूर्ण कारक क्या है?</v>
      </c>
      <c r="H648" s="5" t="str">
        <f>IFERROR(__xludf.DUMMYFUNCTION("GOOGLETRANSLATE(C648, ""en"", ""hi"")"),"A) लगातार प्रशिक्षण, उचित पोषण और पर्याप्त आराम, B) फिटनेस की अनदेखी, C) केवल खेल अभ्यास पर ध्यान केंद्रित करना, D) शारीरिक कंडीशनिंग से बचना")</f>
        <v>A) लगातार प्रशिक्षण, उचित पोषण और पर्याप्त आराम, B) फिटनेस की अनदेखी, C) केवल खेल अभ्यास पर ध्यान केंद्रित करना, D) शारीरिक कंडीशनिंग से बचना</v>
      </c>
      <c r="I648" s="5" t="str">
        <f>IFERROR(__xludf.DUMMYFUNCTION("GOOGLETRANSLATE(D648, ""en"", ""hi"")"),"ए) लगातार प्रशिक्षण, उचित पोषण और पर्याप्त आराम")</f>
        <v>ए) लगातार प्रशिक्षण, उचित पोषण और पर्याप्त आराम</v>
      </c>
    </row>
    <row r="649" ht="22.5" customHeight="1">
      <c r="A649" s="2">
        <v>648.0</v>
      </c>
      <c r="B649" s="3" t="s">
        <v>7051</v>
      </c>
      <c r="C649" s="3" t="s">
        <v>7052</v>
      </c>
      <c r="D649" s="3" t="s">
        <v>7053</v>
      </c>
      <c r="F649" s="5" t="str">
        <f>IFERROR(__xludf.DUMMYFUNCTION("GOOGLETRANSLATE(A649, ""en"", ""hi"")"),"648")</f>
        <v>648</v>
      </c>
      <c r="G649" s="5" t="str">
        <f>IFERROR(__xludf.DUMMYFUNCTION("GOOGLETRANSLATE(B649, ""en"", ""hi"")"),"ढोल खेल में एक खिलाड़ी अपनी रणनीतिक योजना को प्रभावी ढंग से कैसे बढ़ा सकता है?")</f>
        <v>ढोल खेल में एक खिलाड़ी अपनी रणनीतिक योजना को प्रभावी ढंग से कैसे बढ़ा सकता है?</v>
      </c>
      <c r="H649" s="5" t="str">
        <f>IFERROR(__xludf.DUMMYFUNCTION("GOOGLETRANSLATE(C649, ""en"", ""hi"")"),"A) पिछले खेलों का विश्लेषण करके, साथियों के साथ रणनीतियों पर चर्चा करके और रणनीतिक परिदृश्यों का अभ्यास करके, B) रणनीतिक योजना की अनदेखी करके, C) केवल व्यक्तिगत रणनीति पर ध्यान केंद्रित करके, D) रणनीतिक चर्चाओं से बचना")</f>
        <v>A) पिछले खेलों का विश्लेषण करके, साथियों के साथ रणनीतियों पर चर्चा करके और रणनीतिक परिदृश्यों का अभ्यास करके, B) रणनीतिक योजना की अनदेखी करके, C) केवल व्यक्तिगत रणनीति पर ध्यान केंद्रित करके, D) रणनीतिक चर्चाओं से बचना</v>
      </c>
      <c r="I649" s="5" t="str">
        <f>IFERROR(__xludf.DUMMYFUNCTION("GOOGLETRANSLATE(D649, ""en"", ""hi"")"),"A) पिछले खेलों का विश्लेषण करके, टीम के साथियों के साथ रणनीतियों पर चर्चा करके, और रणनीतिक परिदृश्यों का अभ्यास करके")</f>
        <v>A) पिछले खेलों का विश्लेषण करके, टीम के साथियों के साथ रणनीतियों पर चर्चा करके, और रणनीतिक परिदृश्यों का अभ्यास करके</v>
      </c>
    </row>
    <row r="650" ht="22.5" customHeight="1">
      <c r="A650" s="2">
        <v>649.0</v>
      </c>
      <c r="B650" s="3" t="s">
        <v>7054</v>
      </c>
      <c r="C650" s="3" t="s">
        <v>7055</v>
      </c>
      <c r="D650" s="3" t="s">
        <v>7056</v>
      </c>
      <c r="F650" s="5" t="str">
        <f>IFERROR(__xludf.DUMMYFUNCTION("GOOGLETRANSLATE(A650, ""en"", ""hi"")"),"649")</f>
        <v>649</v>
      </c>
      <c r="G650" s="5" t="str">
        <f>IFERROR(__xludf.DUMMYFUNCTION("GOOGLETRANSLATE(B650, ""en"", ""hi"")"),"ढोल खेल में प्रभावी खेल तैयारी का मुख्य पहलू क्या है?")</f>
        <v>ढोल खेल में प्रभावी खेल तैयारी का मुख्य पहलू क्या है?</v>
      </c>
      <c r="H650" s="5" t="str">
        <f>IFERROR(__xludf.DUMMYFUNCTION("GOOGLETRANSLATE(C650, ""en"", ""hi"")"),"A) एक व्यापक खेल योजना विकसित करना, प्रासंगिक कौशल का अभ्यास करना, और प्रतिद्वंद्वी रणनीतियों की समीक्षा करना, B) तैयारी की अनदेखी करना, C) केवल शारीरिक प्रशिक्षण पर ध्यान केंद्रित करना, D) खेल योजना विकास से बचना")</f>
        <v>A) एक व्यापक खेल योजना विकसित करना, प्रासंगिक कौशल का अभ्यास करना, और प्रतिद्वंद्वी रणनीतियों की समीक्षा करना, B) तैयारी की अनदेखी करना, C) केवल शारीरिक प्रशिक्षण पर ध्यान केंद्रित करना, D) खेल योजना विकास से बचना</v>
      </c>
      <c r="I650" s="5" t="str">
        <f>IFERROR(__xludf.DUMMYFUNCTION("GOOGLETRANSLATE(D650, ""en"", ""hi"")"),"ए) एक व्यापक खेल योजना विकसित करना, प्रासंगिक कौशल का अभ्यास करना, और प्रतिद्वंद्वी रणनीतियों की समीक्षा करना")</f>
        <v>ए) एक व्यापक खेल योजना विकसित करना, प्रासंगिक कौशल का अभ्यास करना, और प्रतिद्वंद्वी रणनीतियों की समीक्षा करना</v>
      </c>
    </row>
    <row r="651" ht="22.5" customHeight="1">
      <c r="A651" s="2">
        <v>650.0</v>
      </c>
      <c r="B651" s="3" t="s">
        <v>7057</v>
      </c>
      <c r="C651" s="3" t="s">
        <v>7058</v>
      </c>
      <c r="D651" s="3" t="s">
        <v>7059</v>
      </c>
      <c r="F651" s="5" t="str">
        <f>IFERROR(__xludf.DUMMYFUNCTION("GOOGLETRANSLATE(A651, ""en"", ""hi"")"),"650")</f>
        <v>650</v>
      </c>
      <c r="G651" s="5" t="str">
        <f>IFERROR(__xludf.DUMMYFUNCTION("GOOGLETRANSLATE(B651, ""en"", ""hi"")"),"ढोल खेल में अपनी चपलता सुधारने का प्रभावी तरीका क्या है?")</f>
        <v>ढोल खेल में अपनी चपलता सुधारने का प्रभावी तरीका क्या है?</v>
      </c>
      <c r="H651" s="5" t="str">
        <f>IFERROR(__xludf.DUMMYFUNCTION("GOOGLETRANSLATE(C651, ""en"", ""hi"")"),"ए) चपलता अभ्यास और व्यायाम में संलग्न होना, बी) चपलता प्रशिक्षण की उपेक्षा करना, सी) केवल शक्ति प्रशिक्षण पर ध्यान केंद्रित करना, डी) चपलता व्यायाम से बचना")</f>
        <v>ए) चपलता अभ्यास और व्यायाम में संलग्न होना, बी) चपलता प्रशिक्षण की उपेक्षा करना, सी) केवल शक्ति प्रशिक्षण पर ध्यान केंद्रित करना, डी) चपलता व्यायाम से बचना</v>
      </c>
      <c r="I651" s="5" t="str">
        <f>IFERROR(__xludf.DUMMYFUNCTION("GOOGLETRANSLATE(D651, ""en"", ""hi"")"),"A) चपलता अभ्यास और व्यायाम में संलग्न होना")</f>
        <v>A) चपलता अभ्यास और व्यायाम में संलग्न होना</v>
      </c>
    </row>
    <row r="652" ht="22.5" customHeight="1">
      <c r="A652" s="2">
        <v>651.0</v>
      </c>
      <c r="B652" s="3" t="s">
        <v>7060</v>
      </c>
      <c r="C652" s="3" t="s">
        <v>7061</v>
      </c>
      <c r="D652" s="3" t="s">
        <v>7062</v>
      </c>
      <c r="F652" s="5" t="str">
        <f>IFERROR(__xludf.DUMMYFUNCTION("GOOGLETRANSLATE(A652, ""en"", ""hi"")"),"651")</f>
        <v>651</v>
      </c>
      <c r="G652" s="5" t="str">
        <f>IFERROR(__xludf.DUMMYFUNCTION("GOOGLETRANSLATE(B652, ""en"", ""hi"")"),"ढोल खेल में खिलाड़ी अपनी प्रतिक्रिया समय को कैसे बढ़ा सकते हैं?")</f>
        <v>ढोल खेल में खिलाड़ी अपनी प्रतिक्रिया समय को कैसे बढ़ा सकते हैं?</v>
      </c>
      <c r="H652" s="5" t="str">
        <f>IFERROR(__xludf.DUMMYFUNCTION("GOOGLETRANSLATE(C652, ""en"", ""hi"")"),"A) त्वरित रिफ्लेक्स अभ्यास का अभ्यास करके और तीव्र फोकस बनाए रखकर, B) प्रतिक्रिया समय अभ्यास की अनदेखी करके, C) केवल सहनशक्ति पर ध्यान केंद्रित करके, D) रिफ्लेक्स प्रशिक्षण से बचना")</f>
        <v>A) त्वरित रिफ्लेक्स अभ्यास का अभ्यास करके और तीव्र फोकस बनाए रखकर, B) प्रतिक्रिया समय अभ्यास की अनदेखी करके, C) केवल सहनशक्ति पर ध्यान केंद्रित करके, D) रिफ्लेक्स प्रशिक्षण से बचना</v>
      </c>
      <c r="I652" s="5" t="str">
        <f>IFERROR(__xludf.DUMMYFUNCTION("GOOGLETRANSLATE(D652, ""en"", ""hi"")"),"A) त्वरित रिफ्लेक्स अभ्यास और तीव्र फोकस बनाए रखने से")</f>
        <v>A) त्वरित रिफ्लेक्स अभ्यास और तीव्र फोकस बनाए रखने से</v>
      </c>
    </row>
    <row r="653" ht="22.5" customHeight="1">
      <c r="A653" s="2">
        <v>652.0</v>
      </c>
      <c r="B653" s="3" t="s">
        <v>7063</v>
      </c>
      <c r="C653" s="3" t="s">
        <v>7064</v>
      </c>
      <c r="D653" s="3" t="s">
        <v>7065</v>
      </c>
      <c r="F653" s="5" t="str">
        <f>IFERROR(__xludf.DUMMYFUNCTION("GOOGLETRANSLATE(A653, ""en"", ""hi"")"),"652")</f>
        <v>652</v>
      </c>
      <c r="G653" s="5" t="str">
        <f>IFERROR(__xludf.DUMMYFUNCTION("GOOGLETRANSLATE(B653, ""en"", ""hi"")"),"ढोल खेल में प्रभावी टीमवर्क का एक महत्वपूर्ण तत्व क्या है?")</f>
        <v>ढोल खेल में प्रभावी टीमवर्क का एक महत्वपूर्ण तत्व क्या है?</v>
      </c>
      <c r="H653" s="5" t="str">
        <f>IFERROR(__xludf.DUMMYFUNCTION("GOOGLETRANSLATE(C653, ""en"", ""hi"")"),"ए) स्पष्ट संचार, आपसी सम्मान और प्रत्येक खिलाड़ी की भूमिका को समझना, बी) टीम वर्क की अनदेखी करना, सी) केवल व्यक्तिगत प्रदर्शन पर ध्यान केंद्रित करना, डी) टीम समन्वय से बचना")</f>
        <v>ए) स्पष्ट संचार, आपसी सम्मान और प्रत्येक खिलाड़ी की भूमिका को समझना, बी) टीम वर्क की अनदेखी करना, सी) केवल व्यक्तिगत प्रदर्शन पर ध्यान केंद्रित करना, डी) टीम समन्वय से बचना</v>
      </c>
      <c r="I653" s="5" t="str">
        <f>IFERROR(__xludf.DUMMYFUNCTION("GOOGLETRANSLATE(D653, ""en"", ""hi"")"),"ए) स्पष्ट संचार, आपसी सम्मान और प्रत्येक खिलाड़ी की भूमिका को समझना")</f>
        <v>ए) स्पष्ट संचार, आपसी सम्मान और प्रत्येक खिलाड़ी की भूमिका को समझना</v>
      </c>
    </row>
    <row r="654" ht="22.5" customHeight="1">
      <c r="A654" s="2">
        <v>653.0</v>
      </c>
      <c r="B654" s="3" t="s">
        <v>7066</v>
      </c>
      <c r="C654" s="3" t="s">
        <v>7067</v>
      </c>
      <c r="D654" s="3" t="s">
        <v>7068</v>
      </c>
      <c r="F654" s="5" t="str">
        <f>IFERROR(__xludf.DUMMYFUNCTION("GOOGLETRANSLATE(A654, ""en"", ""hi"")"),"653")</f>
        <v>653</v>
      </c>
      <c r="G654" s="5" t="str">
        <f>IFERROR(__xludf.DUMMYFUNCTION("GOOGLETRANSLATE(B654, ""en"", ""hi"")"),"ढोल खेल में एक खिलाड़ी विभिन्न खेल परिस्थितियों के लिए प्रभावी ढंग से कैसे तैयारी कर सकता है?")</f>
        <v>ढोल खेल में एक खिलाड़ी विभिन्न खेल परिस्थितियों के लिए प्रभावी ढंग से कैसे तैयारी कर सकता है?</v>
      </c>
      <c r="H654" s="5" t="str">
        <f>IFERROR(__xludf.DUMMYFUNCTION("GOOGLETRANSLATE(C654, ""en"", ""hi"")"),"A) विभिन्न परिस्थितियों में अभ्यास करके और उसके अनुसार रणनीति अपनाकर, B) विभिन्न परिस्थितियों की अनदेखी करके, C) केवल आदर्श परिस्थितियों पर ध्यान केंद्रित करके, D) परिस्थिति-विशिष्ट अभ्यास से बचना")</f>
        <v>A) विभिन्न परिस्थितियों में अभ्यास करके और उसके अनुसार रणनीति अपनाकर, B) विभिन्न परिस्थितियों की अनदेखी करके, C) केवल आदर्श परिस्थितियों पर ध्यान केंद्रित करके, D) परिस्थिति-विशिष्ट अभ्यास से बचना</v>
      </c>
      <c r="I654" s="5" t="str">
        <f>IFERROR(__xludf.DUMMYFUNCTION("GOOGLETRANSLATE(D654, ""en"", ""hi"")"),"A) विभिन्न परिस्थितियों में अभ्यास करके और तदनुसार रणनीति अपनाकर")</f>
        <v>A) विभिन्न परिस्थितियों में अभ्यास करके और तदनुसार रणनीति अपनाकर</v>
      </c>
    </row>
    <row r="655" ht="22.5" customHeight="1">
      <c r="A655" s="2">
        <v>654.0</v>
      </c>
      <c r="B655" s="3" t="s">
        <v>7069</v>
      </c>
      <c r="C655" s="3" t="s">
        <v>7070</v>
      </c>
      <c r="D655" s="3" t="s">
        <v>7071</v>
      </c>
      <c r="F655" s="5" t="str">
        <f>IFERROR(__xludf.DUMMYFUNCTION("GOOGLETRANSLATE(A655, ""en"", ""hi"")"),"654")</f>
        <v>654</v>
      </c>
      <c r="G655" s="5" t="str">
        <f>IFERROR(__xludf.DUMMYFUNCTION("GOOGLETRANSLATE(B655, ""en"", ""hi"")"),"ढोल खेल में पूरे खेल के दौरान ऊर्जा का उच्च स्तर बनाए रखने का मुख्य कारक क्या है?")</f>
        <v>ढोल खेल में पूरे खेल के दौरान ऊर्जा का उच्च स्तर बनाए रखने का मुख्य कारक क्या है?</v>
      </c>
      <c r="H655" s="5" t="str">
        <f>IFERROR(__xludf.DUMMYFUNCTION("GOOGLETRANSLATE(C655, ""en"", ""hi"")"),"ए) उचित पोषण, जलयोजन और अपनी गति को नियंत्रित करना, बी) ऊर्जा प्रबंधन की अनदेखी करना, सी) केवल शारीरिक प्रशिक्षण पर ध्यान केंद्रित करना, डी) ऊर्जा बढ़ाने वाली रणनीतियों से बचना")</f>
        <v>ए) उचित पोषण, जलयोजन और अपनी गति को नियंत्रित करना, बी) ऊर्जा प्रबंधन की अनदेखी करना, सी) केवल शारीरिक प्रशिक्षण पर ध्यान केंद्रित करना, डी) ऊर्जा बढ़ाने वाली रणनीतियों से बचना</v>
      </c>
      <c r="I655" s="5" t="str">
        <f>IFERROR(__xludf.DUMMYFUNCTION("GOOGLETRANSLATE(D655, ""en"", ""hi"")"),"A) उचित पोषण, जलयोजन और अपनी गति पर नियंत्रण")</f>
        <v>A) उचित पोषण, जलयोजन और अपनी गति पर नियंत्रण</v>
      </c>
    </row>
    <row r="656" ht="22.5" customHeight="1">
      <c r="A656" s="2">
        <v>655.0</v>
      </c>
      <c r="B656" s="3" t="s">
        <v>7072</v>
      </c>
      <c r="C656" s="3" t="s">
        <v>7073</v>
      </c>
      <c r="D656" s="3" t="s">
        <v>7074</v>
      </c>
      <c r="F656" s="5" t="str">
        <f>IFERROR(__xludf.DUMMYFUNCTION("GOOGLETRANSLATE(A656, ""en"", ""hi"")"),"655")</f>
        <v>655</v>
      </c>
      <c r="G656" s="5" t="str">
        <f>IFERROR(__xludf.DUMMYFUNCTION("GOOGLETRANSLATE(B656, ""en"", ""hi"")"),"ढोल खेल में खेल को प्रभावित करने के लिए कोई खिलाड़ी अपनी ताकत का प्रभावी ढंग से उपयोग कैसे कर सकता है?")</f>
        <v>ढोल खेल में खेल को प्रभावित करने के लिए कोई खिलाड़ी अपनी ताकत का प्रभावी ढंग से उपयोग कैसे कर सकता है?</v>
      </c>
      <c r="H656" s="5" t="str">
        <f>IFERROR(__xludf.DUMMYFUNCTION("GOOGLETRANSLATE(C656, ""en"", ""hi"")"),"A) रणनीतिक खेल और स्थिति निर्धारण में अपनी ताकत का लाभ उठाकर, B) ताकत की अनदेखी करके, C) केवल कमजोरियों पर ध्यान केंद्रित करके, D) ताकत के उपयोग से बचना")</f>
        <v>A) रणनीतिक खेल और स्थिति निर्धारण में अपनी ताकत का लाभ उठाकर, B) ताकत की अनदेखी करके, C) केवल कमजोरियों पर ध्यान केंद्रित करके, D) ताकत के उपयोग से बचना</v>
      </c>
      <c r="I656" s="5" t="str">
        <f>IFERROR(__xludf.DUMMYFUNCTION("GOOGLETRANSLATE(D656, ""en"", ""hi"")"),"A) रणनीतिक खेल और स्थिति निर्धारण में अपनी ताकत का लाभ उठाकर")</f>
        <v>A) रणनीतिक खेल और स्थिति निर्धारण में अपनी ताकत का लाभ उठाकर</v>
      </c>
    </row>
    <row r="657" ht="22.5" customHeight="1">
      <c r="A657" s="2">
        <v>656.0</v>
      </c>
      <c r="B657" s="3" t="s">
        <v>7075</v>
      </c>
      <c r="C657" s="3" t="s">
        <v>7076</v>
      </c>
      <c r="D657" s="3" t="s">
        <v>7077</v>
      </c>
      <c r="F657" s="5" t="str">
        <f>IFERROR(__xludf.DUMMYFUNCTION("GOOGLETRANSLATE(A657, ""en"", ""hi"")"),"656")</f>
        <v>656</v>
      </c>
      <c r="G657" s="5" t="str">
        <f>IFERROR(__xludf.DUMMYFUNCTION("GOOGLETRANSLATE(B657, ""en"", ""hi"")"),"ढोल खेल में धीरज बढ़ाने के लिए प्रभावी रणनीति क्या है?")</f>
        <v>ढोल खेल में धीरज बढ़ाने के लिए प्रभावी रणनीति क्या है?</v>
      </c>
      <c r="H657" s="5" t="str">
        <f>IFERROR(__xludf.DUMMYFUNCTION("GOOGLETRANSLATE(C657, ""en"", ""hi"")"),"A) अपनी दिनचर्या में लंबी अवधि के वर्कआउट और अंतराल प्रशिक्षण को शामिल करना, B) धीरज प्रशिक्षण की अनदेखी करना, C) केवल शक्ति पर ध्यान केंद्रित करना, D) लंबी अवधि के व्यायाम से बचना")</f>
        <v>A) अपनी दिनचर्या में लंबी अवधि के वर्कआउट और अंतराल प्रशिक्षण को शामिल करना, B) धीरज प्रशिक्षण की अनदेखी करना, C) केवल शक्ति पर ध्यान केंद्रित करना, D) लंबी अवधि के व्यायाम से बचना</v>
      </c>
      <c r="I657" s="5" t="str">
        <f>IFERROR(__xludf.DUMMYFUNCTION("GOOGLETRANSLATE(D657, ""en"", ""hi"")"),"A) अपनी दिनचर्या में लंबी अवधि के वर्कआउट और अंतराल प्रशिक्षण को शामिल करना")</f>
        <v>A) अपनी दिनचर्या में लंबी अवधि के वर्कआउट और अंतराल प्रशिक्षण को शामिल करना</v>
      </c>
    </row>
    <row r="658" ht="22.5" customHeight="1">
      <c r="A658" s="2">
        <v>657.0</v>
      </c>
      <c r="B658" s="3" t="s">
        <v>7078</v>
      </c>
      <c r="C658" s="3" t="s">
        <v>7079</v>
      </c>
      <c r="D658" s="3" t="s">
        <v>7080</v>
      </c>
      <c r="F658" s="5" t="str">
        <f>IFERROR(__xludf.DUMMYFUNCTION("GOOGLETRANSLATE(A658, ""en"", ""hi"")"),"657")</f>
        <v>657</v>
      </c>
      <c r="G658" s="5" t="str">
        <f>IFERROR(__xludf.DUMMYFUNCTION("GOOGLETRANSLATE(B658, ""en"", ""hi"")"),"ढोल खेल में एक खिलाड़ी प्रभावी रूप से मानसिक लचीलापन कैसे विकसित कर सकता है?")</f>
        <v>ढोल खेल में एक खिलाड़ी प्रभावी रूप से मानसिक लचीलापन कैसे विकसित कर सकता है?</v>
      </c>
      <c r="H658" s="5" t="str">
        <f>IFERROR(__xludf.DUMMYFUNCTION("GOOGLETRANSLATE(C658, ""en"", ""hi"")"),"A) मानसिक दृढ़ता के अभ्यास, लक्ष्य निर्धारण और सकारात्मक बने रहने से, B) मानसिक लचीलेपन की अनदेखी करके, C) केवल शारीरिक कौशल पर ध्यान केंद्रित करके, D) मानसिक तैयारी से बचना")</f>
        <v>A) मानसिक दृढ़ता के अभ्यास, लक्ष्य निर्धारण और सकारात्मक बने रहने से, B) मानसिक लचीलेपन की अनदेखी करके, C) केवल शारीरिक कौशल पर ध्यान केंद्रित करके, D) मानसिक तैयारी से बचना</v>
      </c>
      <c r="I658" s="5" t="str">
        <f>IFERROR(__xludf.DUMMYFUNCTION("GOOGLETRANSLATE(D658, ""en"", ""hi"")"),"A) मानसिक दृढ़ता के अभ्यास, लक्ष्य निर्धारण और सकारात्मक बने रहने से")</f>
        <v>A) मानसिक दृढ़ता के अभ्यास, लक्ष्य निर्धारण और सकारात्मक बने रहने से</v>
      </c>
    </row>
    <row r="659" ht="22.5" customHeight="1">
      <c r="A659" s="2">
        <v>658.0</v>
      </c>
      <c r="B659" s="3" t="s">
        <v>7081</v>
      </c>
      <c r="C659" s="3" t="s">
        <v>7082</v>
      </c>
      <c r="D659" s="3" t="s">
        <v>7083</v>
      </c>
      <c r="F659" s="5" t="str">
        <f>IFERROR(__xludf.DUMMYFUNCTION("GOOGLETRANSLATE(A659, ""en"", ""hi"")"),"658")</f>
        <v>658</v>
      </c>
      <c r="G659" s="5" t="str">
        <f>IFERROR(__xludf.DUMMYFUNCTION("GOOGLETRANSLATE(B659, ""en"", ""hi"")"),"ढोल खेल में मैच के दौरान प्रभावी निर्णय लेने का महत्वपूर्ण पहलू क्या है?")</f>
        <v>ढोल खेल में मैच के दौरान प्रभावी निर्णय लेने का महत्वपूर्ण पहलू क्या है?</v>
      </c>
      <c r="H659" s="5" t="str">
        <f>IFERROR(__xludf.DUMMYFUNCTION("GOOGLETRANSLATE(C659, ""en"", ""hi"")"),"A) त्वरित सोच, खेल की गतिशीलता को समझना और विकल्पों का आकलन करना, B) निर्णय लेने की उपेक्षा करना, C) केवल भौतिक पहलुओं पर ध्यान केंद्रित करना, D) सामरिक सोच से बचना")</f>
        <v>A) त्वरित सोच, खेल की गतिशीलता को समझना और विकल्पों का आकलन करना, B) निर्णय लेने की उपेक्षा करना, C) केवल भौतिक पहलुओं पर ध्यान केंद्रित करना, D) सामरिक सोच से बचना</v>
      </c>
      <c r="I659" s="5" t="str">
        <f>IFERROR(__xludf.DUMMYFUNCTION("GOOGLETRANSLATE(D659, ""en"", ""hi"")"),"A) त्वरित सोच, खेल की गतिशीलता को समझना और विकल्पों का आकलन करना")</f>
        <v>A) त्वरित सोच, खेल की गतिशीलता को समझना और विकल्पों का आकलन करना</v>
      </c>
    </row>
    <row r="660" ht="22.5" customHeight="1">
      <c r="A660" s="2">
        <v>659.0</v>
      </c>
      <c r="B660" s="3" t="s">
        <v>6536</v>
      </c>
      <c r="C660" s="3" t="s">
        <v>7084</v>
      </c>
      <c r="D660" s="3" t="s">
        <v>7085</v>
      </c>
      <c r="F660" s="5" t="str">
        <f>IFERROR(__xludf.DUMMYFUNCTION("GOOGLETRANSLATE(A660, ""en"", ""hi"")"),"659")</f>
        <v>659</v>
      </c>
      <c r="G660" s="5" t="str">
        <f>IFERROR(__xludf.DUMMYFUNCTION("GOOGLETRANSLATE(B660, ""en"", ""hi"")"),"ढोल खेल में कोई खिलाड़ी अपनी रक्षात्मक स्थिति कैसे सुधार सकता है?")</f>
        <v>ढोल खेल में कोई खिलाड़ी अपनी रक्षात्मक स्थिति कैसे सुधार सकता है?</v>
      </c>
      <c r="H660" s="5" t="str">
        <f>IFERROR(__xludf.DUMMYFUNCTION("GOOGLETRANSLATE(C660, ""en"", ""hi"")"),"ए) पोजिशनिंग अभ्यास का अभ्यास करके, विरोधियों का अध्ययन करके, और स्थानिक जागरूकता में सुधार करके, बी) पोजिशनिंग की अनदेखी करके, सी) केवल आक्रामक कौशल पर ध्यान केंद्रित करके, डी) पोजिशनिंग अभ्यास से बचना")</f>
        <v>ए) पोजिशनिंग अभ्यास का अभ्यास करके, विरोधियों का अध्ययन करके, और स्थानिक जागरूकता में सुधार करके, बी) पोजिशनिंग की अनदेखी करके, सी) केवल आक्रामक कौशल पर ध्यान केंद्रित करके, डी) पोजिशनिंग अभ्यास से बचना</v>
      </c>
      <c r="I660" s="5" t="str">
        <f>IFERROR(__xludf.DUMMYFUNCTION("GOOGLETRANSLATE(D660, ""en"", ""hi"")"),"A) पोजिशनिंग अभ्यास, विरोधियों का अध्ययन और स्थानिक जागरूकता में सुधार करके")</f>
        <v>A) पोजिशनिंग अभ्यास, विरोधियों का अध्ययन और स्थानिक जागरूकता में सुधार करके</v>
      </c>
    </row>
    <row r="661" ht="22.5" customHeight="1">
      <c r="A661" s="2">
        <v>660.0</v>
      </c>
      <c r="B661" s="3" t="s">
        <v>7086</v>
      </c>
      <c r="C661" s="3" t="s">
        <v>7087</v>
      </c>
      <c r="D661" s="3" t="s">
        <v>7088</v>
      </c>
      <c r="F661" s="5" t="str">
        <f>IFERROR(__xludf.DUMMYFUNCTION("GOOGLETRANSLATE(A661, ""en"", ""hi"")"),"660")</f>
        <v>660</v>
      </c>
      <c r="G661" s="5" t="str">
        <f>IFERROR(__xludf.DUMMYFUNCTION("GOOGLETRANSLATE(B661, ""en"", ""hi"")"),"ढोल खेल में टीम के समन्वय को बढ़ाने का प्रभावी तरीका क्या है?")</f>
        <v>ढोल खेल में टीम के समन्वय को बढ़ाने का प्रभावी तरीका क्या है?</v>
      </c>
      <c r="H661" s="5" t="str">
        <f>IFERROR(__xludf.DUMMYFUNCTION("GOOGLETRANSLATE(C661, ""en"", ""hi"")"),"A) टीम अभ्यास में शामिल होकर, संचार में सुधार करके, और समन्वित गतिविधियों का अभ्यास करके, B) टीम समन्वय की अनदेखी करके, C) केवल व्यक्तिगत कौशल पर ध्यान केंद्रित करके, D) टीम अभ्यास से बचना")</f>
        <v>A) टीम अभ्यास में शामिल होकर, संचार में सुधार करके, और समन्वित गतिविधियों का अभ्यास करके, B) टीम समन्वय की अनदेखी करके, C) केवल व्यक्तिगत कौशल पर ध्यान केंद्रित करके, D) टीम अभ्यास से बचना</v>
      </c>
      <c r="I661" s="5" t="str">
        <f>IFERROR(__xludf.DUMMYFUNCTION("GOOGLETRANSLATE(D661, ""en"", ""hi"")"),"A) टीम अभ्यास में भाग लेकर, संचार में सुधार करके, और समन्वित गतिविधियों का अभ्यास करके")</f>
        <v>A) टीम अभ्यास में भाग लेकर, संचार में सुधार करके, और समन्वित गतिविधियों का अभ्यास करके</v>
      </c>
    </row>
    <row r="662" ht="22.5" customHeight="1">
      <c r="A662" s="2">
        <v>661.0</v>
      </c>
      <c r="B662" s="3" t="s">
        <v>7089</v>
      </c>
      <c r="C662" s="3" t="s">
        <v>7090</v>
      </c>
      <c r="D662" s="3" t="s">
        <v>7091</v>
      </c>
      <c r="F662" s="5" t="str">
        <f>IFERROR(__xludf.DUMMYFUNCTION("GOOGLETRANSLATE(A662, ""en"", ""hi"")"),"661")</f>
        <v>661</v>
      </c>
      <c r="G662" s="5" t="str">
        <f>IFERROR(__xludf.DUMMYFUNCTION("GOOGLETRANSLATE(B662, ""en"", ""hi"")"),"ढोल खेल में एक खिलाड़ी आक्रामक और रक्षात्मक जिम्मेदारियों को प्रभावी ढंग से कैसे संतुलित कर सकता है?")</f>
        <v>ढोल खेल में एक खिलाड़ी आक्रामक और रक्षात्मक जिम्मेदारियों को प्रभावी ढंग से कैसे संतुलित कर सकता है?</v>
      </c>
      <c r="H662" s="5" t="str">
        <f>IFERROR(__xludf.DUMMYFUNCTION("GOOGLETRANSLATE(C662, ""en"", ""hi"")"),"A) टीम की रणनीतियों को समझकर, ऊर्जा का प्रबंधन करके, और आवश्यकतानुसार भूमिकाओं को अनुकूलित करके, B) भूमिका संतुलन की अनदेखी करके, C) केवल एक पहलू पर ध्यान केंद्रित करके, D) भूमिका अनुकूलनशीलता से बचना")</f>
        <v>A) टीम की रणनीतियों को समझकर, ऊर्जा का प्रबंधन करके, और आवश्यकतानुसार भूमिकाओं को अनुकूलित करके, B) भूमिका संतुलन की अनदेखी करके, C) केवल एक पहलू पर ध्यान केंद्रित करके, D) भूमिका अनुकूलनशीलता से बचना</v>
      </c>
      <c r="I662" s="5" t="str">
        <f>IFERROR(__xludf.DUMMYFUNCTION("GOOGLETRANSLATE(D662, ""en"", ""hi"")"),"A) टीम की रणनीतियों को समझकर, ऊर्जा का प्रबंधन करके, और आवश्यकतानुसार भूमिकाओं को अनुकूलित करके")</f>
        <v>A) टीम की रणनीतियों को समझकर, ऊर्जा का प्रबंधन करके, और आवश्यकतानुसार भूमिकाओं को अनुकूलित करके</v>
      </c>
    </row>
    <row r="663" ht="22.5" customHeight="1">
      <c r="A663" s="2">
        <v>662.0</v>
      </c>
      <c r="B663" s="3" t="s">
        <v>7092</v>
      </c>
      <c r="C663" s="3" t="s">
        <v>7093</v>
      </c>
      <c r="D663" s="3" t="s">
        <v>7094</v>
      </c>
      <c r="F663" s="5" t="str">
        <f>IFERROR(__xludf.DUMMYFUNCTION("GOOGLETRANSLATE(A663, ""en"", ""hi"")"),"662")</f>
        <v>662</v>
      </c>
      <c r="G663" s="5" t="str">
        <f>IFERROR(__xludf.DUMMYFUNCTION("GOOGLETRANSLATE(B663, ""en"", ""hi"")"),"ढोल खेल में जीतने की रणनीति विकसित करने में महत्वपूर्ण कारक क्या है?")</f>
        <v>ढोल खेल में जीतने की रणनीति विकसित करने में महत्वपूर्ण कारक क्या है?</v>
      </c>
      <c r="H663" s="5" t="str">
        <f>IFERROR(__xludf.DUMMYFUNCTION("GOOGLETRANSLATE(C663, ""en"", ""hi"")"),"A) विरोधियों का विश्लेषण करना, टीम की ताकत का लाभ उठाना और रणनीति अपनाना, B) रणनीति विकास की अनदेखी करना, C) केवल व्यक्तिगत प्रदर्शन पर ध्यान केंद्रित करना, D) रणनीतिक योजना से बचना")</f>
        <v>A) विरोधियों का विश्लेषण करना, टीम की ताकत का लाभ उठाना और रणनीति अपनाना, B) रणनीति विकास की अनदेखी करना, C) केवल व्यक्तिगत प्रदर्शन पर ध्यान केंद्रित करना, D) रणनीतिक योजना से बचना</v>
      </c>
      <c r="I663" s="5" t="str">
        <f>IFERROR(__xludf.DUMMYFUNCTION("GOOGLETRANSLATE(D663, ""en"", ""hi"")"),"A) विरोधियों का विश्लेषण करना, टीम की ताकत का लाभ उठाना और रणनीति अपनाना")</f>
        <v>A) विरोधियों का विश्लेषण करना, टीम की ताकत का लाभ उठाना और रणनीति अपनाना</v>
      </c>
    </row>
    <row r="664" ht="22.5" customHeight="1">
      <c r="A664" s="2">
        <v>663.0</v>
      </c>
      <c r="B664" s="3" t="s">
        <v>7095</v>
      </c>
      <c r="C664" s="3" t="s">
        <v>7096</v>
      </c>
      <c r="D664" s="3" t="s">
        <v>7097</v>
      </c>
      <c r="F664" s="5" t="str">
        <f>IFERROR(__xludf.DUMMYFUNCTION("GOOGLETRANSLATE(A664, ""en"", ""hi"")"),"663")</f>
        <v>663</v>
      </c>
      <c r="G664" s="5" t="str">
        <f>IFERROR(__xludf.DUMMYFUNCTION("GOOGLETRANSLATE(B664, ""en"", ""hi"")"),"ढोल खेल में कोई खिलाड़ी अपनी गेंद-संचालन कौशल को कैसे सुधार सकता है?")</f>
        <v>ढोल खेल में कोई खिलाड़ी अपनी गेंद-संचालन कौशल को कैसे सुधार सकता है?</v>
      </c>
      <c r="H664" s="5" t="str">
        <f>IFERROR(__xludf.DUMMYFUNCTION("GOOGLETRANSLATE(C664, ""en"", ""hi"")"),"A) विभिन्न तकनीकों के साथ अभ्यास करके, सटीकता पर ध्यान केंद्रित करके, और प्रतिक्रिया प्राप्त करके, B) गेंद-संभालने के अभ्यास को अनदेखा करके, C) केवल अन्य कौशलों पर ध्यान केंद्रित करके, D) गेंद-संभालने के अभ्यास से बचना")</f>
        <v>A) विभिन्न तकनीकों के साथ अभ्यास करके, सटीकता पर ध्यान केंद्रित करके, और प्रतिक्रिया प्राप्त करके, B) गेंद-संभालने के अभ्यास को अनदेखा करके, C) केवल अन्य कौशलों पर ध्यान केंद्रित करके, D) गेंद-संभालने के अभ्यास से बचना</v>
      </c>
      <c r="I664" s="5" t="str">
        <f>IFERROR(__xludf.DUMMYFUNCTION("GOOGLETRANSLATE(D664, ""en"", ""hi"")"),"A) विभिन्न तकनीकों के साथ अभ्यास करके, सटीकता पर ध्यान केंद्रित करके, और प्रतिक्रिया प्राप्त करके")</f>
        <v>A) विभिन्न तकनीकों के साथ अभ्यास करके, सटीकता पर ध्यान केंद्रित करके, और प्रतिक्रिया प्राप्त करके</v>
      </c>
    </row>
    <row r="665" ht="22.5" customHeight="1">
      <c r="A665" s="2">
        <v>664.0</v>
      </c>
      <c r="B665" s="3" t="s">
        <v>7098</v>
      </c>
      <c r="C665" s="3" t="s">
        <v>7099</v>
      </c>
      <c r="D665" s="3" t="s">
        <v>7100</v>
      </c>
      <c r="F665" s="5" t="str">
        <f>IFERROR(__xludf.DUMMYFUNCTION("GOOGLETRANSLATE(A665, ""en"", ""hi"")"),"664")</f>
        <v>664</v>
      </c>
      <c r="G665" s="5" t="str">
        <f>IFERROR(__xludf.DUMMYFUNCTION("GOOGLETRANSLATE(B665, ""en"", ""hi"")"),"ढोल खेल के दौरान संचार को बढ़ाने के लिए प्रभावी तरीका क्या है?")</f>
        <v>ढोल खेल के दौरान संचार को बढ़ाने के लिए प्रभावी तरीका क्या है?</v>
      </c>
      <c r="H665" s="5" t="str">
        <f>IFERROR(__xludf.DUMMYFUNCTION("GOOGLETRANSLATE(C665, ""en"", ""hi"")"),"A) स्पष्ट संकेतों का उपयोग करके, आँखों में आँख डालकर संपर्क बनाए रखकर, और बार-बार बात करके, B) संचार को अनदेखा करके, C) केवल गैर-मौखिक संकेतों पर ध्यान केंद्रित करके, D) संचार से बचना")</f>
        <v>A) स्पष्ट संकेतों का उपयोग करके, आँखों में आँख डालकर संपर्क बनाए रखकर, और बार-बार बात करके, B) संचार को अनदेखा करके, C) केवल गैर-मौखिक संकेतों पर ध्यान केंद्रित करके, D) संचार से बचना</v>
      </c>
      <c r="I665" s="5" t="str">
        <f>IFERROR(__xludf.DUMMYFUNCTION("GOOGLETRANSLATE(D665, ""en"", ""hi"")"),"A) स्पष्ट संकेतों का उपयोग करके, आँखों का संपर्क बनाए रखकर, और बार-बार बात करके")</f>
        <v>A) स्पष्ट संकेतों का उपयोग करके, आँखों का संपर्क बनाए रखकर, और बार-बार बात करके</v>
      </c>
    </row>
    <row r="666" ht="22.5" customHeight="1">
      <c r="A666" s="2">
        <v>665.0</v>
      </c>
      <c r="B666" s="3" t="s">
        <v>7101</v>
      </c>
      <c r="C666" s="3" t="s">
        <v>7102</v>
      </c>
      <c r="D666" s="3" t="s">
        <v>7103</v>
      </c>
      <c r="F666" s="5" t="str">
        <f>IFERROR(__xludf.DUMMYFUNCTION("GOOGLETRANSLATE(A666, ""en"", ""hi"")"),"665")</f>
        <v>665</v>
      </c>
      <c r="G666" s="5" t="str">
        <f>IFERROR(__xludf.DUMMYFUNCTION("GOOGLETRANSLATE(B666, ""en"", ""hi"")"),"ढोल खेल में खेल के दौरान कोई खिलाड़ी अपने समय का प्रभावी प्रबंधन कैसे कर सकता है?")</f>
        <v>ढोल खेल में खेल के दौरान कोई खिलाड़ी अपने समय का प्रभावी प्रबंधन कैसे कर सकता है?</v>
      </c>
      <c r="H666" s="5" t="str">
        <f>IFERROR(__xludf.DUMMYFUNCTION("GOOGLETRANSLATE(C666, ""en"", ""hi"")"),"A) प्रमुख कार्यों को प्राथमिकता देकर, गति का प्रबंधन करके, और रणनीतिक निर्णय लेकर, B) समय प्रबंधन की अनदेखी करके, C) केवल तात्कालिक कार्यों पर ध्यान केंद्रित करके, D) समय प्रबंधन रणनीतियों से बचना")</f>
        <v>A) प्रमुख कार्यों को प्राथमिकता देकर, गति का प्रबंधन करके, और रणनीतिक निर्णय लेकर, B) समय प्रबंधन की अनदेखी करके, C) केवल तात्कालिक कार्यों पर ध्यान केंद्रित करके, D) समय प्रबंधन रणनीतियों से बचना</v>
      </c>
      <c r="I666" s="5" t="str">
        <f>IFERROR(__xludf.DUMMYFUNCTION("GOOGLETRANSLATE(D666, ""en"", ""hi"")"),"A) प्रमुख कार्यों को प्राथमिकता देकर, गति का प्रबंधन करके, और रणनीतिक निर्णय लेकर")</f>
        <v>A) प्रमुख कार्यों को प्राथमिकता देकर, गति का प्रबंधन करके, और रणनीतिक निर्णय लेकर</v>
      </c>
    </row>
    <row r="667" ht="22.5" customHeight="1">
      <c r="A667" s="2">
        <v>666.0</v>
      </c>
      <c r="B667" s="3" t="s">
        <v>7104</v>
      </c>
      <c r="C667" s="3" t="s">
        <v>7105</v>
      </c>
      <c r="D667" s="3" t="s">
        <v>7106</v>
      </c>
      <c r="F667" s="5" t="str">
        <f>IFERROR(__xludf.DUMMYFUNCTION("GOOGLETRANSLATE(A667, ""en"", ""hi"")"),"666")</f>
        <v>666</v>
      </c>
      <c r="G667" s="5" t="str">
        <f>IFERROR(__xludf.DUMMYFUNCTION("GOOGLETRANSLATE(B667, ""en"", ""hi"")"),"ढोल खेल में प्रभावी शारीरिक कंडीशनिंग का महत्वपूर्ण तत्व क्या है?")</f>
        <v>ढोल खेल में प्रभावी शारीरिक कंडीशनिंग का महत्वपूर्ण तत्व क्या है?</v>
      </c>
      <c r="H667" s="5" t="str">
        <f>IFERROR(__xludf.DUMMYFUNCTION("GOOGLETRANSLATE(C667, ""en"", ""hi"")"),"A) अपनी दिनचर्या में शक्ति, चपलता और सहनशक्ति प्रशिक्षण को शामिल करना, B) शारीरिक कंडीशनिंग की अनदेखी करना, C) केवल कौशल अभ्यास पर ध्यान केंद्रित करना, D) कंडीशनिंग अभ्यास से बचना")</f>
        <v>A) अपनी दिनचर्या में शक्ति, चपलता और सहनशक्ति प्रशिक्षण को शामिल करना, B) शारीरिक कंडीशनिंग की अनदेखी करना, C) केवल कौशल अभ्यास पर ध्यान केंद्रित करना, D) कंडीशनिंग अभ्यास से बचना</v>
      </c>
      <c r="I667" s="5" t="str">
        <f>IFERROR(__xludf.DUMMYFUNCTION("GOOGLETRANSLATE(D667, ""en"", ""hi"")"),"क) अपनी दिनचर्या में शक्ति, चपलता और सहनशक्ति प्रशिक्षण को शामिल करना")</f>
        <v>क) अपनी दिनचर्या में शक्ति, चपलता और सहनशक्ति प्रशिक्षण को शामिल करना</v>
      </c>
    </row>
    <row r="668" ht="22.5" customHeight="1">
      <c r="A668" s="2">
        <v>667.0</v>
      </c>
      <c r="B668" s="3" t="s">
        <v>7107</v>
      </c>
      <c r="C668" s="3" t="s">
        <v>7108</v>
      </c>
      <c r="D668" s="3" t="s">
        <v>7109</v>
      </c>
      <c r="F668" s="5" t="str">
        <f>IFERROR(__xludf.DUMMYFUNCTION("GOOGLETRANSLATE(A668, ""en"", ""hi"")"),"667")</f>
        <v>667</v>
      </c>
      <c r="G668" s="5" t="str">
        <f>IFERROR(__xludf.DUMMYFUNCTION("GOOGLETRANSLATE(B668, ""en"", ""hi"")"),"ढोल खेल में सुधार के लिए कोई खिलाड़ी कोचों से प्राप्त फीडबैक का प्रभावी ढंग से उपयोग कैसे कर सकता है?")</f>
        <v>ढोल खेल में सुधार के लिए कोई खिलाड़ी कोचों से प्राप्त फीडबैक का प्रभावी ढंग से उपयोग कैसे कर सकता है?</v>
      </c>
      <c r="H668" s="5" t="str">
        <f>IFERROR(__xludf.DUMMYFUNCTION("GOOGLETRANSLATE(C668, ""en"", ""hi"")"),"A) सक्रिय रूप से सुनकर, सुझावों को लागू करके और अतिरिक्त मार्गदर्शन प्राप्त करके, B) फीडबैक को अनदेखा करके, C) केवल आत्म-मूल्यांकन पर ध्यान केंद्रित करके, D) कोच के इनपुट से बचना")</f>
        <v>A) सक्रिय रूप से सुनकर, सुझावों को लागू करके और अतिरिक्त मार्गदर्शन प्राप्त करके, B) फीडबैक को अनदेखा करके, C) केवल आत्म-मूल्यांकन पर ध्यान केंद्रित करके, D) कोच के इनपुट से बचना</v>
      </c>
      <c r="I668" s="5" t="str">
        <f>IFERROR(__xludf.DUMMYFUNCTION("GOOGLETRANSLATE(D668, ""en"", ""hi"")"),"A) सक्रिय रूप से सुनकर, सुझावों को लागू करके, और अतिरिक्त मार्गदर्शन प्राप्त करके")</f>
        <v>A) सक्रिय रूप से सुनकर, सुझावों को लागू करके, और अतिरिक्त मार्गदर्शन प्राप्त करके</v>
      </c>
    </row>
    <row r="669" ht="22.5" customHeight="1">
      <c r="A669" s="2">
        <v>668.0</v>
      </c>
      <c r="B669" s="3" t="s">
        <v>7110</v>
      </c>
      <c r="C669" s="3" t="s">
        <v>7111</v>
      </c>
      <c r="D669" s="3" t="s">
        <v>7112</v>
      </c>
      <c r="F669" s="5" t="str">
        <f>IFERROR(__xludf.DUMMYFUNCTION("GOOGLETRANSLATE(A669, ""en"", ""hi"")"),"668")</f>
        <v>668</v>
      </c>
      <c r="G669" s="5" t="str">
        <f>IFERROR(__xludf.DUMMYFUNCTION("GOOGLETRANSLATE(B669, ""en"", ""hi"")"),"ढोल खेल में अभ्यास सत्र के दौरान टीम वर्क को बढ़ाने का प्रभावी तरीका क्या है?")</f>
        <v>ढोल खेल में अभ्यास सत्र के दौरान टीम वर्क को बढ़ाने का प्रभावी तरीका क्या है?</v>
      </c>
      <c r="H669" s="5" t="str">
        <f>IFERROR(__xludf.DUMMYFUNCTION("GOOGLETRANSLATE(C669, ""en"", ""hi"")"),"A) टीम-निर्माण अभ्यासों में शामिल होकर, सहयोगात्मक अभ्यासों का अभ्यास करके, और आपसी सहयोग को बढ़ावा देकर, B) टीमवर्क की अनदेखी करके, C) केवल व्यक्तिगत कौशल पर ध्यान केंद्रित करके, D) टीम अभ्यास से बचना")</f>
        <v>A) टीम-निर्माण अभ्यासों में शामिल होकर, सहयोगात्मक अभ्यासों का अभ्यास करके, और आपसी सहयोग को बढ़ावा देकर, B) टीमवर्क की अनदेखी करके, C) केवल व्यक्तिगत कौशल पर ध्यान केंद्रित करके, D) टीम अभ्यास से बचना</v>
      </c>
      <c r="I669" s="5" t="str">
        <f>IFERROR(__xludf.DUMMYFUNCTION("GOOGLETRANSLATE(D669, ""en"", ""hi"")"),"ए) टीम-निर्माण अभ्यासों में शामिल होकर, सहयोगात्मक अभ्यास करके, और आपसी सहयोग को बढ़ावा देकर")</f>
        <v>ए) टीम-निर्माण अभ्यासों में शामिल होकर, सहयोगात्मक अभ्यास करके, और आपसी सहयोग को बढ़ावा देकर</v>
      </c>
    </row>
    <row r="670" ht="22.5" customHeight="1">
      <c r="A670" s="2">
        <v>669.0</v>
      </c>
      <c r="B670" s="3" t="s">
        <v>7113</v>
      </c>
      <c r="C670" s="3" t="s">
        <v>7114</v>
      </c>
      <c r="D670" s="3" t="s">
        <v>7115</v>
      </c>
      <c r="F670" s="5" t="str">
        <f>IFERROR(__xludf.DUMMYFUNCTION("GOOGLETRANSLATE(A670, ""en"", ""hi"")"),"669")</f>
        <v>669</v>
      </c>
      <c r="G670" s="5" t="str">
        <f>IFERROR(__xludf.DUMMYFUNCTION("GOOGLETRANSLATE(B670, ""en"", ""hi"")"),"ढोल खेल में दबाव की स्थिति में खिलाड़ी अपनी निर्णय लेने की क्षमता कैसे सुधार सकते हैं?")</f>
        <v>ढोल खेल में दबाव की स्थिति में खिलाड़ी अपनी निर्णय लेने की क्षमता कैसे सुधार सकते हैं?</v>
      </c>
      <c r="H670" s="5" t="str">
        <f>IFERROR(__xludf.DUMMYFUNCTION("GOOGLETRANSLATE(C670, ""en"", ""hi"")"),"A) उच्च दबाव वाले परिदृश्यों का अभ्यास करके, शांत रहकर, और विकल्पों का शीघ्रता से विश्लेषण करके, B) दबाव की स्थितियों को अनदेखा करके, C) केवल आराम की स्थितियों पर ध्यान केंद्रित करके, D) दबाव अभ्यास से बचना")</f>
        <v>A) उच्च दबाव वाले परिदृश्यों का अभ्यास करके, शांत रहकर, और विकल्पों का शीघ्रता से विश्लेषण करके, B) दबाव की स्थितियों को अनदेखा करके, C) केवल आराम की स्थितियों पर ध्यान केंद्रित करके, D) दबाव अभ्यास से बचना</v>
      </c>
      <c r="I670" s="5" t="str">
        <f>IFERROR(__xludf.DUMMYFUNCTION("GOOGLETRANSLATE(D670, ""en"", ""hi"")"),"A) उच्च दबाव वाले परिदृश्यों का अभ्यास करके, शांत रहकर, और विकल्पों का शीघ्रता से विश्लेषण करके")</f>
        <v>A) उच्च दबाव वाले परिदृश्यों का अभ्यास करके, शांत रहकर, और विकल्पों का शीघ्रता से विश्लेषण करके</v>
      </c>
    </row>
    <row r="671" ht="22.5" customHeight="1">
      <c r="A671" s="2">
        <v>670.0</v>
      </c>
      <c r="B671" s="3" t="s">
        <v>7116</v>
      </c>
      <c r="C671" s="3" t="s">
        <v>7117</v>
      </c>
      <c r="D671" s="3" t="s">
        <v>7118</v>
      </c>
      <c r="F671" s="5" t="str">
        <f>IFERROR(__xludf.DUMMYFUNCTION("GOOGLETRANSLATE(A671, ""en"", ""hi"")"),"670")</f>
        <v>670</v>
      </c>
      <c r="G671" s="5" t="str">
        <f>IFERROR(__xludf.DUMMYFUNCTION("GOOGLETRANSLATE(B671, ""en"", ""hi"")"),"ढोल खेल में धीरज सुधारने के लिए मुख्य रणनीति क्या है?")</f>
        <v>ढोल खेल में धीरज सुधारने के लिए मुख्य रणनीति क्या है?</v>
      </c>
      <c r="H671" s="5" t="str">
        <f>IFERROR(__xludf.DUMMYFUNCTION("GOOGLETRANSLATE(C671, ""en"", ""hi"")"),"ए) अंतराल प्रशिक्षण लागू करना, एरोबिक व्यायाम पर ध्यान केंद्रित करना, और धीरे-धीरे तीव्रता बढ़ाना, बी) धीरज प्रशिक्षण की अनदेखी करना, सी) केवल ताकत पर ध्यान केंद्रित करना, डी) एरोबिक व्यायाम से बचना")</f>
        <v>ए) अंतराल प्रशिक्षण लागू करना, एरोबिक व्यायाम पर ध्यान केंद्रित करना, और धीरे-धीरे तीव्रता बढ़ाना, बी) धीरज प्रशिक्षण की अनदेखी करना, सी) केवल ताकत पर ध्यान केंद्रित करना, डी) एरोबिक व्यायाम से बचना</v>
      </c>
      <c r="I671" s="5" t="str">
        <f>IFERROR(__xludf.DUMMYFUNCTION("GOOGLETRANSLATE(D671, ""en"", ""hi"")"),"ए) अंतराल प्रशिक्षण लागू करना, एरोबिक व्यायाम पर ध्यान केंद्रित करना, और धीरे-धीरे तीव्रता बढ़ाना")</f>
        <v>ए) अंतराल प्रशिक्षण लागू करना, एरोबिक व्यायाम पर ध्यान केंद्रित करना, और धीरे-धीरे तीव्रता बढ़ाना</v>
      </c>
    </row>
    <row r="672" ht="22.5" customHeight="1">
      <c r="A672" s="2">
        <v>671.0</v>
      </c>
      <c r="B672" s="3" t="s">
        <v>7119</v>
      </c>
      <c r="C672" s="3" t="s">
        <v>7120</v>
      </c>
      <c r="D672" s="3" t="s">
        <v>7121</v>
      </c>
      <c r="F672" s="5" t="str">
        <f>IFERROR(__xludf.DUMMYFUNCTION("GOOGLETRANSLATE(A672, ""en"", ""hi"")"),"671")</f>
        <v>671</v>
      </c>
      <c r="G672" s="5" t="str">
        <f>IFERROR(__xludf.DUMMYFUNCTION("GOOGLETRANSLATE(B672, ""en"", ""hi"")"),"ढोल खेल में कोई खिलाड़ी अपनी आक्रामक रणनीति को प्रभावी ढंग से कैसे विकसित कर सकता है?")</f>
        <v>ढोल खेल में कोई खिलाड़ी अपनी आक्रामक रणनीति को प्रभावी ढंग से कैसे विकसित कर सकता है?</v>
      </c>
      <c r="H672" s="5" t="str">
        <f>IFERROR(__xludf.DUMMYFUNCTION("GOOGLETRANSLATE(C672, ""en"", ""hi"")"),"A) सफल रणनीतियों का अध्ययन करके, विभिन्न खेलों का अभ्यास करके, और विरोधियों की कमजोरियों को समझकर, B) आक्रामक रणनीतियों की अनदेखी करके, C) केवल रक्षात्मक कौशल पर ध्यान केंद्रित करके, D) रणनीतिक अभ्यास से बचना")</f>
        <v>A) सफल रणनीतियों का अध्ययन करके, विभिन्न खेलों का अभ्यास करके, और विरोधियों की कमजोरियों को समझकर, B) आक्रामक रणनीतियों की अनदेखी करके, C) केवल रक्षात्मक कौशल पर ध्यान केंद्रित करके, D) रणनीतिक अभ्यास से बचना</v>
      </c>
      <c r="I672" s="5" t="str">
        <f>IFERROR(__xludf.DUMMYFUNCTION("GOOGLETRANSLATE(D672, ""en"", ""hi"")"),"A) सफल रणनीतियों का अध्ययन करके, विभिन्न खेलों का अभ्यास करके, और विरोधियों की कमजोरियों को समझकर")</f>
        <v>A) सफल रणनीतियों का अध्ययन करके, विभिन्न खेलों का अभ्यास करके, और विरोधियों की कमजोरियों को समझकर</v>
      </c>
    </row>
    <row r="673" ht="22.5" customHeight="1">
      <c r="A673" s="2">
        <v>672.0</v>
      </c>
      <c r="B673" s="3" t="s">
        <v>7122</v>
      </c>
      <c r="C673" s="3" t="s">
        <v>7123</v>
      </c>
      <c r="D673" s="3" t="s">
        <v>7124</v>
      </c>
      <c r="F673" s="5" t="str">
        <f>IFERROR(__xludf.DUMMYFUNCTION("GOOGLETRANSLATE(A673, ""en"", ""hi"")"),"672")</f>
        <v>672</v>
      </c>
      <c r="G673" s="5" t="str">
        <f>IFERROR(__xludf.DUMMYFUNCTION("GOOGLETRANSLATE(B673, ""en"", ""hi"")"),"ढोल खेल में अपनी शारीरिक चपलता को बेहतर बनाने का प्रभावी तरीका क्या है?")</f>
        <v>ढोल खेल में अपनी शारीरिक चपलता को बेहतर बनाने का प्रभावी तरीका क्या है?</v>
      </c>
      <c r="H673" s="5" t="str">
        <f>IFERROR(__xludf.DUMMYFUNCTION("GOOGLETRANSLATE(C673, ""en"", ""hi"")"),"ए) चपलता अभ्यास करके, त्वरित फुटवर्क अभ्यास में संलग्न होकर, और गतिशील आंदोलनों का अभ्यास करके, बी) चपलता प्रशिक्षण की अनदेखी करके, सी) केवल ताकत पर ध्यान केंद्रित करके, डी) चपलता अभ्यास से बचना")</f>
        <v>ए) चपलता अभ्यास करके, त्वरित फुटवर्क अभ्यास में संलग्न होकर, और गतिशील आंदोलनों का अभ्यास करके, बी) चपलता प्रशिक्षण की अनदेखी करके, सी) केवल ताकत पर ध्यान केंद्रित करके, डी) चपलता अभ्यास से बचना</v>
      </c>
      <c r="I673" s="5" t="str">
        <f>IFERROR(__xludf.DUMMYFUNCTION("GOOGLETRANSLATE(D673, ""en"", ""hi"")"),"ए) चपलता अभ्यास करके, त्वरित फुटवर्क अभ्यास करके, और गतिशील गतिविधियों का अभ्यास करके")</f>
        <v>ए) चपलता अभ्यास करके, त्वरित फुटवर्क अभ्यास करके, और गतिशील गतिविधियों का अभ्यास करके</v>
      </c>
    </row>
    <row r="674" ht="22.5" customHeight="1">
      <c r="A674" s="2">
        <v>673.0</v>
      </c>
      <c r="B674" s="3" t="s">
        <v>7125</v>
      </c>
      <c r="C674" s="3" t="s">
        <v>7126</v>
      </c>
      <c r="D674" s="3" t="s">
        <v>7127</v>
      </c>
      <c r="F674" s="5" t="str">
        <f>IFERROR(__xludf.DUMMYFUNCTION("GOOGLETRANSLATE(A674, ""en"", ""hi"")"),"673")</f>
        <v>673</v>
      </c>
      <c r="G674" s="5" t="str">
        <f>IFERROR(__xludf.DUMMYFUNCTION("GOOGLETRANSLATE(B674, ""en"", ""hi"")"),"ढोल खेल टूर्नामेंट के दौरान कोई खिलाड़ी अपने प्रदर्शन को प्रभावी ढंग से कैसे प्रबंधित कर सकता है?")</f>
        <v>ढोल खेल टूर्नामेंट के दौरान कोई खिलाड़ी अपने प्रदर्शन को प्रभावी ढंग से कैसे प्रबंधित कर सकता है?</v>
      </c>
      <c r="H674" s="5" t="str">
        <f>IFERROR(__xludf.DUMMYFUNCTION("GOOGLETRANSLATE(C674, ""en"", ""hi"")"),"A) प्रशिक्षण, आराम और पोषण के प्रति संतुलित दृष्टिकोण बनाए रखना, B) प्रदर्शन प्रबंधन की अनदेखी करना, C) केवल व्यक्तिगत घटनाओं पर ध्यान केंद्रित करना, D) संतुलित दृष्टिकोण से बचना")</f>
        <v>A) प्रशिक्षण, आराम और पोषण के प्रति संतुलित दृष्टिकोण बनाए रखना, B) प्रदर्शन प्रबंधन की अनदेखी करना, C) केवल व्यक्तिगत घटनाओं पर ध्यान केंद्रित करना, D) संतुलित दृष्टिकोण से बचना</v>
      </c>
      <c r="I674" s="5" t="str">
        <f>IFERROR(__xludf.DUMMYFUNCTION("GOOGLETRANSLATE(D674, ""en"", ""hi"")"),"A) प्रशिक्षण, आराम और पोषण के प्रति संतुलित दृष्टिकोण बनाए रखकर")</f>
        <v>A) प्रशिक्षण, आराम और पोषण के प्रति संतुलित दृष्टिकोण बनाए रखकर</v>
      </c>
    </row>
    <row r="675" ht="22.5" customHeight="1">
      <c r="A675" s="2">
        <v>674.0</v>
      </c>
      <c r="B675" s="3" t="s">
        <v>7128</v>
      </c>
      <c r="C675" s="3" t="s">
        <v>7129</v>
      </c>
      <c r="D675" s="3" t="s">
        <v>7130</v>
      </c>
      <c r="F675" s="5" t="str">
        <f>IFERROR(__xludf.DUMMYFUNCTION("GOOGLETRANSLATE(A675, ""en"", ""hi"")"),"674")</f>
        <v>674</v>
      </c>
      <c r="G675" s="5" t="str">
        <f>IFERROR(__xludf.DUMMYFUNCTION("GOOGLETRANSLATE(B675, ""en"", ""hi"")"),"ढोल खेल में उच्च दांव वाले मैच की तैयारी का महत्वपूर्ण पहलू क्या है?")</f>
        <v>ढोल खेल में उच्च दांव वाले मैच की तैयारी का महत्वपूर्ण पहलू क्या है?</v>
      </c>
      <c r="H675" s="5" t="str">
        <f>IFERROR(__xludf.DUMMYFUNCTION("GOOGLETRANSLATE(C675, ""en"", ""hi"")"),"A) प्रतिद्वंद्वियों का विश्लेषण करना, रणनीतियों को परिष्कृत करना और मानसिक तत्परता सुनिश्चित करना, B) तैयारी की अनदेखी करना, C) केवल शारीरिक अभ्यास पर ध्यान केंद्रित करना, D) मैच-पूर्व तैयारी से बचना")</f>
        <v>A) प्रतिद्वंद्वियों का विश्लेषण करना, रणनीतियों को परिष्कृत करना और मानसिक तत्परता सुनिश्चित करना, B) तैयारी की अनदेखी करना, C) केवल शारीरिक अभ्यास पर ध्यान केंद्रित करना, D) मैच-पूर्व तैयारी से बचना</v>
      </c>
      <c r="I675" s="5" t="str">
        <f>IFERROR(__xludf.DUMMYFUNCTION("GOOGLETRANSLATE(D675, ""en"", ""hi"")"),"ए) विरोधियों का विश्लेषण करना, रणनीतियों को परिष्कृत करना और मानसिक तत्परता सुनिश्चित करना")</f>
        <v>ए) विरोधियों का विश्लेषण करना, रणनीतियों को परिष्कृत करना और मानसिक तत्परता सुनिश्चित करना</v>
      </c>
    </row>
    <row r="676" ht="22.5" customHeight="1">
      <c r="A676" s="2">
        <v>675.0</v>
      </c>
      <c r="B676" s="3" t="s">
        <v>7131</v>
      </c>
      <c r="C676" s="3" t="s">
        <v>7132</v>
      </c>
      <c r="D676" s="3" t="s">
        <v>7133</v>
      </c>
      <c r="F676" s="5" t="str">
        <f>IFERROR(__xludf.DUMMYFUNCTION("GOOGLETRANSLATE(A676, ""en"", ""hi"")"),"675")</f>
        <v>675</v>
      </c>
      <c r="G676" s="5" t="str">
        <f>IFERROR(__xludf.DUMMYFUNCTION("GOOGLETRANSLATE(B676, ""en"", ""hi"")"),"ढोल खेल में एक खिलाड़ी आराम और प्रशिक्षण के बीच प्रभावी संतुलन कैसे बना सकता है?")</f>
        <v>ढोल खेल में एक खिलाड़ी आराम और प्रशिक्षण के बीच प्रभावी संतुलन कैसे बना सकता है?</v>
      </c>
      <c r="H676" s="5" t="str">
        <f>IFERROR(__xludf.DUMMYFUNCTION("GOOGLETRANSLATE(C676, ""en"", ""hi"")"),"A) आराम के दिन निर्धारित करके, कार्यभार की निगरानी करके, और प्रशिक्षण की तीव्रता को समायोजित करके, B) आराम की उपेक्षा करके, C) केवल प्रशिक्षण पर ध्यान केंद्रित करके, D) आराम के दिन टालकर")</f>
        <v>A) आराम के दिन निर्धारित करके, कार्यभार की निगरानी करके, और प्रशिक्षण की तीव्रता को समायोजित करके, B) आराम की उपेक्षा करके, C) केवल प्रशिक्षण पर ध्यान केंद्रित करके, D) आराम के दिन टालकर</v>
      </c>
      <c r="I676" s="5" t="str">
        <f>IFERROR(__xludf.DUMMYFUNCTION("GOOGLETRANSLATE(D676, ""en"", ""hi"")"),"A) आराम के दिनों का निर्धारण करके, कार्यभार की निगरानी करके और प्रशिक्षण की तीव्रता को समायोजित करके")</f>
        <v>A) आराम के दिनों का निर्धारण करके, कार्यभार की निगरानी करके और प्रशिक्षण की तीव्रता को समायोजित करके</v>
      </c>
    </row>
    <row r="677" ht="22.5" customHeight="1">
      <c r="A677" s="2">
        <v>676.0</v>
      </c>
      <c r="B677" s="3" t="s">
        <v>7134</v>
      </c>
      <c r="C677" s="3" t="s">
        <v>7135</v>
      </c>
      <c r="D677" s="3" t="s">
        <v>7136</v>
      </c>
      <c r="F677" s="5" t="str">
        <f>IFERROR(__xludf.DUMMYFUNCTION("GOOGLETRANSLATE(A677, ""en"", ""hi"")"),"676")</f>
        <v>676</v>
      </c>
      <c r="G677" s="5" t="str">
        <f>IFERROR(__xludf.DUMMYFUNCTION("GOOGLETRANSLATE(B677, ""en"", ""hi"")"),"ढोल खेल के दौरान ध्यान बनाए रखने में महत्वपूर्ण कारक क्या है?")</f>
        <v>ढोल खेल के दौरान ध्यान बनाए रखने में महत्वपूर्ण कारक क्या है?</v>
      </c>
      <c r="H677" s="5" t="str">
        <f>IFERROR(__xludf.DUMMYFUNCTION("GOOGLETRANSLATE(C677, ""en"", ""hi"")"),"A) स्पष्ट लक्ष्य निर्धारित करना, मानसिक रूप से व्यस्त रहना और ध्यान भटकाने वाली चीजों से बचना, B) फोकस को नजरअंदाज करना, C) केवल शारीरिक पहलुओं पर ध्यान केंद्रित करना, D) लक्ष्य निर्धारण से बचना")</f>
        <v>A) स्पष्ट लक्ष्य निर्धारित करना, मानसिक रूप से व्यस्त रहना और ध्यान भटकाने वाली चीजों से बचना, B) फोकस को नजरअंदाज करना, C) केवल शारीरिक पहलुओं पर ध्यान केंद्रित करना, D) लक्ष्य निर्धारण से बचना</v>
      </c>
      <c r="I677" s="5" t="str">
        <f>IFERROR(__xludf.DUMMYFUNCTION("GOOGLETRANSLATE(D677, ""en"", ""hi"")"),"A) स्पष्ट लक्ष्य निर्धारित करना, मानसिक रूप से व्यस्त रहना और ध्यान भटकाने वाली चीजों से बचना")</f>
        <v>A) स्पष्ट लक्ष्य निर्धारित करना, मानसिक रूप से व्यस्त रहना और ध्यान भटकाने वाली चीजों से बचना</v>
      </c>
    </row>
    <row r="678" ht="22.5" customHeight="1">
      <c r="A678" s="2">
        <v>677.0</v>
      </c>
      <c r="B678" s="3" t="s">
        <v>7137</v>
      </c>
      <c r="C678" s="3" t="s">
        <v>7138</v>
      </c>
      <c r="D678" s="3" t="s">
        <v>7139</v>
      </c>
      <c r="F678" s="5" t="str">
        <f>IFERROR(__xludf.DUMMYFUNCTION("GOOGLETRANSLATE(A678, ""en"", ""hi"")"),"677")</f>
        <v>677</v>
      </c>
      <c r="G678" s="5" t="str">
        <f>IFERROR(__xludf.DUMMYFUNCTION("GOOGLETRANSLATE(B678, ""en"", ""hi"")"),"ढोल खेल में मैच के बाद कोई खिलाड़ी अपने प्रदर्शन का प्रभावी ढंग से विश्लेषण कैसे कर सकता है?")</f>
        <v>ढोल खेल में मैच के बाद कोई खिलाड़ी अपने प्रदर्शन का प्रभावी ढंग से विश्लेषण कैसे कर सकता है?</v>
      </c>
      <c r="H678" s="5" t="str">
        <f>IFERROR(__xludf.DUMMYFUNCTION("GOOGLETRANSLATE(C678, ""en"", ""hi"")"),"ए) खेल फुटेज की समीक्षा करके, ताकत और कमजोरियों का आकलन करके, और कोचों के साथ चर्चा करके, बी) प्रदर्शन विश्लेषण की अनदेखी करके, सी) केवल जीतने पर ध्यान केंद्रित करके, डी) मैच के बाद की समीक्षा से बचना")</f>
        <v>ए) खेल फुटेज की समीक्षा करके, ताकत और कमजोरियों का आकलन करके, और कोचों के साथ चर्चा करके, बी) प्रदर्शन विश्लेषण की अनदेखी करके, सी) केवल जीतने पर ध्यान केंद्रित करके, डी) मैच के बाद की समीक्षा से बचना</v>
      </c>
      <c r="I678" s="5" t="str">
        <f>IFERROR(__xludf.DUMMYFUNCTION("GOOGLETRANSLATE(D678, ""en"", ""hi"")"),"ए) खेल फुटेज की समीक्षा करके, ताकत और कमजोरियों का आकलन करके, और कोचों के साथ चर्चा करके")</f>
        <v>ए) खेल फुटेज की समीक्षा करके, ताकत और कमजोरियों का आकलन करके, और कोचों के साथ चर्चा करके</v>
      </c>
    </row>
    <row r="679" ht="22.5" customHeight="1">
      <c r="A679" s="2">
        <v>678.0</v>
      </c>
      <c r="B679" s="3" t="s">
        <v>7140</v>
      </c>
      <c r="C679" s="3" t="s">
        <v>7141</v>
      </c>
      <c r="D679" s="3" t="s">
        <v>7142</v>
      </c>
      <c r="F679" s="5" t="str">
        <f>IFERROR(__xludf.DUMMYFUNCTION("GOOGLETRANSLATE(A679, ""en"", ""hi"")"),"678")</f>
        <v>678</v>
      </c>
      <c r="G679" s="5" t="str">
        <f>IFERROR(__xludf.DUMMYFUNCTION("GOOGLETRANSLATE(B679, ""en"", ""hi"")"),"ढोल खेल में प्रभावी टीम केमिस्ट्री बनाने में मुख्य कारक क्या है?")</f>
        <v>ढोल खेल में प्रभावी टीम केमिस्ट्री बनाने में मुख्य कारक क्या है?</v>
      </c>
      <c r="H679" s="5" t="str">
        <f>IFERROR(__xludf.DUMMYFUNCTION("GOOGLETRANSLATE(C679, ""en"", ""hi"")"),"ए) खुले संचार को प्रोत्साहित करना, विश्वास का निर्माण करना, और टीम गतिविधियों में शामिल होना, बी) टीम की गतिशीलता को अनदेखा करना, सी) केवल व्यक्तिगत प्रदर्शन पर ध्यान केंद्रित करना, डी) टीम संबंध गतिविधियों से बचना")</f>
        <v>ए) खुले संचार को प्रोत्साहित करना, विश्वास का निर्माण करना, और टीम गतिविधियों में शामिल होना, बी) टीम की गतिशीलता को अनदेखा करना, सी) केवल व्यक्तिगत प्रदर्शन पर ध्यान केंद्रित करना, डी) टीम संबंध गतिविधियों से बचना</v>
      </c>
      <c r="I679" s="5" t="str">
        <f>IFERROR(__xludf.DUMMYFUNCTION("GOOGLETRANSLATE(D679, ""en"", ""hi"")"),"A) खुले संचार को प्रोत्साहित करना, विश्वास का निर्माण करना, और टीम गतिविधियों में शामिल होना")</f>
        <v>A) खुले संचार को प्रोत्साहित करना, विश्वास का निर्माण करना, और टीम गतिविधियों में शामिल होना</v>
      </c>
    </row>
    <row r="680" ht="22.5" customHeight="1">
      <c r="A680" s="2">
        <v>679.0</v>
      </c>
      <c r="B680" s="3" t="s">
        <v>7143</v>
      </c>
      <c r="C680" s="3" t="s">
        <v>7144</v>
      </c>
      <c r="D680" s="3" t="s">
        <v>7145</v>
      </c>
      <c r="F680" s="5" t="str">
        <f>IFERROR(__xludf.DUMMYFUNCTION("GOOGLETRANSLATE(A680, ""en"", ""hi"")"),"679")</f>
        <v>679</v>
      </c>
      <c r="G680" s="5" t="str">
        <f>IFERROR(__xludf.DUMMYFUNCTION("GOOGLETRANSLATE(B680, ""en"", ""hi"")"),"ढोल खेल में दबाव की स्थिति को खिलाड़ी प्रभावी ढंग से कैसे संभाल सकता है?")</f>
        <v>ढोल खेल में दबाव की स्थिति को खिलाड़ी प्रभावी ढंग से कैसे संभाल सकता है?</v>
      </c>
      <c r="H680" s="5" t="str">
        <f>IFERROR(__xludf.DUMMYFUNCTION("GOOGLETRANSLATE(C680, ""en"", ""hi"")"),"A) दबाव में अभ्यास करके, धैर्य बनाए रखकर, और निष्पादन पर ध्यान केंद्रित करके, B) दबाव की स्थितियों को अनदेखा करके, C) केवल आराम की स्थितियों पर ध्यान केंद्रित करके, D) दबाव अभ्यास से बचना")</f>
        <v>A) दबाव में अभ्यास करके, धैर्य बनाए रखकर, और निष्पादन पर ध्यान केंद्रित करके, B) दबाव की स्थितियों को अनदेखा करके, C) केवल आराम की स्थितियों पर ध्यान केंद्रित करके, D) दबाव अभ्यास से बचना</v>
      </c>
      <c r="I680" s="5" t="str">
        <f>IFERROR(__xludf.DUMMYFUNCTION("GOOGLETRANSLATE(D680, ""en"", ""hi"")"),"A) दबाव में अभ्यास करके, धैर्य बनाए रखकर, और कार्यान्वयन पर ध्यान केंद्रित करके")</f>
        <v>A) दबाव में अभ्यास करके, धैर्य बनाए रखकर, और कार्यान्वयन पर ध्यान केंद्रित करके</v>
      </c>
    </row>
    <row r="681" ht="22.5" customHeight="1">
      <c r="A681" s="2">
        <v>680.0</v>
      </c>
      <c r="B681" s="3" t="s">
        <v>7146</v>
      </c>
      <c r="C681" s="3" t="s">
        <v>7147</v>
      </c>
      <c r="D681" s="3" t="s">
        <v>7148</v>
      </c>
      <c r="F681" s="5" t="str">
        <f>IFERROR(__xludf.DUMMYFUNCTION("GOOGLETRANSLATE(A681, ""en"", ""hi"")"),"680")</f>
        <v>680</v>
      </c>
      <c r="G681" s="5" t="str">
        <f>IFERROR(__xludf.DUMMYFUNCTION("GOOGLETRANSLATE(B681, ""en"", ""hi"")"),"ढोल खेल में रणनीतिक सोच को बेहतर बनाने के लिए प्रभावी दृष्टिकोण क्या है?")</f>
        <v>ढोल खेल में रणनीतिक सोच को बेहतर बनाने के लिए प्रभावी दृष्टिकोण क्या है?</v>
      </c>
      <c r="H681" s="5" t="str">
        <f>IFERROR(__xludf.DUMMYFUNCTION("GOOGLETRANSLATE(C681, ""en"", ""hi"")"),"A) पिछले खेलों का विश्लेषण करना, रणनीति का अध्ययन करना, और साथियों के साथ रणनीतियों पर चर्चा करना, B) रणनीतिक सोच की अनदेखी करना, C) केवल शारीरिक कौशल पर ध्यान केंद्रित करना, D) रणनीतिक विश्लेषण से बचना")</f>
        <v>A) पिछले खेलों का विश्लेषण करना, रणनीति का अध्ययन करना, और साथियों के साथ रणनीतियों पर चर्चा करना, B) रणनीतिक सोच की अनदेखी करना, C) केवल शारीरिक कौशल पर ध्यान केंद्रित करना, D) रणनीतिक विश्लेषण से बचना</v>
      </c>
      <c r="I681" s="5" t="str">
        <f>IFERROR(__xludf.DUMMYFUNCTION("GOOGLETRANSLATE(D681, ""en"", ""hi"")"),"A) पिछले खेलों का विश्लेषण करना, रणनीति का अध्ययन करना, और टीम के साथियों के साथ रणनीतियों पर चर्चा करना")</f>
        <v>A) पिछले खेलों का विश्लेषण करना, रणनीति का अध्ययन करना, और टीम के साथियों के साथ रणनीतियों पर चर्चा करना</v>
      </c>
    </row>
    <row r="682" ht="22.5" customHeight="1">
      <c r="A682" s="2">
        <v>681.0</v>
      </c>
      <c r="B682" s="3" t="s">
        <v>7149</v>
      </c>
      <c r="C682" s="3" t="s">
        <v>7150</v>
      </c>
      <c r="D682" s="3" t="s">
        <v>7151</v>
      </c>
      <c r="F682" s="5" t="str">
        <f>IFERROR(__xludf.DUMMYFUNCTION("GOOGLETRANSLATE(A682, ""en"", ""hi"")"),"681")</f>
        <v>681</v>
      </c>
      <c r="G682" s="5" t="str">
        <f>IFERROR(__xludf.DUMMYFUNCTION("GOOGLETRANSLATE(B682, ""en"", ""hi"")"),"ढोल खेल में एक खिलाड़ी अपने नेतृत्व कौशल को प्रभावी ढंग से कैसे विकसित कर सकता है?")</f>
        <v>ढोल खेल में एक खिलाड़ी अपने नेतृत्व कौशल को प्रभावी ढंग से कैसे विकसित कर सकता है?</v>
      </c>
      <c r="H682" s="5" t="str">
        <f>IFERROR(__xludf.DUMMYFUNCTION("GOOGLETRANSLATE(C682, ""en"", ""hi"")"),"A) पहल करके, टीम के साथियों को प्रेरित करके और उदाहरण पेश करके नेतृत्व करना, B) नेतृत्व विकास की अनदेखी करना, C) केवल व्यक्तिगत प्रदर्शन पर ध्यान केंद्रित करना, D) नेतृत्व के अवसरों से बचना")</f>
        <v>A) पहल करके, टीम के साथियों को प्रेरित करके और उदाहरण पेश करके नेतृत्व करना, B) नेतृत्व विकास की अनदेखी करना, C) केवल व्यक्तिगत प्रदर्शन पर ध्यान केंद्रित करना, D) नेतृत्व के अवसरों से बचना</v>
      </c>
      <c r="I682" s="5" t="str">
        <f>IFERROR(__xludf.DUMMYFUNCTION("GOOGLETRANSLATE(D682, ""en"", ""hi"")"),"A) पहल करके, टीम के साथियों को प्रेरित करके, और उदाहरण प्रस्तुत करके")</f>
        <v>A) पहल करके, टीम के साथियों को प्रेरित करके, और उदाहरण प्रस्तुत करके</v>
      </c>
    </row>
    <row r="683" ht="22.5" customHeight="1">
      <c r="A683" s="2">
        <v>682.0</v>
      </c>
      <c r="B683" s="3" t="s">
        <v>7152</v>
      </c>
      <c r="C683" s="3" t="s">
        <v>7153</v>
      </c>
      <c r="D683" s="3" t="s">
        <v>7154</v>
      </c>
      <c r="F683" s="5" t="str">
        <f>IFERROR(__xludf.DUMMYFUNCTION("GOOGLETRANSLATE(A683, ""en"", ""hi"")"),"682")</f>
        <v>682</v>
      </c>
      <c r="G683" s="5" t="str">
        <f>IFERROR(__xludf.DUMMYFUNCTION("GOOGLETRANSLATE(B683, ""en"", ""hi"")"),"ढोल खेल में खिलाड़ियों के बीच समन्वय सुधारने के लिए मुख्य रणनीति क्या है?")</f>
        <v>ढोल खेल में खिलाड़ियों के बीच समन्वय सुधारने के लिए मुख्य रणनीति क्या है?</v>
      </c>
      <c r="H683" s="5" t="str">
        <f>IFERROR(__xludf.DUMMYFUNCTION("GOOGLETRANSLATE(C683, ""en"", ""hi"")"),"A) समन्वित अभ्यास का अभ्यास करना, प्रभावी ढंग से संवाद करना और टीम रणनीति विकसित करना, B) समन्वय की अनदेखी करना, C) केवल व्यक्तिगत कौशल पर ध्यान केंद्रित करना, D) टीम अभ्यास से बचना")</f>
        <v>A) समन्वित अभ्यास का अभ्यास करना, प्रभावी ढंग से संवाद करना और टीम रणनीति विकसित करना, B) समन्वय की अनदेखी करना, C) केवल व्यक्तिगत कौशल पर ध्यान केंद्रित करना, D) टीम अभ्यास से बचना</v>
      </c>
      <c r="I683" s="5" t="str">
        <f>IFERROR(__xludf.DUMMYFUNCTION("GOOGLETRANSLATE(D683, ""en"", ""hi"")"),"A) समन्वित अभ्यास का अभ्यास करना, प्रभावी ढंग से संवाद करना और टीम रणनीति विकसित करना")</f>
        <v>A) समन्वित अभ्यास का अभ्यास करना, प्रभावी ढंग से संवाद करना और टीम रणनीति विकसित करना</v>
      </c>
    </row>
    <row r="684" ht="22.5" customHeight="1">
      <c r="A684" s="2">
        <v>683.0</v>
      </c>
      <c r="B684" s="3" t="s">
        <v>7155</v>
      </c>
      <c r="C684" s="3" t="s">
        <v>7156</v>
      </c>
      <c r="D684" s="3" t="s">
        <v>7157</v>
      </c>
      <c r="F684" s="5" t="str">
        <f>IFERROR(__xludf.DUMMYFUNCTION("GOOGLETRANSLATE(A684, ""en"", ""hi"")"),"683")</f>
        <v>683</v>
      </c>
      <c r="G684" s="5" t="str">
        <f>IFERROR(__xludf.DUMMYFUNCTION("GOOGLETRANSLATE(B684, ""en"", ""hi"")"),"ढोल खेल में एक खिलाड़ी अपनी सर्वोत्तम शारीरिक स्थिति को प्रभावी ढंग से कैसे बनाए रख सकता है?")</f>
        <v>ढोल खेल में एक खिलाड़ी अपनी सर्वोत्तम शारीरिक स्थिति को प्रभावी ढंग से कैसे बनाए रख सकता है?</v>
      </c>
      <c r="H684" s="5" t="str">
        <f>IFERROR(__xludf.DUMMYFUNCTION("GOOGLETRANSLATE(C684, ""en"", ""hi"")"),"A) संतुलित प्रशिक्षण कार्यक्रम का पालन करके, उचित पोषण का पालन करके, और पर्याप्त आराम सुनिश्चित करके, B) शारीरिक कंडीशनिंग की अनदेखी करके, C) केवल कौशल विकास पर ध्यान केंद्रित करके, D) कंडीशनिंग अभ्यास से बचना")</f>
        <v>A) संतुलित प्रशिक्षण कार्यक्रम का पालन करके, उचित पोषण का पालन करके, और पर्याप्त आराम सुनिश्चित करके, B) शारीरिक कंडीशनिंग की अनदेखी करके, C) केवल कौशल विकास पर ध्यान केंद्रित करके, D) कंडीशनिंग अभ्यास से बचना</v>
      </c>
      <c r="I684" s="5" t="str">
        <f>IFERROR(__xludf.DUMMYFUNCTION("GOOGLETRANSLATE(D684, ""en"", ""hi"")"),"A) संतुलित प्रशिक्षण कार्यक्रम का पालन करके, उचित पोषण का पालन करके और पर्याप्त आराम सुनिश्चित करके")</f>
        <v>A) संतुलित प्रशिक्षण कार्यक्रम का पालन करके, उचित पोषण का पालन करके और पर्याप्त आराम सुनिश्चित करके</v>
      </c>
    </row>
    <row r="685" ht="22.5" customHeight="1">
      <c r="A685" s="2">
        <v>684.0</v>
      </c>
      <c r="B685" s="3" t="s">
        <v>7158</v>
      </c>
      <c r="C685" s="3" t="s">
        <v>7159</v>
      </c>
      <c r="D685" s="3" t="s">
        <v>7160</v>
      </c>
      <c r="F685" s="5" t="str">
        <f>IFERROR(__xludf.DUMMYFUNCTION("GOOGLETRANSLATE(A685, ""en"", ""hi"")"),"684")</f>
        <v>684</v>
      </c>
      <c r="G685" s="5" t="str">
        <f>IFERROR(__xludf.DUMMYFUNCTION("GOOGLETRANSLATE(B685, ""en"", ""hi"")"),"ढोल खेल में प्रभावी खेल रणनीति का एक महत्वपूर्ण पहलू क्या है?")</f>
        <v>ढोल खेल में प्रभावी खेल रणनीति का एक महत्वपूर्ण पहलू क्या है?</v>
      </c>
      <c r="H685" s="5" t="str">
        <f>IFERROR(__xludf.DUMMYFUNCTION("GOOGLETRANSLATE(C685, ""en"", ""hi"")"),"A) विरोधियों की ताकत और कमजोरियों के आधार पर रणनीति अपनाना, B) रणनीति की अनदेखी करना, C) केवल व्यक्तिगत प्रदर्शन पर ध्यान केंद्रित करना, D) सामरिक योजना से बचना")</f>
        <v>A) विरोधियों की ताकत और कमजोरियों के आधार पर रणनीति अपनाना, B) रणनीति की अनदेखी करना, C) केवल व्यक्तिगत प्रदर्शन पर ध्यान केंद्रित करना, D) सामरिक योजना से बचना</v>
      </c>
      <c r="I685" s="5" t="str">
        <f>IFERROR(__xludf.DUMMYFUNCTION("GOOGLETRANSLATE(D685, ""en"", ""hi"")"),"A) विरोधियों की ताकत और कमजोरियों के आधार पर रणनीति अपनाना")</f>
        <v>A) विरोधियों की ताकत और कमजोरियों के आधार पर रणनीति अपनाना</v>
      </c>
    </row>
    <row r="686" ht="22.5" customHeight="1">
      <c r="A686" s="2">
        <v>685.0</v>
      </c>
      <c r="B686" s="3" t="s">
        <v>7161</v>
      </c>
      <c r="C686" s="3" t="s">
        <v>7162</v>
      </c>
      <c r="D686" s="3" t="s">
        <v>7163</v>
      </c>
      <c r="F686" s="5" t="str">
        <f>IFERROR(__xludf.DUMMYFUNCTION("GOOGLETRANSLATE(A686, ""en"", ""hi"")"),"685")</f>
        <v>685</v>
      </c>
      <c r="G686" s="5" t="str">
        <f>IFERROR(__xludf.DUMMYFUNCTION("GOOGLETRANSLATE(B686, ""en"", ""hi"")"),"ढोल खेल में एक खिलाड़ी अपनी सामरिक जागरूकता को प्रभावी ढंग से कैसे विकसित कर सकता है?")</f>
        <v>ढोल खेल में एक खिलाड़ी अपनी सामरिक जागरूकता को प्रभावी ढंग से कैसे विकसित कर सकता है?</v>
      </c>
      <c r="H686" s="5" t="str">
        <f>IFERROR(__xludf.DUMMYFUNCTION("GOOGLETRANSLATE(C686, ""en"", ""hi"")"),"A) खेल परिदृश्यों का अध्ययन करके, विरोधियों की रणनीति का विश्लेषण करके, और स्थितिजन्य अभ्यास का अभ्यास करके, B) सामरिक जागरूकता की अनदेखी करके, C) केवल शारीरिक कौशल पर ध्यान केंद्रित करके, D) सामरिक अभ्यास से बचना")</f>
        <v>A) खेल परिदृश्यों का अध्ययन करके, विरोधियों की रणनीति का विश्लेषण करके, और स्थितिजन्य अभ्यास का अभ्यास करके, B) सामरिक जागरूकता की अनदेखी करके, C) केवल शारीरिक कौशल पर ध्यान केंद्रित करके, D) सामरिक अभ्यास से बचना</v>
      </c>
      <c r="I686" s="5" t="str">
        <f>IFERROR(__xludf.DUMMYFUNCTION("GOOGLETRANSLATE(D686, ""en"", ""hi"")"),"A) खेल परिदृश्यों का अध्ययन करके, विरोधियों की रणनीति का विश्लेषण करके, और परिस्थितिजन्य अभ्यास करके")</f>
        <v>A) खेल परिदृश्यों का अध्ययन करके, विरोधियों की रणनीति का विश्लेषण करके, और परिस्थितिजन्य अभ्यास करके</v>
      </c>
    </row>
    <row r="687" ht="22.5" customHeight="1">
      <c r="A687" s="2">
        <v>686.0</v>
      </c>
      <c r="B687" s="3" t="s">
        <v>7164</v>
      </c>
      <c r="C687" s="3" t="s">
        <v>7165</v>
      </c>
      <c r="D687" s="3" t="s">
        <v>7166</v>
      </c>
      <c r="F687" s="5" t="str">
        <f>IFERROR(__xludf.DUMMYFUNCTION("GOOGLETRANSLATE(A687, ""en"", ""hi"")"),"686")</f>
        <v>686</v>
      </c>
      <c r="G687" s="5" t="str">
        <f>IFERROR(__xludf.DUMMYFUNCTION("GOOGLETRANSLATE(B687, ""en"", ""hi"")"),"ढोल खेल में मैच के दौरान सर्वोच्च प्रदर्शन प्राप्त करने में महत्वपूर्ण कारक क्या है?")</f>
        <v>ढोल खेल में मैच के दौरान सर्वोच्च प्रदर्शन प्राप्त करने में महत्वपूर्ण कारक क्या है?</v>
      </c>
      <c r="H687" s="5" t="str">
        <f>IFERROR(__xludf.DUMMYFUNCTION("GOOGLETRANSLATE(C687, ""en"", ""hi"")"),"A) उचित तैयारी, मानसिक तत्परता और कौशल का प्रभावी निष्पादन, B) तैयारी की अनदेखी, C) केवल शारीरिक प्रशिक्षण पर ध्यान केंद्रित करना, D) मानसिक तत्परता से बचना")</f>
        <v>A) उचित तैयारी, मानसिक तत्परता और कौशल का प्रभावी निष्पादन, B) तैयारी की अनदेखी, C) केवल शारीरिक प्रशिक्षण पर ध्यान केंद्रित करना, D) मानसिक तत्परता से बचना</v>
      </c>
      <c r="I687" s="5" t="str">
        <f>IFERROR(__xludf.DUMMYFUNCTION("GOOGLETRANSLATE(D687, ""en"", ""hi"")"),"ए) उचित तैयारी, मानसिक तत्परता और कौशल का प्रभावी निष्पादन")</f>
        <v>ए) उचित तैयारी, मानसिक तत्परता और कौशल का प्रभावी निष्पादन</v>
      </c>
    </row>
    <row r="688" ht="22.5" customHeight="1">
      <c r="A688" s="2">
        <v>687.0</v>
      </c>
      <c r="B688" s="3" t="s">
        <v>7167</v>
      </c>
      <c r="C688" s="3" t="s">
        <v>7168</v>
      </c>
      <c r="D688" s="3" t="s">
        <v>7169</v>
      </c>
      <c r="F688" s="5" t="str">
        <f>IFERROR(__xludf.DUMMYFUNCTION("GOOGLETRANSLATE(A688, ""en"", ""hi"")"),"687")</f>
        <v>687</v>
      </c>
      <c r="G688" s="5" t="str">
        <f>IFERROR(__xludf.DUMMYFUNCTION("GOOGLETRANSLATE(B688, ""en"", ""hi"")"),"ढोल खेल में एक खिलाड़ी टीम के साथियों से फीडबैक का प्रभावी ढंग से उपयोग कैसे कर सकता है?")</f>
        <v>ढोल खेल में एक खिलाड़ी टीम के साथियों से फीडबैक का प्रभावी ढंग से उपयोग कैसे कर सकता है?</v>
      </c>
      <c r="H688" s="5" t="str">
        <f>IFERROR(__xludf.DUMMYFUNCTION("GOOGLETRANSLATE(C688, ""en"", ""hi"")"),"A) सक्रिय रूप से सुनकर, आवश्यक समायोजन करके, और सुझावों को व्यवहार में शामिल करके, B) फीडबैक को अनदेखा करके, C) केवल व्यक्तिगत राय पर ध्यान केंद्रित करके, D) टीम इनपुट से परहेज करके")</f>
        <v>A) सक्रिय रूप से सुनकर, आवश्यक समायोजन करके, और सुझावों को व्यवहार में शामिल करके, B) फीडबैक को अनदेखा करके, C) केवल व्यक्तिगत राय पर ध्यान केंद्रित करके, D) टीम इनपुट से परहेज करके</v>
      </c>
      <c r="I688" s="5" t="str">
        <f>IFERROR(__xludf.DUMMYFUNCTION("GOOGLETRANSLATE(D688, ""en"", ""hi"")"),"A) सक्रिय रूप से सुनकर, आवश्यक समायोजन करके, और सुझावों को व्यवहार में शामिल करके")</f>
        <v>A) सक्रिय रूप से सुनकर, आवश्यक समायोजन करके, और सुझावों को व्यवहार में शामिल करके</v>
      </c>
    </row>
    <row r="689" ht="22.5" customHeight="1">
      <c r="A689" s="2">
        <v>688.0</v>
      </c>
      <c r="B689" s="3" t="s">
        <v>7170</v>
      </c>
      <c r="C689" s="3" t="s">
        <v>7171</v>
      </c>
      <c r="D689" s="3" t="s">
        <v>7172</v>
      </c>
      <c r="F689" s="5" t="str">
        <f>IFERROR(__xludf.DUMMYFUNCTION("GOOGLETRANSLATE(A689, ""en"", ""hi"")"),"688")</f>
        <v>688</v>
      </c>
      <c r="G689" s="5" t="str">
        <f>IFERROR(__xludf.DUMMYFUNCTION("GOOGLETRANSLATE(B689, ""en"", ""hi"")"),"ढोल खेल में अपने रणनीतिक दृष्टिकोण को बेहतर बनाने का प्रभावी तरीका क्या है?")</f>
        <v>ढोल खेल में अपने रणनीतिक दृष्टिकोण को बेहतर बनाने का प्रभावी तरीका क्या है?</v>
      </c>
      <c r="H689" s="5" t="str">
        <f>IFERROR(__xludf.DUMMYFUNCTION("GOOGLETRANSLATE(C689, ""en"", ""hi"")"),"A) सफल रणनीतियों का अध्ययन करके, विरोधियों का विश्लेषण करके, और तदनुसार रणनीति अपनाकर, B) रणनीति विकास की उपेक्षा करके, C) केवल शारीरिक कौशल पर ध्यान केंद्रित करके, D) रणनीतिक योजना से बचना")</f>
        <v>A) सफल रणनीतियों का अध्ययन करके, विरोधियों का विश्लेषण करके, और तदनुसार रणनीति अपनाकर, B) रणनीति विकास की उपेक्षा करके, C) केवल शारीरिक कौशल पर ध्यान केंद्रित करके, D) रणनीतिक योजना से बचना</v>
      </c>
      <c r="I689" s="5" t="str">
        <f>IFERROR(__xludf.DUMMYFUNCTION("GOOGLETRANSLATE(D689, ""en"", ""hi"")"),"A) सफल रणनीतियों का अध्ययन करके, विरोधियों का विश्लेषण करके, और तदनुसार रणनीति अपनाकर")</f>
        <v>A) सफल रणनीतियों का अध्ययन करके, विरोधियों का विश्लेषण करके, और तदनुसार रणनीति अपनाकर</v>
      </c>
    </row>
    <row r="690" ht="22.5" customHeight="1">
      <c r="A690" s="2">
        <v>689.0</v>
      </c>
      <c r="B690" s="3" t="s">
        <v>7173</v>
      </c>
      <c r="C690" s="3" t="s">
        <v>7174</v>
      </c>
      <c r="D690" s="3" t="s">
        <v>7175</v>
      </c>
      <c r="F690" s="5" t="str">
        <f>IFERROR(__xludf.DUMMYFUNCTION("GOOGLETRANSLATE(A690, ""en"", ""hi"")"),"689")</f>
        <v>689</v>
      </c>
      <c r="G690" s="5" t="str">
        <f>IFERROR(__xludf.DUMMYFUNCTION("GOOGLETRANSLATE(B690, ""en"", ""hi"")"),"ढोल खेल में कोई खिलाड़ी अपनी आक्रामक और रक्षात्मक भूमिकाओं में प्रभावी संतुलन कैसे बना सकता है?")</f>
        <v>ढोल खेल में कोई खिलाड़ी अपनी आक्रामक और रक्षात्मक भूमिकाओं में प्रभावी संतुलन कैसे बना सकता है?</v>
      </c>
      <c r="H690" s="5" t="str">
        <f>IFERROR(__xludf.DUMMYFUNCTION("GOOGLETRANSLATE(C690, ""en"", ""hi"")"),"A) टीम की भूमिकाओं को समझकर, ऊर्जा का कुशलतापूर्वक प्रबंधन करके, और खेल की परिस्थितियों के अनुसार अनुकूलन करके, B) भूमिका संतुलन की अनदेखी करके, C) केवल एक पहलू पर ध्यान केंद्रित करके, D) भूमिका अनुकूलन से बचना")</f>
        <v>A) टीम की भूमिकाओं को समझकर, ऊर्जा का कुशलतापूर्वक प्रबंधन करके, और खेल की परिस्थितियों के अनुसार अनुकूलन करके, B) भूमिका संतुलन की अनदेखी करके, C) केवल एक पहलू पर ध्यान केंद्रित करके, D) भूमिका अनुकूलन से बचना</v>
      </c>
      <c r="I690" s="5" t="str">
        <f>IFERROR(__xludf.DUMMYFUNCTION("GOOGLETRANSLATE(D690, ""en"", ""hi"")"),"A) टीम की भूमिकाओं को समझकर, ऊर्जा का कुशलतापूर्वक प्रबंधन करके, और खेल की परिस्थितियों के अनुकूल ढलकर")</f>
        <v>A) टीम की भूमिकाओं को समझकर, ऊर्जा का कुशलतापूर्वक प्रबंधन करके, और खेल की परिस्थितियों के अनुकूल ढलकर</v>
      </c>
    </row>
    <row r="691" ht="22.5" customHeight="1">
      <c r="A691" s="2">
        <v>690.0</v>
      </c>
      <c r="B691" s="3" t="s">
        <v>7176</v>
      </c>
      <c r="C691" s="3" t="s">
        <v>7177</v>
      </c>
      <c r="D691" s="3" t="s">
        <v>7178</v>
      </c>
      <c r="F691" s="5" t="str">
        <f>IFERROR(__xludf.DUMMYFUNCTION("GOOGLETRANSLATE(A691, ""en"", ""hi"")"),"690")</f>
        <v>690</v>
      </c>
      <c r="G691" s="5" t="str">
        <f>IFERROR(__xludf.DUMMYFUNCTION("GOOGLETRANSLATE(B691, ""en"", ""hi"")"),"ढोल खेल में प्रभावी अभ्यास का मुख्य तत्व क्या है?")</f>
        <v>ढोल खेल में प्रभावी अभ्यास का मुख्य तत्व क्या है?</v>
      </c>
      <c r="H691" s="5" t="str">
        <f>IFERROR(__xludf.DUMMYFUNCTION("GOOGLETRANSLATE(C691, ""en"", ""hi"")"),"A) विशिष्ट लक्ष्य निर्धारित करना, कौशल विकास पर ध्यान केंद्रित करना और प्रगति का मूल्यांकन करना, B) अभ्यास लक्ष्यों की अनदेखी करना, C) केवल अभ्यास पर ध्यान केंद्रित करना, D) मूल्यांकन से बचना")</f>
        <v>A) विशिष्ट लक्ष्य निर्धारित करना, कौशल विकास पर ध्यान केंद्रित करना और प्रगति का मूल्यांकन करना, B) अभ्यास लक्ष्यों की अनदेखी करना, C) केवल अभ्यास पर ध्यान केंद्रित करना, D) मूल्यांकन से बचना</v>
      </c>
      <c r="I691" s="5" t="str">
        <f>IFERROR(__xludf.DUMMYFUNCTION("GOOGLETRANSLATE(D691, ""en"", ""hi"")"),"A) विशिष्ट लक्ष्य निर्धारित करना, कौशल विकास पर ध्यान केंद्रित करना और प्रगति का मूल्यांकन करना")</f>
        <v>A) विशिष्ट लक्ष्य निर्धारित करना, कौशल विकास पर ध्यान केंद्रित करना और प्रगति का मूल्यांकन करना</v>
      </c>
    </row>
    <row r="692" ht="22.5" customHeight="1">
      <c r="A692" s="2">
        <v>691.0</v>
      </c>
      <c r="B692" s="3" t="s">
        <v>7179</v>
      </c>
      <c r="C692" s="3" t="s">
        <v>7180</v>
      </c>
      <c r="D692" s="3" t="s">
        <v>7181</v>
      </c>
      <c r="F692" s="5" t="str">
        <f>IFERROR(__xludf.DUMMYFUNCTION("GOOGLETRANSLATE(A692, ""en"", ""hi"")"),"691")</f>
        <v>691</v>
      </c>
      <c r="G692" s="5" t="str">
        <f>IFERROR(__xludf.DUMMYFUNCTION("GOOGLETRANSLATE(B692, ""en"", ""hi"")"),"ढोल खेल में कोई खिलाड़ी अपने समग्र खेल प्रदर्शन को प्रभावी ढंग से कैसे सुधार सकता है?")</f>
        <v>ढोल खेल में कोई खिलाड़ी अपने समग्र खेल प्रदर्शन को प्रभावी ढंग से कैसे सुधार सकता है?</v>
      </c>
      <c r="H692" s="5" t="str">
        <f>IFERROR(__xludf.DUMMYFUNCTION("GOOGLETRANSLATE(C692, ""en"", ""hi"")"),"A) विभिन्न प्रकार की प्रशिक्षण विधियों को शामिल करके, प्रेरित रहकर, और निरंतर सुधार की कोशिश करके, B) प्रदर्शन सुधार की अनदेखी करके, C) केवल एक पहलू पर ध्यान केंद्रित करके, D) विविध प्रशिक्षण विधियों से बचना")</f>
        <v>A) विभिन्न प्रकार की प्रशिक्षण विधियों को शामिल करके, प्रेरित रहकर, और निरंतर सुधार की कोशिश करके, B) प्रदर्शन सुधार की अनदेखी करके, C) केवल एक पहलू पर ध्यान केंद्रित करके, D) विविध प्रशिक्षण विधियों से बचना</v>
      </c>
      <c r="I692" s="5" t="str">
        <f>IFERROR(__xludf.DUMMYFUNCTION("GOOGLETRANSLATE(D692, ""en"", ""hi"")"),"A) विभिन्न प्रकार की प्रशिक्षण विधियों को शामिल करके, प्रेरित रहकर, और निरंतर सुधार की तलाश करके")</f>
        <v>A) विभिन्न प्रकार की प्रशिक्षण विधियों को शामिल करके, प्रेरित रहकर, और निरंतर सुधार की तलाश करके</v>
      </c>
    </row>
    <row r="693" ht="22.5" customHeight="1">
      <c r="A693" s="2">
        <v>692.0</v>
      </c>
      <c r="B693" s="3" t="s">
        <v>7182</v>
      </c>
      <c r="C693" s="3" t="s">
        <v>7183</v>
      </c>
      <c r="D693" s="3" t="s">
        <v>7184</v>
      </c>
      <c r="F693" s="5" t="str">
        <f>IFERROR(__xludf.DUMMYFUNCTION("GOOGLETRANSLATE(A693, ""en"", ""hi"")"),"692")</f>
        <v>692</v>
      </c>
      <c r="G693" s="5" t="str">
        <f>IFERROR(__xludf.DUMMYFUNCTION("GOOGLETRANSLATE(B693, ""en"", ""hi"")"),"ढोल खेल में एक मजबूत टीम बंधन विकसित करने का महत्वपूर्ण पहलू क्या है?")</f>
        <v>ढोल खेल में एक मजबूत टीम बंधन विकसित करने का महत्वपूर्ण पहलू क्या है?</v>
      </c>
      <c r="H693" s="5" t="str">
        <f>IFERROR(__xludf.DUMMYFUNCTION("GOOGLETRANSLATE(C693, ""en"", ""hi"")"),"A) टीम-निर्माण गतिविधियों में शामिल होना, आपसी सम्मान को बढ़ावा देना और खुले संचार को प्रोत्साहित करना, B) टीम बॉन्डिंग को नजरअंदाज करना, C) केवल व्यक्तिगत प्रदर्शन पर ध्यान केंद्रित करना, D) टीम इंटरैक्शन से बचना")</f>
        <v>A) टीम-निर्माण गतिविधियों में शामिल होना, आपसी सम्मान को बढ़ावा देना और खुले संचार को प्रोत्साहित करना, B) टीम बॉन्डिंग को नजरअंदाज करना, C) केवल व्यक्तिगत प्रदर्शन पर ध्यान केंद्रित करना, D) टीम इंटरैक्शन से बचना</v>
      </c>
      <c r="I693" s="5" t="str">
        <f>IFERROR(__xludf.DUMMYFUNCTION("GOOGLETRANSLATE(D693, ""en"", ""hi"")"),"ए) टीम-निर्माण गतिविधियों में शामिल होना, आपसी सम्मान को बढ़ावा देना और खुले संचार को प्रोत्साहित करना")</f>
        <v>ए) टीम-निर्माण गतिविधियों में शामिल होना, आपसी सम्मान को बढ़ावा देना और खुले संचार को प्रोत्साहित करना</v>
      </c>
    </row>
    <row r="694" ht="22.5" customHeight="1">
      <c r="A694" s="2">
        <v>693.0</v>
      </c>
      <c r="B694" s="3" t="s">
        <v>7185</v>
      </c>
      <c r="C694" s="3" t="s">
        <v>7186</v>
      </c>
      <c r="D694" s="3" t="s">
        <v>7187</v>
      </c>
      <c r="F694" s="5" t="str">
        <f>IFERROR(__xludf.DUMMYFUNCTION("GOOGLETRANSLATE(A694, ""en"", ""hi"")"),"693")</f>
        <v>693</v>
      </c>
      <c r="G694" s="5" t="str">
        <f>IFERROR(__xludf.DUMMYFUNCTION("GOOGLETRANSLATE(B694, ""en"", ""hi"")"),"ढोल खेल के दौरान एक खिलाड़ी अपनी शारीरिक और मानसिक थकान को प्रभावी ढंग से कैसे प्रबंधित कर सकता है?")</f>
        <v>ढोल खेल के दौरान एक खिलाड़ी अपनी शारीरिक और मानसिक थकान को प्रभावी ढंग से कैसे प्रबंधित कर सकता है?</v>
      </c>
      <c r="H694" s="5" t="str">
        <f>IFERROR(__xludf.DUMMYFUNCTION("GOOGLETRANSLATE(C694, ""en"", ""hi"")"),"ए) उचित जलयोजन बनाए रखना, अपनी गति को नियंत्रित करना और मानसिक विश्राम तकनीकों का उपयोग करना, बी) थकान प्रबंधन की अनदेखी करना, सी) केवल शारीरिक कंडीशनिंग पर ध्यान केंद्रित करना, डी) आराम और विश्राम तकनीकों से बचना")</f>
        <v>ए) उचित जलयोजन बनाए रखना, अपनी गति को नियंत्रित करना और मानसिक विश्राम तकनीकों का उपयोग करना, बी) थकान प्रबंधन की अनदेखी करना, सी) केवल शारीरिक कंडीशनिंग पर ध्यान केंद्रित करना, डी) आराम और विश्राम तकनीकों से बचना</v>
      </c>
      <c r="I694" s="5" t="str">
        <f>IFERROR(__xludf.DUMMYFUNCTION("GOOGLETRANSLATE(D694, ""en"", ""hi"")"),"ए) उचित जलयोजन बनाए रखकर, अपनी गति नियंत्रित करके, और मानसिक विश्राम तकनीकों का उपयोग करके")</f>
        <v>ए) उचित जलयोजन बनाए रखकर, अपनी गति नियंत्रित करके, और मानसिक विश्राम तकनीकों का उपयोग करके</v>
      </c>
    </row>
    <row r="695" ht="22.5" customHeight="1">
      <c r="A695" s="2">
        <v>694.0</v>
      </c>
      <c r="B695" s="3" t="s">
        <v>7188</v>
      </c>
      <c r="C695" s="3" t="s">
        <v>7189</v>
      </c>
      <c r="D695" s="3" t="s">
        <v>7190</v>
      </c>
      <c r="F695" s="5" t="str">
        <f>IFERROR(__xludf.DUMMYFUNCTION("GOOGLETRANSLATE(A695, ""en"", ""hi"")"),"694")</f>
        <v>694</v>
      </c>
      <c r="G695" s="5" t="str">
        <f>IFERROR(__xludf.DUMMYFUNCTION("GOOGLETRANSLATE(B695, ""en"", ""hi"")"),"ढोल खेल में मैचों के दौरान टीम वर्क को बढ़ाने के लिए प्रभावी तरीका क्या है?")</f>
        <v>ढोल खेल में मैचों के दौरान टीम वर्क को बढ़ाने के लिए प्रभावी तरीका क्या है?</v>
      </c>
      <c r="H695" s="5" t="str">
        <f>IFERROR(__xludf.DUMMYFUNCTION("GOOGLETRANSLATE(C695, ""en"", ""hi"")"),"A) टीम समन्वय का अभ्यास करके, आपसी समझ विकसित करके और प्रभावी ढंग से संवाद करके, B) टीमवर्क की अनदेखी करके, C) केवल व्यक्तिगत कौशल पर ध्यान केंद्रित करके, D) टीम समन्वय से बचना")</f>
        <v>A) टीम समन्वय का अभ्यास करके, आपसी समझ विकसित करके और प्रभावी ढंग से संवाद करके, B) टीमवर्क की अनदेखी करके, C) केवल व्यक्तिगत कौशल पर ध्यान केंद्रित करके, D) टीम समन्वय से बचना</v>
      </c>
      <c r="I695" s="5" t="str">
        <f>IFERROR(__xludf.DUMMYFUNCTION("GOOGLETRANSLATE(D695, ""en"", ""hi"")"),"A) टीम समन्वय का अभ्यास करके, आपसी समझ विकसित करके और प्रभावी ढंग से संवाद करके")</f>
        <v>A) टीम समन्वय का अभ्यास करके, आपसी समझ विकसित करके और प्रभावी ढंग से संवाद करके</v>
      </c>
    </row>
    <row r="696" ht="22.5" customHeight="1">
      <c r="A696" s="2">
        <v>695.0</v>
      </c>
      <c r="B696" s="3" t="s">
        <v>7191</v>
      </c>
      <c r="C696" s="3" t="s">
        <v>7192</v>
      </c>
      <c r="D696" s="3" t="s">
        <v>7193</v>
      </c>
      <c r="F696" s="5" t="str">
        <f>IFERROR(__xludf.DUMMYFUNCTION("GOOGLETRANSLATE(A696, ""en"", ""hi"")"),"695")</f>
        <v>695</v>
      </c>
      <c r="G696" s="5" t="str">
        <f>IFERROR(__xludf.DUMMYFUNCTION("GOOGLETRANSLATE(B696, ""en"", ""hi"")"),"ढोल खेल में खेल के दौरान कोई खिलाड़ी अप्रत्याशित परिस्थितियों को प्रभावी ढंग से कैसे संभाल सकता है?")</f>
        <v>ढोल खेल में खेल के दौरान कोई खिलाड़ी अप्रत्याशित परिस्थितियों को प्रभावी ढंग से कैसे संभाल सकता है?</v>
      </c>
      <c r="H696" s="5" t="str">
        <f>IFERROR(__xludf.DUMMYFUNCTION("GOOGLETRANSLATE(C696, ""en"", ""hi"")"),"A) अनुकूलनशील बने रहकर, धैर्य बनाए रखकर, और त्वरित निर्णय लेकर, B) अप्रत्याशित स्थितियों को अनदेखा करके, C) केवल नियोजित रणनीतियों पर ध्यान केंद्रित करके, D) अनुकूलनशीलता से बचकर")</f>
        <v>A) अनुकूलनशील बने रहकर, धैर्य बनाए रखकर, और त्वरित निर्णय लेकर, B) अप्रत्याशित स्थितियों को अनदेखा करके, C) केवल नियोजित रणनीतियों पर ध्यान केंद्रित करके, D) अनुकूलनशीलता से बचकर</v>
      </c>
      <c r="I696" s="5" t="str">
        <f>IFERROR(__xludf.DUMMYFUNCTION("GOOGLETRANSLATE(D696, ""en"", ""hi"")"),"A) अनुकूलनशील बने रहकर, धैर्य बनाए रखकर, और त्वरित निर्णय लेकर")</f>
        <v>A) अनुकूलनशील बने रहकर, धैर्य बनाए रखकर, और त्वरित निर्णय लेकर</v>
      </c>
    </row>
    <row r="697" ht="22.5" customHeight="1">
      <c r="A697" s="2">
        <v>696.0</v>
      </c>
      <c r="B697" s="3" t="s">
        <v>7194</v>
      </c>
      <c r="C697" s="3" t="s">
        <v>7195</v>
      </c>
      <c r="D697" s="3" t="s">
        <v>7196</v>
      </c>
      <c r="F697" s="5" t="str">
        <f>IFERROR(__xludf.DUMMYFUNCTION("GOOGLETRANSLATE(A697, ""en"", ""hi"")"),"696")</f>
        <v>696</v>
      </c>
      <c r="G697" s="5" t="str">
        <f>IFERROR(__xludf.DUMMYFUNCTION("GOOGLETRANSLATE(B697, ""en"", ""hi"")"),"ढोल खेल में व्यक्तिगत कौशल सुधारने के लिए प्रभावी रणनीति क्या है?")</f>
        <v>ढोल खेल में व्यक्तिगत कौशल सुधारने के लिए प्रभावी रणनीति क्या है?</v>
      </c>
      <c r="H697" s="5" t="str">
        <f>IFERROR(__xludf.DUMMYFUNCTION("GOOGLETRANSLATE(C697, ""en"", ""hi"")"),"A) सुधार के क्षेत्रों की पहचान करके, नियमित अभ्यास करके और फीडबैक मांगकर, B) कौशल विकास की अनदेखी करके, C) केवल टीम कौशल पर ध्यान केंद्रित करके, D) अभ्यास से बचना")</f>
        <v>A) सुधार के क्षेत्रों की पहचान करके, नियमित अभ्यास करके और फीडबैक मांगकर, B) कौशल विकास की अनदेखी करके, C) केवल टीम कौशल पर ध्यान केंद्रित करके, D) अभ्यास से बचना</v>
      </c>
      <c r="I697" s="5" t="str">
        <f>IFERROR(__xludf.DUMMYFUNCTION("GOOGLETRANSLATE(D697, ""en"", ""hi"")"),"A) सुधार के क्षेत्रों की पहचान करके, नियमित अभ्यास करके, और प्रतिक्रिया प्राप्त करके")</f>
        <v>A) सुधार के क्षेत्रों की पहचान करके, नियमित अभ्यास करके, और प्रतिक्रिया प्राप्त करके</v>
      </c>
    </row>
    <row r="698" ht="22.5" customHeight="1">
      <c r="A698" s="2">
        <v>697.0</v>
      </c>
      <c r="B698" s="3" t="s">
        <v>7197</v>
      </c>
      <c r="C698" s="3" t="s">
        <v>7198</v>
      </c>
      <c r="D698" s="3" t="s">
        <v>7199</v>
      </c>
      <c r="F698" s="5" t="str">
        <f>IFERROR(__xludf.DUMMYFUNCTION("GOOGLETRANSLATE(A698, ""en"", ""hi"")"),"697")</f>
        <v>697</v>
      </c>
      <c r="G698" s="5" t="str">
        <f>IFERROR(__xludf.DUMMYFUNCTION("GOOGLETRANSLATE(B698, ""en"", ""hi"")"),"ढोल खेल में एक खिलाड़ी अपनी खेल रणनीति को प्रभावी ढंग से कैसे विकसित कर सकता है?")</f>
        <v>ढोल खेल में एक खिलाड़ी अपनी खेल रणनीति को प्रभावी ढंग से कैसे विकसित कर सकता है?</v>
      </c>
      <c r="H698" s="5" t="str">
        <f>IFERROR(__xludf.DUMMYFUNCTION("GOOGLETRANSLATE(C698, ""en"", ""hi"")"),"A) पिछले मैचों का विश्लेषण करके, सफल रणनीतियों का अध्ययन करके, और आवश्यकतानुसार रणनीति समायोजित करके, B) रणनीति विकास की अनदेखी करके, C) केवल व्यक्तिगत प्रदर्शन पर ध्यान केंद्रित करके, D) खेल विश्लेषण से बचना")</f>
        <v>A) पिछले मैचों का विश्लेषण करके, सफल रणनीतियों का अध्ययन करके, और आवश्यकतानुसार रणनीति समायोजित करके, B) रणनीति विकास की अनदेखी करके, C) केवल व्यक्तिगत प्रदर्शन पर ध्यान केंद्रित करके, D) खेल विश्लेषण से बचना</v>
      </c>
      <c r="I698" s="5" t="str">
        <f>IFERROR(__xludf.DUMMYFUNCTION("GOOGLETRANSLATE(D698, ""en"", ""hi"")"),"A) पिछले मैचों का विश्लेषण करके, सफल रणनीतियों का अध्ययन करके, और आवश्यकतानुसार रणनीति समायोजित करके")</f>
        <v>A) पिछले मैचों का विश्लेषण करके, सफल रणनीतियों का अध्ययन करके, और आवश्यकतानुसार रणनीति समायोजित करके</v>
      </c>
    </row>
    <row r="699" ht="22.5" customHeight="1">
      <c r="A699" s="2">
        <v>698.0</v>
      </c>
      <c r="B699" s="3" t="s">
        <v>7200</v>
      </c>
      <c r="C699" s="3" t="s">
        <v>7201</v>
      </c>
      <c r="D699" s="3" t="s">
        <v>7202</v>
      </c>
      <c r="F699" s="5" t="str">
        <f>IFERROR(__xludf.DUMMYFUNCTION("GOOGLETRANSLATE(A699, ""en"", ""hi"")"),"698")</f>
        <v>698</v>
      </c>
      <c r="G699" s="5" t="str">
        <f>IFERROR(__xludf.DUMMYFUNCTION("GOOGLETRANSLATE(B699, ""en"", ""hi"")"),"ढोल खेल में खेल प्रदर्शन को बेहतर बनाने में महत्वपूर्ण कारक क्या है?")</f>
        <v>ढोल खेल में खेल प्रदर्शन को बेहतर बनाने में महत्वपूर्ण कारक क्या है?</v>
      </c>
      <c r="H699" s="5" t="str">
        <f>IFERROR(__xludf.DUMMYFUNCTION("GOOGLETRANSLATE(C699, ""en"", ""hi"")"),"A) लगातार अभ्यास, मानसिक तैयारी और तकनीकों का प्रभावी निष्पादन, B) प्रदर्शन सुधार की अनदेखी, C) केवल शारीरिक कौशल पर ध्यान केंद्रित करना, D) अभ्यास की निरंतरता से बचना")</f>
        <v>A) लगातार अभ्यास, मानसिक तैयारी और तकनीकों का प्रभावी निष्पादन, B) प्रदर्शन सुधार की अनदेखी, C) केवल शारीरिक कौशल पर ध्यान केंद्रित करना, D) अभ्यास की निरंतरता से बचना</v>
      </c>
      <c r="I699" s="5" t="str">
        <f>IFERROR(__xludf.DUMMYFUNCTION("GOOGLETRANSLATE(D699, ""en"", ""hi"")"),"ए) लगातार अभ्यास, मानसिक तैयारी और तकनीकों का प्रभावी निष्पादन")</f>
        <v>ए) लगातार अभ्यास, मानसिक तैयारी और तकनीकों का प्रभावी निष्पादन</v>
      </c>
    </row>
    <row r="700" ht="22.5" customHeight="1">
      <c r="A700" s="2">
        <v>699.0</v>
      </c>
      <c r="B700" s="3" t="s">
        <v>7203</v>
      </c>
      <c r="C700" s="3" t="s">
        <v>7204</v>
      </c>
      <c r="D700" s="3" t="s">
        <v>7205</v>
      </c>
      <c r="F700" s="5" t="str">
        <f>IFERROR(__xludf.DUMMYFUNCTION("GOOGLETRANSLATE(A700, ""en"", ""hi"")"),"699")</f>
        <v>699</v>
      </c>
      <c r="G700" s="5" t="str">
        <f>IFERROR(__xludf.DUMMYFUNCTION("GOOGLETRANSLATE(B700, ""en"", ""hi"")"),"ढोल खेल में कोई खिलाड़ी अपने तकनीकी कौशल को प्रभावी ढंग से कैसे बढ़ा सकता है?")</f>
        <v>ढोल खेल में कोई खिलाड़ी अपने तकनीकी कौशल को प्रभावी ढंग से कैसे बढ़ा सकता है?</v>
      </c>
      <c r="H700" s="5" t="str">
        <f>IFERROR(__xludf.DUMMYFUNCTION("GOOGLETRANSLATE(C700, ""en"", ""hi"")"),"A) तकनीक को निखारने, विशिष्ट अभ्यास करने और विशेषज्ञ मार्गदर्शन लेने पर ध्यान केंद्रित करके, B) तकनीकी कौशल विकास की अनदेखी करके, C) केवल सामान्य अभ्यास पर ध्यान केंद्रित करके, D) तकनीक में सुधार से बचना")</f>
        <v>A) तकनीक को निखारने, विशिष्ट अभ्यास करने और विशेषज्ञ मार्गदर्शन लेने पर ध्यान केंद्रित करके, B) तकनीकी कौशल विकास की अनदेखी करके, C) केवल सामान्य अभ्यास पर ध्यान केंद्रित करके, D) तकनीक में सुधार से बचना</v>
      </c>
      <c r="I700" s="5" t="str">
        <f>IFERROR(__xludf.DUMMYFUNCTION("GOOGLETRANSLATE(D700, ""en"", ""hi"")"),"A) तकनीक परिशोधन पर ध्यान केंद्रित करके, विशिष्ट अभ्यासों का अभ्यास करके, और विशेषज्ञ मार्गदर्शन प्राप्त करके")</f>
        <v>A) तकनीक परिशोधन पर ध्यान केंद्रित करके, विशिष्ट अभ्यासों का अभ्यास करके, और विशेषज्ञ मार्गदर्शन प्राप्त करके</v>
      </c>
    </row>
    <row r="701" ht="22.5" customHeight="1">
      <c r="A701" s="2">
        <v>700.0</v>
      </c>
      <c r="B701" s="3" t="s">
        <v>7206</v>
      </c>
      <c r="C701" s="3" t="s">
        <v>7207</v>
      </c>
      <c r="D701" s="3" t="s">
        <v>7208</v>
      </c>
      <c r="F701" s="5" t="str">
        <f>IFERROR(__xludf.DUMMYFUNCTION("GOOGLETRANSLATE(A701, ""en"", ""hi"")"),"700")</f>
        <v>700</v>
      </c>
      <c r="G701" s="5" t="str">
        <f>IFERROR(__xludf.DUMMYFUNCTION("GOOGLETRANSLATE(B701, ""en"", ""hi"")"),"ढोल खेल में खिलाड़ी की समग्र खेल समझ को बेहतर बनाने का प्रभावी तरीका क्या है?")</f>
        <v>ढोल खेल में खिलाड़ी की समग्र खेल समझ को बेहतर बनाने का प्रभावी तरीका क्या है?</v>
      </c>
      <c r="H701" s="5" t="str">
        <f>IFERROR(__xludf.DUMMYFUNCTION("GOOGLETRANSLATE(C701, ""en"", ""hi"")"),"A) खेल के नियमों का अध्ययन करके, रणनीतियों का विश्लेषण करके, और अनुभवी खिलाड़ियों का अवलोकन करके, B) खेल की समझ को नज़रअंदाज़ करके, C) केवल अभ्यास पर ध्यान केंद्रित करके, D) खेल विश्लेषण से बचना")</f>
        <v>A) खेल के नियमों का अध्ययन करके, रणनीतियों का विश्लेषण करके, और अनुभवी खिलाड़ियों का अवलोकन करके, B) खेल की समझ को नज़रअंदाज़ करके, C) केवल अभ्यास पर ध्यान केंद्रित करके, D) खेल विश्लेषण से बचना</v>
      </c>
      <c r="I701" s="5" t="str">
        <f>IFERROR(__xludf.DUMMYFUNCTION("GOOGLETRANSLATE(D701, ""en"", ""hi"")"),"A) खेल के नियमों का अध्ययन करके, रणनीतियों का विश्लेषण करके और अनुभवी खिलाड़ियों का अवलोकन करके")</f>
        <v>A) खेल के नियमों का अध्ययन करके, रणनीतियों का विश्लेषण करके और अनुभवी खिलाड़ियों का अवलोकन करके</v>
      </c>
    </row>
    <row r="702" ht="22.5" customHeight="1">
      <c r="A702" s="2">
        <v>701.0</v>
      </c>
      <c r="B702" s="3" t="s">
        <v>7209</v>
      </c>
      <c r="C702" s="3" t="s">
        <v>7210</v>
      </c>
      <c r="D702" s="3" t="s">
        <v>7211</v>
      </c>
      <c r="F702" s="5" t="str">
        <f>IFERROR(__xludf.DUMMYFUNCTION("GOOGLETRANSLATE(A702, ""en"", ""hi"")"),"701")</f>
        <v>701</v>
      </c>
      <c r="G702" s="5" t="str">
        <f>IFERROR(__xludf.DUMMYFUNCTION("GOOGLETRANSLATE(B702, ""en"", ""hi"")"),"ढोल खेल में टीम में योगदान देने के लिए कोई खिलाड़ी अपनी ताकत का प्रभावी ढंग से उपयोग कैसे कर सकता है?")</f>
        <v>ढोल खेल में टीम में योगदान देने के लिए कोई खिलाड़ी अपनी ताकत का प्रभावी ढंग से उपयोग कैसे कर सकता है?</v>
      </c>
      <c r="H702" s="5" t="str">
        <f>IFERROR(__xludf.DUMMYFUNCTION("GOOGLETRANSLATE(C702, ""en"", ""hi"")"),"A) अपनी भूमिका को समझकर, रणनीतिक रूप से शक्तियों का उपयोग करके, और टीम के साथियों का समर्थन करके, B) शक्तियों को अनदेखा करके, C) केवल कमजोरियों पर ध्यान केंद्रित करके, D) शक्ति के उपयोग से बचना")</f>
        <v>A) अपनी भूमिका को समझकर, रणनीतिक रूप से शक्तियों का उपयोग करके, और टीम के साथियों का समर्थन करके, B) शक्तियों को अनदेखा करके, C) केवल कमजोरियों पर ध्यान केंद्रित करके, D) शक्ति के उपयोग से बचना</v>
      </c>
      <c r="I702" s="5" t="str">
        <f>IFERROR(__xludf.DUMMYFUNCTION("GOOGLETRANSLATE(D702, ""en"", ""hi"")"),"A) अपनी भूमिका को समझकर, रणनीतिक रूप से शक्तियों का उपयोग करके, और टीम के साथियों का समर्थन करके")</f>
        <v>A) अपनी भूमिका को समझकर, रणनीतिक रूप से शक्तियों का उपयोग करके, और टीम के साथियों का समर्थन करके</v>
      </c>
    </row>
    <row r="703" ht="22.5" customHeight="1">
      <c r="A703" s="2">
        <v>702.0</v>
      </c>
      <c r="B703" s="3" t="s">
        <v>7212</v>
      </c>
      <c r="C703" s="3" t="s">
        <v>7213</v>
      </c>
      <c r="D703" s="3" t="s">
        <v>7214</v>
      </c>
      <c r="F703" s="5" t="str">
        <f>IFERROR(__xludf.DUMMYFUNCTION("GOOGLETRANSLATE(A703, ""en"", ""hi"")"),"702")</f>
        <v>702</v>
      </c>
      <c r="G703" s="5" t="str">
        <f>IFERROR(__xludf.DUMMYFUNCTION("GOOGLETRANSLATE(B703, ""en"", ""hi"")"),"ढोल खेल में प्रभावी खेल प्रबंधन के लिए मुख्य रणनीति क्या है?")</f>
        <v>ढोल खेल में प्रभावी खेल प्रबंधन के लिए मुख्य रणनीति क्या है?</v>
      </c>
      <c r="H703" s="5" t="str">
        <f>IFERROR(__xludf.DUMMYFUNCTION("GOOGLETRANSLATE(C703, ""en"", ""hi"")"),"A) खेल की गति को नियंत्रित करके, रणनीतिक निर्णय लेकर, और खेल के प्रवाह के अनुकूल ढलकर, B) खेल प्रबंधन की अनदेखी करके, C) केवल प्रतिक्रियात्मक खेल पर ध्यान केंद्रित करके, D) रणनीतिक नियंत्रण से बचकर")</f>
        <v>A) खेल की गति को नियंत्रित करके, रणनीतिक निर्णय लेकर, और खेल के प्रवाह के अनुकूल ढलकर, B) खेल प्रबंधन की अनदेखी करके, C) केवल प्रतिक्रियात्मक खेल पर ध्यान केंद्रित करके, D) रणनीतिक नियंत्रण से बचकर</v>
      </c>
      <c r="I703" s="5" t="str">
        <f>IFERROR(__xludf.DUMMYFUNCTION("GOOGLETRANSLATE(D703, ""en"", ""hi"")"),"A) खेल की गति को नियंत्रित करके, रणनीतिक निर्णय लेकर, और खेल के प्रवाह के अनुकूल ढलकर")</f>
        <v>A) खेल की गति को नियंत्रित करके, रणनीतिक निर्णय लेकर, और खेल के प्रवाह के अनुकूल ढलकर</v>
      </c>
    </row>
    <row r="704" ht="22.5" customHeight="1">
      <c r="A704" s="2">
        <v>703.0</v>
      </c>
      <c r="B704" s="3" t="s">
        <v>6396</v>
      </c>
      <c r="C704" s="3" t="s">
        <v>7215</v>
      </c>
      <c r="D704" s="3" t="s">
        <v>7216</v>
      </c>
      <c r="F704" s="5" t="str">
        <f>IFERROR(__xludf.DUMMYFUNCTION("GOOGLETRANSLATE(A704, ""en"", ""hi"")"),"703")</f>
        <v>703</v>
      </c>
      <c r="G704" s="5" t="str">
        <f>IFERROR(__xludf.DUMMYFUNCTION("GOOGLETRANSLATE(B704, ""en"", ""hi"")"),"ढोल खेल में खिलाड़ी खेल को समझने की अपनी क्षमता कैसे सुधार सकते हैं?")</f>
        <v>ढोल खेल में खिलाड़ी खेल को समझने की अपनी क्षमता कैसे सुधार सकते हैं?</v>
      </c>
      <c r="H704" s="5" t="str">
        <f>IFERROR(__xludf.DUMMYFUNCTION("GOOGLETRANSLATE(C704, ""en"", ""hi"")"),"ए) विरोधियों के पैटर्न का अवलोकन करके, खेल के प्रवाह का विश्लेषण करके, और खेल का पूर्वानुमान लगाकर, बी) खेल पढ़ने की उपेक्षा करके, सी) केवल व्यक्तिगत कौशल पर ध्यान केंद्रित करके, डी) खेल विश्लेषण से बचना")</f>
        <v>ए) विरोधियों के पैटर्न का अवलोकन करके, खेल के प्रवाह का विश्लेषण करके, और खेल का पूर्वानुमान लगाकर, बी) खेल पढ़ने की उपेक्षा करके, सी) केवल व्यक्तिगत कौशल पर ध्यान केंद्रित करके, डी) खेल विश्लेषण से बचना</v>
      </c>
      <c r="I704" s="5" t="str">
        <f>IFERROR(__xludf.DUMMYFUNCTION("GOOGLETRANSLATE(D704, ""en"", ""hi"")"),"A) विरोधियों के पैटर्न का अवलोकन करके, खेल के प्रवाह का विश्लेषण करके, और खेल का पूर्वानुमान लगाकर")</f>
        <v>A) विरोधियों के पैटर्न का अवलोकन करके, खेल के प्रवाह का विश्लेषण करके, और खेल का पूर्वानुमान लगाकर</v>
      </c>
    </row>
    <row r="705" ht="22.5" customHeight="1">
      <c r="A705" s="2">
        <v>704.0</v>
      </c>
      <c r="B705" s="3" t="s">
        <v>7217</v>
      </c>
      <c r="C705" s="3" t="s">
        <v>7218</v>
      </c>
      <c r="D705" s="3" t="s">
        <v>7219</v>
      </c>
      <c r="F705" s="5" t="str">
        <f>IFERROR(__xludf.DUMMYFUNCTION("GOOGLETRANSLATE(A705, ""en"", ""hi"")"),"704")</f>
        <v>704</v>
      </c>
      <c r="G705" s="5" t="str">
        <f>IFERROR(__xludf.DUMMYFUNCTION("GOOGLETRANSLATE(B705, ""en"", ""hi"")"),"ढोल खेल में टीम का मनोबल बनाए रखने का महत्वपूर्ण पहलू क्या है?")</f>
        <v>ढोल खेल में टीम का मनोबल बनाए रखने का महत्वपूर्ण पहलू क्या है?</v>
      </c>
      <c r="H705" s="5" t="str">
        <f>IFERROR(__xludf.DUMMYFUNCTION("GOOGLETRANSLATE(C705, ""en"", ""hi"")"),"A) एक-दूसरे को प्रोत्साहित करना और समर्थन देना, सफलताओं का जश्न मनाना और चुनौतियों का सकारात्मक ढंग से सामना करना, B) टीम के मनोबल की अनदेखी करना, C) केवल व्यक्तिगत उपलब्धियों पर ध्यान केंद्रित करना, D) टीम के समर्थन से बचना")</f>
        <v>A) एक-दूसरे को प्रोत्साहित करना और समर्थन देना, सफलताओं का जश्न मनाना और चुनौतियों का सकारात्मक ढंग से सामना करना, B) टीम के मनोबल की अनदेखी करना, C) केवल व्यक्तिगत उपलब्धियों पर ध्यान केंद्रित करना, D) टीम के समर्थन से बचना</v>
      </c>
      <c r="I705" s="5" t="str">
        <f>IFERROR(__xludf.DUMMYFUNCTION("GOOGLETRANSLATE(D705, ""en"", ""hi"")"),"क) एक-दूसरे को प्रोत्साहित करना और समर्थन देना, सफलताओं का जश्न मनाना और चुनौतियों का सकारात्मक ढंग से सामना करना")</f>
        <v>क) एक-दूसरे को प्रोत्साहित करना और समर्थन देना, सफलताओं का जश्न मनाना और चुनौतियों का सकारात्मक ढंग से सामना करना</v>
      </c>
    </row>
    <row r="706" ht="22.5" customHeight="1">
      <c r="A706" s="2">
        <v>705.0</v>
      </c>
      <c r="B706" s="3" t="s">
        <v>7220</v>
      </c>
      <c r="C706" s="3" t="s">
        <v>7221</v>
      </c>
      <c r="D706" s="3" t="s">
        <v>7222</v>
      </c>
      <c r="F706" s="5" t="str">
        <f>IFERROR(__xludf.DUMMYFUNCTION("GOOGLETRANSLATE(A706, ""en"", ""hi"")"),"705")</f>
        <v>705</v>
      </c>
      <c r="G706" s="5" t="str">
        <f>IFERROR(__xludf.DUMMYFUNCTION("GOOGLETRANSLATE(B706, ""en"", ""hi"")"),"ढोल खेल में विश्लेषण के माध्यम से एक खिलाड़ी अपनी खेल रणनीति को प्रभावी ढंग से कैसे सुधार सकता है?")</f>
        <v>ढोल खेल में विश्लेषण के माध्यम से एक खिलाड़ी अपनी खेल रणनीति को प्रभावी ढंग से कैसे सुधार सकता है?</v>
      </c>
      <c r="H706" s="5" t="str">
        <f>IFERROR(__xludf.DUMMYFUNCTION("GOOGLETRANSLATE(C706, ""en"", ""hi"")"),"ए) खेल फुटेज की समीक्षा करके, पिछले प्रदर्शनों का आकलन करके, और अंतर्दृष्टि के आधार पर रणनीतियों को अनुकूलित करके, बी) खेल विश्लेषण की अनदेखी करके, सी) केवल शारीरिक प्रशिक्षण पर ध्यान केंद्रित करके, डी) रणनीतिक समीक्षा से बचना")</f>
        <v>ए) खेल फुटेज की समीक्षा करके, पिछले प्रदर्शनों का आकलन करके, और अंतर्दृष्टि के आधार पर रणनीतियों को अनुकूलित करके, बी) खेल विश्लेषण की अनदेखी करके, सी) केवल शारीरिक प्रशिक्षण पर ध्यान केंद्रित करके, डी) रणनीतिक समीक्षा से बचना</v>
      </c>
      <c r="I706" s="5" t="str">
        <f>IFERROR(__xludf.DUMMYFUNCTION("GOOGLETRANSLATE(D706, ""en"", ""hi"")"),"ए) खेल फुटेज की समीक्षा करके, पिछले प्रदर्शनों का आकलन करके, और अंतर्दृष्टि के आधार पर रणनीतियों को अनुकूलित करके")</f>
        <v>ए) खेल फुटेज की समीक्षा करके, पिछले प्रदर्शनों का आकलन करके, और अंतर्दृष्टि के आधार पर रणनीतियों को अनुकूलित करके</v>
      </c>
    </row>
    <row r="707" ht="22.5" customHeight="1">
      <c r="A707" s="2">
        <v>706.0</v>
      </c>
      <c r="B707" s="3" t="s">
        <v>7223</v>
      </c>
      <c r="C707" s="3" t="s">
        <v>7224</v>
      </c>
      <c r="D707" s="3" t="s">
        <v>7225</v>
      </c>
      <c r="F707" s="5" t="str">
        <f>IFERROR(__xludf.DUMMYFUNCTION("GOOGLETRANSLATE(A707, ""en"", ""hi"")"),"706")</f>
        <v>706</v>
      </c>
      <c r="G707" s="5" t="str">
        <f>IFERROR(__xludf.DUMMYFUNCTION("GOOGLETRANSLATE(B707, ""en"", ""hi"")"),"ढोल खेल में खिलाड़ी की रणनीतिक मानसिकता को बढ़ाने के लिए प्रभावी दृष्टिकोण क्या है?")</f>
        <v>ढोल खेल में खिलाड़ी की रणनीतिक मानसिकता को बढ़ाने के लिए प्रभावी दृष्टिकोण क्या है?</v>
      </c>
      <c r="H707" s="5" t="str">
        <f>IFERROR(__xludf.DUMMYFUNCTION("GOOGLETRANSLATE(C707, ""en"", ""hi"")"),"A) सफल रणनीतियों का अध्ययन करके, रणनीतिक चर्चाओं में शामिल होकर और निर्णय लेने का अभ्यास करके, B) रणनीतिक मानसिकता की अनदेखी करके, C) केवल तकनीकी कौशल पर ध्यान केंद्रित करके, D) रणनीतिक प्रशिक्षण से बचना")</f>
        <v>A) सफल रणनीतियों का अध्ययन करके, रणनीतिक चर्चाओं में शामिल होकर और निर्णय लेने का अभ्यास करके, B) रणनीतिक मानसिकता की अनदेखी करके, C) केवल तकनीकी कौशल पर ध्यान केंद्रित करके, D) रणनीतिक प्रशिक्षण से बचना</v>
      </c>
      <c r="I707" s="5" t="str">
        <f>IFERROR(__xludf.DUMMYFUNCTION("GOOGLETRANSLATE(D707, ""en"", ""hi"")"),"A) सफल रणनीतियों का अध्ययन करके, रणनीतिक चर्चाओं में भाग लेकर और निर्णय लेने का अभ्यास करके")</f>
        <v>A) सफल रणनीतियों का अध्ययन करके, रणनीतिक चर्चाओं में भाग लेकर और निर्णय लेने का अभ्यास करके</v>
      </c>
    </row>
    <row r="708" ht="22.5" customHeight="1">
      <c r="A708" s="2">
        <v>707.0</v>
      </c>
      <c r="B708" s="3" t="s">
        <v>7226</v>
      </c>
      <c r="C708" s="3" t="s">
        <v>7227</v>
      </c>
      <c r="D708" s="3" t="s">
        <v>7228</v>
      </c>
      <c r="F708" s="5" t="str">
        <f>IFERROR(__xludf.DUMMYFUNCTION("GOOGLETRANSLATE(A708, ""en"", ""hi"")"),"707")</f>
        <v>707</v>
      </c>
      <c r="G708" s="5" t="str">
        <f>IFERROR(__xludf.DUMMYFUNCTION("GOOGLETRANSLATE(B708, ""en"", ""hi"")"),"ढोल खेल में उच्च दबाव की स्थिति के दौरान एक खिलाड़ी अपने मानसिक खेल को प्रभावी ढंग से कैसे प्रबंधित कर सकता है?")</f>
        <v>ढोल खेल में उच्च दबाव की स्थिति के दौरान एक खिलाड़ी अपने मानसिक खेल को प्रभावी ढंग से कैसे प्रबंधित कर सकता है?</v>
      </c>
      <c r="H708" s="5" t="str">
        <f>IFERROR(__xludf.DUMMYFUNCTION("GOOGLETRANSLATE(C708, ""en"", ""hi"")"),"A) विश्राम तकनीकों का उपयोग करके, ध्यान केंद्रित करके और शांतचित्त रहकर, B) मानसिक प्रबंधन की अनदेखी करके, C) केवल शारीरिक तैयारी पर ध्यान केंद्रित करके, D) मानसिक तैयारी से बचना")</f>
        <v>A) विश्राम तकनीकों का उपयोग करके, ध्यान केंद्रित करके और शांतचित्त रहकर, B) मानसिक प्रबंधन की अनदेखी करके, C) केवल शारीरिक तैयारी पर ध्यान केंद्रित करके, D) मानसिक तैयारी से बचना</v>
      </c>
      <c r="I708" s="5" t="str">
        <f>IFERROR(__xludf.DUMMYFUNCTION("GOOGLETRANSLATE(D708, ""en"", ""hi"")"),"A) विश्राम तकनीकों का उपयोग करके, ध्यान केंद्रित करके और शांतचित्त रहकर")</f>
        <v>A) विश्राम तकनीकों का उपयोग करके, ध्यान केंद्रित करके और शांतचित्त रहकर</v>
      </c>
    </row>
    <row r="709" ht="22.5" customHeight="1">
      <c r="A709" s="2">
        <v>708.0</v>
      </c>
      <c r="B709" s="3" t="s">
        <v>7229</v>
      </c>
      <c r="C709" s="3" t="s">
        <v>7230</v>
      </c>
      <c r="D709" s="3" t="s">
        <v>7231</v>
      </c>
      <c r="F709" s="5" t="str">
        <f>IFERROR(__xludf.DUMMYFUNCTION("GOOGLETRANSLATE(A709, ""en"", ""hi"")"),"708")</f>
        <v>708</v>
      </c>
      <c r="G709" s="5" t="str">
        <f>IFERROR(__xludf.DUMMYFUNCTION("GOOGLETRANSLATE(B709, ""en"", ""hi"")"),"ढोल खेल में प्रभावी संचार का महत्वपूर्ण पहलू क्या है?")</f>
        <v>ढोल खेल में प्रभावी संचार का महत्वपूर्ण पहलू क्या है?</v>
      </c>
      <c r="H709" s="5" t="str">
        <f>IFERROR(__xludf.DUMMYFUNCTION("GOOGLETRANSLATE(C709, ""en"", ""hi"")"),"A) स्पष्ट संकेतों का उपयोग करना, नियमित संवाद बनाए रखना और आपसी समझ सुनिश्चित करना, B) संचार की उपेक्षा करना, C) केवल गैर-मौखिक संकेतों पर ध्यान केंद्रित करना, D) संचार अभ्यास से बचना")</f>
        <v>A) स्पष्ट संकेतों का उपयोग करना, नियमित संवाद बनाए रखना और आपसी समझ सुनिश्चित करना, B) संचार की उपेक्षा करना, C) केवल गैर-मौखिक संकेतों पर ध्यान केंद्रित करना, D) संचार अभ्यास से बचना</v>
      </c>
      <c r="I709" s="5" t="str">
        <f>IFERROR(__xludf.DUMMYFUNCTION("GOOGLETRANSLATE(D709, ""en"", ""hi"")"),"क) स्पष्ट संकेतों का उपयोग करना, नियमित संवाद बनाए रखना और आपसी समझ सुनिश्चित करना")</f>
        <v>क) स्पष्ट संकेतों का उपयोग करना, नियमित संवाद बनाए रखना और आपसी समझ सुनिश्चित करना</v>
      </c>
    </row>
    <row r="710" ht="22.5" customHeight="1">
      <c r="A710" s="2">
        <v>709.0</v>
      </c>
      <c r="B710" s="3" t="s">
        <v>7232</v>
      </c>
      <c r="C710" s="3" t="s">
        <v>7233</v>
      </c>
      <c r="D710" s="3" t="s">
        <v>7234</v>
      </c>
      <c r="F710" s="5" t="str">
        <f>IFERROR(__xludf.DUMMYFUNCTION("GOOGLETRANSLATE(A710, ""en"", ""hi"")"),"709")</f>
        <v>709</v>
      </c>
      <c r="G710" s="5" t="str">
        <f>IFERROR(__xludf.DUMMYFUNCTION("GOOGLETRANSLATE(B710, ""en"", ""hi"")"),"ढोल खेल में एक खिलाड़ी व्यक्तिगत और टीम लक्ष्यों के बीच प्रभावी संतुलन कैसे बना सकता है?")</f>
        <v>ढोल खेल में एक खिलाड़ी व्यक्तिगत और टीम लक्ष्यों के बीच प्रभावी संतुलन कैसे बना सकता है?</v>
      </c>
      <c r="H710" s="5" t="str">
        <f>IFERROR(__xludf.DUMMYFUNCTION("GOOGLETRANSLATE(C710, ""en"", ""hi"")"),"A) व्यक्तिगत उद्देश्यों को टीम के उद्देश्यों के साथ संरेखित करके, लक्ष्यों को संप्रेषित करके और सहयोगात्मक रूप से काम करके, B) लक्ष्य संतुलन की अनदेखी करके, C) केवल व्यक्तिगत लक्ष्यों पर ध्यान केंद्रित करके, D) टीम समन्वय से बचना")</f>
        <v>A) व्यक्तिगत उद्देश्यों को टीम के उद्देश्यों के साथ संरेखित करके, लक्ष्यों को संप्रेषित करके और सहयोगात्मक रूप से काम करके, B) लक्ष्य संतुलन की अनदेखी करके, C) केवल व्यक्तिगत लक्ष्यों पर ध्यान केंद्रित करके, D) टीम समन्वय से बचना</v>
      </c>
      <c r="I710" s="5" t="str">
        <f>IFERROR(__xludf.DUMMYFUNCTION("GOOGLETRANSLATE(D710, ""en"", ""hi"")"),"A) व्यक्तिगत उद्देश्यों को टीम के उद्देश्यों के साथ संरेखित करके, लक्ष्यों को संप्रेषित करके, और सहयोगात्मक रूप से कार्य करके")</f>
        <v>A) व्यक्तिगत उद्देश्यों को टीम के उद्देश्यों के साथ संरेखित करके, लक्ष्यों को संप्रेषित करके, और सहयोगात्मक रूप से कार्य करके</v>
      </c>
    </row>
    <row r="711" ht="22.5" customHeight="1">
      <c r="A711" s="2">
        <v>710.0</v>
      </c>
      <c r="B711" s="3" t="s">
        <v>7235</v>
      </c>
      <c r="C711" s="3" t="s">
        <v>7236</v>
      </c>
      <c r="D711" s="3" t="s">
        <v>7237</v>
      </c>
      <c r="F711" s="5" t="str">
        <f>IFERROR(__xludf.DUMMYFUNCTION("GOOGLETRANSLATE(A711, ""en"", ""hi"")"),"710")</f>
        <v>710</v>
      </c>
      <c r="G711" s="5" t="str">
        <f>IFERROR(__xludf.DUMMYFUNCTION("GOOGLETRANSLATE(B711, ""en"", ""hi"")"),"ढोल खेल में खिलाड़ी की खेल रणनीति को बढ़ाने का प्रभावी तरीका क्या है?")</f>
        <v>ढोल खेल में खिलाड़ी की खेल रणनीति को बढ़ाने का प्रभावी तरीका क्या है?</v>
      </c>
      <c r="H711" s="5" t="str">
        <f>IFERROR(__xludf.DUMMYFUNCTION("GOOGLETRANSLATE(C711, ""en"", ""hi"")"),"A) पिछले खेलों का विश्लेषण करके, अनुभवी खिलाड़ियों से सीखकर और रणनीतियों को अपनाकर, B) रणनीति में सुधार की अनदेखी करके, C) केवल शारीरिक अभ्यास पर ध्यान केंद्रित करके, D) रणनीति की समीक्षा से बचना")</f>
        <v>A) पिछले खेलों का विश्लेषण करके, अनुभवी खिलाड़ियों से सीखकर और रणनीतियों को अपनाकर, B) रणनीति में सुधार की अनदेखी करके, C) केवल शारीरिक अभ्यास पर ध्यान केंद्रित करके, D) रणनीति की समीक्षा से बचना</v>
      </c>
      <c r="I711" s="5" t="str">
        <f>IFERROR(__xludf.DUMMYFUNCTION("GOOGLETRANSLATE(D711, ""en"", ""hi"")"),"A) पिछले खेलों का विश्लेषण करके, अनुभवी खिलाड़ियों से सीखकर और रणनीतियों को अपनाकर")</f>
        <v>A) पिछले खेलों का विश्लेषण करके, अनुभवी खिलाड़ियों से सीखकर और रणनीतियों को अपनाकर</v>
      </c>
    </row>
    <row r="712" ht="22.5" customHeight="1">
      <c r="A712" s="2">
        <v>711.0</v>
      </c>
      <c r="B712" s="3" t="s">
        <v>7238</v>
      </c>
      <c r="C712" s="3" t="s">
        <v>7239</v>
      </c>
      <c r="D712" s="3" t="s">
        <v>7240</v>
      </c>
      <c r="F712" s="5" t="str">
        <f>IFERROR(__xludf.DUMMYFUNCTION("GOOGLETRANSLATE(A712, ""en"", ""hi"")"),"711")</f>
        <v>711</v>
      </c>
      <c r="G712" s="5" t="str">
        <f>IFERROR(__xludf.DUMMYFUNCTION("GOOGLETRANSLATE(B712, ""en"", ""hi"")"),"ढोल खेल में खेलते समय कोई खिलाड़ी अपनी प्रतिक्रिया समय को प्रभावी ढंग से कैसे सुधार सकता है?")</f>
        <v>ढोल खेल में खेलते समय कोई खिलाड़ी अपनी प्रतिक्रिया समय को प्रभावी ढंग से कैसे सुधार सकता है?</v>
      </c>
      <c r="H712" s="5" t="str">
        <f>IFERROR(__xludf.DUMMYFUNCTION("GOOGLETRANSLATE(C712, ""en"", ""hi"")"),"ए) प्रतिक्रिया अभ्यास का अभ्यास करके, ध्यान में सुधार करके, और नकली परिस्थितियों में प्रशिक्षण करके, बी) प्रतिक्रिया समय अभ्यास की अनदेखी करके, सी) केवल शक्ति प्रशिक्षण पर ध्यान केंद्रित करके, डी) प्रतिक्रिया अभ्यास से बचना")</f>
        <v>ए) प्रतिक्रिया अभ्यास का अभ्यास करके, ध्यान में सुधार करके, और नकली परिस्थितियों में प्रशिक्षण करके, बी) प्रतिक्रिया समय अभ्यास की अनदेखी करके, सी) केवल शक्ति प्रशिक्षण पर ध्यान केंद्रित करके, डी) प्रतिक्रिया अभ्यास से बचना</v>
      </c>
      <c r="I712" s="5" t="str">
        <f>IFERROR(__xludf.DUMMYFUNCTION("GOOGLETRANSLATE(D712, ""en"", ""hi"")"),"ए) प्रतिक्रिया अभ्यास, ध्यान में सुधार, और नकली परिस्थितियों में प्रशिक्षण द्वारा")</f>
        <v>ए) प्रतिक्रिया अभ्यास, ध्यान में सुधार, और नकली परिस्थितियों में प्रशिक्षण द्वारा</v>
      </c>
    </row>
    <row r="713" ht="22.5" customHeight="1">
      <c r="A713" s="2">
        <v>712.0</v>
      </c>
      <c r="B713" s="3" t="s">
        <v>7241</v>
      </c>
      <c r="C713" s="3" t="s">
        <v>7242</v>
      </c>
      <c r="D713" s="3" t="s">
        <v>7243</v>
      </c>
      <c r="F713" s="5" t="str">
        <f>IFERROR(__xludf.DUMMYFUNCTION("GOOGLETRANSLATE(A713, ""en"", ""hi"")"),"712")</f>
        <v>712</v>
      </c>
      <c r="G713" s="5" t="str">
        <f>IFERROR(__xludf.DUMMYFUNCTION("GOOGLETRANSLATE(B713, ""en"", ""hi"")"),"ढोल खेल में प्रभावी टीमवर्क रणनीति विकसित करने का एक महत्वपूर्ण पहलू क्या है?")</f>
        <v>ढोल खेल में प्रभावी टीमवर्क रणनीति विकसित करने का एक महत्वपूर्ण पहलू क्या है?</v>
      </c>
      <c r="H713" s="5" t="str">
        <f>IFERROR(__xludf.DUMMYFUNCTION("GOOGLETRANSLATE(C713, ""en"", ""hi"")"),"A) भूमिकाओं का समन्वय करना, एक साथ अभ्यास करना और स्पष्ट संचार सुनिश्चित करना, B) टीमवर्क रणनीतियों की अनदेखी करना, C) केवल व्यक्तिगत रणनीति पर ध्यान केंद्रित करना, D) टीम अभ्यास से बचना")</f>
        <v>A) भूमिकाओं का समन्वय करना, एक साथ अभ्यास करना और स्पष्ट संचार सुनिश्चित करना, B) टीमवर्क रणनीतियों की अनदेखी करना, C) केवल व्यक्तिगत रणनीति पर ध्यान केंद्रित करना, D) टीम अभ्यास से बचना</v>
      </c>
      <c r="I713" s="5" t="str">
        <f>IFERROR(__xludf.DUMMYFUNCTION("GOOGLETRANSLATE(D713, ""en"", ""hi"")"),"A) भूमिकाओं का समन्वय करना, एक साथ अभ्यास करना और स्पष्ट संचार सुनिश्चित करना")</f>
        <v>A) भूमिकाओं का समन्वय करना, एक साथ अभ्यास करना और स्पष्ट संचार सुनिश्चित करना</v>
      </c>
    </row>
    <row r="714" ht="22.5" customHeight="1">
      <c r="A714" s="2">
        <v>713.0</v>
      </c>
      <c r="B714" s="3" t="s">
        <v>7072</v>
      </c>
      <c r="C714" s="3" t="s">
        <v>7244</v>
      </c>
      <c r="D714" s="3" t="s">
        <v>7245</v>
      </c>
      <c r="F714" s="5" t="str">
        <f>IFERROR(__xludf.DUMMYFUNCTION("GOOGLETRANSLATE(A714, ""en"", ""hi"")"),"713")</f>
        <v>713</v>
      </c>
      <c r="G714" s="5" t="str">
        <f>IFERROR(__xludf.DUMMYFUNCTION("GOOGLETRANSLATE(B714, ""en"", ""hi"")"),"ढोल खेल में खेल को प्रभावित करने के लिए कोई खिलाड़ी अपनी ताकत का प्रभावी ढंग से उपयोग कैसे कर सकता है?")</f>
        <v>ढोल खेल में खेल को प्रभावित करने के लिए कोई खिलाड़ी अपनी ताकत का प्रभावी ढंग से उपयोग कैसे कर सकता है?</v>
      </c>
      <c r="H714" s="5" t="str">
        <f>IFERROR(__xludf.DUMMYFUNCTION("GOOGLETRANSLATE(C714, ""en"", ""hi"")"),"A) महत्वपूर्ण परिस्थितियों में ताकत का लाभ उठाकर, अपनी भूमिका को समझकर और टीम के साथियों का समर्थन करके, B) ताकत को नजरअंदाज करके, C) केवल कमजोरियों पर ध्यान केंद्रित करके, D) ताकत के उपयोग से बचना")</f>
        <v>A) महत्वपूर्ण परिस्थितियों में ताकत का लाभ उठाकर, अपनी भूमिका को समझकर और टीम के साथियों का समर्थन करके, B) ताकत को नजरअंदाज करके, C) केवल कमजोरियों पर ध्यान केंद्रित करके, D) ताकत के उपयोग से बचना</v>
      </c>
      <c r="I714" s="5" t="str">
        <f>IFERROR(__xludf.DUMMYFUNCTION("GOOGLETRANSLATE(D714, ""en"", ""hi"")"),"A) महत्वपूर्ण परिस्थितियों में अपनी शक्तियों का लाभ उठाकर, अपनी भूमिका को समझकर, और टीम के साथियों का समर्थन करके")</f>
        <v>A) महत्वपूर्ण परिस्थितियों में अपनी शक्तियों का लाभ उठाकर, अपनी भूमिका को समझकर, और टीम के साथियों का समर्थन करके</v>
      </c>
    </row>
    <row r="715" ht="22.5" customHeight="1">
      <c r="A715" s="2">
        <v>714.0</v>
      </c>
      <c r="B715" s="3" t="s">
        <v>7246</v>
      </c>
      <c r="C715" s="3" t="s">
        <v>7247</v>
      </c>
      <c r="D715" s="3" t="s">
        <v>7248</v>
      </c>
      <c r="F715" s="5" t="str">
        <f>IFERROR(__xludf.DUMMYFUNCTION("GOOGLETRANSLATE(A715, ""en"", ""hi"")"),"714")</f>
        <v>714</v>
      </c>
      <c r="G715" s="5" t="str">
        <f>IFERROR(__xludf.DUMMYFUNCTION("GOOGLETRANSLATE(B715, ""en"", ""hi"")"),"ढोल खेल में समग्र खेल प्रदर्शन में सुधार के लिए मुख्य रणनीति क्या है?")</f>
        <v>ढोल खेल में समग्र खेल प्रदर्शन में सुधार के लिए मुख्य रणनीति क्या है?</v>
      </c>
      <c r="H715" s="5" t="str">
        <f>IFERROR(__xludf.DUMMYFUNCTION("GOOGLETRANSLATE(C715, ""en"", ""hi"")"),"A) लगातार अभ्यास, मानसिक तैयारी और प्रभावी रणनीति कार्यान्वयन, B) प्रदर्शन सुधार की अनदेखी, C) केवल शारीरिक प्रशिक्षण पर ध्यान केंद्रित करना, D) अभ्यास की निरंतरता से बचना")</f>
        <v>A) लगातार अभ्यास, मानसिक तैयारी और प्रभावी रणनीति कार्यान्वयन, B) प्रदर्शन सुधार की अनदेखी, C) केवल शारीरिक प्रशिक्षण पर ध्यान केंद्रित करना, D) अभ्यास की निरंतरता से बचना</v>
      </c>
      <c r="I715" s="5" t="str">
        <f>IFERROR(__xludf.DUMMYFUNCTION("GOOGLETRANSLATE(D715, ""en"", ""hi"")"),"ए) लगातार अभ्यास, मानसिक तैयारी और प्रभावी रणनीति कार्यान्वयन")</f>
        <v>ए) लगातार अभ्यास, मानसिक तैयारी और प्रभावी रणनीति कार्यान्वयन</v>
      </c>
    </row>
    <row r="716" ht="22.5" customHeight="1">
      <c r="A716" s="2">
        <v>715.0</v>
      </c>
      <c r="B716" s="3" t="s">
        <v>7249</v>
      </c>
      <c r="C716" s="3" t="s">
        <v>7250</v>
      </c>
      <c r="D716" s="3" t="s">
        <v>7251</v>
      </c>
      <c r="F716" s="5" t="str">
        <f>IFERROR(__xludf.DUMMYFUNCTION("GOOGLETRANSLATE(A716, ""en"", ""hi"")"),"715")</f>
        <v>715</v>
      </c>
      <c r="G716" s="5" t="str">
        <f>IFERROR(__xludf.DUMMYFUNCTION("GOOGLETRANSLATE(B716, ""en"", ""hi"")"),"ढोल खेल में एक खिलाड़ी अपने सामरिक ज्ञान को प्रभावी ढंग से कैसे बढ़ा सकता है?")</f>
        <v>ढोल खेल में एक खिलाड़ी अपने सामरिक ज्ञान को प्रभावी ढंग से कैसे बढ़ा सकता है?</v>
      </c>
      <c r="H716" s="5" t="str">
        <f>IFERROR(__xludf.DUMMYFUNCTION("GOOGLETRANSLATE(C716, ""en"", ""hi"")"),"A) खेल परिदृश्यों का अध्ययन करके, विशेषज्ञों से सीखकर और सामरिक अभ्यास का अभ्यास करके, B) सामरिक ज्ञान की अनदेखी करके, C) केवल तकनीकी कौशल पर ध्यान केंद्रित करके, D) सामरिक अभ्यास से बचना")</f>
        <v>A) खेल परिदृश्यों का अध्ययन करके, विशेषज्ञों से सीखकर और सामरिक अभ्यास का अभ्यास करके, B) सामरिक ज्ञान की अनदेखी करके, C) केवल तकनीकी कौशल पर ध्यान केंद्रित करके, D) सामरिक अभ्यास से बचना</v>
      </c>
      <c r="I716" s="5" t="str">
        <f>IFERROR(__xludf.DUMMYFUNCTION("GOOGLETRANSLATE(D716, ""en"", ""hi"")"),"A) खेल परिदृश्यों का अध्ययन करके, विशेषज्ञों से सीखकर, और सामरिक अभ्यास करके")</f>
        <v>A) खेल परिदृश्यों का अध्ययन करके, विशेषज्ञों से सीखकर, और सामरिक अभ्यास करके</v>
      </c>
    </row>
    <row r="717" ht="22.5" customHeight="1">
      <c r="A717" s="2">
        <v>716.0</v>
      </c>
      <c r="B717" s="3" t="s">
        <v>7252</v>
      </c>
      <c r="C717" s="3" t="s">
        <v>7253</v>
      </c>
      <c r="D717" s="3" t="s">
        <v>7254</v>
      </c>
      <c r="F717" s="5" t="str">
        <f>IFERROR(__xludf.DUMMYFUNCTION("GOOGLETRANSLATE(A717, ""en"", ""hi"")"),"716")</f>
        <v>716</v>
      </c>
      <c r="G717" s="5" t="str">
        <f>IFERROR(__xludf.DUMMYFUNCTION("GOOGLETRANSLATE(B717, ""en"", ""hi"")"),"ढोल खेल में खिलाड़ी के निर्णय लेने के कौशल को सुधारने के लिए प्रभावी तरीका क्या है?")</f>
        <v>ढोल खेल में खिलाड़ी के निर्णय लेने के कौशल को सुधारने के लिए प्रभावी तरीका क्या है?</v>
      </c>
      <c r="H717" s="5" t="str">
        <f>IFERROR(__xludf.DUMMYFUNCTION("GOOGLETRANSLATE(C717, ""en"", ""hi"")"),"A) निर्णय लेने के परिदृश्यों का अभ्यास करके, पिछले निर्णयों का विश्लेषण करके और प्रतिक्रिया प्राप्त करके, B) निर्णय लेने के अभ्यास की अनदेखी करके, C) केवल शारीरिक कौशल पर ध्यान केंद्रित करके, D) निर्णय विश्लेषण से बचना")</f>
        <v>A) निर्णय लेने के परिदृश्यों का अभ्यास करके, पिछले निर्णयों का विश्लेषण करके और प्रतिक्रिया प्राप्त करके, B) निर्णय लेने के अभ्यास की अनदेखी करके, C) केवल शारीरिक कौशल पर ध्यान केंद्रित करके, D) निर्णय विश्लेषण से बचना</v>
      </c>
      <c r="I717" s="5" t="str">
        <f>IFERROR(__xludf.DUMMYFUNCTION("GOOGLETRANSLATE(D717, ""en"", ""hi"")"),"A) निर्णय लेने के परिदृश्यों का अभ्यास करके, पिछले निर्णयों का विश्लेषण करके, और प्रतिक्रिया प्राप्त करके")</f>
        <v>A) निर्णय लेने के परिदृश्यों का अभ्यास करके, पिछले निर्णयों का विश्लेषण करके, और प्रतिक्रिया प्राप्त करके</v>
      </c>
    </row>
    <row r="718" ht="22.5" customHeight="1">
      <c r="A718" s="2">
        <v>717.0</v>
      </c>
      <c r="B718" s="3" t="s">
        <v>7255</v>
      </c>
      <c r="C718" s="3" t="s">
        <v>7256</v>
      </c>
      <c r="D718" s="3" t="s">
        <v>7257</v>
      </c>
      <c r="F718" s="5" t="str">
        <f>IFERROR(__xludf.DUMMYFUNCTION("GOOGLETRANSLATE(A718, ""en"", ""hi"")"),"717")</f>
        <v>717</v>
      </c>
      <c r="G718" s="5" t="str">
        <f>IFERROR(__xludf.DUMMYFUNCTION("GOOGLETRANSLATE(B718, ""en"", ""hi"")"),"ढोल खेल में तीव्र मैचों के दौरान एक खिलाड़ी अपने प्रदर्शन को प्रभावी ढंग से कैसे प्रबंधित कर सकता है?")</f>
        <v>ढोल खेल में तीव्र मैचों के दौरान एक खिलाड़ी अपने प्रदर्शन को प्रभावी ढंग से कैसे प्रबंधित कर सकता है?</v>
      </c>
      <c r="H718" s="5" t="str">
        <f>IFERROR(__xludf.DUMMYFUNCTION("GOOGLETRANSLATE(C718, ""en"", ""hi"")"),"A) ध्यान केंद्रित रखना, अपनी गति नियंत्रित करना और मानसिक रणनीतियों का उपयोग करना, B) प्रदर्शन प्रबंधन की अनदेखी करना, C) केवल शारीरिक परिश्रम पर ध्यान केंद्रित करना, D) मानसिक तैयारी से बचना")</f>
        <v>A) ध्यान केंद्रित रखना, अपनी गति नियंत्रित करना और मानसिक रणनीतियों का उपयोग करना, B) प्रदर्शन प्रबंधन की अनदेखी करना, C) केवल शारीरिक परिश्रम पर ध्यान केंद्रित करना, D) मानसिक तैयारी से बचना</v>
      </c>
      <c r="I718" s="5" t="str">
        <f>IFERROR(__xludf.DUMMYFUNCTION("GOOGLETRANSLATE(D718, ""en"", ""hi"")"),"A) ध्यान केंद्रित करके, अपनी गति बनाए रखकर, और मानसिक रणनीतियों का उपयोग करके")</f>
        <v>A) ध्यान केंद्रित करके, अपनी गति बनाए रखकर, और मानसिक रणनीतियों का उपयोग करके</v>
      </c>
    </row>
    <row r="719" ht="22.5" customHeight="1">
      <c r="A719" s="2">
        <v>718.0</v>
      </c>
      <c r="B719" s="3" t="s">
        <v>7258</v>
      </c>
      <c r="C719" s="3" t="s">
        <v>7259</v>
      </c>
      <c r="D719" s="3" t="s">
        <v>7260</v>
      </c>
      <c r="F719" s="5" t="str">
        <f>IFERROR(__xludf.DUMMYFUNCTION("GOOGLETRANSLATE(A719, ""en"", ""hi"")"),"718")</f>
        <v>718</v>
      </c>
      <c r="G719" s="5" t="str">
        <f>IFERROR(__xludf.DUMMYFUNCTION("GOOGLETRANSLATE(B719, ""en"", ""hi"")"),"ढोल खेल में सफलता पाने का मुख्य कारक क्या है?")</f>
        <v>ढोल खेल में सफलता पाने का मुख्य कारक क्या है?</v>
      </c>
      <c r="H719" s="5" t="str">
        <f>IFERROR(__xludf.DUMMYFUNCTION("GOOGLETRANSLATE(C719, ""en"", ""hi"")"),"A) कौशल विकास, रणनीतिक योजना और प्रभावी टीमवर्क का संयोजन, B) सफलता कारकों की अनदेखी, C) केवल व्यक्तिगत कौशल पर ध्यान केंद्रित करना, D) टीमवर्क से बचना")</f>
        <v>A) कौशल विकास, रणनीतिक योजना और प्रभावी टीमवर्क का संयोजन, B) सफलता कारकों की अनदेखी, C) केवल व्यक्तिगत कौशल पर ध्यान केंद्रित करना, D) टीमवर्क से बचना</v>
      </c>
      <c r="I719" s="5" t="str">
        <f>IFERROR(__xludf.DUMMYFUNCTION("GOOGLETRANSLATE(D719, ""en"", ""hi"")"),"A) कौशल विकास, रणनीतिक योजना और प्रभावी टीमवर्क का संयोजन")</f>
        <v>A) कौशल विकास, रणनीतिक योजना और प्रभावी टीमवर्क का संयोजन</v>
      </c>
    </row>
    <row r="720" ht="22.5" customHeight="1">
      <c r="A720" s="2">
        <v>719.0</v>
      </c>
      <c r="B720" s="3" t="s">
        <v>7261</v>
      </c>
      <c r="C720" s="3" t="s">
        <v>7262</v>
      </c>
      <c r="D720" s="3" t="s">
        <v>7263</v>
      </c>
      <c r="F720" s="5" t="str">
        <f>IFERROR(__xludf.DUMMYFUNCTION("GOOGLETRANSLATE(A720, ""en"", ""hi"")"),"719")</f>
        <v>719</v>
      </c>
      <c r="G720" s="5" t="str">
        <f>IFERROR(__xludf.DUMMYFUNCTION("GOOGLETRANSLATE(B720, ""en"", ""hi"")"),"ढोल खेल के एक महत्वपूर्ण मैच के दौरान, एक खिलाड़ी देखता है कि विरोधी टीम लगातार एक ही खिलाड़ी को निशाना बना रही है। लक्षित खिलाड़ी के लिए सबसे अच्छी रणनीति क्या होनी चाहिए?")</f>
        <v>ढोल खेल के एक महत्वपूर्ण मैच के दौरान, एक खिलाड़ी देखता है कि विरोधी टीम लगातार एक ही खिलाड़ी को निशाना बना रही है। लक्षित खिलाड़ी के लिए सबसे अच्छी रणनीति क्या होनी चाहिए?</v>
      </c>
      <c r="H720" s="5" t="str">
        <f>IFERROR(__xludf.DUMMYFUNCTION("GOOGLETRANSLATE(C720, ""en"", ""hi"")"),"ए) रक्षात्मक तकनीकों पर काम करें और समर्थन के लिए टीम के साथियों से संवाद करें, बी) लक्ष्यीकरण को अनदेखा करें, सी) केवल आक्रमण पर ध्यान केंद्रित करें, डी) टीम को सूचित किए बिना स्थिति बदलें")</f>
        <v>ए) रक्षात्मक तकनीकों पर काम करें और समर्थन के लिए टीम के साथियों से संवाद करें, बी) लक्ष्यीकरण को अनदेखा करें, सी) केवल आक्रमण पर ध्यान केंद्रित करें, डी) टीम को सूचित किए बिना स्थिति बदलें</v>
      </c>
      <c r="I720" s="5" t="str">
        <f>IFERROR(__xludf.DUMMYFUNCTION("GOOGLETRANSLATE(D720, ""en"", ""hi"")"),"A) रक्षात्मक तकनीकों पर काम करें और समर्थन के लिए टीम के साथियों से संवाद करें")</f>
        <v>A) रक्षात्मक तकनीकों पर काम करें और समर्थन के लिए टीम के साथियों से संवाद करें</v>
      </c>
    </row>
    <row r="721" ht="22.5" customHeight="1">
      <c r="A721" s="2">
        <v>720.0</v>
      </c>
      <c r="B721" s="3" t="s">
        <v>7264</v>
      </c>
      <c r="C721" s="3" t="s">
        <v>7265</v>
      </c>
      <c r="D721" s="3" t="s">
        <v>7266</v>
      </c>
      <c r="F721" s="5" t="str">
        <f>IFERROR(__xludf.DUMMYFUNCTION("GOOGLETRANSLATE(A721, ""en"", ""hi"")"),"720")</f>
        <v>720</v>
      </c>
      <c r="G721" s="5" t="str">
        <f>IFERROR(__xludf.DUMMYFUNCTION("GOOGLETRANSLATE(B721, ""en"", ""hi"")"),"ढोल खेल के एक करीबी मुकाबले में, विरोधी टीम ने महत्वपूर्ण बढ़त हासिल कर ली है। खेल को पलटने के लिए पिछड़ रही टीम को किस पर ध्यान केंद्रित करना चाहिए?")</f>
        <v>ढोल खेल के एक करीबी मुकाबले में, विरोधी टीम ने महत्वपूर्ण बढ़त हासिल कर ली है। खेल को पलटने के लिए पिछड़ रही टीम को किस पर ध्यान केंद्रित करना चाहिए?</v>
      </c>
      <c r="H721" s="5" t="str">
        <f>IFERROR(__xludf.DUMMYFUNCTION("GOOGLETRANSLATE(C721, ""en"", ""hi"")"),"ए) रणनीति का पुनर्मूल्यांकन और समायोजन करें, दबाव बढ़ाएं और मानसिक रूप से केंद्रित रहें, बी) उसी रणनीति के साथ जारी रखें, सी) रणनीति बदलने से बचें, डी) केवल व्यक्तिगत प्रदर्शन पर ध्यान केंद्रित करें")</f>
        <v>ए) रणनीति का पुनर्मूल्यांकन और समायोजन करें, दबाव बढ़ाएं और मानसिक रूप से केंद्रित रहें, बी) उसी रणनीति के साथ जारी रखें, सी) रणनीति बदलने से बचें, डी) केवल व्यक्तिगत प्रदर्शन पर ध्यान केंद्रित करें</v>
      </c>
      <c r="I721" s="5" t="str">
        <f>IFERROR(__xludf.DUMMYFUNCTION("GOOGLETRANSLATE(D721, ""en"", ""hi"")"),"A) रणनीति का पुनर्मूल्यांकन और समायोजन करें, दबाव बढ़ाएँ, और मानसिक रूप से केंद्रित रहें")</f>
        <v>A) रणनीति का पुनर्मूल्यांकन और समायोजन करें, दबाव बढ़ाएँ, और मानसिक रूप से केंद्रित रहें</v>
      </c>
    </row>
    <row r="722" ht="22.5" customHeight="1">
      <c r="A722" s="2">
        <v>721.0</v>
      </c>
      <c r="B722" s="3" t="s">
        <v>7267</v>
      </c>
      <c r="C722" s="3" t="s">
        <v>7268</v>
      </c>
      <c r="D722" s="3" t="s">
        <v>7269</v>
      </c>
      <c r="F722" s="5" t="str">
        <f>IFERROR(__xludf.DUMMYFUNCTION("GOOGLETRANSLATE(A722, ""en"", ""hi"")"),"721")</f>
        <v>721</v>
      </c>
      <c r="G722" s="5" t="str">
        <f>IFERROR(__xludf.DUMMYFUNCTION("GOOGLETRANSLATE(B722, ""en"", ""hi"")"),"अपनी तेज गति के खेल के लिए जानी जाने वाली टीम के खिलाफ ढोल खेल मैच की तैयारी का मुख्य पहलू क्या है?")</f>
        <v>अपनी तेज गति के खेल के लिए जानी जाने वाली टीम के खिलाफ ढोल खेल मैच की तैयारी का मुख्य पहलू क्या है?</v>
      </c>
      <c r="H722" s="5" t="str">
        <f>IFERROR(__xludf.DUMMYFUNCTION("GOOGLETRANSLATE(C722, ""en"", ""hi"")"),"A) गति अभ्यास और त्वरित निर्णय लेने पर ध्यान केंद्रित करें, B) प्रतिद्वंद्वी की शैली को अनदेखा करें, C) केवल पारंपरिक तकनीकों का अभ्यास करें, D) केवल शक्ति प्रशिक्षण पर ध्यान केंद्रित करें")</f>
        <v>A) गति अभ्यास और त्वरित निर्णय लेने पर ध्यान केंद्रित करें, B) प्रतिद्वंद्वी की शैली को अनदेखा करें, C) केवल पारंपरिक तकनीकों का अभ्यास करें, D) केवल शक्ति प्रशिक्षण पर ध्यान केंद्रित करें</v>
      </c>
      <c r="I722" s="5" t="str">
        <f>IFERROR(__xludf.DUMMYFUNCTION("GOOGLETRANSLATE(D722, ""en"", ""hi"")"),"A) गति अभ्यास और त्वरित निर्णय लेने पर ध्यान केंद्रित करें")</f>
        <v>A) गति अभ्यास और त्वरित निर्णय लेने पर ध्यान केंद्रित करें</v>
      </c>
    </row>
    <row r="723" ht="22.5" customHeight="1">
      <c r="A723" s="2">
        <v>722.0</v>
      </c>
      <c r="B723" s="3" t="s">
        <v>7270</v>
      </c>
      <c r="C723" s="3" t="s">
        <v>7271</v>
      </c>
      <c r="D723" s="3" t="s">
        <v>7272</v>
      </c>
      <c r="F723" s="5" t="str">
        <f>IFERROR(__xludf.DUMMYFUNCTION("GOOGLETRANSLATE(A723, ""en"", ""hi"")"),"722")</f>
        <v>722</v>
      </c>
      <c r="G723" s="5" t="str">
        <f>IFERROR(__xludf.DUMMYFUNCTION("GOOGLETRANSLATE(B723, ""en"", ""hi"")"),"यदि ढोल खेल में कोई खिलाड़ी अपने थ्रो में सटीकता के साथ संघर्ष कर रहा है, तो अभ्यास के दौरान उनका प्राथमिक ध्यान किस पर होना चाहिए?")</f>
        <v>यदि ढोल खेल में कोई खिलाड़ी अपने थ्रो में सटीकता के साथ संघर्ष कर रहा है, तो अभ्यास के दौरान उनका प्राथमिक ध्यान किस पर होना चाहिए?</v>
      </c>
      <c r="H723" s="5" t="str">
        <f>IFERROR(__xludf.DUMMYFUNCTION("GOOGLETRANSLATE(C723, ""en"", ""hi"")"),"A) लक्षित अभ्यास के माध्यम से सटीकता में सुधार करें और प्रतिक्रिया प्राप्त करें, B) इसके बजाय शक्ति पर ध्यान केंद्रित करें, C) मुद्दे को अनदेखा करें, D) केवल रक्षात्मक कौशल का अभ्यास करें")</f>
        <v>A) लक्षित अभ्यास के माध्यम से सटीकता में सुधार करें और प्रतिक्रिया प्राप्त करें, B) इसके बजाय शक्ति पर ध्यान केंद्रित करें, C) मुद्दे को अनदेखा करें, D) केवल रक्षात्मक कौशल का अभ्यास करें</v>
      </c>
      <c r="I723" s="5" t="str">
        <f>IFERROR(__xludf.DUMMYFUNCTION("GOOGLETRANSLATE(D723, ""en"", ""hi"")"),"A) लक्षित अभ्यास के माध्यम से सटीकता में सुधार करें और प्रतिक्रिया प्राप्त करें")</f>
        <v>A) लक्षित अभ्यास के माध्यम से सटीकता में सुधार करें और प्रतिक्रिया प्राप्त करें</v>
      </c>
    </row>
    <row r="724" ht="22.5" customHeight="1">
      <c r="A724" s="2">
        <v>723.0</v>
      </c>
      <c r="B724" s="3" t="s">
        <v>7273</v>
      </c>
      <c r="C724" s="3" t="s">
        <v>7274</v>
      </c>
      <c r="D724" s="3" t="s">
        <v>7275</v>
      </c>
      <c r="F724" s="5" t="str">
        <f>IFERROR(__xludf.DUMMYFUNCTION("GOOGLETRANSLATE(A724, ""en"", ""hi"")"),"723")</f>
        <v>723</v>
      </c>
      <c r="G724" s="5" t="str">
        <f>IFERROR(__xludf.DUMMYFUNCTION("GOOGLETRANSLATE(B724, ""en"", ""hi"")"),"ढोल खेल टूर्नामेंट में, खिलाड़ी को अलग-अलग आकार के मैदानों के अनुसार ढलना पड़ता है। इस समायोजन के लिए सबसे प्रभावी तरीका क्या है?")</f>
        <v>ढोल खेल टूर्नामेंट में, खिलाड़ी को अलग-अलग आकार के मैदानों के अनुसार ढलना पड़ता है। इस समायोजन के लिए सबसे प्रभावी तरीका क्या है?</v>
      </c>
      <c r="H724" s="5" t="str">
        <f>IFERROR(__xludf.DUMMYFUNCTION("GOOGLETRANSLATE(C724, ""en"", ""hi"")"),"A) विभिन्न मैदान आकारों पर अभ्यास करें और तदनुसार रणनीतियों को अनुकूलित करें, B) एक मैदान आकार पर टिके रहें, C) मैदान आकार परिवर्तनों को अनदेखा करें, D) केवल व्यक्तिगत कौशल पर ध्यान केंद्रित करें")</f>
        <v>A) विभिन्न मैदान आकारों पर अभ्यास करें और तदनुसार रणनीतियों को अनुकूलित करें, B) एक मैदान आकार पर टिके रहें, C) मैदान आकार परिवर्तनों को अनदेखा करें, D) केवल व्यक्तिगत कौशल पर ध्यान केंद्रित करें</v>
      </c>
      <c r="I724" s="5" t="str">
        <f>IFERROR(__xludf.DUMMYFUNCTION("GOOGLETRANSLATE(D724, ""en"", ""hi"")"),"A) विभिन्न मैदान आकारों पर अभ्यास करें और तदनुसार रणनीति अपनाएं")</f>
        <v>A) विभिन्न मैदान आकारों पर अभ्यास करें और तदनुसार रणनीति अपनाएं</v>
      </c>
    </row>
    <row r="725" ht="22.5" customHeight="1">
      <c r="A725" s="2">
        <v>724.0</v>
      </c>
      <c r="B725" s="3" t="s">
        <v>7276</v>
      </c>
      <c r="C725" s="3" t="s">
        <v>7277</v>
      </c>
      <c r="D725" s="3" t="s">
        <v>7278</v>
      </c>
      <c r="F725" s="5" t="str">
        <f>IFERROR(__xludf.DUMMYFUNCTION("GOOGLETRANSLATE(A725, ""en"", ""hi"")"),"724")</f>
        <v>724</v>
      </c>
      <c r="G725" s="5" t="str">
        <f>IFERROR(__xludf.DUMMYFUNCTION("GOOGLETRANSLATE(B725, ""en"", ""hi"")"),"ढोल खेल के दौरान, किसी टीम को उस स्थिति से कैसे निपटना चाहिए, जहां एक खिलाड़ी विपक्षी टीम से काफी बेहतर प्रदर्शन कर रहा हो?")</f>
        <v>ढोल खेल के दौरान, किसी टीम को उस स्थिति से कैसे निपटना चाहिए, जहां एक खिलाड़ी विपक्षी टीम से काफी बेहतर प्रदर्शन कर रहा हो?</v>
      </c>
      <c r="H725" s="5" t="str">
        <f>IFERROR(__xludf.DUMMYFUNCTION("GOOGLETRANSLATE(C725, ""en"", ""hi"")"),"A) टीम की रणनीतियों पर ध्यान केंद्रित करते हुए खिलाड़ी को विभिन्न भूमिकाओं में समर्थन और घुमाना, B) स्थिति को अनदेखा करना, C) खिलाड़ी को तुरंत बदलना, D) केवल उस खिलाड़ी के सुधार पर ध्यान केंद्रित करना")</f>
        <v>A) टीम की रणनीतियों पर ध्यान केंद्रित करते हुए खिलाड़ी को विभिन्न भूमिकाओं में समर्थन और घुमाना, B) स्थिति को अनदेखा करना, C) खिलाड़ी को तुरंत बदलना, D) केवल उस खिलाड़ी के सुधार पर ध्यान केंद्रित करना</v>
      </c>
      <c r="I725" s="5" t="str">
        <f>IFERROR(__xludf.DUMMYFUNCTION("GOOGLETRANSLATE(D725, ""en"", ""hi"")"),"ए) टीम की रणनीतियों पर ध्यान केंद्रित करते हुए खिलाड़ी को विभिन्न भूमिकाओं में सहयोग देना और घुमाना")</f>
        <v>ए) टीम की रणनीतियों पर ध्यान केंद्रित करते हुए खिलाड़ी को विभिन्न भूमिकाओं में सहयोग देना और घुमाना</v>
      </c>
    </row>
    <row r="726" ht="22.5" customHeight="1">
      <c r="A726" s="2">
        <v>725.0</v>
      </c>
      <c r="B726" s="3" t="s">
        <v>7279</v>
      </c>
      <c r="C726" s="3" t="s">
        <v>7280</v>
      </c>
      <c r="D726" s="3" t="s">
        <v>7281</v>
      </c>
      <c r="F726" s="5" t="str">
        <f>IFERROR(__xludf.DUMMYFUNCTION("GOOGLETRANSLATE(A726, ""en"", ""hi"")"),"725")</f>
        <v>725</v>
      </c>
      <c r="G726" s="5" t="str">
        <f>IFERROR(__xludf.DUMMYFUNCTION("GOOGLETRANSLATE(B726, ""en"", ""hi"")"),"ढोल खेल के मैच में, जहां कोई टीम हार रही हो, गति पुनः प्राप्त करने के लिए मूलभूत रणनीति क्या है?")</f>
        <v>ढोल खेल के मैच में, जहां कोई टीम हार रही हो, गति पुनः प्राप्त करने के लिए मूलभूत रणनीति क्या है?</v>
      </c>
      <c r="H726" s="5" t="str">
        <f>IFERROR(__xludf.DUMMYFUNCTION("GOOGLETRANSLATE(C726, ""en"", ""hi"")"),"A) सुनियोजित खेल को अंजाम देना और टीम के मनोबल को मजबूत करना, B) केवल व्यक्तिगत प्रदर्शन पर ध्यान केंद्रित करना, C) रणनीति बदलने से बचना, D) वर्तमान खेल की गतिशीलता को अनदेखा करना")</f>
        <v>A) सुनियोजित खेल को अंजाम देना और टीम के मनोबल को मजबूत करना, B) केवल व्यक्तिगत प्रदर्शन पर ध्यान केंद्रित करना, C) रणनीति बदलने से बचना, D) वर्तमान खेल की गतिशीलता को अनदेखा करना</v>
      </c>
      <c r="I726" s="5" t="str">
        <f>IFERROR(__xludf.DUMMYFUNCTION("GOOGLETRANSLATE(D726, ""en"", ""hi"")"),"A) सुनियोजित खेल का निष्पादन करना और टीम का मनोबल मजबूत करना")</f>
        <v>A) सुनियोजित खेल का निष्पादन करना और टीम का मनोबल मजबूत करना</v>
      </c>
    </row>
    <row r="727" ht="22.5" customHeight="1">
      <c r="A727" s="2">
        <v>726.0</v>
      </c>
      <c r="B727" s="3" t="s">
        <v>7282</v>
      </c>
      <c r="C727" s="3" t="s">
        <v>7283</v>
      </c>
      <c r="D727" s="3" t="s">
        <v>7284</v>
      </c>
      <c r="F727" s="5" t="str">
        <f>IFERROR(__xludf.DUMMYFUNCTION("GOOGLETRANSLATE(A727, ""en"", ""hi"")"),"726")</f>
        <v>726</v>
      </c>
      <c r="G727" s="5" t="str">
        <f>IFERROR(__xludf.DUMMYFUNCTION("GOOGLETRANSLATE(B727, ""en"", ""hi"")"),"ढोल खेल में खिलाड़ी मजबूत रक्षात्मक रणनीति वाली टीम के खिलाफ मैच के लिए सर्वोत्तम तैयारी कैसे कर सकते हैं?")</f>
        <v>ढोल खेल में खिलाड़ी मजबूत रक्षात्मक रणनीति वाली टीम के खिलाफ मैच के लिए सर्वोत्तम तैयारी कैसे कर सकते हैं?</v>
      </c>
      <c r="H727" s="5" t="str">
        <f>IFERROR(__xludf.DUMMYFUNCTION("GOOGLETRANSLATE(C727, ""en"", ""hi"")"),"A) रचनात्मक आक्रामक खेल विकसित करें और रक्षात्मक सेटअप को तोड़ने का अभ्यास करें, B) केवल रक्षा पर ध्यान केंद्रित करें, C) प्रतिद्वंद्वी की रक्षा को अनदेखा करें, D) पारंपरिक खेलों पर टिके रहें")</f>
        <v>A) रचनात्मक आक्रामक खेल विकसित करें और रक्षात्मक सेटअप को तोड़ने का अभ्यास करें, B) केवल रक्षा पर ध्यान केंद्रित करें, C) प्रतिद्वंद्वी की रक्षा को अनदेखा करें, D) पारंपरिक खेलों पर टिके रहें</v>
      </c>
      <c r="I727" s="5" t="str">
        <f>IFERROR(__xludf.DUMMYFUNCTION("GOOGLETRANSLATE(D727, ""en"", ""hi"")"),"A) रचनात्मक आक्रामक खेल विकसित करें और रक्षात्मक सेटअप को तोड़ने का अभ्यास करें")</f>
        <v>A) रचनात्मक आक्रामक खेल विकसित करें और रक्षात्मक सेटअप को तोड़ने का अभ्यास करें</v>
      </c>
    </row>
    <row r="728" ht="22.5" customHeight="1">
      <c r="A728" s="2">
        <v>727.0</v>
      </c>
      <c r="B728" s="3" t="s">
        <v>7285</v>
      </c>
      <c r="C728" s="3" t="s">
        <v>7286</v>
      </c>
      <c r="D728" s="3" t="s">
        <v>7287</v>
      </c>
      <c r="F728" s="5" t="str">
        <f>IFERROR(__xludf.DUMMYFUNCTION("GOOGLETRANSLATE(A728, ""en"", ""hi"")"),"727")</f>
        <v>727</v>
      </c>
      <c r="G728" s="5" t="str">
        <f>IFERROR(__xludf.DUMMYFUNCTION("GOOGLETRANSLATE(B728, ""en"", ""hi"")"),"ऐसी स्थिति में जब ढोल खेल टीम लगातार गलतियां कर रही हो, अभ्यास के दौरान उनका तत्काल ध्यान किस पर होना चाहिए?")</f>
        <v>ऐसी स्थिति में जब ढोल खेल टीम लगातार गलतियां कर रही हो, अभ्यास के दौरान उनका तत्काल ध्यान किस पर होना चाहिए?</v>
      </c>
      <c r="H728" s="5" t="str">
        <f>IFERROR(__xludf.DUMMYFUNCTION("GOOGLETRANSLATE(C728, ""en"", ""hi"")"),"ए) सामान्य त्रुटियों को पहचानें और सुधारें, सटीकता का अभ्यास करें, और फोकस बढ़ाएं, बी) उसी अभ्यास दिनचर्या को जारी रखें, सी) व्यक्तिगत शक्तियों पर ध्यान केंद्रित करें, डी) त्रुटियों को सीधे संबोधित करने से बचें")</f>
        <v>ए) सामान्य त्रुटियों को पहचानें और सुधारें, सटीकता का अभ्यास करें, और फोकस बढ़ाएं, बी) उसी अभ्यास दिनचर्या को जारी रखें, सी) व्यक्तिगत शक्तियों पर ध्यान केंद्रित करें, डी) त्रुटियों को सीधे संबोधित करने से बचें</v>
      </c>
      <c r="I728" s="5" t="str">
        <f>IFERROR(__xludf.DUMMYFUNCTION("GOOGLETRANSLATE(D728, ""en"", ""hi"")"),"A) सामान्य त्रुटियों की पहचान करना और उन्हें सुधारना, सटीकता का अभ्यास करना, और फोकस बढ़ाना")</f>
        <v>A) सामान्य त्रुटियों की पहचान करना और उन्हें सुधारना, सटीकता का अभ्यास करना, और फोकस बढ़ाना</v>
      </c>
    </row>
    <row r="729" ht="22.5" customHeight="1">
      <c r="A729" s="2">
        <v>728.0</v>
      </c>
      <c r="B729" s="3" t="s">
        <v>7288</v>
      </c>
      <c r="C729" s="3" t="s">
        <v>7289</v>
      </c>
      <c r="D729" s="3" t="s">
        <v>7290</v>
      </c>
      <c r="F729" s="5" t="str">
        <f>IFERROR(__xludf.DUMMYFUNCTION("GOOGLETRANSLATE(A729, ""en"", ""hi"")"),"728")</f>
        <v>728</v>
      </c>
      <c r="G729" s="5" t="str">
        <f>IFERROR(__xludf.DUMMYFUNCTION("GOOGLETRANSLATE(B729, ""en"", ""hi"")"),"ढोल खेल खिलाड़ी के लिए मैदान पर टीम वर्क और संचार को बेहतर बनाने का प्रभावी तरीका क्या है?")</f>
        <v>ढोल खेल खिलाड़ी के लिए मैदान पर टीम वर्क और संचार को बेहतर बनाने का प्रभावी तरीका क्या है?</v>
      </c>
      <c r="H729" s="5" t="str">
        <f>IFERROR(__xludf.DUMMYFUNCTION("GOOGLETRANSLATE(C729, ""en"", ""hi"")"),"ए) टीम-निर्माण अभ्यास में शामिल हों, स्पष्ट संकेतों का अभ्यास करें, और नियमित रणनीति बैठकें करें, बी) केवल व्यक्तिगत अभ्यास पर ध्यान केंद्रित करें, सी) टीम इंटरैक्शन से बचें, डी) केवल मौखिक संचार पर भरोसा करें")</f>
        <v>ए) टीम-निर्माण अभ्यास में शामिल हों, स्पष्ट संकेतों का अभ्यास करें, और नियमित रणनीति बैठकें करें, बी) केवल व्यक्तिगत अभ्यास पर ध्यान केंद्रित करें, सी) टीम इंटरैक्शन से बचें, डी) केवल मौखिक संचार पर भरोसा करें</v>
      </c>
      <c r="I729" s="5" t="str">
        <f>IFERROR(__xludf.DUMMYFUNCTION("GOOGLETRANSLATE(D729, ""en"", ""hi"")"),"ए) टीम-निर्माण अभ्यास में शामिल हों, स्पष्ट संकेतों का अभ्यास करें, और नियमित रणनीति बैठकें करें")</f>
        <v>ए) टीम-निर्माण अभ्यास में शामिल हों, स्पष्ट संकेतों का अभ्यास करें, और नियमित रणनीति बैठकें करें</v>
      </c>
    </row>
    <row r="730" ht="22.5" customHeight="1">
      <c r="A730" s="2">
        <v>729.0</v>
      </c>
      <c r="B730" s="3" t="s">
        <v>7291</v>
      </c>
      <c r="C730" s="3" t="s">
        <v>7292</v>
      </c>
      <c r="D730" s="3" t="s">
        <v>7293</v>
      </c>
      <c r="F730" s="5" t="str">
        <f>IFERROR(__xludf.DUMMYFUNCTION("GOOGLETRANSLATE(A730, ""en"", ""hi"")"),"729")</f>
        <v>729</v>
      </c>
      <c r="G730" s="5" t="str">
        <f>IFERROR(__xludf.DUMMYFUNCTION("GOOGLETRANSLATE(B730, ""en"", ""hi"")"),"जब किसी उच्च-दांव वाले ढोल खेल मैच की तैयारी की जा रही हो, तो टीम के अभ्यास सत्रों का प्राथमिक फोकस क्या होना चाहिए?")</f>
        <v>जब किसी उच्च-दांव वाले ढोल खेल मैच की तैयारी की जा रही हो, तो टीम के अभ्यास सत्रों का प्राथमिक फोकस क्या होना चाहिए?</v>
      </c>
      <c r="H730" s="5" t="str">
        <f>IFERROR(__xludf.DUMMYFUNCTION("GOOGLETRANSLATE(C730, ""en"", ""hi"")"),"ए) मैच की परिस्थितियों का अनुकरण करें, रणनीतियों को परिष्कृत करें और टीम सामंजस्य बनाएं, बी) केवल व्यक्तिगत कौशल पर ध्यान केंद्रित करें, सी) आदर्श परिस्थितियों में अभ्यास करें, डी) गहन अभ्यास सत्रों से बचें")</f>
        <v>ए) मैच की परिस्थितियों का अनुकरण करें, रणनीतियों को परिष्कृत करें और टीम सामंजस्य बनाएं, बी) केवल व्यक्तिगत कौशल पर ध्यान केंद्रित करें, सी) आदर्श परिस्थितियों में अभ्यास करें, डी) गहन अभ्यास सत्रों से बचें</v>
      </c>
      <c r="I730" s="5" t="str">
        <f>IFERROR(__xludf.DUMMYFUNCTION("GOOGLETRANSLATE(D730, ""en"", ""hi"")"),"A) मैच की परिस्थितियों का अनुकरण करें, रणनीतियों को परिष्कृत करें, और टीम सामंजस्य का निर्माण करें")</f>
        <v>A) मैच की परिस्थितियों का अनुकरण करें, रणनीतियों को परिष्कृत करें, और टीम सामंजस्य का निर्माण करें</v>
      </c>
    </row>
    <row r="731" ht="22.5" customHeight="1">
      <c r="A731" s="2">
        <v>730.0</v>
      </c>
      <c r="B731" s="3" t="s">
        <v>7294</v>
      </c>
      <c r="C731" s="3" t="s">
        <v>7295</v>
      </c>
      <c r="D731" s="3" t="s">
        <v>7296</v>
      </c>
      <c r="F731" s="5" t="str">
        <f>IFERROR(__xludf.DUMMYFUNCTION("GOOGLETRANSLATE(A731, ""en"", ""hi"")"),"730")</f>
        <v>730</v>
      </c>
      <c r="G731" s="5" t="str">
        <f>IFERROR(__xludf.DUMMYFUNCTION("GOOGLETRANSLATE(B731, ""en"", ""hi"")"),"ढोल खेल टीम उस स्थिति को प्रभावी ढंग से कैसे संभाल सकती है जहां प्रतिद्वंद्वी अप्रत्याशित रणनीति का उपयोग कर रहा हो?")</f>
        <v>ढोल खेल टीम उस स्थिति को प्रभावी ढंग से कैसे संभाल सकती है जहां प्रतिद्वंद्वी अप्रत्याशित रणनीति का उपयोग कर रहा हो?</v>
      </c>
      <c r="H731" s="5" t="str">
        <f>IFERROR(__xludf.DUMMYFUNCTION("GOOGLETRANSLATE(C731, ""en"", ""hi"")"),"A) शीघ्रता से अनुकूलन करें, रणनीतियों का पुनर्मूल्यांकन करें और लचीलापन बनाए रखें, B) प्रारंभिक रणनीति पर टिके रहें, C) केवल प्रतिक्रिया पर ध्यान केंद्रित करें, D) नई रणनीति को अनदेखा करें")</f>
        <v>A) शीघ्रता से अनुकूलन करें, रणनीतियों का पुनर्मूल्यांकन करें और लचीलापन बनाए रखें, B) प्रारंभिक रणनीति पर टिके रहें, C) केवल प्रतिक्रिया पर ध्यान केंद्रित करें, D) नई रणनीति को अनदेखा करें</v>
      </c>
      <c r="I731" s="5" t="str">
        <f>IFERROR(__xludf.DUMMYFUNCTION("GOOGLETRANSLATE(D731, ""en"", ""hi"")"),"A) शीघ्रता से अनुकूलन करें, रणनीतियों का पुनर्मूल्यांकन करें, और लचीलापन बनाए रखें")</f>
        <v>A) शीघ्रता से अनुकूलन करें, रणनीतियों का पुनर्मूल्यांकन करें, और लचीलापन बनाए रखें</v>
      </c>
    </row>
    <row r="732" ht="22.5" customHeight="1">
      <c r="A732" s="2">
        <v>731.0</v>
      </c>
      <c r="B732" s="3" t="s">
        <v>7297</v>
      </c>
      <c r="C732" s="3" t="s">
        <v>7298</v>
      </c>
      <c r="D732" s="3" t="s">
        <v>7299</v>
      </c>
      <c r="F732" s="5" t="str">
        <f>IFERROR(__xludf.DUMMYFUNCTION("GOOGLETRANSLATE(A732, ""en"", ""hi"")"),"731")</f>
        <v>731</v>
      </c>
      <c r="G732" s="5" t="str">
        <f>IFERROR(__xludf.DUMMYFUNCTION("GOOGLETRANSLATE(B732, ""en"", ""hi"")"),"ढोल खेल खिलाड़ी को अपनी शारीरिक सहनशक्ति में सुधार लाने के लिए प्राथमिक ध्यान किस पर देना चाहिए?")</f>
        <v>ढोल खेल खिलाड़ी को अपनी शारीरिक सहनशक्ति में सुधार लाने के लिए प्राथमिक ध्यान किस पर देना चाहिए?</v>
      </c>
      <c r="H732" s="5" t="str">
        <f>IFERROR(__xludf.DUMMYFUNCTION("GOOGLETRANSLATE(C732, ""en"", ""hi"")"),"ए) अपनी दिनचर्या में सहनशक्ति प्रशिक्षण और कंडीशनिंग अभ्यास को शामिल करें, बी) केवल कौशल विकास पर ध्यान केंद्रित करें, सी) शारीरिक कंडीशनिंग को अनदेखा करें, डी) केवल खेल-विशिष्ट अभ्यास का अभ्यास करें")</f>
        <v>ए) अपनी दिनचर्या में सहनशक्ति प्रशिक्षण और कंडीशनिंग अभ्यास को शामिल करें, बी) केवल कौशल विकास पर ध्यान केंद्रित करें, सी) शारीरिक कंडीशनिंग को अनदेखा करें, डी) केवल खेल-विशिष्ट अभ्यास का अभ्यास करें</v>
      </c>
      <c r="I732" s="5" t="str">
        <f>IFERROR(__xludf.DUMMYFUNCTION("GOOGLETRANSLATE(D732, ""en"", ""hi"")"),"A) अपनी दिनचर्या में सहनशक्ति प्रशिक्षण और कंडीशनिंग अभ्यास शामिल करें")</f>
        <v>A) अपनी दिनचर्या में सहनशक्ति प्रशिक्षण और कंडीशनिंग अभ्यास शामिल करें</v>
      </c>
    </row>
    <row r="733" ht="22.5" customHeight="1">
      <c r="A733" s="2">
        <v>732.0</v>
      </c>
      <c r="B733" s="3" t="s">
        <v>7300</v>
      </c>
      <c r="C733" s="3" t="s">
        <v>7301</v>
      </c>
      <c r="D733" s="3" t="s">
        <v>7302</v>
      </c>
      <c r="F733" s="5" t="str">
        <f>IFERROR(__xludf.DUMMYFUNCTION("GOOGLETRANSLATE(A733, ""en"", ""hi"")"),"732")</f>
        <v>732</v>
      </c>
      <c r="G733" s="5" t="str">
        <f>IFERROR(__xludf.DUMMYFUNCTION("GOOGLETRANSLATE(B733, ""en"", ""hi"")"),"ढोल खेल मैच के दौरान, एक खिलाड़ी देखता है कि विरोधी टीम उसे परेशान करने के लिए मनोवैज्ञानिक हथकंडे अपना रही है। सबसे अच्छी प्रतिक्रिया क्या होगी?")</f>
        <v>ढोल खेल मैच के दौरान, एक खिलाड़ी देखता है कि विरोधी टीम उसे परेशान करने के लिए मनोवैज्ञानिक हथकंडे अपना रही है। सबसे अच्छी प्रतिक्रिया क्या होगी?</v>
      </c>
      <c r="H733" s="5" t="str">
        <f>IFERROR(__xludf.DUMMYFUNCTION("GOOGLETRANSLATE(C733, ""en"", ""hi"")"),"A) संयम बनाए रखें, खेल पर ध्यान केंद्रित करें, और मजबूत खेल के साथ जवाब दें, B) भावनात्मक रूप से प्रतिक्रिया दें, C) मनोवैज्ञानिक रणनीति को अनदेखा करें, D) बदले में मनोवैज्ञानिक रणनीति में संलग्न हों")</f>
        <v>A) संयम बनाए रखें, खेल पर ध्यान केंद्रित करें, और मजबूत खेल के साथ जवाब दें, B) भावनात्मक रूप से प्रतिक्रिया दें, C) मनोवैज्ञानिक रणनीति को अनदेखा करें, D) बदले में मनोवैज्ञानिक रणनीति में संलग्न हों</v>
      </c>
      <c r="I733" s="5" t="str">
        <f>IFERROR(__xludf.DUMMYFUNCTION("GOOGLETRANSLATE(D733, ""en"", ""hi"")"),"A) धैर्य बनाए रखें, खेल पर ध्यान केंद्रित करें, और मजबूत खेल के साथ जवाब दें")</f>
        <v>A) धैर्य बनाए रखें, खेल पर ध्यान केंद्रित करें, और मजबूत खेल के साथ जवाब दें</v>
      </c>
    </row>
    <row r="734" ht="22.5" customHeight="1">
      <c r="A734" s="2">
        <v>733.0</v>
      </c>
      <c r="B734" s="3" t="s">
        <v>7303</v>
      </c>
      <c r="C734" s="3" t="s">
        <v>7304</v>
      </c>
      <c r="D734" s="3" t="s">
        <v>7305</v>
      </c>
      <c r="F734" s="5" t="str">
        <f>IFERROR(__xludf.DUMMYFUNCTION("GOOGLETRANSLATE(A734, ""en"", ""hi"")"),"733")</f>
        <v>733</v>
      </c>
      <c r="G734" s="5" t="str">
        <f>IFERROR(__xludf.DUMMYFUNCTION("GOOGLETRANSLATE(B734, ""en"", ""hi"")"),"ढोल खेल टीम को उस स्थिति से कैसे निपटना चाहिए, जब एक महत्वपूर्ण मैच से पहले एक प्रमुख खिलाड़ी घायल हो जाता है?")</f>
        <v>ढोल खेल टीम को उस स्थिति से कैसे निपटना चाहिए, जब एक महत्वपूर्ण मैच से पहले एक प्रमुख खिलाड़ी घायल हो जाता है?</v>
      </c>
      <c r="H734" s="5" t="str">
        <f>IFERROR(__xludf.DUMMYFUNCTION("GOOGLETRANSLATE(C734, ""en"", ""hi"")"),"A) टीम की रणनीतियों का पुनर्मूल्यांकन करें, भूमिकाओं को समायोजित करें, और घायल खिलाड़ी को सहायता प्रदान करें, B) केवल घायल खिलाड़ी की रिकवरी पर ध्यान केंद्रित करें, C) चोट को अनदेखा करें, D) बिना किसी समायोजन के खिलाड़ी को बदलें")</f>
        <v>A) टीम की रणनीतियों का पुनर्मूल्यांकन करें, भूमिकाओं को समायोजित करें, और घायल खिलाड़ी को सहायता प्रदान करें, B) केवल घायल खिलाड़ी की रिकवरी पर ध्यान केंद्रित करें, C) चोट को अनदेखा करें, D) बिना किसी समायोजन के खिलाड़ी को बदलें</v>
      </c>
      <c r="I734" s="5" t="str">
        <f>IFERROR(__xludf.DUMMYFUNCTION("GOOGLETRANSLATE(D734, ""en"", ""hi"")"),"ए) टीम की रणनीतियों का पुनर्मूल्यांकन करें, भूमिकाओं को समायोजित करें, और घायल खिलाड़ी को सहायता प्रदान करें")</f>
        <v>ए) टीम की रणनीतियों का पुनर्मूल्यांकन करें, भूमिकाओं को समायोजित करें, और घायल खिलाड़ी को सहायता प्रदान करें</v>
      </c>
    </row>
    <row r="735" ht="22.5" customHeight="1">
      <c r="A735" s="2">
        <v>734.0</v>
      </c>
      <c r="B735" s="3" t="s">
        <v>7306</v>
      </c>
      <c r="C735" s="3" t="s">
        <v>7307</v>
      </c>
      <c r="D735" s="3" t="s">
        <v>7308</v>
      </c>
      <c r="F735" s="5" t="str">
        <f>IFERROR(__xludf.DUMMYFUNCTION("GOOGLETRANSLATE(A735, ""en"", ""hi"")"),"734")</f>
        <v>734</v>
      </c>
      <c r="G735" s="5" t="str">
        <f>IFERROR(__xludf.DUMMYFUNCTION("GOOGLETRANSLATE(B735, ""en"", ""hi"")"),"ढोल खेल में प्रतिद्वंद्वी के गेमप्ले का विश्लेषण करने का एक महत्वपूर्ण पहलू क्या है?")</f>
        <v>ढोल खेल में प्रतिद्वंद्वी के गेमप्ले का विश्लेषण करने का एक महत्वपूर्ण पहलू क्या है?</v>
      </c>
      <c r="H735" s="5" t="str">
        <f>IFERROR(__xludf.DUMMYFUNCTION("GOOGLETRANSLATE(C735, ""en"", ""hi"")"),"A) अपनी रणनीति बनाने के लिए प्रमुख पैटर्न, ताकत और कमजोरियों की पहचान करना, B) प्रतिद्वंद्वी विश्लेषण को नजरअंदाज करना, C) केवल अपनी टीम की ताकत पर ध्यान केंद्रित करना, D) विस्तृत विश्लेषण से बचना")</f>
        <v>A) अपनी रणनीति बनाने के लिए प्रमुख पैटर्न, ताकत और कमजोरियों की पहचान करना, B) प्रतिद्वंद्वी विश्लेषण को नजरअंदाज करना, C) केवल अपनी टीम की ताकत पर ध्यान केंद्रित करना, D) विस्तृत विश्लेषण से बचना</v>
      </c>
      <c r="I735" s="5" t="str">
        <f>IFERROR(__xludf.DUMMYFUNCTION("GOOGLETRANSLATE(D735, ""en"", ""hi"")"),"A) अपनी रणनीति को अनुकूलित करने के लिए प्रमुख पैटर्न, शक्तियों और कमजोरियों की पहचान करना")</f>
        <v>A) अपनी रणनीति को अनुकूलित करने के लिए प्रमुख पैटर्न, शक्तियों और कमजोरियों की पहचान करना</v>
      </c>
    </row>
    <row r="736" ht="22.5" customHeight="1">
      <c r="A736" s="2">
        <v>735.0</v>
      </c>
      <c r="B736" s="3" t="s">
        <v>7309</v>
      </c>
      <c r="C736" s="3" t="s">
        <v>7310</v>
      </c>
      <c r="D736" s="3" t="s">
        <v>7311</v>
      </c>
      <c r="F736" s="5" t="str">
        <f>IFERROR(__xludf.DUMMYFUNCTION("GOOGLETRANSLATE(A736, ""en"", ""hi"")"),"735")</f>
        <v>735</v>
      </c>
      <c r="G736" s="5" t="str">
        <f>IFERROR(__xludf.DUMMYFUNCTION("GOOGLETRANSLATE(B736, ""en"", ""hi"")"),"ढोल खेल मैच में टीम के वार्म-अप रूटीन का फोकस क्या होना चाहिए?")</f>
        <v>ढोल खेल मैच में टीम के वार्म-अप रूटीन का फोकस क्या होना चाहिए?</v>
      </c>
      <c r="H736" s="5" t="str">
        <f>IFERROR(__xludf.DUMMYFUNCTION("GOOGLETRANSLATE(C736, ""en"", ""hi"")"),"A) शारीरिक और मानसिक रूप से तैयारी करना, समन्वय बढ़ाना और खेल-विशिष्ट गतिविधियों पर ध्यान केंद्रित करना, B) वार्म-अप को नज़रअंदाज़ करना, C) केवल स्ट्रेचिंग पर ध्यान केंद्रित करना, D) खेल-विशिष्ट गतिविधियों से बचना")</f>
        <v>A) शारीरिक और मानसिक रूप से तैयारी करना, समन्वय बढ़ाना और खेल-विशिष्ट गतिविधियों पर ध्यान केंद्रित करना, B) वार्म-अप को नज़रअंदाज़ करना, C) केवल स्ट्रेचिंग पर ध्यान केंद्रित करना, D) खेल-विशिष्ट गतिविधियों से बचना</v>
      </c>
      <c r="I736" s="5" t="str">
        <f>IFERROR(__xludf.DUMMYFUNCTION("GOOGLETRANSLATE(D736, ""en"", ""hi"")"),"ए) शारीरिक और मानसिक रूप से तैयारी करना, समन्वय बढ़ाना और खेल-विशिष्ट गतिविधियों पर ध्यान केंद्रित करना")</f>
        <v>ए) शारीरिक और मानसिक रूप से तैयारी करना, समन्वय बढ़ाना और खेल-विशिष्ट गतिविधियों पर ध्यान केंद्रित करना</v>
      </c>
    </row>
    <row r="737" ht="22.5" customHeight="1">
      <c r="A737" s="2">
        <v>736.0</v>
      </c>
      <c r="B737" s="3" t="s">
        <v>7312</v>
      </c>
      <c r="C737" s="3" t="s">
        <v>7313</v>
      </c>
      <c r="D737" s="3" t="s">
        <v>7314</v>
      </c>
      <c r="F737" s="5" t="str">
        <f>IFERROR(__xludf.DUMMYFUNCTION("GOOGLETRANSLATE(A737, ""en"", ""hi"")"),"736")</f>
        <v>736</v>
      </c>
      <c r="G737" s="5" t="str">
        <f>IFERROR(__xludf.DUMMYFUNCTION("GOOGLETRANSLATE(B737, ""en"", ""hi"")"),"ढोल खेल खिलाड़ी मैच के दौरान उच्च दबाव वाली परिस्थितियों से निपटने की अपनी क्षमता कैसे सुधार सकते हैं?")</f>
        <v>ढोल खेल खिलाड़ी मैच के दौरान उच्च दबाव वाली परिस्थितियों से निपटने की अपनी क्षमता कैसे सुधार सकते हैं?</v>
      </c>
      <c r="H737" s="5" t="str">
        <f>IFERROR(__xludf.DUMMYFUNCTION("GOOGLETRANSLATE(C737, ""en"", ""hi"")"),"ए) मानसिक दृढ़ता तकनीकों का अभ्यास करें, ध्यान केंद्रित रखें, और दबाव परिदृश्यों का अनुकरण करें, बी) दबाव प्रशिक्षण को अनदेखा करें, सी) केवल शारीरिक कौशल पर ध्यान केंद्रित करें, डी) उच्च दबाव अभ्यास परिदृश्यों से बचें")</f>
        <v>ए) मानसिक दृढ़ता तकनीकों का अभ्यास करें, ध्यान केंद्रित रखें, और दबाव परिदृश्यों का अनुकरण करें, बी) दबाव प्रशिक्षण को अनदेखा करें, सी) केवल शारीरिक कौशल पर ध्यान केंद्रित करें, डी) उच्च दबाव अभ्यास परिदृश्यों से बचें</v>
      </c>
      <c r="I737" s="5" t="str">
        <f>IFERROR(__xludf.DUMMYFUNCTION("GOOGLETRANSLATE(D737, ""en"", ""hi"")"),"A) मानसिक दृढ़ता तकनीकों का अभ्यास करें, केंद्रित रहें, और दबाव परिदृश्यों का अनुकरण करें")</f>
        <v>A) मानसिक दृढ़ता तकनीकों का अभ्यास करें, केंद्रित रहें, और दबाव परिदृश्यों का अनुकरण करें</v>
      </c>
    </row>
    <row r="738" ht="22.5" customHeight="1">
      <c r="A738" s="2">
        <v>737.0</v>
      </c>
      <c r="B738" s="3" t="s">
        <v>7315</v>
      </c>
      <c r="C738" s="3" t="s">
        <v>7316</v>
      </c>
      <c r="D738" s="3" t="s">
        <v>7317</v>
      </c>
      <c r="F738" s="5" t="str">
        <f>IFERROR(__xludf.DUMMYFUNCTION("GOOGLETRANSLATE(A738, ""en"", ""hi"")"),"737")</f>
        <v>737</v>
      </c>
      <c r="G738" s="5" t="str">
        <f>IFERROR(__xludf.DUMMYFUNCTION("GOOGLETRANSLATE(B738, ""en"", ""hi"")"),"ढोल खेल में किसी टीम के लिए अपनी रक्षात्मक रणनीति को बढ़ाने का प्रभावी तरीका क्या है?")</f>
        <v>ढोल खेल में किसी टीम के लिए अपनी रक्षात्मक रणनीति को बढ़ाने का प्रभावी तरीका क्या है?</v>
      </c>
      <c r="H738" s="5" t="str">
        <f>IFERROR(__xludf.DUMMYFUNCTION("GOOGLETRANSLATE(C738, ""en"", ""hi"")"),"A) विभिन्न रक्षात्मक संरचनाओं का विकास और अभ्यास करें और प्रतिद्वंद्वी की चालों का पूर्वानुमान करें, B) केवल आक्रामक रणनीति पर ध्यान केंद्रित करें, C) रक्षात्मक रणनीति की उपेक्षा करें, D) केवल व्यक्तिगत रक्षात्मक कौशल पर भरोसा करें")</f>
        <v>A) विभिन्न रक्षात्मक संरचनाओं का विकास और अभ्यास करें और प्रतिद्वंद्वी की चालों का पूर्वानुमान करें, B) केवल आक्रामक रणनीति पर ध्यान केंद्रित करें, C) रक्षात्मक रणनीति की उपेक्षा करें, D) केवल व्यक्तिगत रक्षात्मक कौशल पर भरोसा करें</v>
      </c>
      <c r="I738" s="5" t="str">
        <f>IFERROR(__xludf.DUMMYFUNCTION("GOOGLETRANSLATE(D738, ""en"", ""hi"")"),"A) विभिन्न रक्षात्मक संरचनाओं का विकास और अभ्यास करें और प्रतिद्वंद्वी की चालों का पूर्वानुमान लगाएं")</f>
        <v>A) विभिन्न रक्षात्मक संरचनाओं का विकास और अभ्यास करें और प्रतिद्वंद्वी की चालों का पूर्वानुमान लगाएं</v>
      </c>
    </row>
    <row r="739" ht="22.5" customHeight="1">
      <c r="A739" s="2">
        <v>738.0</v>
      </c>
      <c r="B739" s="3" t="s">
        <v>7318</v>
      </c>
      <c r="C739" s="3" t="s">
        <v>7319</v>
      </c>
      <c r="D739" s="3" t="s">
        <v>7320</v>
      </c>
      <c r="F739" s="5" t="str">
        <f>IFERROR(__xludf.DUMMYFUNCTION("GOOGLETRANSLATE(A739, ""en"", ""hi"")"),"738")</f>
        <v>738</v>
      </c>
      <c r="G739" s="5" t="str">
        <f>IFERROR(__xludf.DUMMYFUNCTION("GOOGLETRANSLATE(B739, ""en"", ""hi"")"),"ढोल खेल खिलाड़ी अपने प्रदर्शन को बेहतर बनाने के लिए वीडियो विश्लेषण का प्रभावी ढंग से उपयोग कैसे कर सकते हैं?")</f>
        <v>ढोल खेल खिलाड़ी अपने प्रदर्शन को बेहतर बनाने के लिए वीडियो विश्लेषण का प्रभावी ढंग से उपयोग कैसे कर सकते हैं?</v>
      </c>
      <c r="H739" s="5" t="str">
        <f>IFERROR(__xludf.DUMMYFUNCTION("GOOGLETRANSLATE(C739, ""en"", ""hi"")"),"ए) ताकत और कमजोरियों की पहचान करने के लिए फुटेज की समीक्षा करें, और आवश्यक समायोजन करें, बी) वीडियो विश्लेषण को अनदेखा करें, सी) केवल लाइव अभ्यास पर ध्यान केंद्रित करें, डी) पिछले प्रदर्शनों की समीक्षा करने से बचें")</f>
        <v>ए) ताकत और कमजोरियों की पहचान करने के लिए फुटेज की समीक्षा करें, और आवश्यक समायोजन करें, बी) वीडियो विश्लेषण को अनदेखा करें, सी) केवल लाइव अभ्यास पर ध्यान केंद्रित करें, डी) पिछले प्रदर्शनों की समीक्षा करने से बचें</v>
      </c>
      <c r="I739" s="5" t="str">
        <f>IFERROR(__xludf.DUMMYFUNCTION("GOOGLETRANSLATE(D739, ""en"", ""hi"")"),"ए) ताकत और कमजोरियों की पहचान करने के लिए फुटेज की समीक्षा करें और आवश्यक समायोजन करें")</f>
        <v>ए) ताकत और कमजोरियों की पहचान करने के लिए फुटेज की समीक्षा करें और आवश्यक समायोजन करें</v>
      </c>
    </row>
    <row r="740" ht="22.5" customHeight="1">
      <c r="A740" s="2">
        <v>739.0</v>
      </c>
      <c r="B740" s="3" t="s">
        <v>7321</v>
      </c>
      <c r="C740" s="3" t="s">
        <v>7322</v>
      </c>
      <c r="D740" s="3" t="s">
        <v>7050</v>
      </c>
      <c r="F740" s="5" t="str">
        <f>IFERROR(__xludf.DUMMYFUNCTION("GOOGLETRANSLATE(A740, ""en"", ""hi"")"),"739")</f>
        <v>739</v>
      </c>
      <c r="G740" s="5" t="str">
        <f>IFERROR(__xludf.DUMMYFUNCTION("GOOGLETRANSLATE(B740, ""en"", ""hi"")"),"ढोल खेल खिलाड़ी के लिए सर्वोत्तम शारीरिक स्थिति बनाए रखने में मुख्य कारक क्या है?")</f>
        <v>ढोल खेल खिलाड़ी के लिए सर्वोत्तम शारीरिक स्थिति बनाए रखने में मुख्य कारक क्या है?</v>
      </c>
      <c r="H740" s="5" t="str">
        <f>IFERROR(__xludf.DUMMYFUNCTION("GOOGLETRANSLATE(C740, ""en"", ""hi"")"),"A) लगातार प्रशिक्षण, उचित पोषण और पर्याप्त आराम, B) शारीरिक कंडीशनिंग की अनदेखी, C) केवल खेल प्रदर्शन पर ध्यान केंद्रित करना, D) शारीरिक प्रशिक्षण से बचना")</f>
        <v>A) लगातार प्रशिक्षण, उचित पोषण और पर्याप्त आराम, B) शारीरिक कंडीशनिंग की अनदेखी, C) केवल खेल प्रदर्शन पर ध्यान केंद्रित करना, D) शारीरिक प्रशिक्षण से बचना</v>
      </c>
      <c r="I740" s="5" t="str">
        <f>IFERROR(__xludf.DUMMYFUNCTION("GOOGLETRANSLATE(D740, ""en"", ""hi"")"),"ए) लगातार प्रशिक्षण, उचित पोषण और पर्याप्त आराम")</f>
        <v>ए) लगातार प्रशिक्षण, उचित पोषण और पर्याप्त आराम</v>
      </c>
    </row>
    <row r="741" ht="22.5" customHeight="1">
      <c r="A741" s="2">
        <v>740.0</v>
      </c>
      <c r="B741" s="3" t="s">
        <v>7323</v>
      </c>
      <c r="C741" s="3" t="s">
        <v>7324</v>
      </c>
      <c r="D741" s="3" t="s">
        <v>7325</v>
      </c>
      <c r="F741" s="5" t="str">
        <f>IFERROR(__xludf.DUMMYFUNCTION("GOOGLETRANSLATE(A741, ""en"", ""hi"")"),"740")</f>
        <v>740</v>
      </c>
      <c r="G741" s="5" t="str">
        <f>IFERROR(__xludf.DUMMYFUNCTION("GOOGLETRANSLATE(B741, ""en"", ""hi"")"),"ढोल खेल टीम को ऐसी स्थिति से कैसे निपटना चाहिए जहां उनका सामना काफी उच्च कौशल स्तर वाले प्रतिद्वंद्वी से हो?")</f>
        <v>ढोल खेल टीम को ऐसी स्थिति से कैसे निपटना चाहिए जहां उनका सामना काफी उच्च कौशल स्तर वाले प्रतिद्वंद्वी से हो?</v>
      </c>
      <c r="H741" s="5" t="str">
        <f>IFERROR(__xludf.DUMMYFUNCTION("GOOGLETRANSLATE(C741, ""en"", ""hi"")"),"A) प्रतिद्वंद्वी की कमजोरियों का फायदा उठाने और अपनी रणनीतियों को प्रभावी ढंग से क्रियान्वित करने पर ध्यान केंद्रित करना, B) पूरी तरह से रक्षात्मक खेल पर निर्भर रहना, C) रणनीतियों को समायोजित करने से बचना, D) केवल व्यक्तिगत प्रदर्शन पर ध्यान केंद्रित करना")</f>
        <v>A) प्रतिद्वंद्वी की कमजोरियों का फायदा उठाने और अपनी रणनीतियों को प्रभावी ढंग से क्रियान्वित करने पर ध्यान केंद्रित करना, B) पूरी तरह से रक्षात्मक खेल पर निर्भर रहना, C) रणनीतियों को समायोजित करने से बचना, D) केवल व्यक्तिगत प्रदर्शन पर ध्यान केंद्रित करना</v>
      </c>
      <c r="I741" s="5" t="str">
        <f>IFERROR(__xludf.DUMMYFUNCTION("GOOGLETRANSLATE(D741, ""en"", ""hi"")"),"A) प्रतिद्वंद्वी की कमजोरियों का फायदा उठाने और अपनी रणनीतियों को प्रभावी ढंग से क्रियान्वित करने पर ध्यान केंद्रित करना")</f>
        <v>A) प्रतिद्वंद्वी की कमजोरियों का फायदा उठाने और अपनी रणनीतियों को प्रभावी ढंग से क्रियान्वित करने पर ध्यान केंद्रित करना</v>
      </c>
    </row>
    <row r="742" ht="22.5" customHeight="1">
      <c r="A742" s="2">
        <v>741.0</v>
      </c>
      <c r="B742" s="3" t="s">
        <v>7326</v>
      </c>
      <c r="C742" s="3" t="s">
        <v>7327</v>
      </c>
      <c r="D742" s="3" t="s">
        <v>7328</v>
      </c>
      <c r="F742" s="5" t="str">
        <f>IFERROR(__xludf.DUMMYFUNCTION("GOOGLETRANSLATE(A742, ""en"", ""hi"")"),"741")</f>
        <v>741</v>
      </c>
      <c r="G742" s="5" t="str">
        <f>IFERROR(__xludf.DUMMYFUNCTION("GOOGLETRANSLATE(B742, ""en"", ""hi"")"),"ढोल खेल में टीम वर्क को बेहतर बनाने का मूलभूत पहलू क्या है?")</f>
        <v>ढोल खेल में टीम वर्क को बेहतर बनाने का मूलभूत पहलू क्या है?</v>
      </c>
      <c r="H742" s="5" t="str">
        <f>IFERROR(__xludf.DUMMYFUNCTION("GOOGLETRANSLATE(C742, ""en"", ""hi"")"),"A) नियमित संवाद, साथ मिलकर अभ्यास करना और आपसी विश्वास का निर्माण करना, B) टीमवर्क की अनदेखी करना, C) केवल व्यक्तिगत कौशल पर ध्यान केंद्रित करना, D) टीम अभ्यास सत्रों से बचना")</f>
        <v>A) नियमित संवाद, साथ मिलकर अभ्यास करना और आपसी विश्वास का निर्माण करना, B) टीमवर्क की अनदेखी करना, C) केवल व्यक्तिगत कौशल पर ध्यान केंद्रित करना, D) टीम अभ्यास सत्रों से बचना</v>
      </c>
      <c r="I742" s="5" t="str">
        <f>IFERROR(__xludf.DUMMYFUNCTION("GOOGLETRANSLATE(D742, ""en"", ""hi"")"),"A) नियमित संचार, एक साथ अभ्यास करना, और आपसी विश्वास का निर्माण करना")</f>
        <v>A) नियमित संचार, एक साथ अभ्यास करना, और आपसी विश्वास का निर्माण करना</v>
      </c>
    </row>
    <row r="743" ht="22.5" customHeight="1">
      <c r="A743" s="2">
        <v>742.0</v>
      </c>
      <c r="B743" s="3" t="s">
        <v>7329</v>
      </c>
      <c r="C743" s="3" t="s">
        <v>7330</v>
      </c>
      <c r="D743" s="3" t="s">
        <v>7331</v>
      </c>
      <c r="F743" s="5" t="str">
        <f>IFERROR(__xludf.DUMMYFUNCTION("GOOGLETRANSLATE(A743, ""en"", ""hi"")"),"742")</f>
        <v>742</v>
      </c>
      <c r="G743" s="5" t="str">
        <f>IFERROR(__xludf.DUMMYFUNCTION("GOOGLETRANSLATE(B743, ""en"", ""hi"")"),"ढोल खेल मैच में, खेल की गतिशीलता में अचानक परिवर्तन होने पर खिलाड़ी को किस प्रकार प्रतिक्रिया देनी चाहिए?")</f>
        <v>ढोल खेल मैच में, खेल की गतिशीलता में अचानक परिवर्तन होने पर खिलाड़ी को किस प्रकार प्रतिक्रिया देनी चाहिए?</v>
      </c>
      <c r="H743" s="5" t="str">
        <f>IFERROR(__xludf.DUMMYFUNCTION("GOOGLETRANSLATE(C743, ""en"", ""hi"")"),"A) रणनीतियों को समायोजित करने के लिए टीम के साथियों के साथ शीघ्रता से अनुकूलन और संवाद करना, B) परिवर्तन को अनदेखा करना, C) समायोजन के बिना प्रारंभिक योजनाओं पर टिके रहना, D) केवल व्यक्तिगत खेल पर ध्यान केंद्रित करना")</f>
        <v>A) रणनीतियों को समायोजित करने के लिए टीम के साथियों के साथ शीघ्रता से अनुकूलन और संवाद करना, B) परिवर्तन को अनदेखा करना, C) समायोजन के बिना प्रारंभिक योजनाओं पर टिके रहना, D) केवल व्यक्तिगत खेल पर ध्यान केंद्रित करना</v>
      </c>
      <c r="I743" s="5" t="str">
        <f>IFERROR(__xludf.DUMMYFUNCTION("GOOGLETRANSLATE(D743, ""en"", ""hi"")"),"A) रणनीतियों को समायोजित करने के लिए टीम के साथियों के साथ शीघ्रता से अनुकूलन और संवाद करना")</f>
        <v>A) रणनीतियों को समायोजित करने के लिए टीम के साथियों के साथ शीघ्रता से अनुकूलन और संवाद करना</v>
      </c>
    </row>
    <row r="744" ht="22.5" customHeight="1">
      <c r="A744" s="2">
        <v>743.0</v>
      </c>
      <c r="B744" s="3" t="s">
        <v>7332</v>
      </c>
      <c r="C744" s="3" t="s">
        <v>7333</v>
      </c>
      <c r="D744" s="3" t="s">
        <v>7334</v>
      </c>
      <c r="F744" s="5" t="str">
        <f>IFERROR(__xludf.DUMMYFUNCTION("GOOGLETRANSLATE(A744, ""en"", ""hi"")"),"743")</f>
        <v>743</v>
      </c>
      <c r="G744" s="5" t="str">
        <f>IFERROR(__xludf.DUMMYFUNCTION("GOOGLETRANSLATE(B744, ""en"", ""hi"")"),"मैच से पूर्व तैयारी के दौरान ढोल खेल टीम का मुख्य ध्यान किस पर होना चाहिए?")</f>
        <v>मैच से पूर्व तैयारी के दौरान ढोल खेल टीम का मुख्य ध्यान किस पर होना चाहिए?</v>
      </c>
      <c r="H744" s="5" t="str">
        <f>IFERROR(__xludf.DUMMYFUNCTION("GOOGLETRANSLATE(C744, ""en"", ""hi"")"),"ए) खेल रणनीतियों की समीक्षा करें, भूमिकाओं को अंतिम रूप दें, और शारीरिक तत्परता सुनिश्चित करें, बी) तैयारी की अनदेखी करें, सी) केवल विश्राम पर ध्यान केंद्रित करें, डी) रणनीति की समीक्षा से बचें")</f>
        <v>ए) खेल रणनीतियों की समीक्षा करें, भूमिकाओं को अंतिम रूप दें, और शारीरिक तत्परता सुनिश्चित करें, बी) तैयारी की अनदेखी करें, सी) केवल विश्राम पर ध्यान केंद्रित करें, डी) रणनीति की समीक्षा से बचें</v>
      </c>
      <c r="I744" s="5" t="str">
        <f>IFERROR(__xludf.DUMMYFUNCTION("GOOGLETRANSLATE(D744, ""en"", ""hi"")"),"ए) खेल रणनीतियों की समीक्षा करें, भूमिकाओं को अंतिम रूप दें, और शारीरिक तैयारी सुनिश्चित करें")</f>
        <v>ए) खेल रणनीतियों की समीक्षा करें, भूमिकाओं को अंतिम रूप दें, और शारीरिक तैयारी सुनिश्चित करें</v>
      </c>
    </row>
    <row r="745" ht="22.5" customHeight="1">
      <c r="A745" s="2">
        <v>744.0</v>
      </c>
      <c r="B745" s="3" t="s">
        <v>7335</v>
      </c>
      <c r="C745" s="3" t="s">
        <v>7336</v>
      </c>
      <c r="D745" s="3" t="s">
        <v>7337</v>
      </c>
      <c r="F745" s="5" t="str">
        <f>IFERROR(__xludf.DUMMYFUNCTION("GOOGLETRANSLATE(A745, ""en"", ""hi"")"),"744")</f>
        <v>744</v>
      </c>
      <c r="G745" s="5" t="str">
        <f>IFERROR(__xludf.DUMMYFUNCTION("GOOGLETRANSLATE(B745, ""en"", ""hi"")"),"ढोल खेल खिलाड़ी अपनी प्रतिक्रिया समय को कैसे बेहतर बना सकते हैं?")</f>
        <v>ढोल खेल खिलाड़ी अपनी प्रतिक्रिया समय को कैसे बेहतर बना सकते हैं?</v>
      </c>
      <c r="H745" s="5" t="str">
        <f>IFERROR(__xludf.DUMMYFUNCTION("GOOGLETRANSLATE(C745, ""en"", ""hi"")"),"A) प्रतिक्रिया समय अभ्यास और व्यायाम में संलग्न रहें, B) केवल शक्ति प्रशिक्षण पर ध्यान केंद्रित करें, C) प्रतिक्रिया समय सुधार की उपेक्षा करें, D) केवल प्राकृतिक क्षमता पर निर्भर रहें")</f>
        <v>A) प्रतिक्रिया समय अभ्यास और व्यायाम में संलग्न रहें, B) केवल शक्ति प्रशिक्षण पर ध्यान केंद्रित करें, C) प्रतिक्रिया समय सुधार की उपेक्षा करें, D) केवल प्राकृतिक क्षमता पर निर्भर रहें</v>
      </c>
      <c r="I745" s="5" t="str">
        <f>IFERROR(__xludf.DUMMYFUNCTION("GOOGLETRANSLATE(D745, ""en"", ""hi"")"),"A) प्रतिक्रिया समय अभ्यास और व्यायाम में संलग्न हों")</f>
        <v>A) प्रतिक्रिया समय अभ्यास और व्यायाम में संलग्न हों</v>
      </c>
    </row>
    <row r="746" ht="22.5" customHeight="1">
      <c r="A746" s="2">
        <v>745.0</v>
      </c>
      <c r="B746" s="3" t="s">
        <v>7338</v>
      </c>
      <c r="C746" s="3" t="s">
        <v>7339</v>
      </c>
      <c r="D746" s="3" t="s">
        <v>7340</v>
      </c>
      <c r="F746" s="5" t="str">
        <f>IFERROR(__xludf.DUMMYFUNCTION("GOOGLETRANSLATE(A746, ""en"", ""hi"")"),"745")</f>
        <v>745</v>
      </c>
      <c r="G746" s="5" t="str">
        <f>IFERROR(__xludf.DUMMYFUNCTION("GOOGLETRANSLATE(B746, ""en"", ""hi"")"),"ढोल खेल टीम के लिए लंबे मैच के दौरान ध्यान बनाए रखने का प्रभावी तरीका क्या है?")</f>
        <v>ढोल खेल टीम के लिए लंबे मैच के दौरान ध्यान बनाए रखने का प्रभावी तरीका क्या है?</v>
      </c>
      <c r="H746" s="5" t="str">
        <f>IFERROR(__xludf.DUMMYFUNCTION("GOOGLETRANSLATE(C746, ""en"", ""hi"")"),"ए) नियमित संचार, अल्पकालिक लक्ष्य निर्धारित करना और ऊर्जा स्तर का प्रबंधन करना, बी) फोकस रणनीतियों की अनदेखी करना, सी) केवल ब्रेक पर निर्भर रहना, डी) संचार से बचना")</f>
        <v>ए) नियमित संचार, अल्पकालिक लक्ष्य निर्धारित करना और ऊर्जा स्तर का प्रबंधन करना, बी) फोकस रणनीतियों की अनदेखी करना, सी) केवल ब्रेक पर निर्भर रहना, डी) संचार से बचना</v>
      </c>
      <c r="I746" s="5" t="str">
        <f>IFERROR(__xludf.DUMMYFUNCTION("GOOGLETRANSLATE(D746, ""en"", ""hi"")"),"ए) नियमित संचार, अल्पकालिक लक्ष्य निर्धारित करना और ऊर्जा स्तर का प्रबंधन करना")</f>
        <v>ए) नियमित संचार, अल्पकालिक लक्ष्य निर्धारित करना और ऊर्जा स्तर का प्रबंधन करना</v>
      </c>
    </row>
    <row r="747" ht="22.5" customHeight="1">
      <c r="A747" s="2">
        <v>746.0</v>
      </c>
      <c r="B747" s="3" t="s">
        <v>7341</v>
      </c>
      <c r="C747" s="3" t="s">
        <v>7342</v>
      </c>
      <c r="D747" s="3" t="s">
        <v>7343</v>
      </c>
      <c r="F747" s="5" t="str">
        <f>IFERROR(__xludf.DUMMYFUNCTION("GOOGLETRANSLATE(A747, ""en"", ""hi"")"),"746")</f>
        <v>746</v>
      </c>
      <c r="G747" s="5" t="str">
        <f>IFERROR(__xludf.DUMMYFUNCTION("GOOGLETRANSLATE(B747, ""en"", ""hi"")"),"ढोल खेल में मजबूत आक्रामक रणनीति वाली टीम का सामना करते समय रक्षात्मक फोकस क्या होना चाहिए?")</f>
        <v>ढोल खेल में मजबूत आक्रामक रणनीति वाली टीम का सामना करते समय रक्षात्मक फोकस क्या होना चाहिए?</v>
      </c>
      <c r="H747" s="5" t="str">
        <f>IFERROR(__xludf.DUMMYFUNCTION("GOOGLETRANSLATE(C747, ""en"", ""hi"")"),"ए) रक्षात्मक संरचनाओं को मजबूत करना और आक्रामक खेलों की आशंका करना, बी) केवल जवाबी हमले पर ध्यान केंद्रित करना, सी) आक्रामक ताकत को नजरअंदाज करना, डी) केवल व्यक्तिगत रक्षात्मक कौशल पर निर्भर रहना")</f>
        <v>ए) रक्षात्मक संरचनाओं को मजबूत करना और आक्रामक खेलों की आशंका करना, बी) केवल जवाबी हमले पर ध्यान केंद्रित करना, सी) आक्रामक ताकत को नजरअंदाज करना, डी) केवल व्यक्तिगत रक्षात्मक कौशल पर निर्भर रहना</v>
      </c>
      <c r="I747" s="5" t="str">
        <f>IFERROR(__xludf.DUMMYFUNCTION("GOOGLETRANSLATE(D747, ""en"", ""hi"")"),"A) रक्षात्मक संरचनाओं को मजबूत करना और आक्रामक खेलों की आशंका करना")</f>
        <v>A) रक्षात्मक संरचनाओं को मजबूत करना और आक्रामक खेलों की आशंका करना</v>
      </c>
    </row>
    <row r="748" ht="22.5" customHeight="1">
      <c r="A748" s="2">
        <v>747.0</v>
      </c>
      <c r="B748" s="3" t="s">
        <v>7344</v>
      </c>
      <c r="C748" s="3" t="s">
        <v>7345</v>
      </c>
      <c r="D748" s="3" t="s">
        <v>7346</v>
      </c>
      <c r="F748" s="5" t="str">
        <f>IFERROR(__xludf.DUMMYFUNCTION("GOOGLETRANSLATE(A748, ""en"", ""hi"")"),"747")</f>
        <v>747</v>
      </c>
      <c r="G748" s="5" t="str">
        <f>IFERROR(__xludf.DUMMYFUNCTION("GOOGLETRANSLATE(B748, ""en"", ""hi"")"),"ढोल खेल खिलाड़ी को विभिन्न प्रकार के मैदान पर खेलते समय अपनी रणनीति को किस प्रकार समायोजित करना चाहिए?")</f>
        <v>ढोल खेल खिलाड़ी को विभिन्न प्रकार के मैदान पर खेलते समय अपनी रणनीति को किस प्रकार समायोजित करना चाहिए?</v>
      </c>
      <c r="H748" s="5" t="str">
        <f>IFERROR(__xludf.DUMMYFUNCTION("GOOGLETRANSLATE(C748, ""en"", ""hi"")"),"A) गति और तकनीकों को समायोजित करके मैदान की सतह के अनुकूल होना, B) एक ही रणनीति पर टिके रहना, C) सतह में होने वाले परिवर्तनों को अनदेखा करना, D) केवल कौशल अभ्यास पर ध्यान केंद्रित करना")</f>
        <v>A) गति और तकनीकों को समायोजित करके मैदान की सतह के अनुकूल होना, B) एक ही रणनीति पर टिके रहना, C) सतह में होने वाले परिवर्तनों को अनदेखा करना, D) केवल कौशल अभ्यास पर ध्यान केंद्रित करना</v>
      </c>
      <c r="I748" s="5" t="str">
        <f>IFERROR(__xludf.DUMMYFUNCTION("GOOGLETRANSLATE(D748, ""en"", ""hi"")"),"A) गति और तकनीकों को समायोजित करके मैदान की सतह के अनुकूल होना")</f>
        <v>A) गति और तकनीकों को समायोजित करके मैदान की सतह के अनुकूल होना</v>
      </c>
    </row>
    <row r="749" ht="22.5" customHeight="1">
      <c r="A749" s="2">
        <v>748.0</v>
      </c>
      <c r="B749" s="3" t="s">
        <v>7347</v>
      </c>
      <c r="C749" s="3" t="s">
        <v>7348</v>
      </c>
      <c r="D749" s="3" t="s">
        <v>7349</v>
      </c>
      <c r="F749" s="5" t="str">
        <f>IFERROR(__xludf.DUMMYFUNCTION("GOOGLETRANSLATE(A749, ""en"", ""hi"")"),"748")</f>
        <v>748</v>
      </c>
      <c r="G749" s="5" t="str">
        <f>IFERROR(__xludf.DUMMYFUNCTION("GOOGLETRANSLATE(B749, ""en"", ""hi"")"),"ढोल खेल मैच के दौरान उच्च मनोबल बनाए रखने का मुख्य पहलू क्या है?")</f>
        <v>ढोल खेल मैच के दौरान उच्च मनोबल बनाए रखने का मुख्य पहलू क्या है?</v>
      </c>
      <c r="H749" s="5" t="str">
        <f>IFERROR(__xludf.DUMMYFUNCTION("GOOGLETRANSLATE(C749, ""en"", ""hi"")"),"A) प्रोत्साहन, सकारात्मक सुदृढीकरण, और टीम-केंद्रित रवैया बनाए रखना, B) टीम के मनोबल की अनदेखी करना, C) केवल व्यक्तिगत प्रदर्शन पर ध्यान केंद्रित करना, D) सकारात्मक सुदृढीकरण से बचना")</f>
        <v>A) प्रोत्साहन, सकारात्मक सुदृढीकरण, और टीम-केंद्रित रवैया बनाए रखना, B) टीम के मनोबल की अनदेखी करना, C) केवल व्यक्तिगत प्रदर्शन पर ध्यान केंद्रित करना, D) सकारात्मक सुदृढीकरण से बचना</v>
      </c>
      <c r="I749" s="5" t="str">
        <f>IFERROR(__xludf.DUMMYFUNCTION("GOOGLETRANSLATE(D749, ""en"", ""hi"")"),"ए) प्रोत्साहन, सकारात्मक सुदृढ़ीकरण, और टीम-केंद्रित दृष्टिकोण बनाए रखना")</f>
        <v>ए) प्रोत्साहन, सकारात्मक सुदृढ़ीकरण, और टीम-केंद्रित दृष्टिकोण बनाए रखना</v>
      </c>
    </row>
    <row r="750" ht="22.5" customHeight="1">
      <c r="A750" s="2">
        <v>749.0</v>
      </c>
      <c r="B750" s="3" t="s">
        <v>7350</v>
      </c>
      <c r="C750" s="3" t="s">
        <v>7351</v>
      </c>
      <c r="D750" s="3" t="s">
        <v>7352</v>
      </c>
      <c r="F750" s="5" t="str">
        <f>IFERROR(__xludf.DUMMYFUNCTION("GOOGLETRANSLATE(A750, ""en"", ""hi"")"),"749")</f>
        <v>749</v>
      </c>
      <c r="G750" s="5" t="str">
        <f>IFERROR(__xludf.DUMMYFUNCTION("GOOGLETRANSLATE(B750, ""en"", ""hi"")"),"ढोल खेल में, किसी अपरिचित प्रतिद्वंद्वी के खिलाफ मैच में टीम को किस प्रकार खेलना चाहिए?")</f>
        <v>ढोल खेल में, किसी अपरिचित प्रतिद्वंद्वी के खिलाफ मैच में टीम को किस प्रकार खेलना चाहिए?</v>
      </c>
      <c r="H750" s="5" t="str">
        <f>IFERROR(__xludf.DUMMYFUNCTION("GOOGLETRANSLATE(C750, ""en"", ""hi"")"),"A) उपलब्ध जानकारी का अध्ययन करें, लचीलेपन पर ध्यान केंद्रित करें, और आवश्यकतानुसार रणनीतियों को अनुकूलित करें, B) परिचित रणनीतियों पर टिके रहें, C) प्रतिद्वंद्वी की अपरिचितता को अनदेखा करें, D) केवल व्यक्तिगत प्रदर्शन पर ध्यान केंद्रित करें")</f>
        <v>A) उपलब्ध जानकारी का अध्ययन करें, लचीलेपन पर ध्यान केंद्रित करें, और आवश्यकतानुसार रणनीतियों को अनुकूलित करें, B) परिचित रणनीतियों पर टिके रहें, C) प्रतिद्वंद्वी की अपरिचितता को अनदेखा करें, D) केवल व्यक्तिगत प्रदर्शन पर ध्यान केंद्रित करें</v>
      </c>
      <c r="I750" s="5" t="str">
        <f>IFERROR(__xludf.DUMMYFUNCTION("GOOGLETRANSLATE(D750, ""en"", ""hi"")"),"A) उपलब्ध जानकारी का अध्ययन करें, लचीलेपन पर ध्यान केंद्रित करें, और आवश्यकतानुसार रणनीतियों को अनुकूलित करें")</f>
        <v>A) उपलब्ध जानकारी का अध्ययन करें, लचीलेपन पर ध्यान केंद्रित करें, और आवश्यकतानुसार रणनीतियों को अनुकूलित करें</v>
      </c>
    </row>
    <row r="751" ht="22.5" customHeight="1">
      <c r="A751" s="2">
        <v>750.0</v>
      </c>
      <c r="B751" s="3" t="s">
        <v>7353</v>
      </c>
      <c r="C751" s="3" t="s">
        <v>7354</v>
      </c>
      <c r="D751" s="3" t="s">
        <v>7355</v>
      </c>
      <c r="F751" s="5" t="str">
        <f>IFERROR(__xludf.DUMMYFUNCTION("GOOGLETRANSLATE(A751, ""en"", ""hi"")"),"750")</f>
        <v>750</v>
      </c>
      <c r="G751" s="5" t="str">
        <f>IFERROR(__xludf.DUMMYFUNCTION("GOOGLETRANSLATE(B751, ""en"", ""hi"")"),"ढोल खेल वादकों के लिए अपनी रणनीतिक सोच को बढ़ाने का प्रभावी तरीका क्या है?")</f>
        <v>ढोल खेल वादकों के लिए अपनी रणनीतिक सोच को बढ़ाने का प्रभावी तरीका क्या है?</v>
      </c>
      <c r="H751" s="5" t="str">
        <f>IFERROR(__xludf.DUMMYFUNCTION("GOOGLETRANSLATE(C751, ""en"", ""hi"")"),"A) पिछले खेलों का विश्लेषण करें, रणनीतियों का अध्ययन करें, और सामरिक अभ्यास में भाग लें, B) केवल शारीरिक कौशल पर ध्यान केंद्रित करें, C) रणनीतिक सोच को अनदेखा करें, D) केवल सहज ज्ञान पर भरोसा करें")</f>
        <v>A) पिछले खेलों का विश्लेषण करें, रणनीतियों का अध्ययन करें, और सामरिक अभ्यास में भाग लें, B) केवल शारीरिक कौशल पर ध्यान केंद्रित करें, C) रणनीतिक सोच को अनदेखा करें, D) केवल सहज ज्ञान पर भरोसा करें</v>
      </c>
      <c r="I751" s="5" t="str">
        <f>IFERROR(__xludf.DUMMYFUNCTION("GOOGLETRANSLATE(D751, ""en"", ""hi"")"),"A) पिछले खेलों का विश्लेषण करें, रणनीतियों का अध्ययन करें, और सामरिक अभ्यास में भाग लें")</f>
        <v>A) पिछले खेलों का विश्लेषण करें, रणनीतियों का अध्ययन करें, और सामरिक अभ्यास में भाग लें</v>
      </c>
    </row>
    <row r="752" ht="22.5" customHeight="1">
      <c r="A752" s="2">
        <v>751.0</v>
      </c>
      <c r="B752" s="3" t="s">
        <v>7356</v>
      </c>
      <c r="C752" s="3" t="s">
        <v>7357</v>
      </c>
      <c r="D752" s="3" t="s">
        <v>7358</v>
      </c>
      <c r="F752" s="5" t="str">
        <f>IFERROR(__xludf.DUMMYFUNCTION("GOOGLETRANSLATE(A752, ""en"", ""hi"")"),"751")</f>
        <v>751</v>
      </c>
      <c r="G752" s="5" t="str">
        <f>IFERROR(__xludf.DUMMYFUNCTION("GOOGLETRANSLATE(B752, ""en"", ""hi"")"),"ढोल खेल टीम उच्च दबाव की स्थिति के दौरान प्रभावी संचार कैसे सुनिश्चित कर सकती है?")</f>
        <v>ढोल खेल टीम उच्च दबाव की स्थिति के दौरान प्रभावी संचार कैसे सुनिश्चित कर सकती है?</v>
      </c>
      <c r="H752" s="5" t="str">
        <f>IFERROR(__xludf.DUMMYFUNCTION("GOOGLETRANSLATE(C752, ""en"", ""hi"")"),"A) स्पष्ट संकेत विकसित करें और उनका उपयोग करें, शांति बनाए रखें, और सुनिश्चित करें कि सभी सदस्यों को सूचित किया जाए, B) केवल मौखिक संचार पर निर्भर रहें, C) संचार रणनीतियों की उपेक्षा करें, D) केवल व्यक्तिगत कार्यों पर ध्यान केंद्रित करें")</f>
        <v>A) स्पष्ट संकेत विकसित करें और उनका उपयोग करें, शांति बनाए रखें, और सुनिश्चित करें कि सभी सदस्यों को सूचित किया जाए, B) केवल मौखिक संचार पर निर्भर रहें, C) संचार रणनीतियों की उपेक्षा करें, D) केवल व्यक्तिगत कार्यों पर ध्यान केंद्रित करें</v>
      </c>
      <c r="I752" s="5" t="str">
        <f>IFERROR(__xludf.DUMMYFUNCTION("GOOGLETRANSLATE(D752, ""en"", ""hi"")"),"क) स्पष्ट संकेत विकसित करें और उनका उपयोग करें, शांति बनाए रखें, और सुनिश्चित करें कि सभी सदस्यों को सूचित किया जाए")</f>
        <v>क) स्पष्ट संकेत विकसित करें और उनका उपयोग करें, शांति बनाए रखें, और सुनिश्चित करें कि सभी सदस्यों को सूचित किया जाए</v>
      </c>
    </row>
    <row r="753" ht="22.5" customHeight="1">
      <c r="A753" s="2">
        <v>752.0</v>
      </c>
      <c r="B753" s="3" t="s">
        <v>7359</v>
      </c>
      <c r="C753" s="3" t="s">
        <v>7360</v>
      </c>
      <c r="D753" s="3" t="s">
        <v>7361</v>
      </c>
      <c r="F753" s="5" t="str">
        <f>IFERROR(__xludf.DUMMYFUNCTION("GOOGLETRANSLATE(A753, ""en"", ""hi"")"),"752")</f>
        <v>752</v>
      </c>
      <c r="G753" s="5" t="str">
        <f>IFERROR(__xludf.DUMMYFUNCTION("GOOGLETRANSLATE(B753, ""en"", ""hi"")"),"ढोल खेल खिलाड़ी के प्रशिक्षण कार्यक्रम का प्राथमिक फोकस क्या होना चाहिए?")</f>
        <v>ढोल खेल खिलाड़ी के प्रशिक्षण कार्यक्रम का प्राथमिक फोकस क्या होना चाहिए?</v>
      </c>
      <c r="H753" s="5" t="str">
        <f>IFERROR(__xludf.DUMMYFUNCTION("GOOGLETRANSLATE(C753, ""en"", ""hi"")"),"A) कौशल विकास, शारीरिक कंडीशनिंग और रणनीतिक समझ को संतुलित करना, B) शारीरिक कंडीशनिंग की अनदेखी करना, C) केवल कौशल पर ध्यान केंद्रित करना, D) रणनीति प्रशिक्षण से बचना")</f>
        <v>A) कौशल विकास, शारीरिक कंडीशनिंग और रणनीतिक समझ को संतुलित करना, B) शारीरिक कंडीशनिंग की अनदेखी करना, C) केवल कौशल पर ध्यान केंद्रित करना, D) रणनीति प्रशिक्षण से बचना</v>
      </c>
      <c r="I753" s="5" t="str">
        <f>IFERROR(__xludf.DUMMYFUNCTION("GOOGLETRANSLATE(D753, ""en"", ""hi"")"),"A) कौशल विकास, शारीरिक कंडीशनिंग और रणनीतिक समझ में संतुलन")</f>
        <v>A) कौशल विकास, शारीरिक कंडीशनिंग और रणनीतिक समझ में संतुलन</v>
      </c>
    </row>
    <row r="754" ht="22.5" customHeight="1">
      <c r="A754" s="2">
        <v>753.0</v>
      </c>
      <c r="B754" s="3" t="s">
        <v>7362</v>
      </c>
      <c r="C754" s="3" t="s">
        <v>7363</v>
      </c>
      <c r="D754" s="3" t="s">
        <v>7364</v>
      </c>
      <c r="F754" s="5" t="str">
        <f>IFERROR(__xludf.DUMMYFUNCTION("GOOGLETRANSLATE(A754, ""en"", ""hi"")"),"753")</f>
        <v>753</v>
      </c>
      <c r="G754" s="5" t="str">
        <f>IFERROR(__xludf.DUMMYFUNCTION("GOOGLETRANSLATE(B754, ""en"", ""hi"")"),"ढोल खेल टीम को ऐसी स्थिति से कैसे निपटना चाहिए जहां प्रमुख खिलाड़ी खराब प्रदर्शन कर रहे हों?")</f>
        <v>ढोल खेल टीम को ऐसी स्थिति से कैसे निपटना चाहिए जहां प्रमुख खिलाड़ी खराब प्रदर्शन कर रहे हों?</v>
      </c>
      <c r="H754" s="5" t="str">
        <f>IFERROR(__xludf.DUMMYFUNCTION("GOOGLETRANSLATE(C754, ""en"", ""hi"")"),"A) सहायता प्रदान करें, भूमिकाएं समायोजित करें, और टीम रणनीतियों पर ध्यान केंद्रित करें, B) खराब प्रदर्शन करने वाले खिलाड़ियों को तुरंत बदलें, C) खराब प्रदर्शन को अनदेखा करें, D) केवल व्यक्तिगत कौशल पर ध्यान केंद्रित करें")</f>
        <v>A) सहायता प्रदान करें, भूमिकाएं समायोजित करें, और टीम रणनीतियों पर ध्यान केंद्रित करें, B) खराब प्रदर्शन करने वाले खिलाड़ियों को तुरंत बदलें, C) खराब प्रदर्शन को अनदेखा करें, D) केवल व्यक्तिगत कौशल पर ध्यान केंद्रित करें</v>
      </c>
      <c r="I754" s="5" t="str">
        <f>IFERROR(__xludf.DUMMYFUNCTION("GOOGLETRANSLATE(D754, ""en"", ""hi"")"),"A) सहायता प्रदान करना, भूमिकाओं को समायोजित करना, और टीम रणनीतियों पर ध्यान केंद्रित करना")</f>
        <v>A) सहायता प्रदान करना, भूमिकाओं को समायोजित करना, और टीम रणनीतियों पर ध्यान केंद्रित करना</v>
      </c>
    </row>
    <row r="755" ht="22.5" customHeight="1">
      <c r="A755" s="2">
        <v>754.0</v>
      </c>
      <c r="B755" s="3" t="s">
        <v>7365</v>
      </c>
      <c r="C755" s="3" t="s">
        <v>7366</v>
      </c>
      <c r="D755" s="3" t="s">
        <v>7367</v>
      </c>
      <c r="F755" s="5" t="str">
        <f>IFERROR(__xludf.DUMMYFUNCTION("GOOGLETRANSLATE(A755, ""en"", ""hi"")"),"754")</f>
        <v>754</v>
      </c>
      <c r="G755" s="5" t="str">
        <f>IFERROR(__xludf.DUMMYFUNCTION("GOOGLETRANSLATE(B755, ""en"", ""hi"")"),"मजबूत व्यक्तिगत खिलाड़ियों वाली टीम के खिलाफ सफल ढोल खेल रणनीति का महत्वपूर्ण तत्व क्या है?")</f>
        <v>मजबूत व्यक्तिगत खिलाड़ियों वाली टीम के खिलाफ सफल ढोल खेल रणनीति का महत्वपूर्ण तत्व क्या है?</v>
      </c>
      <c r="H755" s="5" t="str">
        <f>IFERROR(__xludf.DUMMYFUNCTION("GOOGLETRANSLATE(C755, ""en"", ""hi"")"),"A) टीम-आधारित रणनीति पर ध्यान केंद्रित करना और सामूहिक कमजोरियों का फायदा उठाना, B) केवल व्यक्तिगत कौशल पर निर्भर रहना, C) टीम की रणनीतियों की अनदेखी करना, D) विशिष्ट सामरिक समायोजन से बचना")</f>
        <v>A) टीम-आधारित रणनीति पर ध्यान केंद्रित करना और सामूहिक कमजोरियों का फायदा उठाना, B) केवल व्यक्तिगत कौशल पर निर्भर रहना, C) टीम की रणनीतियों की अनदेखी करना, D) विशिष्ट सामरिक समायोजन से बचना</v>
      </c>
      <c r="I755" s="5" t="str">
        <f>IFERROR(__xludf.DUMMYFUNCTION("GOOGLETRANSLATE(D755, ""en"", ""hi"")"),"A) टीम-आधारित रणनीति पर ध्यान केंद्रित करना और सामूहिक कमजोरियों का फायदा उठाना")</f>
        <v>A) टीम-आधारित रणनीति पर ध्यान केंद्रित करना और सामूहिक कमजोरियों का फायदा उठाना</v>
      </c>
    </row>
    <row r="756" ht="22.5" customHeight="1">
      <c r="A756" s="2">
        <v>755.0</v>
      </c>
      <c r="B756" s="3" t="s">
        <v>7368</v>
      </c>
      <c r="C756" s="3" t="s">
        <v>7369</v>
      </c>
      <c r="D756" s="3" t="s">
        <v>7370</v>
      </c>
      <c r="F756" s="5" t="str">
        <f>IFERROR(__xludf.DUMMYFUNCTION("GOOGLETRANSLATE(A756, ""en"", ""hi"")"),"755")</f>
        <v>755</v>
      </c>
      <c r="G756" s="5" t="str">
        <f>IFERROR(__xludf.DUMMYFUNCTION("GOOGLETRANSLATE(B756, ""en"", ""hi"")"),"ढोल खेल टीम मैच के दौरान टाइमआउट का प्रभावी ढंग से उपयोग कैसे कर सकती है?")</f>
        <v>ढोल खेल टीम मैच के दौरान टाइमआउट का प्रभावी ढंग से उपयोग कैसे कर सकती है?</v>
      </c>
      <c r="H756" s="5" t="str">
        <f>IFERROR(__xludf.DUMMYFUNCTION("GOOGLETRANSLATE(C756, ""en"", ""hi"")"),"ए) रणनीतियों का पुनर्मूल्यांकन करने, संवाद करने और मुद्दों को हल करने के लिए टाइमआउट का उपयोग करें, बी) टाइमआउट का उपयोग करने से बचें, सी) टाइमआउट के दौरान केवल व्यक्तिगत खेल पर ध्यान केंद्रित करें, डी) टाइमआउट के अवसरों को अनदेखा करें")</f>
        <v>ए) रणनीतियों का पुनर्मूल्यांकन करने, संवाद करने और मुद्दों को हल करने के लिए टाइमआउट का उपयोग करें, बी) टाइमआउट का उपयोग करने से बचें, सी) टाइमआउट के दौरान केवल व्यक्तिगत खेल पर ध्यान केंद्रित करें, डी) टाइमआउट के अवसरों को अनदेखा करें</v>
      </c>
      <c r="I756" s="5" t="str">
        <f>IFERROR(__xludf.DUMMYFUNCTION("GOOGLETRANSLATE(D756, ""en"", ""hi"")"),"A) रणनीतियों का पुनर्मूल्यांकन करने, संवाद करने और मुद्दों को हल करने के लिए टाइमआउट का उपयोग करें")</f>
        <v>A) रणनीतियों का पुनर्मूल्यांकन करने, संवाद करने और मुद्दों को हल करने के लिए टाइमआउट का उपयोग करें</v>
      </c>
    </row>
    <row r="757" ht="22.5" customHeight="1">
      <c r="A757" s="2">
        <v>756.0</v>
      </c>
      <c r="B757" s="3" t="s">
        <v>7371</v>
      </c>
      <c r="C757" s="3" t="s">
        <v>7372</v>
      </c>
      <c r="D757" s="3" t="s">
        <v>7373</v>
      </c>
      <c r="F757" s="5" t="str">
        <f>IFERROR(__xludf.DUMMYFUNCTION("GOOGLETRANSLATE(A757, ""en"", ""hi"")"),"756")</f>
        <v>756</v>
      </c>
      <c r="G757" s="5" t="str">
        <f>IFERROR(__xludf.DUMMYFUNCTION("GOOGLETRANSLATE(B757, ""en"", ""hi"")"),"ढोल खेल में, मैच के दौरान मानसिक थकान से उबरने के लिए खिलाड़ी के लिए सबसे अच्छा तरीका क्या है?")</f>
        <v>ढोल खेल में, मैच के दौरान मानसिक थकान से उबरने के लिए खिलाड़ी के लिए सबसे अच्छा तरीका क्या है?</v>
      </c>
      <c r="H757" s="5" t="str">
        <f>IFERROR(__xludf.DUMMYFUNCTION("GOOGLETRANSLATE(C757, ""en"", ""hi"")"),"क) मानसिक विश्राम तकनीकों का प्रयोग करें, ध्यान केंद्रित रखें, और जब संभव हो तो संक्षिप्त विराम लें, ख) मानसिक थकान को नजरअंदाज करें, ग) केवल शारीरिक सहनशक्ति पर ध्यान केंद्रित करें, घ) मानसिक तैयारी से बचें")</f>
        <v>क) मानसिक विश्राम तकनीकों का प्रयोग करें, ध्यान केंद्रित रखें, और जब संभव हो तो संक्षिप्त विराम लें, ख) मानसिक थकान को नजरअंदाज करें, ग) केवल शारीरिक सहनशक्ति पर ध्यान केंद्रित करें, घ) मानसिक तैयारी से बचें</v>
      </c>
      <c r="I757" s="5" t="str">
        <f>IFERROR(__xludf.DUMMYFUNCTION("GOOGLETRANSLATE(D757, ""en"", ""hi"")"),"क) मानसिक विश्राम तकनीकों का प्रयोग करें, ध्यान केंद्रित रखें, और जब भी संभव हो संक्षिप्त विराम लें")</f>
        <v>क) मानसिक विश्राम तकनीकों का प्रयोग करें, ध्यान केंद्रित रखें, और जब भी संभव हो संक्षिप्त विराम लें</v>
      </c>
    </row>
    <row r="758" ht="22.5" customHeight="1">
      <c r="A758" s="2">
        <v>757.0</v>
      </c>
      <c r="B758" s="3" t="s">
        <v>7374</v>
      </c>
      <c r="C758" s="3" t="s">
        <v>7375</v>
      </c>
      <c r="D758" s="3" t="s">
        <v>7376</v>
      </c>
      <c r="F758" s="5" t="str">
        <f>IFERROR(__xludf.DUMMYFUNCTION("GOOGLETRANSLATE(A758, ""en"", ""hi"")"),"757")</f>
        <v>757</v>
      </c>
      <c r="G758" s="5" t="str">
        <f>IFERROR(__xludf.DUMMYFUNCTION("GOOGLETRANSLATE(B758, ""en"", ""hi"")"),"ढोल खेल टीम को उस समय क्या रणनीति अपनानी चाहिए जब उनका सामना ऐसी टीम से हो जो बार-बार अपनी रणनीति बदलती रहती है?")</f>
        <v>ढोल खेल टीम को उस समय क्या रणनीति अपनानी चाहिए जब उनका सामना ऐसी टीम से हो जो बार-बार अपनी रणनीति बदलती रहती है?</v>
      </c>
      <c r="H758" s="5" t="str">
        <f>IFERROR(__xludf.DUMMYFUNCTION("GOOGLETRANSLATE(C758, ""en"", ""hi"")"),"A) अनुकूलनशील बने रहें, लगातार संवाद करें, और प्रतिक्रिया में रणनीति समायोजित करें, B) एक निश्चित रणनीति पर टिके रहें, C) सामरिक परिवर्तनों को अनदेखा करें, D) केवल व्यक्तिगत प्रदर्शन पर ध्यान केंद्रित करें")</f>
        <v>A) अनुकूलनशील बने रहें, लगातार संवाद करें, और प्रतिक्रिया में रणनीति समायोजित करें, B) एक निश्चित रणनीति पर टिके रहें, C) सामरिक परिवर्तनों को अनदेखा करें, D) केवल व्यक्तिगत प्रदर्शन पर ध्यान केंद्रित करें</v>
      </c>
      <c r="I758" s="5" t="str">
        <f>IFERROR(__xludf.DUMMYFUNCTION("GOOGLETRANSLATE(D758, ""en"", ""hi"")"),"ए) अनुकूलनशील बने रहें, लगातार संवाद करें, और प्रतिक्रिया में रणनीति समायोजित करें")</f>
        <v>ए) अनुकूलनशील बने रहें, लगातार संवाद करें, और प्रतिक्रिया में रणनीति समायोजित करें</v>
      </c>
    </row>
    <row r="759" ht="22.5" customHeight="1">
      <c r="A759" s="2">
        <v>758.0</v>
      </c>
      <c r="B759" s="3" t="s">
        <v>7377</v>
      </c>
      <c r="C759" s="3" t="s">
        <v>7378</v>
      </c>
      <c r="D759" s="3" t="s">
        <v>7379</v>
      </c>
      <c r="F759" s="5" t="str">
        <f>IFERROR(__xludf.DUMMYFUNCTION("GOOGLETRANSLATE(A759, ""en"", ""hi"")"),"758")</f>
        <v>758</v>
      </c>
      <c r="G759" s="5" t="str">
        <f>IFERROR(__xludf.DUMMYFUNCTION("GOOGLETRANSLATE(B759, ""en"", ""hi"")"),"ढोल खेल मैच के दौरान एक टीम खिलाड़ियों के बीच प्रभावी समन्वय कैसे बनाए रख सकती है?")</f>
        <v>ढोल खेल मैच के दौरान एक टीम खिलाड़ियों के बीच प्रभावी समन्वय कैसे बनाए रख सकती है?</v>
      </c>
      <c r="H759" s="5" t="str">
        <f>IFERROR(__xludf.DUMMYFUNCTION("GOOGLETRANSLATE(C759, ""en"", ""hi"")"),"A) पूर्वनिर्धारित संकेतों का उपयोग करें, टीमवर्क का अभ्यास करें, और निरंतर संचार बनाए रखें, B) केवल व्यक्तिगत कौशल पर निर्भर रहें, C) समन्वय रणनीतियों की उपेक्षा करें, D) केवल खेल रणनीति पर ध्यान केंद्रित करें")</f>
        <v>A) पूर्वनिर्धारित संकेतों का उपयोग करें, टीमवर्क का अभ्यास करें, और निरंतर संचार बनाए रखें, B) केवल व्यक्तिगत कौशल पर निर्भर रहें, C) समन्वय रणनीतियों की उपेक्षा करें, D) केवल खेल रणनीति पर ध्यान केंद्रित करें</v>
      </c>
      <c r="I759" s="5" t="str">
        <f>IFERROR(__xludf.DUMMYFUNCTION("GOOGLETRANSLATE(D759, ""en"", ""hi"")"),"A) पूर्वनिर्धारित संकेतों का उपयोग करें, टीम वर्क का अभ्यास करें, और निरंतर संचार बनाए रखें")</f>
        <v>A) पूर्वनिर्धारित संकेतों का उपयोग करें, टीम वर्क का अभ्यास करें, और निरंतर संचार बनाए रखें</v>
      </c>
    </row>
    <row r="760" ht="22.5" customHeight="1">
      <c r="A760" s="2">
        <v>759.0</v>
      </c>
      <c r="B760" s="3" t="s">
        <v>7380</v>
      </c>
      <c r="C760" s="3" t="s">
        <v>7381</v>
      </c>
      <c r="D760" s="3" t="s">
        <v>7382</v>
      </c>
      <c r="F760" s="5" t="str">
        <f>IFERROR(__xludf.DUMMYFUNCTION("GOOGLETRANSLATE(A760, ""en"", ""hi"")"),"759")</f>
        <v>759</v>
      </c>
      <c r="G760" s="5" t="str">
        <f>IFERROR(__xludf.DUMMYFUNCTION("GOOGLETRANSLATE(B760, ""en"", ""hi"")"),"ढोल खेल टूर्नामेंट में मैचों के बीच रिकवरी समय के दौरान खिलाड़ी का ध्यान किस पर होना चाहिए?")</f>
        <v>ढोल खेल टूर्नामेंट में मैचों के बीच रिकवरी समय के दौरान खिलाड़ी का ध्यान किस पर होना चाहिए?</v>
      </c>
      <c r="H760" s="5" t="str">
        <f>IFERROR(__xludf.DUMMYFUNCTION("GOOGLETRANSLATE(C760, ""en"", ""hi"")"),"ए) अगले मैच के लिए तैयारी सुनिश्चित करने के लिए आराम करें, हाइड्रेट करें और प्रदर्शन की समीक्षा करें, बी) रिकवरी को नजरअंदाज करें, सी) केवल अभ्यास पर ध्यान केंद्रित करें, डी) आराम और हाइड्रेटिंग से बचें")</f>
        <v>ए) अगले मैच के लिए तैयारी सुनिश्चित करने के लिए आराम करें, हाइड्रेट करें और प्रदर्शन की समीक्षा करें, बी) रिकवरी को नजरअंदाज करें, सी) केवल अभ्यास पर ध्यान केंद्रित करें, डी) आराम और हाइड्रेटिंग से बचें</v>
      </c>
      <c r="I760" s="5" t="str">
        <f>IFERROR(__xludf.DUMMYFUNCTION("GOOGLETRANSLATE(D760, ""en"", ""hi"")"),"ए) अगले मैच के लिए तैयारी सुनिश्चित करने के लिए आराम करें, पानी पिएं और प्रदर्शन की समीक्षा करें")</f>
        <v>ए) अगले मैच के लिए तैयारी सुनिश्चित करने के लिए आराम करें, पानी पिएं और प्रदर्शन की समीक्षा करें</v>
      </c>
    </row>
    <row r="761" ht="22.5" customHeight="1">
      <c r="A761" s="2">
        <v>760.0</v>
      </c>
      <c r="B761" s="3" t="s">
        <v>7383</v>
      </c>
      <c r="C761" s="3" t="s">
        <v>7384</v>
      </c>
      <c r="D761" s="3" t="s">
        <v>7385</v>
      </c>
      <c r="F761" s="5" t="str">
        <f>IFERROR(__xludf.DUMMYFUNCTION("GOOGLETRANSLATE(A761, ""en"", ""hi"")"),"760")</f>
        <v>760</v>
      </c>
      <c r="G761" s="5" t="str">
        <f>IFERROR(__xludf.DUMMYFUNCTION("GOOGLETRANSLATE(B761, ""en"", ""hi"")"),"ढोल खेल वादक को नई तकनीकों का अभ्यास किस प्रकार करना चाहिए?")</f>
        <v>ढोल खेल वादक को नई तकनीकों का अभ्यास किस प्रकार करना चाहिए?</v>
      </c>
      <c r="H761" s="5" t="str">
        <f>IFERROR(__xludf.DUMMYFUNCTION("GOOGLETRANSLATE(C761, ""en"", ""hi"")"),"क) धीरे-धीरे नई तकनीकों को अभ्यास में शामिल करें, प्रतिक्रिया लें और कौशल को निखारें, ख) केवल मौजूदा तकनीकों पर ध्यान केंद्रित करें, ग) नई तकनीकों का अभ्यास करने से बचें, घ) केवल प्राकृतिक क्षमता पर भरोसा करें")</f>
        <v>क) धीरे-धीरे नई तकनीकों को अभ्यास में शामिल करें, प्रतिक्रिया लें और कौशल को निखारें, ख) केवल मौजूदा तकनीकों पर ध्यान केंद्रित करें, ग) नई तकनीकों का अभ्यास करने से बचें, घ) केवल प्राकृतिक क्षमता पर भरोसा करें</v>
      </c>
      <c r="I761" s="5" t="str">
        <f>IFERROR(__xludf.DUMMYFUNCTION("GOOGLETRANSLATE(D761, ""en"", ""hi"")"),"A) धीरे-धीरे नई तकनीकों को अभ्यास में शामिल करें, प्रतिक्रिया लें और कौशल को निखारें")</f>
        <v>A) धीरे-धीरे नई तकनीकों को अभ्यास में शामिल करें, प्रतिक्रिया लें और कौशल को निखारें</v>
      </c>
    </row>
    <row r="762" ht="22.5" customHeight="1">
      <c r="A762" s="2">
        <v>761.0</v>
      </c>
      <c r="B762" s="3" t="s">
        <v>7386</v>
      </c>
      <c r="C762" s="3" t="s">
        <v>7387</v>
      </c>
      <c r="D762" s="3" t="s">
        <v>7388</v>
      </c>
      <c r="F762" s="5" t="str">
        <f>IFERROR(__xludf.DUMMYFUNCTION("GOOGLETRANSLATE(A762, ""en"", ""hi"")"),"761")</f>
        <v>761</v>
      </c>
      <c r="G762" s="5" t="str">
        <f>IFERROR(__xludf.DUMMYFUNCTION("GOOGLETRANSLATE(B762, ""en"", ""hi"")"),"ढोल खेल मैच के लिए खेल योजना बनाते समय मुख्य बात क्या है?")</f>
        <v>ढोल खेल मैच के लिए खेल योजना बनाते समय मुख्य बात क्या है?</v>
      </c>
      <c r="H762" s="5" t="str">
        <f>IFERROR(__xludf.DUMMYFUNCTION("GOOGLETRANSLATE(C762, ""en"", ""hi"")"),"A) प्रतिद्वंद्वी की ताकत और कमजोरियों का विश्लेषण करते हुए उनका फायदा उठाने के लिए रणनीति बनाना, B) केवल पिछले खेल की योजनाओं पर निर्भर रहना, C) प्रतिद्वंद्वी विश्लेषण की अनदेखी करना, D) केवल टीम की ताकत पर ध्यान केंद्रित करना")</f>
        <v>A) प्रतिद्वंद्वी की ताकत और कमजोरियों का विश्लेषण करते हुए उनका फायदा उठाने के लिए रणनीति बनाना, B) केवल पिछले खेल की योजनाओं पर निर्भर रहना, C) प्रतिद्वंद्वी विश्लेषण की अनदेखी करना, D) केवल टीम की ताकत पर ध्यान केंद्रित करना</v>
      </c>
      <c r="I762" s="5" t="str">
        <f>IFERROR(__xludf.DUMMYFUNCTION("GOOGLETRANSLATE(D762, ""en"", ""hi"")"),"A) प्रतिद्वंद्वी की ताकत और कमजोरियों का विश्लेषण करते हुए उनका फायदा उठाने के लिए रणनीति बनाना")</f>
        <v>A) प्रतिद्वंद्वी की ताकत और कमजोरियों का विश्लेषण करते हुए उनका फायदा उठाने के लिए रणनीति बनाना</v>
      </c>
    </row>
    <row r="763" ht="22.5" customHeight="1">
      <c r="A763" s="2">
        <v>762.0</v>
      </c>
      <c r="B763" s="3" t="s">
        <v>7389</v>
      </c>
      <c r="C763" s="3" t="s">
        <v>7390</v>
      </c>
      <c r="D763" s="3" t="s">
        <v>7391</v>
      </c>
      <c r="F763" s="5" t="str">
        <f>IFERROR(__xludf.DUMMYFUNCTION("GOOGLETRANSLATE(A763, ""en"", ""hi"")"),"762")</f>
        <v>762</v>
      </c>
      <c r="G763" s="5" t="str">
        <f>IFERROR(__xludf.DUMMYFUNCTION("GOOGLETRANSLATE(B763, ""en"", ""hi"")"),"ढोल खेल टीम उच्च तनाव की स्थिति में अपने प्रदर्शन को कैसे बेहतर बना सकती है?")</f>
        <v>ढोल खेल टीम उच्च तनाव की स्थिति में अपने प्रदर्शन को कैसे बेहतर बना सकती है?</v>
      </c>
      <c r="H763" s="5" t="str">
        <f>IFERROR(__xludf.DUMMYFUNCTION("GOOGLETRANSLATE(C763, ""en"", ""hi"")"),"ए) तनाव प्रबंधन तकनीकों का अभ्यास करें और रणनीतियों पर ध्यान केंद्रित रखें, बी) तनाव कारकों को अनदेखा करें, सी) केवल शारीरिक कौशल पर ध्यान केंद्रित करें, डी) उच्च तनाव अभ्यास परिदृश्यों से बचें")</f>
        <v>ए) तनाव प्रबंधन तकनीकों का अभ्यास करें और रणनीतियों पर ध्यान केंद्रित रखें, बी) तनाव कारकों को अनदेखा करें, सी) केवल शारीरिक कौशल पर ध्यान केंद्रित करें, डी) उच्च तनाव अभ्यास परिदृश्यों से बचें</v>
      </c>
      <c r="I763" s="5" t="str">
        <f>IFERROR(__xludf.DUMMYFUNCTION("GOOGLETRANSLATE(D763, ""en"", ""hi"")"),"ए) तनाव प्रबंधन तकनीकों का अभ्यास करें और रणनीतियों पर ध्यान केंद्रित रखें")</f>
        <v>ए) तनाव प्रबंधन तकनीकों का अभ्यास करें और रणनीतियों पर ध्यान केंद्रित रखें</v>
      </c>
    </row>
    <row r="764" ht="22.5" customHeight="1">
      <c r="A764" s="2">
        <v>763.0</v>
      </c>
      <c r="B764" s="3" t="s">
        <v>7392</v>
      </c>
      <c r="C764" s="3" t="s">
        <v>7393</v>
      </c>
      <c r="D764" s="3" t="s">
        <v>7394</v>
      </c>
      <c r="F764" s="5" t="str">
        <f>IFERROR(__xludf.DUMMYFUNCTION("GOOGLETRANSLATE(A764, ""en"", ""hi"")"),"763")</f>
        <v>763</v>
      </c>
      <c r="G764" s="5" t="str">
        <f>IFERROR(__xludf.DUMMYFUNCTION("GOOGLETRANSLATE(B764, ""en"", ""hi"")"),"ढोल खेल वादकों के लिए अपनी चपलता पर काम करने का प्रभावी तरीका क्या है?")</f>
        <v>ढोल खेल वादकों के लिए अपनी चपलता पर काम करने का प्रभावी तरीका क्या है?</v>
      </c>
      <c r="H764" s="5" t="str">
        <f>IFERROR(__xludf.DUMMYFUNCTION("GOOGLETRANSLATE(C764, ""en"", ""hi"")"),"A) अपने प्रशिक्षण दिनचर्या में चपलता अभ्यास और व्यायाम को शामिल करें, B) केवल शक्ति प्रशिक्षण पर ध्यान केंद्रित करें, C) चपलता प्रशिक्षण की उपेक्षा करें, D) केवल प्राकृतिक चपलता पर भरोसा करें")</f>
        <v>A) अपने प्रशिक्षण दिनचर्या में चपलता अभ्यास और व्यायाम को शामिल करें, B) केवल शक्ति प्रशिक्षण पर ध्यान केंद्रित करें, C) चपलता प्रशिक्षण की उपेक्षा करें, D) केवल प्राकृतिक चपलता पर भरोसा करें</v>
      </c>
      <c r="I764" s="5" t="str">
        <f>IFERROR(__xludf.DUMMYFUNCTION("GOOGLETRANSLATE(D764, ""en"", ""hi"")"),"A) अपने प्रशिक्षण दिनचर्या में चपलता अभ्यास और व्यायाम को शामिल करें")</f>
        <v>A) अपने प्रशिक्षण दिनचर्या में चपलता अभ्यास और व्यायाम को शामिल करें</v>
      </c>
    </row>
    <row r="765" ht="22.5" customHeight="1">
      <c r="A765" s="2">
        <v>764.0</v>
      </c>
      <c r="B765" s="3" t="s">
        <v>7395</v>
      </c>
      <c r="C765" s="3" t="s">
        <v>7396</v>
      </c>
      <c r="D765" s="3" t="s">
        <v>7397</v>
      </c>
      <c r="F765" s="5" t="str">
        <f>IFERROR(__xludf.DUMMYFUNCTION("GOOGLETRANSLATE(A765, ""en"", ""hi"")"),"764")</f>
        <v>764</v>
      </c>
      <c r="G765" s="5" t="str">
        <f>IFERROR(__xludf.DUMMYFUNCTION("GOOGLETRANSLATE(B765, ""en"", ""hi"")"),"ढोल खेल मैच के दौरान, जब टीम मजबूत रक्षा पंक्ति को भेदने का प्रयास कर रही हो, तो ध्यान किस पर केंद्रित होना चाहिए?")</f>
        <v>ढोल खेल मैच के दौरान, जब टीम मजबूत रक्षा पंक्ति को भेदने का प्रयास कर रही हो, तो ध्यान किस पर केंद्रित होना चाहिए?</v>
      </c>
      <c r="H765" s="5" t="str">
        <f>IFERROR(__xludf.DUMMYFUNCTION("GOOGLETRANSLATE(C765, ""en"", ""hi"")"),"A) रचनात्मक खेलों का उपयोग करें और रक्षा में अंतराल खोजें, B) केवल प्रत्यक्ष हमलों पर ध्यान केंद्रित करें, C) रक्षात्मक ताकत को अनदेखा करें, D) केवल व्यक्तिगत कौशल पर भरोसा करें")</f>
        <v>A) रचनात्मक खेलों का उपयोग करें और रक्षा में अंतराल खोजें, B) केवल प्रत्यक्ष हमलों पर ध्यान केंद्रित करें, C) रक्षात्मक ताकत को अनदेखा करें, D) केवल व्यक्तिगत कौशल पर भरोसा करें</v>
      </c>
      <c r="I765" s="5" t="str">
        <f>IFERROR(__xludf.DUMMYFUNCTION("GOOGLETRANSLATE(D765, ""en"", ""hi"")"),"A) रचनात्मक खेलों का उपयोग करें और रक्षा में अंतराल खोजें")</f>
        <v>A) रचनात्मक खेलों का उपयोग करें और रक्षा में अंतराल खोजें</v>
      </c>
    </row>
    <row r="766" ht="22.5" customHeight="1">
      <c r="A766" s="2">
        <v>765.0</v>
      </c>
      <c r="B766" s="3" t="s">
        <v>7398</v>
      </c>
      <c r="C766" s="3" t="s">
        <v>7399</v>
      </c>
      <c r="D766" s="3" t="s">
        <v>7400</v>
      </c>
      <c r="F766" s="5" t="str">
        <f>IFERROR(__xludf.DUMMYFUNCTION("GOOGLETRANSLATE(A766, ""en"", ""hi"")"),"765")</f>
        <v>765</v>
      </c>
      <c r="G766" s="5" t="str">
        <f>IFERROR(__xludf.DUMMYFUNCTION("GOOGLETRANSLATE(B766, ""en"", ""hi"")"),"ढोल खेल खिलाड़ी की मैच-पूर्व मानसिक तैयारी का महत्वपूर्ण पहलू क्या है?")</f>
        <v>ढोल खेल खिलाड़ी की मैच-पूर्व मानसिक तैयारी का महत्वपूर्ण पहलू क्या है?</v>
      </c>
      <c r="H766" s="5" t="str">
        <f>IFERROR(__xludf.DUMMYFUNCTION("GOOGLETRANSLATE(C766, ""en"", ""hi"")"),"A) सफलता की कल्पना करना, ध्यान केंद्रित रखना और सकारात्मक मानसिकता विकसित करना, B) मानसिक तैयारी की अनदेखी करना, C) केवल शारीरिक तैयारी पर ध्यान केंद्रित करना, D) मानसिक अभ्यास से बचना")</f>
        <v>A) सफलता की कल्पना करना, ध्यान केंद्रित रखना और सकारात्मक मानसिकता विकसित करना, B) मानसिक तैयारी की अनदेखी करना, C) केवल शारीरिक तैयारी पर ध्यान केंद्रित करना, D) मानसिक अभ्यास से बचना</v>
      </c>
      <c r="I766" s="5" t="str">
        <f>IFERROR(__xludf.DUMMYFUNCTION("GOOGLETRANSLATE(D766, ""en"", ""hi"")"),"A) सफलता की कल्पना करना, ध्यान केंद्रित रखना और सकारात्मक मानसिकता विकसित करना")</f>
        <v>A) सफलता की कल्पना करना, ध्यान केंद्रित रखना और सकारात्मक मानसिकता विकसित करना</v>
      </c>
    </row>
    <row r="767" ht="22.5" customHeight="1">
      <c r="A767" s="2">
        <v>766.0</v>
      </c>
      <c r="B767" s="3" t="s">
        <v>7401</v>
      </c>
      <c r="C767" s="3" t="s">
        <v>7402</v>
      </c>
      <c r="D767" s="3" t="s">
        <v>7403</v>
      </c>
      <c r="F767" s="5" t="str">
        <f>IFERROR(__xludf.DUMMYFUNCTION("GOOGLETRANSLATE(A767, ""en"", ""hi"")"),"766")</f>
        <v>766</v>
      </c>
      <c r="G767" s="5" t="str">
        <f>IFERROR(__xludf.DUMMYFUNCTION("GOOGLETRANSLATE(B767, ""en"", ""hi"")"),"ढोल खेल टीम को बेहतर रिकॉर्ड वाली टीम का सामना करते समय अपनी खेल योजना को किस प्रकार समायोजित करना चाहिए?")</f>
        <v>ढोल खेल टीम को बेहतर रिकॉर्ड वाली टीम का सामना करते समय अपनी खेल योजना को किस प्रकार समायोजित करना चाहिए?</v>
      </c>
      <c r="H767" s="5" t="str">
        <f>IFERROR(__xludf.DUMMYFUNCTION("GOOGLETRANSLATE(C767, ""en"", ""hi"")"),"A) अपनी ताकत का विश्लेषण करें, कमजोरियों का फायदा उठाने पर ध्यान केंद्रित करें और रणनीतियों को अनुकूलित करें, B) अपनी खेल योजना पर टिके रहें, C) प्रतिद्वंद्वी के रिकॉर्ड को अनदेखा करें, D) केवल व्यक्तिगत प्रदर्शन पर भरोसा करें")</f>
        <v>A) अपनी ताकत का विश्लेषण करें, कमजोरियों का फायदा उठाने पर ध्यान केंद्रित करें और रणनीतियों को अनुकूलित करें, B) अपनी खेल योजना पर टिके रहें, C) प्रतिद्वंद्वी के रिकॉर्ड को अनदेखा करें, D) केवल व्यक्तिगत प्रदर्शन पर भरोसा करें</v>
      </c>
      <c r="I767" s="5" t="str">
        <f>IFERROR(__xludf.DUMMYFUNCTION("GOOGLETRANSLATE(D767, ""en"", ""hi"")"),"A) अपनी शक्तियों का विश्लेषण करें, कमजोरियों का फायदा उठाने पर ध्यान केंद्रित करें और रणनीतियों को अपनाएं")</f>
        <v>A) अपनी शक्तियों का विश्लेषण करें, कमजोरियों का फायदा उठाने पर ध्यान केंद्रित करें और रणनीतियों को अपनाएं</v>
      </c>
    </row>
    <row r="768" ht="22.5" customHeight="1">
      <c r="A768" s="2">
        <v>767.0</v>
      </c>
      <c r="B768" s="3" t="s">
        <v>7404</v>
      </c>
      <c r="C768" s="3" t="s">
        <v>7405</v>
      </c>
      <c r="D768" s="3" t="s">
        <v>7406</v>
      </c>
      <c r="F768" s="5" t="str">
        <f>IFERROR(__xludf.DUMMYFUNCTION("GOOGLETRANSLATE(A768, ""en"", ""hi"")"),"767")</f>
        <v>767</v>
      </c>
      <c r="G768" s="5" t="str">
        <f>IFERROR(__xludf.DUMMYFUNCTION("GOOGLETRANSLATE(B768, ""en"", ""hi"")"),"लंबे समय तक चलने वाले ढोल खेल टूर्नामेंट के दौरान शीर्ष प्रदर्शन बनाए रखने का मुख्य पहलू क्या है?")</f>
        <v>लंबे समय तक चलने वाले ढोल खेल टूर्नामेंट के दौरान शीर्ष प्रदर्शन बनाए रखने का मुख्य पहलू क्या है?</v>
      </c>
      <c r="H768" s="5" t="str">
        <f>IFERROR(__xludf.DUMMYFUNCTION("GOOGLETRANSLATE(C768, ""en"", ""hi"")"),"ए) उचित आराम, जलयोजन, और लगातार मानसिक और शारीरिक कंडीशनिंग, बी) आराम और जलयोजन की अनदेखी करना, सी) केवल मैचों पर ध्यान केंद्रित करना, डी) कंडीशनिंग प्रथाओं से बचना")</f>
        <v>ए) उचित आराम, जलयोजन, और लगातार मानसिक और शारीरिक कंडीशनिंग, बी) आराम और जलयोजन की अनदेखी करना, सी) केवल मैचों पर ध्यान केंद्रित करना, डी) कंडीशनिंग प्रथाओं से बचना</v>
      </c>
      <c r="I768" s="5" t="str">
        <f>IFERROR(__xludf.DUMMYFUNCTION("GOOGLETRANSLATE(D768, ""en"", ""hi"")"),"ए) उचित आराम, जलयोजन, और लगातार मानसिक और शारीरिक कंडीशनिंग")</f>
        <v>ए) उचित आराम, जलयोजन, और लगातार मानसिक और शारीरिक कंडीशनिंग</v>
      </c>
    </row>
    <row r="769" ht="22.5" customHeight="1">
      <c r="A769" s="2">
        <v>768.0</v>
      </c>
      <c r="B769" s="3" t="s">
        <v>7407</v>
      </c>
      <c r="C769" s="3" t="s">
        <v>7408</v>
      </c>
      <c r="D769" s="3" t="s">
        <v>7409</v>
      </c>
      <c r="F769" s="5" t="str">
        <f>IFERROR(__xludf.DUMMYFUNCTION("GOOGLETRANSLATE(A769, ""en"", ""hi"")"),"768")</f>
        <v>768</v>
      </c>
      <c r="G769" s="5" t="str">
        <f>IFERROR(__xludf.DUMMYFUNCTION("GOOGLETRANSLATE(B769, ""en"", ""hi"")"),"ढोल खेल में, खिलाड़ी को उस स्थिति से कैसे निपटना चाहिए, जहां उनकी सामान्य तकनीकें काम नहीं कर रही हों?")</f>
        <v>ढोल खेल में, खिलाड़ी को उस स्थिति से कैसे निपटना चाहिए, जहां उनकी सामान्य तकनीकें काम नहीं कर रही हों?</v>
      </c>
      <c r="H769" s="5" t="str">
        <f>IFERROR(__xludf.DUMMYFUNCTION("GOOGLETRANSLATE(C769, ""en"", ""hi"")"),"A) नई तकनीकों को आज़माकर, स्थिति का विश्लेषण करके और समायोजन करके अनुकूलन करें, B) सामान्य तकनीकों पर टिके रहें, C) स्थिति की अनदेखी करें, D) केवल व्यक्तिगत प्रदर्शन पर ध्यान केंद्रित करें")</f>
        <v>A) नई तकनीकों को आज़माकर, स्थिति का विश्लेषण करके और समायोजन करके अनुकूलन करें, B) सामान्य तकनीकों पर टिके रहें, C) स्थिति की अनदेखी करें, D) केवल व्यक्तिगत प्रदर्शन पर ध्यान केंद्रित करें</v>
      </c>
      <c r="I769" s="5" t="str">
        <f>IFERROR(__xludf.DUMMYFUNCTION("GOOGLETRANSLATE(D769, ""en"", ""hi"")"),"A) नई तकनीकों को आज़माकर, स्थिति का विश्लेषण करके और समायोजन करके अनुकूलन करें")</f>
        <v>A) नई तकनीकों को आज़माकर, स्थिति का विश्लेषण करके और समायोजन करके अनुकूलन करें</v>
      </c>
    </row>
    <row r="770" ht="22.5" customHeight="1">
      <c r="A770" s="2">
        <v>769.0</v>
      </c>
      <c r="B770" s="3" t="s">
        <v>7410</v>
      </c>
      <c r="C770" s="3" t="s">
        <v>7411</v>
      </c>
      <c r="D770" s="3" t="s">
        <v>7412</v>
      </c>
      <c r="F770" s="5" t="str">
        <f>IFERROR(__xludf.DUMMYFUNCTION("GOOGLETRANSLATE(A770, ""en"", ""hi"")"),"769")</f>
        <v>769</v>
      </c>
      <c r="G770" s="5" t="str">
        <f>IFERROR(__xludf.DUMMYFUNCTION("GOOGLETRANSLATE(B770, ""en"", ""hi"")"),"ढोल खेल खिलाड़ियों के लिए खेल की रणनीतिक समझ बढ़ाने का प्रभावी तरीका क्या है?")</f>
        <v>ढोल खेल खिलाड़ियों के लिए खेल की रणनीतिक समझ बढ़ाने का प्रभावी तरीका क्या है?</v>
      </c>
      <c r="H770" s="5" t="str">
        <f>IFERROR(__xludf.DUMMYFUNCTION("GOOGLETRANSLATE(C770, ""en"", ""hi"")"),"A) खेल फुटेज का अध्ययन करें, रणनीतियों का विश्लेषण करें, और कोच और टीम के साथियों के साथ चर्चा करें, B) केवल शारीरिक कौशल पर ध्यान केंद्रित करें, C) रणनीतिक विश्लेषण को अनदेखा करें, D) केवल खेल के अनुभव पर निर्भर रहें")</f>
        <v>A) खेल फुटेज का अध्ययन करें, रणनीतियों का विश्लेषण करें, और कोच और टीम के साथियों के साथ चर्चा करें, B) केवल शारीरिक कौशल पर ध्यान केंद्रित करें, C) रणनीतिक विश्लेषण को अनदेखा करें, D) केवल खेल के अनुभव पर निर्भर रहें</v>
      </c>
      <c r="I770" s="5" t="str">
        <f>IFERROR(__xludf.DUMMYFUNCTION("GOOGLETRANSLATE(D770, ""en"", ""hi"")"),"ए) खेल फुटेज का अध्ययन करें, रणनीतियों का विश्लेषण करें, और कोचों और टीम के साथियों के साथ चर्चा करें")</f>
        <v>ए) खेल फुटेज का अध्ययन करें, रणनीतियों का विश्लेषण करें, और कोचों और टीम के साथियों के साथ चर्चा करें</v>
      </c>
    </row>
    <row r="771" ht="22.5" customHeight="1">
      <c r="A771" s="2">
        <v>770.0</v>
      </c>
      <c r="B771" s="3" t="s">
        <v>7413</v>
      </c>
      <c r="C771" s="3" t="s">
        <v>7414</v>
      </c>
      <c r="D771" s="3" t="s">
        <v>7415</v>
      </c>
      <c r="F771" s="5" t="str">
        <f>IFERROR(__xludf.DUMMYFUNCTION("GOOGLETRANSLATE(A771, ""en"", ""hi"")"),"770")</f>
        <v>770</v>
      </c>
      <c r="G771" s="5" t="str">
        <f>IFERROR(__xludf.DUMMYFUNCTION("GOOGLETRANSLATE(B771, ""en"", ""hi"")"),"ढोल खेल टीम को मैच के दौरान मौसम की स्थिति में अप्रत्याशित परिवर्तन पर कैसे प्रतिक्रिया देनी चाहिए?")</f>
        <v>ढोल खेल टीम को मैच के दौरान मौसम की स्थिति में अप्रत्याशित परिवर्तन पर कैसे प्रतिक्रिया देनी चाहिए?</v>
      </c>
      <c r="H771" s="5" t="str">
        <f>IFERROR(__xludf.DUMMYFUNCTION("GOOGLETRANSLATE(C771, ""en"", ""hi"")"),"A) मौसम की स्थिति के अनुसार रणनीति और रणनीति समायोजित करें, B) प्रारंभिक योजनाओं पर टिके रहें, C) मौसम परिवर्तनों को अनदेखा करें, D) केवल व्यक्तिगत प्रदर्शन पर ध्यान केंद्रित करें")</f>
        <v>A) मौसम की स्थिति के अनुसार रणनीति और रणनीति समायोजित करें, B) प्रारंभिक योजनाओं पर टिके रहें, C) मौसम परिवर्तनों को अनदेखा करें, D) केवल व्यक्तिगत प्रदर्शन पर ध्यान केंद्रित करें</v>
      </c>
      <c r="I771" s="5" t="str">
        <f>IFERROR(__xludf.DUMMYFUNCTION("GOOGLETRANSLATE(D771, ""en"", ""hi"")"),"A) मौसम की स्थिति के अनुसार रणनीति और रणनीति को समायोजित करना")</f>
        <v>A) मौसम की स्थिति के अनुसार रणनीति और रणनीति को समायोजित करना</v>
      </c>
    </row>
    <row r="772" ht="22.5" customHeight="1">
      <c r="A772" s="2">
        <v>771.0</v>
      </c>
      <c r="B772" s="3" t="s">
        <v>7416</v>
      </c>
      <c r="C772" s="3" t="s">
        <v>7417</v>
      </c>
      <c r="D772" s="3" t="s">
        <v>7418</v>
      </c>
      <c r="F772" s="5" t="str">
        <f>IFERROR(__xludf.DUMMYFUNCTION("GOOGLETRANSLATE(A772, ""en"", ""hi"")"),"771")</f>
        <v>771</v>
      </c>
      <c r="G772" s="5" t="str">
        <f>IFERROR(__xludf.DUMMYFUNCTION("GOOGLETRANSLATE(B772, ""en"", ""hi"")"),"ढोल खेल मैच के दौरान प्रभावी टीम गतिशीलता बनाए रखने में महत्वपूर्ण कारक क्या है?")</f>
        <v>ढोल खेल मैच के दौरान प्रभावी टीम गतिशीलता बनाए रखने में महत्वपूर्ण कारक क्या है?</v>
      </c>
      <c r="H772" s="5" t="str">
        <f>IFERROR(__xludf.DUMMYFUNCTION("GOOGLETRANSLATE(C772, ""en"", ""hi"")"),"A) खुला संचार, आपसी सहयोग और अनुकूलनशीलता, B) केवल व्यक्तिगत प्रदर्शन पर ध्यान केंद्रित करना, C) टीम की गतिशीलता को अनदेखा करना, D) केवल व्यक्तिगत कौशल पर निर्भर रहना")</f>
        <v>A) खुला संचार, आपसी सहयोग और अनुकूलनशीलता, B) केवल व्यक्तिगत प्रदर्शन पर ध्यान केंद्रित करना, C) टीम की गतिशीलता को अनदेखा करना, D) केवल व्यक्तिगत कौशल पर निर्भर रहना</v>
      </c>
      <c r="I772" s="5" t="str">
        <f>IFERROR(__xludf.DUMMYFUNCTION("GOOGLETRANSLATE(D772, ""en"", ""hi"")"),"ए) खुला संचार, पारस्परिक समर्थन और अनुकूलनशीलता")</f>
        <v>ए) खुला संचार, पारस्परिक समर्थन और अनुकूलनशीलता</v>
      </c>
    </row>
    <row r="773" ht="22.5" customHeight="1">
      <c r="A773" s="2">
        <v>772.0</v>
      </c>
      <c r="B773" s="3" t="s">
        <v>7419</v>
      </c>
      <c r="C773" s="3" t="s">
        <v>7420</v>
      </c>
      <c r="D773" s="3" t="s">
        <v>7421</v>
      </c>
      <c r="F773" s="5" t="str">
        <f>IFERROR(__xludf.DUMMYFUNCTION("GOOGLETRANSLATE(A773, ""en"", ""hi"")"),"772")</f>
        <v>772</v>
      </c>
      <c r="G773" s="5" t="str">
        <f>IFERROR(__xludf.DUMMYFUNCTION("GOOGLETRANSLATE(B773, ""en"", ""hi"")"),"ढोल खेल का खिलाड़ी मजबूत आक्रामक रणनीति वाली टीम का सामना करने के लिए सर्वोत्तम तैयारी कैसे कर सकता है?")</f>
        <v>ढोल खेल का खिलाड़ी मजबूत आक्रामक रणनीति वाली टीम का सामना करने के लिए सर्वोत्तम तैयारी कैसे कर सकता है?</v>
      </c>
      <c r="H773" s="5" t="str">
        <f>IFERROR(__xludf.DUMMYFUNCTION("GOOGLETRANSLATE(C773, ""en"", ""hi"")"),"A) रक्षात्मक कौशल बढ़ाने और आक्रामक पैटर्न को समझने पर ध्यान केंद्रित करें, B) प्रतिद्वंद्वी की आक्रामक रणनीति को अनदेखा करें, C) केवल आक्रामक खेल पर भरोसा करें, D) विशिष्ट तैयारी से बचें")</f>
        <v>A) रक्षात्मक कौशल बढ़ाने और आक्रामक पैटर्न को समझने पर ध्यान केंद्रित करें, B) प्रतिद्वंद्वी की आक्रामक रणनीति को अनदेखा करें, C) केवल आक्रामक खेल पर भरोसा करें, D) विशिष्ट तैयारी से बचें</v>
      </c>
      <c r="I773" s="5" t="str">
        <f>IFERROR(__xludf.DUMMYFUNCTION("GOOGLETRANSLATE(D773, ""en"", ""hi"")"),"A) रक्षात्मक कौशल को बढ़ाने और आक्रामक पैटर्न को समझने पर ध्यान केंद्रित करें")</f>
        <v>A) रक्षात्मक कौशल को बढ़ाने और आक्रामक पैटर्न को समझने पर ध्यान केंद्रित करें</v>
      </c>
    </row>
    <row r="774" ht="22.5" customHeight="1">
      <c r="A774" s="2">
        <v>773.0</v>
      </c>
      <c r="B774" s="3" t="s">
        <v>7422</v>
      </c>
      <c r="C774" s="3" t="s">
        <v>7423</v>
      </c>
      <c r="D774" s="3" t="s">
        <v>7424</v>
      </c>
      <c r="F774" s="5" t="str">
        <f>IFERROR(__xludf.DUMMYFUNCTION("GOOGLETRANSLATE(A774, ""en"", ""hi"")"),"773")</f>
        <v>773</v>
      </c>
      <c r="G774" s="5" t="str">
        <f>IFERROR(__xludf.DUMMYFUNCTION("GOOGLETRANSLATE(B774, ""en"", ""hi"")"),"मैच के बाद अपने प्रदर्शन का विश्लेषण करते समय ढोल खेल टीम का ध्यान किस पर होना चाहिए?")</f>
        <v>मैच के बाद अपने प्रदर्शन का विश्लेषण करते समय ढोल खेल टीम का ध्यान किस पर होना चाहिए?</v>
      </c>
      <c r="H774" s="5" t="str">
        <f>IFERROR(__xludf.DUMMYFUNCTION("GOOGLETRANSLATE(C774, ""en"", ""hi"")"),"A) ताकत और सुधार के क्षेत्रों की पहचान करें, और तदनुसार रणनीतियों को समायोजित करें, B) मैच के बाद के विश्लेषण को अनदेखा करें, C) केवल व्यक्तिगत प्रदर्शन पर ध्यान केंद्रित करें, D) परिवर्तन करने से बचें")</f>
        <v>A) ताकत और सुधार के क्षेत्रों की पहचान करें, और तदनुसार रणनीतियों को समायोजित करें, B) मैच के बाद के विश्लेषण को अनदेखा करें, C) केवल व्यक्तिगत प्रदर्शन पर ध्यान केंद्रित करें, D) परिवर्तन करने से बचें</v>
      </c>
      <c r="I774" s="5" t="str">
        <f>IFERROR(__xludf.DUMMYFUNCTION("GOOGLETRANSLATE(D774, ""en"", ""hi"")"),"A) शक्तियों और सुधार के क्षेत्रों की पहचान करें, और तदनुसार रणनीतियों को समायोजित करें")</f>
        <v>A) शक्तियों और सुधार के क्षेत्रों की पहचान करें, और तदनुसार रणनीतियों को समायोजित करें</v>
      </c>
    </row>
    <row r="775" ht="22.5" customHeight="1">
      <c r="A775" s="2">
        <v>774.0</v>
      </c>
      <c r="B775" s="3" t="s">
        <v>7425</v>
      </c>
      <c r="C775" s="3" t="s">
        <v>7426</v>
      </c>
      <c r="D775" s="3" t="s">
        <v>7427</v>
      </c>
      <c r="F775" s="5" t="str">
        <f>IFERROR(__xludf.DUMMYFUNCTION("GOOGLETRANSLATE(A775, ""en"", ""hi"")"),"774")</f>
        <v>774</v>
      </c>
      <c r="G775" s="5" t="str">
        <f>IFERROR(__xludf.DUMMYFUNCTION("GOOGLETRANSLATE(B775, ""en"", ""hi"")"),"ढोल खेल टीम खेल से संबंधित तनाव को प्रभावी ढंग से कैसे प्रबंधित कर सकती है?")</f>
        <v>ढोल खेल टीम खेल से संबंधित तनाव को प्रभावी ढंग से कैसे प्रबंधित कर सकती है?</v>
      </c>
      <c r="H775" s="5" t="str">
        <f>IFERROR(__xludf.DUMMYFUNCTION("GOOGLETRANSLATE(C775, ""en"", ""hi"")"),"ए) तनाव-मुक्ति तकनीकों का उपयोग करें, खेल पर ध्यान केंद्रित रखें और एक-दूसरे का समर्थन करें, बी) तनाव प्रबंधन की उपेक्षा करें, सी) केवल शारीरिक कंडीशनिंग पर ध्यान केंद्रित करें, डी) तनाव कारकों पर चर्चा करने से बचें")</f>
        <v>ए) तनाव-मुक्ति तकनीकों का उपयोग करें, खेल पर ध्यान केंद्रित रखें और एक-दूसरे का समर्थन करें, बी) तनाव प्रबंधन की उपेक्षा करें, सी) केवल शारीरिक कंडीशनिंग पर ध्यान केंद्रित करें, डी) तनाव कारकों पर चर्चा करने से बचें</v>
      </c>
      <c r="I775" s="5" t="str">
        <f>IFERROR(__xludf.DUMMYFUNCTION("GOOGLETRANSLATE(D775, ""en"", ""hi"")"),"A) तनाव-मुक्ति तकनीकों का उपयोग करें, खेल पर ध्यान केंद्रित रखें और एक-दूसरे का समर्थन करें")</f>
        <v>A) तनाव-मुक्ति तकनीकों का उपयोग करें, खेल पर ध्यान केंद्रित रखें और एक-दूसरे का समर्थन करें</v>
      </c>
    </row>
    <row r="776" ht="22.5" customHeight="1">
      <c r="A776" s="2">
        <v>775.0</v>
      </c>
      <c r="B776" s="3" t="s">
        <v>7428</v>
      </c>
      <c r="C776" s="3" t="s">
        <v>7429</v>
      </c>
      <c r="D776" s="3" t="s">
        <v>7430</v>
      </c>
      <c r="F776" s="5" t="str">
        <f>IFERROR(__xludf.DUMMYFUNCTION("GOOGLETRANSLATE(A776, ""en"", ""hi"")"),"775")</f>
        <v>775</v>
      </c>
      <c r="G776" s="5" t="str">
        <f>IFERROR(__xludf.DUMMYFUNCTION("GOOGLETRANSLATE(B776, ""en"", ""hi"")"),"एक कठिन मैच के बाद ढोल खेल खिलाड़ी की रिकवरी रूटीन का एक महत्वपूर्ण पहलू क्या है?")</f>
        <v>एक कठिन मैच के बाद ढोल खेल खिलाड़ी की रिकवरी रूटीन का एक महत्वपूर्ण पहलू क्या है?</v>
      </c>
      <c r="H776" s="5" t="str">
        <f>IFERROR(__xludf.DUMMYFUNCTION("GOOGLETRANSLATE(C776, ""en"", ""hi"")"),"ए) रिकवरी में सहायता के लिए उचित आराम, पोषण और हल्की शारीरिक गतिविधि, बी) रिकवरी रूटीन की अनदेखी करना, सी) केवल आगे के प्रशिक्षण पर ध्यान केंद्रित करना, डी) आराम और पोषण से बचना")</f>
        <v>ए) रिकवरी में सहायता के लिए उचित आराम, पोषण और हल्की शारीरिक गतिविधि, बी) रिकवरी रूटीन की अनदेखी करना, सी) केवल आगे के प्रशिक्षण पर ध्यान केंद्रित करना, डी) आराम और पोषण से बचना</v>
      </c>
      <c r="I776" s="5" t="str">
        <f>IFERROR(__xludf.DUMMYFUNCTION("GOOGLETRANSLATE(D776, ""en"", ""hi"")"),"ए) स्वास्थ्य लाभ के लिए उचित आराम, पोषण और हल्की शारीरिक गतिविधि")</f>
        <v>ए) स्वास्थ्य लाभ के लिए उचित आराम, पोषण और हल्की शारीरिक गतिविधि</v>
      </c>
    </row>
    <row r="777" ht="22.5" customHeight="1">
      <c r="A777" s="2">
        <v>776.0</v>
      </c>
      <c r="B777" s="3" t="s">
        <v>7431</v>
      </c>
      <c r="C777" s="3" t="s">
        <v>7432</v>
      </c>
      <c r="D777" s="3" t="s">
        <v>7433</v>
      </c>
      <c r="F777" s="5" t="str">
        <f>IFERROR(__xludf.DUMMYFUNCTION("GOOGLETRANSLATE(A777, ""en"", ""hi"")"),"776")</f>
        <v>776</v>
      </c>
      <c r="G777" s="5" t="str">
        <f>IFERROR(__xludf.DUMMYFUNCTION("GOOGLETRANSLATE(B777, ""en"", ""hi"")"),"ढोल खेल टीम को मैच में किस प्रकार से भाग लेना चाहिए, जब प्रतिद्वंद्वी द्वारा उनकी सामान्य रणनीति का प्रभावी ढंग से प्रतिकार किया जाता है?")</f>
        <v>ढोल खेल टीम को मैच में किस प्रकार से भाग लेना चाहिए, जब प्रतिद्वंद्वी द्वारा उनकी सामान्य रणनीति का प्रभावी ढंग से प्रतिकार किया जाता है?</v>
      </c>
      <c r="H777" s="5" t="str">
        <f>IFERROR(__xludf.DUMMYFUNCTION("GOOGLETRANSLATE(C777, ""en"", ""hi"")"),"A) नई रणनीतियां बनाकर और उन्हें लागू करके शीघ्रता से अनुकूलन करना, B) मूल रणनीति पर कायम रहना, C) प्रतिद्वंद्वी की जवाबी रणनीति को नजरअंदाज करना, D) केवल व्यक्तिगत प्रदर्शन पर ध्यान केंद्रित करना")</f>
        <v>A) नई रणनीतियां बनाकर और उन्हें लागू करके शीघ्रता से अनुकूलन करना, B) मूल रणनीति पर कायम रहना, C) प्रतिद्वंद्वी की जवाबी रणनीति को नजरअंदाज करना, D) केवल व्यक्तिगत प्रदर्शन पर ध्यान केंद्रित करना</v>
      </c>
      <c r="I777" s="5" t="str">
        <f>IFERROR(__xludf.DUMMYFUNCTION("GOOGLETRANSLATE(D777, ""en"", ""hi"")"),"A) नई रणनीतियों को तैयार करके और उन्हें लागू करके शीघ्रता से अनुकूलित करना")</f>
        <v>A) नई रणनीतियों को तैयार करके और उन्हें लागू करके शीघ्रता से अनुकूलित करना</v>
      </c>
    </row>
    <row r="778" ht="22.5" customHeight="1">
      <c r="A778" s="2">
        <v>777.0</v>
      </c>
      <c r="B778" s="3" t="s">
        <v>7434</v>
      </c>
      <c r="C778" s="3" t="s">
        <v>7435</v>
      </c>
      <c r="D778" s="3" t="s">
        <v>7436</v>
      </c>
      <c r="F778" s="5" t="str">
        <f>IFERROR(__xludf.DUMMYFUNCTION("GOOGLETRANSLATE(A778, ""en"", ""hi"")"),"777")</f>
        <v>777</v>
      </c>
      <c r="G778" s="5" t="str">
        <f>IFERROR(__xludf.DUMMYFUNCTION("GOOGLETRANSLATE(B778, ""en"", ""hi"")"),"ढोल खेल टीम के लिए पिछले प्रतिद्वंद्वी के खिलाफ पुनः मैच की तैयारी करते समय मुख्य विचार क्या है?")</f>
        <v>ढोल खेल टीम के लिए पिछले प्रतिद्वंद्वी के खिलाफ पुनः मैच की तैयारी करते समय मुख्य विचार क्या है?</v>
      </c>
      <c r="H778" s="5" t="str">
        <f>IFERROR(__xludf.DUMMYFUNCTION("GOOGLETRANSLATE(C778, ""en"", ""hi"")"),"ए) पिछले मैच के प्रदर्शन का विश्लेषण करें, रणनीतियों को अनुकूलित करें, और सुधार क्षेत्रों पर ध्यान केंद्रित करें, बी) पिछले मैच के परिणामों को अनदेखा करें, सी) उसी रणनीति पर टिके रहें, डी) किसी भी समायोजन से बचें")</f>
        <v>ए) पिछले मैच के प्रदर्शन का विश्लेषण करें, रणनीतियों को अनुकूलित करें, और सुधार क्षेत्रों पर ध्यान केंद्रित करें, बी) पिछले मैच के परिणामों को अनदेखा करें, सी) उसी रणनीति पर टिके रहें, डी) किसी भी समायोजन से बचें</v>
      </c>
      <c r="I778" s="5" t="str">
        <f>IFERROR(__xludf.DUMMYFUNCTION("GOOGLETRANSLATE(D778, ""en"", ""hi"")"),"A) पिछले मैच के प्रदर्शन का विश्लेषण करें, रणनीतियों को अनुकूलित करें, और सुधार क्षेत्रों पर ध्यान केंद्रित करें")</f>
        <v>A) पिछले मैच के प्रदर्शन का विश्लेषण करें, रणनीतियों को अनुकूलित करें, और सुधार क्षेत्रों पर ध्यान केंद्रित करें</v>
      </c>
    </row>
    <row r="779" ht="22.5" customHeight="1">
      <c r="A779" s="2">
        <v>778.0</v>
      </c>
      <c r="B779" s="3" t="s">
        <v>7437</v>
      </c>
      <c r="C779" s="3" t="s">
        <v>7438</v>
      </c>
      <c r="D779" s="3" t="s">
        <v>7439</v>
      </c>
      <c r="F779" s="5" t="str">
        <f>IFERROR(__xludf.DUMMYFUNCTION("GOOGLETRANSLATE(A779, ""en"", ""hi"")"),"778")</f>
        <v>778</v>
      </c>
      <c r="G779" s="5" t="str">
        <f>IFERROR(__xludf.DUMMYFUNCTION("GOOGLETRANSLATE(B779, ""en"", ""hi"")"),"ढोल खेल खिलाड़ी अपने खेल के प्रति जागरूकता को प्रभावी ढंग से कैसे बढ़ा सकते हैं?")</f>
        <v>ढोल खेल खिलाड़ी अपने खेल के प्रति जागरूकता को प्रभावी ढंग से कैसे बढ़ा सकते हैं?</v>
      </c>
      <c r="H779" s="5" t="str">
        <f>IFERROR(__xludf.DUMMYFUNCTION("GOOGLETRANSLATE(C779, ""en"", ""hi"")"),"A) परिस्थितिजन्य अभ्यास में शामिल हों, खेल फुटेज की समीक्षा करें, और निर्णय लेने के कौशल का अभ्यास करें, B) केवल शारीरिक प्रशिक्षण पर ध्यान केंद्रित करें, C) खेल जागरूकता प्रशिक्षण की उपेक्षा करें, D) केवल सहज ज्ञान पर भरोसा करें")</f>
        <v>A) परिस्थितिजन्य अभ्यास में शामिल हों, खेल फुटेज की समीक्षा करें, और निर्णय लेने के कौशल का अभ्यास करें, B) केवल शारीरिक प्रशिक्षण पर ध्यान केंद्रित करें, C) खेल जागरूकता प्रशिक्षण की उपेक्षा करें, D) केवल सहज ज्ञान पर भरोसा करें</v>
      </c>
      <c r="I779" s="5" t="str">
        <f>IFERROR(__xludf.DUMMYFUNCTION("GOOGLETRANSLATE(D779, ""en"", ""hi"")"),"A) परिस्थितिजन्य अभ्यास में भाग लें, खेल फुटेज की समीक्षा करें, और निर्णय लेने के कौशल का अभ्यास करें")</f>
        <v>A) परिस्थितिजन्य अभ्यास में भाग लें, खेल फुटेज की समीक्षा करें, और निर्णय लेने के कौशल का अभ्यास करें</v>
      </c>
    </row>
    <row r="780" ht="22.5" customHeight="1">
      <c r="A780" s="2">
        <v>779.0</v>
      </c>
      <c r="B780" s="3" t="s">
        <v>7440</v>
      </c>
      <c r="C780" s="3" t="s">
        <v>7441</v>
      </c>
      <c r="D780" s="3" t="s">
        <v>7442</v>
      </c>
      <c r="F780" s="5" t="str">
        <f>IFERROR(__xludf.DUMMYFUNCTION("GOOGLETRANSLATE(A780, ""en"", ""hi"")"),"779")</f>
        <v>779</v>
      </c>
      <c r="G780" s="5" t="str">
        <f>IFERROR(__xludf.DUMMYFUNCTION("GOOGLETRANSLATE(B780, ""en"", ""hi"")"),"खेल की गति को प्रबंधित करने के लिए एक सफल ढोल खेल रणनीति का महत्वपूर्ण पहलू क्या है?")</f>
        <v>खेल की गति को प्रबंधित करने के लिए एक सफल ढोल खेल रणनीति का महत्वपूर्ण पहलू क्या है?</v>
      </c>
      <c r="H780" s="5" t="str">
        <f>IFERROR(__xludf.DUMMYFUNCTION("GOOGLETRANSLATE(C780, ""en"", ""hi"")"),"A) प्रभावी खेल और अनुकूलन के माध्यम से खेल की गति को नियंत्रित करें, B) खेल की गति को अनदेखा करें, C) केवल गति बनाए रखने पर ध्यान केंद्रित करें, D) गति को प्रबंधित करने से बचें")</f>
        <v>A) प्रभावी खेल और अनुकूलन के माध्यम से खेल की गति को नियंत्रित करें, B) खेल की गति को अनदेखा करें, C) केवल गति बनाए रखने पर ध्यान केंद्रित करें, D) गति को प्रबंधित करने से बचें</v>
      </c>
      <c r="I780" s="5" t="str">
        <f>IFERROR(__xludf.DUMMYFUNCTION("GOOGLETRANSLATE(D780, ""en"", ""hi"")"),"A) प्रभावी खेल और अनुकूलन के माध्यम से खेल की गति को नियंत्रित करें")</f>
        <v>A) प्रभावी खेल और अनुकूलन के माध्यम से खेल की गति को नियंत्रित करें</v>
      </c>
    </row>
    <row r="781" ht="22.5" customHeight="1">
      <c r="A781" s="2">
        <v>780.0</v>
      </c>
      <c r="B781" s="3" t="s">
        <v>7443</v>
      </c>
      <c r="C781" s="3" t="s">
        <v>7444</v>
      </c>
      <c r="D781" s="3" t="s">
        <v>7445</v>
      </c>
      <c r="F781" s="5" t="str">
        <f>IFERROR(__xludf.DUMMYFUNCTION("GOOGLETRANSLATE(A781, ""en"", ""hi"")"),"780")</f>
        <v>780</v>
      </c>
      <c r="G781" s="5" t="str">
        <f>IFERROR(__xludf.DUMMYFUNCTION("GOOGLETRANSLATE(B781, ""en"", ""hi"")"),"ढोल खेल टीम कैसे सुनिश्चित कर सकती है कि वे अपरिचित परिस्थितियों में मैच के लिए अच्छी तरह तैयार हैं?")</f>
        <v>ढोल खेल टीम कैसे सुनिश्चित कर सकती है कि वे अपरिचित परिस्थितियों में मैच के लिए अच्छी तरह तैयार हैं?</v>
      </c>
      <c r="H781" s="5" t="str">
        <f>IFERROR(__xludf.DUMMYFUNCTION("GOOGLETRANSLATE(C781, ""en"", ""hi"")"),"A) विभिन्न परिस्थितियों में अभ्यास करें और अनुकूलनीय रणनीति विकसित करें, B) अपरिचित परिस्थितियों को अनदेखा करें, C) केवल परिचित परिस्थितियों पर ध्यान केंद्रित करें, D) विभिन्न परिस्थितियों में अभ्यास करने से बचें")</f>
        <v>A) विभिन्न परिस्थितियों में अभ्यास करें और अनुकूलनीय रणनीति विकसित करें, B) अपरिचित परिस्थितियों को अनदेखा करें, C) केवल परिचित परिस्थितियों पर ध्यान केंद्रित करें, D) विभिन्न परिस्थितियों में अभ्यास करने से बचें</v>
      </c>
      <c r="I781" s="5" t="str">
        <f>IFERROR(__xludf.DUMMYFUNCTION("GOOGLETRANSLATE(D781, ""en"", ""hi"")"),"A) विभिन्न परिस्थितियों में अभ्यास करें और अनुकूलनीय रणनीतियाँ विकसित करें")</f>
        <v>A) विभिन्न परिस्थितियों में अभ्यास करें और अनुकूलनीय रणनीतियाँ विकसित करें</v>
      </c>
    </row>
    <row r="782" ht="22.5" customHeight="1">
      <c r="A782" s="2">
        <v>781.0</v>
      </c>
      <c r="B782" s="3" t="s">
        <v>7446</v>
      </c>
      <c r="C782" s="3" t="s">
        <v>7447</v>
      </c>
      <c r="D782" s="3" t="s">
        <v>7448</v>
      </c>
      <c r="F782" s="5" t="str">
        <f>IFERROR(__xludf.DUMMYFUNCTION("GOOGLETRANSLATE(A782, ""en"", ""hi"")"),"781")</f>
        <v>781</v>
      </c>
      <c r="G782" s="5" t="str">
        <f>IFERROR(__xludf.DUMMYFUNCTION("GOOGLETRANSLATE(B782, ""en"", ""hi"")"),"उच्च स्तर की शारीरिक फिटनेस वाली टीम का सामना करते समय ढोल खेल टीम को किस बात पर ध्यान केंद्रित करना चाहिए?")</f>
        <v>उच्च स्तर की शारीरिक फिटनेस वाली टीम का सामना करते समय ढोल खेल टीम को किस बात पर ध्यान केंद्रित करना चाहिए?</v>
      </c>
      <c r="H782" s="5" t="str">
        <f>IFERROR(__xludf.DUMMYFUNCTION("GOOGLETRANSLATE(C782, ""en"", ""hi"")"),"क) सामरिक रणनीतियों को बढ़ाना और तकनीकी कमजोरियों का फायदा उठाने पर ध्यान केंद्रित करना, ख) केवल शारीरिक फिटनेस पर निर्भर रहना, ग) प्रतिद्वंद्वी के फिटनेस स्तर को नजरअंदाज करना, घ) केवल व्यक्तिगत कौशल पर ध्यान केंद्रित करना")</f>
        <v>क) सामरिक रणनीतियों को बढ़ाना और तकनीकी कमजोरियों का फायदा उठाने पर ध्यान केंद्रित करना, ख) केवल शारीरिक फिटनेस पर निर्भर रहना, ग) प्रतिद्वंद्वी के फिटनेस स्तर को नजरअंदाज करना, घ) केवल व्यक्तिगत कौशल पर ध्यान केंद्रित करना</v>
      </c>
      <c r="I782" s="5" t="str">
        <f>IFERROR(__xludf.DUMMYFUNCTION("GOOGLETRANSLATE(D782, ""en"", ""hi"")"),"क) सामरिक रणनीतियों को बढ़ाना और तकनीकी कमजोरियों का फायदा उठाने पर ध्यान केंद्रित करना")</f>
        <v>क) सामरिक रणनीतियों को बढ़ाना और तकनीकी कमजोरियों का फायदा उठाने पर ध्यान केंद्रित करना</v>
      </c>
    </row>
    <row r="783" ht="22.5" customHeight="1">
      <c r="A783" s="2">
        <v>782.0</v>
      </c>
      <c r="B783" s="3" t="s">
        <v>7449</v>
      </c>
      <c r="C783" s="3" t="s">
        <v>7450</v>
      </c>
      <c r="D783" s="3" t="s">
        <v>7451</v>
      </c>
      <c r="F783" s="5" t="str">
        <f>IFERROR(__xludf.DUMMYFUNCTION("GOOGLETRANSLATE(A783, ""en"", ""hi"")"),"782")</f>
        <v>782</v>
      </c>
      <c r="G783" s="5" t="str">
        <f>IFERROR(__xludf.DUMMYFUNCTION("GOOGLETRANSLATE(B783, ""en"", ""hi"")"),"ढोल खेल खिलाड़ी अपने निर्णय लेने के कौशल को प्रभावी ढंग से कैसे सुधार सकते हैं?")</f>
        <v>ढोल खेल खिलाड़ी अपने निर्णय लेने के कौशल को प्रभावी ढंग से कैसे सुधार सकते हैं?</v>
      </c>
      <c r="H783" s="5" t="str">
        <f>IFERROR(__xludf.DUMMYFUNCTION("GOOGLETRANSLATE(C783, ""en"", ""hi"")"),"A) परिस्थितिजन्य अभ्यास का अभ्यास करें, खेल परिदृश्यों की समीक्षा करें और प्रतिक्रिया लें, B) केवल शारीरिक अभ्यास पर ध्यान केंद्रित करें, C) निर्णय लेने के अभ्यास को अनदेखा करें, D) केवल सहज ज्ञान पर भरोसा करें")</f>
        <v>A) परिस्थितिजन्य अभ्यास का अभ्यास करें, खेल परिदृश्यों की समीक्षा करें और प्रतिक्रिया लें, B) केवल शारीरिक अभ्यास पर ध्यान केंद्रित करें, C) निर्णय लेने के अभ्यास को अनदेखा करें, D) केवल सहज ज्ञान पर भरोसा करें</v>
      </c>
      <c r="I783" s="5" t="str">
        <f>IFERROR(__xludf.DUMMYFUNCTION("GOOGLETRANSLATE(D783, ""en"", ""hi"")"),"A) परिस्थितिजन्य अभ्यास करें, खेल परिदृश्यों की समीक्षा करें, और प्रतिक्रिया प्राप्त करें")</f>
        <v>A) परिस्थितिजन्य अभ्यास करें, खेल परिदृश्यों की समीक्षा करें, और प्रतिक्रिया प्राप्त करें</v>
      </c>
    </row>
    <row r="784" ht="22.5" customHeight="1">
      <c r="A784" s="2">
        <v>783.0</v>
      </c>
      <c r="B784" s="3" t="s">
        <v>7452</v>
      </c>
      <c r="C784" s="3" t="s">
        <v>7453</v>
      </c>
      <c r="D784" s="3" t="s">
        <v>7454</v>
      </c>
      <c r="F784" s="5" t="str">
        <f>IFERROR(__xludf.DUMMYFUNCTION("GOOGLETRANSLATE(A784, ""en"", ""hi"")"),"783")</f>
        <v>783</v>
      </c>
      <c r="G784" s="5" t="str">
        <f>IFERROR(__xludf.DUMMYFUNCTION("GOOGLETRANSLATE(B784, ""en"", ""hi"")"),"सफल ढोल खेल प्रशिक्षण का मुख्य पहलू क्या है?")</f>
        <v>सफल ढोल खेल प्रशिक्षण का मुख्य पहलू क्या है?</v>
      </c>
      <c r="H784" s="5" t="str">
        <f>IFERROR(__xludf.DUMMYFUNCTION("GOOGLETRANSLATE(C784, ""en"", ""hi"")"),"A) कौशल विकास, शारीरिक कंडीशनिंग और सामरिक समझ पर संतुलित ध्यान, B) शारीरिक कंडीशनिंग की अनदेखी, C) केवल एक पहलू पर ध्यान केंद्रित करना, D) विभिन्न प्रशिक्षण विधियों से बचना")</f>
        <v>A) कौशल विकास, शारीरिक कंडीशनिंग और सामरिक समझ पर संतुलित ध्यान, B) शारीरिक कंडीशनिंग की अनदेखी, C) केवल एक पहलू पर ध्यान केंद्रित करना, D) विभिन्न प्रशिक्षण विधियों से बचना</v>
      </c>
      <c r="I784" s="5" t="str">
        <f>IFERROR(__xludf.DUMMYFUNCTION("GOOGLETRANSLATE(D784, ""en"", ""hi"")"),"क) कौशल विकास, शारीरिक कंडीशनिंग और सामरिक समझ पर संतुलित ध्यान")</f>
        <v>क) कौशल विकास, शारीरिक कंडीशनिंग और सामरिक समझ पर संतुलित ध्यान</v>
      </c>
    </row>
    <row r="785" ht="22.5" customHeight="1">
      <c r="A785" s="2">
        <v>784.0</v>
      </c>
      <c r="B785" s="3" t="s">
        <v>7455</v>
      </c>
      <c r="C785" s="3" t="s">
        <v>7456</v>
      </c>
      <c r="D785" s="3" t="s">
        <v>7457</v>
      </c>
      <c r="F785" s="5" t="str">
        <f>IFERROR(__xludf.DUMMYFUNCTION("GOOGLETRANSLATE(A785, ""en"", ""hi"")"),"784")</f>
        <v>784</v>
      </c>
      <c r="G785" s="5" t="str">
        <f>IFERROR(__xludf.DUMMYFUNCTION("GOOGLETRANSLATE(B785, ""en"", ""hi"")"),"यदि ढोल खेल खिलाड़ी को लगातार किसी विशेष प्रतिद्वंद्वी द्वारा पराजित किया जा रहा हो तो उसे क्या प्रतिक्रिया देनी चाहिए?")</f>
        <v>यदि ढोल खेल खिलाड़ी को लगातार किसी विशेष प्रतिद्वंद्वी द्वारा पराजित किया जा रहा हो तो उसे क्या प्रतिक्रिया देनी चाहिए?</v>
      </c>
      <c r="H785" s="5" t="str">
        <f>IFERROR(__xludf.DUMMYFUNCTION("GOOGLETRANSLATE(C785, ""en"", ""hi"")"),"A) प्रतिद्वंद्वी की तकनीकों का विश्लेषण करें, प्रतिक्रिया लें और अपनी रणनीतियों को समायोजित करें, B) प्रतिद्वंद्वी की उपेक्षा करें, C) केवल व्यक्तिगत कौशल पर ध्यान केंद्रित करें, D) स्थिति का विश्लेषण करने से बचें")</f>
        <v>A) प्रतिद्वंद्वी की तकनीकों का विश्लेषण करें, प्रतिक्रिया लें और अपनी रणनीतियों को समायोजित करें, B) प्रतिद्वंद्वी की उपेक्षा करें, C) केवल व्यक्तिगत कौशल पर ध्यान केंद्रित करें, D) स्थिति का विश्लेषण करने से बचें</v>
      </c>
      <c r="I785" s="5" t="str">
        <f>IFERROR(__xludf.DUMMYFUNCTION("GOOGLETRANSLATE(D785, ""en"", ""hi"")"),"A) प्रतिद्वंद्वी की तकनीकों का विश्लेषण करें, प्रतिक्रिया लें और अपनी रणनीतियों को समायोजित करें")</f>
        <v>A) प्रतिद्वंद्वी की तकनीकों का विश्लेषण करें, प्रतिक्रिया लें और अपनी रणनीतियों को समायोजित करें</v>
      </c>
    </row>
    <row r="786" ht="22.5" customHeight="1">
      <c r="A786" s="2">
        <v>785.0</v>
      </c>
      <c r="B786" s="3" t="s">
        <v>7458</v>
      </c>
      <c r="C786" s="3" t="s">
        <v>7459</v>
      </c>
      <c r="D786" s="3" t="s">
        <v>7460</v>
      </c>
      <c r="F786" s="5" t="str">
        <f>IFERROR(__xludf.DUMMYFUNCTION("GOOGLETRANSLATE(A786, ""en"", ""hi"")"),"785")</f>
        <v>785</v>
      </c>
      <c r="G786" s="5" t="str">
        <f>IFERROR(__xludf.DUMMYFUNCTION("GOOGLETRANSLATE(B786, ""en"", ""hi"")"),"एक लंबे टूर्नामेंट के दौरान ढोल खेल टीम के लिए एकजुटता और ध्यान बनाए रखने का प्रभावी तरीका क्या है?")</f>
        <v>एक लंबे टूर्नामेंट के दौरान ढोल खेल टीम के लिए एकजुटता और ध्यान बनाए रखने का प्रभावी तरीका क्या है?</v>
      </c>
      <c r="H786" s="5" t="str">
        <f>IFERROR(__xludf.DUMMYFUNCTION("GOOGLETRANSLATE(C786, ""en"", ""hi"")"),"A) नियमित टीम मीटिंग, साझा लक्ष्यों पर ध्यान केंद्रित करना और ऊर्जा के स्तर को प्रभावी ढंग से प्रबंधित करना, B) टीम सामंजस्य की उपेक्षा करना, C) केवल व्यक्तिगत प्रदर्शन पर ध्यान केंद्रित करना, D) टीम मीटिंग से बचना")</f>
        <v>A) नियमित टीम मीटिंग, साझा लक्ष्यों पर ध्यान केंद्रित करना और ऊर्जा के स्तर को प्रभावी ढंग से प्रबंधित करना, B) टीम सामंजस्य की उपेक्षा करना, C) केवल व्यक्तिगत प्रदर्शन पर ध्यान केंद्रित करना, D) टीम मीटिंग से बचना</v>
      </c>
      <c r="I786" s="5" t="str">
        <f>IFERROR(__xludf.DUMMYFUNCTION("GOOGLETRANSLATE(D786, ""en"", ""hi"")"),"ए) नियमित टीम बैठकें, साझा लक्ष्यों पर ध्यान केंद्रित करना और ऊर्जा के स्तर को प्रभावी ढंग से प्रबंधित करना")</f>
        <v>ए) नियमित टीम बैठकें, साझा लक्ष्यों पर ध्यान केंद्रित करना और ऊर्जा के स्तर को प्रभावी ढंग से प्रबंधित करना</v>
      </c>
    </row>
    <row r="787" ht="22.5" customHeight="1">
      <c r="A787" s="2">
        <v>786.0</v>
      </c>
      <c r="B787" s="3" t="s">
        <v>7461</v>
      </c>
      <c r="C787" s="3" t="s">
        <v>7462</v>
      </c>
      <c r="D787" s="3" t="s">
        <v>7463</v>
      </c>
      <c r="F787" s="5" t="str">
        <f>IFERROR(__xludf.DUMMYFUNCTION("GOOGLETRANSLATE(A787, ""en"", ""hi"")"),"786")</f>
        <v>786</v>
      </c>
      <c r="G787" s="5" t="str">
        <f>IFERROR(__xludf.DUMMYFUNCTION("GOOGLETRANSLATE(B787, ""en"", ""hi"")"),"ढोल खेल मैच में, अप्रत्याशित परिस्थितियों के कारण टीम लाइनअप में अचानक परिवर्तन को टीम को कैसे संभालना चाहिए?")</f>
        <v>ढोल खेल मैच में, अप्रत्याशित परिस्थितियों के कारण टीम लाइनअप में अचानक परिवर्तन को टीम को कैसे संभालना चाहिए?</v>
      </c>
      <c r="H787" s="5" t="str">
        <f>IFERROR(__xludf.DUMMYFUNCTION("GOOGLETRANSLATE(C787, ""en"", ""hi"")"),"A) भूमिकाओं को पुनः सौंपकर और तदनुसार रणनीतियों को समायोजित करके शीघ्रता से अनुकूलन करें, B) मूल योजना पर टिके रहें, C) परिवर्तन को अनदेखा करें, D) केवल व्यक्तिगत भूमिकाओं पर ध्यान केंद्रित करें")</f>
        <v>A) भूमिकाओं को पुनः सौंपकर और तदनुसार रणनीतियों को समायोजित करके शीघ्रता से अनुकूलन करें, B) मूल योजना पर टिके रहें, C) परिवर्तन को अनदेखा करें, D) केवल व्यक्तिगत भूमिकाओं पर ध्यान केंद्रित करें</v>
      </c>
      <c r="I787" s="5" t="str">
        <f>IFERROR(__xludf.DUMMYFUNCTION("GOOGLETRANSLATE(D787, ""en"", ""hi"")"),"A) भूमिकाओं को पुनः आवंटित करके और तदनुसार रणनीतियों को समायोजित करके शीघ्रता से अनुकूलन करें")</f>
        <v>A) भूमिकाओं को पुनः आवंटित करके और तदनुसार रणनीतियों को समायोजित करके शीघ्रता से अनुकूलन करें</v>
      </c>
    </row>
    <row r="788" ht="22.5" customHeight="1">
      <c r="A788" s="2">
        <v>787.0</v>
      </c>
      <c r="B788" s="3" t="s">
        <v>7464</v>
      </c>
      <c r="C788" s="3" t="s">
        <v>7465</v>
      </c>
      <c r="D788" s="3" t="s">
        <v>7466</v>
      </c>
      <c r="F788" s="5" t="str">
        <f>IFERROR(__xludf.DUMMYFUNCTION("GOOGLETRANSLATE(A788, ""en"", ""hi"")"),"787")</f>
        <v>787</v>
      </c>
      <c r="G788" s="5" t="str">
        <f>IFERROR(__xludf.DUMMYFUNCTION("GOOGLETRANSLATE(B788, ""en"", ""hi"")"),"एक मजबूत ढोल खेल टीम विकसित करने में महत्वपूर्ण तत्व क्या है?")</f>
        <v>एक मजबूत ढोल खेल टीम विकसित करने में महत्वपूर्ण तत्व क्या है?</v>
      </c>
      <c r="H788" s="5" t="str">
        <f>IFERROR(__xludf.DUMMYFUNCTION("GOOGLETRANSLATE(C788, ""en"", ""hi"")"),"A) विश्वास का निर्माण, खुले संचार को बढ़ावा देना और सहयोग को प्रोत्साहित करना, B) टीम की गतिशीलता को अनदेखा करना, C) केवल व्यक्तिगत प्रदर्शन पर ध्यान केंद्रित करना, D) टीम-निर्माण गतिविधियों से बचना")</f>
        <v>A) विश्वास का निर्माण, खुले संचार को बढ़ावा देना और सहयोग को प्रोत्साहित करना, B) टीम की गतिशीलता को अनदेखा करना, C) केवल व्यक्तिगत प्रदर्शन पर ध्यान केंद्रित करना, D) टीम-निर्माण गतिविधियों से बचना</v>
      </c>
      <c r="I788" s="5" t="str">
        <f>IFERROR(__xludf.DUMMYFUNCTION("GOOGLETRANSLATE(D788, ""en"", ""hi"")"),"A) विश्वास का निर्माण, खुले संचार को बढ़ावा देना और सहयोग को प्रोत्साहित करना")</f>
        <v>A) विश्वास का निर्माण, खुले संचार को बढ़ावा देना और सहयोग को प्रोत्साहित करना</v>
      </c>
    </row>
    <row r="789" ht="22.5" customHeight="1">
      <c r="A789" s="2">
        <v>788.0</v>
      </c>
      <c r="B789" s="3" t="s">
        <v>7467</v>
      </c>
      <c r="C789" s="3" t="s">
        <v>7468</v>
      </c>
      <c r="D789" s="3" t="s">
        <v>7469</v>
      </c>
      <c r="F789" s="5" t="str">
        <f>IFERROR(__xludf.DUMMYFUNCTION("GOOGLETRANSLATE(A789, ""en"", ""hi"")"),"788")</f>
        <v>788</v>
      </c>
      <c r="G789" s="5" t="str">
        <f>IFERROR(__xludf.DUMMYFUNCTION("GOOGLETRANSLATE(B789, ""en"", ""hi"")"),"ढोल खेल खिलाड़ी को विशिष्ट मैच परिदृश्यों के लिए प्रशिक्षण कैसे लेना चाहिए?")</f>
        <v>ढोल खेल खिलाड़ी को विशिष्ट मैच परिदृश्यों के लिए प्रशिक्षण कैसे लेना चाहिए?</v>
      </c>
      <c r="H789" s="5" t="str">
        <f>IFERROR(__xludf.DUMMYFUNCTION("GOOGLETRANSLATE(C789, ""en"", ""hi"")"),"A) विशिष्ट परिस्थितियों का अभ्यास करने के लिए परिदृश्य-आधारित अभ्यास और सिमुलेशन में शामिल हों, B) केवल सामान्य कौशल पर ध्यान केंद्रित करें, C) विशिष्ट परिदृश्यों की उपेक्षा करें, D) केवल प्राकृतिक क्षमता पर भरोसा करें")</f>
        <v>A) विशिष्ट परिस्थितियों का अभ्यास करने के लिए परिदृश्य-आधारित अभ्यास और सिमुलेशन में शामिल हों, B) केवल सामान्य कौशल पर ध्यान केंद्रित करें, C) विशिष्ट परिदृश्यों की उपेक्षा करें, D) केवल प्राकृतिक क्षमता पर भरोसा करें</v>
      </c>
      <c r="I789" s="5" t="str">
        <f>IFERROR(__xludf.DUMMYFUNCTION("GOOGLETRANSLATE(D789, ""en"", ""hi"")"),"A) विशिष्ट स्थितियों का अभ्यास करने के लिए परिदृश्य-आधारित अभ्यास और सिमुलेशन में शामिल हों")</f>
        <v>A) विशिष्ट स्थितियों का अभ्यास करने के लिए परिदृश्य-आधारित अभ्यास और सिमुलेशन में शामिल हों</v>
      </c>
    </row>
    <row r="790" ht="22.5" customHeight="1">
      <c r="A790" s="2">
        <v>789.0</v>
      </c>
      <c r="B790" s="3" t="s">
        <v>7470</v>
      </c>
      <c r="C790" s="3" t="s">
        <v>7471</v>
      </c>
      <c r="D790" s="3" t="s">
        <v>7472</v>
      </c>
      <c r="F790" s="5" t="str">
        <f>IFERROR(__xludf.DUMMYFUNCTION("GOOGLETRANSLATE(A790, ""en"", ""hi"")"),"789")</f>
        <v>789</v>
      </c>
      <c r="G790" s="5" t="str">
        <f>IFERROR(__xludf.DUMMYFUNCTION("GOOGLETRANSLATE(B790, ""en"", ""hi"")"),"ढोल खेल टीम के लिए मैच के दौरान घाटे से उबरने की प्रभावी रणनीति क्या है?")</f>
        <v>ढोल खेल टीम के लिए मैच के दौरान घाटे से उबरने की प्रभावी रणनीति क्या है?</v>
      </c>
      <c r="H790" s="5" t="str">
        <f>IFERROR(__xludf.DUMMYFUNCTION("GOOGLETRANSLATE(C790, ""en"", ""hi"")"),"A) प्रयासों को तीव्र करें, रणनीतियों का पुनर्मूल्यांकन करें, और प्रभावी टीमवर्क पर ध्यान केंद्रित करें, B) कमी को अनदेखा करें, C) केवल व्यक्तिगत प्रदर्शन पर ध्यान केंद्रित करें, D) परिवर्तन करने से बचें")</f>
        <v>A) प्रयासों को तीव्र करें, रणनीतियों का पुनर्मूल्यांकन करें, और प्रभावी टीमवर्क पर ध्यान केंद्रित करें, B) कमी को अनदेखा करें, C) केवल व्यक्तिगत प्रदर्शन पर ध्यान केंद्रित करें, D) परिवर्तन करने से बचें</v>
      </c>
      <c r="I790" s="5" t="str">
        <f>IFERROR(__xludf.DUMMYFUNCTION("GOOGLETRANSLATE(D790, ""en"", ""hi"")"),"A) प्रयासों को तीव्र करें, रणनीतियों का पुनर्मूल्यांकन करें, और प्रभावी टीमवर्क पर ध्यान केंद्रित करें")</f>
        <v>A) प्रयासों को तीव्र करें, रणनीतियों का पुनर्मूल्यांकन करें, और प्रभावी टीमवर्क पर ध्यान केंद्रित करें</v>
      </c>
    </row>
    <row r="791" ht="22.5" customHeight="1">
      <c r="A791" s="2">
        <v>790.0</v>
      </c>
      <c r="B791" s="3" t="s">
        <v>7473</v>
      </c>
      <c r="C791" s="3" t="s">
        <v>7474</v>
      </c>
      <c r="D791" s="3" t="s">
        <v>7475</v>
      </c>
      <c r="F791" s="5" t="str">
        <f>IFERROR(__xludf.DUMMYFUNCTION("GOOGLETRANSLATE(A791, ""en"", ""hi"")"),"790")</f>
        <v>790</v>
      </c>
      <c r="G791" s="5" t="str">
        <f>IFERROR(__xludf.DUMMYFUNCTION("GOOGLETRANSLATE(B791, ""en"", ""hi"")"),"ढोल खेल खिलाड़ी अपने समग्र खेल प्रदर्शन को प्रभावी ढंग से कैसे सुधार सकते हैं?")</f>
        <v>ढोल खेल खिलाड़ी अपने समग्र खेल प्रदर्शन को प्रभावी ढंग से कैसे सुधार सकते हैं?</v>
      </c>
      <c r="H791" s="5" t="str">
        <f>IFERROR(__xludf.DUMMYFUNCTION("GOOGLETRANSLATE(C791, ""en"", ""hi"")"),"A) नियमित रूप से प्रदर्शन की समीक्षा करें, फीडबैक लें और कौशल को लगातार निखारें, B) खेल के केवल एक पहलू पर ध्यान केंद्रित करें, C) प्रदर्शन समीक्षाओं को अनदेखा करें, D) केवल प्राकृतिक क्षमता पर भरोसा करें")</f>
        <v>A) नियमित रूप से प्रदर्शन की समीक्षा करें, फीडबैक लें और कौशल को लगातार निखारें, B) खेल के केवल एक पहलू पर ध्यान केंद्रित करें, C) प्रदर्शन समीक्षाओं को अनदेखा करें, D) केवल प्राकृतिक क्षमता पर भरोसा करें</v>
      </c>
      <c r="I791" s="5" t="str">
        <f>IFERROR(__xludf.DUMMYFUNCTION("GOOGLETRANSLATE(D791, ""en"", ""hi"")"),"A) नियमित रूप से प्रदर्शन की समीक्षा करें, फीडबैक लें और कौशल को लगातार निखारें")</f>
        <v>A) नियमित रूप से प्रदर्शन की समीक्षा करें, फीडबैक लें और कौशल को लगातार निखारें</v>
      </c>
    </row>
    <row r="792" ht="22.5" customHeight="1">
      <c r="A792" s="2">
        <v>791.0</v>
      </c>
      <c r="B792" s="3" t="s">
        <v>7476</v>
      </c>
      <c r="C792" s="3" t="s">
        <v>7477</v>
      </c>
      <c r="D792" s="3" t="s">
        <v>7478</v>
      </c>
      <c r="F792" s="5" t="str">
        <f>IFERROR(__xludf.DUMMYFUNCTION("GOOGLETRANSLATE(A792, ""en"", ""hi"")"),"791")</f>
        <v>791</v>
      </c>
      <c r="G792" s="5" t="str">
        <f>IFERROR(__xludf.DUMMYFUNCTION("GOOGLETRANSLATE(B792, ""en"", ""hi"")"),"ढोल खेल में, जब कोई खिलाड़ी रक्षात्मक पंक्ति में खड़ा होता है तो उसका प्राथमिक उद्देश्य क्या होता है?")</f>
        <v>ढोल खेल में, जब कोई खिलाड़ी रक्षात्मक पंक्ति में खड़ा होता है तो उसका प्राथमिक उद्देश्य क्या होता है?</v>
      </c>
      <c r="H792" s="5" t="str">
        <f>IFERROR(__xludf.DUMMYFUNCTION("GOOGLETRANSLATE(C792, ""en"", ""hi"")"),"A) विरोधियों को गोल करने से रोकें और गोल क्षेत्र की रक्षा करें, B) गोल करने पर ध्यान केंद्रित करें, C) आक्रामक हमलों में संलग्न हों, D) रक्षात्मक जिम्मेदारियों से बचें")</f>
        <v>A) विरोधियों को गोल करने से रोकें और गोल क्षेत्र की रक्षा करें, B) गोल करने पर ध्यान केंद्रित करें, C) आक्रामक हमलों में संलग्न हों, D) रक्षात्मक जिम्मेदारियों से बचें</v>
      </c>
      <c r="I792" s="5" t="str">
        <f>IFERROR(__xludf.DUMMYFUNCTION("GOOGLETRANSLATE(D792, ""en"", ""hi"")"),"A) विरोधियों को गोल करने से रोकें और गोल क्षेत्र की रक्षा करें")</f>
        <v>A) विरोधियों को गोल करने से रोकें और गोल क्षेत्र की रक्षा करें</v>
      </c>
    </row>
    <row r="793" ht="22.5" customHeight="1">
      <c r="A793" s="2">
        <v>792.0</v>
      </c>
      <c r="B793" s="3" t="s">
        <v>7479</v>
      </c>
      <c r="C793" s="3" t="s">
        <v>7480</v>
      </c>
      <c r="D793" s="3" t="s">
        <v>7481</v>
      </c>
      <c r="F793" s="5" t="str">
        <f>IFERROR(__xludf.DUMMYFUNCTION("GOOGLETRANSLATE(A793, ""en"", ""hi"")"),"792")</f>
        <v>792</v>
      </c>
      <c r="G793" s="5" t="str">
        <f>IFERROR(__xludf.DUMMYFUNCTION("GOOGLETRANSLATE(B793, ""en"", ""hi"")"),"जब विरोधी टीम का आक्रामक लाइनअप मजबूत हो तो ढोल खेल टीम के लिए प्रभावी रणनीति क्या होगी?")</f>
        <v>जब विरोधी टीम का आक्रामक लाइनअप मजबूत हो तो ढोल खेल टीम के लिए प्रभावी रणनीति क्या होगी?</v>
      </c>
      <c r="H793" s="5" t="str">
        <f>IFERROR(__xludf.DUMMYFUNCTION("GOOGLETRANSLATE(C793, ""en"", ""hi"")"),"क) रक्षात्मक रणनीति को मजबूत करें और आक्रामक चालों का पूर्वानुमान करें, ख) केवल आक्रमण पर ध्यान केंद्रित करें, ग) प्रतिद्वंद्वी की ताकत को नजरअंदाज करें, घ) विशिष्ट तैयारियों से बचें")</f>
        <v>क) रक्षात्मक रणनीति को मजबूत करें और आक्रामक चालों का पूर्वानुमान करें, ख) केवल आक्रमण पर ध्यान केंद्रित करें, ग) प्रतिद्वंद्वी की ताकत को नजरअंदाज करें, घ) विशिष्ट तैयारियों से बचें</v>
      </c>
      <c r="I793" s="5" t="str">
        <f>IFERROR(__xludf.DUMMYFUNCTION("GOOGLETRANSLATE(D793, ""en"", ""hi"")"),"A) रक्षात्मक रणनीति को मजबूत करना और आक्रामक चालों का पूर्वानुमान लगाना")</f>
        <v>A) रक्षात्मक रणनीति को मजबूत करना और आक्रामक चालों का पूर्वानुमान लगाना</v>
      </c>
    </row>
    <row r="794" ht="22.5" customHeight="1">
      <c r="A794" s="2">
        <v>793.0</v>
      </c>
      <c r="B794" s="3" t="s">
        <v>7482</v>
      </c>
      <c r="C794" s="3" t="s">
        <v>7483</v>
      </c>
      <c r="D794" s="3" t="s">
        <v>7484</v>
      </c>
      <c r="F794" s="5" t="str">
        <f>IFERROR(__xludf.DUMMYFUNCTION("GOOGLETRANSLATE(A794, ""en"", ""hi"")"),"793")</f>
        <v>793</v>
      </c>
      <c r="G794" s="5" t="str">
        <f>IFERROR(__xludf.DUMMYFUNCTION("GOOGLETRANSLATE(B794, ""en"", ""hi"")"),"ढोल खेल खिलाड़ी को अधिक अनुभवी प्रतिद्वंद्वी का सामना करते समय अपनी खेल शैली को किस प्रकार समायोजित करना चाहिए?")</f>
        <v>ढोल खेल खिलाड़ी को अधिक अनुभवी प्रतिद्वंद्वी का सामना करते समय अपनी खेल शैली को किस प्रकार समायोजित करना चाहिए?</v>
      </c>
      <c r="H794" s="5" t="str">
        <f>IFERROR(__xludf.DUMMYFUNCTION("GOOGLETRANSLATE(C794, ""en"", ""hi"")"),"क) अधिक रणनीतिक खेल अपनाकर और कमजोरियों का फायदा उठाने पर ध्यान केंद्रित करके अनुकूलन करना, ख) अपनी सामान्य शैली पर कायम रहना, ग) केवल शारीरिक शक्ति पर निर्भर रहना, घ) प्रतिद्वंद्वी के अनुभव को नजरअंदाज करना")</f>
        <v>क) अधिक रणनीतिक खेल अपनाकर और कमजोरियों का फायदा उठाने पर ध्यान केंद्रित करके अनुकूलन करना, ख) अपनी सामान्य शैली पर कायम रहना, ग) केवल शारीरिक शक्ति पर निर्भर रहना, घ) प्रतिद्वंद्वी के अनुभव को नजरअंदाज करना</v>
      </c>
      <c r="I794" s="5" t="str">
        <f>IFERROR(__xludf.DUMMYFUNCTION("GOOGLETRANSLATE(D794, ""en"", ""hi"")"),"A) अधिक रणनीतिक चालों का उपयोग करके और कमजोरियों का फायदा उठाने पर ध्यान केंद्रित करके अनुकूलन करें")</f>
        <v>A) अधिक रणनीतिक चालों का उपयोग करके और कमजोरियों का फायदा उठाने पर ध्यान केंद्रित करके अनुकूलन करें</v>
      </c>
    </row>
    <row r="795" ht="22.5" customHeight="1">
      <c r="A795" s="2">
        <v>794.0</v>
      </c>
      <c r="B795" s="3" t="s">
        <v>7485</v>
      </c>
      <c r="C795" s="3" t="s">
        <v>7486</v>
      </c>
      <c r="D795" s="3" t="s">
        <v>7487</v>
      </c>
      <c r="F795" s="5" t="str">
        <f>IFERROR(__xludf.DUMMYFUNCTION("GOOGLETRANSLATE(A795, ""en"", ""hi"")"),"794")</f>
        <v>794</v>
      </c>
      <c r="G795" s="5" t="str">
        <f>IFERROR(__xludf.DUMMYFUNCTION("GOOGLETRANSLATE(B795, ""en"", ""hi"")"),"ढोल खेल टीम की खेल-पूर्व तैयारी का महत्वपूर्ण पहलू क्या है?")</f>
        <v>ढोल खेल टीम की खेल-पूर्व तैयारी का महत्वपूर्ण पहलू क्या है?</v>
      </c>
      <c r="H795" s="5" t="str">
        <f>IFERROR(__xludf.DUMMYFUNCTION("GOOGLETRANSLATE(C795, ""en"", ""hi"")"),"ए) खेल योजनाओं की समीक्षा करना, प्रतिद्वंद्वी की रणनीतियों को समझना और शारीरिक तत्परता सुनिश्चित करना, बी) खेल योजनाओं की अनदेखी करना, सी) केवल शारीरिक प्रशिक्षण पर ध्यान केंद्रित करना, डी) पूर्व-खेल विश्लेषण से बचना")</f>
        <v>ए) खेल योजनाओं की समीक्षा करना, प्रतिद्वंद्वी की रणनीतियों को समझना और शारीरिक तत्परता सुनिश्चित करना, बी) खेल योजनाओं की अनदेखी करना, सी) केवल शारीरिक प्रशिक्षण पर ध्यान केंद्रित करना, डी) पूर्व-खेल विश्लेषण से बचना</v>
      </c>
      <c r="I795" s="5" t="str">
        <f>IFERROR(__xludf.DUMMYFUNCTION("GOOGLETRANSLATE(D795, ""en"", ""hi"")"),"ए) खेल योजनाओं की समीक्षा करना, प्रतिद्वंद्वी की रणनीतियों को समझना और शारीरिक तत्परता सुनिश्चित करना")</f>
        <v>ए) खेल योजनाओं की समीक्षा करना, प्रतिद्वंद्वी की रणनीतियों को समझना और शारीरिक तत्परता सुनिश्चित करना</v>
      </c>
    </row>
    <row r="796" ht="22.5" customHeight="1">
      <c r="A796" s="2">
        <v>795.0</v>
      </c>
      <c r="B796" s="3" t="s">
        <v>7488</v>
      </c>
      <c r="C796" s="3" t="s">
        <v>7489</v>
      </c>
      <c r="D796" s="3" t="s">
        <v>7490</v>
      </c>
      <c r="F796" s="5" t="str">
        <f>IFERROR(__xludf.DUMMYFUNCTION("GOOGLETRANSLATE(A796, ""en"", ""hi"")"),"795")</f>
        <v>795</v>
      </c>
      <c r="G796" s="5" t="str">
        <f>IFERROR(__xludf.DUMMYFUNCTION("GOOGLETRANSLATE(B796, ""en"", ""hi"")"),"ढोल खेल मैच में, किसी टीम को उस स्थिति से कैसे निपटना चाहिए, जहां वे काफी अंतर से पीछे चल रही हों?")</f>
        <v>ढोल खेल मैच में, किसी टीम को उस स्थिति से कैसे निपटना चाहिए, जहां वे काफी अंतर से पीछे चल रही हों?</v>
      </c>
      <c r="H796" s="5" t="str">
        <f>IFERROR(__xludf.DUMMYFUNCTION("GOOGLETRANSLATE(C796, ""en"", ""hi"")"),"A) रक्षा को मजबूत करने, अवसर बनाने और टीमवर्क में सुधार करने पर ध्यान केंद्रित करें, B) घाटे को नजरअंदाज करें, C) पूरी तरह से व्यक्तिगत प्रदर्शन पर भरोसा करें, D) बदलाव करने से बचें")</f>
        <v>A) रक्षा को मजबूत करने, अवसर बनाने और टीमवर्क में सुधार करने पर ध्यान केंद्रित करें, B) घाटे को नजरअंदाज करें, C) पूरी तरह से व्यक्तिगत प्रदर्शन पर भरोसा करें, D) बदलाव करने से बचें</v>
      </c>
      <c r="I796" s="5" t="str">
        <f>IFERROR(__xludf.DUMMYFUNCTION("GOOGLETRANSLATE(D796, ""en"", ""hi"")"),"A) रक्षा को मजबूत करने, अवसर पैदा करने और टीम वर्क में सुधार पर ध्यान केंद्रित करें")</f>
        <v>A) रक्षा को मजबूत करने, अवसर पैदा करने और टीम वर्क में सुधार पर ध्यान केंद्रित करें</v>
      </c>
    </row>
    <row r="797" ht="22.5" customHeight="1">
      <c r="A797" s="2">
        <v>796.0</v>
      </c>
      <c r="B797" s="3" t="s">
        <v>7491</v>
      </c>
      <c r="C797" s="3" t="s">
        <v>7492</v>
      </c>
      <c r="D797" s="3" t="s">
        <v>7493</v>
      </c>
      <c r="F797" s="5" t="str">
        <f>IFERROR(__xludf.DUMMYFUNCTION("GOOGLETRANSLATE(A797, ""en"", ""hi"")"),"796")</f>
        <v>796</v>
      </c>
      <c r="G797" s="5" t="str">
        <f>IFERROR(__xludf.DUMMYFUNCTION("GOOGLETRANSLATE(B797, ""en"", ""hi"")"),"ढोल खेल टीम के लिए एक लंबे टूर्नामेंट के दौरान थकान का प्रबंधन करने का प्रभावी तरीका क्या है?")</f>
        <v>ढोल खेल टीम के लिए एक लंबे टूर्नामेंट के दौरान थकान का प्रबंधन करने का प्रभावी तरीका क्या है?</v>
      </c>
      <c r="H797" s="5" t="str">
        <f>IFERROR(__xludf.DUMMYFUNCTION("GOOGLETRANSLATE(C797, ""en"", ""hi"")"),"ए) रोटेशन प्रणाली लागू करें, उचित आराम सुनिश्चित करें और हाइड्रेशन बनाए रखें, बी) थकान को नजरअंदाज करें, सी) केवल मैचों पर ध्यान केंद्रित करें, डी) आराम की अवधि से बचें")</f>
        <v>ए) रोटेशन प्रणाली लागू करें, उचित आराम सुनिश्चित करें और हाइड्रेशन बनाए रखें, बी) थकान को नजरअंदाज करें, सी) केवल मैचों पर ध्यान केंद्रित करें, डी) आराम की अवधि से बचें</v>
      </c>
      <c r="I797" s="5" t="str">
        <f>IFERROR(__xludf.DUMMYFUNCTION("GOOGLETRANSLATE(D797, ""en"", ""hi"")"),"ए) रोटेशन प्रणाली लागू करें, उचित आराम सुनिश्चित करें और जलयोजन बनाए रखें")</f>
        <v>ए) रोटेशन प्रणाली लागू करें, उचित आराम सुनिश्चित करें और जलयोजन बनाए रखें</v>
      </c>
    </row>
    <row r="798" ht="22.5" customHeight="1">
      <c r="A798" s="2">
        <v>797.0</v>
      </c>
      <c r="B798" s="3" t="s">
        <v>7494</v>
      </c>
      <c r="C798" s="3" t="s">
        <v>7495</v>
      </c>
      <c r="D798" s="3" t="s">
        <v>7496</v>
      </c>
      <c r="F798" s="5" t="str">
        <f>IFERROR(__xludf.DUMMYFUNCTION("GOOGLETRANSLATE(A798, ""en"", ""hi"")"),"797")</f>
        <v>797</v>
      </c>
      <c r="G798" s="5" t="str">
        <f>IFERROR(__xludf.DUMMYFUNCTION("GOOGLETRANSLATE(B798, ""en"", ""hi"")"),"ढोल खेल खिलाड़ी गेमप्ले के दौरान अपनी प्रतिक्रिया समय को कैसे बेहतर बना सकते हैं?")</f>
        <v>ढोल खेल खिलाड़ी गेमप्ले के दौरान अपनी प्रतिक्रिया समय को कैसे बेहतर बना सकते हैं?</v>
      </c>
      <c r="H798" s="5" t="str">
        <f>IFERROR(__xludf.DUMMYFUNCTION("GOOGLETRANSLATE(C798, ""en"", ""hi"")"),"A) त्वरित रिफ्लेक्स अभ्यास का अभ्यास करें और प्रतिक्रिया समय अभ्यास में संलग्न हों, B) केवल शक्ति प्रशिक्षण पर ध्यान केंद्रित करें, C) प्रतिक्रिया समय प्रशिक्षण की उपेक्षा करें, D) केवल प्राकृतिक क्षमता पर भरोसा करें")</f>
        <v>A) त्वरित रिफ्लेक्स अभ्यास का अभ्यास करें और प्रतिक्रिया समय अभ्यास में संलग्न हों, B) केवल शक्ति प्रशिक्षण पर ध्यान केंद्रित करें, C) प्रतिक्रिया समय प्रशिक्षण की उपेक्षा करें, D) केवल प्राकृतिक क्षमता पर भरोसा करें</v>
      </c>
      <c r="I798" s="5" t="str">
        <f>IFERROR(__xludf.DUMMYFUNCTION("GOOGLETRANSLATE(D798, ""en"", ""hi"")"),"A) त्वरित रिफ्लेक्स अभ्यास का अभ्यास करें और प्रतिक्रिया समय अभ्यास में संलग्न हों")</f>
        <v>A) त्वरित रिफ्लेक्स अभ्यास का अभ्यास करें और प्रतिक्रिया समय अभ्यास में संलग्न हों</v>
      </c>
    </row>
    <row r="799" ht="22.5" customHeight="1">
      <c r="A799" s="2">
        <v>798.0</v>
      </c>
      <c r="B799" s="3" t="s">
        <v>7497</v>
      </c>
      <c r="C799" s="3" t="s">
        <v>7498</v>
      </c>
      <c r="D799" s="3" t="s">
        <v>7499</v>
      </c>
      <c r="F799" s="5" t="str">
        <f>IFERROR(__xludf.DUMMYFUNCTION("GOOGLETRANSLATE(A799, ""en"", ""hi"")"),"798")</f>
        <v>798</v>
      </c>
      <c r="G799" s="5" t="str">
        <f>IFERROR(__xludf.DUMMYFUNCTION("GOOGLETRANSLATE(B799, ""en"", ""hi"")"),"उच्च जीत दर वाली टीम के खिलाफ मैच की रणनीति बनाते समय ढोल खेल टीम को किस बात पर ध्यान केंद्रित करना चाहिए?")</f>
        <v>उच्च जीत दर वाली टीम के खिलाफ मैच की रणनीति बनाते समय ढोल खेल टीम को किस बात पर ध्यान केंद्रित करना चाहिए?</v>
      </c>
      <c r="H799" s="5" t="str">
        <f>IFERROR(__xludf.DUMMYFUNCTION("GOOGLETRANSLATE(C799, ""en"", ""hi"")"),"ए) पिछले खेलों का विश्लेषण करना, रणनीति अपनाना और किसी भी कमजोरी का फायदा उठाना, बी) अपनी रणनीतियों पर कायम रहना, सी) प्रतिद्वंद्वी की जीत दर को नजरअंदाज करना, डी) पूरी तरह से व्यक्तिगत कौशल पर निर्भर रहना")</f>
        <v>ए) पिछले खेलों का विश्लेषण करना, रणनीति अपनाना और किसी भी कमजोरी का फायदा उठाना, बी) अपनी रणनीतियों पर कायम रहना, सी) प्रतिद्वंद्वी की जीत दर को नजरअंदाज करना, डी) पूरी तरह से व्यक्तिगत कौशल पर निर्भर रहना</v>
      </c>
      <c r="I799" s="5" t="str">
        <f>IFERROR(__xludf.DUMMYFUNCTION("GOOGLETRANSLATE(D799, ""en"", ""hi"")"),"A) पिछले खेलों का विश्लेषण करें, रणनीति अपनाएं और किसी भी कमजोरियों का फायदा उठाएं")</f>
        <v>A) पिछले खेलों का विश्लेषण करें, रणनीति अपनाएं और किसी भी कमजोरियों का फायदा उठाएं</v>
      </c>
    </row>
    <row r="800" ht="22.5" customHeight="1">
      <c r="A800" s="2">
        <v>799.0</v>
      </c>
      <c r="B800" s="3" t="s">
        <v>7500</v>
      </c>
      <c r="C800" s="3" t="s">
        <v>7501</v>
      </c>
      <c r="D800" s="3" t="s">
        <v>7502</v>
      </c>
      <c r="F800" s="5" t="str">
        <f>IFERROR(__xludf.DUMMYFUNCTION("GOOGLETRANSLATE(A800, ""en"", ""hi"")"),"799")</f>
        <v>799</v>
      </c>
      <c r="G800" s="5" t="str">
        <f>IFERROR(__xludf.DUMMYFUNCTION("GOOGLETRANSLATE(B800, ""en"", ""hi"")"),"ढोल खेल मैच में टीम के सदस्यों के बीच प्रभावी संचार का मुख्य पहलू क्या है?")</f>
        <v>ढोल खेल मैच में टीम के सदस्यों के बीच प्रभावी संचार का मुख्य पहलू क्या है?</v>
      </c>
      <c r="H800" s="5" t="str">
        <f>IFERROR(__xludf.DUMMYFUNCTION("GOOGLETRANSLATE(C800, ""en"", ""hi"")"),"A) समन्वित प्रयास सुनिश्चित करने के लिए स्पष्ट, समय पर और रचनात्मक संचार, B) संचार की अनदेखी, C) केवल व्यक्तिगत प्रदर्शन पर ध्यान केंद्रित करना, D) टीम चर्चा से बचना")</f>
        <v>A) समन्वित प्रयास सुनिश्चित करने के लिए स्पष्ट, समय पर और रचनात्मक संचार, B) संचार की अनदेखी, C) केवल व्यक्तिगत प्रदर्शन पर ध्यान केंद्रित करना, D) टीम चर्चा से बचना</v>
      </c>
      <c r="I800" s="5" t="str">
        <f>IFERROR(__xludf.DUMMYFUNCTION("GOOGLETRANSLATE(D800, ""en"", ""hi"")"),"ए) समन्वित प्रयास सुनिश्चित करने के लिए स्पष्ट, समय पर और रचनात्मक संचार")</f>
        <v>ए) समन्वित प्रयास सुनिश्चित करने के लिए स्पष्ट, समय पर और रचनात्मक संचार</v>
      </c>
    </row>
    <row r="801" ht="22.5" customHeight="1">
      <c r="A801" s="2">
        <v>800.0</v>
      </c>
      <c r="B801" s="3" t="s">
        <v>7503</v>
      </c>
      <c r="C801" s="3" t="s">
        <v>7504</v>
      </c>
      <c r="D801" s="3" t="s">
        <v>7505</v>
      </c>
      <c r="F801" s="5" t="str">
        <f>IFERROR(__xludf.DUMMYFUNCTION("GOOGLETRANSLATE(A801, ""en"", ""hi"")"),"800")</f>
        <v>800</v>
      </c>
      <c r="G801" s="5" t="str">
        <f>IFERROR(__xludf.DUMMYFUNCTION("GOOGLETRANSLATE(B801, ""en"", ""hi"")"),"प्रतिकूल मौसम की स्थिति में खेलते समय ढोल खेल टीम को अपनी रणनीति को किस प्रकार समायोजित करना चाहिए?")</f>
        <v>प्रतिकूल मौसम की स्थिति में खेलते समय ढोल खेल टीम को अपनी रणनीति को किस प्रकार समायोजित करना चाहिए?</v>
      </c>
      <c r="H801" s="5" t="str">
        <f>IFERROR(__xludf.DUMMYFUNCTION("GOOGLETRANSLATE(C801, ""en"", ""hi"")"),"A) मौसम की स्थिति के अनुरूप रणनीति में बदलाव करना और लचीलापन बनाए रखना, B) मूल रणनीति पर कायम रहना, C) मौसम की स्थिति को नजरअंदाज करना, D) केवल शारीरिक कौशल पर ध्यान केंद्रित करना")</f>
        <v>A) मौसम की स्थिति के अनुरूप रणनीति में बदलाव करना और लचीलापन बनाए रखना, B) मूल रणनीति पर कायम रहना, C) मौसम की स्थिति को नजरअंदाज करना, D) केवल शारीरिक कौशल पर ध्यान केंद्रित करना</v>
      </c>
      <c r="I801" s="5" t="str">
        <f>IFERROR(__xludf.DUMMYFUNCTION("GOOGLETRANSLATE(D801, ""en"", ""hi"")"),"A) मौसम की स्थिति के अनुरूप रणनीति में बदलाव करना और लचीलापन बनाए रखना")</f>
        <v>A) मौसम की स्थिति के अनुरूप रणनीति में बदलाव करना और लचीलापन बनाए रखना</v>
      </c>
    </row>
    <row r="802" ht="22.5" customHeight="1">
      <c r="A802" s="2">
        <v>801.0</v>
      </c>
      <c r="B802" s="3" t="s">
        <v>7506</v>
      </c>
      <c r="C802" s="3" t="s">
        <v>7507</v>
      </c>
      <c r="D802" s="3" t="s">
        <v>7508</v>
      </c>
      <c r="F802" s="5" t="str">
        <f>IFERROR(__xludf.DUMMYFUNCTION("GOOGLETRANSLATE(A802, ""en"", ""hi"")"),"801")</f>
        <v>801</v>
      </c>
      <c r="G802" s="5" t="str">
        <f>IFERROR(__xludf.DUMMYFUNCTION("GOOGLETRANSLATE(B802, ""en"", ""hi"")"),"ढोल खेल टीम के लिए मैच के दौरान किसी प्रमुख खिलाड़ी की अचानक चोट से निपटने का प्रभावी तरीका क्या है?")</f>
        <v>ढोल खेल टीम के लिए मैच के दौरान किसी प्रमुख खिलाड़ी की अचानक चोट से निपटने का प्रभावी तरीका क्या है?</v>
      </c>
      <c r="H802" s="5" t="str">
        <f>IFERROR(__xludf.DUMMYFUNCTION("GOOGLETRANSLATE(C802, ""en"", ""hi"")"),"A) भूमिकाएँ पुनः निर्धारित करना, रणनीतियों को समायोजित करना और टीम का मनोबल बनाए रखना, B) केवल घायल खिलाड़ी पर ध्यान केंद्रित करना, C) चोट को नज़रअंदाज़ करना, D) कोई भी बदलाव करने से बचना")</f>
        <v>A) भूमिकाएँ पुनः निर्धारित करना, रणनीतियों को समायोजित करना और टीम का मनोबल बनाए रखना, B) केवल घायल खिलाड़ी पर ध्यान केंद्रित करना, C) चोट को नज़रअंदाज़ करना, D) कोई भी बदलाव करने से बचना</v>
      </c>
      <c r="I802" s="5" t="str">
        <f>IFERROR(__xludf.DUMMYFUNCTION("GOOGLETRANSLATE(D802, ""en"", ""hi"")"),"A) भूमिकाएँ पुनः निर्धारित करना, रणनीतियों को समायोजित करना और टीम का मनोबल बनाए रखना")</f>
        <v>A) भूमिकाएँ पुनः निर्धारित करना, रणनीतियों को समायोजित करना और टीम का मनोबल बनाए रखना</v>
      </c>
    </row>
    <row r="803" ht="22.5" customHeight="1">
      <c r="A803" s="2">
        <v>802.0</v>
      </c>
      <c r="B803" s="3" t="s">
        <v>7509</v>
      </c>
      <c r="C803" s="3" t="s">
        <v>7510</v>
      </c>
      <c r="D803" s="3" t="s">
        <v>7511</v>
      </c>
      <c r="F803" s="5" t="str">
        <f>IFERROR(__xludf.DUMMYFUNCTION("GOOGLETRANSLATE(A803, ""en"", ""hi"")"),"802")</f>
        <v>802</v>
      </c>
      <c r="G803" s="5" t="str">
        <f>IFERROR(__xludf.DUMMYFUNCTION("GOOGLETRANSLATE(B803, ""en"", ""hi"")"),"ढोल खेल खिलाड़ी के मैच के बाद के विश्लेषण का महत्वपूर्ण पहलू क्या है?")</f>
        <v>ढोल खेल खिलाड़ी के मैच के बाद के विश्लेषण का महत्वपूर्ण पहलू क्या है?</v>
      </c>
      <c r="H803" s="5" t="str">
        <f>IFERROR(__xludf.DUMMYFUNCTION("GOOGLETRANSLATE(C803, ""en"", ""hi"")"),"ए) प्रदर्शन की समीक्षा करना, सुधार के क्षेत्रों की पहचान करना और रणनीतियों को समायोजित करना, बी) मैच के बाद की प्रतिक्रिया को अनदेखा करना, सी) केवल शारीरिक कंडीशनिंग पर ध्यान केंद्रित करना, डी) प्रदर्शन समीक्षा से बचना")</f>
        <v>ए) प्रदर्शन की समीक्षा करना, सुधार के क्षेत्रों की पहचान करना और रणनीतियों को समायोजित करना, बी) मैच के बाद की प्रतिक्रिया को अनदेखा करना, सी) केवल शारीरिक कंडीशनिंग पर ध्यान केंद्रित करना, डी) प्रदर्शन समीक्षा से बचना</v>
      </c>
      <c r="I803" s="5" t="str">
        <f>IFERROR(__xludf.DUMMYFUNCTION("GOOGLETRANSLATE(D803, ""en"", ""hi"")"),"ए) प्रदर्शन की समीक्षा करना, सुधार के क्षेत्रों की पहचान करना और रणनीतियों को समायोजित करना")</f>
        <v>ए) प्रदर्शन की समीक्षा करना, सुधार के क्षेत्रों की पहचान करना और रणनीतियों को समायोजित करना</v>
      </c>
    </row>
    <row r="804" ht="22.5" customHeight="1">
      <c r="A804" s="2">
        <v>803.0</v>
      </c>
      <c r="B804" s="3" t="s">
        <v>7512</v>
      </c>
      <c r="C804" s="3" t="s">
        <v>7513</v>
      </c>
      <c r="D804" s="3" t="s">
        <v>7514</v>
      </c>
      <c r="F804" s="5" t="str">
        <f>IFERROR(__xludf.DUMMYFUNCTION("GOOGLETRANSLATE(A804, ""en"", ""hi"")"),"803")</f>
        <v>803</v>
      </c>
      <c r="G804" s="5" t="str">
        <f>IFERROR(__xludf.DUMMYFUNCTION("GOOGLETRANSLATE(B804, ""en"", ""hi"")"),"ढोल खेल में एक टीम को मजबूत रक्षा के साथ प्रतिद्वंद्वी से कैसे मुकाबला करना चाहिए?")</f>
        <v>ढोल खेल में एक टीम को मजबूत रक्षा के साथ प्रतिद्वंद्वी से कैसे मुकाबला करना चाहिए?</v>
      </c>
      <c r="H804" s="5" t="str">
        <f>IFERROR(__xludf.DUMMYFUNCTION("GOOGLETRANSLATE(C804, ""en"", ""hi"")"),"ए) रचनात्मक खेल का उपयोग करें, रक्षात्मक रेखाओं को तोड़ने पर ध्यान केंद्रित करें, और अंतराल का फायदा उठाएं, बी) पूरी तरह से प्रत्यक्ष हमलों पर भरोसा करें, सी) प्रतिद्वंद्वी की रक्षा को अनदेखा करें, डी) रणनीतिक समायोजन से बचें")</f>
        <v>ए) रचनात्मक खेल का उपयोग करें, रक्षात्मक रेखाओं को तोड़ने पर ध्यान केंद्रित करें, और अंतराल का फायदा उठाएं, बी) पूरी तरह से प्रत्यक्ष हमलों पर भरोसा करें, सी) प्रतिद्वंद्वी की रक्षा को अनदेखा करें, डी) रणनीतिक समायोजन से बचें</v>
      </c>
      <c r="I804" s="5" t="str">
        <f>IFERROR(__xludf.DUMMYFUNCTION("GOOGLETRANSLATE(D804, ""en"", ""hi"")"),"ए) रचनात्मक खेल का उपयोग करें, रक्षात्मक रेखाओं को तोड़ने पर ध्यान केंद्रित करें, और अंतराल का फायदा उठाएं")</f>
        <v>ए) रचनात्मक खेल का उपयोग करें, रक्षात्मक रेखाओं को तोड़ने पर ध्यान केंद्रित करें, और अंतराल का फायदा उठाएं</v>
      </c>
    </row>
    <row r="805" ht="22.5" customHeight="1">
      <c r="A805" s="2">
        <v>804.0</v>
      </c>
      <c r="B805" s="3" t="s">
        <v>7515</v>
      </c>
      <c r="C805" s="3" t="s">
        <v>7516</v>
      </c>
      <c r="D805" s="3" t="s">
        <v>7517</v>
      </c>
      <c r="F805" s="5" t="str">
        <f>IFERROR(__xludf.DUMMYFUNCTION("GOOGLETRANSLATE(A805, ""en"", ""hi"")"),"804")</f>
        <v>804</v>
      </c>
      <c r="G805" s="5" t="str">
        <f>IFERROR(__xludf.DUMMYFUNCTION("GOOGLETRANSLATE(B805, ""en"", ""hi"")"),"किसी उच्च-दांव वाले मैच में भाग लेते समय ढोल खेल खिलाड़ी के लिए क्या महत्वपूर्ण बात है?")</f>
        <v>किसी उच्च-दांव वाले मैच में भाग लेते समय ढोल खेल खिलाड़ी के लिए क्या महत्वपूर्ण बात है?</v>
      </c>
      <c r="H805" s="5" t="str">
        <f>IFERROR(__xludf.DUMMYFUNCTION("GOOGLETRANSLATE(C805, ""en"", ""hi"")"),"A) धैर्य बनाए रखें, क्रियान्वयन पर ध्यान केंद्रित करें, और आवश्यकतानुसार रणनीतियों को अनुकूलित करें, B) दांव पर ध्यान न दें, C) केवल व्यक्तिगत प्रदर्शन पर ध्यान केंद्रित करें, D) रणनीतिक योजना से बचें")</f>
        <v>A) धैर्य बनाए रखें, क्रियान्वयन पर ध्यान केंद्रित करें, और आवश्यकतानुसार रणनीतियों को अनुकूलित करें, B) दांव पर ध्यान न दें, C) केवल व्यक्तिगत प्रदर्शन पर ध्यान केंद्रित करें, D) रणनीतिक योजना से बचें</v>
      </c>
      <c r="I805" s="5" t="str">
        <f>IFERROR(__xludf.DUMMYFUNCTION("GOOGLETRANSLATE(D805, ""en"", ""hi"")"),"A) धैर्य बनाए रखें, कार्यान्वयन पर ध्यान केंद्रित करें, और आवश्यकतानुसार रणनीतियों को अनुकूलित करें")</f>
        <v>A) धैर्य बनाए रखें, कार्यान्वयन पर ध्यान केंद्रित करें, और आवश्यकतानुसार रणनीतियों को अनुकूलित करें</v>
      </c>
    </row>
    <row r="806" ht="22.5" customHeight="1">
      <c r="A806" s="2">
        <v>805.0</v>
      </c>
      <c r="B806" s="3" t="s">
        <v>7518</v>
      </c>
      <c r="C806" s="3" t="s">
        <v>7519</v>
      </c>
      <c r="D806" s="3" t="s">
        <v>7520</v>
      </c>
      <c r="F806" s="5" t="str">
        <f>IFERROR(__xludf.DUMMYFUNCTION("GOOGLETRANSLATE(A806, ""en"", ""hi"")"),"805")</f>
        <v>805</v>
      </c>
      <c r="G806" s="5" t="str">
        <f>IFERROR(__xludf.DUMMYFUNCTION("GOOGLETRANSLATE(B806, ""en"", ""hi"")"),"ढोल खेल टीम को एक अपरिचित प्रतिद्वंद्वी के खिलाफ मैच के लिए कैसे तैयारी करनी चाहिए?")</f>
        <v>ढोल खेल टीम को एक अपरिचित प्रतिद्वंद्वी के खिलाफ मैच के लिए कैसे तैयारी करनी चाहिए?</v>
      </c>
      <c r="H806" s="5" t="str">
        <f>IFERROR(__xludf.DUMMYFUNCTION("GOOGLETRANSLATE(C806, ""en"", ""hi"")"),"ए) अनुसंधान करना, खेल फुटेज की समीक्षा करना, और अनुकूलनीय रणनीति विकसित करना, बी) प्रतिद्वंद्वी की शैली को अनदेखा करना, सी) केवल अपनी रणनीति पर ध्यान केंद्रित करना, डी) अपरिचित विरोधियों के लिए तैयारी से बचना")</f>
        <v>ए) अनुसंधान करना, खेल फुटेज की समीक्षा करना, और अनुकूलनीय रणनीति विकसित करना, बी) प्रतिद्वंद्वी की शैली को अनदेखा करना, सी) केवल अपनी रणनीति पर ध्यान केंद्रित करना, डी) अपरिचित विरोधियों के लिए तैयारी से बचना</v>
      </c>
      <c r="I806" s="5" t="str">
        <f>IFERROR(__xludf.DUMMYFUNCTION("GOOGLETRANSLATE(D806, ""en"", ""hi"")"),"A) अनुसंधान करना, खेल फुटेज की समीक्षा करना, और अनुकूलनीय रणनीति विकसित करना")</f>
        <v>A) अनुसंधान करना, खेल फुटेज की समीक्षा करना, और अनुकूलनीय रणनीति विकसित करना</v>
      </c>
    </row>
    <row r="807" ht="22.5" customHeight="1">
      <c r="A807" s="2">
        <v>806.0</v>
      </c>
      <c r="B807" s="3" t="s">
        <v>7521</v>
      </c>
      <c r="C807" s="3" t="s">
        <v>7522</v>
      </c>
      <c r="D807" s="3" t="s">
        <v>7523</v>
      </c>
      <c r="F807" s="5" t="str">
        <f>IFERROR(__xludf.DUMMYFUNCTION("GOOGLETRANSLATE(A807, ""en"", ""hi"")"),"806")</f>
        <v>806</v>
      </c>
      <c r="G807" s="5" t="str">
        <f>IFERROR(__xludf.DUMMYFUNCTION("GOOGLETRANSLATE(B807, ""en"", ""hi"")"),"ढोल खेल टीम के लिए मैदान पर अपनी तालमेल को बेहतर बनाने का प्रभावी तरीका क्या है?")</f>
        <v>ढोल खेल टीम के लिए मैदान पर अपनी तालमेल को बेहतर बनाने का प्रभावी तरीका क्या है?</v>
      </c>
      <c r="H807" s="5" t="str">
        <f>IFERROR(__xludf.DUMMYFUNCTION("GOOGLETRANSLATE(C807, ""en"", ""hi"")"),"A) टीम-निर्माण गतिविधियों में शामिल हों, एक साथ अभ्यास करें और आपसी समझ विकसित करें, B) केवल व्यक्तिगत प्रदर्शन पर ध्यान केंद्रित करें, C) टीम की गतिशीलता को अनदेखा करें, D) टीम-निर्माण अभ्यास से बचें")</f>
        <v>A) टीम-निर्माण गतिविधियों में शामिल हों, एक साथ अभ्यास करें और आपसी समझ विकसित करें, B) केवल व्यक्तिगत प्रदर्शन पर ध्यान केंद्रित करें, C) टीम की गतिशीलता को अनदेखा करें, D) टीम-निर्माण अभ्यास से बचें</v>
      </c>
      <c r="I807" s="5" t="str">
        <f>IFERROR(__xludf.DUMMYFUNCTION("GOOGLETRANSLATE(D807, ""en"", ""hi"")"),"A) टीम-निर्माण गतिविधियों में शामिल हों, एक साथ अभ्यास करें और आपसी समझ विकसित करें")</f>
        <v>A) टीम-निर्माण गतिविधियों में शामिल हों, एक साथ अभ्यास करें और आपसी समझ विकसित करें</v>
      </c>
    </row>
    <row r="808" ht="22.5" customHeight="1">
      <c r="A808" s="2">
        <v>807.0</v>
      </c>
      <c r="B808" s="3" t="s">
        <v>7524</v>
      </c>
      <c r="C808" s="3" t="s">
        <v>7525</v>
      </c>
      <c r="D808" s="3" t="s">
        <v>7526</v>
      </c>
      <c r="F808" s="5" t="str">
        <f>IFERROR(__xludf.DUMMYFUNCTION("GOOGLETRANSLATE(A808, ""en"", ""hi"")"),"807")</f>
        <v>807</v>
      </c>
      <c r="G808" s="5" t="str">
        <f>IFERROR(__xludf.DUMMYFUNCTION("GOOGLETRANSLATE(B808, ""en"", ""hi"")"),"ढोल खेल खिलाड़ी को कठिन खेल स्थिति के दबाव को कैसे संभालना चाहिए?")</f>
        <v>ढोल खेल खिलाड़ी को कठिन खेल स्थिति के दबाव को कैसे संभालना चाहिए?</v>
      </c>
      <c r="H808" s="5" t="str">
        <f>IFERROR(__xludf.DUMMYFUNCTION("GOOGLETRANSLATE(C808, ""en"", ""hi"")"),"A) ध्यान केंद्रित रखें, तनाव को प्रभावी ढंग से प्रबंधित करें, और खेल की योजनाओं पर टिके रहें, B) दबाव को नजरअंदाज करें, C) पूरी तरह से सहज ज्ञान पर भरोसा करें, D) दबाव का सामना करने से बचें")</f>
        <v>A) ध्यान केंद्रित रखें, तनाव को प्रभावी ढंग से प्रबंधित करें, और खेल की योजनाओं पर टिके रहें, B) दबाव को नजरअंदाज करें, C) पूरी तरह से सहज ज्ञान पर भरोसा करें, D) दबाव का सामना करने से बचें</v>
      </c>
      <c r="I808" s="5" t="str">
        <f>IFERROR(__xludf.DUMMYFUNCTION("GOOGLETRANSLATE(D808, ""en"", ""hi"")"),"ए) ध्यान केंद्रित रखें, तनाव को प्रभावी ढंग से प्रबंधित करें, और अपनी योजना पर टिके रहें")</f>
        <v>ए) ध्यान केंद्रित रखें, तनाव को प्रभावी ढंग से प्रबंधित करें, और अपनी योजना पर टिके रहें</v>
      </c>
    </row>
    <row r="809" ht="22.5" customHeight="1">
      <c r="A809" s="2">
        <v>808.0</v>
      </c>
      <c r="B809" s="3" t="s">
        <v>7527</v>
      </c>
      <c r="C809" s="3" t="s">
        <v>7528</v>
      </c>
      <c r="D809" s="3" t="s">
        <v>7529</v>
      </c>
      <c r="F809" s="5" t="str">
        <f>IFERROR(__xludf.DUMMYFUNCTION("GOOGLETRANSLATE(A809, ""en"", ""hi"")"),"808")</f>
        <v>808</v>
      </c>
      <c r="G809" s="5" t="str">
        <f>IFERROR(__xludf.DUMMYFUNCTION("GOOGLETRANSLATE(B809, ""en"", ""hi"")"),"बेहतर तकनीकी कौशल वाली टीम का सामना करते समय ढोल खेल टीम की रणनीति का मुख्य तत्व क्या है?")</f>
        <v>बेहतर तकनीकी कौशल वाली टीम का सामना करते समय ढोल खेल टीम की रणनीति का मुख्य तत्व क्या है?</v>
      </c>
      <c r="H809" s="5" t="str">
        <f>IFERROR(__xludf.DUMMYFUNCTION("GOOGLETRANSLATE(C809, ""en"", ""hi"")"),"क) सामरिक खेल को बढ़ाना, टीम वर्क पर ध्यान केंद्रित करना और किसी भी कमजोरी का फायदा उठाना, ख) केवल शारीरिक क्षमता पर निर्भर रहना, ग) तकनीकी कौशल की अनदेखी करना, घ) रणनीतियों को अपनाने से बचना")</f>
        <v>क) सामरिक खेल को बढ़ाना, टीम वर्क पर ध्यान केंद्रित करना और किसी भी कमजोरी का फायदा उठाना, ख) केवल शारीरिक क्षमता पर निर्भर रहना, ग) तकनीकी कौशल की अनदेखी करना, घ) रणनीतियों को अपनाने से बचना</v>
      </c>
      <c r="I809" s="5" t="str">
        <f>IFERROR(__xludf.DUMMYFUNCTION("GOOGLETRANSLATE(D809, ""en"", ""hi"")"),"क) सामरिक खेल को बढ़ाना, टीम वर्क पर ध्यान केंद्रित करना, और किसी भी कमजोरी का फायदा उठाना")</f>
        <v>क) सामरिक खेल को बढ़ाना, टीम वर्क पर ध्यान केंद्रित करना, और किसी भी कमजोरी का फायदा उठाना</v>
      </c>
    </row>
    <row r="810" ht="22.5" customHeight="1">
      <c r="A810" s="2">
        <v>809.0</v>
      </c>
      <c r="B810" s="3" t="s">
        <v>7530</v>
      </c>
      <c r="C810" s="3" t="s">
        <v>7531</v>
      </c>
      <c r="D810" s="3" t="s">
        <v>7532</v>
      </c>
      <c r="F810" s="5" t="str">
        <f>IFERROR(__xludf.DUMMYFUNCTION("GOOGLETRANSLATE(A810, ""en"", ""hi"")"),"809")</f>
        <v>809</v>
      </c>
      <c r="G810" s="5" t="str">
        <f>IFERROR(__xludf.DUMMYFUNCTION("GOOGLETRANSLATE(B810, ""en"", ""hi"")"),"ढोल खेल मैच में, नई खेल योजना लागू करते समय क्या प्राथमिकता होनी चाहिए?")</f>
        <v>ढोल खेल मैच में, नई खेल योजना लागू करते समय क्या प्राथमिकता होनी चाहिए?</v>
      </c>
      <c r="H810" s="5" t="str">
        <f>IFERROR(__xludf.DUMMYFUNCTION("GOOGLETRANSLATE(C810, ""en"", ""hi"")"),"A) सुनिश्चित करें कि टीम योजना को समझे, उसका प्रभावी ढंग से अभ्यास करे, और आवश्यकतानुसार उसे अपनाए, B) टीम की समझ को नज़रअंदाज़ करें, C) केवल क्रियान्वयन पर ध्यान केंद्रित करें, D) नई योजना का अभ्यास करने से बचें")</f>
        <v>A) सुनिश्चित करें कि टीम योजना को समझे, उसका प्रभावी ढंग से अभ्यास करे, और आवश्यकतानुसार उसे अपनाए, B) टीम की समझ को नज़रअंदाज़ करें, C) केवल क्रियान्वयन पर ध्यान केंद्रित करें, D) नई योजना का अभ्यास करने से बचें</v>
      </c>
      <c r="I810" s="5" t="str">
        <f>IFERROR(__xludf.DUMMYFUNCTION("GOOGLETRANSLATE(D810, ""en"", ""hi"")"),"A) सुनिश्चित करें कि टीम योजना को समझे, उसका प्रभावी ढंग से अभ्यास करे, और आवश्यकतानुसार उसमें बदलाव करे")</f>
        <v>A) सुनिश्चित करें कि टीम योजना को समझे, उसका प्रभावी ढंग से अभ्यास करे, और आवश्यकतानुसार उसमें बदलाव करे</v>
      </c>
    </row>
    <row r="811" ht="22.5" customHeight="1">
      <c r="A811" s="2">
        <v>810.0</v>
      </c>
      <c r="B811" s="3" t="s">
        <v>7353</v>
      </c>
      <c r="C811" s="3" t="s">
        <v>7533</v>
      </c>
      <c r="D811" s="3" t="s">
        <v>7534</v>
      </c>
      <c r="F811" s="5" t="str">
        <f>IFERROR(__xludf.DUMMYFUNCTION("GOOGLETRANSLATE(A811, ""en"", ""hi"")"),"810")</f>
        <v>810</v>
      </c>
      <c r="G811" s="5" t="str">
        <f>IFERROR(__xludf.DUMMYFUNCTION("GOOGLETRANSLATE(B811, ""en"", ""hi"")"),"ढोल खेल वादकों के लिए अपनी रणनीतिक सोच को बढ़ाने का प्रभावी तरीका क्या है?")</f>
        <v>ढोल खेल वादकों के लिए अपनी रणनीतिक सोच को बढ़ाने का प्रभावी तरीका क्या है?</v>
      </c>
      <c r="H811" s="5" t="str">
        <f>IFERROR(__xludf.DUMMYFUNCTION("GOOGLETRANSLATE(C811, ""en"", ""hi"")"),"A) खेल परिदृश्यों का विश्लेषण करें, रणनीति चर्चाओं में भाग लें, और पिछले खेलों की समीक्षा करें, B) केवल शारीरिक कौशल पर ध्यान केंद्रित करें, C) रणनीतिक प्रशिक्षण की उपेक्षा करें, D) केवल प्राकृतिक प्रवृत्ति पर भरोसा करें")</f>
        <v>A) खेल परिदृश्यों का विश्लेषण करें, रणनीति चर्चाओं में भाग लें, और पिछले खेलों की समीक्षा करें, B) केवल शारीरिक कौशल पर ध्यान केंद्रित करें, C) रणनीतिक प्रशिक्षण की उपेक्षा करें, D) केवल प्राकृतिक प्रवृत्ति पर भरोसा करें</v>
      </c>
      <c r="I811" s="5" t="str">
        <f>IFERROR(__xludf.DUMMYFUNCTION("GOOGLETRANSLATE(D811, ""en"", ""hi"")"),"A) खेल परिदृश्यों का विश्लेषण करें, रणनीति चर्चाओं में भाग लें, और पिछले खेलों की समीक्षा करें")</f>
        <v>A) खेल परिदृश्यों का विश्लेषण करें, रणनीति चर्चाओं में भाग लें, और पिछले खेलों की समीक्षा करें</v>
      </c>
    </row>
    <row r="812" ht="22.5" customHeight="1">
      <c r="A812" s="2">
        <v>811.0</v>
      </c>
      <c r="B812" s="3" t="s">
        <v>7535</v>
      </c>
      <c r="C812" s="3" t="s">
        <v>7536</v>
      </c>
      <c r="D812" s="3" t="s">
        <v>7537</v>
      </c>
      <c r="F812" s="5" t="str">
        <f>IFERROR(__xludf.DUMMYFUNCTION("GOOGLETRANSLATE(A812, ""en"", ""hi"")"),"811")</f>
        <v>811</v>
      </c>
      <c r="G812" s="5" t="str">
        <f>IFERROR(__xludf.DUMMYFUNCTION("GOOGLETRANSLATE(B812, ""en"", ""hi"")"),"ढोल खेल टीम को अपने पिछले मैच में हार के बाद मैच को किस प्रकार से खेलना चाहिए?")</f>
        <v>ढोल खेल टीम को अपने पिछले मैच में हार के बाद मैच को किस प्रकार से खेलना चाहिए?</v>
      </c>
      <c r="H812" s="5" t="str">
        <f>IFERROR(__xludf.DUMMYFUNCTION("GOOGLETRANSLATE(C812, ""en"", ""hi"")"),"A) पिछले खेल का विश्लेषण करें, गलतियों से सीखें और प्रदर्शन सुधारने पर ध्यान केंद्रित करें, B) हार को नज़रअंदाज़ करें, C) केवल शारीरिक रिकवरी पर ध्यान केंद्रित करें, D) पिछले खेल पर चर्चा करने से बचें")</f>
        <v>A) पिछले खेल का विश्लेषण करें, गलतियों से सीखें और प्रदर्शन सुधारने पर ध्यान केंद्रित करें, B) हार को नज़रअंदाज़ करें, C) केवल शारीरिक रिकवरी पर ध्यान केंद्रित करें, D) पिछले खेल पर चर्चा करने से बचें</v>
      </c>
      <c r="I812" s="5" t="str">
        <f>IFERROR(__xludf.DUMMYFUNCTION("GOOGLETRANSLATE(D812, ""en"", ""hi"")"),"A) पिछले खेल का विश्लेषण करें, गलतियों से सीखें और प्रदर्शन सुधारने पर ध्यान केंद्रित करें")</f>
        <v>A) पिछले खेल का विश्लेषण करें, गलतियों से सीखें और प्रदर्शन सुधारने पर ध्यान केंद्रित करें</v>
      </c>
    </row>
    <row r="813" ht="22.5" customHeight="1">
      <c r="A813" s="2">
        <v>812.0</v>
      </c>
      <c r="B813" s="3" t="s">
        <v>7538</v>
      </c>
      <c r="C813" s="3" t="s">
        <v>7539</v>
      </c>
      <c r="D813" s="3" t="s">
        <v>7540</v>
      </c>
      <c r="F813" s="5" t="str">
        <f>IFERROR(__xludf.DUMMYFUNCTION("GOOGLETRANSLATE(A813, ""en"", ""hi"")"),"812")</f>
        <v>812</v>
      </c>
      <c r="G813" s="5" t="str">
        <f>IFERROR(__xludf.DUMMYFUNCTION("GOOGLETRANSLATE(B813, ""en"", ""hi"")"),"मैच की परिस्थितियों में अप्रत्याशित परिवर्तन से निपटने के लिए ढोल खेल खिलाड़ी के लिए आवश्यक कारक क्या है?")</f>
        <v>मैच की परिस्थितियों में अप्रत्याशित परिवर्तन से निपटने के लिए ढोल खेल खिलाड़ी के लिए आवश्यक कारक क्या है?</v>
      </c>
      <c r="H813" s="5" t="str">
        <f>IFERROR(__xludf.DUMMYFUNCTION("GOOGLETRANSLATE(C813, ""en"", ""hi"")"),"A) रणनीतियों को शीघ्रता से अपनाना और खेल पर ध्यान केंद्रित रखना, B) प्रारंभिक योजनाओं पर टिके रहना, C) परिवर्तन को अनदेखा करना, D) केवल व्यक्तिगत प्रदर्शन पर ध्यान केंद्रित करना")</f>
        <v>A) रणनीतियों को शीघ्रता से अपनाना और खेल पर ध्यान केंद्रित रखना, B) प्रारंभिक योजनाओं पर टिके रहना, C) परिवर्तन को अनदेखा करना, D) केवल व्यक्तिगत प्रदर्शन पर ध्यान केंद्रित करना</v>
      </c>
      <c r="I813" s="5" t="str">
        <f>IFERROR(__xludf.DUMMYFUNCTION("GOOGLETRANSLATE(D813, ""en"", ""hi"")"),"A) रणनीतियों को शीघ्रता से अपनाना और खेल पर ध्यान बनाए रखना")</f>
        <v>A) रणनीतियों को शीघ्रता से अपनाना और खेल पर ध्यान बनाए रखना</v>
      </c>
    </row>
    <row r="814" ht="22.5" customHeight="1">
      <c r="A814" s="2">
        <v>813.0</v>
      </c>
      <c r="B814" s="3" t="s">
        <v>7541</v>
      </c>
      <c r="C814" s="3" t="s">
        <v>7542</v>
      </c>
      <c r="D814" s="3" t="s">
        <v>7543</v>
      </c>
      <c r="F814" s="5" t="str">
        <f>IFERROR(__xludf.DUMMYFUNCTION("GOOGLETRANSLATE(A814, ""en"", ""hi"")"),"813")</f>
        <v>813</v>
      </c>
      <c r="G814" s="5" t="str">
        <f>IFERROR(__xludf.DUMMYFUNCTION("GOOGLETRANSLATE(B814, ""en"", ""hi"")"),"ढोल खेल टीम को एक लम्बे मैच के दौरान अपने ऊर्जा स्तर का प्रबंधन कैसे करना चाहिए?")</f>
        <v>ढोल खेल टीम को एक लम्बे मैच के दौरान अपने ऊर्जा स्तर का प्रबंधन कैसे करना चाहिए?</v>
      </c>
      <c r="H814" s="5" t="str">
        <f>IFERROR(__xludf.DUMMYFUNCTION("GOOGLETRANSLATE(C814, ""en"", ""hi"")"),"ए) प्रभावी ऊर्जा प्रबंधन तकनीकों को लागू करें, जिसमें जलयोजन और आराम अवकाश शामिल हैं, बी) ऊर्जा के स्तर की अनदेखी करें, सी) केवल तीव्रता पर ध्यान केंद्रित करें, डी) ऊर्जा प्रबंधन से बचें")</f>
        <v>ए) प्रभावी ऊर्जा प्रबंधन तकनीकों को लागू करें, जिसमें जलयोजन और आराम अवकाश शामिल हैं, बी) ऊर्जा के स्तर की अनदेखी करें, सी) केवल तीव्रता पर ध्यान केंद्रित करें, डी) ऊर्जा प्रबंधन से बचें</v>
      </c>
      <c r="I814" s="5" t="str">
        <f>IFERROR(__xludf.DUMMYFUNCTION("GOOGLETRANSLATE(D814, ""en"", ""hi"")"),"ए) जलयोजन और विश्राम अवकाश सहित प्रभावी ऊर्जा प्रबंधन तकनीकों को लागू करें")</f>
        <v>ए) जलयोजन और विश्राम अवकाश सहित प्रभावी ऊर्जा प्रबंधन तकनीकों को लागू करें</v>
      </c>
    </row>
    <row r="815" ht="22.5" customHeight="1">
      <c r="A815" s="2">
        <v>814.0</v>
      </c>
      <c r="B815" s="3" t="s">
        <v>7544</v>
      </c>
      <c r="C815" s="3" t="s">
        <v>7545</v>
      </c>
      <c r="D815" s="3" t="s">
        <v>7546</v>
      </c>
      <c r="F815" s="5" t="str">
        <f>IFERROR(__xludf.DUMMYFUNCTION("GOOGLETRANSLATE(A815, ""en"", ""hi"")"),"814")</f>
        <v>814</v>
      </c>
      <c r="G815" s="5" t="str">
        <f>IFERROR(__xludf.DUMMYFUNCTION("GOOGLETRANSLATE(B815, ""en"", ""hi"")"),"खेल के दौरान ढोल खेल खिलाड़ियों के लिए टीम वर्क में सुधार करने हेतु अनुशंसित तरीका क्या है?")</f>
        <v>खेल के दौरान ढोल खेल खिलाड़ियों के लिए टीम वर्क में सुधार करने हेतु अनुशंसित तरीका क्या है?</v>
      </c>
      <c r="H815" s="5" t="str">
        <f>IFERROR(__xludf.DUMMYFUNCTION("GOOGLETRANSLATE(C815, ""en"", ""hi"")"),"A) प्रभावी ढंग से संवाद करें, प्रयासों का समन्वय करें और टीम के साथियों का समर्थन करें, B) केवल व्यक्तिगत प्रदर्शन पर ध्यान केंद्रित करें, C) टीम की गतिशीलता को अनदेखा करें, D) सहयोग से बचें")</f>
        <v>A) प्रभावी ढंग से संवाद करें, प्रयासों का समन्वय करें और टीम के साथियों का समर्थन करें, B) केवल व्यक्तिगत प्रदर्शन पर ध्यान केंद्रित करें, C) टीम की गतिशीलता को अनदेखा करें, D) सहयोग से बचें</v>
      </c>
      <c r="I815" s="5" t="str">
        <f>IFERROR(__xludf.DUMMYFUNCTION("GOOGLETRANSLATE(D815, ""en"", ""hi"")"),"A) प्रभावी ढंग से संवाद करें, प्रयासों का समन्वय करें, और टीम के सदस्यों का समर्थन करें")</f>
        <v>A) प्रभावी ढंग से संवाद करें, प्रयासों का समन्वय करें, और टीम के सदस्यों का समर्थन करें</v>
      </c>
    </row>
    <row r="816" ht="22.5" customHeight="1">
      <c r="A816" s="2">
        <v>815.0</v>
      </c>
      <c r="B816" s="3" t="s">
        <v>7547</v>
      </c>
      <c r="C816" s="3" t="s">
        <v>7548</v>
      </c>
      <c r="D816" s="3" t="s">
        <v>7549</v>
      </c>
      <c r="F816" s="5" t="str">
        <f>IFERROR(__xludf.DUMMYFUNCTION("GOOGLETRANSLATE(A816, ""en"", ""hi"")"),"815")</f>
        <v>815</v>
      </c>
      <c r="G816" s="5" t="str">
        <f>IFERROR(__xludf.DUMMYFUNCTION("GOOGLETRANSLATE(B816, ""en"", ""hi"")"),"ढोल खेल टीम मैच के दौरान टाइम-आउट का सर्वोत्तम उपयोग कैसे कर सकती है?")</f>
        <v>ढोल खेल टीम मैच के दौरान टाइम-आउट का सर्वोत्तम उपयोग कैसे कर सकती है?</v>
      </c>
      <c r="H816" s="5" t="str">
        <f>IFERROR(__xludf.DUMMYFUNCTION("GOOGLETRANSLATE(C816, ""en"", ""hi"")"),"ए) पुनः समूह बनाने, रणनीतियों पर चर्चा करने और किसी भी मुद्दे को हल करने के लिए टाइम-आउट का उपयोग करें, बी) टाइम-आउट की अनदेखी करें, सी) केवल व्यक्तिगत कार्यों पर ध्यान केंद्रित करें, डी) टाइम-आउट का उपयोग करने से बचें")</f>
        <v>ए) पुनः समूह बनाने, रणनीतियों पर चर्चा करने और किसी भी मुद्दे को हल करने के लिए टाइम-आउट का उपयोग करें, बी) टाइम-आउट की अनदेखी करें, सी) केवल व्यक्तिगत कार्यों पर ध्यान केंद्रित करें, डी) टाइम-आउट का उपयोग करने से बचें</v>
      </c>
      <c r="I816" s="5" t="str">
        <f>IFERROR(__xludf.DUMMYFUNCTION("GOOGLETRANSLATE(D816, ""en"", ""hi"")"),"A) पुनः समूह बनाने, रणनीतियों पर चर्चा करने और किसी भी मुद्दे को हल करने के लिए समय-समय पर समय का उपयोग करें")</f>
        <v>A) पुनः समूह बनाने, रणनीतियों पर चर्चा करने और किसी भी मुद्दे को हल करने के लिए समय-समय पर समय का उपयोग करें</v>
      </c>
    </row>
    <row r="817" ht="22.5" customHeight="1">
      <c r="A817" s="2">
        <v>816.0</v>
      </c>
      <c r="B817" s="3" t="s">
        <v>7550</v>
      </c>
      <c r="C817" s="3" t="s">
        <v>7551</v>
      </c>
      <c r="D817" s="3" t="s">
        <v>7552</v>
      </c>
      <c r="F817" s="5" t="str">
        <f>IFERROR(__xludf.DUMMYFUNCTION("GOOGLETRANSLATE(A817, ""en"", ""hi"")"),"816")</f>
        <v>816</v>
      </c>
      <c r="G817" s="5" t="str">
        <f>IFERROR(__xludf.DUMMYFUNCTION("GOOGLETRANSLATE(B817, ""en"", ""hi"")"),"ढोल खेल खिलाड़ी के लिए प्रदर्शन में गिरावट से उबरने की प्रभावी रणनीति क्या है?")</f>
        <v>ढोल खेल खिलाड़ी के लिए प्रदर्शन में गिरावट से उबरने की प्रभावी रणनीति क्या है?</v>
      </c>
      <c r="H817" s="5" t="str">
        <f>IFERROR(__xludf.DUMMYFUNCTION("GOOGLETRANSLATE(C817, ""en"", ""hi"")"),"ए) प्रदर्शन संबंधी समस्याओं का विश्लेषण करें, फीडबैक लें और सुधार के लिए विशिष्ट क्षेत्रों पर काम करें, बी) गिरावट को नजरअंदाज करें, सी) केवल शारीरिक प्रशिक्षण पर ध्यान केंद्रित करें, डी) केवल प्राकृतिक क्षमता पर भरोसा करें")</f>
        <v>ए) प्रदर्शन संबंधी समस्याओं का विश्लेषण करें, फीडबैक लें और सुधार के लिए विशिष्ट क्षेत्रों पर काम करें, बी) गिरावट को नजरअंदाज करें, सी) केवल शारीरिक प्रशिक्षण पर ध्यान केंद्रित करें, डी) केवल प्राकृतिक क्षमता पर भरोसा करें</v>
      </c>
      <c r="I817" s="5" t="str">
        <f>IFERROR(__xludf.DUMMYFUNCTION("GOOGLETRANSLATE(D817, ""en"", ""hi"")"),"A) प्रदर्शन संबंधी समस्याओं का विश्लेषण करें, फीडबैक लें और सुधार के लिए विशिष्ट क्षेत्रों पर काम करें")</f>
        <v>A) प्रदर्शन संबंधी समस्याओं का विश्लेषण करें, फीडबैक लें और सुधार के लिए विशिष्ट क्षेत्रों पर काम करें</v>
      </c>
    </row>
    <row r="818" ht="22.5" customHeight="1">
      <c r="A818" s="2">
        <v>817.0</v>
      </c>
      <c r="B818" s="3" t="s">
        <v>7553</v>
      </c>
      <c r="C818" s="3" t="s">
        <v>7554</v>
      </c>
      <c r="D818" s="3" t="s">
        <v>7555</v>
      </c>
      <c r="F818" s="5" t="str">
        <f>IFERROR(__xludf.DUMMYFUNCTION("GOOGLETRANSLATE(A818, ""en"", ""hi"")"),"817")</f>
        <v>817</v>
      </c>
      <c r="G818" s="5" t="str">
        <f>IFERROR(__xludf.DUMMYFUNCTION("GOOGLETRANSLATE(B818, ""en"", ""hi"")"),"ढोल खेल टीम को उच्च स्कोरिंग दर वाली टीम का सामना करते समय अपनी रणनीति को किस प्रकार समायोजित करना चाहिए?")</f>
        <v>ढोल खेल टीम को उच्च स्कोरिंग दर वाली टीम का सामना करते समय अपनी रणनीति को किस प्रकार समायोजित करना चाहिए?</v>
      </c>
      <c r="H818" s="5" t="str">
        <f>IFERROR(__xludf.DUMMYFUNCTION("GOOGLETRANSLATE(C818, ""en"", ""hi"")"),"A) रक्षात्मक रणनीतियों पर ध्यान केंद्रित करें, दबाव बढ़ाएँ, और स्कोरिंग अवसरों को सीमित करें, B) आक्रामक रणनीति पर टिके रहें, C) स्कोरिंग दर को अनदेखा करें, D) रणनीति बदलने से बचें")</f>
        <v>A) रक्षात्मक रणनीतियों पर ध्यान केंद्रित करें, दबाव बढ़ाएँ, और स्कोरिंग अवसरों को सीमित करें, B) आक्रामक रणनीति पर टिके रहें, C) स्कोरिंग दर को अनदेखा करें, D) रणनीति बदलने से बचें</v>
      </c>
      <c r="I818" s="5" t="str">
        <f>IFERROR(__xludf.DUMMYFUNCTION("GOOGLETRANSLATE(D818, ""en"", ""hi"")"),"A) रक्षात्मक रणनीतियों पर ध्यान केंद्रित करें, दबाव बढ़ाएँ और स्कोरिंग के अवसरों को सीमित करें")</f>
        <v>A) रक्षात्मक रणनीतियों पर ध्यान केंद्रित करें, दबाव बढ़ाएँ और स्कोरिंग के अवसरों को सीमित करें</v>
      </c>
    </row>
    <row r="819" ht="22.5" customHeight="1">
      <c r="A819" s="2">
        <v>818.0</v>
      </c>
      <c r="B819" s="3" t="s">
        <v>7556</v>
      </c>
      <c r="C819" s="3" t="s">
        <v>7557</v>
      </c>
      <c r="D819" s="3" t="s">
        <v>7558</v>
      </c>
      <c r="F819" s="5" t="str">
        <f>IFERROR(__xludf.DUMMYFUNCTION("GOOGLETRANSLATE(A819, ""en"", ""hi"")"),"818")</f>
        <v>818</v>
      </c>
      <c r="G819" s="5" t="str">
        <f>IFERROR(__xludf.DUMMYFUNCTION("GOOGLETRANSLATE(B819, ""en"", ""hi"")"),"मैच से पहले ढोल खेल खिलाड़ी के वार्म-अप रूटीन का महत्वपूर्ण पहलू क्या है?")</f>
        <v>मैच से पहले ढोल खेल खिलाड़ी के वार्म-अप रूटीन का महत्वपूर्ण पहलू क्या है?</v>
      </c>
      <c r="H819" s="5" t="str">
        <f>IFERROR(__xludf.DUMMYFUNCTION("GOOGLETRANSLATE(C819, ""en"", ""hi"")"),"ए) गतिशील स्ट्रेचिंग, मानसिक तैयारी और कौशल अभ्यास करें, बी) केवल स्थिर स्ट्रेचिंग पर ध्यान केंद्रित करें, सी) वार्म-अप को अनदेखा करें, डी) केवल शारीरिक कंडीशनिंग पर भरोसा करें")</f>
        <v>ए) गतिशील स्ट्रेचिंग, मानसिक तैयारी और कौशल अभ्यास करें, बी) केवल स्थिर स्ट्रेचिंग पर ध्यान केंद्रित करें, सी) वार्म-अप को अनदेखा करें, डी) केवल शारीरिक कंडीशनिंग पर भरोसा करें</v>
      </c>
      <c r="I819" s="5" t="str">
        <f>IFERROR(__xludf.DUMMYFUNCTION("GOOGLETRANSLATE(D819, ""en"", ""hi"")"),"ए) गतिशील स्ट्रेच, मानसिक तैयारी और कौशल अभ्यास करें")</f>
        <v>ए) गतिशील स्ट्रेच, मानसिक तैयारी और कौशल अभ्यास करें</v>
      </c>
    </row>
    <row r="820" ht="22.5" customHeight="1">
      <c r="A820" s="2">
        <v>819.0</v>
      </c>
      <c r="B820" s="3" t="s">
        <v>7559</v>
      </c>
      <c r="C820" s="3" t="s">
        <v>7560</v>
      </c>
      <c r="D820" s="3" t="s">
        <v>7561</v>
      </c>
      <c r="F820" s="5" t="str">
        <f>IFERROR(__xludf.DUMMYFUNCTION("GOOGLETRANSLATE(A820, ""en"", ""hi"")"),"819")</f>
        <v>819</v>
      </c>
      <c r="G820" s="5" t="str">
        <f>IFERROR(__xludf.DUMMYFUNCTION("GOOGLETRANSLATE(B820, ""en"", ""hi"")"),"ढोल खेल टीम को एक अलग खेल शैली वाली टीम के खिलाफ मैच में किस प्रकार से भाग लेना चाहिए?")</f>
        <v>ढोल खेल टीम को एक अलग खेल शैली वाली टीम के खिलाफ मैच में किस प्रकार से भाग लेना चाहिए?</v>
      </c>
      <c r="H820" s="5" t="str">
        <f>IFERROR(__xludf.DUMMYFUNCTION("GOOGLETRANSLATE(C820, ""en"", ""hi"")"),"A) भिन्न शैली का मुकाबला करने के लिए रणनीतियों को अपनाना, विश्लेषण करना और तदनुसार समायोजन करना, B) अपनी शैली पर कायम रहना, C) शैलियों में अंतर को अनदेखा करना, D) रणनीतियों को समायोजित करने से बचना")</f>
        <v>A) भिन्न शैली का मुकाबला करने के लिए रणनीतियों को अपनाना, विश्लेषण करना और तदनुसार समायोजन करना, B) अपनी शैली पर कायम रहना, C) शैलियों में अंतर को अनदेखा करना, D) रणनीतियों को समायोजित करने से बचना</v>
      </c>
      <c r="I820" s="5" t="str">
        <f>IFERROR(__xludf.DUMMYFUNCTION("GOOGLETRANSLATE(D820, ""en"", ""hi"")"),"A) विभिन्न शैली का मुकाबला करने के लिए रणनीतियों को अपनाना, विश्लेषण करना और तदनुसार समायोजन करना")</f>
        <v>A) विभिन्न शैली का मुकाबला करने के लिए रणनीतियों को अपनाना, विश्लेषण करना और तदनुसार समायोजन करना</v>
      </c>
    </row>
    <row r="821" ht="22.5" customHeight="1">
      <c r="A821" s="2">
        <v>820.0</v>
      </c>
      <c r="B821" s="3" t="s">
        <v>7562</v>
      </c>
      <c r="C821" s="3" t="s">
        <v>7563</v>
      </c>
      <c r="D821" s="3" t="s">
        <v>7564</v>
      </c>
      <c r="F821" s="5" t="str">
        <f>IFERROR(__xludf.DUMMYFUNCTION("GOOGLETRANSLATE(A821, ""en"", ""hi"")"),"820")</f>
        <v>820</v>
      </c>
      <c r="G821" s="5" t="str">
        <f>IFERROR(__xludf.DUMMYFUNCTION("GOOGLETRANSLATE(B821, ""en"", ""hi"")"),"मैच के दौरान शारीरिक चोटों से निपटने के दौरान ढोल खेल खिलाड़ी के लिए क्या महत्वपूर्ण बात है?")</f>
        <v>मैच के दौरान शारीरिक चोटों से निपटने के दौरान ढोल खेल खिलाड़ी के लिए क्या महत्वपूर्ण बात है?</v>
      </c>
      <c r="H821" s="5" t="str">
        <f>IFERROR(__xludf.DUMMYFUNCTION("GOOGLETRANSLATE(C821, ""en"", ""hi"")"),"ए) यदि आवश्यक हो तो चिकित्सा सहायता लें, और टीम में योगदान करते हुए चोट के प्रबंधन पर ध्यान केंद्रित करें, बी) चोट को अनदेखा करें, सी) केवल प्रदर्शन पर ध्यान केंद्रित करें, डी) मदद लेने से बचें")</f>
        <v>ए) यदि आवश्यक हो तो चिकित्सा सहायता लें, और टीम में योगदान करते हुए चोट के प्रबंधन पर ध्यान केंद्रित करें, बी) चोट को अनदेखा करें, सी) केवल प्रदर्शन पर ध्यान केंद्रित करें, डी) मदद लेने से बचें</v>
      </c>
      <c r="I821" s="5" t="str">
        <f>IFERROR(__xludf.DUMMYFUNCTION("GOOGLETRANSLATE(D821, ""en"", ""hi"")"),"ए) यदि आवश्यक हो तो चिकित्सा सहायता लें, और टीम में योगदान करते हुए चोट के प्रबंधन पर ध्यान केंद्रित करें")</f>
        <v>ए) यदि आवश्यक हो तो चिकित्सा सहायता लें, और टीम में योगदान करते हुए चोट के प्रबंधन पर ध्यान केंद्रित करें</v>
      </c>
    </row>
    <row r="822" ht="22.5" customHeight="1">
      <c r="A822" s="2">
        <v>821.0</v>
      </c>
      <c r="B822" s="3" t="s">
        <v>7565</v>
      </c>
      <c r="C822" s="3" t="s">
        <v>7566</v>
      </c>
      <c r="D822" s="3" t="s">
        <v>7567</v>
      </c>
      <c r="F822" s="5" t="str">
        <f>IFERROR(__xludf.DUMMYFUNCTION("GOOGLETRANSLATE(A822, ""en"", ""hi"")"),"821")</f>
        <v>821</v>
      </c>
      <c r="G822" s="5" t="str">
        <f>IFERROR(__xludf.DUMMYFUNCTION("GOOGLETRANSLATE(B822, ""en"", ""hi"")"),"ढोल खेल टीम विशिष्ट मैच स्थितियों के लिए तैयारी करने हेतु अपने प्रशिक्षण सत्रों का प्रभावी ढंग से उपयोग कैसे कर सकती है?")</f>
        <v>ढोल खेल टीम विशिष्ट मैच स्थितियों के लिए तैयारी करने हेतु अपने प्रशिक्षण सत्रों का प्रभावी ढंग से उपयोग कैसे कर सकती है?</v>
      </c>
      <c r="H822" s="5" t="str">
        <f>IFERROR(__xludf.DUMMYFUNCTION("GOOGLETRANSLATE(C822, ""en"", ""hi"")"),"A) परिदृश्य-आधारित अभ्यास और सिमुलेशन को शामिल करें, और यथार्थवादी खेल परिदृश्यों पर ध्यान केंद्रित करें, B) केवल सामान्य कौशल पर ध्यान केंद्रित करें, C) विशिष्ट स्थितियों को अनदेखा करें, D) केवल पिछले अनुभवों पर भरोसा करें")</f>
        <v>A) परिदृश्य-आधारित अभ्यास और सिमुलेशन को शामिल करें, और यथार्थवादी खेल परिदृश्यों पर ध्यान केंद्रित करें, B) केवल सामान्य कौशल पर ध्यान केंद्रित करें, C) विशिष्ट स्थितियों को अनदेखा करें, D) केवल पिछले अनुभवों पर भरोसा करें</v>
      </c>
      <c r="I822" s="5" t="str">
        <f>IFERROR(__xludf.DUMMYFUNCTION("GOOGLETRANSLATE(D822, ""en"", ""hi"")"),"A) परिदृश्य-आधारित अभ्यास और सिमुलेशन को शामिल करें, और यथार्थवादी खेल परिदृश्यों पर ध्यान केंद्रित करें")</f>
        <v>A) परिदृश्य-आधारित अभ्यास और सिमुलेशन को शामिल करें, और यथार्थवादी खेल परिदृश्यों पर ध्यान केंद्रित करें</v>
      </c>
    </row>
    <row r="823" ht="22.5" customHeight="1">
      <c r="A823" s="2">
        <v>822.0</v>
      </c>
      <c r="B823" s="3" t="s">
        <v>7568</v>
      </c>
      <c r="C823" s="3" t="s">
        <v>7569</v>
      </c>
      <c r="D823" s="3" t="s">
        <v>7570</v>
      </c>
      <c r="F823" s="5" t="str">
        <f>IFERROR(__xludf.DUMMYFUNCTION("GOOGLETRANSLATE(A823, ""en"", ""hi"")"),"822")</f>
        <v>822</v>
      </c>
      <c r="G823" s="5" t="str">
        <f>IFERROR(__xludf.DUMMYFUNCTION("GOOGLETRANSLATE(B823, ""en"", ""hi"")"),"ढोल खेल खिलाड़ी के लिए मैच के दौरान निर्णय लेने की क्षमता में सुधार करने का प्रभावी तरीका क्या है?")</f>
        <v>ढोल खेल खिलाड़ी के लिए मैच के दौरान निर्णय लेने की क्षमता में सुधार करने का प्रभावी तरीका क्या है?</v>
      </c>
      <c r="H823" s="5" t="str">
        <f>IFERROR(__xludf.DUMMYFUNCTION("GOOGLETRANSLATE(C823, ""en"", ""hi"")"),"A) विभिन्न परिदृश्यों में निर्णय लेने का अभ्यास करें, खेल फुटेज की समीक्षा करें और प्रतिक्रिया लें, B) केवल शारीरिक कौशल पर ध्यान केंद्रित करें, C) निर्णय लेने के प्रशिक्षण को अनदेखा करें, D) केवल सहज ज्ञान पर भरोसा करें")</f>
        <v>A) विभिन्न परिदृश्यों में निर्णय लेने का अभ्यास करें, खेल फुटेज की समीक्षा करें और प्रतिक्रिया लें, B) केवल शारीरिक कौशल पर ध्यान केंद्रित करें, C) निर्णय लेने के प्रशिक्षण को अनदेखा करें, D) केवल सहज ज्ञान पर भरोसा करें</v>
      </c>
      <c r="I823" s="5" t="str">
        <f>IFERROR(__xludf.DUMMYFUNCTION("GOOGLETRANSLATE(D823, ""en"", ""hi"")"),"A) विभिन्न परिदृश्यों में निर्णय लेने का अभ्यास करें, खेल फुटेज की समीक्षा करें और फीडबैक लें")</f>
        <v>A) विभिन्न परिदृश्यों में निर्णय लेने का अभ्यास करें, खेल फुटेज की समीक्षा करें और फीडबैक लें</v>
      </c>
    </row>
    <row r="824" ht="22.5" customHeight="1">
      <c r="A824" s="2">
        <v>823.0</v>
      </c>
      <c r="B824" s="3" t="s">
        <v>7571</v>
      </c>
      <c r="C824" s="3" t="s">
        <v>7572</v>
      </c>
      <c r="D824" s="3" t="s">
        <v>7573</v>
      </c>
      <c r="F824" s="5" t="str">
        <f>IFERROR(__xludf.DUMMYFUNCTION("GOOGLETRANSLATE(A824, ""en"", ""hi"")"),"823")</f>
        <v>823</v>
      </c>
      <c r="G824" s="5" t="str">
        <f>IFERROR(__xludf.DUMMYFUNCTION("GOOGLETRANSLATE(B824, ""en"", ""hi"")"),"ढोल खेल टीम को मजबूत जवाबी आक्रमण शैली वाली टीम का सामना करते समय अपनी रणनीति का प्रबंधन कैसे करना चाहिए?")</f>
        <v>ढोल खेल टीम को मजबूत जवाबी आक्रमण शैली वाली टीम का सामना करते समय अपनी रणनीति का प्रबंधन कैसे करना चाहिए?</v>
      </c>
      <c r="H824" s="5" t="str">
        <f>IFERROR(__xludf.DUMMYFUNCTION("GOOGLETRANSLATE(C824, ""en"", ""hi"")"),"ए) गेंद पर कब्ज़ा बनाए रखने, खेल की गति को नियंत्रित करने और जवाबी हमले के अवसरों को कम करने पर ध्यान केंद्रित करें, बी) आक्रामक रणनीति पर टिके रहें, सी) जवाबी हमले की शैली को नज़रअंदाज़ करें, डी) रणनीतियों को अपनाने से बचें")</f>
        <v>ए) गेंद पर कब्ज़ा बनाए रखने, खेल की गति को नियंत्रित करने और जवाबी हमले के अवसरों को कम करने पर ध्यान केंद्रित करें, बी) आक्रामक रणनीति पर टिके रहें, सी) जवाबी हमले की शैली को नज़रअंदाज़ करें, डी) रणनीतियों को अपनाने से बचें</v>
      </c>
      <c r="I824" s="5" t="str">
        <f>IFERROR(__xludf.DUMMYFUNCTION("GOOGLETRANSLATE(D824, ""en"", ""hi"")"),"ए) गेंद पर कब्ज़ा बनाए रखने, खेल की गति को नियंत्रित करने और जवाबी हमले के अवसरों को कम करने पर ध्यान केंद्रित करें")</f>
        <v>ए) गेंद पर कब्ज़ा बनाए रखने, खेल की गति को नियंत्रित करने और जवाबी हमले के अवसरों को कम करने पर ध्यान केंद्रित करें</v>
      </c>
    </row>
    <row r="825" ht="22.5" customHeight="1">
      <c r="A825" s="2">
        <v>824.0</v>
      </c>
      <c r="B825" s="3" t="s">
        <v>7574</v>
      </c>
      <c r="C825" s="3" t="s">
        <v>7575</v>
      </c>
      <c r="D825" s="3" t="s">
        <v>7576</v>
      </c>
      <c r="F825" s="5" t="str">
        <f>IFERROR(__xludf.DUMMYFUNCTION("GOOGLETRANSLATE(A825, ""en"", ""hi"")"),"824")</f>
        <v>824</v>
      </c>
      <c r="G825" s="5" t="str">
        <f>IFERROR(__xludf.DUMMYFUNCTION("GOOGLETRANSLATE(B825, ""en"", ""hi"")"),"उच्च दबाव वाले मैच के दौरान टीम की एकजुटता बनाए रखने में मुख्य कारक क्या है?")</f>
        <v>उच्च दबाव वाले मैच के दौरान टीम की एकजुटता बनाए रखने में मुख्य कारक क्या है?</v>
      </c>
      <c r="H825" s="5" t="str">
        <f>IFERROR(__xludf.DUMMYFUNCTION("GOOGLETRANSLATE(C825, ""en"", ""hi"")"),"A) एक-दूसरे का समर्थन करें, स्पष्ट संचार बनाए रखें और सामूहिक लक्ष्य पर ध्यान केंद्रित रखें, B) टीम की गतिशीलता को अनदेखा करें, C) केवल व्यक्तिगत प्रदर्शन पर ध्यान केंद्रित करें, D) दबाव पर चर्चा करने से बचें")</f>
        <v>A) एक-दूसरे का समर्थन करें, स्पष्ट संचार बनाए रखें और सामूहिक लक्ष्य पर ध्यान केंद्रित रखें, B) टीम की गतिशीलता को अनदेखा करें, C) केवल व्यक्तिगत प्रदर्शन पर ध्यान केंद्रित करें, D) दबाव पर चर्चा करने से बचें</v>
      </c>
      <c r="I825" s="5" t="str">
        <f>IFERROR(__xludf.DUMMYFUNCTION("GOOGLETRANSLATE(D825, ""en"", ""hi"")"),"A) एक-दूसरे का समर्थन करें, स्पष्ट संचार बनाए रखें और सामूहिक लक्ष्य पर केंद्रित रहें")</f>
        <v>A) एक-दूसरे का समर्थन करें, स्पष्ट संचार बनाए रखें और सामूहिक लक्ष्य पर केंद्रित रहें</v>
      </c>
    </row>
    <row r="826" ht="22.5" customHeight="1">
      <c r="A826" s="2">
        <v>825.0</v>
      </c>
      <c r="B826" s="3" t="s">
        <v>7577</v>
      </c>
      <c r="C826" s="3" t="s">
        <v>7578</v>
      </c>
      <c r="D826" s="3" t="s">
        <v>7579</v>
      </c>
      <c r="F826" s="5" t="str">
        <f>IFERROR(__xludf.DUMMYFUNCTION("GOOGLETRANSLATE(A826, ""en"", ""hi"")"),"825")</f>
        <v>825</v>
      </c>
      <c r="G826" s="5" t="str">
        <f>IFERROR(__xludf.DUMMYFUNCTION("GOOGLETRANSLATE(B826, ""en"", ""hi"")"),"लम्बे समय तक निष्क्रियता या चोट के बाद ढोल खेल खिलाड़ी को मैच के प्रति कैसा रवैया अपनाना चाहिए?")</f>
        <v>लम्बे समय तक निष्क्रियता या चोट के बाद ढोल खेल खिलाड़ी को मैच के प्रति कैसा रवैया अपनाना चाहिए?</v>
      </c>
      <c r="H826" s="5" t="str">
        <f>IFERROR(__xludf.DUMMYFUNCTION("GOOGLETRANSLATE(C826, ""en"", ""hi"")"),"ए) धीरे-धीरे पुनःप्रवेश से शुरुआत करें, फिटनेस हासिल करने पर ध्यान केंद्रित करें, और मैच की तीव्रता के अनुकूल ढल जाएं, बी) तुरंत पूरी तीव्रता में कूद जाएं, सी) निष्क्रियता की अवधि को अनदेखा करें, डी) केवल ठीक होने पर ध्यान केंद्रित करें")</f>
        <v>ए) धीरे-धीरे पुनःप्रवेश से शुरुआत करें, फिटनेस हासिल करने पर ध्यान केंद्रित करें, और मैच की तीव्रता के अनुकूल ढल जाएं, बी) तुरंत पूरी तीव्रता में कूद जाएं, सी) निष्क्रियता की अवधि को अनदेखा करें, डी) केवल ठीक होने पर ध्यान केंद्रित करें</v>
      </c>
      <c r="I826" s="5" t="str">
        <f>IFERROR(__xludf.DUMMYFUNCTION("GOOGLETRANSLATE(D826, ""en"", ""hi"")"),"ए) धीरे-धीरे पुनःप्रवेश से शुरुआत करें, फिटनेस हासिल करने पर ध्यान केंद्रित करें, और मैच की तीव्रता के अनुसार अनुकूलन करें")</f>
        <v>ए) धीरे-धीरे पुनःप्रवेश से शुरुआत करें, फिटनेस हासिल करने पर ध्यान केंद्रित करें, और मैच की तीव्रता के अनुसार अनुकूलन करें</v>
      </c>
    </row>
    <row r="827" ht="22.5" customHeight="1">
      <c r="A827" s="2">
        <v>826.0</v>
      </c>
      <c r="B827" s="3" t="s">
        <v>7580</v>
      </c>
      <c r="C827" s="3" t="s">
        <v>7581</v>
      </c>
      <c r="D827" s="3" t="s">
        <v>7582</v>
      </c>
      <c r="F827" s="5" t="str">
        <f>IFERROR(__xludf.DUMMYFUNCTION("GOOGLETRANSLATE(A827, ""en"", ""hi"")"),"826")</f>
        <v>826</v>
      </c>
      <c r="G827" s="5" t="str">
        <f>IFERROR(__xludf.DUMMYFUNCTION("GOOGLETRANSLATE(B827, ""en"", ""hi"")"),"ढोल खेल टीम के लिए ऐसी स्थिति से निपटने के लिए अनुशंसित दृष्टिकोण क्या है, जहां मैच के दौरान कोई प्रमुख रणनीति काम नहीं कर रही हो?")</f>
        <v>ढोल खेल टीम के लिए ऐसी स्थिति से निपटने के लिए अनुशंसित दृष्टिकोण क्या है, जहां मैच के दौरान कोई प्रमुख रणनीति काम नहीं कर रही हो?</v>
      </c>
      <c r="H827" s="5" t="str">
        <f>IFERROR(__xludf.DUMMYFUNCTION("GOOGLETRANSLATE(C827, ""en"", ""hi"")"),"A) मैच की गतिशीलता के आधार पर रणनीति का पुनर्मूल्यांकन और समायोजन करें, B) रणनीति पर दृढ़ता से टिके रहें, C) रणनीति की उपेक्षा करें, D) केवल व्यक्तिगत प्रदर्शन पर ध्यान केंद्रित करें")</f>
        <v>A) मैच की गतिशीलता के आधार पर रणनीति का पुनर्मूल्यांकन और समायोजन करें, B) रणनीति पर दृढ़ता से टिके रहें, C) रणनीति की उपेक्षा करें, D) केवल व्यक्तिगत प्रदर्शन पर ध्यान केंद्रित करें</v>
      </c>
      <c r="I827" s="5" t="str">
        <f>IFERROR(__xludf.DUMMYFUNCTION("GOOGLETRANSLATE(D827, ""en"", ""hi"")"),"ए) मैच की गतिशीलता के आधार पर रणनीति का पुनर्मूल्यांकन और समायोजन करें")</f>
        <v>ए) मैच की गतिशीलता के आधार पर रणनीति का पुनर्मूल्यांकन और समायोजन करें</v>
      </c>
    </row>
    <row r="828" ht="22.5" customHeight="1">
      <c r="A828" s="2">
        <v>827.0</v>
      </c>
      <c r="B828" s="3" t="s">
        <v>7583</v>
      </c>
      <c r="C828" s="3" t="s">
        <v>7584</v>
      </c>
      <c r="D828" s="3" t="s">
        <v>7585</v>
      </c>
      <c r="F828" s="5" t="str">
        <f>IFERROR(__xludf.DUMMYFUNCTION("GOOGLETRANSLATE(A828, ""en"", ""hi"")"),"827")</f>
        <v>827</v>
      </c>
      <c r="G828" s="5" t="str">
        <f>IFERROR(__xludf.DUMMYFUNCTION("GOOGLETRANSLATE(B828, ""en"", ""hi"")"),"किसी मैच से पहले ढोल खेल खिलाड़ी की मानसिक तैयारी का महत्वपूर्ण पहलू क्या है?")</f>
        <v>किसी मैच से पहले ढोल खेल खिलाड़ी की मानसिक तैयारी का महत्वपूर्ण पहलू क्या है?</v>
      </c>
      <c r="H828" s="5" t="str">
        <f>IFERROR(__xludf.DUMMYFUNCTION("GOOGLETRANSLATE(C828, ""en"", ""hi"")"),"A) सकारात्मक मानसिकता विकसित करें, सफलता की कल्पना करें और खेल की रणनीतियों पर ध्यान केंद्रित करें, B) मानसिक तैयारी को नजरअंदाज करें, C) केवल शारीरिक तैयारी पर ध्यान केंद्रित करें, D) मानसिक व्यायाम से बचें")</f>
        <v>A) सकारात्मक मानसिकता विकसित करें, सफलता की कल्पना करें और खेल की रणनीतियों पर ध्यान केंद्रित करें, B) मानसिक तैयारी को नजरअंदाज करें, C) केवल शारीरिक तैयारी पर ध्यान केंद्रित करें, D) मानसिक व्यायाम से बचें</v>
      </c>
      <c r="I828" s="5" t="str">
        <f>IFERROR(__xludf.DUMMYFUNCTION("GOOGLETRANSLATE(D828, ""en"", ""hi"")"),"A) सकारात्मक मानसिकता विकसित करें, सफलता की कल्पना करें और खेल की रणनीतियों पर ध्यान केंद्रित करें")</f>
        <v>A) सकारात्मक मानसिकता विकसित करें, सफलता की कल्पना करें और खेल की रणनीतियों पर ध्यान केंद्रित करें</v>
      </c>
    </row>
    <row r="829" ht="22.5" customHeight="1">
      <c r="A829" s="2">
        <v>828.0</v>
      </c>
      <c r="B829" s="3" t="s">
        <v>7586</v>
      </c>
      <c r="C829" s="3" t="s">
        <v>7587</v>
      </c>
      <c r="D829" s="3" t="s">
        <v>7588</v>
      </c>
      <c r="F829" s="5" t="str">
        <f>IFERROR(__xludf.DUMMYFUNCTION("GOOGLETRANSLATE(A829, ""en"", ""hi"")"),"828")</f>
        <v>828</v>
      </c>
      <c r="G829" s="5" t="str">
        <f>IFERROR(__xludf.DUMMYFUNCTION("GOOGLETRANSLATE(B829, ""en"", ""hi"")"),"ढोल खेल टीम ऐसी स्थिति का प्रभावी ढंग से समाधान कैसे कर सकती है जहां वे आंतरिक संघर्ष या असहमति का सामना कर रहे हों?")</f>
        <v>ढोल खेल टीम ऐसी स्थिति का प्रभावी ढंग से समाधान कैसे कर सकती है जहां वे आंतरिक संघर्ष या असहमति का सामना कर रहे हों?</v>
      </c>
      <c r="H829" s="5" t="str">
        <f>IFERROR(__xludf.DUMMYFUNCTION("GOOGLETRANSLATE(C829, ""en"", ""hi"")"),"A) खुले संचार को सुगम बनाना, विवादों में मध्यस्थता करना और टीम की एकता पर ध्यान केंद्रित करना, B) विवादों को नज़रअंदाज़ करना, C) केवल व्यक्तिगत भूमिकाओं पर ध्यान केंद्रित करना, D) मुद्दों को संबोधित करने से बचना")</f>
        <v>A) खुले संचार को सुगम बनाना, विवादों में मध्यस्थता करना और टीम की एकता पर ध्यान केंद्रित करना, B) विवादों को नज़रअंदाज़ करना, C) केवल व्यक्तिगत भूमिकाओं पर ध्यान केंद्रित करना, D) मुद्दों को संबोधित करने से बचना</v>
      </c>
      <c r="I829" s="5" t="str">
        <f>IFERROR(__xludf.DUMMYFUNCTION("GOOGLETRANSLATE(D829, ""en"", ""hi"")"),"A) खुले संचार को सुगम बनाना, विवादों में मध्यस्थता करना, और टीम की एकता पर ध्यान केंद्रित करना")</f>
        <v>A) खुले संचार को सुगम बनाना, विवादों में मध्यस्थता करना, और टीम की एकता पर ध्यान केंद्रित करना</v>
      </c>
    </row>
    <row r="830" ht="22.5" customHeight="1">
      <c r="A830" s="2">
        <v>829.0</v>
      </c>
      <c r="B830" s="3" t="s">
        <v>7589</v>
      </c>
      <c r="C830" s="3" t="s">
        <v>7590</v>
      </c>
      <c r="D830" s="3" t="s">
        <v>7591</v>
      </c>
      <c r="F830" s="5" t="str">
        <f>IFERROR(__xludf.DUMMYFUNCTION("GOOGLETRANSLATE(A830, ""en"", ""hi"")"),"829")</f>
        <v>829</v>
      </c>
      <c r="G830" s="5" t="str">
        <f>IFERROR(__xludf.DUMMYFUNCTION("GOOGLETRANSLATE(B830, ""en"", ""hi"")"),"ढोल खेल खिलाड़ी के लिए गोल स्कोरिंग स्थितियों में अपनी सटीकता में सुधार करने का प्रभावी तरीका क्या है?")</f>
        <v>ढोल खेल खिलाड़ी के लिए गोल स्कोरिंग स्थितियों में अपनी सटीकता में सुधार करने का प्रभावी तरीका क्या है?</v>
      </c>
      <c r="H830" s="5" t="str">
        <f>IFERROR(__xludf.DUMMYFUNCTION("GOOGLETRANSLATE(C830, ""en"", ""hi"")"),"A) सटीक शूटिंग का अभ्यास करें, गोल स्कोरिंग परिदृश्यों का विश्लेषण करें, और तकनीक को निखारें, B) केवल शक्ति पर ध्यान केंद्रित करें, C) सटीकता प्रशिक्षण की उपेक्षा करें, D) केवल प्राकृतिक क्षमता पर भरोसा करें")</f>
        <v>A) सटीक शूटिंग का अभ्यास करें, गोल स्कोरिंग परिदृश्यों का विश्लेषण करें, और तकनीक को निखारें, B) केवल शक्ति पर ध्यान केंद्रित करें, C) सटीकता प्रशिक्षण की उपेक्षा करें, D) केवल प्राकृतिक क्षमता पर भरोसा करें</v>
      </c>
      <c r="I830" s="5" t="str">
        <f>IFERROR(__xludf.DUMMYFUNCTION("GOOGLETRANSLATE(D830, ""en"", ""hi"")"),"ए) सटीक शूटिंग का अभ्यास करें, गोल स्कोरिंग परिदृश्यों का विश्लेषण करें और तकनीक को परिष्कृत करें")</f>
        <v>ए) सटीक शूटिंग का अभ्यास करें, गोल स्कोरिंग परिदृश्यों का विश्लेषण करें और तकनीक को परिष्कृत करें</v>
      </c>
    </row>
    <row r="831" ht="22.5" customHeight="1">
      <c r="A831" s="2">
        <v>830.0</v>
      </c>
      <c r="B831" s="3" t="s">
        <v>7592</v>
      </c>
      <c r="C831" s="3" t="s">
        <v>7593</v>
      </c>
      <c r="D831" s="3" t="s">
        <v>7594</v>
      </c>
      <c r="F831" s="5" t="str">
        <f>IFERROR(__xludf.DUMMYFUNCTION("GOOGLETRANSLATE(A831, ""en"", ""hi"")"),"830")</f>
        <v>830</v>
      </c>
      <c r="G831" s="5" t="str">
        <f>IFERROR(__xludf.DUMMYFUNCTION("GOOGLETRANSLATE(B831, ""en"", ""hi"")"),"ढोल खेल टीम को अत्यधिक संगठित रक्षा वाली टीम का सामना करते समय अपने दृष्टिकोण को किस प्रकार समायोजित करना चाहिए?")</f>
        <v>ढोल खेल टीम को अत्यधिक संगठित रक्षा वाली टीम का सामना करते समय अपने दृष्टिकोण को किस प्रकार समायोजित करना चाहिए?</v>
      </c>
      <c r="H831" s="5" t="str">
        <f>IFERROR(__xludf.DUMMYFUNCTION("GOOGLETRANSLATE(C831, ""en"", ""hi"")"),"ए) रचनात्मक आक्रमण विधियों का उपयोग करें, रक्षा को भेदने पर ध्यान केंद्रित करें, और अंतराल का फायदा उठाएं, बी) पूरी तरह से प्रत्यक्ष हमलों पर निर्भर रहें, सी) रक्षा की अनदेखी करें, डी) रणनीतिक समायोजन से बचें")</f>
        <v>ए) रचनात्मक आक्रमण विधियों का उपयोग करें, रक्षा को भेदने पर ध्यान केंद्रित करें, और अंतराल का फायदा उठाएं, बी) पूरी तरह से प्रत्यक्ष हमलों पर निर्भर रहें, सी) रक्षा की अनदेखी करें, डी) रणनीतिक समायोजन से बचें</v>
      </c>
      <c r="I831" s="5" t="str">
        <f>IFERROR(__xludf.DUMMYFUNCTION("GOOGLETRANSLATE(D831, ""en"", ""hi"")"),"ए) रचनात्मक आक्रमण विधियों का उपयोग करें, सुरक्षा को भेदने पर ध्यान केंद्रित करें, और अंतराल का फायदा उठाएं")</f>
        <v>ए) रचनात्मक आक्रमण विधियों का उपयोग करें, सुरक्षा को भेदने पर ध्यान केंद्रित करें, और अंतराल का फायदा उठाएं</v>
      </c>
    </row>
    <row r="832" ht="22.5" customHeight="1">
      <c r="A832" s="2">
        <v>831.0</v>
      </c>
      <c r="B832" s="3" t="s">
        <v>7595</v>
      </c>
      <c r="C832" s="3" t="s">
        <v>7596</v>
      </c>
      <c r="D832" s="3" t="s">
        <v>7597</v>
      </c>
      <c r="F832" s="5" t="str">
        <f>IFERROR(__xludf.DUMMYFUNCTION("GOOGLETRANSLATE(A832, ""en"", ""hi"")"),"831")</f>
        <v>831</v>
      </c>
      <c r="G832" s="5" t="str">
        <f>IFERROR(__xludf.DUMMYFUNCTION("GOOGLETRANSLATE(B832, ""en"", ""hi"")"),"प्रतिद्वंद्वी टीम के खिलाफ मैच की तैयारी करते समय ढोल खेल खिलाड़ी के लिए मुख्य बात क्या है?")</f>
        <v>प्रतिद्वंद्वी टीम के खिलाफ मैच की तैयारी करते समय ढोल खेल खिलाड़ी के लिए मुख्य बात क्या है?</v>
      </c>
      <c r="H832" s="5" t="str">
        <f>IFERROR(__xludf.DUMMYFUNCTION("GOOGLETRANSLATE(C832, ""en"", ""hi"")"),"A) प्रतिद्वंद्वी की खेल शैली का विश्लेषण करें, लक्षित रणनीति विकसित करें और ध्यान केंद्रित रखें, B) प्रतिद्वंद्विता को नजरअंदाज करें, C) केवल व्यक्तिगत प्रदर्शन पर ध्यान केंद्रित करें, D) तैयारी से बचें")</f>
        <v>A) प्रतिद्वंद्वी की खेल शैली का विश्लेषण करें, लक्षित रणनीति विकसित करें और ध्यान केंद्रित रखें, B) प्रतिद्वंद्विता को नजरअंदाज करें, C) केवल व्यक्तिगत प्रदर्शन पर ध्यान केंद्रित करें, D) तैयारी से बचें</v>
      </c>
      <c r="I832" s="5" t="str">
        <f>IFERROR(__xludf.DUMMYFUNCTION("GOOGLETRANSLATE(D832, ""en"", ""hi"")"),"A) प्रतिद्वंद्वी की खेल शैली का विश्लेषण करें, लक्षित रणनीति विकसित करें और ध्यान केंद्रित रखें")</f>
        <v>A) प्रतिद्वंद्वी की खेल शैली का विश्लेषण करें, लक्षित रणनीति विकसित करें और ध्यान केंद्रित रखें</v>
      </c>
    </row>
    <row r="833" ht="22.5" customHeight="1">
      <c r="A833" s="2">
        <v>832.0</v>
      </c>
      <c r="B833" s="3" t="s">
        <v>7598</v>
      </c>
      <c r="C833" s="3" t="s">
        <v>7599</v>
      </c>
      <c r="D833" s="3" t="s">
        <v>7600</v>
      </c>
      <c r="F833" s="5" t="str">
        <f>IFERROR(__xludf.DUMMYFUNCTION("GOOGLETRANSLATE(A833, ""en"", ""hi"")"),"832")</f>
        <v>832</v>
      </c>
      <c r="G833" s="5" t="str">
        <f>IFERROR(__xludf.DUMMYFUNCTION("GOOGLETRANSLATE(B833, ""en"", ""hi"")"),"ढोल खेल टीम को उस मैच को किस प्रकार खेलना चाहिए जहां वे अपरिचित मैदान पर खेल रहे हों?")</f>
        <v>ढोल खेल टीम को उस मैच को किस प्रकार खेलना चाहिए जहां वे अपरिचित मैदान पर खेल रहे हों?</v>
      </c>
      <c r="H833" s="5" t="str">
        <f>IFERROR(__xludf.DUMMYFUNCTION("GOOGLETRANSLATE(C833, ""en"", ""hi"")"),"A) क्षेत्र की स्थितियों के अनुरूप रणनीति अपनाना, क्षेत्र के लेआउट से परिचित होना और रणनीतियों को समायोजित करना, B) अपनी सामान्य रणनीति पर टिके रहना, C) क्षेत्र की स्थितियों को अनदेखा करना, D) रणनीतियों को समायोजित करने से बचना")</f>
        <v>A) क्षेत्र की स्थितियों के अनुरूप रणनीति अपनाना, क्षेत्र के लेआउट से परिचित होना और रणनीतियों को समायोजित करना, B) अपनी सामान्य रणनीति पर टिके रहना, C) क्षेत्र की स्थितियों को अनदेखा करना, D) रणनीतियों को समायोजित करने से बचना</v>
      </c>
      <c r="I833" s="5" t="str">
        <f>IFERROR(__xludf.DUMMYFUNCTION("GOOGLETRANSLATE(D833, ""en"", ""hi"")"),"क) क्षेत्र की परिस्थितियों के अनुरूप रणनीति अपनाना, क्षेत्र के लेआउट से परिचित होना, और रणनीतियों को समायोजित करना")</f>
        <v>क) क्षेत्र की परिस्थितियों के अनुरूप रणनीति अपनाना, क्षेत्र के लेआउट से परिचित होना, और रणनीतियों को समायोजित करना</v>
      </c>
    </row>
    <row r="834" ht="22.5" customHeight="1">
      <c r="A834" s="2">
        <v>833.0</v>
      </c>
      <c r="B834" s="3" t="s">
        <v>7601</v>
      </c>
      <c r="C834" s="3" t="s">
        <v>7602</v>
      </c>
      <c r="D834" s="3" t="s">
        <v>7603</v>
      </c>
      <c r="F834" s="5" t="str">
        <f>IFERROR(__xludf.DUMMYFUNCTION("GOOGLETRANSLATE(A834, ""en"", ""hi"")"),"833")</f>
        <v>833</v>
      </c>
      <c r="G834" s="5" t="str">
        <f>IFERROR(__xludf.DUMMYFUNCTION("GOOGLETRANSLATE(B834, ""en"", ""hi"")"),"ढोल खेल खिलाड़ी के लिए टीम के साथियों या कोचों की आलोचना से निपटने का प्रभावी तरीका क्या है?")</f>
        <v>ढोल खेल खिलाड़ी के लिए टीम के साथियों या कोचों की आलोचना से निपटने का प्रभावी तरीका क्या है?</v>
      </c>
      <c r="H834" s="5" t="str">
        <f>IFERROR(__xludf.DUMMYFUNCTION("GOOGLETRANSLATE(C834, ""en"", ""hi"")"),"A) फीडबैक को रचनात्मक रूप से स्वीकार करें, सुधार के क्षेत्रों पर ध्यान केंद्रित करें और सकारात्मक दृष्टिकोण बनाए रखें, B) फीडबैक को अनदेखा करें, C) केवल व्यक्तिगत प्रदर्शन पर ध्यान केंद्रित करें, D) आलोचना पर चर्चा करने से बचें")</f>
        <v>A) फीडबैक को रचनात्मक रूप से स्वीकार करें, सुधार के क्षेत्रों पर ध्यान केंद्रित करें और सकारात्मक दृष्टिकोण बनाए रखें, B) फीडबैक को अनदेखा करें, C) केवल व्यक्तिगत प्रदर्शन पर ध्यान केंद्रित करें, D) आलोचना पर चर्चा करने से बचें</v>
      </c>
      <c r="I834" s="5" t="str">
        <f>IFERROR(__xludf.DUMMYFUNCTION("GOOGLETRANSLATE(D834, ""en"", ""hi"")"),"ए) फीडबैक को रचनात्मक रूप से स्वीकार करें, सुधार के क्षेत्रों पर ध्यान केंद्रित करें और सकारात्मक दृष्टिकोण बनाए रखें")</f>
        <v>ए) फीडबैक को रचनात्मक रूप से स्वीकार करें, सुधार के क्षेत्रों पर ध्यान केंद्रित करें और सकारात्मक दृष्टिकोण बनाए रखें</v>
      </c>
    </row>
    <row r="835" ht="22.5" customHeight="1">
      <c r="A835" s="2">
        <v>834.0</v>
      </c>
      <c r="B835" s="3" t="s">
        <v>7604</v>
      </c>
      <c r="C835" s="3" t="s">
        <v>7605</v>
      </c>
      <c r="D835" s="3" t="s">
        <v>7606</v>
      </c>
      <c r="F835" s="5" t="str">
        <f>IFERROR(__xludf.DUMMYFUNCTION("GOOGLETRANSLATE(A835, ""en"", ""hi"")"),"834")</f>
        <v>834</v>
      </c>
      <c r="G835" s="5" t="str">
        <f>IFERROR(__xludf.DUMMYFUNCTION("GOOGLETRANSLATE(B835, ""en"", ""hi"")"),"रक्षा से आक्रमण की ओर संक्रमण करते समय ढोल खेल टीम की रणनीति का महत्वपूर्ण तत्व क्या है?")</f>
        <v>रक्षा से आक्रमण की ओर संक्रमण करते समय ढोल खेल टीम की रणनीति का महत्वपूर्ण तत्व क्या है?</v>
      </c>
      <c r="H835" s="5" t="str">
        <f>IFERROR(__xludf.DUMMYFUNCTION("GOOGLETRANSLATE(C835, ""en"", ""hi"")"),"A) समन्वित गतिविधियों और प्रभावी पासिंग के साथ शीघ्रता से संक्रमण, B) केवल रक्षा पर ध्यान केंद्रित करना, C) संक्रमण प्रक्रिया की उपेक्षा करना, D) रणनीतिक योजना से बचना")</f>
        <v>A) समन्वित गतिविधियों और प्रभावी पासिंग के साथ शीघ्रता से संक्रमण, B) केवल रक्षा पर ध्यान केंद्रित करना, C) संक्रमण प्रक्रिया की उपेक्षा करना, D) रणनीतिक योजना से बचना</v>
      </c>
      <c r="I835" s="5" t="str">
        <f>IFERROR(__xludf.DUMMYFUNCTION("GOOGLETRANSLATE(D835, ""en"", ""hi"")"),"A) समन्वित गतिविधियों और प्रभावी पासिंग के साथ त्वरित संक्रमण")</f>
        <v>A) समन्वित गतिविधियों और प्रभावी पासिंग के साथ त्वरित संक्रमण</v>
      </c>
    </row>
    <row r="836" ht="22.5" customHeight="1">
      <c r="A836" s="2">
        <v>835.0</v>
      </c>
      <c r="B836" s="3" t="s">
        <v>7607</v>
      </c>
      <c r="C836" s="3" t="s">
        <v>7608</v>
      </c>
      <c r="D836" s="3" t="s">
        <v>7609</v>
      </c>
      <c r="F836" s="5" t="str">
        <f>IFERROR(__xludf.DUMMYFUNCTION("GOOGLETRANSLATE(A836, ""en"", ""hi"")"),"835")</f>
        <v>835</v>
      </c>
      <c r="G836" s="5" t="str">
        <f>IFERROR(__xludf.DUMMYFUNCTION("GOOGLETRANSLATE(B836, ""en"", ""hi"")"),"आगामी चैंपियनशिप की तैयारी करते समय ढोल खेल खिलाड़ी को अपने प्रशिक्षण कार्यक्रम को किस प्रकार समायोजित करना चाहिए?")</f>
        <v>आगामी चैंपियनशिप की तैयारी करते समय ढोल खेल खिलाड़ी को अपने प्रशिक्षण कार्यक्रम को किस प्रकार समायोजित करना चाहिए?</v>
      </c>
      <c r="H836" s="5" t="str">
        <f>IFERROR(__xludf.DUMMYFUNCTION("GOOGLETRANSLATE(C836, ""en"", ""hi"")"),"ए) प्रशिक्षण को तीव्र करें, विशिष्ट कौशल पर ध्यान केंद्रित करें, और मैच की स्थितियों का अनुकरण करें, बी) सामान्य प्रशिक्षण दिनचर्या बनाए रखें, सी) चैम्पियनशिप की तैयारी को अनदेखा करें, डी) केवल आराम पर ध्यान केंद्रित करें")</f>
        <v>ए) प्रशिक्षण को तीव्र करें, विशिष्ट कौशल पर ध्यान केंद्रित करें, और मैच की स्थितियों का अनुकरण करें, बी) सामान्य प्रशिक्षण दिनचर्या बनाए रखें, सी) चैम्पियनशिप की तैयारी को अनदेखा करें, डी) केवल आराम पर ध्यान केंद्रित करें</v>
      </c>
      <c r="I836" s="5" t="str">
        <f>IFERROR(__xludf.DUMMYFUNCTION("GOOGLETRANSLATE(D836, ""en"", ""hi"")"),"ए) प्रशिक्षण को तीव्र करें, विशिष्ट कौशल पर ध्यान केंद्रित करें, और मैच की स्थितियों का अनुकरण करें")</f>
        <v>ए) प्रशिक्षण को तीव्र करें, विशिष्ट कौशल पर ध्यान केंद्रित करें, और मैच की स्थितियों का अनुकरण करें</v>
      </c>
    </row>
    <row r="837" ht="22.5" customHeight="1">
      <c r="A837" s="2">
        <v>836.0</v>
      </c>
      <c r="B837" s="3" t="s">
        <v>7610</v>
      </c>
      <c r="C837" s="3" t="s">
        <v>7611</v>
      </c>
      <c r="D837" s="3" t="s">
        <v>7612</v>
      </c>
      <c r="F837" s="5" t="str">
        <f>IFERROR(__xludf.DUMMYFUNCTION("GOOGLETRANSLATE(A837, ""en"", ""hi"")"),"836")</f>
        <v>836</v>
      </c>
      <c r="G837" s="5" t="str">
        <f>IFERROR(__xludf.DUMMYFUNCTION("GOOGLETRANSLATE(B837, ""en"", ""hi"")"),"ढोल खेल टीम के लिए एक लंबे और चुनौतीपूर्ण मैच के दौरान ध्यान बनाए रखने का प्रभावी तरीका क्या है?")</f>
        <v>ढोल खेल टीम के लिए एक लंबे और चुनौतीपूर्ण मैच के दौरान ध्यान बनाए रखने का प्रभावी तरीका क्या है?</v>
      </c>
      <c r="H837" s="5" t="str">
        <f>IFERROR(__xludf.DUMMYFUNCTION("GOOGLETRANSLATE(C837, ""en"", ""hi"")"),"A) मानसिक तकनीकों का उपयोग करें, हाइड्रेटेड रहें और सकारात्मक दृष्टिकोण बनाए रखें, B) थकान को नज़रअंदाज़ करें, C) केवल व्यक्तिगत प्रदर्शन पर ध्यान केंद्रित करें, D) मानसिक व्यायाम से बचें")</f>
        <v>A) मानसिक तकनीकों का उपयोग करें, हाइड्रेटेड रहें और सकारात्मक दृष्टिकोण बनाए रखें, B) थकान को नज़रअंदाज़ करें, C) केवल व्यक्तिगत प्रदर्शन पर ध्यान केंद्रित करें, D) मानसिक व्यायाम से बचें</v>
      </c>
      <c r="I837" s="5" t="str">
        <f>IFERROR(__xludf.DUMMYFUNCTION("GOOGLETRANSLATE(D837, ""en"", ""hi"")"),"A) मानसिक तकनीकों का उपयोग करें, हाइड्रेटेड रहें और सकारात्मक दृष्टिकोण बनाए रखें")</f>
        <v>A) मानसिक तकनीकों का उपयोग करें, हाइड्रेटेड रहें और सकारात्मक दृष्टिकोण बनाए रखें</v>
      </c>
    </row>
    <row r="838" ht="22.5" customHeight="1">
      <c r="A838" s="2">
        <v>837.0</v>
      </c>
      <c r="B838" s="3" t="s">
        <v>7613</v>
      </c>
      <c r="C838" s="3" t="s">
        <v>7614</v>
      </c>
      <c r="D838" s="3" t="s">
        <v>7615</v>
      </c>
      <c r="F838" s="5" t="str">
        <f>IFERROR(__xludf.DUMMYFUNCTION("GOOGLETRANSLATE(A838, ""en"", ""hi"")"),"837")</f>
        <v>837</v>
      </c>
      <c r="G838" s="5" t="str">
        <f>IFERROR(__xludf.DUMMYFUNCTION("GOOGLETRANSLATE(B838, ""en"", ""hi"")"),"ढोल खेल टीम को उच्च स्तर के व्यक्तिगत कौशल वाले प्रतिद्वंद्वी के खिलाफ मैच में किस प्रकार से भाग लेना चाहिए?")</f>
        <v>ढोल खेल टीम को उच्च स्तर के व्यक्तिगत कौशल वाले प्रतिद्वंद्वी के खिलाफ मैच में किस प्रकार से भाग लेना चाहिए?</v>
      </c>
      <c r="H838" s="5" t="str">
        <f>IFERROR(__xludf.DUMMYFUNCTION("GOOGLETRANSLATE(C838, ""en"", ""hi"")"),"A) व्यक्तिगत खतरों को बेअसर करने के लिए रणनीति विकसित करना और टीम प्ले पर ध्यान केंद्रित करना, B) केवल शारीरिक कौशल पर निर्भर रहना, C) व्यक्तिगत कौशल स्तरों की अनदेखी करना, D) रणनीतियों को समायोजित करने से बचना")</f>
        <v>A) व्यक्तिगत खतरों को बेअसर करने के लिए रणनीति विकसित करना और टीम प्ले पर ध्यान केंद्रित करना, B) केवल शारीरिक कौशल पर निर्भर रहना, C) व्यक्तिगत कौशल स्तरों की अनदेखी करना, D) रणनीतियों को समायोजित करने से बचना</v>
      </c>
      <c r="I838" s="5" t="str">
        <f>IFERROR(__xludf.DUMMYFUNCTION("GOOGLETRANSLATE(D838, ""en"", ""hi"")"),"A) व्यक्तिगत खतरों को बेअसर करने और टीम प्ले पर ध्यान केंद्रित करने के लिए रणनीति विकसित करें")</f>
        <v>A) व्यक्तिगत खतरों को बेअसर करने और टीम प्ले पर ध्यान केंद्रित करने के लिए रणनीति विकसित करें</v>
      </c>
    </row>
    <row r="839" ht="22.5" customHeight="1">
      <c r="A839" s="2">
        <v>838.0</v>
      </c>
      <c r="B839" s="3" t="s">
        <v>7616</v>
      </c>
      <c r="C839" s="3" t="s">
        <v>7617</v>
      </c>
      <c r="D839" s="3" t="s">
        <v>7618</v>
      </c>
      <c r="F839" s="5" t="str">
        <f>IFERROR(__xludf.DUMMYFUNCTION("GOOGLETRANSLATE(A839, ""en"", ""hi"")"),"838")</f>
        <v>838</v>
      </c>
      <c r="G839" s="5" t="str">
        <f>IFERROR(__xludf.DUMMYFUNCTION("GOOGLETRANSLATE(B839, ""en"", ""hi"")"),"एक गहन मैच के बाद ढोल खेल खिलाड़ी के लिए रिकवरी हेतु अनुशंसित तरीका क्या है?")</f>
        <v>एक गहन मैच के बाद ढोल खेल खिलाड़ी के लिए रिकवरी हेतु अनुशंसित तरीका क्या है?</v>
      </c>
      <c r="H839" s="5" t="str">
        <f>IFERROR(__xludf.DUMMYFUNCTION("GOOGLETRANSLATE(C839, ""en"", ""hi"")"),"A) उचित आराम, जलयोजन और रिकवरी व्यायाम पर ध्यान केंद्रित करें, B) रिकवरी आवश्यकताओं को अनदेखा करें, C) केवल शारीरिक कंडीशनिंग पर ध्यान केंद्रित करें, D) आराम से बचें")</f>
        <v>A) उचित आराम, जलयोजन और रिकवरी व्यायाम पर ध्यान केंद्रित करें, B) रिकवरी आवश्यकताओं को अनदेखा करें, C) केवल शारीरिक कंडीशनिंग पर ध्यान केंद्रित करें, D) आराम से बचें</v>
      </c>
      <c r="I839" s="5" t="str">
        <f>IFERROR(__xludf.DUMMYFUNCTION("GOOGLETRANSLATE(D839, ""en"", ""hi"")"),"A) उचित आराम, जलयोजन और पुनर्प्राप्ति व्यायाम पर ध्यान केंद्रित करें")</f>
        <v>A) उचित आराम, जलयोजन और पुनर्प्राप्ति व्यायाम पर ध्यान केंद्रित करें</v>
      </c>
    </row>
    <row r="840" ht="22.5" customHeight="1">
      <c r="A840" s="2">
        <v>839.0</v>
      </c>
      <c r="B840" s="3" t="s">
        <v>7619</v>
      </c>
      <c r="C840" s="3" t="s">
        <v>7620</v>
      </c>
      <c r="D840" s="3" t="s">
        <v>7621</v>
      </c>
      <c r="F840" s="5" t="str">
        <f>IFERROR(__xludf.DUMMYFUNCTION("GOOGLETRANSLATE(A840, ""en"", ""hi"")"),"839")</f>
        <v>839</v>
      </c>
      <c r="G840" s="5" t="str">
        <f>IFERROR(__xludf.DUMMYFUNCTION("GOOGLETRANSLATE(B840, ""en"", ""hi"")"),"उच्च रक्षात्मक क्षमता वाली टीम के खिलाफ खेलते समय ढोल खेल टीम के लिए प्रभावी रणनीति क्या है?")</f>
        <v>उच्च रक्षात्मक क्षमता वाली टीम के खिलाफ खेलते समय ढोल खेल टीम के लिए प्रभावी रणनीति क्या है?</v>
      </c>
      <c r="H840" s="5" t="str">
        <f>IFERROR(__xludf.DUMMYFUNCTION("GOOGLETRANSLATE(C840, ""en"", ""hi"")"),"ए) रचनात्मक खेलों का उपयोग करें, गेंद की गति पर ध्यान केंद्रित करें, और रक्षात्मक अंतराल का फायदा उठाएं, बी) सीधे हमलों पर टिके रहें, सी) रक्षात्मक क्षमताओं को अनदेखा करें, डी) रणनीतियों को अपनाने से बचें")</f>
        <v>ए) रचनात्मक खेलों का उपयोग करें, गेंद की गति पर ध्यान केंद्रित करें, और रक्षात्मक अंतराल का फायदा उठाएं, बी) सीधे हमलों पर टिके रहें, सी) रक्षात्मक क्षमताओं को अनदेखा करें, डी) रणनीतियों को अपनाने से बचें</v>
      </c>
      <c r="I840" s="5" t="str">
        <f>IFERROR(__xludf.DUMMYFUNCTION("GOOGLETRANSLATE(D840, ""en"", ""hi"")"),"ए) रचनात्मक खेलों का उपयोग करें, गेंद की गति पर ध्यान केंद्रित करें, और रक्षात्मक अंतराल का फायदा उठाएं")</f>
        <v>ए) रचनात्मक खेलों का उपयोग करें, गेंद की गति पर ध्यान केंद्रित करें, और रक्षात्मक अंतराल का फायदा उठाएं</v>
      </c>
    </row>
    <row r="841" ht="22.5" customHeight="1">
      <c r="A841" s="2">
        <v>840.0</v>
      </c>
      <c r="B841" s="3" t="s">
        <v>7622</v>
      </c>
      <c r="C841" s="3" t="s">
        <v>7623</v>
      </c>
      <c r="D841" s="3" t="s">
        <v>7624</v>
      </c>
      <c r="F841" s="5" t="str">
        <f>IFERROR(__xludf.DUMMYFUNCTION("GOOGLETRANSLATE(A841, ""en"", ""hi"")"),"840")</f>
        <v>840</v>
      </c>
      <c r="G841" s="5" t="str">
        <f>IFERROR(__xludf.DUMMYFUNCTION("GOOGLETRANSLATE(B841, ""en"", ""hi"")"),"ढोल खेल खिलाड़ी अपरिचित परिस्थितियों वाले नए स्थान पर मैच के लिए सर्वोत्तम तैयारी कैसे कर सकता है?")</f>
        <v>ढोल खेल खिलाड़ी अपरिचित परिस्थितियों वाले नए स्थान पर मैच के लिए सर्वोत्तम तैयारी कैसे कर सकता है?</v>
      </c>
      <c r="H841" s="5" t="str">
        <f>IFERROR(__xludf.DUMMYFUNCTION("GOOGLETRANSLATE(C841, ""en"", ""hi"")"),"ए) स्थान से परिचित होना, परिस्थितियों के अनुरूप प्रशिक्षण को अनुकूलित करना, और लचीली रणनीति विकसित करना, बी) सामान्य तैयारी पर टिके रहना, सी) अपरिचित परिस्थितियों को अनदेखा करना, डी) नई परिस्थितियों के अनुकूल होने से बचना")</f>
        <v>ए) स्थान से परिचित होना, परिस्थितियों के अनुरूप प्रशिक्षण को अनुकूलित करना, और लचीली रणनीति विकसित करना, बी) सामान्य तैयारी पर टिके रहना, सी) अपरिचित परिस्थितियों को अनदेखा करना, डी) नई परिस्थितियों के अनुकूल होने से बचना</v>
      </c>
      <c r="I841" s="5" t="str">
        <f>IFERROR(__xludf.DUMMYFUNCTION("GOOGLETRANSLATE(D841, ""en"", ""hi"")"),"A) स्थान से परिचित होना, परिस्थितियों के अनुरूप प्रशिक्षण को अनुकूलित करना, और लचीली रणनीति विकसित करना")</f>
        <v>A) स्थान से परिचित होना, परिस्थितियों के अनुरूप प्रशिक्षण को अनुकूलित करना, और लचीली रणनीति विकसित करना</v>
      </c>
    </row>
    <row r="842" ht="22.5" customHeight="1">
      <c r="A842" s="2">
        <v>841.0</v>
      </c>
      <c r="B842" s="3" t="s">
        <v>7625</v>
      </c>
      <c r="C842" s="3" t="s">
        <v>7626</v>
      </c>
      <c r="D842" s="3" t="s">
        <v>7627</v>
      </c>
      <c r="F842" s="5" t="str">
        <f>IFERROR(__xludf.DUMMYFUNCTION("GOOGLETRANSLATE(A842, ""en"", ""hi"")"),"841")</f>
        <v>841</v>
      </c>
      <c r="G842" s="5" t="str">
        <f>IFERROR(__xludf.DUMMYFUNCTION("GOOGLETRANSLATE(B842, ""en"", ""hi"")"),"किसी करीबी मैच के दौरान ढोल खेल टीम की रणनीति का महत्वपूर्ण पहलू क्या है?")</f>
        <v>किसी करीबी मैच के दौरान ढोल खेल टीम की रणनीति का महत्वपूर्ण पहलू क्या है?</v>
      </c>
      <c r="H842" s="5" t="str">
        <f>IFERROR(__xludf.DUMMYFUNCTION("GOOGLETRANSLATE(C842, ""en"", ""hi"")"),"A) धैर्य बनाए रखें, मुख्य खेल पर ध्यान केंद्रित करें, और समय पर समायोजन करें, B) करीबी स्कोर को अनदेखा करें, C) केवल शारीरिक प्रयास पर ध्यान केंद्रित करें, D) समायोजन करने से बचें")</f>
        <v>A) धैर्य बनाए रखें, मुख्य खेल पर ध्यान केंद्रित करें, और समय पर समायोजन करें, B) करीबी स्कोर को अनदेखा करें, C) केवल शारीरिक प्रयास पर ध्यान केंद्रित करें, D) समायोजन करने से बचें</v>
      </c>
      <c r="I842" s="5" t="str">
        <f>IFERROR(__xludf.DUMMYFUNCTION("GOOGLETRANSLATE(D842, ""en"", ""hi"")"),"A) धैर्य बनाए रखें, महत्वपूर्ण कार्यों पर ध्यान केंद्रित करें और समय पर समायोजन करें")</f>
        <v>A) धैर्य बनाए रखें, महत्वपूर्ण कार्यों पर ध्यान केंद्रित करें और समय पर समायोजन करें</v>
      </c>
    </row>
    <row r="843" ht="22.5" customHeight="1">
      <c r="A843" s="2">
        <v>842.0</v>
      </c>
      <c r="B843" s="3" t="s">
        <v>7628</v>
      </c>
      <c r="C843" s="3" t="s">
        <v>7629</v>
      </c>
      <c r="D843" s="3" t="s">
        <v>7630</v>
      </c>
      <c r="F843" s="5" t="str">
        <f>IFERROR(__xludf.DUMMYFUNCTION("GOOGLETRANSLATE(A843, ""en"", ""hi"")"),"842")</f>
        <v>842</v>
      </c>
      <c r="G843" s="5" t="str">
        <f>IFERROR(__xludf.DUMMYFUNCTION("GOOGLETRANSLATE(B843, ""en"", ""hi"")"),"मैदान पर किसी नए स्थान पर ढलते समय ढोल खेल खिलाड़ी को अपनी भूमिका किस प्रकार निभानी चाहिए?")</f>
        <v>मैदान पर किसी नए स्थान पर ढलते समय ढोल खेल खिलाड़ी को अपनी भूमिका किस प्रकार निभानी चाहिए?</v>
      </c>
      <c r="H843" s="5" t="str">
        <f>IFERROR(__xludf.DUMMYFUNCTION("GOOGLETRANSLATE(C843, ""en"", ""hi"")"),"A) जिम्मेदारियों को जानें, जल्दी से अनुकूलित करें, और टीम के साथियों के साथ प्रभावी ढंग से संवाद करें, B) अपनी सामान्य भूमिका पर टिके रहें, C) स्थिति परिवर्तनों को अनदेखा करें, D) नई जिम्मेदारियां सीखने से बचें")</f>
        <v>A) जिम्मेदारियों को जानें, जल्दी से अनुकूलित करें, और टीम के साथियों के साथ प्रभावी ढंग से संवाद करें, B) अपनी सामान्य भूमिका पर टिके रहें, C) स्थिति परिवर्तनों को अनदेखा करें, D) नई जिम्मेदारियां सीखने से बचें</v>
      </c>
      <c r="I843" s="5" t="str">
        <f>IFERROR(__xludf.DUMMYFUNCTION("GOOGLETRANSLATE(D843, ""en"", ""hi"")"),"A) ज़िम्मेदारियों को जानें, जल्दी से अनुकूलित हों, और टीम के साथियों के साथ प्रभावी ढंग से संवाद करें")</f>
        <v>A) ज़िम्मेदारियों को जानें, जल्दी से अनुकूलित हों, और टीम के साथियों के साथ प्रभावी ढंग से संवाद करें</v>
      </c>
    </row>
    <row r="844" ht="22.5" customHeight="1">
      <c r="A844" s="2">
        <v>843.0</v>
      </c>
      <c r="B844" s="3" t="s">
        <v>7631</v>
      </c>
      <c r="C844" s="3" t="s">
        <v>7632</v>
      </c>
      <c r="D844" s="3" t="s">
        <v>7633</v>
      </c>
      <c r="F844" s="5" t="str">
        <f>IFERROR(__xludf.DUMMYFUNCTION("GOOGLETRANSLATE(A844, ""en"", ""hi"")"),"843")</f>
        <v>843</v>
      </c>
      <c r="G844" s="5" t="str">
        <f>IFERROR(__xludf.DUMMYFUNCTION("GOOGLETRANSLATE(B844, ""en"", ""hi"")"),"किसी टूर्नामेंट में मैचों की श्रृंखला की योजना बनाते समय ढोल खेल टीम के लिए मुख्य विचार क्या होता है?")</f>
        <v>किसी टूर्नामेंट में मैचों की श्रृंखला की योजना बनाते समय ढोल खेल टीम के लिए मुख्य विचार क्या होता है?</v>
      </c>
      <c r="H844" s="5" t="str">
        <f>IFERROR(__xludf.DUMMYFUNCTION("GOOGLETRANSLATE(C844, ""en"", ""hi"")"),"ए) ऊर्जा के स्तर को प्रबंधित करें, विरोधियों के आधार पर रणनीतियों को समायोजित करें, और उचित रिकवरी सुनिश्चित करें, बी) केवल व्यक्तिगत मैचों पर ध्यान केंद्रित करें, सी) रिकवरी आवश्यकताओं को अनदेखा करें, डी) रणनीतियों को समायोजित करने से बचें")</f>
        <v>ए) ऊर्जा के स्तर को प्रबंधित करें, विरोधियों के आधार पर रणनीतियों को समायोजित करें, और उचित रिकवरी सुनिश्चित करें, बी) केवल व्यक्तिगत मैचों पर ध्यान केंद्रित करें, सी) रिकवरी आवश्यकताओं को अनदेखा करें, डी) रणनीतियों को समायोजित करने से बचें</v>
      </c>
      <c r="I844" s="5" t="str">
        <f>IFERROR(__xludf.DUMMYFUNCTION("GOOGLETRANSLATE(D844, ""en"", ""hi"")"),"ए) ऊर्जा के स्तर को प्रबंधित करें, विरोधियों के आधार पर रणनीतियों को समायोजित करें, और उचित रिकवरी सुनिश्चित करें")</f>
        <v>ए) ऊर्जा के स्तर को प्रबंधित करें, विरोधियों के आधार पर रणनीतियों को समायोजित करें, और उचित रिकवरी सुनिश्चित करें</v>
      </c>
    </row>
    <row r="845" ht="22.5" customHeight="1">
      <c r="A845" s="2">
        <v>844.0</v>
      </c>
      <c r="B845" s="3" t="s">
        <v>7634</v>
      </c>
      <c r="C845" s="3" t="s">
        <v>7635</v>
      </c>
      <c r="D845" s="3" t="s">
        <v>7636</v>
      </c>
      <c r="F845" s="5" t="str">
        <f>IFERROR(__xludf.DUMMYFUNCTION("GOOGLETRANSLATE(A845, ""en"", ""hi"")"),"844")</f>
        <v>844</v>
      </c>
      <c r="G845" s="5" t="str">
        <f>IFERROR(__xludf.DUMMYFUNCTION("GOOGLETRANSLATE(B845, ""en"", ""hi"")"),"ढोल खेल खिलाड़ी मैच के महत्वपूर्ण क्षणों में अपना प्रदर्शन कैसे बेहतर बना सकते हैं?")</f>
        <v>ढोल खेल खिलाड़ी मैच के महत्वपूर्ण क्षणों में अपना प्रदर्शन कैसे बेहतर बना सकते हैं?</v>
      </c>
      <c r="H845" s="5" t="str">
        <f>IFERROR(__xludf.DUMMYFUNCTION("GOOGLETRANSLATE(C845, ""en"", ""hi"")"),"A) प्रमुख कौशल पर ध्यान केंद्रित करें, मानसिक रूप से मजबूत रहें, और प्रभावी ढंग से खेल को अंजाम दें, B) महत्वपूर्ण क्षणों को अनदेखा करें, C) केवल शारीरिक प्रशिक्षण पर ध्यान केंद्रित करें, D) महत्वपूर्ण परिस्थितियों के लिए तैयारी से बचें")</f>
        <v>A) प्रमुख कौशल पर ध्यान केंद्रित करें, मानसिक रूप से मजबूत रहें, और प्रभावी ढंग से खेल को अंजाम दें, B) महत्वपूर्ण क्षणों को अनदेखा करें, C) केवल शारीरिक प्रशिक्षण पर ध्यान केंद्रित करें, D) महत्वपूर्ण परिस्थितियों के लिए तैयारी से बचें</v>
      </c>
      <c r="I845" s="5" t="str">
        <f>IFERROR(__xludf.DUMMYFUNCTION("GOOGLETRANSLATE(D845, ""en"", ""hi"")"),"A) प्रमुख कौशल पर ध्यान केंद्रित करें, मानसिक रूप से मजबूत रहें, और प्रभावी ढंग से खेल को अंजाम दें")</f>
        <v>A) प्रमुख कौशल पर ध्यान केंद्रित करें, मानसिक रूप से मजबूत रहें, और प्रभावी ढंग से खेल को अंजाम दें</v>
      </c>
    </row>
    <row r="846" ht="22.5" customHeight="1">
      <c r="A846" s="2">
        <v>845.0</v>
      </c>
      <c r="B846" s="3" t="s">
        <v>7637</v>
      </c>
      <c r="C846" s="3" t="s">
        <v>7638</v>
      </c>
      <c r="D846" s="3" t="s">
        <v>7639</v>
      </c>
      <c r="F846" s="5" t="str">
        <f>IFERROR(__xludf.DUMMYFUNCTION("GOOGLETRANSLATE(A846, ""en"", ""hi"")"),"845")</f>
        <v>845</v>
      </c>
      <c r="G846" s="5" t="str">
        <f>IFERROR(__xludf.DUMMYFUNCTION("GOOGLETRANSLATE(B846, ""en"", ""hi"")"),"ढोल खेल टीम के लिए मैचों की श्रृंखला के बाद अपने प्रदर्शन का विश्लेषण करने हेतु अनुशंसित दृष्टिकोण क्या है?")</f>
        <v>ढोल खेल टीम के लिए मैचों की श्रृंखला के बाद अपने प्रदर्शन का विश्लेषण करने हेतु अनुशंसित दृष्टिकोण क्या है?</v>
      </c>
      <c r="H846" s="5" t="str">
        <f>IFERROR(__xludf.DUMMYFUNCTION("GOOGLETRANSLATE(C846, ""en"", ""hi"")"),"ए) खेल फुटेज की समीक्षा करें, प्रदर्शन मेट्रिक्स का मूल्यांकन करें, और सुधार के क्षेत्रों की पहचान करें, बी) प्रदर्शन विश्लेषण को अनदेखा करें, सी) केवल शारीरिक कंडीशनिंग पर ध्यान केंद्रित करें, डी) पिछले खेलों की समीक्षा करने से बचें")</f>
        <v>ए) खेल फुटेज की समीक्षा करें, प्रदर्शन मेट्रिक्स का मूल्यांकन करें, और सुधार के क्षेत्रों की पहचान करें, बी) प्रदर्शन विश्लेषण को अनदेखा करें, सी) केवल शारीरिक कंडीशनिंग पर ध्यान केंद्रित करें, डी) पिछले खेलों की समीक्षा करने से बचें</v>
      </c>
      <c r="I846" s="5" t="str">
        <f>IFERROR(__xludf.DUMMYFUNCTION("GOOGLETRANSLATE(D846, ""en"", ""hi"")"),"ए) खेल फुटेज की समीक्षा करें, प्रदर्शन मेट्रिक्स का मूल्यांकन करें, और सुधार के क्षेत्रों की पहचान करें")</f>
        <v>ए) खेल फुटेज की समीक्षा करें, प्रदर्शन मेट्रिक्स का मूल्यांकन करें, और सुधार के क्षेत्रों की पहचान करें</v>
      </c>
    </row>
    <row r="847" ht="22.5" customHeight="1">
      <c r="A847" s="2">
        <v>846.0</v>
      </c>
      <c r="B847" s="3" t="s">
        <v>7640</v>
      </c>
      <c r="C847" s="3" t="s">
        <v>7641</v>
      </c>
      <c r="D847" s="3" t="s">
        <v>7642</v>
      </c>
      <c r="F847" s="5" t="str">
        <f>IFERROR(__xludf.DUMMYFUNCTION("GOOGLETRANSLATE(A847, ""en"", ""hi"")"),"846")</f>
        <v>846</v>
      </c>
      <c r="G847" s="5" t="str">
        <f>IFERROR(__xludf.DUMMYFUNCTION("GOOGLETRANSLATE(B847, ""en"", ""hi"")"),"ढोल खेल टीम को मैच रेफरी या नियमों में अप्रत्याशित बदलावों को कैसे संभालना चाहिए?")</f>
        <v>ढोल खेल टीम को मैच रेफरी या नियमों में अप्रत्याशित बदलावों को कैसे संभालना चाहिए?</v>
      </c>
      <c r="H847" s="5" t="str">
        <f>IFERROR(__xludf.DUMMYFUNCTION("GOOGLETRANSLATE(C847, ""en"", ""hi"")"),"A) शीघ्रता से अनुकूलन करना, नए ढांचे के भीतर खेलने पर ध्यान केंद्रित करना, और संयम बनाए रखना, B) परिवर्तनों को अनदेखा करना, C) केवल अपनी रणनीति पर ध्यान केंद्रित करना, D) परिवर्तनों पर ध्यान देने से बचना")</f>
        <v>A) शीघ्रता से अनुकूलन करना, नए ढांचे के भीतर खेलने पर ध्यान केंद्रित करना, और संयम बनाए रखना, B) परिवर्तनों को अनदेखा करना, C) केवल अपनी रणनीति पर ध्यान केंद्रित करना, D) परिवर्तनों पर ध्यान देने से बचना</v>
      </c>
      <c r="I847" s="5" t="str">
        <f>IFERROR(__xludf.DUMMYFUNCTION("GOOGLETRANSLATE(D847, ""en"", ""hi"")"),"A) शीघ्रता से अनुकूलन करें, नए ढांचे के भीतर खेलने पर ध्यान केंद्रित करें, और धैर्य बनाए रखें")</f>
        <v>A) शीघ्रता से अनुकूलन करें, नए ढांचे के भीतर खेलने पर ध्यान केंद्रित करें, और धैर्य बनाए रखें</v>
      </c>
    </row>
    <row r="848" ht="22.5" customHeight="1">
      <c r="A848" s="2">
        <v>847.0</v>
      </c>
      <c r="B848" s="3" t="s">
        <v>7643</v>
      </c>
      <c r="C848" s="3" t="s">
        <v>7644</v>
      </c>
      <c r="D848" s="3" t="s">
        <v>7645</v>
      </c>
      <c r="F848" s="5" t="str">
        <f>IFERROR(__xludf.DUMMYFUNCTION("GOOGLETRANSLATE(A848, ""en"", ""hi"")"),"847")</f>
        <v>847</v>
      </c>
      <c r="G848" s="5" t="str">
        <f>IFERROR(__xludf.DUMMYFUNCTION("GOOGLETRANSLATE(B848, ""en"", ""hi"")"),"ढोल खेल खिलाड़ियों के लिए लंबे मैचों के लिए अपनी सहनशक्ति में सुधार करने का प्रभावी तरीका क्या है?")</f>
        <v>ढोल खेल खिलाड़ियों के लिए लंबे मैचों के लिए अपनी सहनशक्ति में सुधार करने का प्रभावी तरीका क्या है?</v>
      </c>
      <c r="H848" s="5" t="str">
        <f>IFERROR(__xludf.DUMMYFUNCTION("GOOGLETRANSLATE(C848, ""en"", ""hi"")"),"ए) धीरज प्रशिक्षण को शामिल करें, सहनशक्ति में सुधार करें, और मैच सिमुलेशन का अभ्यास करें, बी) केवल ताकत पर ध्यान केंद्रित करें, सी) धीरज प्रशिक्षण को अनदेखा करें, डी) केवल प्राकृतिक क्षमता पर भरोसा करें")</f>
        <v>ए) धीरज प्रशिक्षण को शामिल करें, सहनशक्ति में सुधार करें, और मैच सिमुलेशन का अभ्यास करें, बी) केवल ताकत पर ध्यान केंद्रित करें, सी) धीरज प्रशिक्षण को अनदेखा करें, डी) केवल प्राकृतिक क्षमता पर भरोसा करें</v>
      </c>
      <c r="I848" s="5" t="str">
        <f>IFERROR(__xludf.DUMMYFUNCTION("GOOGLETRANSLATE(D848, ""en"", ""hi"")"),"ए) सहनशक्ति प्रशिक्षण को शामिल करें, सहनशक्ति में सुधार करें, और मैच सिमुलेशन का अभ्यास करें")</f>
        <v>ए) सहनशक्ति प्रशिक्षण को शामिल करें, सहनशक्ति में सुधार करें, और मैच सिमुलेशन का अभ्यास करें</v>
      </c>
    </row>
    <row r="849" ht="22.5" customHeight="1">
      <c r="A849" s="2">
        <v>848.0</v>
      </c>
      <c r="B849" s="3" t="s">
        <v>7646</v>
      </c>
      <c r="C849" s="3" t="s">
        <v>7647</v>
      </c>
      <c r="D849" s="3" t="s">
        <v>7648</v>
      </c>
      <c r="F849" s="5" t="str">
        <f>IFERROR(__xludf.DUMMYFUNCTION("GOOGLETRANSLATE(A849, ""en"", ""hi"")"),"848")</f>
        <v>848</v>
      </c>
      <c r="G849" s="5" t="str">
        <f>IFERROR(__xludf.DUMMYFUNCTION("GOOGLETRANSLATE(B849, ""en"", ""hi"")"),"ढोल खेल टीम को उच्च स्तर की फिटनेस वाली टीम के खिलाफ मैच के लिए कैसे तैयारी करनी चाहिए?")</f>
        <v>ढोल खेल टीम को उच्च स्तर की फिटनेस वाली टीम के खिलाफ मैच के लिए कैसे तैयारी करनी चाहिए?</v>
      </c>
      <c r="H849" s="5" t="str">
        <f>IFERROR(__xludf.DUMMYFUNCTION("GOOGLETRANSLATE(C849, ""en"", ""hi"")"),"क) सामरिक खेल पर ध्यान केंद्रित करना, टीम समन्वय में सुधार करना और फिटनेस के स्तर को बढ़ाना, ख) फिटनेस के स्तर की अनदेखी करना, ग) केवल तकनीकी कौशल पर निर्भर रहना, घ) फिटनेस में सुधार करने से बचना")</f>
        <v>क) सामरिक खेल पर ध्यान केंद्रित करना, टीम समन्वय में सुधार करना और फिटनेस के स्तर को बढ़ाना, ख) फिटनेस के स्तर की अनदेखी करना, ग) केवल तकनीकी कौशल पर निर्भर रहना, घ) फिटनेस में सुधार करने से बचना</v>
      </c>
      <c r="I849" s="5" t="str">
        <f>IFERROR(__xludf.DUMMYFUNCTION("GOOGLETRANSLATE(D849, ""en"", ""hi"")"),"क) सामरिक खेल पर ध्यान केंद्रित करना, टीम समन्वय में सुधार करना और फिटनेस स्तर को बढ़ाना")</f>
        <v>क) सामरिक खेल पर ध्यान केंद्रित करना, टीम समन्वय में सुधार करना और फिटनेस स्तर को बढ़ाना</v>
      </c>
    </row>
    <row r="850" ht="22.5" customHeight="1">
      <c r="A850" s="2">
        <v>849.0</v>
      </c>
      <c r="B850" s="3" t="s">
        <v>7649</v>
      </c>
      <c r="C850" s="3" t="s">
        <v>7650</v>
      </c>
      <c r="D850" s="3" t="s">
        <v>7651</v>
      </c>
      <c r="F850" s="5" t="str">
        <f>IFERROR(__xludf.DUMMYFUNCTION("GOOGLETRANSLATE(A850, ""en"", ""hi"")"),"849")</f>
        <v>849</v>
      </c>
      <c r="G850" s="5" t="str">
        <f>IFERROR(__xludf.DUMMYFUNCTION("GOOGLETRANSLATE(B850, ""en"", ""hi"")"),"एक ढोल खेल खिलाड़ी के लिए एक छोटी अवधि में कई मैचों में भाग लेते समय क्या महत्वपूर्ण बात है?")</f>
        <v>एक ढोल खेल खिलाड़ी के लिए एक छोटी अवधि में कई मैचों में भाग लेते समय क्या महत्वपूर्ण बात है?</v>
      </c>
      <c r="H850" s="5" t="str">
        <f>IFERROR(__xludf.DUMMYFUNCTION("GOOGLETRANSLATE(C850, ""en"", ""hi"")"),"ए) रिकवरी का प्रबंधन करें, शारीरिक और मानसिक तत्परता बनाए रखें, और आवश्यकतानुसार रणनीतियों को समायोजित करें, बी) रिकवरी को अनदेखा करें, सी) केवल प्रदर्शन पर ध्यान केंद्रित करें, डी) रिकवरी का प्रबंधन करने से बचें")</f>
        <v>ए) रिकवरी का प्रबंधन करें, शारीरिक और मानसिक तत्परता बनाए रखें, और आवश्यकतानुसार रणनीतियों को समायोजित करें, बी) रिकवरी को अनदेखा करें, सी) केवल प्रदर्शन पर ध्यान केंद्रित करें, डी) रिकवरी का प्रबंधन करने से बचें</v>
      </c>
      <c r="I850" s="5" t="str">
        <f>IFERROR(__xludf.DUMMYFUNCTION("GOOGLETRANSLATE(D850, ""en"", ""hi"")"),"ए) रिकवरी का प्रबंधन करें, शारीरिक और मानसिक तत्परता बनाए रखें, और आवश्यकतानुसार रणनीतियों को समायोजित करें")</f>
        <v>ए) रिकवरी का प्रबंधन करें, शारीरिक और मानसिक तत्परता बनाए रखें, और आवश्यकतानुसार रणनीतियों को समायोजित करें</v>
      </c>
    </row>
    <row r="851" ht="22.5" customHeight="1">
      <c r="A851" s="2">
        <v>850.0</v>
      </c>
      <c r="B851" s="3" t="s">
        <v>7652</v>
      </c>
      <c r="C851" s="3" t="s">
        <v>7653</v>
      </c>
      <c r="D851" s="3" t="s">
        <v>7654</v>
      </c>
      <c r="F851" s="5" t="str">
        <f>IFERROR(__xludf.DUMMYFUNCTION("GOOGLETRANSLATE(A851, ""en"", ""hi"")"),"850")</f>
        <v>850</v>
      </c>
      <c r="G851" s="5" t="str">
        <f>IFERROR(__xludf.DUMMYFUNCTION("GOOGLETRANSLATE(B851, ""en"", ""hi"")"),"ढोल खेल टीम को उस स्थिति से कैसे निपटना चाहिए जहां प्रमुख खिलाड़ी मैच के दौरान खराब प्रदर्शन कर रहे हों?")</f>
        <v>ढोल खेल टीम को उस स्थिति से कैसे निपटना चाहिए जहां प्रमुख खिलाड़ी मैच के दौरान खराब प्रदर्शन कर रहे हों?</v>
      </c>
      <c r="H851" s="5" t="str">
        <f>IFERROR(__xludf.DUMMYFUNCTION("GOOGLETRANSLATE(C851, ""en"", ""hi"")"),"ए) सहायता प्रदान करें, रणनीति समायोजित करें, और समग्र टीम के प्रदर्शन में सुधार पर ध्यान केंद्रित करें, बी) खराब प्रदर्शन को अनदेखा करें, सी) केवल व्यक्तिगत खिलाड़ियों पर ध्यान केंद्रित करें, डी) समायोजन करने से बचें")</f>
        <v>ए) सहायता प्रदान करें, रणनीति समायोजित करें, और समग्र टीम के प्रदर्शन में सुधार पर ध्यान केंद्रित करें, बी) खराब प्रदर्शन को अनदेखा करें, सी) केवल व्यक्तिगत खिलाड़ियों पर ध्यान केंद्रित करें, डी) समायोजन करने से बचें</v>
      </c>
      <c r="I851" s="5" t="str">
        <f>IFERROR(__xludf.DUMMYFUNCTION("GOOGLETRANSLATE(D851, ""en"", ""hi"")"),"A) सहायता प्रदान करना, रणनीति समायोजित करना, और समग्र टीम प्रदर्शन में सुधार पर ध्यान केंद्रित करना")</f>
        <v>A) सहायता प्रदान करना, रणनीति समायोजित करना, और समग्र टीम प्रदर्शन में सुधार पर ध्यान केंद्रित करना</v>
      </c>
    </row>
    <row r="852" ht="22.5" customHeight="1">
      <c r="A852" s="2">
        <v>851.0</v>
      </c>
      <c r="B852" s="3" t="s">
        <v>7655</v>
      </c>
      <c r="C852" s="3" t="s">
        <v>7656</v>
      </c>
      <c r="D852" s="3" t="s">
        <v>7657</v>
      </c>
      <c r="F852" s="5" t="str">
        <f>IFERROR(__xludf.DUMMYFUNCTION("GOOGLETRANSLATE(A852, ""en"", ""hi"")"),"851")</f>
        <v>851</v>
      </c>
      <c r="G852" s="5" t="str">
        <f>IFERROR(__xludf.DUMMYFUNCTION("GOOGLETRANSLATE(B852, ""en"", ""hi"")"),"ढोल खेल खिलाड़ियों के लिए अपने रक्षात्मक कौशल को बढ़ाने का प्रभावी तरीका क्या है?")</f>
        <v>ढोल खेल खिलाड़ियों के लिए अपने रक्षात्मक कौशल को बढ़ाने का प्रभावी तरीका क्या है?</v>
      </c>
      <c r="H852" s="5" t="str">
        <f>IFERROR(__xludf.DUMMYFUNCTION("GOOGLETRANSLATE(C852, ""en"", ""hi"")"),"ए) रक्षात्मक अभ्यास करें, स्थिति सुधारें और प्रतिद्वंद्वी की रणनीतियों का विश्लेषण करें, बी) केवल आक्रमण कौशल पर ध्यान केंद्रित करें, सी) रक्षात्मक प्रशिक्षण की उपेक्षा करें, डी) केवल प्राकृतिक क्षमता पर भरोसा करें")</f>
        <v>ए) रक्षात्मक अभ्यास करें, स्थिति सुधारें और प्रतिद्वंद्वी की रणनीतियों का विश्लेषण करें, बी) केवल आक्रमण कौशल पर ध्यान केंद्रित करें, सी) रक्षात्मक प्रशिक्षण की उपेक्षा करें, डी) केवल प्राकृतिक क्षमता पर भरोसा करें</v>
      </c>
      <c r="I852" s="5" t="str">
        <f>IFERROR(__xludf.DUMMYFUNCTION("GOOGLETRANSLATE(D852, ""en"", ""hi"")"),"ए) रक्षात्मक अभ्यास करें, स्थिति सुधारें, और प्रतिद्वंद्वी की रणनीतियों का विश्लेषण करें")</f>
        <v>ए) रक्षात्मक अभ्यास करें, स्थिति सुधारें, और प्रतिद्वंद्वी की रणनीतियों का विश्लेषण करें</v>
      </c>
    </row>
    <row r="853" ht="22.5" customHeight="1">
      <c r="A853" s="2">
        <v>852.0</v>
      </c>
      <c r="B853" s="3" t="s">
        <v>7658</v>
      </c>
      <c r="C853" s="3" t="s">
        <v>7659</v>
      </c>
      <c r="D853" s="3" t="s">
        <v>7660</v>
      </c>
      <c r="F853" s="5" t="str">
        <f>IFERROR(__xludf.DUMMYFUNCTION("GOOGLETRANSLATE(A853, ""en"", ""hi"")"),"852")</f>
        <v>852</v>
      </c>
      <c r="G853" s="5" t="str">
        <f>IFERROR(__xludf.DUMMYFUNCTION("GOOGLETRANSLATE(B853, ""en"", ""hi"")"),"ढोल खेल टीम को मजबूत घरेलू लाभ वाली टीम के खिलाफ मैच में किस प्रकार से खेलना चाहिए?")</f>
        <v>ढोल खेल टीम को मजबूत घरेलू लाभ वाली टीम के खिलाफ मैच में किस प्रकार से खेलना चाहिए?</v>
      </c>
      <c r="H853" s="5" t="str">
        <f>IFERROR(__xludf.DUMMYFUNCTION("GOOGLETRANSLATE(C853, ""en"", ""hi"")"),"ए) घरेलू लाभ के प्रभाव को कम करने पर ध्यान केंद्रित करें, रणनीतियों को समायोजित करें और ध्यान केंद्रित रखें, बी) घरेलू लाभ को अनदेखा करें, सी) पूरी तरह से बाहरी प्रदर्शन पर भरोसा करें, डी) समायोजन करने से बचें")</f>
        <v>ए) घरेलू लाभ के प्रभाव को कम करने पर ध्यान केंद्रित करें, रणनीतियों को समायोजित करें और ध्यान केंद्रित रखें, बी) घरेलू लाभ को अनदेखा करें, सी) पूरी तरह से बाहरी प्रदर्शन पर भरोसा करें, डी) समायोजन करने से बचें</v>
      </c>
      <c r="I853" s="5" t="str">
        <f>IFERROR(__xludf.DUMMYFUNCTION("GOOGLETRANSLATE(D853, ""en"", ""hi"")"),"A) घरेलू लाभ के प्रभाव को कम करने पर ध्यान केंद्रित करें, रणनीतियों को समायोजित करें और केंद्रित रहें")</f>
        <v>A) घरेलू लाभ के प्रभाव को कम करने पर ध्यान केंद्रित करें, रणनीतियों को समायोजित करें और केंद्रित रहें</v>
      </c>
    </row>
    <row r="854" ht="22.5" customHeight="1">
      <c r="A854" s="2">
        <v>853.0</v>
      </c>
      <c r="B854" s="3" t="s">
        <v>7661</v>
      </c>
      <c r="C854" s="3" t="s">
        <v>7662</v>
      </c>
      <c r="D854" s="3" t="s">
        <v>7663</v>
      </c>
      <c r="F854" s="5" t="str">
        <f>IFERROR(__xludf.DUMMYFUNCTION("GOOGLETRANSLATE(A854, ""en"", ""hi"")"),"853")</f>
        <v>853</v>
      </c>
      <c r="G854" s="5" t="str">
        <f>IFERROR(__xludf.DUMMYFUNCTION("GOOGLETRANSLATE(B854, ""en"", ""hi"")"),"एक ढोल खेल खिलाड़ी के लिए उच्च-दांव वाले मैच के दबाव से निपटने में मुख्य कारक क्या है?")</f>
        <v>एक ढोल खेल खिलाड़ी के लिए उच्च-दांव वाले मैच के दबाव से निपटने में मुख्य कारक क्या है?</v>
      </c>
      <c r="H854" s="5" t="str">
        <f>IFERROR(__xludf.DUMMYFUNCTION("GOOGLETRANSLATE(C854, ""en"", ""hi"")"),"A) ध्यान केंद्रित रखें, तनाव को प्रभावी ढंग से प्रबंधित करें, और महत्वपूर्ण खेल निष्पादित करें, B) दबाव को अनदेखा करें, C) केवल शारीरिक कौशल पर भरोसा करें, D) दबाव से निपटने से बचें")</f>
        <v>A) ध्यान केंद्रित रखें, तनाव को प्रभावी ढंग से प्रबंधित करें, और महत्वपूर्ण खेल निष्पादित करें, B) दबाव को अनदेखा करें, C) केवल शारीरिक कौशल पर भरोसा करें, D) दबाव से निपटने से बचें</v>
      </c>
      <c r="I854" s="5" t="str">
        <f>IFERROR(__xludf.DUMMYFUNCTION("GOOGLETRANSLATE(D854, ""en"", ""hi"")"),"ए) ध्यान केंद्रित रखें, तनाव को प्रभावी ढंग से प्रबंधित करें, और महत्वपूर्ण भूमिका निभाएं")</f>
        <v>ए) ध्यान केंद्रित रखें, तनाव को प्रभावी ढंग से प्रबंधित करें, और महत्वपूर्ण भूमिका निभाएं</v>
      </c>
    </row>
    <row r="855" ht="22.5" customHeight="1">
      <c r="A855" s="2">
        <v>854.0</v>
      </c>
      <c r="B855" s="3" t="s">
        <v>7664</v>
      </c>
      <c r="C855" s="3" t="s">
        <v>7665</v>
      </c>
      <c r="D855" s="3" t="s">
        <v>7666</v>
      </c>
      <c r="F855" s="5" t="str">
        <f>IFERROR(__xludf.DUMMYFUNCTION("GOOGLETRANSLATE(A855, ""en"", ""hi"")"),"854")</f>
        <v>854</v>
      </c>
      <c r="G855" s="5" t="str">
        <f>IFERROR(__xludf.DUMMYFUNCTION("GOOGLETRANSLATE(B855, ""en"", ""hi"")"),"ढोल खेल टीम हाफ टाइम ब्रेक के दौरान अपने समय का सर्वोत्तम उपयोग कैसे कर सकती है?")</f>
        <v>ढोल खेल टीम हाफ टाइम ब्रेक के दौरान अपने समय का सर्वोत्तम उपयोग कैसे कर सकती है?</v>
      </c>
      <c r="H855" s="5" t="str">
        <f>IFERROR(__xludf.DUMMYFUNCTION("GOOGLETRANSLATE(C855, ""en"", ""hi"")"),"A) रणनीतियों पर चर्चा करें, समायोजन करें, और किसी भी मुद्दे को संबोधित करें, B) ब्रेक को अनदेखा करें, C) केवल विश्राम पर ध्यान केंद्रित करें, D) रणनीतियों पर चर्चा करने से बचें")</f>
        <v>A) रणनीतियों पर चर्चा करें, समायोजन करें, और किसी भी मुद्दे को संबोधित करें, B) ब्रेक को अनदेखा करें, C) केवल विश्राम पर ध्यान केंद्रित करें, D) रणनीतियों पर चर्चा करने से बचें</v>
      </c>
      <c r="I855" s="5" t="str">
        <f>IFERROR(__xludf.DUMMYFUNCTION("GOOGLETRANSLATE(D855, ""en"", ""hi"")"),"A) रणनीतियों पर चर्चा करें, समायोजन करें, और किसी भी मुद्दे का समाधान करें")</f>
        <v>A) रणनीतियों पर चर्चा करें, समायोजन करें, और किसी भी मुद्दे का समाधान करें</v>
      </c>
    </row>
    <row r="856" ht="22.5" customHeight="1">
      <c r="A856" s="2">
        <v>855.0</v>
      </c>
      <c r="B856" s="3" t="s">
        <v>7667</v>
      </c>
      <c r="C856" s="3" t="s">
        <v>7668</v>
      </c>
      <c r="D856" s="3" t="s">
        <v>7669</v>
      </c>
      <c r="F856" s="5" t="str">
        <f>IFERROR(__xludf.DUMMYFUNCTION("GOOGLETRANSLATE(A856, ""en"", ""hi"")"),"855")</f>
        <v>855</v>
      </c>
      <c r="G856" s="5" t="str">
        <f>IFERROR(__xludf.DUMMYFUNCTION("GOOGLETRANSLATE(B856, ""en"", ""hi"")"),"ढोल खेल खिलाड़ी के लिए मैदान पर नेतृत्व कौशल विकसित करने हेतु अनुशंसित दृष्टिकोण क्या है?")</f>
        <v>ढोल खेल खिलाड़ी के लिए मैदान पर नेतृत्व कौशल विकसित करने हेतु अनुशंसित दृष्टिकोण क्या है?</v>
      </c>
      <c r="H856" s="5" t="str">
        <f>IFERROR(__xludf.DUMMYFUNCTION("GOOGLETRANSLATE(C856, ""en"", ""hi"")"),"A) पहल करें, प्रभावी ढंग से संवाद करें और टीम के साथियों का समर्थन करें, B) केवल व्यक्तिगत प्रदर्शन पर ध्यान केंद्रित करें, C) नेतृत्व के अवसरों की अनदेखी करें, D) जिम्मेदारी लेने से बचें")</f>
        <v>A) पहल करें, प्रभावी ढंग से संवाद करें और टीम के साथियों का समर्थन करें, B) केवल व्यक्तिगत प्रदर्शन पर ध्यान केंद्रित करें, C) नेतृत्व के अवसरों की अनदेखी करें, D) जिम्मेदारी लेने से बचें</v>
      </c>
      <c r="I856" s="5" t="str">
        <f>IFERROR(__xludf.DUMMYFUNCTION("GOOGLETRANSLATE(D856, ""en"", ""hi"")"),"A) पहल करें, प्रभावी ढंग से संवाद करें और टीम के सदस्यों का समर्थन करें")</f>
        <v>A) पहल करें, प्रभावी ढंग से संवाद करें और टीम के सदस्यों का समर्थन करें</v>
      </c>
    </row>
    <row r="857" ht="22.5" customHeight="1">
      <c r="A857" s="2">
        <v>856.0</v>
      </c>
      <c r="B857" s="3" t="s">
        <v>7670</v>
      </c>
      <c r="C857" s="3" t="s">
        <v>7671</v>
      </c>
      <c r="D857" s="3" t="s">
        <v>7672</v>
      </c>
      <c r="F857" s="5" t="str">
        <f>IFERROR(__xludf.DUMMYFUNCTION("GOOGLETRANSLATE(A857, ""en"", ""hi"")"),"856")</f>
        <v>856</v>
      </c>
      <c r="G857" s="5" t="str">
        <f>IFERROR(__xludf.DUMMYFUNCTION("GOOGLETRANSLATE(B857, ""en"", ""hi"")"),"ढोल खेल टीम को एक मजबूत सेट-पीस रणनीति वाले प्रतिद्वंद्वी के खिलाफ मैच में किस प्रकार से भाग लेना चाहिए?")</f>
        <v>ढोल खेल टीम को एक मजबूत सेट-पीस रणनीति वाले प्रतिद्वंद्वी के खिलाफ मैच में किस प्रकार से भाग लेना चाहिए?</v>
      </c>
      <c r="H857" s="5" t="str">
        <f>IFERROR(__xludf.DUMMYFUNCTION("GOOGLETRANSLATE(C857, ""en"", ""hi"")"),"ए) विशिष्ट रक्षात्मक रणनीति तैयार करें, सेट-पीस परिदृश्यों का अभ्यास करें और निष्पादन पर ध्यान केंद्रित करें, बी) सेट-पीस रणनीति को अनदेखा करें, सी) पूरी तरह से सामान्य रक्षा पर भरोसा करें, डी) सेट-पीस की तैयारी से बचें")</f>
        <v>ए) विशिष्ट रक्षात्मक रणनीति तैयार करें, सेट-पीस परिदृश्यों का अभ्यास करें और निष्पादन पर ध्यान केंद्रित करें, बी) सेट-पीस रणनीति को अनदेखा करें, सी) पूरी तरह से सामान्य रक्षा पर भरोसा करें, डी) सेट-पीस की तैयारी से बचें</v>
      </c>
      <c r="I857" s="5" t="str">
        <f>IFERROR(__xludf.DUMMYFUNCTION("GOOGLETRANSLATE(D857, ""en"", ""hi"")"),"A) विशिष्ट रक्षात्मक रणनीति तैयार करें, सेट-पीस परिदृश्यों का अभ्यास करें, और निष्पादन पर ध्यान केंद्रित करें")</f>
        <v>A) विशिष्ट रक्षात्मक रणनीति तैयार करें, सेट-पीस परिदृश्यों का अभ्यास करें, और निष्पादन पर ध्यान केंद्रित करें</v>
      </c>
    </row>
    <row r="858" ht="22.5" customHeight="1">
      <c r="A858" s="2">
        <v>857.0</v>
      </c>
      <c r="B858" s="3" t="s">
        <v>7673</v>
      </c>
      <c r="C858" s="3" t="s">
        <v>7674</v>
      </c>
      <c r="D858" s="3" t="s">
        <v>7675</v>
      </c>
      <c r="F858" s="5" t="str">
        <f>IFERROR(__xludf.DUMMYFUNCTION("GOOGLETRANSLATE(A858, ""en"", ""hi"")"),"857")</f>
        <v>857</v>
      </c>
      <c r="G858" s="5" t="str">
        <f>IFERROR(__xludf.DUMMYFUNCTION("GOOGLETRANSLATE(B858, ""en"", ""hi"")"),"ढोल खेल खिलाड़ियों के लिए खेल के प्रति जागरूकता बढ़ाने का प्रभावी तरीका क्या है?")</f>
        <v>ढोल खेल खिलाड़ियों के लिए खेल के प्रति जागरूकता बढ़ाने का प्रभावी तरीका क्या है?</v>
      </c>
      <c r="H858" s="5" t="str">
        <f>IFERROR(__xludf.DUMMYFUNCTION("GOOGLETRANSLATE(C858, ""en"", ""hi"")"),"A) खेल फुटेज का विश्लेषण करें, प्रतिद्वंद्वी की रणनीति का अध्ययन करें, और मैचों के दौरान सतर्क रहें, B) केवल शारीरिक प्रशिक्षण पर ध्यान केंद्रित करें, C) खेल विश्लेषण को अनदेखा करें, D) केवल अंतर्ज्ञान पर भरोसा करें")</f>
        <v>A) खेल फुटेज का विश्लेषण करें, प्रतिद्वंद्वी की रणनीति का अध्ययन करें, और मैचों के दौरान सतर्क रहें, B) केवल शारीरिक प्रशिक्षण पर ध्यान केंद्रित करें, C) खेल विश्लेषण को अनदेखा करें, D) केवल अंतर्ज्ञान पर भरोसा करें</v>
      </c>
      <c r="I858" s="5" t="str">
        <f>IFERROR(__xludf.DUMMYFUNCTION("GOOGLETRANSLATE(D858, ""en"", ""hi"")"),"ए) खेल फुटेज का विश्लेषण करें, प्रतिद्वंद्वी की रणनीति का अध्ययन करें, और मैचों के दौरान सतर्क रहें")</f>
        <v>ए) खेल फुटेज का विश्लेषण करें, प्रतिद्वंद्वी की रणनीति का अध्ययन करें, और मैचों के दौरान सतर्क रहें</v>
      </c>
    </row>
    <row r="859" ht="22.5" customHeight="1">
      <c r="A859" s="2">
        <v>858.0</v>
      </c>
      <c r="B859" s="3" t="s">
        <v>7676</v>
      </c>
      <c r="C859" s="3" t="s">
        <v>7677</v>
      </c>
      <c r="D859" s="3" t="s">
        <v>7678</v>
      </c>
      <c r="F859" s="5" t="str">
        <f>IFERROR(__xludf.DUMMYFUNCTION("GOOGLETRANSLATE(A859, ""en"", ""hi"")"),"858")</f>
        <v>858</v>
      </c>
      <c r="G859" s="5" t="str">
        <f>IFERROR(__xludf.DUMMYFUNCTION("GOOGLETRANSLATE(B859, ""en"", ""hi"")"),"अत्यधिक आक्रामक खेल शैली वाली टीम का सामना करते समय ढोल खेल टीम को अपनी रणनीति किस प्रकार बदलनी चाहिए?")</f>
        <v>अत्यधिक आक्रामक खेल शैली वाली टीम का सामना करते समय ढोल खेल टीम को अपनी रणनीति किस प्रकार बदलनी चाहिए?</v>
      </c>
      <c r="H859" s="5" t="str">
        <f>IFERROR(__xludf.DUMMYFUNCTION("GOOGLETRANSLATE(C859, ""en"", ""hi"")"),"ए) जवाबी हमलों पर ध्यान केंद्रित करें, धैर्य बनाए रखें और प्रभावी गेंद नियंत्रण का उपयोग करें, बी) आक्रामक रणनीति पर टिके रहें, सी) प्रतिद्वंद्वी की शैली को अनदेखा करें, डी) रणनीतियों को अपनाने से बचें")</f>
        <v>ए) जवाबी हमलों पर ध्यान केंद्रित करें, धैर्य बनाए रखें और प्रभावी गेंद नियंत्रण का उपयोग करें, बी) आक्रामक रणनीति पर टिके रहें, सी) प्रतिद्वंद्वी की शैली को अनदेखा करें, डी) रणनीतियों को अपनाने से बचें</v>
      </c>
      <c r="I859" s="5" t="str">
        <f>IFERROR(__xludf.DUMMYFUNCTION("GOOGLETRANSLATE(D859, ""en"", ""hi"")"),"ए) जवाबी हमलों पर ध्यान केंद्रित करें, धैर्य बनाए रखें और प्रभावी गेंद नियंत्रण का उपयोग करें")</f>
        <v>ए) जवाबी हमलों पर ध्यान केंद्रित करें, धैर्य बनाए रखें और प्रभावी गेंद नियंत्रण का उपयोग करें</v>
      </c>
    </row>
    <row r="860" ht="22.5" customHeight="1">
      <c r="A860" s="2">
        <v>859.0</v>
      </c>
      <c r="B860" s="3" t="s">
        <v>7679</v>
      </c>
      <c r="C860" s="3" t="s">
        <v>7680</v>
      </c>
      <c r="D860" s="3" t="s">
        <v>7681</v>
      </c>
      <c r="F860" s="5" t="str">
        <f>IFERROR(__xludf.DUMMYFUNCTION("GOOGLETRANSLATE(A860, ""en"", ""hi"")"),"859")</f>
        <v>859</v>
      </c>
      <c r="G860" s="5" t="str">
        <f>IFERROR(__xludf.DUMMYFUNCTION("GOOGLETRANSLATE(B860, ""en"", ""hi"")"),"ढोल खेल खिलाड़ी के लिए एक लम्बे सत्र के दौरान अपने प्रदर्शन का प्रबंधन करते समय मुख्य विचार क्या होता है?")</f>
        <v>ढोल खेल खिलाड़ी के लिए एक लम्बे सत्र के दौरान अपने प्रदर्शन का प्रबंधन करते समय मुख्य विचार क्या होता है?</v>
      </c>
      <c r="H860" s="5" t="str">
        <f>IFERROR(__xludf.DUMMYFUNCTION("GOOGLETRANSLATE(C860, ""en"", ""hi"")"),"ए) निरंतरता बनाए रखें, थकान का प्रबंधन करें और आवश्यकतानुसार प्रशिक्षण समायोजित करें, बी) थकान को नजरअंदाज करें, सी) केवल शीर्ष प्रदर्शन पर ध्यान केंद्रित करें, डी) प्रदर्शन का प्रबंधन करने से बचें")</f>
        <v>ए) निरंतरता बनाए रखें, थकान का प्रबंधन करें और आवश्यकतानुसार प्रशिक्षण समायोजित करें, बी) थकान को नजरअंदाज करें, सी) केवल शीर्ष प्रदर्शन पर ध्यान केंद्रित करें, डी) प्रदर्शन का प्रबंधन करने से बचें</v>
      </c>
      <c r="I860" s="5" t="str">
        <f>IFERROR(__xludf.DUMMYFUNCTION("GOOGLETRANSLATE(D860, ""en"", ""hi"")"),"ए) निरंतरता बनाए रखें, थकान का प्रबंधन करें, और आवश्यकतानुसार प्रशिक्षण समायोजित करें")</f>
        <v>ए) निरंतरता बनाए रखें, थकान का प्रबंधन करें, और आवश्यकतानुसार प्रशिक्षण समायोजित करें</v>
      </c>
    </row>
    <row r="861" ht="22.5" customHeight="1">
      <c r="A861" s="2">
        <v>860.0</v>
      </c>
      <c r="B861" s="3" t="s">
        <v>7682</v>
      </c>
      <c r="C861" s="3" t="s">
        <v>7683</v>
      </c>
      <c r="D861" s="3" t="s">
        <v>7684</v>
      </c>
      <c r="F861" s="5" t="str">
        <f>IFERROR(__xludf.DUMMYFUNCTION("GOOGLETRANSLATE(A861, ""en"", ""hi"")"),"860")</f>
        <v>860</v>
      </c>
      <c r="G861" s="5" t="str">
        <f>IFERROR(__xludf.DUMMYFUNCTION("GOOGLETRANSLATE(B861, ""en"", ""hi"")"),"ढोल खेल टीम को उस स्थिति से कैसे निपटना चाहिए जहां कोई प्रमुख खिलाड़ी मैच के लिए उपलब्ध नहीं हो?")</f>
        <v>ढोल खेल टीम को उस स्थिति से कैसे निपटना चाहिए जहां कोई प्रमुख खिलाड़ी मैच के लिए उपलब्ध नहीं हो?</v>
      </c>
      <c r="H861" s="5" t="str">
        <f>IFERROR(__xludf.DUMMYFUNCTION("GOOGLETRANSLATE(C861, ""en"", ""hi"")"),"ए) रणनीतियों को समायोजित करें, वैकल्पिक खिलाड़ियों का उपयोग करें, और टीम सामंजस्य बनाए रखें, बी) अनुपस्थिति को अनदेखा करें, सी) केवल गायब खिलाड़ी पर ध्यान केंद्रित करें, डी) समायोजन करने से बचें")</f>
        <v>ए) रणनीतियों को समायोजित करें, वैकल्पिक खिलाड़ियों का उपयोग करें, और टीम सामंजस्य बनाए रखें, बी) अनुपस्थिति को अनदेखा करें, सी) केवल गायब खिलाड़ी पर ध्यान केंद्रित करें, डी) समायोजन करने से बचें</v>
      </c>
      <c r="I861" s="5" t="str">
        <f>IFERROR(__xludf.DUMMYFUNCTION("GOOGLETRANSLATE(D861, ""en"", ""hi"")"),"A) रणनीतियों को समायोजित करें, वैकल्पिक खिलाड़ियों का उपयोग करें, और टीम सामंजस्य बनाए रखें")</f>
        <v>A) रणनीतियों को समायोजित करें, वैकल्पिक खिलाड़ियों का उपयोग करें, और टीम सामंजस्य बनाए रखें</v>
      </c>
    </row>
    <row r="862" ht="22.5" customHeight="1">
      <c r="A862" s="2">
        <v>861.0</v>
      </c>
      <c r="B862" s="3" t="s">
        <v>7685</v>
      </c>
      <c r="C862" s="3" t="s">
        <v>7686</v>
      </c>
      <c r="D862" s="3" t="s">
        <v>7687</v>
      </c>
      <c r="F862" s="5" t="str">
        <f>IFERROR(__xludf.DUMMYFUNCTION("GOOGLETRANSLATE(A862, ""en"", ""hi"")"),"861")</f>
        <v>861</v>
      </c>
      <c r="G862" s="5" t="str">
        <f>IFERROR(__xludf.DUMMYFUNCTION("GOOGLETRANSLATE(B862, ""en"", ""hi"")"),"ढोल खेल खिलाड़ियों के लिए ऑफ-सीजन के दौरान अपने फिटनेस स्तर को सुधारने के लिए अनुशंसित तरीका क्या है?")</f>
        <v>ढोल खेल खिलाड़ियों के लिए ऑफ-सीजन के दौरान अपने फिटनेस स्तर को सुधारने के लिए अनुशंसित तरीका क्या है?</v>
      </c>
      <c r="H862" s="5" t="str">
        <f>IFERROR(__xludf.DUMMYFUNCTION("GOOGLETRANSLATE(C862, ""en"", ""hi"")"),"ए) एक संरचित फिटनेस कार्यक्रम का पालन करें, कंडीशनिंग पर ध्यान केंद्रित करें, और धीरे-धीरे तीव्रता बढ़ाएं, बी) फिटनेस को नजरअंदाज करें, सी) केवल कौशल विकास पर ध्यान केंद्रित करें, डी) व्यायाम से बचें")</f>
        <v>ए) एक संरचित फिटनेस कार्यक्रम का पालन करें, कंडीशनिंग पर ध्यान केंद्रित करें, और धीरे-धीरे तीव्रता बढ़ाएं, बी) फिटनेस को नजरअंदाज करें, सी) केवल कौशल विकास पर ध्यान केंद्रित करें, डी) व्यायाम से बचें</v>
      </c>
      <c r="I862" s="5" t="str">
        <f>IFERROR(__xludf.DUMMYFUNCTION("GOOGLETRANSLATE(D862, ""en"", ""hi"")"),"ए) एक संरचित फिटनेस कार्यक्रम का पालन करें, कंडीशनिंग पर ध्यान केंद्रित करें, और धीरे-धीरे तीव्रता बढ़ाएं")</f>
        <v>ए) एक संरचित फिटनेस कार्यक्रम का पालन करें, कंडीशनिंग पर ध्यान केंद्रित करें, और धीरे-धीरे तीव्रता बढ़ाएं</v>
      </c>
    </row>
    <row r="863" ht="22.5" customHeight="1">
      <c r="A863" s="2">
        <v>862.0</v>
      </c>
      <c r="B863" s="3" t="s">
        <v>7688</v>
      </c>
      <c r="C863" s="3" t="s">
        <v>7689</v>
      </c>
      <c r="D863" s="3" t="s">
        <v>7690</v>
      </c>
      <c r="F863" s="5" t="str">
        <f>IFERROR(__xludf.DUMMYFUNCTION("GOOGLETRANSLATE(A863, ""en"", ""hi"")"),"862")</f>
        <v>862</v>
      </c>
      <c r="G863" s="5" t="str">
        <f>IFERROR(__xludf.DUMMYFUNCTION("GOOGLETRANSLATE(B863, ""en"", ""hi"")"),"ढोल खेल टीम विषम मौसम की स्थिति में मैच के लिए सर्वोत्तम तैयारी कैसे कर सकती है?")</f>
        <v>ढोल खेल टीम विषम मौसम की स्थिति में मैच के लिए सर्वोत्तम तैयारी कैसे कर सकती है?</v>
      </c>
      <c r="H863" s="5" t="str">
        <f>IFERROR(__xludf.DUMMYFUNCTION("GOOGLETRANSLATE(C863, ""en"", ""hi"")"),"ए) रणनीतियों को अनुकूलित करें, उचित गियर सुनिश्चित करें, और हाइड्रेटेड रहें, बी) मौसम की स्थिति को अनदेखा करें, सी) केवल प्रदर्शन पर ध्यान केंद्रित करें, डी) तैयारी से बचें")</f>
        <v>ए) रणनीतियों को अनुकूलित करें, उचित गियर सुनिश्चित करें, और हाइड्रेटेड रहें, बी) मौसम की स्थिति को अनदेखा करें, सी) केवल प्रदर्शन पर ध्यान केंद्रित करें, डी) तैयारी से बचें</v>
      </c>
      <c r="I863" s="5" t="str">
        <f>IFERROR(__xludf.DUMMYFUNCTION("GOOGLETRANSLATE(D863, ""en"", ""hi"")"),"ए) रणनीतियों को अनुकूलित करें, उचित गियर सुनिश्चित करें, और हाइड्रेटेड रहें")</f>
        <v>ए) रणनीतियों को अनुकूलित करें, उचित गियर सुनिश्चित करें, और हाइड्रेटेड रहें</v>
      </c>
    </row>
    <row r="864" ht="22.5" customHeight="1">
      <c r="A864" s="2">
        <v>863.0</v>
      </c>
      <c r="B864" s="3" t="s">
        <v>7691</v>
      </c>
      <c r="C864" s="3" t="s">
        <v>7692</v>
      </c>
      <c r="D864" s="3" t="s">
        <v>7693</v>
      </c>
      <c r="F864" s="5" t="str">
        <f>IFERROR(__xludf.DUMMYFUNCTION("GOOGLETRANSLATE(A864, ""en"", ""hi"")"),"863")</f>
        <v>863</v>
      </c>
      <c r="G864" s="5" t="str">
        <f>IFERROR(__xludf.DUMMYFUNCTION("GOOGLETRANSLATE(B864, ""en"", ""hi"")"),"ढोल खेल खिलाड़ी के मैच-पूर्व दिनचर्या का वह महत्वपूर्ण पहलू क्या है जो सर्वोत्तम प्रदर्शन सुनिश्चित करता है?")</f>
        <v>ढोल खेल खिलाड़ी के मैच-पूर्व दिनचर्या का वह महत्वपूर्ण पहलू क्या है जो सर्वोत्तम प्रदर्शन सुनिश्चित करता है?</v>
      </c>
      <c r="H864" s="5" t="str">
        <f>IFERROR(__xludf.DUMMYFUNCTION("GOOGLETRANSLATE(C864, ""en"", ""hi"")"),"ए) एक अच्छी तरह से संरचित वार्म-अप का पालन करें, मानसिक तैयारी पर ध्यान केंद्रित करें, और रणनीतियों की समीक्षा करें, बी) प्री-मैच तैयारी को अनदेखा करें, सी) केवल शारीरिक कंडीशनिंग पर ध्यान केंद्रित करें, डी) नियमित से बचें")</f>
        <v>ए) एक अच्छी तरह से संरचित वार्म-अप का पालन करें, मानसिक तैयारी पर ध्यान केंद्रित करें, और रणनीतियों की समीक्षा करें, बी) प्री-मैच तैयारी को अनदेखा करें, सी) केवल शारीरिक कंडीशनिंग पर ध्यान केंद्रित करें, डी) नियमित से बचें</v>
      </c>
      <c r="I864" s="5" t="str">
        <f>IFERROR(__xludf.DUMMYFUNCTION("GOOGLETRANSLATE(D864, ""en"", ""hi"")"),"A) एक अच्छी तरह से संरचित वार्म-अप का पालन करें, मानसिक तैयारी पर ध्यान केंद्रित करें, और रणनीतियों की समीक्षा करें")</f>
        <v>A) एक अच्छी तरह से संरचित वार्म-अप का पालन करें, मानसिक तैयारी पर ध्यान केंद्रित करें, और रणनीतियों की समीक्षा करें</v>
      </c>
    </row>
    <row r="865" ht="22.5" customHeight="1">
      <c r="A865" s="2">
        <v>864.0</v>
      </c>
      <c r="B865" s="3" t="s">
        <v>7694</v>
      </c>
      <c r="C865" s="3" t="s">
        <v>7695</v>
      </c>
      <c r="D865" s="3" t="s">
        <v>7696</v>
      </c>
      <c r="F865" s="5" t="str">
        <f>IFERROR(__xludf.DUMMYFUNCTION("GOOGLETRANSLATE(A865, ""en"", ""hi"")"),"864")</f>
        <v>864</v>
      </c>
      <c r="G865" s="5" t="str">
        <f>IFERROR(__xludf.DUMMYFUNCTION("GOOGLETRANSLATE(B865, ""en"", ""hi"")"),"ढोल खेल टीम को उस स्थिति से कैसे निपटना चाहिए जहां पहले हाफ में प्रतिद्वंद्वी टीम उन्हें हरा रही हो?")</f>
        <v>ढोल खेल टीम को उस स्थिति से कैसे निपटना चाहिए जहां पहले हाफ में प्रतिद्वंद्वी टीम उन्हें हरा रही हो?</v>
      </c>
      <c r="H865" s="5" t="str">
        <f>IFERROR(__xludf.DUMMYFUNCTION("GOOGLETRANSLATE(C865, ""en"", ""hi"")"),"A) रणनीतियों का पुनर्मूल्यांकन करें, सामरिक समायोजन करें और टीम को प्रेरित करें, B) स्थिति को अनदेखा करें, C) केवल व्यक्तिगत प्रदर्शन पर ध्यान केंद्रित करें, D) परिवर्तन करने से बचें")</f>
        <v>A) रणनीतियों का पुनर्मूल्यांकन करें, सामरिक समायोजन करें और टीम को प्रेरित करें, B) स्थिति को अनदेखा करें, C) केवल व्यक्तिगत प्रदर्शन पर ध्यान केंद्रित करें, D) परिवर्तन करने से बचें</v>
      </c>
      <c r="I865" s="5" t="str">
        <f>IFERROR(__xludf.DUMMYFUNCTION("GOOGLETRANSLATE(D865, ""en"", ""hi"")"),"A) रणनीतियों का पुनर्मूल्यांकन करें, सामरिक समायोजन करें और टीम को प्रेरित करें")</f>
        <v>A) रणनीतियों का पुनर्मूल्यांकन करें, सामरिक समायोजन करें और टीम को प्रेरित करें</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2">
        <v>1.0</v>
      </c>
      <c r="B2" s="3" t="s">
        <v>7697</v>
      </c>
      <c r="C2" s="3" t="s">
        <v>7698</v>
      </c>
      <c r="D2" s="3" t="s">
        <v>7699</v>
      </c>
      <c r="F2" s="5" t="str">
        <f>IFERROR(__xludf.DUMMYFUNCTION("GOOGLETRANSLATE(A2, ""en"", ""hi"")"),"1")</f>
        <v>1</v>
      </c>
      <c r="G2" s="5" t="str">
        <f>IFERROR(__xludf.DUMMYFUNCTION("GOOGLETRANSLATE(B2, ""en"", ""hi"")"),"एक कंचे टूर्नामेंट के दौरान, खिलाड़ी A और खिलाड़ी B तीन गेमों में से सर्वश्रेष्ठ मैच में प्रतिस्पर्धा कर रहे हैं। प्रत्येक गेम 15 अंकों तक खेला जाता है। यदि खिलाड़ी A पहला गेम 15-10 से जीतता है और खिलाड़ी B दूसरा गेम 15-12 से जीतता है, तो खिलाड़ी A को मैच"&amp;" जीतने के लिए तीसरे गेम में क्या होना चाहिए?")</f>
        <v>एक कंचे टूर्नामेंट के दौरान, खिलाड़ी A और खिलाड़ी B तीन गेमों में से सर्वश्रेष्ठ मैच में प्रतिस्पर्धा कर रहे हैं। प्रत्येक गेम 15 अंकों तक खेला जाता है। यदि खिलाड़ी A पहला गेम 15-10 से जीतता है और खिलाड़ी B दूसरा गेम 15-12 से जीतता है, तो खिलाड़ी A को मैच जीतने के लिए तीसरे गेम में क्या होना चाहिए?</v>
      </c>
      <c r="H2" s="5" t="str">
        <f>IFERROR(__xludf.DUMMYFUNCTION("GOOGLETRANSLATE(C2, ""en"", ""hi"")"),"A) खिलाड़ी A को कम से कम 3 अंकों से जीतना होगा। , B) खिलाड़ी A को तीसरा गेम जीतना होगा। , C) खिलाड़ी A को तीसरा गेम कम से कम 3 अंकों से जीतना होगा। , D) खिलाड़ी A को तीसरे गेम में कम से कम 10 अंक बनाने होंगे।")</f>
        <v>A) खिलाड़ी A को कम से कम 3 अंकों से जीतना होगा। , B) खिलाड़ी A को तीसरा गेम जीतना होगा। , C) खिलाड़ी A को तीसरा गेम कम से कम 3 अंकों से जीतना होगा। , D) खिलाड़ी A को तीसरे गेम में कम से कम 10 अंक बनाने होंगे।</v>
      </c>
      <c r="I2" s="5" t="str">
        <f>IFERROR(__xludf.DUMMYFUNCTION("GOOGLETRANSLATE(D2, ""en"", ""hi"")"),"C) खिलाड़ी A को तीसरा गेम कम से कम 3 अंकों से जीतना होगा।")</f>
        <v>C) खिलाड़ी A को तीसरा गेम कम से कम 3 अंकों से जीतना होगा।</v>
      </c>
    </row>
    <row r="3" ht="22.5" customHeight="1">
      <c r="A3" s="2">
        <v>2.0</v>
      </c>
      <c r="B3" s="3" t="s">
        <v>7700</v>
      </c>
      <c r="C3" s="3" t="s">
        <v>7701</v>
      </c>
      <c r="D3" s="3" t="s">
        <v>7702</v>
      </c>
      <c r="F3" s="5" t="str">
        <f>IFERROR(__xludf.DUMMYFUNCTION("GOOGLETRANSLATE(A3, ""en"", ""hi"")"),"2")</f>
        <v>2</v>
      </c>
      <c r="G3" s="5" t="str">
        <f>IFERROR(__xludf.DUMMYFUNCTION("GOOGLETRANSLATE(B3, ""en"", ""hi"")"),"एक कंचे मैच में, खिलाड़ी X 11 अंक बनाता है और खिलाड़ी Y 15 अंक बनाता है। इस खेल का परिणाम क्या है?")</f>
        <v>एक कंचे मैच में, खिलाड़ी X 11 अंक बनाता है और खिलाड़ी Y 15 अंक बनाता है। इस खेल का परिणाम क्या है?</v>
      </c>
      <c r="H3" s="5" t="str">
        <f>IFERROR(__xludf.DUMMYFUNCTION("GOOGLETRANSLATE(C3, ""en"", ""hi"")"),"A) खिलाड़ी X खेल जीतता है। , B) खिलाड़ी Y खेल जीतता है। , C) खेल ड्रॉ होता है। , D) खेल तब तक जारी रहता है जब तक कि एक खिलाड़ी 20 अंक तक नहीं पहुंच जाता।")</f>
        <v>A) खिलाड़ी X खेल जीतता है। , B) खिलाड़ी Y खेल जीतता है। , C) खेल ड्रॉ होता है। , D) खेल तब तक जारी रहता है जब तक कि एक खिलाड़ी 20 अंक तक नहीं पहुंच जाता।</v>
      </c>
      <c r="I3" s="5" t="str">
        <f>IFERROR(__xludf.DUMMYFUNCTION("GOOGLETRANSLATE(D3, ""en"", ""hi"")"),"B) खिलाड़ी Y खेल जीतता है।")</f>
        <v>B) खिलाड़ी Y खेल जीतता है।</v>
      </c>
    </row>
    <row r="4" ht="22.5" customHeight="1">
      <c r="A4" s="2">
        <v>3.0</v>
      </c>
      <c r="B4" s="3" t="s">
        <v>7703</v>
      </c>
      <c r="C4" s="3" t="s">
        <v>7704</v>
      </c>
      <c r="D4" s="3" t="s">
        <v>7705</v>
      </c>
      <c r="F4" s="5" t="str">
        <f>IFERROR(__xludf.DUMMYFUNCTION("GOOGLETRANSLATE(A4, ""en"", ""hi"")"),"3")</f>
        <v>3</v>
      </c>
      <c r="G4" s="5" t="str">
        <f>IFERROR(__xludf.DUMMYFUNCTION("GOOGLETRANSLATE(B4, ""en"", ""hi"")"),"यदि एक कंचे मैच 21 अंकों की निर्धारित आवश्यकता के साथ खेला जाता है, और खिलाड़ी 1 पहला सेट 21-19 और दूसरा सेट 21-18 से जीतता है, तो मैच का परिणाम क्या होगा?")</f>
        <v>यदि एक कंचे मैच 21 अंकों की निर्धारित आवश्यकता के साथ खेला जाता है, और खिलाड़ी 1 पहला सेट 21-19 और दूसरा सेट 21-18 से जीतता है, तो मैच का परिणाम क्या होगा?</v>
      </c>
      <c r="H4" s="5" t="str">
        <f>IFERROR(__xludf.DUMMYFUNCTION("GOOGLETRANSLATE(C4, ""en"", ""hi"")"),"A) खिलाड़ी 1 मैच 2-0 से जीतता है। , B) खिलाड़ी 1 मैच 2-1 से जीतता है। , C) खिलाड़ी 2 मैच 2-0 से जीतता है। , D) मैच ड्रॉ होता है।")</f>
        <v>A) खिलाड़ी 1 मैच 2-0 से जीतता है। , B) खिलाड़ी 1 मैच 2-1 से जीतता है। , C) खिलाड़ी 2 मैच 2-0 से जीतता है। , D) मैच ड्रॉ होता है।</v>
      </c>
      <c r="I4" s="5" t="str">
        <f>IFERROR(__xludf.DUMMYFUNCTION("GOOGLETRANSLATE(D4, ""en"", ""hi"")"),"A) खिलाड़ी 1 मैच 2-0 से जीतता है।")</f>
        <v>A) खिलाड़ी 1 मैच 2-0 से जीतता है।</v>
      </c>
    </row>
    <row r="5" ht="22.5" customHeight="1">
      <c r="A5" s="2">
        <v>4.0</v>
      </c>
      <c r="B5" s="3" t="s">
        <v>7706</v>
      </c>
      <c r="C5" s="3" t="s">
        <v>7707</v>
      </c>
      <c r="D5" s="3" t="s">
        <v>7708</v>
      </c>
      <c r="F5" s="5" t="str">
        <f>IFERROR(__xludf.DUMMYFUNCTION("GOOGLETRANSLATE(A5, ""en"", ""hi"")"),"4")</f>
        <v>4</v>
      </c>
      <c r="G5" s="5" t="str">
        <f>IFERROR(__xludf.DUMMYFUNCTION("GOOGLETRANSLATE(B5, ""en"", ""hi"")"),"एक टूर्नामेंट में, खिलाड़ी A ने 3 सेट जीते जबकि खिलाड़ी B ने 2 सेट जीते। प्रत्येक सेट 15 अंकों तक खेला जाता है। मैच का स्कोर क्या है?")</f>
        <v>एक टूर्नामेंट में, खिलाड़ी A ने 3 सेट जीते जबकि खिलाड़ी B ने 2 सेट जीते। प्रत्येक सेट 15 अंकों तक खेला जाता है। मैच का स्कोर क्या है?</v>
      </c>
      <c r="H5" s="5" t="str">
        <f>IFERROR(__xludf.DUMMYFUNCTION("GOOGLETRANSLATE(C5, ""en"", ""hi"")"),"A) खिलाड़ी A ने 3-2 से जीत हासिल की। ​​, B) खिलाड़ी B ने 3-2 से जीत हासिल की। ​​, C) खिलाड़ी A ने 3-1 से जीत हासिल की। ​​, D) खिलाड़ी B ने 3-1 से जीत हासिल की।")</f>
        <v>A) खिलाड़ी A ने 3-2 से जीत हासिल की। ​​, B) खिलाड़ी B ने 3-2 से जीत हासिल की। ​​, C) खिलाड़ी A ने 3-1 से जीत हासिल की। ​​, D) खिलाड़ी B ने 3-1 से जीत हासिल की।</v>
      </c>
      <c r="I5" s="5" t="str">
        <f>IFERROR(__xludf.DUMMYFUNCTION("GOOGLETRANSLATE(D5, ""en"", ""hi"")"),"A) खिलाड़ी A ने 3-2 से जीत हासिल की।")</f>
        <v>A) खिलाड़ी A ने 3-2 से जीत हासिल की।</v>
      </c>
    </row>
    <row r="6" ht="22.5" customHeight="1">
      <c r="A6" s="2">
        <v>5.0</v>
      </c>
      <c r="B6" s="3" t="s">
        <v>7709</v>
      </c>
      <c r="C6" s="3" t="s">
        <v>7710</v>
      </c>
      <c r="D6" s="3" t="s">
        <v>7711</v>
      </c>
      <c r="F6" s="5" t="str">
        <f>IFERROR(__xludf.DUMMYFUNCTION("GOOGLETRANSLATE(A6, ""en"", ""hi"")"),"5")</f>
        <v>5</v>
      </c>
      <c r="G6" s="5" t="str">
        <f>IFERROR(__xludf.DUMMYFUNCTION("GOOGLETRANSLATE(B6, ""en"", ""hi"")"),"खिलाड़ी X और खिलाड़ी Y एक कंचे मैच खेल रहे हैं, जिसमें नियम यह है कि जो खिलाड़ी सबसे पहले 25 अंक हासिल करेगा, वह जीत जाएगा। अगर खिलाड़ी X 25 अंक और खिलाड़ी Y 20 अंक हासिल करता है, तो मैच कौन जीतेगा?")</f>
        <v>खिलाड़ी X और खिलाड़ी Y एक कंचे मैच खेल रहे हैं, जिसमें नियम यह है कि जो खिलाड़ी सबसे पहले 25 अंक हासिल करेगा, वह जीत जाएगा। अगर खिलाड़ी X 25 अंक और खिलाड़ी Y 20 अंक हासिल करता है, तो मैच कौन जीतेगा?</v>
      </c>
      <c r="H6" s="5" t="str">
        <f>IFERROR(__xludf.DUMMYFUNCTION("GOOGLETRANSLATE(C6, ""en"", ""hi"")"),"A) खिलाड़ी X जीतता है। , B) खिलाड़ी Y जीतता है। , C) मैच तब तक जारी रहता है जब तक कि एक खिलाड़ी 30 अंक नहीं बना लेता। , D) मैच ड्रॉ हो जाता है।")</f>
        <v>A) खिलाड़ी X जीतता है। , B) खिलाड़ी Y जीतता है। , C) मैच तब तक जारी रहता है जब तक कि एक खिलाड़ी 30 अंक नहीं बना लेता। , D) मैच ड्रॉ हो जाता है।</v>
      </c>
      <c r="I6" s="5" t="str">
        <f>IFERROR(__xludf.DUMMYFUNCTION("GOOGLETRANSLATE(D6, ""en"", ""hi"")"),"A) खिलाड़ी X जीतता है.")</f>
        <v>A) खिलाड़ी X जीतता है.</v>
      </c>
    </row>
    <row r="7" ht="22.5" customHeight="1">
      <c r="A7" s="2">
        <v>6.0</v>
      </c>
      <c r="B7" s="3" t="s">
        <v>7712</v>
      </c>
      <c r="C7" s="3" t="s">
        <v>7713</v>
      </c>
      <c r="D7" s="3" t="s">
        <v>7714</v>
      </c>
      <c r="F7" s="5" t="str">
        <f>IFERROR(__xludf.DUMMYFUNCTION("GOOGLETRANSLATE(A7, ""en"", ""hi"")"),"6")</f>
        <v>6</v>
      </c>
      <c r="G7" s="5" t="str">
        <f>IFERROR(__xludf.DUMMYFUNCTION("GOOGLETRANSLATE(B7, ""en"", ""hi"")"),"एक कंचे खेल में, खिलाड़ी A ने 12 अंक बनाए और खिलाड़ी B ने 15 अंक बनाए। परिणाम क्या है?")</f>
        <v>एक कंचे खेल में, खिलाड़ी A ने 12 अंक बनाए और खिलाड़ी B ने 15 अंक बनाए। परिणाम क्या है?</v>
      </c>
      <c r="H7" s="5" t="str">
        <f>IFERROR(__xludf.DUMMYFUNCTION("GOOGLETRANSLATE(C7, ""en"", ""hi"")"),"A) खिलाड़ी A खेल जीतता है। , B) खिलाड़ी B खेल जीतता है। , C) खेल बराबरी पर रहता है। , D) खेल स्थगित कर दिया जाता है।")</f>
        <v>A) खिलाड़ी A खेल जीतता है। , B) खिलाड़ी B खेल जीतता है। , C) खेल बराबरी पर रहता है। , D) खेल स्थगित कर दिया जाता है।</v>
      </c>
      <c r="I7" s="5" t="str">
        <f>IFERROR(__xludf.DUMMYFUNCTION("GOOGLETRANSLATE(D7, ""en"", ""hi"")"),"B) खिलाड़ी B खेल जीतता है।")</f>
        <v>B) खिलाड़ी B खेल जीतता है।</v>
      </c>
    </row>
    <row r="8" ht="22.5" customHeight="1">
      <c r="A8" s="2">
        <v>7.0</v>
      </c>
      <c r="B8" s="3" t="s">
        <v>7715</v>
      </c>
      <c r="C8" s="3" t="s">
        <v>7716</v>
      </c>
      <c r="D8" s="3" t="s">
        <v>7717</v>
      </c>
      <c r="F8" s="5" t="str">
        <f>IFERROR(__xludf.DUMMYFUNCTION("GOOGLETRANSLATE(A8, ""en"", ""hi"")"),"7")</f>
        <v>7</v>
      </c>
      <c r="G8" s="5" t="str">
        <f>IFERROR(__xludf.DUMMYFUNCTION("GOOGLETRANSLATE(B8, ""en"", ""hi"")"),"कंचे मैच के दौरान, खिलाड़ी A पहला सेट 16-14 से और दूसरा सेट 15-13 से जीतता है। मैच का स्कोर क्या है?")</f>
        <v>कंचे मैच के दौरान, खिलाड़ी A पहला सेट 16-14 से और दूसरा सेट 15-13 से जीतता है। मैच का स्कोर क्या है?</v>
      </c>
      <c r="H8" s="5" t="str">
        <f>IFERROR(__xludf.DUMMYFUNCTION("GOOGLETRANSLATE(C8, ""en"", ""hi"")"),"A) खिलाड़ी A 2-0 से जीतता है। , B) खिलाड़ी B 2-0 से जीतता है। , C) मैच 1-1 से बराबर है। , D) मैच अभी भी जारी है।")</f>
        <v>A) खिलाड़ी A 2-0 से जीतता है। , B) खिलाड़ी B 2-0 से जीतता है। , C) मैच 1-1 से बराबर है। , D) मैच अभी भी जारी है।</v>
      </c>
      <c r="I8" s="5" t="str">
        <f>IFERROR(__xludf.DUMMYFUNCTION("GOOGLETRANSLATE(D8, ""en"", ""hi"")"),"A) खिलाड़ी A 2-0 से जीतता है।")</f>
        <v>A) खिलाड़ी A 2-0 से जीतता है।</v>
      </c>
    </row>
    <row r="9" ht="22.5" customHeight="1">
      <c r="A9" s="2">
        <v>8.0</v>
      </c>
      <c r="B9" s="3" t="s">
        <v>7718</v>
      </c>
      <c r="C9" s="3" t="s">
        <v>7719</v>
      </c>
      <c r="D9" s="3" t="s">
        <v>7720</v>
      </c>
      <c r="F9" s="5" t="str">
        <f>IFERROR(__xludf.DUMMYFUNCTION("GOOGLETRANSLATE(A9, ""en"", ""hi"")"),"8")</f>
        <v>8</v>
      </c>
      <c r="G9" s="5" t="str">
        <f>IFERROR(__xludf.DUMMYFUNCTION("GOOGLETRANSLATE(B9, ""en"", ""hi"")"),"कंचे टूर्नामेंट में खिलाड़ी 1 ने 4 सेट जीते जबकि खिलाड़ी 2 ने 3 सेट जीते। कुल कितने सेट खेले गए?")</f>
        <v>कंचे टूर्नामेंट में खिलाड़ी 1 ने 4 सेट जीते जबकि खिलाड़ी 2 ने 3 सेट जीते। कुल कितने सेट खेले गए?</v>
      </c>
      <c r="H9" s="5" t="str">
        <f>IFERROR(__xludf.DUMMYFUNCTION("GOOGLETRANSLATE(C9, ""en"", ""hi"")"),"ए) 6 सेट, बी) 7 सेट, सी) 8 सेट, डी) 5 सेट")</f>
        <v>ए) 6 सेट, बी) 7 सेट, सी) 8 सेट, डी) 5 सेट</v>
      </c>
      <c r="I9" s="5" t="str">
        <f>IFERROR(__xludf.DUMMYFUNCTION("GOOGLETRANSLATE(D9, ""en"", ""hi"")"),"बी) 7 सेट.")</f>
        <v>बी) 7 सेट.</v>
      </c>
    </row>
    <row r="10" ht="22.5" customHeight="1">
      <c r="A10" s="2">
        <v>9.0</v>
      </c>
      <c r="B10" s="3" t="s">
        <v>7721</v>
      </c>
      <c r="C10" s="3" t="s">
        <v>7722</v>
      </c>
      <c r="D10" s="3" t="s">
        <v>7723</v>
      </c>
      <c r="F10" s="5" t="str">
        <f>IFERROR(__xludf.DUMMYFUNCTION("GOOGLETRANSLATE(A10, ""en"", ""hi"")"),"9")</f>
        <v>9</v>
      </c>
      <c r="G10" s="5" t="str">
        <f>IFERROR(__xludf.DUMMYFUNCTION("GOOGLETRANSLATE(B10, ""en"", ""hi"")"),"एक कंचे टूर्नामेंट में, खिलाड़ी X ने पहले दो गेम 15-12 और 15-10 से जीते, लेकिन अगला गेम 14-15 से हार गया। खिलाड़ी X को मैच जीतने के लिए क्या करना होगा?")</f>
        <v>एक कंचे टूर्नामेंट में, खिलाड़ी X ने पहले दो गेम 15-12 और 15-10 से जीते, लेकिन अगला गेम 14-15 से हार गया। खिलाड़ी X को मैच जीतने के लिए क्या करना होगा?</v>
      </c>
      <c r="H10" s="5" t="str">
        <f>IFERROR(__xludf.DUMMYFUNCTION("GOOGLETRANSLATE(C10, ""en"", ""hi"")"),"A) खिलाड़ी X को अगला गेम जीतना होगा। , B) खिलाड़ी X को अगला गेम कम से कम 3 अंकों से जीतना होगा। , C) खिलाड़ी X को अगले दो गेम जीतने होंगे। , D) खिलाड़ी X को एक और गेम जीतना होगा।")</f>
        <v>A) खिलाड़ी X को अगला गेम जीतना होगा। , B) खिलाड़ी X को अगला गेम कम से कम 3 अंकों से जीतना होगा। , C) खिलाड़ी X को अगले दो गेम जीतने होंगे। , D) खिलाड़ी X को एक और गेम जीतना होगा।</v>
      </c>
      <c r="I10" s="5" t="str">
        <f>IFERROR(__xludf.DUMMYFUNCTION("GOOGLETRANSLATE(D10, ""en"", ""hi"")"),"A) खिलाड़ी X को अगला गेम जीतना होगा।")</f>
        <v>A) खिलाड़ी X को अगला गेम जीतना होगा।</v>
      </c>
    </row>
    <row r="11" ht="22.5" customHeight="1">
      <c r="A11" s="2">
        <v>10.0</v>
      </c>
      <c r="B11" s="3" t="s">
        <v>7724</v>
      </c>
      <c r="C11" s="3" t="s">
        <v>7725</v>
      </c>
      <c r="D11" s="3" t="s">
        <v>7726</v>
      </c>
      <c r="F11" s="5" t="str">
        <f>IFERROR(__xludf.DUMMYFUNCTION("GOOGLETRANSLATE(A11, ""en"", ""hi"")"),"10")</f>
        <v>10</v>
      </c>
      <c r="G11" s="5" t="str">
        <f>IFERROR(__xludf.DUMMYFUNCTION("GOOGLETRANSLATE(B11, ""en"", ""hi"")"),"कंचे खेल में खिलाड़ी A ने 10 अंक बनाए और खिलाड़ी B ने 15 अंक बनाए। यदि खेल जीतने के लिए कम से कम 15 अंक चाहिए, तो परिणाम क्या होगा?")</f>
        <v>कंचे खेल में खिलाड़ी A ने 10 अंक बनाए और खिलाड़ी B ने 15 अंक बनाए। यदि खेल जीतने के लिए कम से कम 15 अंक चाहिए, तो परिणाम क्या होगा?</v>
      </c>
      <c r="H11" s="5" t="str">
        <f>IFERROR(__xludf.DUMMYFUNCTION("GOOGLETRANSLATE(C11, ""en"", ""hi"")"),"A) खिलाड़ी A जीतता है। , B) खिलाड़ी B जीतता है। , C) खेल बराबरी पर रहता है। , D) खेल तब तक जारी रहता है जब तक कि एक खिलाड़ी 20 अंक नहीं बना लेता।")</f>
        <v>A) खिलाड़ी A जीतता है। , B) खिलाड़ी B जीतता है। , C) खेल बराबरी पर रहता है। , D) खेल तब तक जारी रहता है जब तक कि एक खिलाड़ी 20 अंक नहीं बना लेता।</v>
      </c>
      <c r="I11" s="5" t="str">
        <f>IFERROR(__xludf.DUMMYFUNCTION("GOOGLETRANSLATE(D11, ""en"", ""hi"")"),"B) खिलाड़ी B जीतता है.")</f>
        <v>B) खिलाड़ी B जीतता है.</v>
      </c>
    </row>
    <row r="12" ht="22.5" customHeight="1">
      <c r="A12" s="2">
        <v>11.0</v>
      </c>
      <c r="B12" s="3" t="s">
        <v>7727</v>
      </c>
      <c r="C12" s="3" t="s">
        <v>7728</v>
      </c>
      <c r="D12" s="3" t="s">
        <v>7729</v>
      </c>
      <c r="F12" s="5" t="str">
        <f>IFERROR(__xludf.DUMMYFUNCTION("GOOGLETRANSLATE(A12, ""en"", ""hi"")"),"11")</f>
        <v>11</v>
      </c>
      <c r="G12" s="5" t="str">
        <f>IFERROR(__xludf.DUMMYFUNCTION("GOOGLETRANSLATE(B12, ""en"", ""hi"")"),"यदि खिलाड़ी A कंचे मैच में 20-18 और 21-19 के स्कोर के साथ लगातार दो सेट जीतता है, तो वर्तमान मैच स्कोर क्या है?")</f>
        <v>यदि खिलाड़ी A कंचे मैच में 20-18 और 21-19 के स्कोर के साथ लगातार दो सेट जीतता है, तो वर्तमान मैच स्कोर क्या है?</v>
      </c>
      <c r="H12" s="5" t="str">
        <f>IFERROR(__xludf.DUMMYFUNCTION("GOOGLETRANSLATE(C12, ""en"", ""hi"")"),"A) खिलाड़ी A 2-0 से आगे है। , B) खिलाड़ी B 2-0 से आगे है। , C) मैच 1-1 से बराबर है। , D) खिलाड़ी A 1-0 से आगे है।")</f>
        <v>A) खिलाड़ी A 2-0 से आगे है। , B) खिलाड़ी B 2-0 से आगे है। , C) मैच 1-1 से बराबर है। , D) खिलाड़ी A 1-0 से आगे है।</v>
      </c>
      <c r="I12" s="5" t="str">
        <f>IFERROR(__xludf.DUMMYFUNCTION("GOOGLETRANSLATE(D12, ""en"", ""hi"")"),"A) खिलाड़ी A 2-0 से आगे है।")</f>
        <v>A) खिलाड़ी A 2-0 से आगे है।</v>
      </c>
    </row>
    <row r="13" ht="22.5" customHeight="1">
      <c r="A13" s="2">
        <v>12.0</v>
      </c>
      <c r="B13" s="3" t="s">
        <v>7730</v>
      </c>
      <c r="C13" s="3" t="s">
        <v>7731</v>
      </c>
      <c r="D13" s="3" t="s">
        <v>7732</v>
      </c>
      <c r="F13" s="5" t="str">
        <f>IFERROR(__xludf.DUMMYFUNCTION("GOOGLETRANSLATE(A13, ""en"", ""hi"")"),"12")</f>
        <v>12</v>
      </c>
      <c r="G13" s="5" t="str">
        <f>IFERROR(__xludf.DUMMYFUNCTION("GOOGLETRANSLATE(B13, ""en"", ""hi"")"),"एक कंचे मैच में, खिलाड़ी A और खिलाड़ी B पाँच सेटों का सर्वश्रेष्ठ खेल खेल रहे हैं। यदि खिलाड़ी A 3 सेट जीतता है और खिलाड़ी B 1 सेट जीतता है, तो मैच का स्कोर क्या होगा?")</f>
        <v>एक कंचे मैच में, खिलाड़ी A और खिलाड़ी B पाँच सेटों का सर्वश्रेष्ठ खेल खेल रहे हैं। यदि खिलाड़ी A 3 सेट जीतता है और खिलाड़ी B 1 सेट जीतता है, तो मैच का स्कोर क्या होगा?</v>
      </c>
      <c r="H13" s="5" t="str">
        <f>IFERROR(__xludf.DUMMYFUNCTION("GOOGLETRANSLATE(C13, ""en"", ""hi"")"),"A) खिलाड़ी A 3-1 से जीतता है। , B) खिलाड़ी B 3-1 से जीतता है। , C) मैच 2-2 से बराबर है। , D) मैच जारी है।")</f>
        <v>A) खिलाड़ी A 3-1 से जीतता है। , B) खिलाड़ी B 3-1 से जीतता है। , C) मैच 2-2 से बराबर है। , D) मैच जारी है।</v>
      </c>
      <c r="I13" s="5" t="str">
        <f>IFERROR(__xludf.DUMMYFUNCTION("GOOGLETRANSLATE(D13, ""en"", ""hi"")"),"A) खिलाड़ी A 3-1 से जीतता है।")</f>
        <v>A) खिलाड़ी A 3-1 से जीतता है।</v>
      </c>
    </row>
    <row r="14" ht="22.5" customHeight="1">
      <c r="A14" s="2">
        <v>13.0</v>
      </c>
      <c r="B14" s="3" t="s">
        <v>7733</v>
      </c>
      <c r="C14" s="3" t="s">
        <v>7734</v>
      </c>
      <c r="D14" s="3" t="s">
        <v>7735</v>
      </c>
      <c r="F14" s="5" t="str">
        <f>IFERROR(__xludf.DUMMYFUNCTION("GOOGLETRANSLATE(A14, ""en"", ""hi"")"),"13")</f>
        <v>13</v>
      </c>
      <c r="G14" s="5" t="str">
        <f>IFERROR(__xludf.DUMMYFUNCTION("GOOGLETRANSLATE(B14, ""en"", ""hi"")"),"खिलाड़ी X एक कंचे मैच का पहला गेम 15-13 से जीतता है और दूसरा गेम 12-15 से हार जाता है। यदि खिलाड़ी X तीसरा गेम 15-11 से जीत जाता है, तो मैच का परिणाम क्या होगा?")</f>
        <v>खिलाड़ी X एक कंचे मैच का पहला गेम 15-13 से जीतता है और दूसरा गेम 12-15 से हार जाता है। यदि खिलाड़ी X तीसरा गेम 15-11 से जीत जाता है, तो मैच का परिणाम क्या होगा?</v>
      </c>
      <c r="H14" s="5" t="str">
        <f>IFERROR(__xludf.DUMMYFUNCTION("GOOGLETRANSLATE(C14, ""en"", ""hi"")"),"A) खिलाड़ी X 2-1 से जीतता है। , B) खिलाड़ी X 1-2 से हारता है। , C) मैच ड्रॉ होता है। , D) खिलाड़ी X 1-2 से जीतता है।")</f>
        <v>A) खिलाड़ी X 2-1 से जीतता है। , B) खिलाड़ी X 1-2 से हारता है। , C) मैच ड्रॉ होता है। , D) खिलाड़ी X 1-2 से जीतता है।</v>
      </c>
      <c r="I14" s="5" t="str">
        <f>IFERROR(__xludf.DUMMYFUNCTION("GOOGLETRANSLATE(D14, ""en"", ""hi"")"),"A) खिलाड़ी X 2-1 से जीतता है।")</f>
        <v>A) खिलाड़ी X 2-1 से जीतता है।</v>
      </c>
    </row>
    <row r="15" ht="22.5" customHeight="1">
      <c r="A15" s="2">
        <v>14.0</v>
      </c>
      <c r="B15" s="3" t="s">
        <v>7736</v>
      </c>
      <c r="C15" s="3" t="s">
        <v>7737</v>
      </c>
      <c r="D15" s="3" t="s">
        <v>7726</v>
      </c>
      <c r="F15" s="5" t="str">
        <f>IFERROR(__xludf.DUMMYFUNCTION("GOOGLETRANSLATE(A15, ""en"", ""hi"")"),"14")</f>
        <v>14</v>
      </c>
      <c r="G15" s="5" t="str">
        <f>IFERROR(__xludf.DUMMYFUNCTION("GOOGLETRANSLATE(B15, ""en"", ""hi"")"),"एक कंचे खेल में, जहाँ विजेता को 20 अंक तक पहुँचना ज़रूरी है, खिलाड़ी A 18 अंक और खिलाड़ी B 20 अंक बनाता है। परिणाम क्या होगा?")</f>
        <v>एक कंचे खेल में, जहाँ विजेता को 20 अंक तक पहुँचना ज़रूरी है, खिलाड़ी A 18 अंक और खिलाड़ी B 20 अंक बनाता है। परिणाम क्या होगा?</v>
      </c>
      <c r="H15" s="5" t="str">
        <f>IFERROR(__xludf.DUMMYFUNCTION("GOOGLETRANSLATE(C15, ""en"", ""hi"")"),"A) खिलाड़ी A जीतता है। , B) खिलाड़ी B जीतता है। , C) खेल तब तक जारी रहता है जब तक कि एक खिलाड़ी 25 अंक नहीं बना लेता। , D) खेल बराबरी पर रहता है।")</f>
        <v>A) खिलाड़ी A जीतता है। , B) खिलाड़ी B जीतता है। , C) खेल तब तक जारी रहता है जब तक कि एक खिलाड़ी 25 अंक नहीं बना लेता। , D) खेल बराबरी पर रहता है।</v>
      </c>
      <c r="I15" s="5" t="str">
        <f>IFERROR(__xludf.DUMMYFUNCTION("GOOGLETRANSLATE(D15, ""en"", ""hi"")"),"B) खिलाड़ी B जीतता है.")</f>
        <v>B) खिलाड़ी B जीतता है.</v>
      </c>
    </row>
    <row r="16" ht="22.5" customHeight="1">
      <c r="A16" s="2">
        <v>15.0</v>
      </c>
      <c r="B16" s="3" t="s">
        <v>7738</v>
      </c>
      <c r="C16" s="3" t="s">
        <v>7739</v>
      </c>
      <c r="D16" s="3" t="s">
        <v>7740</v>
      </c>
      <c r="F16" s="5" t="str">
        <f>IFERROR(__xludf.DUMMYFUNCTION("GOOGLETRANSLATE(A16, ""en"", ""hi"")"),"15")</f>
        <v>15</v>
      </c>
      <c r="G16" s="5" t="str">
        <f>IFERROR(__xludf.DUMMYFUNCTION("GOOGLETRANSLATE(B16, ""en"", ""hi"")"),"खिलाड़ी A ने 15-10, 15-11 और 15-12 के स्कोर से कंचे मैच जीता। खिलाड़ी A ने कुल कितने अंक बनाए?")</f>
        <v>खिलाड़ी A ने 15-10, 15-11 और 15-12 के स्कोर से कंचे मैच जीता। खिलाड़ी A ने कुल कितने अंक बनाए?</v>
      </c>
      <c r="H16" s="5" t="str">
        <f>IFERROR(__xludf.DUMMYFUNCTION("GOOGLETRANSLATE(C16, ""en"", ""hi"")"),"ए) 45 अंक. , बी) 60 अंक. , सी) 30 अंक. , डी) 40 अंक.")</f>
        <v>ए) 45 अंक. , बी) 60 अंक. , सी) 30 अंक. , डी) 40 अंक.</v>
      </c>
      <c r="I16" s="5" t="str">
        <f>IFERROR(__xludf.DUMMYFUNCTION("GOOGLETRANSLATE(D16, ""en"", ""hi"")"),"ए) 45 अंक.")</f>
        <v>ए) 45 अंक.</v>
      </c>
    </row>
    <row r="17" ht="22.5" customHeight="1">
      <c r="A17" s="2">
        <v>16.0</v>
      </c>
      <c r="B17" s="3" t="s">
        <v>7741</v>
      </c>
      <c r="C17" s="3" t="s">
        <v>7742</v>
      </c>
      <c r="D17" s="3" t="s">
        <v>7743</v>
      </c>
      <c r="F17" s="5" t="str">
        <f>IFERROR(__xludf.DUMMYFUNCTION("GOOGLETRANSLATE(A17, ""en"", ""hi"")"),"16")</f>
        <v>16</v>
      </c>
      <c r="G17" s="5" t="str">
        <f>IFERROR(__xludf.DUMMYFUNCTION("GOOGLETRANSLATE(B17, ""en"", ""hi"")"),"कंचे मैच के दौरान, यदि खिलाड़ी X और खिलाड़ी Y गेम में 1-1 से बराबर हैं, और अगले गेम से विजेता का निर्धारण होता है, तो कितने गेम खेले गए हैं?")</f>
        <v>कंचे मैच के दौरान, यदि खिलाड़ी X और खिलाड़ी Y गेम में 1-1 से बराबर हैं, और अगले गेम से विजेता का निर्धारण होता है, तो कितने गेम खेले गए हैं?</v>
      </c>
      <c r="H17" s="5" t="str">
        <f>IFERROR(__xludf.DUMMYFUNCTION("GOOGLETRANSLATE(C17, ""en"", ""hi"")"),"A) 3 खेल, B) 4 खेल, C) 2 खेल, D) 5 खेल।")</f>
        <v>A) 3 खेल, B) 4 खेल, C) 2 खेल, D) 5 खेल।</v>
      </c>
      <c r="I17" s="5" t="str">
        <f>IFERROR(__xludf.DUMMYFUNCTION("GOOGLETRANSLATE(D17, ""en"", ""hi"")"),"ए) 3 खेल.")</f>
        <v>ए) 3 खेल.</v>
      </c>
    </row>
    <row r="18" ht="22.5" customHeight="1">
      <c r="A18" s="2">
        <v>17.0</v>
      </c>
      <c r="B18" s="3" t="s">
        <v>7744</v>
      </c>
      <c r="C18" s="3" t="s">
        <v>7745</v>
      </c>
      <c r="D18" s="3" t="s">
        <v>7746</v>
      </c>
      <c r="F18" s="5" t="str">
        <f>IFERROR(__xludf.DUMMYFUNCTION("GOOGLETRANSLATE(A18, ""en"", ""hi"")"),"17")</f>
        <v>17</v>
      </c>
      <c r="G18" s="5" t="str">
        <f>IFERROR(__xludf.DUMMYFUNCTION("GOOGLETRANSLATE(B18, ""en"", ""hi"")"),"यदि खिलाड़ी A 15-13, 15-14 और 15-12 के स्कोर से कंचे मैच जीतता है, तो खिलाड़ी A ने कितने सेट जीते?")</f>
        <v>यदि खिलाड़ी A 15-13, 15-14 और 15-12 के स्कोर से कंचे मैच जीतता है, तो खिलाड़ी A ने कितने सेट जीते?</v>
      </c>
      <c r="H18" s="5" t="str">
        <f>IFERROR(__xludf.DUMMYFUNCTION("GOOGLETRANSLATE(C18, ""en"", ""hi"")"),"ए) 3 सेट, बी) 2 सेट, सी) 1 सेट, डी) 4 सेट")</f>
        <v>ए) 3 सेट, बी) 2 सेट, सी) 1 सेट, डी) 4 सेट</v>
      </c>
      <c r="I18" s="5" t="str">
        <f>IFERROR(__xludf.DUMMYFUNCTION("GOOGLETRANSLATE(D18, ""en"", ""hi"")"),"ए) 3 सेट.")</f>
        <v>ए) 3 सेट.</v>
      </c>
    </row>
    <row r="19" ht="22.5" customHeight="1">
      <c r="A19" s="2">
        <v>18.0</v>
      </c>
      <c r="B19" s="3" t="s">
        <v>7747</v>
      </c>
      <c r="C19" s="3" t="s">
        <v>7748</v>
      </c>
      <c r="D19" s="3" t="s">
        <v>7749</v>
      </c>
      <c r="F19" s="5" t="str">
        <f>IFERROR(__xludf.DUMMYFUNCTION("GOOGLETRANSLATE(A19, ""en"", ""hi"")"),"18")</f>
        <v>18</v>
      </c>
      <c r="G19" s="5" t="str">
        <f>IFERROR(__xludf.DUMMYFUNCTION("GOOGLETRANSLATE(B19, ""en"", ""hi"")"),"कंचे खेल में, यदि खिलाड़ी A लगातार दो सेटों में 15-14 से जीतता है और खिलाड़ी B 15-10 से जीतता है, तो मैच का स्कोर क्या होगा?")</f>
        <v>कंचे खेल में, यदि खिलाड़ी A लगातार दो सेटों में 15-14 से जीतता है और खिलाड़ी B 15-10 से जीतता है, तो मैच का स्कोर क्या होगा?</v>
      </c>
      <c r="H19" s="5" t="str">
        <f>IFERROR(__xludf.DUMMYFUNCTION("GOOGLETRANSLATE(C19, ""en"", ""hi"")"),"A) खिलाड़ी A 1-0 से आगे है। , B) खिलाड़ी B 1-0 से आगे है। , C) मैच 1-1 से बराबर है। , D) मैच अभी भी जारी है।")</f>
        <v>A) खिलाड़ी A 1-0 से आगे है। , B) खिलाड़ी B 1-0 से आगे है। , C) मैच 1-1 से बराबर है। , D) मैच अभी भी जारी है।</v>
      </c>
      <c r="I19" s="5" t="str">
        <f>IFERROR(__xludf.DUMMYFUNCTION("GOOGLETRANSLATE(D19, ""en"", ""hi"")"),"C) मैच 1-1 से बराबर है।")</f>
        <v>C) मैच 1-1 से बराबर है।</v>
      </c>
    </row>
    <row r="20" ht="22.5" customHeight="1">
      <c r="A20" s="2">
        <v>19.0</v>
      </c>
      <c r="B20" s="3" t="s">
        <v>7750</v>
      </c>
      <c r="C20" s="3" t="s">
        <v>7751</v>
      </c>
      <c r="D20" s="3" t="s">
        <v>7752</v>
      </c>
      <c r="F20" s="5" t="str">
        <f>IFERROR(__xludf.DUMMYFUNCTION("GOOGLETRANSLATE(A20, ""en"", ""hi"")"),"19")</f>
        <v>19</v>
      </c>
      <c r="G20" s="5" t="str">
        <f>IFERROR(__xludf.DUMMYFUNCTION("GOOGLETRANSLATE(B20, ""en"", ""hi"")"),"खिलाड़ी A ने 21-19 और 22-20 के स्कोर से कंचे मैच जीता। खिलाड़ी A ने कम से कम कितने अंक बनाए?")</f>
        <v>खिलाड़ी A ने 21-19 और 22-20 के स्कोर से कंचे मैच जीता। खिलाड़ी A ने कम से कम कितने अंक बनाए?</v>
      </c>
      <c r="H20" s="5" t="str">
        <f>IFERROR(__xludf.DUMMYFUNCTION("GOOGLETRANSLATE(C20, ""en"", ""hi"")"),"ए) 43 अंक., बी) 42 अंक., सी) 44 अंक., डी) 41 अंक.")</f>
        <v>ए) 43 अंक., बी) 42 अंक., सी) 44 अंक., डी) 41 अंक.</v>
      </c>
      <c r="I20" s="5" t="str">
        <f>IFERROR(__xludf.DUMMYFUNCTION("GOOGLETRANSLATE(D20, ""en"", ""hi"")"),"ए) 43 अंक.")</f>
        <v>ए) 43 अंक.</v>
      </c>
    </row>
    <row r="21" ht="22.5" customHeight="1">
      <c r="A21" s="2">
        <v>20.0</v>
      </c>
      <c r="B21" s="3" t="s">
        <v>7753</v>
      </c>
      <c r="C21" s="3" t="s">
        <v>7754</v>
      </c>
      <c r="D21" s="3" t="s">
        <v>7755</v>
      </c>
      <c r="F21" s="5" t="str">
        <f>IFERROR(__xludf.DUMMYFUNCTION("GOOGLETRANSLATE(A21, ""en"", ""hi"")"),"20")</f>
        <v>20</v>
      </c>
      <c r="G21" s="5" t="str">
        <f>IFERROR(__xludf.DUMMYFUNCTION("GOOGLETRANSLATE(B21, ""en"", ""hi"")"),"यदि एक कंचे खेल 20 अंकों तक खेला जाता है और खिलाड़ी A 20 अंक बनाता है जबकि खिलाड़ी B 15 अंक बनाता है, तो खेल का परिणाम क्या होगा?")</f>
        <v>यदि एक कंचे खेल 20 अंकों तक खेला जाता है और खिलाड़ी A 20 अंक बनाता है जबकि खिलाड़ी B 15 अंक बनाता है, तो खेल का परिणाम क्या होगा?</v>
      </c>
      <c r="H21" s="5" t="str">
        <f>IFERROR(__xludf.DUMMYFUNCTION("GOOGLETRANSLATE(C21, ""en"", ""hi"")"),"A) खिलाड़ी A जीतता है। , B) खिलाड़ी B जीतता है। , C) खेल बराबरी पर रहता है। , D) खेल तब तक जारी रहता है जब तक कि एक खिलाड़ी 25 अंक नहीं बना लेता।")</f>
        <v>A) खिलाड़ी A जीतता है। , B) खिलाड़ी B जीतता है। , C) खेल बराबरी पर रहता है। , D) खेल तब तक जारी रहता है जब तक कि एक खिलाड़ी 25 अंक नहीं बना लेता।</v>
      </c>
      <c r="I21" s="5" t="str">
        <f>IFERROR(__xludf.DUMMYFUNCTION("GOOGLETRANSLATE(D21, ""en"", ""hi"")"),"A) खिलाड़ी A जीतता है.")</f>
        <v>A) खिलाड़ी A जीतता है.</v>
      </c>
    </row>
    <row r="22" ht="22.5" customHeight="1">
      <c r="A22" s="2">
        <v>21.0</v>
      </c>
      <c r="B22" s="3" t="s">
        <v>7756</v>
      </c>
      <c r="C22" s="3" t="s">
        <v>7757</v>
      </c>
      <c r="D22" s="3" t="s">
        <v>7758</v>
      </c>
      <c r="F22" s="5" t="str">
        <f>IFERROR(__xludf.DUMMYFUNCTION("GOOGLETRANSLATE(A22, ""en"", ""hi"")"),"21")</f>
        <v>21</v>
      </c>
      <c r="G22" s="5" t="str">
        <f>IFERROR(__xludf.DUMMYFUNCTION("GOOGLETRANSLATE(B22, ""en"", ""hi"")"),"कंचे टूर्नामेंट के दौरान, यदि खिलाड़ी A और खिलाड़ी B पांच में से सर्वश्रेष्ठ मैच खेल रहे हैं और खिलाड़ी A ने 2 सेट जीते हैं जबकि खिलाड़ी B ने 1 सेट जीता है, तो मैच सुरक्षित करने के लिए खिलाड़ी A को कितने और सेट जीतने होंगे?")</f>
        <v>कंचे टूर्नामेंट के दौरान, यदि खिलाड़ी A और खिलाड़ी B पांच में से सर्वश्रेष्ठ मैच खेल रहे हैं और खिलाड़ी A ने 2 सेट जीते हैं जबकि खिलाड़ी B ने 1 सेट जीता है, तो मैच सुरक्षित करने के लिए खिलाड़ी A को कितने और सेट जीतने होंगे?</v>
      </c>
      <c r="H22" s="5" t="str">
        <f>IFERROR(__xludf.DUMMYFUNCTION("GOOGLETRANSLATE(C22, ""en"", ""hi"")"),"A) 1 और सेट., B) 2 और सेट., C) 3 और सेट., D) मैच पहले ही खिलाड़ी A द्वारा जीत लिया गया है.")</f>
        <v>A) 1 और सेट., B) 2 और सेट., C) 3 और सेट., D) मैच पहले ही खिलाड़ी A द्वारा जीत लिया गया है.</v>
      </c>
      <c r="I22" s="5" t="str">
        <f>IFERROR(__xludf.DUMMYFUNCTION("GOOGLETRANSLATE(D22, ""en"", ""hi"")"),"ए) 1 और सेट.")</f>
        <v>ए) 1 और सेट.</v>
      </c>
    </row>
    <row r="23" ht="22.5" customHeight="1">
      <c r="A23" s="2">
        <v>22.0</v>
      </c>
      <c r="B23" s="3" t="s">
        <v>7759</v>
      </c>
      <c r="C23" s="3" t="s">
        <v>7760</v>
      </c>
      <c r="D23" s="3" t="s">
        <v>7761</v>
      </c>
      <c r="F23" s="5" t="str">
        <f>IFERROR(__xludf.DUMMYFUNCTION("GOOGLETRANSLATE(A23, ""en"", ""hi"")"),"22")</f>
        <v>22</v>
      </c>
      <c r="G23" s="5" t="str">
        <f>IFERROR(__xludf.DUMMYFUNCTION("GOOGLETRANSLATE(B23, ""en"", ""hi"")"),"एक कंचे मैच में, खिलाड़ी A ने पहला सेट 15-12 से जीता और खिलाड़ी B ने दूसरा सेट 15-14 से जीता। खिलाड़ी A को मैच जीतने के लिए तीसरे सेट में क्या होना चाहिए?")</f>
        <v>एक कंचे मैच में, खिलाड़ी A ने पहला सेट 15-12 से जीता और खिलाड़ी B ने दूसरा सेट 15-14 से जीता। खिलाड़ी A को मैच जीतने के लिए तीसरे सेट में क्या होना चाहिए?</v>
      </c>
      <c r="H23" s="5" t="str">
        <f>IFERROR(__xludf.DUMMYFUNCTION("GOOGLETRANSLATE(C23, ""en"", ""hi"")"),"A) खिलाड़ी A को तीसरा सेट जीतना होगा। , B) खिलाड़ी A को तीसरा सेट कम से कम 2 अंकों से जीतना होगा। , C) खिलाड़ी A को तीसरा सेट 5 अंकों से जीतना होगा। , D) खिलाड़ी A को तीसरे सेट में कम से कम 10 अंक बनाने होंगे।")</f>
        <v>A) खिलाड़ी A को तीसरा सेट जीतना होगा। , B) खिलाड़ी A को तीसरा सेट कम से कम 2 अंकों से जीतना होगा। , C) खिलाड़ी A को तीसरा सेट 5 अंकों से जीतना होगा। , D) खिलाड़ी A को तीसरे सेट में कम से कम 10 अंक बनाने होंगे।</v>
      </c>
      <c r="I23" s="5" t="str">
        <f>IFERROR(__xludf.DUMMYFUNCTION("GOOGLETRANSLATE(D23, ""en"", ""hi"")"),"A) खिलाड़ी A को तीसरा सेट जीतना होगा।")</f>
        <v>A) खिलाड़ी A को तीसरा सेट जीतना होगा।</v>
      </c>
    </row>
    <row r="24" ht="22.5" customHeight="1">
      <c r="A24" s="2">
        <v>23.0</v>
      </c>
      <c r="B24" s="3" t="s">
        <v>7762</v>
      </c>
      <c r="C24" s="3" t="s">
        <v>7745</v>
      </c>
      <c r="D24" s="3" t="s">
        <v>7746</v>
      </c>
      <c r="F24" s="5" t="str">
        <f>IFERROR(__xludf.DUMMYFUNCTION("GOOGLETRANSLATE(A24, ""en"", ""hi"")"),"23")</f>
        <v>23</v>
      </c>
      <c r="G24" s="5" t="str">
        <f>IFERROR(__xludf.DUMMYFUNCTION("GOOGLETRANSLATE(B24, ""en"", ""hi"")"),"यदि खिलाड़ी X ने 15-11, 15-14 और 15-12 के स्कोर के साथ कंचे मैच जीता, तो खिलाड़ी X द्वारा जीते गए सेटों की कुल संख्या क्या है?")</f>
        <v>यदि खिलाड़ी X ने 15-11, 15-14 और 15-12 के स्कोर के साथ कंचे मैच जीता, तो खिलाड़ी X द्वारा जीते गए सेटों की कुल संख्या क्या है?</v>
      </c>
      <c r="H24" s="5" t="str">
        <f>IFERROR(__xludf.DUMMYFUNCTION("GOOGLETRANSLATE(C24, ""en"", ""hi"")"),"ए) 3 सेट, बी) 2 सेट, सी) 1 सेट, डी) 4 सेट")</f>
        <v>ए) 3 सेट, बी) 2 सेट, सी) 1 सेट, डी) 4 सेट</v>
      </c>
      <c r="I24" s="5" t="str">
        <f>IFERROR(__xludf.DUMMYFUNCTION("GOOGLETRANSLATE(D24, ""en"", ""hi"")"),"ए) 3 सेट.")</f>
        <v>ए) 3 सेट.</v>
      </c>
    </row>
    <row r="25" ht="22.5" customHeight="1">
      <c r="A25" s="2">
        <v>24.0</v>
      </c>
      <c r="B25" s="3" t="s">
        <v>7763</v>
      </c>
      <c r="C25" s="3" t="s">
        <v>7764</v>
      </c>
      <c r="D25" s="3" t="s">
        <v>7765</v>
      </c>
      <c r="F25" s="5" t="str">
        <f>IFERROR(__xludf.DUMMYFUNCTION("GOOGLETRANSLATE(A25, ""en"", ""hi"")"),"24")</f>
        <v>24</v>
      </c>
      <c r="G25" s="5" t="str">
        <f>IFERROR(__xludf.DUMMYFUNCTION("GOOGLETRANSLATE(B25, ""en"", ""hi"")"),"खिलाड़ी A और खिलाड़ी B एक कंचे मैच खेल रहे हैं, जिसमें प्रत्येक सेट 20 अंकों का होता है। यदि खिलाड़ी A ने पहला सेट 20-18 से और खिलाड़ी B ने दूसरा सेट 20-19 से जीता, तो मैच का स्कोर क्या है?")</f>
        <v>खिलाड़ी A और खिलाड़ी B एक कंचे मैच खेल रहे हैं, जिसमें प्रत्येक सेट 20 अंकों का होता है। यदि खिलाड़ी A ने पहला सेट 20-18 से और खिलाड़ी B ने दूसरा सेट 20-19 से जीता, तो मैच का स्कोर क्या है?</v>
      </c>
      <c r="H25" s="5" t="str">
        <f>IFERROR(__xludf.DUMMYFUNCTION("GOOGLETRANSLATE(C25, ""en"", ""hi"")"),"ए) 1-1. , बी) 2-0. , सी) 0-2. , डी) 1-0.")</f>
        <v>ए) 1-1. , बी) 2-0. , सी) 0-2. , डी) 1-0.</v>
      </c>
      <c r="I25" s="5" t="str">
        <f>IFERROR(__xludf.DUMMYFUNCTION("GOOGLETRANSLATE(D25, ""en"", ""hi"")"),"ए) 1-1.")</f>
        <v>ए) 1-1.</v>
      </c>
    </row>
    <row r="26" ht="22.5" customHeight="1">
      <c r="A26" s="2">
        <v>25.0</v>
      </c>
      <c r="B26" s="3" t="s">
        <v>7766</v>
      </c>
      <c r="C26" s="3" t="s">
        <v>7767</v>
      </c>
      <c r="D26" s="3" t="s">
        <v>7726</v>
      </c>
      <c r="F26" s="5" t="str">
        <f>IFERROR(__xludf.DUMMYFUNCTION("GOOGLETRANSLATE(A26, ""en"", ""hi"")"),"25")</f>
        <v>25</v>
      </c>
      <c r="G26" s="5" t="str">
        <f>IFERROR(__xludf.DUMMYFUNCTION("GOOGLETRANSLATE(B26, ""en"", ""hi"")"),"एक कंचे खेल में, यदि खिलाड़ी A ने 10 अंक बनाए और खिलाड़ी B ने 15 अंक बनाए, तो खेल का परिणाम क्या है?")</f>
        <v>एक कंचे खेल में, यदि खिलाड़ी A ने 10 अंक बनाए और खिलाड़ी B ने 15 अंक बनाए, तो खेल का परिणाम क्या है?</v>
      </c>
      <c r="H26" s="5" t="str">
        <f>IFERROR(__xludf.DUMMYFUNCTION("GOOGLETRANSLATE(C26, ""en"", ""hi"")"),"A) खिलाड़ी A जीतता है। , B) खिलाड़ी B जीतता है। , C) खेल बराबरी पर रहता है। , D) खेल स्थगित हो जाता है।")</f>
        <v>A) खिलाड़ी A जीतता है। , B) खिलाड़ी B जीतता है। , C) खेल बराबरी पर रहता है। , D) खेल स्थगित हो जाता है।</v>
      </c>
      <c r="I26" s="5" t="str">
        <f>IFERROR(__xludf.DUMMYFUNCTION("GOOGLETRANSLATE(D26, ""en"", ""hi"")"),"B) खिलाड़ी B जीतता है.")</f>
        <v>B) खिलाड़ी B जीतता है.</v>
      </c>
    </row>
    <row r="27" ht="22.5" customHeight="1">
      <c r="A27" s="2">
        <v>26.0</v>
      </c>
      <c r="B27" s="3" t="s">
        <v>7768</v>
      </c>
      <c r="C27" s="3" t="s">
        <v>7734</v>
      </c>
      <c r="D27" s="3" t="s">
        <v>7735</v>
      </c>
      <c r="F27" s="5" t="str">
        <f>IFERROR(__xludf.DUMMYFUNCTION("GOOGLETRANSLATE(A27, ""en"", ""hi"")"),"26")</f>
        <v>26</v>
      </c>
      <c r="G27" s="5" t="str">
        <f>IFERROR(__xludf.DUMMYFUNCTION("GOOGLETRANSLATE(B27, ""en"", ""hi"")"),"कंचे मैच के दौरान, यदि खिलाड़ी X दो गेम 15-13 और 15-12 से जीतता है और एक गेम 12-15 से हार जाता है, तो मैच का परिणाम क्या होगा?")</f>
        <v>कंचे मैच के दौरान, यदि खिलाड़ी X दो गेम 15-13 और 15-12 से जीतता है और एक गेम 12-15 से हार जाता है, तो मैच का परिणाम क्या होगा?</v>
      </c>
      <c r="H27" s="5" t="str">
        <f>IFERROR(__xludf.DUMMYFUNCTION("GOOGLETRANSLATE(C27, ""en"", ""hi"")"),"A) खिलाड़ी X 2-1 से जीतता है। , B) खिलाड़ी X 1-2 से हारता है। , C) मैच ड्रॉ होता है। , D) खिलाड़ी X 1-2 से जीतता है।")</f>
        <v>A) खिलाड़ी X 2-1 से जीतता है। , B) खिलाड़ी X 1-2 से हारता है। , C) मैच ड्रॉ होता है। , D) खिलाड़ी X 1-2 से जीतता है।</v>
      </c>
      <c r="I27" s="5" t="str">
        <f>IFERROR(__xludf.DUMMYFUNCTION("GOOGLETRANSLATE(D27, ""en"", ""hi"")"),"A) खिलाड़ी X 2-1 से जीतता है।")</f>
        <v>A) खिलाड़ी X 2-1 से जीतता है।</v>
      </c>
    </row>
    <row r="28" ht="22.5" customHeight="1">
      <c r="A28" s="2">
        <v>27.0</v>
      </c>
      <c r="B28" s="3" t="s">
        <v>7769</v>
      </c>
      <c r="C28" s="3" t="s">
        <v>7725</v>
      </c>
      <c r="D28" s="3" t="s">
        <v>7726</v>
      </c>
      <c r="F28" s="5" t="str">
        <f>IFERROR(__xludf.DUMMYFUNCTION("GOOGLETRANSLATE(A28, ""en"", ""hi"")"),"27")</f>
        <v>27</v>
      </c>
      <c r="G28" s="5" t="str">
        <f>IFERROR(__xludf.DUMMYFUNCTION("GOOGLETRANSLATE(B28, ""en"", ""hi"")"),"एक कंचे खेल में, यदि खिलाड़ी A ने 14 अंक बनाए और खिलाड़ी B ने 15 अंक बनाए, तो परिणाम क्या होगा?")</f>
        <v>एक कंचे खेल में, यदि खिलाड़ी A ने 14 अंक बनाए और खिलाड़ी B ने 15 अंक बनाए, तो परिणाम क्या होगा?</v>
      </c>
      <c r="H28" s="5" t="str">
        <f>IFERROR(__xludf.DUMMYFUNCTION("GOOGLETRANSLATE(C28, ""en"", ""hi"")"),"A) खिलाड़ी A जीतता है। , B) खिलाड़ी B जीतता है। , C) खेल बराबरी पर रहता है। , D) खेल तब तक जारी रहता है जब तक कि एक खिलाड़ी 20 अंक नहीं बना लेता।")</f>
        <v>A) खिलाड़ी A जीतता है। , B) खिलाड़ी B जीतता है। , C) खेल बराबरी पर रहता है। , D) खेल तब तक जारी रहता है जब तक कि एक खिलाड़ी 20 अंक नहीं बना लेता।</v>
      </c>
      <c r="I28" s="5" t="str">
        <f>IFERROR(__xludf.DUMMYFUNCTION("GOOGLETRANSLATE(D28, ""en"", ""hi"")"),"B) खिलाड़ी B जीतता है.")</f>
        <v>B) खिलाड़ी B जीतता है.</v>
      </c>
    </row>
    <row r="29" ht="22.5" customHeight="1">
      <c r="A29" s="2">
        <v>28.0</v>
      </c>
      <c r="B29" s="3" t="s">
        <v>7770</v>
      </c>
      <c r="C29" s="3" t="s">
        <v>7764</v>
      </c>
      <c r="D29" s="3" t="s">
        <v>7765</v>
      </c>
      <c r="F29" s="5" t="str">
        <f>IFERROR(__xludf.DUMMYFUNCTION("GOOGLETRANSLATE(A29, ""en"", ""hi"")"),"28")</f>
        <v>28</v>
      </c>
      <c r="G29" s="5" t="str">
        <f>IFERROR(__xludf.DUMMYFUNCTION("GOOGLETRANSLATE(B29, ""en"", ""hi"")"),"यदि कंचे मैच में खिलाड़ी X 21-19 से जीतता है और खिलाड़ी Y 21-20 से जीतता है, तो मैच का स्कोर क्या होगा?")</f>
        <v>यदि कंचे मैच में खिलाड़ी X 21-19 से जीतता है और खिलाड़ी Y 21-20 से जीतता है, तो मैच का स्कोर क्या होगा?</v>
      </c>
      <c r="H29" s="5" t="str">
        <f>IFERROR(__xludf.DUMMYFUNCTION("GOOGLETRANSLATE(C29, ""en"", ""hi"")"),"ए) 1-1. , बी) 2-0. , सी) 0-2. , डी) 1-0.")</f>
        <v>ए) 1-1. , बी) 2-0. , सी) 0-2. , डी) 1-0.</v>
      </c>
      <c r="I29" s="5" t="str">
        <f>IFERROR(__xludf.DUMMYFUNCTION("GOOGLETRANSLATE(D29, ""en"", ""hi"")"),"ए) 1-1.")</f>
        <v>ए) 1-1.</v>
      </c>
    </row>
    <row r="30" ht="22.5" customHeight="1">
      <c r="A30" s="2">
        <v>29.0</v>
      </c>
      <c r="B30" s="3" t="s">
        <v>7771</v>
      </c>
      <c r="C30" s="3" t="s">
        <v>7772</v>
      </c>
      <c r="D30" s="3" t="s">
        <v>7740</v>
      </c>
      <c r="F30" s="5" t="str">
        <f>IFERROR(__xludf.DUMMYFUNCTION("GOOGLETRANSLATE(A30, ""en"", ""hi"")"),"29")</f>
        <v>29</v>
      </c>
      <c r="G30" s="5" t="str">
        <f>IFERROR(__xludf.DUMMYFUNCTION("GOOGLETRANSLATE(B30, ""en"", ""hi"")"),"खिलाड़ी A ने 15-10, 15-11 और 15-12 के स्कोर से कंचे मैच जीता। खिलाड़ी A द्वारा बनाए गए कुल अंक कितने हैं?")</f>
        <v>खिलाड़ी A ने 15-10, 15-11 और 15-12 के स्कोर से कंचे मैच जीता। खिलाड़ी A द्वारा बनाए गए कुल अंक कितने हैं?</v>
      </c>
      <c r="H30" s="5" t="str">
        <f>IFERROR(__xludf.DUMMYFUNCTION("GOOGLETRANSLATE(C30, ""en"", ""hi"")"),"ए) 45 अंक., बी) 44 अंक., सी) 46 अंक., डी) 42 अंक.")</f>
        <v>ए) 45 अंक., बी) 44 अंक., सी) 46 अंक., डी) 42 अंक.</v>
      </c>
      <c r="I30" s="5" t="str">
        <f>IFERROR(__xludf.DUMMYFUNCTION("GOOGLETRANSLATE(D30, ""en"", ""hi"")"),"ए) 45 अंक.")</f>
        <v>ए) 45 अंक.</v>
      </c>
    </row>
    <row r="31" ht="22.5" customHeight="1">
      <c r="A31" s="2">
        <v>30.0</v>
      </c>
      <c r="B31" s="3" t="s">
        <v>7773</v>
      </c>
      <c r="C31" s="3" t="s">
        <v>7774</v>
      </c>
      <c r="D31" s="3" t="s">
        <v>7740</v>
      </c>
      <c r="F31" s="5" t="str">
        <f>IFERROR(__xludf.DUMMYFUNCTION("GOOGLETRANSLATE(A31, ""en"", ""hi"")"),"30")</f>
        <v>30</v>
      </c>
      <c r="G31" s="5" t="str">
        <f>IFERROR(__xludf.DUMMYFUNCTION("GOOGLETRANSLATE(B31, ""en"", ""hi"")"),"एक कंचे मैच में, यदि खिलाड़ी A ने 15-13, 15-12 और 15-14 के स्कोर के साथ 3 सेट जीते, तो खिलाड़ी A द्वारा बनाए गए कुल अंक क्या हैं?")</f>
        <v>एक कंचे मैच में, यदि खिलाड़ी A ने 15-13, 15-12 और 15-14 के स्कोर के साथ 3 सेट जीते, तो खिलाड़ी A द्वारा बनाए गए कुल अंक क्या हैं?</v>
      </c>
      <c r="H31" s="5" t="str">
        <f>IFERROR(__xludf.DUMMYFUNCTION("GOOGLETRANSLATE(C31, ""en"", ""hi"")"),"ए) 45 अंक., बी) 46 अंक., सी) 44 अंक., डी) 50 अंक.")</f>
        <v>ए) 45 अंक., बी) 46 अंक., सी) 44 अंक., डी) 50 अंक.</v>
      </c>
      <c r="I31" s="5" t="str">
        <f>IFERROR(__xludf.DUMMYFUNCTION("GOOGLETRANSLATE(D31, ""en"", ""hi"")"),"ए) 45 अंक.")</f>
        <v>ए) 45 अंक.</v>
      </c>
    </row>
    <row r="32" ht="22.5" customHeight="1">
      <c r="A32" s="2">
        <v>31.0</v>
      </c>
      <c r="B32" s="3" t="s">
        <v>7775</v>
      </c>
      <c r="C32" s="3" t="s">
        <v>7742</v>
      </c>
      <c r="D32" s="3" t="s">
        <v>7776</v>
      </c>
      <c r="F32" s="5" t="str">
        <f>IFERROR(__xludf.DUMMYFUNCTION("GOOGLETRANSLATE(A32, ""en"", ""hi"")"),"31")</f>
        <v>31</v>
      </c>
      <c r="G32" s="5" t="str">
        <f>IFERROR(__xludf.DUMMYFUNCTION("GOOGLETRANSLATE(B32, ""en"", ""hi"")"),"खिलाड़ी X ने कंचे मैच में 5 में से 3 गेम जीते। मैच विजेता बनने के लिए खिलाड़ी X अधिकतम कितने गेम जीत सकता था?")</f>
        <v>खिलाड़ी X ने कंचे मैच में 5 में से 3 गेम जीते। मैच विजेता बनने के लिए खिलाड़ी X अधिकतम कितने गेम जीत सकता था?</v>
      </c>
      <c r="H32" s="5" t="str">
        <f>IFERROR(__xludf.DUMMYFUNCTION("GOOGLETRANSLATE(C32, ""en"", ""hi"")"),"A) 3 खेल, B) 4 खेल, C) 2 खेल, D) 5 खेल।")</f>
        <v>A) 3 खेल, B) 4 खेल, C) 2 खेल, D) 5 खेल।</v>
      </c>
      <c r="I32" s="5" t="str">
        <f>IFERROR(__xludf.DUMMYFUNCTION("GOOGLETRANSLATE(D32, ""en"", ""hi"")"),"बी) 4 खेल.")</f>
        <v>बी) 4 खेल.</v>
      </c>
    </row>
    <row r="33" ht="22.5" customHeight="1">
      <c r="A33" s="2">
        <v>32.0</v>
      </c>
      <c r="B33" s="3" t="s">
        <v>7777</v>
      </c>
      <c r="C33" s="3" t="s">
        <v>7778</v>
      </c>
      <c r="D33" s="3" t="s">
        <v>7779</v>
      </c>
      <c r="F33" s="5" t="str">
        <f>IFERROR(__xludf.DUMMYFUNCTION("GOOGLETRANSLATE(A33, ""en"", ""hi"")"),"32")</f>
        <v>32</v>
      </c>
      <c r="G33" s="5" t="str">
        <f>IFERROR(__xludf.DUMMYFUNCTION("GOOGLETRANSLATE(B33, ""en"", ""hi"")"),"एक कंचे मैच के दौरान, यदि खिलाड़ी A ने एक सेट में 18 अंक और खिलाड़ी B ने 15 अंक बनाए, तो उस सेट का परिणाम क्या है?")</f>
        <v>एक कंचे मैच के दौरान, यदि खिलाड़ी A ने एक सेट में 18 अंक और खिलाड़ी B ने 15 अंक बनाए, तो उस सेट का परिणाम क्या है?</v>
      </c>
      <c r="H33" s="5" t="str">
        <f>IFERROR(__xludf.DUMMYFUNCTION("GOOGLETRANSLATE(C33, ""en"", ""hi"")"),"A) खिलाड़ी A सेट जीतता है। , B) खिलाड़ी B सेट जीतता है। , C) सेट बराबरी पर रहता है। , D) सेट तब तक जारी रहता है जब तक कि एक खिलाड़ी 20 अंक नहीं बना लेता।")</f>
        <v>A) खिलाड़ी A सेट जीतता है। , B) खिलाड़ी B सेट जीतता है। , C) सेट बराबरी पर रहता है। , D) सेट तब तक जारी रहता है जब तक कि एक खिलाड़ी 20 अंक नहीं बना लेता।</v>
      </c>
      <c r="I33" s="5" t="str">
        <f>IFERROR(__xludf.DUMMYFUNCTION("GOOGLETRANSLATE(D33, ""en"", ""hi"")"),"A) खिलाड़ी A सेट जीतता है।")</f>
        <v>A) खिलाड़ी A सेट जीतता है।</v>
      </c>
    </row>
    <row r="34" ht="22.5" customHeight="1">
      <c r="A34" s="2">
        <v>33.0</v>
      </c>
      <c r="B34" s="3" t="s">
        <v>7780</v>
      </c>
      <c r="C34" s="3" t="s">
        <v>7781</v>
      </c>
      <c r="D34" s="3" t="s">
        <v>7782</v>
      </c>
      <c r="F34" s="5" t="str">
        <f>IFERROR(__xludf.DUMMYFUNCTION("GOOGLETRANSLATE(A34, ""en"", ""hi"")"),"33")</f>
        <v>33</v>
      </c>
      <c r="G34" s="5" t="str">
        <f>IFERROR(__xludf.DUMMYFUNCTION("GOOGLETRANSLATE(B34, ""en"", ""hi"")"),"यदि खिलाड़ी A 15-14 और 15-12 के स्कोर के साथ कंचे मैच जीतता है, तो खिलाड़ी A द्वारा जीते गए सेटों की न्यूनतम संख्या क्या है?")</f>
        <v>यदि खिलाड़ी A 15-14 और 15-12 के स्कोर के साथ कंचे मैच जीतता है, तो खिलाड़ी A द्वारा जीते गए सेटों की न्यूनतम संख्या क्या है?</v>
      </c>
      <c r="H34" s="5" t="str">
        <f>IFERROR(__xludf.DUMMYFUNCTION("GOOGLETRANSLATE(C34, ""en"", ""hi"")"),"ए) 2 सेट, बी) 3 सेट, सी) 1 सेट, डी) 4 सेट")</f>
        <v>ए) 2 सेट, बी) 3 सेट, सी) 1 सेट, डी) 4 सेट</v>
      </c>
      <c r="I34" s="5" t="str">
        <f>IFERROR(__xludf.DUMMYFUNCTION("GOOGLETRANSLATE(D34, ""en"", ""hi"")"),"ए) 2 सेट.")</f>
        <v>ए) 2 सेट.</v>
      </c>
    </row>
    <row r="35" ht="22.5" customHeight="1">
      <c r="A35" s="2">
        <v>34.0</v>
      </c>
      <c r="B35" s="3" t="s">
        <v>7783</v>
      </c>
      <c r="C35" s="3" t="s">
        <v>7784</v>
      </c>
      <c r="D35" s="3" t="s">
        <v>7785</v>
      </c>
      <c r="F35" s="5" t="str">
        <f>IFERROR(__xludf.DUMMYFUNCTION("GOOGLETRANSLATE(A35, ""en"", ""hi"")"),"34")</f>
        <v>34</v>
      </c>
      <c r="G35" s="5" t="str">
        <f>IFERROR(__xludf.DUMMYFUNCTION("GOOGLETRANSLATE(B35, ""en"", ""hi"")"),"25 अंकों तक खेले गए एक कंचे खेल में, यदि खिलाड़ी A 25 अंक और खिलाड़ी B 20 अंक बनाता है, तो परिणाम क्या होगा?")</f>
        <v>25 अंकों तक खेले गए एक कंचे खेल में, यदि खिलाड़ी A 25 अंक और खिलाड़ी B 20 अंक बनाता है, तो परिणाम क्या होगा?</v>
      </c>
      <c r="H35" s="5" t="str">
        <f>IFERROR(__xludf.DUMMYFUNCTION("GOOGLETRANSLATE(C35, ""en"", ""hi"")"),"A) खिलाड़ी A खेल जीतता है। , B) खिलाड़ी B खेल जीतता है। , C) खेल बराबरी पर रहता है। , D) खेल तब तक जारी रहता है जब तक कि एक खिलाड़ी 30 अंक नहीं बना लेता।")</f>
        <v>A) खिलाड़ी A खेल जीतता है। , B) खिलाड़ी B खेल जीतता है। , C) खेल बराबरी पर रहता है। , D) खेल तब तक जारी रहता है जब तक कि एक खिलाड़ी 30 अंक नहीं बना लेता।</v>
      </c>
      <c r="I35" s="5" t="str">
        <f>IFERROR(__xludf.DUMMYFUNCTION("GOOGLETRANSLATE(D35, ""en"", ""hi"")"),"A) खिलाड़ी A खेल जीतता है।")</f>
        <v>A) खिलाड़ी A खेल जीतता है।</v>
      </c>
    </row>
    <row r="36" ht="22.5" customHeight="1">
      <c r="A36" s="2">
        <v>35.0</v>
      </c>
      <c r="B36" s="3" t="s">
        <v>7786</v>
      </c>
      <c r="C36" s="3" t="s">
        <v>7745</v>
      </c>
      <c r="D36" s="3" t="s">
        <v>7746</v>
      </c>
      <c r="F36" s="5" t="str">
        <f>IFERROR(__xludf.DUMMYFUNCTION("GOOGLETRANSLATE(A36, ""en"", ""hi"")"),"35")</f>
        <v>35</v>
      </c>
      <c r="G36" s="5" t="str">
        <f>IFERROR(__xludf.DUMMYFUNCTION("GOOGLETRANSLATE(B36, ""en"", ""hi"")"),"खिलाड़ी X ने 15-11, 15-13 और 15-10 के स्कोर से कंचे मैच जीत लिया। खिलाड़ी X द्वारा जीते गए सेटों की कुल संख्या कितनी है?")</f>
        <v>खिलाड़ी X ने 15-11, 15-13 और 15-10 के स्कोर से कंचे मैच जीत लिया। खिलाड़ी X द्वारा जीते गए सेटों की कुल संख्या कितनी है?</v>
      </c>
      <c r="H36" s="5" t="str">
        <f>IFERROR(__xludf.DUMMYFUNCTION("GOOGLETRANSLATE(C36, ""en"", ""hi"")"),"ए) 3 सेट, बी) 2 सेट, सी) 1 सेट, डी) 4 सेट")</f>
        <v>ए) 3 सेट, बी) 2 सेट, सी) 1 सेट, डी) 4 सेट</v>
      </c>
      <c r="I36" s="5" t="str">
        <f>IFERROR(__xludf.DUMMYFUNCTION("GOOGLETRANSLATE(D36, ""en"", ""hi"")"),"ए) 3 सेट.")</f>
        <v>ए) 3 सेट.</v>
      </c>
    </row>
    <row r="37" ht="22.5" customHeight="1">
      <c r="A37" s="2">
        <v>36.0</v>
      </c>
      <c r="B37" s="3" t="s">
        <v>7787</v>
      </c>
      <c r="C37" s="3" t="s">
        <v>7788</v>
      </c>
      <c r="D37" s="3" t="s">
        <v>7743</v>
      </c>
      <c r="F37" s="5" t="str">
        <f>IFERROR(__xludf.DUMMYFUNCTION("GOOGLETRANSLATE(A37, ""en"", ""hi"")"),"36")</f>
        <v>36</v>
      </c>
      <c r="G37" s="5" t="str">
        <f>IFERROR(__xludf.DUMMYFUNCTION("GOOGLETRANSLATE(B37, ""en"", ""hi"")"),"यदि खिलाड़ी A ने कंचे मैच में 3 में से 2 गेम जीते और प्रत्येक गेम 15 अंकों तक खेला गया, तो खेले गए गेमों की कुल संख्या क्या है?")</f>
        <v>यदि खिलाड़ी A ने कंचे मैच में 3 में से 2 गेम जीते और प्रत्येक गेम 15 अंकों तक खेला गया, तो खेले गए गेमों की कुल संख्या क्या है?</v>
      </c>
      <c r="H37" s="5" t="str">
        <f>IFERROR(__xludf.DUMMYFUNCTION("GOOGLETRANSLATE(C37, ""en"", ""hi"")"),"A) 3 खेल, B) 2 खेल, C) 4 खेल, D) 5 खेल।")</f>
        <v>A) 3 खेल, B) 2 खेल, C) 4 खेल, D) 5 खेल।</v>
      </c>
      <c r="I37" s="5" t="str">
        <f>IFERROR(__xludf.DUMMYFUNCTION("GOOGLETRANSLATE(D37, ""en"", ""hi"")"),"ए) 3 खेल.")</f>
        <v>ए) 3 खेल.</v>
      </c>
    </row>
    <row r="38" ht="22.5" customHeight="1">
      <c r="A38" s="2">
        <v>37.0</v>
      </c>
      <c r="B38" s="3" t="s">
        <v>7789</v>
      </c>
      <c r="C38" s="3" t="s">
        <v>7764</v>
      </c>
      <c r="D38" s="3" t="s">
        <v>7765</v>
      </c>
      <c r="F38" s="5" t="str">
        <f>IFERROR(__xludf.DUMMYFUNCTION("GOOGLETRANSLATE(A38, ""en"", ""hi"")"),"37")</f>
        <v>37</v>
      </c>
      <c r="G38" s="5" t="str">
        <f>IFERROR(__xludf.DUMMYFUNCTION("GOOGLETRANSLATE(B38, ""en"", ""hi"")"),"कंचे मैच के दौरान, यदि खिलाड़ी A 15-14 से जीता और खिलाड़ी B 15-13 से जीता, तो मैच का स्कोर क्या होगा?")</f>
        <v>कंचे मैच के दौरान, यदि खिलाड़ी A 15-14 से जीता और खिलाड़ी B 15-13 से जीता, तो मैच का स्कोर क्या होगा?</v>
      </c>
      <c r="H38" s="5" t="str">
        <f>IFERROR(__xludf.DUMMYFUNCTION("GOOGLETRANSLATE(C38, ""en"", ""hi"")"),"ए) 1-1. , बी) 2-0. , सी) 0-2. , डी) 1-0.")</f>
        <v>ए) 1-1. , बी) 2-0. , सी) 0-2. , डी) 1-0.</v>
      </c>
      <c r="I38" s="5" t="str">
        <f>IFERROR(__xludf.DUMMYFUNCTION("GOOGLETRANSLATE(D38, ""en"", ""hi"")"),"ए) 1-1.")</f>
        <v>ए) 1-1.</v>
      </c>
    </row>
    <row r="39" ht="22.5" customHeight="1">
      <c r="A39" s="2">
        <v>38.0</v>
      </c>
      <c r="B39" s="3" t="s">
        <v>7790</v>
      </c>
      <c r="C39" s="3" t="s">
        <v>7791</v>
      </c>
      <c r="D39" s="3" t="s">
        <v>7792</v>
      </c>
      <c r="F39" s="5" t="str">
        <f>IFERROR(__xludf.DUMMYFUNCTION("GOOGLETRANSLATE(A39, ""en"", ""hi"")"),"38")</f>
        <v>38</v>
      </c>
      <c r="G39" s="5" t="str">
        <f>IFERROR(__xludf.DUMMYFUNCTION("GOOGLETRANSLATE(B39, ""en"", ""hi"")"),"खिलाड़ी A ने कंचे मैच 15-13 और 15-14 के स्कोर से जीता। खिलाड़ी A ने कम से कम कितने गेम जीते?")</f>
        <v>खिलाड़ी A ने कंचे मैच 15-13 और 15-14 के स्कोर से जीता। खिलाड़ी A ने कम से कम कितने गेम जीते?</v>
      </c>
      <c r="H39" s="5" t="str">
        <f>IFERROR(__xludf.DUMMYFUNCTION("GOOGLETRANSLATE(C39, ""en"", ""hi"")"),"A) 2 खेल, B) 1 खेल, C) 3 खेल, D) 4 खेल।")</f>
        <v>A) 2 खेल, B) 1 खेल, C) 3 खेल, D) 4 खेल।</v>
      </c>
      <c r="I39" s="5" t="str">
        <f>IFERROR(__xludf.DUMMYFUNCTION("GOOGLETRANSLATE(D39, ""en"", ""hi"")"),"ए) 2 खेल.")</f>
        <v>ए) 2 खेल.</v>
      </c>
    </row>
    <row r="40" ht="22.5" customHeight="1">
      <c r="A40" s="2">
        <v>39.0</v>
      </c>
      <c r="B40" s="3" t="s">
        <v>7793</v>
      </c>
      <c r="C40" s="3" t="s">
        <v>7794</v>
      </c>
      <c r="D40" s="3" t="s">
        <v>7723</v>
      </c>
      <c r="F40" s="5" t="str">
        <f>IFERROR(__xludf.DUMMYFUNCTION("GOOGLETRANSLATE(A40, ""en"", ""hi"")"),"39")</f>
        <v>39</v>
      </c>
      <c r="G40" s="5" t="str">
        <f>IFERROR(__xludf.DUMMYFUNCTION("GOOGLETRANSLATE(B40, ""en"", ""hi"")"),"यदि खिलाड़ी X पहला गेम 15-13 से जीत गया और दूसरा गेम 14-15 से हार गया, तो मैच जीतने के लिए खिलाड़ी X को क्या करना होगा?")</f>
        <v>यदि खिलाड़ी X पहला गेम 15-13 से जीत गया और दूसरा गेम 14-15 से हार गया, तो मैच जीतने के लिए खिलाड़ी X को क्या करना होगा?</v>
      </c>
      <c r="H40" s="5" t="str">
        <f>IFERROR(__xludf.DUMMYFUNCTION("GOOGLETRANSLATE(C40, ""en"", ""hi"")"),"A) खिलाड़ी X को अगला गेम जीतना होगा। , B) खिलाड़ी X को अगला गेम कम से कम 2 अंकों से जीतना होगा। , C) खिलाड़ी X को अगले दो गेम जीतने होंगे। , D) खिलाड़ी X को एक और गेम जीतना होगा।")</f>
        <v>A) खिलाड़ी X को अगला गेम जीतना होगा। , B) खिलाड़ी X को अगला गेम कम से कम 2 अंकों से जीतना होगा। , C) खिलाड़ी X को अगले दो गेम जीतने होंगे। , D) खिलाड़ी X को एक और गेम जीतना होगा।</v>
      </c>
      <c r="I40" s="5" t="str">
        <f>IFERROR(__xludf.DUMMYFUNCTION("GOOGLETRANSLATE(D40, ""en"", ""hi"")"),"A) खिलाड़ी X को अगला गेम जीतना होगा।")</f>
        <v>A) खिलाड़ी X को अगला गेम जीतना होगा।</v>
      </c>
    </row>
    <row r="41" ht="22.5" customHeight="1">
      <c r="A41" s="2">
        <v>40.0</v>
      </c>
      <c r="B41" s="3" t="s">
        <v>7795</v>
      </c>
      <c r="C41" s="3" t="s">
        <v>7796</v>
      </c>
      <c r="D41" s="3" t="s">
        <v>7776</v>
      </c>
      <c r="F41" s="5" t="str">
        <f>IFERROR(__xludf.DUMMYFUNCTION("GOOGLETRANSLATE(A41, ""en"", ""hi"")"),"40")</f>
        <v>40</v>
      </c>
      <c r="G41" s="5" t="str">
        <f>IFERROR(__xludf.DUMMYFUNCTION("GOOGLETRANSLATE(B41, ""en"", ""hi"")"),"एक कंचे मैच में, खिलाड़ी A ने 4 में से 3 गेम जीते। खिलाड़ी A अधिकतम कितने गेम जीत सकता था?")</f>
        <v>एक कंचे मैच में, खिलाड़ी A ने 4 में से 3 गेम जीते। खिलाड़ी A अधिकतम कितने गेम जीत सकता था?</v>
      </c>
      <c r="H41" s="5" t="str">
        <f>IFERROR(__xludf.DUMMYFUNCTION("GOOGLETRANSLATE(C41, ""en"", ""hi"")"),"A) 3 खेल, B) 4 खेल, C) 2 खेल, D) 1 खेल।")</f>
        <v>A) 3 खेल, B) 4 खेल, C) 2 खेल, D) 1 खेल।</v>
      </c>
      <c r="I41" s="5" t="str">
        <f>IFERROR(__xludf.DUMMYFUNCTION("GOOGLETRANSLATE(D41, ""en"", ""hi"")"),"बी) 4 खेल.")</f>
        <v>बी) 4 खेल.</v>
      </c>
    </row>
    <row r="42" ht="22.5" customHeight="1">
      <c r="A42" s="2">
        <v>41.0</v>
      </c>
      <c r="B42" s="3" t="s">
        <v>7797</v>
      </c>
      <c r="C42" s="3" t="s">
        <v>7725</v>
      </c>
      <c r="D42" s="3" t="s">
        <v>7755</v>
      </c>
      <c r="F42" s="5" t="str">
        <f>IFERROR(__xludf.DUMMYFUNCTION("GOOGLETRANSLATE(A42, ""en"", ""hi"")"),"41")</f>
        <v>41</v>
      </c>
      <c r="G42" s="5" t="str">
        <f>IFERROR(__xludf.DUMMYFUNCTION("GOOGLETRANSLATE(B42, ""en"", ""hi"")"),"कंचे खेल में खिलाड़ी A ने 16 अंक बनाए और खिलाड़ी B ने 14 अंक बनाए। खेल का परिणाम क्या है?")</f>
        <v>कंचे खेल में खिलाड़ी A ने 16 अंक बनाए और खिलाड़ी B ने 14 अंक बनाए। खेल का परिणाम क्या है?</v>
      </c>
      <c r="H42" s="5" t="str">
        <f>IFERROR(__xludf.DUMMYFUNCTION("GOOGLETRANSLATE(C42, ""en"", ""hi"")"),"A) खिलाड़ी A जीतता है। , B) खिलाड़ी B जीतता है। , C) खेल बराबरी पर रहता है। , D) खेल तब तक जारी रहता है जब तक कि एक खिलाड़ी 20 अंक नहीं बना लेता।")</f>
        <v>A) खिलाड़ी A जीतता है। , B) खिलाड़ी B जीतता है। , C) खेल बराबरी पर रहता है। , D) खेल तब तक जारी रहता है जब तक कि एक खिलाड़ी 20 अंक नहीं बना लेता।</v>
      </c>
      <c r="I42" s="5" t="str">
        <f>IFERROR(__xludf.DUMMYFUNCTION("GOOGLETRANSLATE(D42, ""en"", ""hi"")"),"A) खिलाड़ी A जीतता है.")</f>
        <v>A) खिलाड़ी A जीतता है.</v>
      </c>
    </row>
    <row r="43" ht="22.5" customHeight="1">
      <c r="A43" s="2">
        <v>42.0</v>
      </c>
      <c r="B43" s="3" t="s">
        <v>7798</v>
      </c>
      <c r="C43" s="3" t="s">
        <v>7799</v>
      </c>
      <c r="D43" s="3" t="s">
        <v>7800</v>
      </c>
      <c r="F43" s="5" t="str">
        <f>IFERROR(__xludf.DUMMYFUNCTION("GOOGLETRANSLATE(A43, ""en"", ""hi"")"),"42")</f>
        <v>42</v>
      </c>
      <c r="G43" s="5" t="str">
        <f>IFERROR(__xludf.DUMMYFUNCTION("GOOGLETRANSLATE(B43, ""en"", ""hi"")"),"एक कंचे मैच के दौरान, यदि खिलाड़ी X ने 3 सेट जीते और खिलाड़ी Y ने 2 सेट जीते, तो मैच का स्कोर क्या होगा?")</f>
        <v>एक कंचे मैच के दौरान, यदि खिलाड़ी X ने 3 सेट जीते और खिलाड़ी Y ने 2 सेट जीते, तो मैच का स्कोर क्या होगा?</v>
      </c>
      <c r="H43" s="5" t="str">
        <f>IFERROR(__xludf.DUMMYFUNCTION("GOOGLETRANSLATE(C43, ""en"", ""hi"")"),"A) खिलाड़ी X 3-2 से जीतता है। , B) खिलाड़ी Y 3-2 से जीतता है। , C) मैच 2-2 से बराबर है। , D) मैच अभी भी जारी है।")</f>
        <v>A) खिलाड़ी X 3-2 से जीतता है। , B) खिलाड़ी Y 3-2 से जीतता है। , C) मैच 2-2 से बराबर है। , D) मैच अभी भी जारी है।</v>
      </c>
      <c r="I43" s="5" t="str">
        <f>IFERROR(__xludf.DUMMYFUNCTION("GOOGLETRANSLATE(D43, ""en"", ""hi"")"),"A) खिलाड़ी X 3-2 से जीतता है।")</f>
        <v>A) खिलाड़ी X 3-2 से जीतता है।</v>
      </c>
    </row>
    <row r="44" ht="22.5" customHeight="1">
      <c r="A44" s="2">
        <v>43.0</v>
      </c>
      <c r="B44" s="3" t="s">
        <v>7801</v>
      </c>
      <c r="C44" s="3" t="s">
        <v>7802</v>
      </c>
      <c r="D44" s="3" t="s">
        <v>7803</v>
      </c>
      <c r="F44" s="5" t="str">
        <f>IFERROR(__xludf.DUMMYFUNCTION("GOOGLETRANSLATE(A44, ""en"", ""hi"")"),"43")</f>
        <v>43</v>
      </c>
      <c r="G44" s="5" t="str">
        <f>IFERROR(__xludf.DUMMYFUNCTION("GOOGLETRANSLATE(B44, ""en"", ""hi"")"),"यदि खिलाड़ी X और खिलाड़ी Y एक कंचे मैच खेल रहे हैं, जहां प्रत्येक गेम 15 अंकों तक खेला जाता है, और खिलाड़ी X पहला गेम 15-10 से जीतता है, तो वर्तमान मैच स्कोरलाइन क्या है?")</f>
        <v>यदि खिलाड़ी X और खिलाड़ी Y एक कंचे मैच खेल रहे हैं, जहां प्रत्येक गेम 15 अंकों तक खेला जाता है, और खिलाड़ी X पहला गेम 15-10 से जीतता है, तो वर्तमान मैच स्कोरलाइन क्या है?</v>
      </c>
      <c r="H44" s="5" t="str">
        <f>IFERROR(__xludf.DUMMYFUNCTION("GOOGLETRANSLATE(C44, ""en"", ""hi"")"),"A) खिलाड़ी X 1-0 से आगे है। , B) खिलाड़ी Y 1-0 से आगे है। , C) मैच 0-0 से बराबर है। , D) खिलाड़ी X 2-0 से आगे है।")</f>
        <v>A) खिलाड़ी X 1-0 से आगे है। , B) खिलाड़ी Y 1-0 से आगे है। , C) मैच 0-0 से बराबर है। , D) खिलाड़ी X 2-0 से आगे है।</v>
      </c>
      <c r="I44" s="5" t="str">
        <f>IFERROR(__xludf.DUMMYFUNCTION("GOOGLETRANSLATE(D44, ""en"", ""hi"")"),"A) खिलाड़ी X 1-0 से आगे है।")</f>
        <v>A) खिलाड़ी X 1-0 से आगे है।</v>
      </c>
    </row>
    <row r="45" ht="22.5" customHeight="1">
      <c r="A45" s="2">
        <v>44.0</v>
      </c>
      <c r="B45" s="3" t="s">
        <v>7804</v>
      </c>
      <c r="C45" s="3" t="s">
        <v>7805</v>
      </c>
      <c r="D45" s="3" t="s">
        <v>7806</v>
      </c>
      <c r="F45" s="5" t="str">
        <f>IFERROR(__xludf.DUMMYFUNCTION("GOOGLETRANSLATE(A45, ""en"", ""hi"")"),"44")</f>
        <v>44</v>
      </c>
      <c r="G45" s="5" t="str">
        <f>IFERROR(__xludf.DUMMYFUNCTION("GOOGLETRANSLATE(B45, ""en"", ""hi"")"),"एक कंचे मैच में, खिलाड़ी A ने पहला सेट 15-14 से जीता और दूसरा सेट 15-13 से हार गया। मैच जीतने के लिए खिलाड़ी A को क्या करना होगा?")</f>
        <v>एक कंचे मैच में, खिलाड़ी A ने पहला सेट 15-14 से जीता और दूसरा सेट 15-13 से हार गया। मैच जीतने के लिए खिलाड़ी A को क्या करना होगा?</v>
      </c>
      <c r="H45" s="5" t="str">
        <f>IFERROR(__xludf.DUMMYFUNCTION("GOOGLETRANSLATE(C45, ""en"", ""hi"")"),"A) खिलाड़ी A को अगला सेट जीतना होगा। , B) खिलाड़ी A को अगला सेट कम से कम 2 अंकों से जीतना होगा। , C) खिलाड़ी A को अगले दो सेट जीतने होंगे। , D) खिलाड़ी A को एक और गेम जीतना होगा।")</f>
        <v>A) खिलाड़ी A को अगला सेट जीतना होगा। , B) खिलाड़ी A को अगला सेट कम से कम 2 अंकों से जीतना होगा। , C) खिलाड़ी A को अगले दो सेट जीतने होंगे। , D) खिलाड़ी A को एक और गेम जीतना होगा।</v>
      </c>
      <c r="I45" s="5" t="str">
        <f>IFERROR(__xludf.DUMMYFUNCTION("GOOGLETRANSLATE(D45, ""en"", ""hi"")"),"A) खिलाड़ी A को अगला सेट जीतना होगा।")</f>
        <v>A) खिलाड़ी A को अगला सेट जीतना होगा।</v>
      </c>
    </row>
    <row r="46" ht="22.5" customHeight="1">
      <c r="A46" s="2">
        <v>45.0</v>
      </c>
      <c r="B46" s="3" t="s">
        <v>7807</v>
      </c>
      <c r="C46" s="3" t="s">
        <v>7781</v>
      </c>
      <c r="D46" s="3" t="s">
        <v>7782</v>
      </c>
      <c r="F46" s="5" t="str">
        <f>IFERROR(__xludf.DUMMYFUNCTION("GOOGLETRANSLATE(A46, ""en"", ""hi"")"),"45")</f>
        <v>45</v>
      </c>
      <c r="G46" s="5" t="str">
        <f>IFERROR(__xludf.DUMMYFUNCTION("GOOGLETRANSLATE(B46, ""en"", ""hi"")"),"खिलाड़ी X ने 15-11 और 15-12 के स्कोर से कंचे मैच जीता। खिलाड़ी X ने कम से कम कितने सेट जीते?")</f>
        <v>खिलाड़ी X ने 15-11 और 15-12 के स्कोर से कंचे मैच जीता। खिलाड़ी X ने कम से कम कितने सेट जीते?</v>
      </c>
      <c r="H46" s="5" t="str">
        <f>IFERROR(__xludf.DUMMYFUNCTION("GOOGLETRANSLATE(C46, ""en"", ""hi"")"),"ए) 2 सेट, बी) 3 सेट, सी) 1 सेट, डी) 4 सेट")</f>
        <v>ए) 2 सेट, बी) 3 सेट, सी) 1 सेट, डी) 4 सेट</v>
      </c>
      <c r="I46" s="5" t="str">
        <f>IFERROR(__xludf.DUMMYFUNCTION("GOOGLETRANSLATE(D46, ""en"", ""hi"")"),"ए) 2 सेट.")</f>
        <v>ए) 2 सेट.</v>
      </c>
    </row>
    <row r="47" ht="22.5" customHeight="1">
      <c r="A47" s="2">
        <v>46.0</v>
      </c>
      <c r="B47" s="3" t="s">
        <v>7808</v>
      </c>
      <c r="C47" s="3" t="s">
        <v>7809</v>
      </c>
      <c r="D47" s="3" t="s">
        <v>7810</v>
      </c>
      <c r="F47" s="5" t="str">
        <f>IFERROR(__xludf.DUMMYFUNCTION("GOOGLETRANSLATE(A47, ""en"", ""hi"")"),"46")</f>
        <v>46</v>
      </c>
      <c r="G47" s="5" t="str">
        <f>IFERROR(__xludf.DUMMYFUNCTION("GOOGLETRANSLATE(B47, ""en"", ""hi"")"),"एक कंचे मैच के दौरान, खिलाड़ी A ने 3 सेट जीते और खिलाड़ी B ने 2 सेट जीते। यदि प्रत्येक सेट 20 अंकों तक खेला जाता है, तो खिलाड़ी A ने कुल कितने अंक बनाए?")</f>
        <v>एक कंचे मैच के दौरान, खिलाड़ी A ने 3 सेट जीते और खिलाड़ी B ने 2 सेट जीते। यदि प्रत्येक सेट 20 अंकों तक खेला जाता है, तो खिलाड़ी A ने कुल कितने अंक बनाए?</v>
      </c>
      <c r="H47" s="5" t="str">
        <f>IFERROR(__xludf.DUMMYFUNCTION("GOOGLETRANSLATE(C47, ""en"", ""hi"")"),"ए) 60 अंक. , बी) 55 अंक. , सी) 50 अंक. , डी) 45 अंक.")</f>
        <v>ए) 60 अंक. , बी) 55 अंक. , सी) 50 अंक. , डी) 45 अंक.</v>
      </c>
      <c r="I47" s="5" t="str">
        <f>IFERROR(__xludf.DUMMYFUNCTION("GOOGLETRANSLATE(D47, ""en"", ""hi"")"),"ए) 60 अंक.")</f>
        <v>ए) 60 अंक.</v>
      </c>
    </row>
    <row r="48" ht="22.5" customHeight="1">
      <c r="A48" s="2">
        <v>47.0</v>
      </c>
      <c r="B48" s="3" t="s">
        <v>7811</v>
      </c>
      <c r="C48" s="3" t="s">
        <v>7812</v>
      </c>
      <c r="D48" s="3" t="s">
        <v>7755</v>
      </c>
      <c r="F48" s="5" t="str">
        <f>IFERROR(__xludf.DUMMYFUNCTION("GOOGLETRANSLATE(A48, ""en"", ""hi"")"),"47")</f>
        <v>47</v>
      </c>
      <c r="G48" s="5" t="str">
        <f>IFERROR(__xludf.DUMMYFUNCTION("GOOGLETRANSLATE(B48, ""en"", ""hi"")"),"30 अंकों तक खेले गए एक कंचे खेल में, यदि खिलाड़ी A ने 30 अंक बनाए और खिलाड़ी B ने 25 अंक बनाए, तो परिणाम क्या होगा?")</f>
        <v>30 अंकों तक खेले गए एक कंचे खेल में, यदि खिलाड़ी A ने 30 अंक बनाए और खिलाड़ी B ने 25 अंक बनाए, तो परिणाम क्या होगा?</v>
      </c>
      <c r="H48" s="5" t="str">
        <f>IFERROR(__xludf.DUMMYFUNCTION("GOOGLETRANSLATE(C48, ""en"", ""hi"")"),"A) खिलाड़ी A जीतता है। , B) खिलाड़ी B जीतता है। , C) खेल बराबरी पर रहता है। , D) खेल तब तक जारी रहता है जब तक कि एक खिलाड़ी 35 अंक नहीं बना लेता।")</f>
        <v>A) खिलाड़ी A जीतता है। , B) खिलाड़ी B जीतता है। , C) खेल बराबरी पर रहता है। , D) खेल तब तक जारी रहता है जब तक कि एक खिलाड़ी 35 अंक नहीं बना लेता।</v>
      </c>
      <c r="I48" s="5" t="str">
        <f>IFERROR(__xludf.DUMMYFUNCTION("GOOGLETRANSLATE(D48, ""en"", ""hi"")"),"A) खिलाड़ी A जीतता है.")</f>
        <v>A) खिलाड़ी A जीतता है.</v>
      </c>
    </row>
    <row r="49" ht="22.5" customHeight="1">
      <c r="A49" s="2">
        <v>48.0</v>
      </c>
      <c r="B49" s="3" t="s">
        <v>7813</v>
      </c>
      <c r="C49" s="3" t="s">
        <v>7764</v>
      </c>
      <c r="D49" s="3" t="s">
        <v>7765</v>
      </c>
      <c r="F49" s="5" t="str">
        <f>IFERROR(__xludf.DUMMYFUNCTION("GOOGLETRANSLATE(A49, ""en"", ""hi"")"),"48")</f>
        <v>48</v>
      </c>
      <c r="G49" s="5" t="str">
        <f>IFERROR(__xludf.DUMMYFUNCTION("GOOGLETRANSLATE(B49, ""en"", ""hi"")"),"खिलाड़ी X और खिलाड़ी Y एक कंचे मैच खेल रहे हैं जहाँ प्रत्येक सेट 21 अंकों का होता है। यदि खिलाड़ी X पहला सेट 21-19 से जीतता है और खिलाड़ी Y दूसरा सेट 21-20 से जीतता है, तो मैच का स्कोर क्या होगा?")</f>
        <v>खिलाड़ी X और खिलाड़ी Y एक कंचे मैच खेल रहे हैं जहाँ प्रत्येक सेट 21 अंकों का होता है। यदि खिलाड़ी X पहला सेट 21-19 से जीतता है और खिलाड़ी Y दूसरा सेट 21-20 से जीतता है, तो मैच का स्कोर क्या होगा?</v>
      </c>
      <c r="H49" s="5" t="str">
        <f>IFERROR(__xludf.DUMMYFUNCTION("GOOGLETRANSLATE(C49, ""en"", ""hi"")"),"ए) 1-1. , बी) 2-0. , सी) 0-2. , डी) 1-0.")</f>
        <v>ए) 1-1. , बी) 2-0. , सी) 0-2. , डी) 1-0.</v>
      </c>
      <c r="I49" s="5" t="str">
        <f>IFERROR(__xludf.DUMMYFUNCTION("GOOGLETRANSLATE(D49, ""en"", ""hi"")"),"ए) 1-1.")</f>
        <v>ए) 1-1.</v>
      </c>
    </row>
    <row r="50" ht="22.5" customHeight="1">
      <c r="A50" s="2">
        <v>49.0</v>
      </c>
      <c r="B50" s="3" t="s">
        <v>7814</v>
      </c>
      <c r="C50" s="3" t="s">
        <v>7815</v>
      </c>
      <c r="D50" s="3" t="s">
        <v>7743</v>
      </c>
      <c r="F50" s="5" t="str">
        <f>IFERROR(__xludf.DUMMYFUNCTION("GOOGLETRANSLATE(A50, ""en"", ""hi"")"),"49")</f>
        <v>49</v>
      </c>
      <c r="G50" s="5" t="str">
        <f>IFERROR(__xludf.DUMMYFUNCTION("GOOGLETRANSLATE(B50, ""en"", ""hi"")"),"यदि खिलाड़ी A ने कंचे मैच 15-12, 15-11 और 15-14 के स्कोर से जीता, तो खिलाड़ी A द्वारा जीते गए खेलों की कुल संख्या क्या है?")</f>
        <v>यदि खिलाड़ी A ने कंचे मैच 15-12, 15-11 और 15-14 के स्कोर से जीता, तो खिलाड़ी A द्वारा जीते गए खेलों की कुल संख्या क्या है?</v>
      </c>
      <c r="H50" s="5" t="str">
        <f>IFERROR(__xludf.DUMMYFUNCTION("GOOGLETRANSLATE(C50, ""en"", ""hi"")"),"A) 3 खेल, B) 2 खेल, C) 1 खेल, D) 4 खेल।")</f>
        <v>A) 3 खेल, B) 2 खेल, C) 1 खेल, D) 4 खेल।</v>
      </c>
      <c r="I50" s="5" t="str">
        <f>IFERROR(__xludf.DUMMYFUNCTION("GOOGLETRANSLATE(D50, ""en"", ""hi"")"),"ए) 3 खेल.")</f>
        <v>ए) 3 खेल.</v>
      </c>
    </row>
    <row r="51" ht="22.5" customHeight="1">
      <c r="A51" s="2">
        <v>50.0</v>
      </c>
      <c r="B51" s="3" t="s">
        <v>7816</v>
      </c>
      <c r="C51" s="3" t="s">
        <v>7788</v>
      </c>
      <c r="D51" s="3" t="s">
        <v>7743</v>
      </c>
      <c r="F51" s="5" t="str">
        <f>IFERROR(__xludf.DUMMYFUNCTION("GOOGLETRANSLATE(A51, ""en"", ""hi"")"),"50")</f>
        <v>50</v>
      </c>
      <c r="G51" s="5" t="str">
        <f>IFERROR(__xludf.DUMMYFUNCTION("GOOGLETRANSLATE(B51, ""en"", ""hi"")"),"एक कंचे टूर्नामेंट के दौरान, खिलाड़ी X और खिलाड़ी Y 1-1 से बराबरी पर हैं। खिलाड़ी X मैच विजेता बनने के लिए अधिकतम कितने गेम जीत सकता है?")</f>
        <v>एक कंचे टूर्नामेंट के दौरान, खिलाड़ी X और खिलाड़ी Y 1-1 से बराबरी पर हैं। खिलाड़ी X मैच विजेता बनने के लिए अधिकतम कितने गेम जीत सकता है?</v>
      </c>
      <c r="H51" s="5" t="str">
        <f>IFERROR(__xludf.DUMMYFUNCTION("GOOGLETRANSLATE(C51, ""en"", ""hi"")"),"A) 3 खेल, B) 2 खेल, C) 4 खेल, D) 5 खेल।")</f>
        <v>A) 3 खेल, B) 2 खेल, C) 4 खेल, D) 5 खेल।</v>
      </c>
      <c r="I51" s="5" t="str">
        <f>IFERROR(__xludf.DUMMYFUNCTION("GOOGLETRANSLATE(D51, ""en"", ""hi"")"),"ए) 3 खेल.")</f>
        <v>ए) 3 खेल.</v>
      </c>
    </row>
    <row r="52" ht="22.5" customHeight="1">
      <c r="A52" s="2">
        <v>51.0</v>
      </c>
      <c r="B52" s="3" t="s">
        <v>7817</v>
      </c>
      <c r="C52" s="3" t="s">
        <v>7725</v>
      </c>
      <c r="D52" s="3" t="s">
        <v>7755</v>
      </c>
      <c r="F52" s="5" t="str">
        <f>IFERROR(__xludf.DUMMYFUNCTION("GOOGLETRANSLATE(A52, ""en"", ""hi"")"),"51")</f>
        <v>51</v>
      </c>
      <c r="G52" s="5" t="str">
        <f>IFERROR(__xludf.DUMMYFUNCTION("GOOGLETRANSLATE(B52, ""en"", ""hi"")"),"एक कंचे मैच में, खिलाड़ी A ने 15 अंक बनाए और खिलाड़ी B ने 14 अंक बनाए। यदि खेल जीतने के लिए कम से कम 15 अंक चाहिए, तो परिणाम क्या होगा?")</f>
        <v>एक कंचे मैच में, खिलाड़ी A ने 15 अंक बनाए और खिलाड़ी B ने 14 अंक बनाए। यदि खेल जीतने के लिए कम से कम 15 अंक चाहिए, तो परिणाम क्या होगा?</v>
      </c>
      <c r="H52" s="5" t="str">
        <f>IFERROR(__xludf.DUMMYFUNCTION("GOOGLETRANSLATE(C52, ""en"", ""hi"")"),"A) खिलाड़ी A जीतता है। , B) खिलाड़ी B जीतता है। , C) खेल बराबरी पर रहता है। , D) खेल तब तक जारी रहता है जब तक कि एक खिलाड़ी 20 अंक नहीं बना लेता।")</f>
        <v>A) खिलाड़ी A जीतता है। , B) खिलाड़ी B जीतता है। , C) खेल बराबरी पर रहता है। , D) खेल तब तक जारी रहता है जब तक कि एक खिलाड़ी 20 अंक नहीं बना लेता।</v>
      </c>
      <c r="I52" s="5" t="str">
        <f>IFERROR(__xludf.DUMMYFUNCTION("GOOGLETRANSLATE(D52, ""en"", ""hi"")"),"A) खिलाड़ी A जीतता है.")</f>
        <v>A) खिलाड़ी A जीतता है.</v>
      </c>
    </row>
    <row r="53" ht="22.5" customHeight="1">
      <c r="A53" s="2">
        <v>52.0</v>
      </c>
      <c r="B53" s="3" t="s">
        <v>7818</v>
      </c>
      <c r="C53" s="3" t="s">
        <v>7781</v>
      </c>
      <c r="D53" s="3" t="s">
        <v>7782</v>
      </c>
      <c r="F53" s="5" t="str">
        <f>IFERROR(__xludf.DUMMYFUNCTION("GOOGLETRANSLATE(A53, ""en"", ""hi"")"),"52")</f>
        <v>52</v>
      </c>
      <c r="G53" s="5" t="str">
        <f>IFERROR(__xludf.DUMMYFUNCTION("GOOGLETRANSLATE(B53, ""en"", ""hi"")"),"खिलाड़ी X ने 15-14 और 15-13 के स्कोर से कंचे मैच जीता। खिलाड़ी X ने कम से कम कितने सेट जीते?")</f>
        <v>खिलाड़ी X ने 15-14 और 15-13 के स्कोर से कंचे मैच जीता। खिलाड़ी X ने कम से कम कितने सेट जीते?</v>
      </c>
      <c r="H53" s="5" t="str">
        <f>IFERROR(__xludf.DUMMYFUNCTION("GOOGLETRANSLATE(C53, ""en"", ""hi"")"),"ए) 2 सेट, बी) 3 सेट, सी) 1 सेट, डी) 4 सेट")</f>
        <v>ए) 2 सेट, बी) 3 सेट, सी) 1 सेट, डी) 4 सेट</v>
      </c>
      <c r="I53" s="5" t="str">
        <f>IFERROR(__xludf.DUMMYFUNCTION("GOOGLETRANSLATE(D53, ""en"", ""hi"")"),"ए) 2 सेट.")</f>
        <v>ए) 2 सेट.</v>
      </c>
    </row>
    <row r="54" ht="22.5" customHeight="1">
      <c r="A54" s="2">
        <v>53.0</v>
      </c>
      <c r="B54" s="3" t="s">
        <v>7819</v>
      </c>
      <c r="C54" s="3" t="s">
        <v>7820</v>
      </c>
      <c r="D54" s="3" t="s">
        <v>7821</v>
      </c>
      <c r="F54" s="5" t="str">
        <f>IFERROR(__xludf.DUMMYFUNCTION("GOOGLETRANSLATE(A54, ""en"", ""hi"")"),"53")</f>
        <v>53</v>
      </c>
      <c r="G54" s="5" t="str">
        <f>IFERROR(__xludf.DUMMYFUNCTION("GOOGLETRANSLATE(B54, ""en"", ""hi"")"),"कंचे खेल के दौरान, यदि खिलाड़ी X ने 20 अंक बनाए और खिलाड़ी Y ने 19 अंक बनाए, तो परिणाम क्या होगा?")</f>
        <v>कंचे खेल के दौरान, यदि खिलाड़ी X ने 20 अंक बनाए और खिलाड़ी Y ने 19 अंक बनाए, तो परिणाम क्या होगा?</v>
      </c>
      <c r="H54" s="5" t="str">
        <f>IFERROR(__xludf.DUMMYFUNCTION("GOOGLETRANSLATE(C54, ""en"", ""hi"")"),"A) खिलाड़ी X खेल जीतता है। , B) खिलाड़ी Y खेल जीतता है। , C) खेल बराबरी पर रहता है। , D) खेल तब तक जारी रहता है जब तक कि एक खिलाड़ी 25 अंक नहीं बना लेता।")</f>
        <v>A) खिलाड़ी X खेल जीतता है। , B) खिलाड़ी Y खेल जीतता है। , C) खेल बराबरी पर रहता है। , D) खेल तब तक जारी रहता है जब तक कि एक खिलाड़ी 25 अंक नहीं बना लेता।</v>
      </c>
      <c r="I54" s="5" t="str">
        <f>IFERROR(__xludf.DUMMYFUNCTION("GOOGLETRANSLATE(D54, ""en"", ""hi"")"),"A) खिलाड़ी X खेल जीतता है।")</f>
        <v>A) खिलाड़ी X खेल जीतता है।</v>
      </c>
    </row>
    <row r="55" ht="22.5" customHeight="1">
      <c r="A55" s="2">
        <v>54.0</v>
      </c>
      <c r="B55" s="3" t="s">
        <v>7822</v>
      </c>
      <c r="C55" s="3" t="s">
        <v>7805</v>
      </c>
      <c r="D55" s="3" t="s">
        <v>7806</v>
      </c>
      <c r="F55" s="5" t="str">
        <f>IFERROR(__xludf.DUMMYFUNCTION("GOOGLETRANSLATE(A55, ""en"", ""hi"")"),"54")</f>
        <v>54</v>
      </c>
      <c r="G55" s="5" t="str">
        <f>IFERROR(__xludf.DUMMYFUNCTION("GOOGLETRANSLATE(B55, ""en"", ""hi"")"),"एक कंचे मैच में, खिलाड़ी A ने पहला सेट 15-12 से जीता और खिलाड़ी B ने दूसरा सेट 15-14 से जीता। मैच जीतने के लिए खिलाड़ी A को क्या करना होगा?")</f>
        <v>एक कंचे मैच में, खिलाड़ी A ने पहला सेट 15-12 से जीता और खिलाड़ी B ने दूसरा सेट 15-14 से जीता। मैच जीतने के लिए खिलाड़ी A को क्या करना होगा?</v>
      </c>
      <c r="H55" s="5" t="str">
        <f>IFERROR(__xludf.DUMMYFUNCTION("GOOGLETRANSLATE(C55, ""en"", ""hi"")"),"A) खिलाड़ी A को अगला सेट जीतना होगा। , B) खिलाड़ी A को अगला सेट कम से कम 2 अंकों से जीतना होगा। , C) खिलाड़ी A को अगले दो सेट जीतने होंगे। , D) खिलाड़ी A को एक और गेम जीतना होगा।")</f>
        <v>A) खिलाड़ी A को अगला सेट जीतना होगा। , B) खिलाड़ी A को अगला सेट कम से कम 2 अंकों से जीतना होगा। , C) खिलाड़ी A को अगले दो सेट जीतने होंगे। , D) खिलाड़ी A को एक और गेम जीतना होगा।</v>
      </c>
      <c r="I55" s="5" t="str">
        <f>IFERROR(__xludf.DUMMYFUNCTION("GOOGLETRANSLATE(D55, ""en"", ""hi"")"),"A) खिलाड़ी A को अगला सेट जीतना होगा।")</f>
        <v>A) खिलाड़ी A को अगला सेट जीतना होगा।</v>
      </c>
    </row>
    <row r="56" ht="22.5" customHeight="1">
      <c r="A56" s="2">
        <v>55.0</v>
      </c>
      <c r="B56" s="3" t="s">
        <v>7823</v>
      </c>
      <c r="C56" s="3" t="s">
        <v>7824</v>
      </c>
      <c r="D56" s="3" t="s">
        <v>7711</v>
      </c>
      <c r="F56" s="5" t="str">
        <f>IFERROR(__xludf.DUMMYFUNCTION("GOOGLETRANSLATE(A56, ""en"", ""hi"")"),"55")</f>
        <v>55</v>
      </c>
      <c r="G56" s="5" t="str">
        <f>IFERROR(__xludf.DUMMYFUNCTION("GOOGLETRANSLATE(B56, ""en"", ""hi"")"),"खिलाड़ी X ने कंचे खेल में 17 अंक बनाए, और खिलाड़ी Y ने 15 अंक बनाए। परिणाम क्या है?")</f>
        <v>खिलाड़ी X ने कंचे खेल में 17 अंक बनाए, और खिलाड़ी Y ने 15 अंक बनाए। परिणाम क्या है?</v>
      </c>
      <c r="H56" s="5" t="str">
        <f>IFERROR(__xludf.DUMMYFUNCTION("GOOGLETRANSLATE(C56, ""en"", ""hi"")"),"A) खिलाड़ी X जीतता है। , B) खिलाड़ी Y जीतता है। , C) खेल बराबरी पर रहता है। , D) खेल स्थगित हो जाता है।")</f>
        <v>A) खिलाड़ी X जीतता है। , B) खिलाड़ी Y जीतता है। , C) खेल बराबरी पर रहता है। , D) खेल स्थगित हो जाता है।</v>
      </c>
      <c r="I56" s="5" t="str">
        <f>IFERROR(__xludf.DUMMYFUNCTION("GOOGLETRANSLATE(D56, ""en"", ""hi"")"),"A) खिलाड़ी X जीतता है.")</f>
        <v>A) खिलाड़ी X जीतता है.</v>
      </c>
    </row>
    <row r="57" ht="22.5" customHeight="1">
      <c r="A57" s="2">
        <v>56.0</v>
      </c>
      <c r="B57" s="3" t="s">
        <v>7825</v>
      </c>
      <c r="C57" s="3" t="s">
        <v>7826</v>
      </c>
      <c r="D57" s="3" t="s">
        <v>7827</v>
      </c>
      <c r="F57" s="5" t="str">
        <f>IFERROR(__xludf.DUMMYFUNCTION("GOOGLETRANSLATE(A57, ""en"", ""hi"")"),"56")</f>
        <v>56</v>
      </c>
      <c r="G57" s="5" t="str">
        <f>IFERROR(__xludf.DUMMYFUNCTION("GOOGLETRANSLATE(B57, ""en"", ""hi"")"),"एक कंचे मैच में, यदि खिलाड़ी A ने पहले दो गेम 15-10 और 15-12 से जीते और खिलाड़ी B ने तीसरा गेम 15-13 से जीता, तो मैच का स्कोर क्या होगा?")</f>
        <v>एक कंचे मैच में, यदि खिलाड़ी A ने पहले दो गेम 15-10 और 15-12 से जीते और खिलाड़ी B ने तीसरा गेम 15-13 से जीता, तो मैच का स्कोर क्या होगा?</v>
      </c>
      <c r="H57" s="5" t="str">
        <f>IFERROR(__xludf.DUMMYFUNCTION("GOOGLETRANSLATE(C57,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57" s="5" t="str">
        <f>IFERROR(__xludf.DUMMYFUNCTION("GOOGLETRANSLATE(D57, ""en"", ""hi"")"),"A) खिलाड़ी A 2-1 से आगे है।")</f>
        <v>A) खिलाड़ी A 2-1 से आगे है।</v>
      </c>
    </row>
    <row r="58" ht="22.5" customHeight="1">
      <c r="A58" s="2">
        <v>57.0</v>
      </c>
      <c r="B58" s="3" t="s">
        <v>7828</v>
      </c>
      <c r="C58" s="3" t="s">
        <v>7829</v>
      </c>
      <c r="D58" s="3" t="s">
        <v>7785</v>
      </c>
      <c r="F58" s="5" t="str">
        <f>IFERROR(__xludf.DUMMYFUNCTION("GOOGLETRANSLATE(A58, ""en"", ""hi"")"),"57")</f>
        <v>57</v>
      </c>
      <c r="G58" s="5" t="str">
        <f>IFERROR(__xludf.DUMMYFUNCTION("GOOGLETRANSLATE(B58, ""en"", ""hi"")"),"कंचे खेल में खिलाड़ी A ने 15 अंक और खिलाड़ी B ने 13 अंक बनाए। खेल का परिणाम क्या है?")</f>
        <v>कंचे खेल में खिलाड़ी A ने 15 अंक और खिलाड़ी B ने 13 अंक बनाए। खेल का परिणाम क्या है?</v>
      </c>
      <c r="H58" s="5" t="str">
        <f>IFERROR(__xludf.DUMMYFUNCTION("GOOGLETRANSLATE(C58, ""en"", ""hi"")"),"A) खिलाड़ी A खेल जीतता है। , B) खिलाड़ी B खेल जीतता है। , C) खेल बराबरी पर रहता है। , D) खेल तब तक जारी रहता है जब तक कि एक खिलाड़ी 20 अंक नहीं बना लेता।")</f>
        <v>A) खिलाड़ी A खेल जीतता है। , B) खिलाड़ी B खेल जीतता है। , C) खेल बराबरी पर रहता है। , D) खेल तब तक जारी रहता है जब तक कि एक खिलाड़ी 20 अंक नहीं बना लेता।</v>
      </c>
      <c r="I58" s="5" t="str">
        <f>IFERROR(__xludf.DUMMYFUNCTION("GOOGLETRANSLATE(D58, ""en"", ""hi"")"),"A) खिलाड़ी A खेल जीतता है।")</f>
        <v>A) खिलाड़ी A खेल जीतता है।</v>
      </c>
    </row>
    <row r="59" ht="22.5" customHeight="1">
      <c r="A59" s="2">
        <v>58.0</v>
      </c>
      <c r="B59" s="3" t="s">
        <v>7830</v>
      </c>
      <c r="C59" s="3" t="s">
        <v>7805</v>
      </c>
      <c r="D59" s="3" t="s">
        <v>7806</v>
      </c>
      <c r="F59" s="5" t="str">
        <f>IFERROR(__xludf.DUMMYFUNCTION("GOOGLETRANSLATE(A59, ""en"", ""hi"")"),"58")</f>
        <v>58</v>
      </c>
      <c r="G59" s="5" t="str">
        <f>IFERROR(__xludf.DUMMYFUNCTION("GOOGLETRANSLATE(B59, ""en"", ""hi"")"),"कंचे मैच के दौरान, खिलाड़ी A ने पहला सेट 15-14 से जीता और दूसरा सेट 14-15 से हार गया। मैच जीतने के लिए खिलाड़ी A को क्या करना होगा?")</f>
        <v>कंचे मैच के दौरान, खिलाड़ी A ने पहला सेट 15-14 से जीता और दूसरा सेट 14-15 से हार गया। मैच जीतने के लिए खिलाड़ी A को क्या करना होगा?</v>
      </c>
      <c r="H59" s="5" t="str">
        <f>IFERROR(__xludf.DUMMYFUNCTION("GOOGLETRANSLATE(C59, ""en"", ""hi"")"),"A) खिलाड़ी A को अगला सेट जीतना होगा। , B) खिलाड़ी A को अगला सेट कम से कम 2 अंकों से जीतना होगा। , C) खिलाड़ी A को अगले दो सेट जीतने होंगे। , D) खिलाड़ी A को एक और गेम जीतना होगा।")</f>
        <v>A) खिलाड़ी A को अगला सेट जीतना होगा। , B) खिलाड़ी A को अगला सेट कम से कम 2 अंकों से जीतना होगा। , C) खिलाड़ी A को अगले दो सेट जीतने होंगे। , D) खिलाड़ी A को एक और गेम जीतना होगा।</v>
      </c>
      <c r="I59" s="5" t="str">
        <f>IFERROR(__xludf.DUMMYFUNCTION("GOOGLETRANSLATE(D59, ""en"", ""hi"")"),"A) खिलाड़ी A को अगला सेट जीतना होगा।")</f>
        <v>A) खिलाड़ी A को अगला सेट जीतना होगा।</v>
      </c>
    </row>
    <row r="60" ht="22.5" customHeight="1">
      <c r="A60" s="2">
        <v>59.0</v>
      </c>
      <c r="B60" s="3" t="s">
        <v>7831</v>
      </c>
      <c r="C60" s="3" t="s">
        <v>7788</v>
      </c>
      <c r="D60" s="3" t="s">
        <v>7743</v>
      </c>
      <c r="F60" s="5" t="str">
        <f>IFERROR(__xludf.DUMMYFUNCTION("GOOGLETRANSLATE(A60, ""en"", ""hi"")"),"59")</f>
        <v>59</v>
      </c>
      <c r="G60" s="5" t="str">
        <f>IFERROR(__xludf.DUMMYFUNCTION("GOOGLETRANSLATE(B60, ""en"", ""hi"")"),"एक कंचे खेल में, यदि खिलाड़ी X ने 15-12 और 15-13 के स्कोर के साथ 2 सेट जीते और खिलाड़ी Y ने 15-10 के स्कोर के साथ 1 सेट जीता, तो खेले गए खेलों की कुल संख्या क्या है?")</f>
        <v>एक कंचे खेल में, यदि खिलाड़ी X ने 15-12 और 15-13 के स्कोर के साथ 2 सेट जीते और खिलाड़ी Y ने 15-10 के स्कोर के साथ 1 सेट जीता, तो खेले गए खेलों की कुल संख्या क्या है?</v>
      </c>
      <c r="H60" s="5" t="str">
        <f>IFERROR(__xludf.DUMMYFUNCTION("GOOGLETRANSLATE(C60, ""en"", ""hi"")"),"A) 3 खेल, B) 2 खेल, C) 4 खेल, D) 5 खेल।")</f>
        <v>A) 3 खेल, B) 2 खेल, C) 4 खेल, D) 5 खेल।</v>
      </c>
      <c r="I60" s="5" t="str">
        <f>IFERROR(__xludf.DUMMYFUNCTION("GOOGLETRANSLATE(D60, ""en"", ""hi"")"),"ए) 3 खेल.")</f>
        <v>ए) 3 खेल.</v>
      </c>
    </row>
    <row r="61" ht="22.5" customHeight="1">
      <c r="A61" s="2">
        <v>60.0</v>
      </c>
      <c r="B61" s="3" t="s">
        <v>7832</v>
      </c>
      <c r="C61" s="3" t="s">
        <v>7764</v>
      </c>
      <c r="D61" s="3" t="s">
        <v>7765</v>
      </c>
      <c r="F61" s="5" t="str">
        <f>IFERROR(__xludf.DUMMYFUNCTION("GOOGLETRANSLATE(A61, ""en"", ""hi"")"),"60")</f>
        <v>60</v>
      </c>
      <c r="G61" s="5" t="str">
        <f>IFERROR(__xludf.DUMMYFUNCTION("GOOGLETRANSLATE(B61, ""en"", ""hi"")"),"खिलाड़ी X और खिलाड़ी Y एक कंचे मैच खेल रहे हैं। यदि खिलाड़ी X पहले दो गेम में 15-10 से और खिलाड़ी Y पहले दो गेम में 15-13 से जीतता है, तो मैच का स्कोर क्या है?")</f>
        <v>खिलाड़ी X और खिलाड़ी Y एक कंचे मैच खेल रहे हैं। यदि खिलाड़ी X पहले दो गेम में 15-10 से और खिलाड़ी Y पहले दो गेम में 15-13 से जीतता है, तो मैच का स्कोर क्या है?</v>
      </c>
      <c r="H61" s="5" t="str">
        <f>IFERROR(__xludf.DUMMYFUNCTION("GOOGLETRANSLATE(C61, ""en"", ""hi"")"),"ए) 1-1. , बी) 2-0. , सी) 0-2. , डी) 1-0.")</f>
        <v>ए) 1-1. , बी) 2-0. , सी) 0-2. , डी) 1-0.</v>
      </c>
      <c r="I61" s="5" t="str">
        <f>IFERROR(__xludf.DUMMYFUNCTION("GOOGLETRANSLATE(D61, ""en"", ""hi"")"),"ए) 1-1.")</f>
        <v>ए) 1-1.</v>
      </c>
    </row>
    <row r="62" ht="22.5" customHeight="1">
      <c r="A62" s="2">
        <v>61.0</v>
      </c>
      <c r="B62" s="3" t="s">
        <v>7833</v>
      </c>
      <c r="C62" s="3" t="s">
        <v>7745</v>
      </c>
      <c r="D62" s="3" t="s">
        <v>7746</v>
      </c>
      <c r="F62" s="5" t="str">
        <f>IFERROR(__xludf.DUMMYFUNCTION("GOOGLETRANSLATE(A62, ""en"", ""hi"")"),"61")</f>
        <v>61</v>
      </c>
      <c r="G62" s="5" t="str">
        <f>IFERROR(__xludf.DUMMYFUNCTION("GOOGLETRANSLATE(B62, ""en"", ""hi"")"),"यदि खिलाड़ी A ने 15-11, 15-13 और 15-14 के स्कोर के साथ कंचे मैच जीता, तो खिलाड़ी A द्वारा जीते गए सेटों की न्यूनतम संख्या क्या है?")</f>
        <v>यदि खिलाड़ी A ने 15-11, 15-13 और 15-14 के स्कोर के साथ कंचे मैच जीता, तो खिलाड़ी A द्वारा जीते गए सेटों की न्यूनतम संख्या क्या है?</v>
      </c>
      <c r="H62" s="5" t="str">
        <f>IFERROR(__xludf.DUMMYFUNCTION("GOOGLETRANSLATE(C62, ""en"", ""hi"")"),"ए) 3 सेट, बी) 2 सेट, सी) 1 सेट, डी) 4 सेट")</f>
        <v>ए) 3 सेट, बी) 2 सेट, सी) 1 सेट, डी) 4 सेट</v>
      </c>
      <c r="I62" s="5" t="str">
        <f>IFERROR(__xludf.DUMMYFUNCTION("GOOGLETRANSLATE(D62, ""en"", ""hi"")"),"ए) 3 सेट.")</f>
        <v>ए) 3 सेट.</v>
      </c>
    </row>
    <row r="63" ht="22.5" customHeight="1">
      <c r="A63" s="2">
        <v>62.0</v>
      </c>
      <c r="B63" s="3" t="s">
        <v>7834</v>
      </c>
      <c r="C63" s="3" t="s">
        <v>7835</v>
      </c>
      <c r="D63" s="3" t="s">
        <v>7735</v>
      </c>
      <c r="F63" s="5" t="str">
        <f>IFERROR(__xludf.DUMMYFUNCTION("GOOGLETRANSLATE(A63, ""en"", ""hi"")"),"62")</f>
        <v>62</v>
      </c>
      <c r="G63" s="5" t="str">
        <f>IFERROR(__xludf.DUMMYFUNCTION("GOOGLETRANSLATE(B63, ""en"", ""hi"")"),"एक कंचे मैच में, खिलाड़ी X ने पहला गेम 15-13 से और खिलाड़ी Y ने दूसरा गेम 15-14 से जीता। यदि खिलाड़ी X तीसरा गेम 15-10 से जीतता है, तो मैच का स्कोर क्या होगा?")</f>
        <v>एक कंचे मैच में, खिलाड़ी X ने पहला गेम 15-13 से और खिलाड़ी Y ने दूसरा गेम 15-14 से जीता। यदि खिलाड़ी X तीसरा गेम 15-10 से जीतता है, तो मैच का स्कोर क्या होगा?</v>
      </c>
      <c r="H63" s="5" t="str">
        <f>IFERROR(__xludf.DUMMYFUNCTION("GOOGLETRANSLATE(C63, ""en"", ""hi"")"),"A) खिलाड़ी X 2-1 से जीतता है। , B) खिलाड़ी Y 2-1 से जीतता है। , C) मैच 1-1 से बराबर है। , D) खिलाड़ी X 1-2 से जीतता है।")</f>
        <v>A) खिलाड़ी X 2-1 से जीतता है। , B) खिलाड़ी Y 2-1 से जीतता है। , C) मैच 1-1 से बराबर है। , D) खिलाड़ी X 1-2 से जीतता है।</v>
      </c>
      <c r="I63" s="5" t="str">
        <f>IFERROR(__xludf.DUMMYFUNCTION("GOOGLETRANSLATE(D63, ""en"", ""hi"")"),"A) खिलाड़ी X 2-1 से जीतता है।")</f>
        <v>A) खिलाड़ी X 2-1 से जीतता है।</v>
      </c>
    </row>
    <row r="64" ht="22.5" customHeight="1">
      <c r="A64" s="2">
        <v>63.0</v>
      </c>
      <c r="B64" s="3" t="s">
        <v>7836</v>
      </c>
      <c r="C64" s="3" t="s">
        <v>7725</v>
      </c>
      <c r="D64" s="3" t="s">
        <v>7726</v>
      </c>
      <c r="F64" s="5" t="str">
        <f>IFERROR(__xludf.DUMMYFUNCTION("GOOGLETRANSLATE(A64, ""en"", ""hi"")"),"63")</f>
        <v>63</v>
      </c>
      <c r="G64" s="5" t="str">
        <f>IFERROR(__xludf.DUMMYFUNCTION("GOOGLETRANSLATE(B64, ""en"", ""hi"")"),"एक कंचे खेल में, यदि खिलाड़ी A ने 12 अंक बनाए और खिलाड़ी B ने 15 अंक बनाए, तो परिणाम क्या होगा?")</f>
        <v>एक कंचे खेल में, यदि खिलाड़ी A ने 12 अंक बनाए और खिलाड़ी B ने 15 अंक बनाए, तो परिणाम क्या होगा?</v>
      </c>
      <c r="H64" s="5" t="str">
        <f>IFERROR(__xludf.DUMMYFUNCTION("GOOGLETRANSLATE(C64, ""en"", ""hi"")"),"A) खिलाड़ी A जीतता है। , B) खिलाड़ी B जीतता है। , C) खेल बराबरी पर रहता है। , D) खेल तब तक जारी रहता है जब तक कि एक खिलाड़ी 20 अंक नहीं बना लेता।")</f>
        <v>A) खिलाड़ी A जीतता है। , B) खिलाड़ी B जीतता है। , C) खेल बराबरी पर रहता है। , D) खेल तब तक जारी रहता है जब तक कि एक खिलाड़ी 20 अंक नहीं बना लेता।</v>
      </c>
      <c r="I64" s="5" t="str">
        <f>IFERROR(__xludf.DUMMYFUNCTION("GOOGLETRANSLATE(D64, ""en"", ""hi"")"),"B) खिलाड़ी B जीतता है.")</f>
        <v>B) खिलाड़ी B जीतता है.</v>
      </c>
    </row>
    <row r="65" ht="22.5" customHeight="1">
      <c r="A65" s="2">
        <v>64.0</v>
      </c>
      <c r="B65" s="3" t="s">
        <v>7837</v>
      </c>
      <c r="C65" s="3" t="s">
        <v>7838</v>
      </c>
      <c r="D65" s="3" t="s">
        <v>7839</v>
      </c>
      <c r="F65" s="5" t="str">
        <f>IFERROR(__xludf.DUMMYFUNCTION("GOOGLETRANSLATE(A65, ""en"", ""hi"")"),"64")</f>
        <v>64</v>
      </c>
      <c r="G65" s="5" t="str">
        <f>IFERROR(__xludf.DUMMYFUNCTION("GOOGLETRANSLATE(B65, ""en"", ""hi"")"),"खिलाड़ी X ने कंचे खेल में 14 अंक बनाए, और खिलाड़ी Y ने 15 अंक बनाए। परिणाम क्या है?")</f>
        <v>खिलाड़ी X ने कंचे खेल में 14 अंक बनाए, और खिलाड़ी Y ने 15 अंक बनाए। परिणाम क्या है?</v>
      </c>
      <c r="H65" s="5" t="str">
        <f>IFERROR(__xludf.DUMMYFUNCTION("GOOGLETRANSLATE(C65, ""en"", ""hi"")"),"A) खिलाड़ी X जीतता है। , B) खिलाड़ी Y जीतता है। , C) खेल बराबरी पर रहता है। , D) खेल तब तक जारी रहता है जब तक कि एक खिलाड़ी 20 अंक नहीं बना लेता।")</f>
        <v>A) खिलाड़ी X जीतता है। , B) खिलाड़ी Y जीतता है। , C) खेल बराबरी पर रहता है। , D) खेल तब तक जारी रहता है जब तक कि एक खिलाड़ी 20 अंक नहीं बना लेता।</v>
      </c>
      <c r="I65" s="5" t="str">
        <f>IFERROR(__xludf.DUMMYFUNCTION("GOOGLETRANSLATE(D65, ""en"", ""hi"")"),"बी) खिलाड़ी वाई जीतता है।")</f>
        <v>बी) खिलाड़ी वाई जीतता है।</v>
      </c>
    </row>
    <row r="66" ht="22.5" customHeight="1">
      <c r="A66" s="2">
        <v>65.0</v>
      </c>
      <c r="B66" s="3" t="s">
        <v>7840</v>
      </c>
      <c r="C66" s="3" t="s">
        <v>7745</v>
      </c>
      <c r="D66" s="3" t="s">
        <v>7746</v>
      </c>
      <c r="F66" s="5" t="str">
        <f>IFERROR(__xludf.DUMMYFUNCTION("GOOGLETRANSLATE(A66, ""en"", ""hi"")"),"65")</f>
        <v>65</v>
      </c>
      <c r="G66" s="5" t="str">
        <f>IFERROR(__xludf.DUMMYFUNCTION("GOOGLETRANSLATE(B66, ""en"", ""hi"")"),"कंचे मैच के दौरान, यदि खिलाड़ी X और खिलाड़ी Y सेटों में 2-2 से बराबर हैं और प्रत्येक सेट 20 अंकों तक खेला जाता है, तो मैच को सुरक्षित करने के लिए खिलाड़ी X को कम से कम कितने सेट जीतने होंगे?")</f>
        <v>कंचे मैच के दौरान, यदि खिलाड़ी X और खिलाड़ी Y सेटों में 2-2 से बराबर हैं और प्रत्येक सेट 20 अंकों तक खेला जाता है, तो मैच को सुरक्षित करने के लिए खिलाड़ी X को कम से कम कितने सेट जीतने होंगे?</v>
      </c>
      <c r="H66" s="5" t="str">
        <f>IFERROR(__xludf.DUMMYFUNCTION("GOOGLETRANSLATE(C66, ""en"", ""hi"")"),"ए) 3 सेट, बी) 2 सेट, सी) 1 सेट, डी) 4 सेट")</f>
        <v>ए) 3 सेट, बी) 2 सेट, सी) 1 सेट, डी) 4 सेट</v>
      </c>
      <c r="I66" s="5" t="str">
        <f>IFERROR(__xludf.DUMMYFUNCTION("GOOGLETRANSLATE(D66, ""en"", ""hi"")"),"ए) 3 सेट.")</f>
        <v>ए) 3 सेट.</v>
      </c>
    </row>
    <row r="67" ht="22.5" customHeight="1">
      <c r="A67" s="2">
        <v>66.0</v>
      </c>
      <c r="B67" s="3" t="s">
        <v>7841</v>
      </c>
      <c r="C67" s="3" t="s">
        <v>7842</v>
      </c>
      <c r="D67" s="3" t="s">
        <v>7740</v>
      </c>
      <c r="F67" s="5" t="str">
        <f>IFERROR(__xludf.DUMMYFUNCTION("GOOGLETRANSLATE(A67, ""en"", ""hi"")"),"66")</f>
        <v>66</v>
      </c>
      <c r="G67" s="5" t="str">
        <f>IFERROR(__xludf.DUMMYFUNCTION("GOOGLETRANSLATE(B67, ""en"", ""hi"")"),"एक कंचे मैच में, यदि खिलाड़ी A ने 15-12, 15-11 और 15-13 के स्कोर के साथ 3 सेट जीते, तो खिलाड़ी A द्वारा बनाए गए कुल अंकों की संख्या क्या है?")</f>
        <v>एक कंचे मैच में, यदि खिलाड़ी A ने 15-12, 15-11 और 15-13 के स्कोर के साथ 3 सेट जीते, तो खिलाड़ी A द्वारा बनाए गए कुल अंकों की संख्या क्या है?</v>
      </c>
      <c r="H67" s="5" t="str">
        <f>IFERROR(__xludf.DUMMYFUNCTION("GOOGLETRANSLATE(C67, ""en"", ""hi"")"),"ए) 45 अंक. , बी) 50 अंक. , सी) 46 अंक. , डी) 55 अंक.")</f>
        <v>ए) 45 अंक. , बी) 50 अंक. , सी) 46 अंक. , डी) 55 अंक.</v>
      </c>
      <c r="I67" s="5" t="str">
        <f>IFERROR(__xludf.DUMMYFUNCTION("GOOGLETRANSLATE(D67, ""en"", ""hi"")"),"ए) 45 अंक.")</f>
        <v>ए) 45 अंक.</v>
      </c>
    </row>
    <row r="68" ht="22.5" customHeight="1">
      <c r="A68" s="2">
        <v>67.0</v>
      </c>
      <c r="B68" s="3" t="s">
        <v>7843</v>
      </c>
      <c r="C68" s="3" t="s">
        <v>7826</v>
      </c>
      <c r="D68" s="3" t="s">
        <v>7827</v>
      </c>
      <c r="F68" s="5" t="str">
        <f>IFERROR(__xludf.DUMMYFUNCTION("GOOGLETRANSLATE(A68, ""en"", ""hi"")"),"67")</f>
        <v>67</v>
      </c>
      <c r="G68" s="5" t="str">
        <f>IFERROR(__xludf.DUMMYFUNCTION("GOOGLETRANSLATE(B68, ""en"", ""hi"")"),"यदि खिलाड़ी A ने पहले दो सेट 15-13 और 15-12 के स्कोर से जीते, और खिलाड़ी B ने तीसरा सेट 15-14 से जीता, तो मैच का स्कोर क्या होगा?")</f>
        <v>यदि खिलाड़ी A ने पहले दो सेट 15-13 और 15-12 के स्कोर से जीते, और खिलाड़ी B ने तीसरा सेट 15-14 से जीता, तो मैच का स्कोर क्या होगा?</v>
      </c>
      <c r="H68" s="5" t="str">
        <f>IFERROR(__xludf.DUMMYFUNCTION("GOOGLETRANSLATE(C68, ""en"", ""hi"")"),"A) खिलाड़ी A 2-1 से आगे है। , B) खिलाड़ी B 2-1 से आगे है। , C) मैच 1-1 से बराबर है। , D) खिलाड़ी A 1-0 से आगे है।")</f>
        <v>A) खिलाड़ी A 2-1 से आगे है। , B) खिलाड़ी B 2-1 से आगे है। , C) मैच 1-1 से बराबर है। , D) खिलाड़ी A 1-0 से आगे है।</v>
      </c>
      <c r="I68" s="5" t="str">
        <f>IFERROR(__xludf.DUMMYFUNCTION("GOOGLETRANSLATE(D68, ""en"", ""hi"")"),"A) खिलाड़ी A 2-1 से आगे है।")</f>
        <v>A) खिलाड़ी A 2-1 से आगे है।</v>
      </c>
    </row>
    <row r="69" ht="22.5" customHeight="1">
      <c r="A69" s="2">
        <v>68.0</v>
      </c>
      <c r="B69" s="3" t="s">
        <v>7844</v>
      </c>
      <c r="C69" s="3" t="s">
        <v>7826</v>
      </c>
      <c r="D69" s="3" t="s">
        <v>7827</v>
      </c>
      <c r="F69" s="5" t="str">
        <f>IFERROR(__xludf.DUMMYFUNCTION("GOOGLETRANSLATE(A69, ""en"", ""hi"")"),"68")</f>
        <v>68</v>
      </c>
      <c r="G69" s="5" t="str">
        <f>IFERROR(__xludf.DUMMYFUNCTION("GOOGLETRANSLATE(B69, ""en"", ""hi"")"),"एक कंचे मैच में, खिलाड़ी A पहला सेट 15-8 से जीतता है और खिलाड़ी B दूसरा सेट 15-14 से जीतता है। यदि खिलाड़ी A तीसरा सेट 15-9 से जीतता है, तो मैच का स्कोर क्या होगा?")</f>
        <v>एक कंचे मैच में, खिलाड़ी A पहला सेट 15-8 से जीतता है और खिलाड़ी B दूसरा सेट 15-14 से जीतता है। यदि खिलाड़ी A तीसरा सेट 15-9 से जीतता है, तो मैच का स्कोर क्या होगा?</v>
      </c>
      <c r="H69" s="5" t="str">
        <f>IFERROR(__xludf.DUMMYFUNCTION("GOOGLETRANSLATE(C69, ""en"", ""hi"")"),"A) खिलाड़ी A 2-1 से आगे है। , B) खिलाड़ी B 2-1 से आगे है। , C) मैच 1-1 से बराबर है। , D) खिलाड़ी A 1-0 से आगे है।")</f>
        <v>A) खिलाड़ी A 2-1 से आगे है। , B) खिलाड़ी B 2-1 से आगे है। , C) मैच 1-1 से बराबर है। , D) खिलाड़ी A 1-0 से आगे है।</v>
      </c>
      <c r="I69" s="5" t="str">
        <f>IFERROR(__xludf.DUMMYFUNCTION("GOOGLETRANSLATE(D69, ""en"", ""hi"")"),"A) खिलाड़ी A 2-1 से आगे है।")</f>
        <v>A) खिलाड़ी A 2-1 से आगे है।</v>
      </c>
    </row>
    <row r="70" ht="22.5" customHeight="1">
      <c r="A70" s="2">
        <v>69.0</v>
      </c>
      <c r="B70" s="3" t="s">
        <v>7845</v>
      </c>
      <c r="C70" s="3" t="s">
        <v>7846</v>
      </c>
      <c r="D70" s="3" t="s">
        <v>7847</v>
      </c>
      <c r="F70" s="5" t="str">
        <f>IFERROR(__xludf.DUMMYFUNCTION("GOOGLETRANSLATE(A70, ""en"", ""hi"")"),"69")</f>
        <v>69</v>
      </c>
      <c r="G70" s="5" t="str">
        <f>IFERROR(__xludf.DUMMYFUNCTION("GOOGLETRANSLATE(B70, ""en"", ""hi"")"),"एक कंचे मैच के दौरान, खिलाड़ी X पहले दो सेट 15-10 और 15-8 के स्कोर से जीतता है। यदि खिलाड़ी Y तीसरा सेट 15-13 से जीतता है, तो मैच का स्कोर क्या होगा?")</f>
        <v>एक कंचे मैच के दौरान, खिलाड़ी X पहले दो सेट 15-10 और 15-8 के स्कोर से जीतता है। यदि खिलाड़ी Y तीसरा सेट 15-13 से जीतता है, तो मैच का स्कोर क्या होगा?</v>
      </c>
      <c r="H70" s="5" t="str">
        <f>IFERROR(__xludf.DUMMYFUNCTION("GOOGLETRANSLATE(C70,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70" s="5" t="str">
        <f>IFERROR(__xludf.DUMMYFUNCTION("GOOGLETRANSLATE(D70, ""en"", ""hi"")"),"A) खिलाड़ी X 2-1 से आगे है।")</f>
        <v>A) खिलाड़ी X 2-1 से आगे है।</v>
      </c>
    </row>
    <row r="71" ht="22.5" customHeight="1">
      <c r="A71" s="2">
        <v>70.0</v>
      </c>
      <c r="B71" s="3" t="s">
        <v>7848</v>
      </c>
      <c r="C71" s="3" t="s">
        <v>7849</v>
      </c>
      <c r="D71" s="3" t="s">
        <v>7806</v>
      </c>
      <c r="F71" s="5" t="str">
        <f>IFERROR(__xludf.DUMMYFUNCTION("GOOGLETRANSLATE(A71, ""en"", ""hi"")"),"70")</f>
        <v>70</v>
      </c>
      <c r="G71" s="5" t="str">
        <f>IFERROR(__xludf.DUMMYFUNCTION("GOOGLETRANSLATE(B71, ""en"", ""hi"")"),"यदि खिलाड़ी A और खिलाड़ी B कंचे मैच खेल रहे हैं और खिलाड़ी A पहला सेट 15-12 से जीतता है और खिलाड़ी B दूसरा सेट 15-14 से जीतता है, तो खिलाड़ी A को मैच जीतने के लिए क्या करना होगा?")</f>
        <v>यदि खिलाड़ी A और खिलाड़ी B कंचे मैच खेल रहे हैं और खिलाड़ी A पहला सेट 15-12 से जीतता है और खिलाड़ी B दूसरा सेट 15-14 से जीतता है, तो खिलाड़ी A को मैच जीतने के लिए क्या करना होगा?</v>
      </c>
      <c r="H71" s="5" t="str">
        <f>IFERROR(__xludf.DUMMYFUNCTION("GOOGLETRANSLATE(C71, ""en"", ""hi"")"),"A) खिलाड़ी A को अगला सेट जीतना होगा। , B) खिलाड़ी A को अगला सेट कम से कम 2 अंकों से जीतना होगा। , C) खिलाड़ी A को दो और सेट जीतने होंगे। , D) खिलाड़ी A को एक और गेम जीतना होगा।")</f>
        <v>A) खिलाड़ी A को अगला सेट जीतना होगा। , B) खिलाड़ी A को अगला सेट कम से कम 2 अंकों से जीतना होगा। , C) खिलाड़ी A को दो और सेट जीतने होंगे। , D) खिलाड़ी A को एक और गेम जीतना होगा।</v>
      </c>
      <c r="I71" s="5" t="str">
        <f>IFERROR(__xludf.DUMMYFUNCTION("GOOGLETRANSLATE(D71, ""en"", ""hi"")"),"A) खिलाड़ी A को अगला सेट जीतना होगा।")</f>
        <v>A) खिलाड़ी A को अगला सेट जीतना होगा।</v>
      </c>
    </row>
    <row r="72" ht="22.5" customHeight="1">
      <c r="A72" s="2">
        <v>71.0</v>
      </c>
      <c r="B72" s="3" t="s">
        <v>7850</v>
      </c>
      <c r="C72" s="3" t="s">
        <v>7851</v>
      </c>
      <c r="D72" s="3" t="s">
        <v>7711</v>
      </c>
      <c r="F72" s="5" t="str">
        <f>IFERROR(__xludf.DUMMYFUNCTION("GOOGLETRANSLATE(A72, ""en"", ""hi"")"),"71")</f>
        <v>71</v>
      </c>
      <c r="G72" s="5" t="str">
        <f>IFERROR(__xludf.DUMMYFUNCTION("GOOGLETRANSLATE(B72, ""en"", ""hi"")"),"20 अंकों तक खेले गए एक कंचे खेल में, यदि खिलाड़ी X 20 अंक बनाता है और खिलाड़ी Y 18 अंक बनाता है, तो परिणाम क्या होगा?")</f>
        <v>20 अंकों तक खेले गए एक कंचे खेल में, यदि खिलाड़ी X 20 अंक बनाता है और खिलाड़ी Y 18 अंक बनाता है, तो परिणाम क्या होगा?</v>
      </c>
      <c r="H72" s="5" t="str">
        <f>IFERROR(__xludf.DUMMYFUNCTION("GOOGLETRANSLATE(C72, ""en"", ""hi"")"),"A) खिलाड़ी X जीतता है। , B) खिलाड़ी Y जीतता है। , C) खेल बराबरी पर रहता है। , D) खेल तब तक जारी रहता है जब तक कि एक खिलाड़ी 25 अंक नहीं बना लेता।")</f>
        <v>A) खिलाड़ी X जीतता है। , B) खिलाड़ी Y जीतता है। , C) खेल बराबरी पर रहता है। , D) खेल तब तक जारी रहता है जब तक कि एक खिलाड़ी 25 अंक नहीं बना लेता।</v>
      </c>
      <c r="I72" s="5" t="str">
        <f>IFERROR(__xludf.DUMMYFUNCTION("GOOGLETRANSLATE(D72, ""en"", ""hi"")"),"A) खिलाड़ी X जीतता है.")</f>
        <v>A) खिलाड़ी X जीतता है.</v>
      </c>
    </row>
    <row r="73" ht="22.5" customHeight="1">
      <c r="A73" s="2">
        <v>72.0</v>
      </c>
      <c r="B73" s="3" t="s">
        <v>7852</v>
      </c>
      <c r="C73" s="3" t="s">
        <v>7853</v>
      </c>
      <c r="D73" s="3" t="s">
        <v>7854</v>
      </c>
      <c r="F73" s="5" t="str">
        <f>IFERROR(__xludf.DUMMYFUNCTION("GOOGLETRANSLATE(A73, ""en"", ""hi"")"),"72")</f>
        <v>72</v>
      </c>
      <c r="G73" s="5" t="str">
        <f>IFERROR(__xludf.DUMMYFUNCTION("GOOGLETRANSLATE(B73, ""en"", ""hi"")"),"एक कंचे मैच के दौरान, खिलाड़ी X और खिलाड़ी Y सेटों में 1-1 से बराबरी पर हैं। यदि प्रत्येक सेट 25 अंकों तक खेला जाता है, तो खिलाड़ी X मैच जीतने के लिए अधिकतम कितने अंक जीत सकता है?")</f>
        <v>एक कंचे मैच के दौरान, खिलाड़ी X और खिलाड़ी Y सेटों में 1-1 से बराबरी पर हैं। यदि प्रत्येक सेट 25 अंकों तक खेला जाता है, तो खिलाड़ी X मैच जीतने के लिए अधिकतम कितने अंक जीत सकता है?</v>
      </c>
      <c r="H73" s="5" t="str">
        <f>IFERROR(__xludf.DUMMYFUNCTION("GOOGLETRANSLATE(C73, ""en"", ""hi"")"),"ए) 25 अंक, बी) 30 अंक, सी) 40 अंक, डी) 50 अंक।")</f>
        <v>ए) 25 अंक, बी) 30 अंक, सी) 40 अंक, डी) 50 अंक।</v>
      </c>
      <c r="I73" s="5" t="str">
        <f>IFERROR(__xludf.DUMMYFUNCTION("GOOGLETRANSLATE(D73, ""en"", ""hi"")"),"बी) 30 अंक.")</f>
        <v>बी) 30 अंक.</v>
      </c>
    </row>
    <row r="74" ht="22.5" customHeight="1">
      <c r="A74" s="2">
        <v>73.0</v>
      </c>
      <c r="B74" s="3" t="s">
        <v>7855</v>
      </c>
      <c r="C74" s="3" t="s">
        <v>7856</v>
      </c>
      <c r="D74" s="3" t="s">
        <v>7857</v>
      </c>
      <c r="F74" s="5" t="str">
        <f>IFERROR(__xludf.DUMMYFUNCTION("GOOGLETRANSLATE(A74, ""en"", ""hi"")"),"73")</f>
        <v>73</v>
      </c>
      <c r="G74" s="5" t="str">
        <f>IFERROR(__xludf.DUMMYFUNCTION("GOOGLETRANSLATE(B74, ""en"", ""hi"")"),"खिलाड़ी A ने पहला सेट 15-14 से जीता, खिलाड़ी B ने दूसरा सेट 15-13 से जीता, और खिलाड़ी A ने तीसरा सेट 15-12 से जीता। मैच जीतने के लिए खिलाड़ी A को कम से कम कितने सेट जीतने होंगे?")</f>
        <v>खिलाड़ी A ने पहला सेट 15-14 से जीता, खिलाड़ी B ने दूसरा सेट 15-13 से जीता, और खिलाड़ी A ने तीसरा सेट 15-12 से जीता। मैच जीतने के लिए खिलाड़ी A को कम से कम कितने सेट जीतने होंगे?</v>
      </c>
      <c r="H74" s="5" t="str">
        <f>IFERROR(__xludf.DUMMYFUNCTION("GOOGLETRANSLATE(C74, ""en"", ""hi"")"),"ए) 2 सेट, बी) 3 सेट, सी) 4 सेट, डी) 1 सेट")</f>
        <v>ए) 2 सेट, बी) 3 सेट, सी) 4 सेट, डी) 1 सेट</v>
      </c>
      <c r="I74" s="5" t="str">
        <f>IFERROR(__xludf.DUMMYFUNCTION("GOOGLETRANSLATE(D74, ""en"", ""hi"")"),"बी) 3 सेट.")</f>
        <v>बी) 3 सेट.</v>
      </c>
    </row>
    <row r="75" ht="22.5" customHeight="1">
      <c r="A75" s="2">
        <v>74.0</v>
      </c>
      <c r="B75" s="3" t="s">
        <v>7858</v>
      </c>
      <c r="C75" s="3" t="s">
        <v>7791</v>
      </c>
      <c r="D75" s="3" t="s">
        <v>7792</v>
      </c>
      <c r="F75" s="5" t="str">
        <f>IFERROR(__xludf.DUMMYFUNCTION("GOOGLETRANSLATE(A75, ""en"", ""hi"")"),"74")</f>
        <v>74</v>
      </c>
      <c r="G75" s="5" t="str">
        <f>IFERROR(__xludf.DUMMYFUNCTION("GOOGLETRANSLATE(B75, ""en"", ""hi"")"),"एक कंचे मैच में, खिलाड़ी X ने पहला गेम 15-12 से जीता, खिलाड़ी Y ने दूसरा गेम 15-14 से जीता, और खिलाड़ी X ने तीसरा गेम 15-10 से जीता। खिलाड़ी X ने कुल कितने गेम जीते?")</f>
        <v>एक कंचे मैच में, खिलाड़ी X ने पहला गेम 15-12 से जीता, खिलाड़ी Y ने दूसरा गेम 15-14 से जीता, और खिलाड़ी X ने तीसरा गेम 15-10 से जीता। खिलाड़ी X ने कुल कितने गेम जीते?</v>
      </c>
      <c r="H75" s="5" t="str">
        <f>IFERROR(__xludf.DUMMYFUNCTION("GOOGLETRANSLATE(C75, ""en"", ""hi"")"),"A) 2 खेल, B) 1 खेल, C) 3 खेल, D) 4 खेल।")</f>
        <v>A) 2 खेल, B) 1 खेल, C) 3 खेल, D) 4 खेल।</v>
      </c>
      <c r="I75" s="5" t="str">
        <f>IFERROR(__xludf.DUMMYFUNCTION("GOOGLETRANSLATE(D75, ""en"", ""hi"")"),"ए) 2 खेल.")</f>
        <v>ए) 2 खेल.</v>
      </c>
    </row>
    <row r="76" ht="22.5" customHeight="1">
      <c r="A76" s="2">
        <v>75.0</v>
      </c>
      <c r="B76" s="3" t="s">
        <v>7859</v>
      </c>
      <c r="C76" s="3" t="s">
        <v>7860</v>
      </c>
      <c r="D76" s="3" t="s">
        <v>7861</v>
      </c>
      <c r="F76" s="5" t="str">
        <f>IFERROR(__xludf.DUMMYFUNCTION("GOOGLETRANSLATE(A76, ""en"", ""hi"")"),"75")</f>
        <v>75</v>
      </c>
      <c r="G76" s="5" t="str">
        <f>IFERROR(__xludf.DUMMYFUNCTION("GOOGLETRANSLATE(B76, ""en"", ""hi"")"),"एक कंचे टूर्नामेंट के दौरान, खिलाड़ी A और खिलाड़ी B सेटों में 2-2 से बराबरी पर हैं। यदि खिलाड़ी A पाँचवाँ सेट 15-10 के स्कोर से जीत जाता है, तो मैच का स्कोर क्या होगा?")</f>
        <v>एक कंचे टूर्नामेंट के दौरान, खिलाड़ी A और खिलाड़ी B सेटों में 2-2 से बराबरी पर हैं। यदि खिलाड़ी A पाँचवाँ सेट 15-10 के स्कोर से जीत जाता है, तो मैच का स्कोर क्या होगा?</v>
      </c>
      <c r="H76" s="5" t="str">
        <f>IFERROR(__xludf.DUMMYFUNCTION("GOOGLETRANSLATE(C76, ""en"", ""hi"")"),"A) खिलाड़ी A 3-2 से जीतता है। , B) खिलाड़ी B 3-2 से जीतता है। , C) मैच 2-2 से बराबर है। , D) मैच अभी भी जारी है।")</f>
        <v>A) खिलाड़ी A 3-2 से जीतता है। , B) खिलाड़ी B 3-2 से जीतता है। , C) मैच 2-2 से बराबर है। , D) मैच अभी भी जारी है।</v>
      </c>
      <c r="I76" s="5" t="str">
        <f>IFERROR(__xludf.DUMMYFUNCTION("GOOGLETRANSLATE(D76, ""en"", ""hi"")"),"A) खिलाड़ी A 3-2 से जीतता है।")</f>
        <v>A) खिलाड़ी A 3-2 से जीतता है।</v>
      </c>
    </row>
    <row r="77" ht="22.5" customHeight="1">
      <c r="A77" s="2">
        <v>76.0</v>
      </c>
      <c r="B77" s="3" t="s">
        <v>7862</v>
      </c>
      <c r="C77" s="3" t="s">
        <v>7846</v>
      </c>
      <c r="D77" s="3" t="s">
        <v>7847</v>
      </c>
      <c r="F77" s="5" t="str">
        <f>IFERROR(__xludf.DUMMYFUNCTION("GOOGLETRANSLATE(A77, ""en"", ""hi"")"),"76")</f>
        <v>76</v>
      </c>
      <c r="G77" s="5" t="str">
        <f>IFERROR(__xludf.DUMMYFUNCTION("GOOGLETRANSLATE(B77, ""en"", ""hi"")"),"यदि खिलाड़ी X ने कंचे मैच के पहले दो सेट 15-9 और 15-11 के स्कोर से जीते, और खिलाड़ी Y ने अगला सेट 15-13 से जीता, तो मैच का स्कोर क्या है?")</f>
        <v>यदि खिलाड़ी X ने कंचे मैच के पहले दो सेट 15-9 और 15-11 के स्कोर से जीते, और खिलाड़ी Y ने अगला सेट 15-13 से जीता, तो मैच का स्कोर क्या है?</v>
      </c>
      <c r="H77" s="5" t="str">
        <f>IFERROR(__xludf.DUMMYFUNCTION("GOOGLETRANSLATE(C77,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77" s="5" t="str">
        <f>IFERROR(__xludf.DUMMYFUNCTION("GOOGLETRANSLATE(D77, ""en"", ""hi"")"),"A) खिलाड़ी X 2-1 से आगे है।")</f>
        <v>A) खिलाड़ी X 2-1 से आगे है।</v>
      </c>
    </row>
    <row r="78" ht="22.5" customHeight="1">
      <c r="A78" s="2">
        <v>77.0</v>
      </c>
      <c r="B78" s="3" t="s">
        <v>7863</v>
      </c>
      <c r="C78" s="3" t="s">
        <v>7791</v>
      </c>
      <c r="D78" s="3" t="s">
        <v>7792</v>
      </c>
      <c r="F78" s="5" t="str">
        <f>IFERROR(__xludf.DUMMYFUNCTION("GOOGLETRANSLATE(A78, ""en"", ""hi"")"),"77")</f>
        <v>77</v>
      </c>
      <c r="G78" s="5" t="str">
        <f>IFERROR(__xludf.DUMMYFUNCTION("GOOGLETRANSLATE(B78, ""en"", ""hi"")"),"खिलाड़ी A ने पहला गेम 15-13 से जीता, खिलाड़ी B ने दूसरा गेम 15-14 से जीता, और खिलाड़ी A ने तीसरा गेम 15-12 से जीता। खिलाड़ी A ने कम से कम कितने गेम जीते?")</f>
        <v>खिलाड़ी A ने पहला गेम 15-13 से जीता, खिलाड़ी B ने दूसरा गेम 15-14 से जीता, और खिलाड़ी A ने तीसरा गेम 15-12 से जीता। खिलाड़ी A ने कम से कम कितने गेम जीते?</v>
      </c>
      <c r="H78" s="5" t="str">
        <f>IFERROR(__xludf.DUMMYFUNCTION("GOOGLETRANSLATE(C78, ""en"", ""hi"")"),"A) 2 खेल, B) 1 खेल, C) 3 खेल, D) 4 खेल।")</f>
        <v>A) 2 खेल, B) 1 खेल, C) 3 खेल, D) 4 खेल।</v>
      </c>
      <c r="I78" s="5" t="str">
        <f>IFERROR(__xludf.DUMMYFUNCTION("GOOGLETRANSLATE(D78, ""en"", ""hi"")"),"ए) 2 खेल.")</f>
        <v>ए) 2 खेल.</v>
      </c>
    </row>
    <row r="79" ht="22.5" customHeight="1">
      <c r="A79" s="2">
        <v>78.0</v>
      </c>
      <c r="B79" s="3" t="s">
        <v>7864</v>
      </c>
      <c r="C79" s="3" t="s">
        <v>7865</v>
      </c>
      <c r="D79" s="3" t="s">
        <v>7711</v>
      </c>
      <c r="F79" s="5" t="str">
        <f>IFERROR(__xludf.DUMMYFUNCTION("GOOGLETRANSLATE(A79, ""en"", ""hi"")"),"78")</f>
        <v>78</v>
      </c>
      <c r="G79" s="5" t="str">
        <f>IFERROR(__xludf.DUMMYFUNCTION("GOOGLETRANSLATE(B79, ""en"", ""hi"")"),"एक कंचे खेल में, यदि खिलाड़ी X 25 अंक और खिलाड़ी Y 20 अंक बनाता है, तो खेल का परिणाम क्या होगा?")</f>
        <v>एक कंचे खेल में, यदि खिलाड़ी X 25 अंक और खिलाड़ी Y 20 अंक बनाता है, तो खेल का परिणाम क्या होगा?</v>
      </c>
      <c r="H79" s="5" t="str">
        <f>IFERROR(__xludf.DUMMYFUNCTION("GOOGLETRANSLATE(C79, ""en"", ""hi"")"),"A) खिलाड़ी X जीतता है। , B) खिलाड़ी Y जीतता है। , C) खेल बराबरी पर रहता है। , D) खेल तब तक जारी रहता है जब तक कि एक खिलाड़ी 30 अंक नहीं बना लेता।")</f>
        <v>A) खिलाड़ी X जीतता है। , B) खिलाड़ी Y जीतता है। , C) खेल बराबरी पर रहता है। , D) खेल तब तक जारी रहता है जब तक कि एक खिलाड़ी 30 अंक नहीं बना लेता।</v>
      </c>
      <c r="I79" s="5" t="str">
        <f>IFERROR(__xludf.DUMMYFUNCTION("GOOGLETRANSLATE(D79, ""en"", ""hi"")"),"A) खिलाड़ी X जीतता है.")</f>
        <v>A) खिलाड़ी X जीतता है.</v>
      </c>
    </row>
    <row r="80" ht="22.5" customHeight="1">
      <c r="A80" s="2">
        <v>79.0</v>
      </c>
      <c r="B80" s="3" t="s">
        <v>7866</v>
      </c>
      <c r="C80" s="3" t="s">
        <v>7867</v>
      </c>
      <c r="D80" s="3" t="s">
        <v>7868</v>
      </c>
      <c r="F80" s="5" t="str">
        <f>IFERROR(__xludf.DUMMYFUNCTION("GOOGLETRANSLATE(A80, ""en"", ""hi"")"),"79")</f>
        <v>79</v>
      </c>
      <c r="G80" s="5" t="str">
        <f>IFERROR(__xludf.DUMMYFUNCTION("GOOGLETRANSLATE(B80, ""en"", ""hi"")"),"कंचे मैच के दौरान, यदि खिलाड़ी A ने पहला सेट 15-12 से जीता और खिलाड़ी B ने दूसरा सेट 15-13 से जीता, तो खिलाड़ी A मैच जीतने के लिए अधिकतम कितने अंक जीत सकता है?")</f>
        <v>कंचे मैच के दौरान, यदि खिलाड़ी A ने पहला सेट 15-12 से जीता और खिलाड़ी B ने दूसरा सेट 15-13 से जीता, तो खिलाड़ी A मैच जीतने के लिए अधिकतम कितने अंक जीत सकता है?</v>
      </c>
      <c r="H80" s="5" t="str">
        <f>IFERROR(__xludf.DUMMYFUNCTION("GOOGLETRANSLATE(C80, ""en"", ""hi"")"),"ए) 30 अंक. , बी) 25 अंक. , सी) 20 अंक. , डी) 35 अंक.")</f>
        <v>ए) 30 अंक. , बी) 25 अंक. , सी) 20 अंक. , डी) 35 अंक.</v>
      </c>
      <c r="I80" s="5" t="str">
        <f>IFERROR(__xludf.DUMMYFUNCTION("GOOGLETRANSLATE(D80, ""en"", ""hi"")"),"ए) 30 अंक.")</f>
        <v>ए) 30 अंक.</v>
      </c>
    </row>
    <row r="81" ht="22.5" customHeight="1">
      <c r="A81" s="2">
        <v>80.0</v>
      </c>
      <c r="B81" s="3" t="s">
        <v>7869</v>
      </c>
      <c r="C81" s="3" t="s">
        <v>7764</v>
      </c>
      <c r="D81" s="3" t="s">
        <v>7765</v>
      </c>
      <c r="F81" s="5" t="str">
        <f>IFERROR(__xludf.DUMMYFUNCTION("GOOGLETRANSLATE(A81, ""en"", ""hi"")"),"80")</f>
        <v>80</v>
      </c>
      <c r="G81" s="5" t="str">
        <f>IFERROR(__xludf.DUMMYFUNCTION("GOOGLETRANSLATE(B81, ""en"", ""hi"")"),"खिलाड़ी X और खिलाड़ी Y एक कंचे मैच खेल रहे हैं जहाँ प्रत्येक गेम 15 अंकों तक खेला जाता है। यदि खिलाड़ी X पहला गेम 15-12 से जीतता है और खिलाड़ी Y दूसरा गेम 15-14 से जीतता है, तो मैच का स्कोर क्या है?")</f>
        <v>खिलाड़ी X और खिलाड़ी Y एक कंचे मैच खेल रहे हैं जहाँ प्रत्येक गेम 15 अंकों तक खेला जाता है। यदि खिलाड़ी X पहला गेम 15-12 से जीतता है और खिलाड़ी Y दूसरा गेम 15-14 से जीतता है, तो मैच का स्कोर क्या है?</v>
      </c>
      <c r="H81" s="5" t="str">
        <f>IFERROR(__xludf.DUMMYFUNCTION("GOOGLETRANSLATE(C81, ""en"", ""hi"")"),"ए) 1-1. , बी) 2-0. , सी) 0-2. , डी) 1-0.")</f>
        <v>ए) 1-1. , बी) 2-0. , सी) 0-2. , डी) 1-0.</v>
      </c>
      <c r="I81" s="5" t="str">
        <f>IFERROR(__xludf.DUMMYFUNCTION("GOOGLETRANSLATE(D81, ""en"", ""hi"")"),"ए) 1-1.")</f>
        <v>ए) 1-1.</v>
      </c>
    </row>
    <row r="82" ht="22.5" customHeight="1">
      <c r="A82" s="2">
        <v>81.0</v>
      </c>
      <c r="B82" s="3" t="s">
        <v>7870</v>
      </c>
      <c r="C82" s="3" t="s">
        <v>7871</v>
      </c>
      <c r="D82" s="3" t="s">
        <v>7872</v>
      </c>
      <c r="F82" s="5" t="str">
        <f>IFERROR(__xludf.DUMMYFUNCTION("GOOGLETRANSLATE(A82, ""en"", ""hi"")"),"81")</f>
        <v>81</v>
      </c>
      <c r="G82" s="5" t="str">
        <f>IFERROR(__xludf.DUMMYFUNCTION("GOOGLETRANSLATE(B82, ""en"", ""hi"")"),"एक कंचे मैच में, यदि खिलाड़ी A ने पहले दो सेट 15-10 और 15-11 के स्कोर से जीते, और खिलाड़ी B ने तीसरा सेट 15-14 से जीता, तो खिलाड़ी A को मैच जीतने के लिए क्या करना होगा?")</f>
        <v>एक कंचे मैच में, यदि खिलाड़ी A ने पहले दो सेट 15-10 और 15-11 के स्कोर से जीते, और खिलाड़ी B ने तीसरा सेट 15-14 से जीता, तो खिलाड़ी A को मैच जीतने के लिए क्या करना होगा?</v>
      </c>
      <c r="H82" s="5" t="str">
        <f>IFERROR(__xludf.DUMMYFUNCTION("GOOGLETRANSLATE(C82, ""en"", ""hi"")"),"A) खिलाड़ी A को एक और सेट जीतना होगा। , B) खिलाड़ी A को अगले दो सेट जीतने होंगे। , C) खिलाड़ी A को एक और गेम जीतना होगा। , D) खिलाड़ी A को अगला सेट कम से कम 2 अंकों से जीतना होगा।")</f>
        <v>A) खिलाड़ी A को एक और सेट जीतना होगा। , B) खिलाड़ी A को अगले दो सेट जीतने होंगे। , C) खिलाड़ी A को एक और गेम जीतना होगा। , D) खिलाड़ी A को अगला सेट कम से कम 2 अंकों से जीतना होगा।</v>
      </c>
      <c r="I82" s="5" t="str">
        <f>IFERROR(__xludf.DUMMYFUNCTION("GOOGLETRANSLATE(D82, ""en"", ""hi"")"),"A) खिलाड़ी A को एक और सेट जीतना होगा।")</f>
        <v>A) खिलाड़ी A को एक और सेट जीतना होगा।</v>
      </c>
    </row>
    <row r="83" ht="22.5" customHeight="1">
      <c r="A83" s="2">
        <v>82.0</v>
      </c>
      <c r="B83" s="3" t="s">
        <v>7873</v>
      </c>
      <c r="C83" s="3" t="s">
        <v>7874</v>
      </c>
      <c r="D83" s="3" t="s">
        <v>7875</v>
      </c>
      <c r="F83" s="5" t="str">
        <f>IFERROR(__xludf.DUMMYFUNCTION("GOOGLETRANSLATE(A83, ""en"", ""hi"")"),"82")</f>
        <v>82</v>
      </c>
      <c r="G83" s="5" t="str">
        <f>IFERROR(__xludf.DUMMYFUNCTION("GOOGLETRANSLATE(B83, ""en"", ""hi"")"),"खिलाड़ी A ने पहला सेट 15-11 से जीता, खिलाड़ी B ने दूसरा सेट 15-12 से जीता, और खिलाड़ी A ने तीसरा सेट 15-13 से जीता। अगर खिलाड़ी B चौथा सेट 15-10 से जीतता है, तो मैच का स्कोर क्या होगा?")</f>
        <v>खिलाड़ी A ने पहला सेट 15-11 से जीता, खिलाड़ी B ने दूसरा सेट 15-12 से जीता, और खिलाड़ी A ने तीसरा सेट 15-13 से जीता। अगर खिलाड़ी B चौथा सेट 15-10 से जीतता है, तो मैच का स्कोर क्या होगा?</v>
      </c>
      <c r="H83" s="5" t="str">
        <f>IFERROR(__xludf.DUMMYFUNCTION("GOOGLETRANSLATE(C83, ""en"", ""hi"")"),"ए) 2-2. , बी) 3-1. , सी) 2-1. , डी) 1-3.")</f>
        <v>ए) 2-2. , बी) 3-1. , सी) 2-1. , डी) 1-3.</v>
      </c>
      <c r="I83" s="5" t="str">
        <f>IFERROR(__xludf.DUMMYFUNCTION("GOOGLETRANSLATE(D83, ""en"", ""hi"")"),"ए) 2-2.")</f>
        <v>ए) 2-2.</v>
      </c>
    </row>
    <row r="84" ht="22.5" customHeight="1">
      <c r="A84" s="2">
        <v>83.0</v>
      </c>
      <c r="B84" s="3" t="s">
        <v>7876</v>
      </c>
      <c r="C84" s="3" t="s">
        <v>7877</v>
      </c>
      <c r="D84" s="3" t="s">
        <v>7878</v>
      </c>
      <c r="F84" s="5" t="str">
        <f>IFERROR(__xludf.DUMMYFUNCTION("GOOGLETRANSLATE(A84, ""en"", ""hi"")"),"83")</f>
        <v>83</v>
      </c>
      <c r="G84" s="5" t="str">
        <f>IFERROR(__xludf.DUMMYFUNCTION("GOOGLETRANSLATE(B84, ""en"", ""hi"")"),"एक कंचे मैच के दौरान, खिलाड़ी X ने 14 अंक और खिलाड़ी Y ने 15 अंक बनाए। यदि खेल जीतने के लिए कम से कम 15 अंक चाहिए, तो परिणाम क्या होगा?")</f>
        <v>एक कंचे मैच के दौरान, खिलाड़ी X ने 14 अंक और खिलाड़ी Y ने 15 अंक बनाए। यदि खेल जीतने के लिए कम से कम 15 अंक चाहिए, तो परिणाम क्या होगा?</v>
      </c>
      <c r="H84" s="5" t="str">
        <f>IFERROR(__xludf.DUMMYFUNCTION("GOOGLETRANSLATE(C84, ""en"", ""hi"")"),"A) खिलाड़ी Y जीतता है। , B) खिलाड़ी X जीतता है। , C) खेल बराबरी पर रहता है। , D) खेल तब तक जारी रहता है जब तक कि एक खिलाड़ी 20 अंक नहीं बना लेता।")</f>
        <v>A) खिलाड़ी Y जीतता है। , B) खिलाड़ी X जीतता है। , C) खेल बराबरी पर रहता है। , D) खेल तब तक जारी रहता है जब तक कि एक खिलाड़ी 20 अंक नहीं बना लेता।</v>
      </c>
      <c r="I84" s="5" t="str">
        <f>IFERROR(__xludf.DUMMYFUNCTION("GOOGLETRANSLATE(D84, ""en"", ""hi"")"),"A) खिलाड़ी Y जीतता है.")</f>
        <v>A) खिलाड़ी Y जीतता है.</v>
      </c>
    </row>
    <row r="85" ht="22.5" customHeight="1">
      <c r="A85" s="2">
        <v>84.0</v>
      </c>
      <c r="B85" s="3" t="s">
        <v>7879</v>
      </c>
      <c r="C85" s="3" t="s">
        <v>7799</v>
      </c>
      <c r="D85" s="3" t="s">
        <v>7800</v>
      </c>
      <c r="F85" s="5" t="str">
        <f>IFERROR(__xludf.DUMMYFUNCTION("GOOGLETRANSLATE(A85, ""en"", ""hi"")"),"84")</f>
        <v>84</v>
      </c>
      <c r="G85" s="5" t="str">
        <f>IFERROR(__xludf.DUMMYFUNCTION("GOOGLETRANSLATE(B85, ""en"", ""hi"")"),"एक कंचे मैच में, खिलाड़ी X और खिलाड़ी Y 2-2 से बराबरी पर हैं। यदि खिलाड़ी X अंतिम गेम 15-13 से जीत जाता है, तो मैच का स्कोर क्या होगा?")</f>
        <v>एक कंचे मैच में, खिलाड़ी X और खिलाड़ी Y 2-2 से बराबरी पर हैं। यदि खिलाड़ी X अंतिम गेम 15-13 से जीत जाता है, तो मैच का स्कोर क्या होगा?</v>
      </c>
      <c r="H85" s="5" t="str">
        <f>IFERROR(__xludf.DUMMYFUNCTION("GOOGLETRANSLATE(C85, ""en"", ""hi"")"),"A) खिलाड़ी X 3-2 से जीतता है। , B) खिलाड़ी Y 3-2 से जीतता है। , C) मैच 2-2 से बराबर है। , D) मैच अभी भी जारी है।")</f>
        <v>A) खिलाड़ी X 3-2 से जीतता है। , B) खिलाड़ी Y 3-2 से जीतता है। , C) मैच 2-2 से बराबर है। , D) मैच अभी भी जारी है।</v>
      </c>
      <c r="I85" s="5" t="str">
        <f>IFERROR(__xludf.DUMMYFUNCTION("GOOGLETRANSLATE(D85, ""en"", ""hi"")"),"A) खिलाड़ी X 3-2 से जीतता है।")</f>
        <v>A) खिलाड़ी X 3-2 से जीतता है।</v>
      </c>
    </row>
    <row r="86" ht="22.5" customHeight="1">
      <c r="A86" s="2">
        <v>85.0</v>
      </c>
      <c r="B86" s="3" t="s">
        <v>7880</v>
      </c>
      <c r="C86" s="3" t="s">
        <v>7745</v>
      </c>
      <c r="D86" s="3" t="s">
        <v>7746</v>
      </c>
      <c r="F86" s="5" t="str">
        <f>IFERROR(__xludf.DUMMYFUNCTION("GOOGLETRANSLATE(A86, ""en"", ""hi"")"),"85")</f>
        <v>85</v>
      </c>
      <c r="G86" s="5" t="str">
        <f>IFERROR(__xludf.DUMMYFUNCTION("GOOGLETRANSLATE(B86, ""en"", ""hi"")"),"खिलाड़ी A ने 15-14, 15-13 और 15-12 के स्कोर से कंचे मैच जीता। खिलाड़ी A ने कम से कम कितने सेट जीते?")</f>
        <v>खिलाड़ी A ने 15-14, 15-13 और 15-12 के स्कोर से कंचे मैच जीता। खिलाड़ी A ने कम से कम कितने सेट जीते?</v>
      </c>
      <c r="H86" s="5" t="str">
        <f>IFERROR(__xludf.DUMMYFUNCTION("GOOGLETRANSLATE(C86, ""en"", ""hi"")"),"ए) 3 सेट, बी) 2 सेट, सी) 1 सेट, डी) 4 सेट")</f>
        <v>ए) 3 सेट, बी) 2 सेट, सी) 1 सेट, डी) 4 सेट</v>
      </c>
      <c r="I86" s="5" t="str">
        <f>IFERROR(__xludf.DUMMYFUNCTION("GOOGLETRANSLATE(D86, ""en"", ""hi"")"),"ए) 3 सेट.")</f>
        <v>ए) 3 सेट.</v>
      </c>
    </row>
    <row r="87" ht="22.5" customHeight="1">
      <c r="A87" s="2">
        <v>86.0</v>
      </c>
      <c r="B87" s="3" t="s">
        <v>7881</v>
      </c>
      <c r="C87" s="3" t="s">
        <v>7846</v>
      </c>
      <c r="D87" s="3" t="s">
        <v>7847</v>
      </c>
      <c r="F87" s="5" t="str">
        <f>IFERROR(__xludf.DUMMYFUNCTION("GOOGLETRANSLATE(A87, ""en"", ""hi"")"),"86")</f>
        <v>86</v>
      </c>
      <c r="G87" s="5" t="str">
        <f>IFERROR(__xludf.DUMMYFUNCTION("GOOGLETRANSLATE(B87, ""en"", ""hi"")"),"एक कंचे मैच में, खिलाड़ी X ने पहला सेट 15-10 से जीता और खिलाड़ी Y ने दूसरा सेट 15-12 से जीता। अगर खिलाड़ी X तीसरा सेट 15-13 से जीतता है, तो मैच का स्कोर क्या होगा?")</f>
        <v>एक कंचे मैच में, खिलाड़ी X ने पहला सेट 15-10 से जीता और खिलाड़ी Y ने दूसरा सेट 15-12 से जीता। अगर खिलाड़ी X तीसरा सेट 15-13 से जीतता है, तो मैच का स्कोर क्या होगा?</v>
      </c>
      <c r="H87" s="5" t="str">
        <f>IFERROR(__xludf.DUMMYFUNCTION("GOOGLETRANSLATE(C87,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87" s="5" t="str">
        <f>IFERROR(__xludf.DUMMYFUNCTION("GOOGLETRANSLATE(D87, ""en"", ""hi"")"),"A) खिलाड़ी X 2-1 से आगे है।")</f>
        <v>A) खिलाड़ी X 2-1 से आगे है।</v>
      </c>
    </row>
    <row r="88" ht="22.5" customHeight="1">
      <c r="A88" s="2">
        <v>87.0</v>
      </c>
      <c r="B88" s="3" t="s">
        <v>7882</v>
      </c>
      <c r="C88" s="3" t="s">
        <v>7883</v>
      </c>
      <c r="D88" s="3" t="s">
        <v>7878</v>
      </c>
      <c r="F88" s="5" t="str">
        <f>IFERROR(__xludf.DUMMYFUNCTION("GOOGLETRANSLATE(A88, ""en"", ""hi"")"),"87")</f>
        <v>87</v>
      </c>
      <c r="G88" s="5" t="str">
        <f>IFERROR(__xludf.DUMMYFUNCTION("GOOGLETRANSLATE(B88, ""en"", ""hi"")"),"एक कंचे खेल में, यदि खिलाड़ी X ने 17 अंक बनाए और खिलाड़ी Y ने 20 अंक बनाए, तो परिणाम क्या होगा?")</f>
        <v>एक कंचे खेल में, यदि खिलाड़ी X ने 17 अंक बनाए और खिलाड़ी Y ने 20 अंक बनाए, तो परिणाम क्या होगा?</v>
      </c>
      <c r="H88" s="5" t="str">
        <f>IFERROR(__xludf.DUMMYFUNCTION("GOOGLETRANSLATE(C88,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88" s="5" t="str">
        <f>IFERROR(__xludf.DUMMYFUNCTION("GOOGLETRANSLATE(D88, ""en"", ""hi"")"),"A) खिलाड़ी Y जीतता है.")</f>
        <v>A) खिलाड़ी Y जीतता है.</v>
      </c>
    </row>
    <row r="89" ht="22.5" customHeight="1">
      <c r="A89" s="2">
        <v>88.0</v>
      </c>
      <c r="B89" s="3" t="s">
        <v>7884</v>
      </c>
      <c r="C89" s="3" t="s">
        <v>7856</v>
      </c>
      <c r="D89" s="3" t="s">
        <v>7857</v>
      </c>
      <c r="F89" s="5" t="str">
        <f>IFERROR(__xludf.DUMMYFUNCTION("GOOGLETRANSLATE(A89, ""en"", ""hi"")"),"88")</f>
        <v>88</v>
      </c>
      <c r="G89" s="5" t="str">
        <f>IFERROR(__xludf.DUMMYFUNCTION("GOOGLETRANSLATE(B89, ""en"", ""hi"")"),"खिलाड़ी A ने पहला सेट 15-14 से जीता, खिलाड़ी B ने दूसरा सेट 15-13 से जीता, और खिलाड़ी A ने तीसरा सेट 15-12 से जीता। मैच जीतने के लिए खिलाड़ी A को कम से कम कितने सेट जीतने होंगे?")</f>
        <v>खिलाड़ी A ने पहला सेट 15-14 से जीता, खिलाड़ी B ने दूसरा सेट 15-13 से जीता, और खिलाड़ी A ने तीसरा सेट 15-12 से जीता। मैच जीतने के लिए खिलाड़ी A को कम से कम कितने सेट जीतने होंगे?</v>
      </c>
      <c r="H89" s="5" t="str">
        <f>IFERROR(__xludf.DUMMYFUNCTION("GOOGLETRANSLATE(C89, ""en"", ""hi"")"),"ए) 2 सेट, बी) 3 सेट, सी) 4 सेट, डी) 1 सेट")</f>
        <v>ए) 2 सेट, बी) 3 सेट, सी) 4 सेट, डी) 1 सेट</v>
      </c>
      <c r="I89" s="5" t="str">
        <f>IFERROR(__xludf.DUMMYFUNCTION("GOOGLETRANSLATE(D89, ""en"", ""hi"")"),"बी) 3 सेट.")</f>
        <v>बी) 3 सेट.</v>
      </c>
    </row>
    <row r="90" ht="22.5" customHeight="1">
      <c r="A90" s="2">
        <v>89.0</v>
      </c>
      <c r="B90" s="3" t="s">
        <v>7885</v>
      </c>
      <c r="C90" s="3" t="s">
        <v>7886</v>
      </c>
      <c r="D90" s="3" t="s">
        <v>7887</v>
      </c>
      <c r="F90" s="5" t="str">
        <f>IFERROR(__xludf.DUMMYFUNCTION("GOOGLETRANSLATE(A90, ""en"", ""hi"")"),"89")</f>
        <v>89</v>
      </c>
      <c r="G90" s="5" t="str">
        <f>IFERROR(__xludf.DUMMYFUNCTION("GOOGLETRANSLATE(B90, ""en"", ""hi"")"),"कंचे मैच के दौरान, यदि खिलाड़ी X पहला सेट 15-13 से जीतता है और खिलाड़ी Y दूसरा सेट 15-14 से जीतता है, तो मैच जीत सुनिश्चित करने के लिए खिलाड़ी X को अधिकतम कितने अंक जीतने की आवश्यकता है?")</f>
        <v>कंचे मैच के दौरान, यदि खिलाड़ी X पहला सेट 15-13 से जीतता है और खिलाड़ी Y दूसरा सेट 15-14 से जीतता है, तो मैच जीत सुनिश्चित करने के लिए खिलाड़ी X को अधिकतम कितने अंक जीतने की आवश्यकता है?</v>
      </c>
      <c r="H90" s="5" t="str">
        <f>IFERROR(__xludf.DUMMYFUNCTION("GOOGLETRANSLATE(C90, ""en"", ""hi"")"),"ए) 25 अंक, बी) 20 अंक, सी) 30 अंक, डी) 40 अंक।")</f>
        <v>ए) 25 अंक, बी) 20 अंक, सी) 30 अंक, डी) 40 अंक।</v>
      </c>
      <c r="I90" s="5" t="str">
        <f>IFERROR(__xludf.DUMMYFUNCTION("GOOGLETRANSLATE(D90, ""en"", ""hi"")"),"ए) 25 अंक.")</f>
        <v>ए) 25 अंक.</v>
      </c>
    </row>
    <row r="91" ht="22.5" customHeight="1">
      <c r="A91" s="2">
        <v>90.0</v>
      </c>
      <c r="B91" s="3" t="s">
        <v>7888</v>
      </c>
      <c r="C91" s="3" t="s">
        <v>7826</v>
      </c>
      <c r="D91" s="3" t="s">
        <v>7827</v>
      </c>
      <c r="F91" s="5" t="str">
        <f>IFERROR(__xludf.DUMMYFUNCTION("GOOGLETRANSLATE(A91, ""en"", ""hi"")"),"90")</f>
        <v>90</v>
      </c>
      <c r="G91" s="5" t="str">
        <f>IFERROR(__xludf.DUMMYFUNCTION("GOOGLETRANSLATE(B91, ""en"", ""hi"")"),"खिलाड़ी A ने पहले दो सेट 15-11 और 15-13 के स्कोर से जीते। खिलाड़ी B ने तीसरा सेट 15-12 से जीता। मैच का स्कोर क्या है?")</f>
        <v>खिलाड़ी A ने पहले दो सेट 15-11 और 15-13 के स्कोर से जीते। खिलाड़ी B ने तीसरा सेट 15-12 से जीता। मैच का स्कोर क्या है?</v>
      </c>
      <c r="H91" s="5" t="str">
        <f>IFERROR(__xludf.DUMMYFUNCTION("GOOGLETRANSLATE(C91,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91" s="5" t="str">
        <f>IFERROR(__xludf.DUMMYFUNCTION("GOOGLETRANSLATE(D91, ""en"", ""hi"")"),"A) खिलाड़ी A 2-1 से आगे है।")</f>
        <v>A) खिलाड़ी A 2-1 से आगे है।</v>
      </c>
    </row>
    <row r="92" ht="22.5" customHeight="1">
      <c r="A92" s="2">
        <v>91.0</v>
      </c>
      <c r="B92" s="3" t="s">
        <v>7889</v>
      </c>
      <c r="C92" s="3" t="s">
        <v>7826</v>
      </c>
      <c r="D92" s="3" t="s">
        <v>7827</v>
      </c>
      <c r="F92" s="5" t="str">
        <f>IFERROR(__xludf.DUMMYFUNCTION("GOOGLETRANSLATE(A92, ""en"", ""hi"")"),"91")</f>
        <v>91</v>
      </c>
      <c r="G92" s="5" t="str">
        <f>IFERROR(__xludf.DUMMYFUNCTION("GOOGLETRANSLATE(B92, ""en"", ""hi"")"),"एक कंचे मैच में, खिलाड़ी A और खिलाड़ी B सेटों में 1-1 से बराबरी पर हैं। यदि खिलाड़ी A अगला सेट 15-10 से जीत जाता है, तो मैच का स्कोर क्या होगा?")</f>
        <v>एक कंचे मैच में, खिलाड़ी A और खिलाड़ी B सेटों में 1-1 से बराबरी पर हैं। यदि खिलाड़ी A अगला सेट 15-10 से जीत जाता है, तो मैच का स्कोर क्या होगा?</v>
      </c>
      <c r="H92" s="5" t="str">
        <f>IFERROR(__xludf.DUMMYFUNCTION("GOOGLETRANSLATE(C92, ""en"", ""hi"")"),"A) खिलाड़ी A 2-1 से आगे है। , B) खिलाड़ी B 2-1 से आगे है। , C) मैच 1-1 से बराबर है। , D) खिलाड़ी A 1-0 से आगे है।")</f>
        <v>A) खिलाड़ी A 2-1 से आगे है। , B) खिलाड़ी B 2-1 से आगे है। , C) मैच 1-1 से बराबर है। , D) खिलाड़ी A 1-0 से आगे है।</v>
      </c>
      <c r="I92" s="5" t="str">
        <f>IFERROR(__xludf.DUMMYFUNCTION("GOOGLETRANSLATE(D92, ""en"", ""hi"")"),"A) खिलाड़ी A 2-1 से आगे है।")</f>
        <v>A) खिलाड़ी A 2-1 से आगे है।</v>
      </c>
    </row>
    <row r="93" ht="22.5" customHeight="1">
      <c r="A93" s="2">
        <v>92.0</v>
      </c>
      <c r="B93" s="3" t="s">
        <v>7890</v>
      </c>
      <c r="C93" s="3" t="s">
        <v>7891</v>
      </c>
      <c r="D93" s="3" t="s">
        <v>7892</v>
      </c>
      <c r="F93" s="5" t="str">
        <f>IFERROR(__xludf.DUMMYFUNCTION("GOOGLETRANSLATE(A93, ""en"", ""hi"")"),"92")</f>
        <v>92</v>
      </c>
      <c r="G93" s="5" t="str">
        <f>IFERROR(__xludf.DUMMYFUNCTION("GOOGLETRANSLATE(B93, ""en"", ""hi"")"),"यदि खिलाड़ी X पहला सेट 15-13 से जीतता है और खिलाड़ी Y दूसरा सेट 15-14 से जीतता है, तो मैच जीतने के लिए खिलाड़ी X को अधिकतम कितने अंकों की आवश्यकता होगी?")</f>
        <v>यदि खिलाड़ी X पहला सेट 15-13 से जीतता है और खिलाड़ी Y दूसरा सेट 15-14 से जीतता है, तो मैच जीतने के लिए खिलाड़ी X को अधिकतम कितने अंकों की आवश्यकता होगी?</v>
      </c>
      <c r="H93" s="5" t="str">
        <f>IFERROR(__xludf.DUMMYFUNCTION("GOOGLETRANSLATE(C93, ""en"", ""hi"")"),"ए) 30 अंक. , बी) 25 अंक. , सी) 40 अंक. , डी) 35 अंक.")</f>
        <v>ए) 30 अंक. , बी) 25 अंक. , सी) 40 अंक. , डी) 35 अंक.</v>
      </c>
      <c r="I93" s="5" t="str">
        <f>IFERROR(__xludf.DUMMYFUNCTION("GOOGLETRANSLATE(D93, ""en"", ""hi"")"),"बी) 25 अंक.")</f>
        <v>बी) 25 अंक.</v>
      </c>
    </row>
    <row r="94" ht="22.5" customHeight="1">
      <c r="A94" s="2">
        <v>93.0</v>
      </c>
      <c r="B94" s="3" t="s">
        <v>7893</v>
      </c>
      <c r="C94" s="3" t="s">
        <v>7856</v>
      </c>
      <c r="D94" s="3" t="s">
        <v>7857</v>
      </c>
      <c r="F94" s="5" t="str">
        <f>IFERROR(__xludf.DUMMYFUNCTION("GOOGLETRANSLATE(A94, ""en"", ""hi"")"),"93")</f>
        <v>93</v>
      </c>
      <c r="G94" s="5" t="str">
        <f>IFERROR(__xludf.DUMMYFUNCTION("GOOGLETRANSLATE(B94, ""en"", ""hi"")"),"खिलाड़ी A ने पहला सेट 15-12 से जीता, खिलाड़ी B ने दूसरा सेट 15-13 से जीता, और खिलाड़ी A ने तीसरा सेट 15-14 से जीता। खिलाड़ी A ने कम से कम कितने सेट जीते?")</f>
        <v>खिलाड़ी A ने पहला सेट 15-12 से जीता, खिलाड़ी B ने दूसरा सेट 15-13 से जीता, और खिलाड़ी A ने तीसरा सेट 15-14 से जीता। खिलाड़ी A ने कम से कम कितने सेट जीते?</v>
      </c>
      <c r="H94" s="5" t="str">
        <f>IFERROR(__xludf.DUMMYFUNCTION("GOOGLETRANSLATE(C94, ""en"", ""hi"")"),"ए) 2 सेट, बी) 3 सेट, सी) 4 सेट, डी) 1 सेट")</f>
        <v>ए) 2 सेट, बी) 3 सेट, सी) 4 सेट, डी) 1 सेट</v>
      </c>
      <c r="I94" s="5" t="str">
        <f>IFERROR(__xludf.DUMMYFUNCTION("GOOGLETRANSLATE(D94, ""en"", ""hi"")"),"बी) 3 सेट.")</f>
        <v>बी) 3 सेट.</v>
      </c>
    </row>
    <row r="95" ht="22.5" customHeight="1">
      <c r="A95" s="2">
        <v>94.0</v>
      </c>
      <c r="B95" s="3" t="s">
        <v>7894</v>
      </c>
      <c r="C95" s="3" t="s">
        <v>7883</v>
      </c>
      <c r="D95" s="3" t="s">
        <v>7878</v>
      </c>
      <c r="F95" s="5" t="str">
        <f>IFERROR(__xludf.DUMMYFUNCTION("GOOGLETRANSLATE(A95, ""en"", ""hi"")"),"94")</f>
        <v>94</v>
      </c>
      <c r="G95" s="5" t="str">
        <f>IFERROR(__xludf.DUMMYFUNCTION("GOOGLETRANSLATE(B95, ""en"", ""hi"")"),"एक कंचे खेल के दौरान, खिलाड़ी X ने 16 अंक बनाए और खिलाड़ी Y ने 20 अंक बनाए। यदि खेल जीतने के लिए कम से कम 20 अंक चाहिए, तो परिणाम क्या होगा?")</f>
        <v>एक कंचे खेल के दौरान, खिलाड़ी X ने 16 अंक बनाए और खिलाड़ी Y ने 20 अंक बनाए। यदि खेल जीतने के लिए कम से कम 20 अंक चाहिए, तो परिणाम क्या होगा?</v>
      </c>
      <c r="H95" s="5" t="str">
        <f>IFERROR(__xludf.DUMMYFUNCTION("GOOGLETRANSLATE(C95,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95" s="5" t="str">
        <f>IFERROR(__xludf.DUMMYFUNCTION("GOOGLETRANSLATE(D95, ""en"", ""hi"")"),"A) खिलाड़ी Y जीतता है.")</f>
        <v>A) खिलाड़ी Y जीतता है.</v>
      </c>
    </row>
    <row r="96" ht="22.5" customHeight="1">
      <c r="A96" s="2">
        <v>95.0</v>
      </c>
      <c r="B96" s="3" t="s">
        <v>7895</v>
      </c>
      <c r="C96" s="3" t="s">
        <v>7826</v>
      </c>
      <c r="D96" s="3" t="s">
        <v>7827</v>
      </c>
      <c r="F96" s="5" t="str">
        <f>IFERROR(__xludf.DUMMYFUNCTION("GOOGLETRANSLATE(A96, ""en"", ""hi"")"),"95")</f>
        <v>95</v>
      </c>
      <c r="G96" s="5" t="str">
        <f>IFERROR(__xludf.DUMMYFUNCTION("GOOGLETRANSLATE(B96, ""en"", ""hi"")"),"एक कंचे मैच में, यदि खिलाड़ी A पहला सेट 15-10 से जीतता है, खिलाड़ी B दूसरा सेट 15-14 से जीतता है, और खिलाड़ी A तीसरा सेट 15-12 से जीतता है, तो मैच का स्कोर क्या होगा?")</f>
        <v>एक कंचे मैच में, यदि खिलाड़ी A पहला सेट 15-10 से जीतता है, खिलाड़ी B दूसरा सेट 15-14 से जीतता है, और खिलाड़ी A तीसरा सेट 15-12 से जीतता है, तो मैच का स्कोर क्या होगा?</v>
      </c>
      <c r="H96" s="5" t="str">
        <f>IFERROR(__xludf.DUMMYFUNCTION("GOOGLETRANSLATE(C96, ""en"", ""hi"")"),"A) खिलाड़ी A 2-1 से आगे है। , B) खिलाड़ी B 2-1 से आगे है। , C) मैच 1-1 से बराबर है। , D) खिलाड़ी A 1-0 से आगे है।")</f>
        <v>A) खिलाड़ी A 2-1 से आगे है। , B) खिलाड़ी B 2-1 से आगे है। , C) मैच 1-1 से बराबर है। , D) खिलाड़ी A 1-0 से आगे है।</v>
      </c>
      <c r="I96" s="5" t="str">
        <f>IFERROR(__xludf.DUMMYFUNCTION("GOOGLETRANSLATE(D96, ""en"", ""hi"")"),"A) खिलाड़ी A 2-1 से आगे है।")</f>
        <v>A) खिलाड़ी A 2-1 से आगे है।</v>
      </c>
    </row>
    <row r="97" ht="22.5" customHeight="1">
      <c r="A97" s="2">
        <v>96.0</v>
      </c>
      <c r="B97" s="3" t="s">
        <v>7896</v>
      </c>
      <c r="C97" s="3" t="s">
        <v>7856</v>
      </c>
      <c r="D97" s="3" t="s">
        <v>7782</v>
      </c>
      <c r="F97" s="5" t="str">
        <f>IFERROR(__xludf.DUMMYFUNCTION("GOOGLETRANSLATE(A97, ""en"", ""hi"")"),"96")</f>
        <v>96</v>
      </c>
      <c r="G97" s="5" t="str">
        <f>IFERROR(__xludf.DUMMYFUNCTION("GOOGLETRANSLATE(B97, ""en"", ""hi"")"),"खिलाड़ी X और खिलाड़ी Y सेटों में 1-1 से बराबरी पर हैं। यदि खिलाड़ी X अगला सेट 15-12 से जीत जाता है, तो मैच जीतने के लिए खिलाड़ी X को कम से कम कितने सेट जीतने होंगे?")</f>
        <v>खिलाड़ी X और खिलाड़ी Y सेटों में 1-1 से बराबरी पर हैं। यदि खिलाड़ी X अगला सेट 15-12 से जीत जाता है, तो मैच जीतने के लिए खिलाड़ी X को कम से कम कितने सेट जीतने होंगे?</v>
      </c>
      <c r="H97" s="5" t="str">
        <f>IFERROR(__xludf.DUMMYFUNCTION("GOOGLETRANSLATE(C97, ""en"", ""hi"")"),"ए) 2 सेट, बी) 3 सेट, सी) 4 सेट, डी) 1 सेट")</f>
        <v>ए) 2 सेट, बी) 3 सेट, सी) 4 सेट, डी) 1 सेट</v>
      </c>
      <c r="I97" s="5" t="str">
        <f>IFERROR(__xludf.DUMMYFUNCTION("GOOGLETRANSLATE(D97, ""en"", ""hi"")"),"ए) 2 सेट.")</f>
        <v>ए) 2 सेट.</v>
      </c>
    </row>
    <row r="98" ht="22.5" customHeight="1">
      <c r="A98" s="2">
        <v>97.0</v>
      </c>
      <c r="B98" s="3" t="s">
        <v>7897</v>
      </c>
      <c r="C98" s="3" t="s">
        <v>7764</v>
      </c>
      <c r="D98" s="3" t="s">
        <v>7765</v>
      </c>
      <c r="F98" s="5" t="str">
        <f>IFERROR(__xludf.DUMMYFUNCTION("GOOGLETRANSLATE(A98, ""en"", ""hi"")"),"97")</f>
        <v>97</v>
      </c>
      <c r="G98" s="5" t="str">
        <f>IFERROR(__xludf.DUMMYFUNCTION("GOOGLETRANSLATE(B98, ""en"", ""hi"")"),"कंचे गेम के दौरान, खिलाड़ी X ने पहला गेम 15-13 से और खिलाड़ी Y ने दूसरा गेम 15-14 से जीता। मैच का स्कोर क्या है?")</f>
        <v>कंचे गेम के दौरान, खिलाड़ी X ने पहला गेम 15-13 से और खिलाड़ी Y ने दूसरा गेम 15-14 से जीता। मैच का स्कोर क्या है?</v>
      </c>
      <c r="H98" s="5" t="str">
        <f>IFERROR(__xludf.DUMMYFUNCTION("GOOGLETRANSLATE(C98, ""en"", ""hi"")"),"ए) 1-1. , बी) 2-0. , सी) 0-2. , डी) 1-0.")</f>
        <v>ए) 1-1. , बी) 2-0. , सी) 0-2. , डी) 1-0.</v>
      </c>
      <c r="I98" s="5" t="str">
        <f>IFERROR(__xludf.DUMMYFUNCTION("GOOGLETRANSLATE(D98, ""en"", ""hi"")"),"ए) 1-1.")</f>
        <v>ए) 1-1.</v>
      </c>
    </row>
    <row r="99" ht="22.5" customHeight="1">
      <c r="A99" s="2">
        <v>98.0</v>
      </c>
      <c r="B99" s="3" t="s">
        <v>7898</v>
      </c>
      <c r="C99" s="3" t="s">
        <v>7899</v>
      </c>
      <c r="D99" s="3" t="s">
        <v>7892</v>
      </c>
      <c r="F99" s="5" t="str">
        <f>IFERROR(__xludf.DUMMYFUNCTION("GOOGLETRANSLATE(A99, ""en"", ""hi"")"),"98")</f>
        <v>98</v>
      </c>
      <c r="G99" s="5" t="str">
        <f>IFERROR(__xludf.DUMMYFUNCTION("GOOGLETRANSLATE(B99, ""en"", ""hi"")"),"एक कंचे मैच में, यदि खिलाड़ी A ने पहला सेट 15-14 से जीता और खिलाड़ी B ने दूसरा सेट 15-13 से जीता, तो मैच जीतने के लिए खिलाड़ी A को अधिकतम कितने अंक जीतने की आवश्यकता है?")</f>
        <v>एक कंचे मैच में, यदि खिलाड़ी A ने पहला सेट 15-14 से जीता और खिलाड़ी B ने दूसरा सेट 15-13 से जीता, तो मैच जीतने के लिए खिलाड़ी A को अधिकतम कितने अंक जीतने की आवश्यकता है?</v>
      </c>
      <c r="H99" s="5" t="str">
        <f>IFERROR(__xludf.DUMMYFUNCTION("GOOGLETRANSLATE(C99, ""en"", ""hi"")"),"ए) 30 अंक, बी) 25 अंक, सी) 20 अंक, डी) 40 अंक।")</f>
        <v>ए) 30 अंक, बी) 25 अंक, सी) 20 अंक, डी) 40 अंक।</v>
      </c>
      <c r="I99" s="5" t="str">
        <f>IFERROR(__xludf.DUMMYFUNCTION("GOOGLETRANSLATE(D99, ""en"", ""hi"")"),"बी) 25 अंक.")</f>
        <v>बी) 25 अंक.</v>
      </c>
    </row>
    <row r="100" ht="22.5" customHeight="1">
      <c r="A100" s="2">
        <v>99.0</v>
      </c>
      <c r="B100" s="3" t="s">
        <v>7900</v>
      </c>
      <c r="C100" s="3" t="s">
        <v>7826</v>
      </c>
      <c r="D100" s="3" t="s">
        <v>7827</v>
      </c>
      <c r="F100" s="5" t="str">
        <f>IFERROR(__xludf.DUMMYFUNCTION("GOOGLETRANSLATE(A100, ""en"", ""hi"")"),"99")</f>
        <v>99</v>
      </c>
      <c r="G100" s="5" t="str">
        <f>IFERROR(__xludf.DUMMYFUNCTION("GOOGLETRANSLATE(B100, ""en"", ""hi"")"),"खिलाड़ी A ने पहले दो सेट 15-14 और 15-13 के स्कोर से जीते। खिलाड़ी B ने तीसरा सेट 15-12 से जीता। मैच का स्कोर क्या है?")</f>
        <v>खिलाड़ी A ने पहले दो सेट 15-14 और 15-13 के स्कोर से जीते। खिलाड़ी B ने तीसरा सेट 15-12 से जीता। मैच का स्कोर क्या है?</v>
      </c>
      <c r="H100" s="5" t="str">
        <f>IFERROR(__xludf.DUMMYFUNCTION("GOOGLETRANSLATE(C100,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00" s="5" t="str">
        <f>IFERROR(__xludf.DUMMYFUNCTION("GOOGLETRANSLATE(D100, ""en"", ""hi"")"),"A) खिलाड़ी A 2-1 से आगे है।")</f>
        <v>A) खिलाड़ी A 2-1 से आगे है।</v>
      </c>
    </row>
    <row r="101" ht="22.5" customHeight="1">
      <c r="A101" s="2">
        <v>100.0</v>
      </c>
      <c r="B101" s="3" t="s">
        <v>7901</v>
      </c>
      <c r="C101" s="3" t="s">
        <v>7883</v>
      </c>
      <c r="D101" s="3" t="s">
        <v>7878</v>
      </c>
      <c r="F101" s="5" t="str">
        <f>IFERROR(__xludf.DUMMYFUNCTION("GOOGLETRANSLATE(A101, ""en"", ""hi"")"),"100")</f>
        <v>100</v>
      </c>
      <c r="G101" s="5" t="str">
        <f>IFERROR(__xludf.DUMMYFUNCTION("GOOGLETRANSLATE(B101, ""en"", ""hi"")"),"एक कंचे खेल में, यदि खिलाड़ी X ने 18 अंक बनाए और खिलाड़ी Y ने 20 अंक बनाए, तो परिणाम क्या होगा?")</f>
        <v>एक कंचे खेल में, यदि खिलाड़ी X ने 18 अंक बनाए और खिलाड़ी Y ने 20 अंक बनाए, तो परिणाम क्या होगा?</v>
      </c>
      <c r="H101" s="5" t="str">
        <f>IFERROR(__xludf.DUMMYFUNCTION("GOOGLETRANSLATE(C101,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01" s="5" t="str">
        <f>IFERROR(__xludf.DUMMYFUNCTION("GOOGLETRANSLATE(D101, ""en"", ""hi"")"),"A) खिलाड़ी Y जीतता है.")</f>
        <v>A) खिलाड़ी Y जीतता है.</v>
      </c>
    </row>
    <row r="102" ht="22.5" customHeight="1">
      <c r="A102" s="2">
        <v>101.0</v>
      </c>
      <c r="B102" s="3" t="s">
        <v>7902</v>
      </c>
      <c r="C102" s="3" t="s">
        <v>7903</v>
      </c>
      <c r="D102" s="3" t="s">
        <v>7904</v>
      </c>
      <c r="F102" s="5" t="str">
        <f>IFERROR(__xludf.DUMMYFUNCTION("GOOGLETRANSLATE(A102, ""en"", ""hi"")"),"101")</f>
        <v>101</v>
      </c>
      <c r="G102" s="5" t="str">
        <f>IFERROR(__xludf.DUMMYFUNCTION("GOOGLETRANSLATE(B102, ""en"", ""hi"")"),"कंचे मैच के दौरान, यदि खिलाड़ी X ने पहला सेट 15-13 से जीता और खिलाड़ी Y ने दूसरा सेट 15-14 से जीता, तो खिलाड़ी X को मैच जीतने के लिए क्या करना होगा?")</f>
        <v>कंचे मैच के दौरान, यदि खिलाड़ी X ने पहला सेट 15-13 से जीता और खिलाड़ी Y ने दूसरा सेट 15-14 से जीता, तो खिलाड़ी X को मैच जीतने के लिए क्या करना होगा?</v>
      </c>
      <c r="H102" s="5" t="str">
        <f>IFERROR(__xludf.DUMMYFUNCTION("GOOGLETRANSLATE(C102, ""en"", ""hi"")"),"A) खिलाड़ी X को अगला सेट जीतना होगा। , B) खिलाड़ी X को दो और सेट जीतने होंगे। , C) खिलाड़ी X को एक और गेम जीतना होगा। , D) खिलाड़ी X को अगला सेट कम से कम 2 अंकों से जीतना होगा।")</f>
        <v>A) खिलाड़ी X को अगला सेट जीतना होगा। , B) खिलाड़ी X को दो और सेट जीतने होंगे। , C) खिलाड़ी X को एक और गेम जीतना होगा। , D) खिलाड़ी X को अगला सेट कम से कम 2 अंकों से जीतना होगा।</v>
      </c>
      <c r="I102" s="5" t="str">
        <f>IFERROR(__xludf.DUMMYFUNCTION("GOOGLETRANSLATE(D102, ""en"", ""hi"")"),"A) खिलाड़ी X को अगला सेट जीतना होगा।")</f>
        <v>A) खिलाड़ी X को अगला सेट जीतना होगा।</v>
      </c>
    </row>
    <row r="103" ht="22.5" customHeight="1">
      <c r="A103" s="2">
        <v>102.0</v>
      </c>
      <c r="B103" s="3" t="s">
        <v>7905</v>
      </c>
      <c r="C103" s="3" t="s">
        <v>7906</v>
      </c>
      <c r="D103" s="3" t="s">
        <v>7907</v>
      </c>
      <c r="F103" s="5" t="str">
        <f>IFERROR(__xludf.DUMMYFUNCTION("GOOGLETRANSLATE(A103, ""en"", ""hi"")"),"102")</f>
        <v>102</v>
      </c>
      <c r="G103" s="5" t="str">
        <f>IFERROR(__xludf.DUMMYFUNCTION("GOOGLETRANSLATE(B103, ""en"", ""hi"")"),"यदि खिलाड़ी X ने पहले दो गेम 15-11 और 15-12 से जीते, और खिलाड़ी Y ने तीसरा गेम 15-13 से जीता, तो मैच जीतने के लिए खिलाड़ी X को कम से कम कितने गेम जीतने होंगे?")</f>
        <v>यदि खिलाड़ी X ने पहले दो गेम 15-11 और 15-12 से जीते, और खिलाड़ी Y ने तीसरा गेम 15-13 से जीता, तो मैच जीतने के लिए खिलाड़ी X को कम से कम कितने गेम जीतने होंगे?</v>
      </c>
      <c r="H103" s="5" t="str">
        <f>IFERROR(__xludf.DUMMYFUNCTION("GOOGLETRANSLATE(C103, ""en"", ""hi"")"),"A) 2 खेल, B) 3 खेल, C) 4 खेल, D) 1 खेल।")</f>
        <v>A) 2 खेल, B) 3 खेल, C) 4 खेल, D) 1 खेल।</v>
      </c>
      <c r="I103" s="5" t="str">
        <f>IFERROR(__xludf.DUMMYFUNCTION("GOOGLETRANSLATE(D103, ""en"", ""hi"")"),"बी) 3 खेल.")</f>
        <v>बी) 3 खेल.</v>
      </c>
    </row>
    <row r="104" ht="22.5" customHeight="1">
      <c r="A104" s="2">
        <v>103.0</v>
      </c>
      <c r="B104" s="3" t="s">
        <v>7908</v>
      </c>
      <c r="C104" s="3" t="s">
        <v>7799</v>
      </c>
      <c r="D104" s="3" t="s">
        <v>7800</v>
      </c>
      <c r="F104" s="5" t="str">
        <f>IFERROR(__xludf.DUMMYFUNCTION("GOOGLETRANSLATE(A104, ""en"", ""hi"")"),"103")</f>
        <v>103</v>
      </c>
      <c r="G104" s="5" t="str">
        <f>IFERROR(__xludf.DUMMYFUNCTION("GOOGLETRANSLATE(B104, ""en"", ""hi"")"),"एक कंचे मैच में, खिलाड़ी X और खिलाड़ी Y सेटों में 2-2 से बराबरी पर हैं। यदि खिलाड़ी X अंतिम सेट 15-10 से जीत जाता है, तो मैच का स्कोर क्या होगा?")</f>
        <v>एक कंचे मैच में, खिलाड़ी X और खिलाड़ी Y सेटों में 2-2 से बराबरी पर हैं। यदि खिलाड़ी X अंतिम सेट 15-10 से जीत जाता है, तो मैच का स्कोर क्या होगा?</v>
      </c>
      <c r="H104" s="5" t="str">
        <f>IFERROR(__xludf.DUMMYFUNCTION("GOOGLETRANSLATE(C104, ""en"", ""hi"")"),"A) खिलाड़ी X 3-2 से जीतता है। , B) खिलाड़ी Y 3-2 से जीतता है। , C) मैच 2-2 से बराबर है। , D) मैच अभी भी जारी है।")</f>
        <v>A) खिलाड़ी X 3-2 से जीतता है। , B) खिलाड़ी Y 3-2 से जीतता है। , C) मैच 2-2 से बराबर है। , D) मैच अभी भी जारी है।</v>
      </c>
      <c r="I104" s="5" t="str">
        <f>IFERROR(__xludf.DUMMYFUNCTION("GOOGLETRANSLATE(D104, ""en"", ""hi"")"),"A) खिलाड़ी X 3-2 से जीतता है।")</f>
        <v>A) खिलाड़ी X 3-2 से जीतता है।</v>
      </c>
    </row>
    <row r="105" ht="22.5" customHeight="1">
      <c r="A105" s="2">
        <v>104.0</v>
      </c>
      <c r="B105" s="3" t="s">
        <v>7909</v>
      </c>
      <c r="C105" s="3" t="s">
        <v>7826</v>
      </c>
      <c r="D105" s="3" t="s">
        <v>7827</v>
      </c>
      <c r="F105" s="5" t="str">
        <f>IFERROR(__xludf.DUMMYFUNCTION("GOOGLETRANSLATE(A105, ""en"", ""hi"")"),"104")</f>
        <v>104</v>
      </c>
      <c r="G105" s="5" t="str">
        <f>IFERROR(__xludf.DUMMYFUNCTION("GOOGLETRANSLATE(B105, ""en"", ""hi"")"),"खिलाड़ी A ने पहला सेट 15-12 से जीता, खिलाड़ी B ने दूसरा सेट 15-14 से जीता, और खिलाड़ी A ने तीसरा सेट 15-13 से जीता। मैच का स्कोर क्या है?")</f>
        <v>खिलाड़ी A ने पहला सेट 15-12 से जीता, खिलाड़ी B ने दूसरा सेट 15-14 से जीता, और खिलाड़ी A ने तीसरा सेट 15-13 से जीता। मैच का स्कोर क्या है?</v>
      </c>
      <c r="H105" s="5" t="str">
        <f>IFERROR(__xludf.DUMMYFUNCTION("GOOGLETRANSLATE(C105,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05" s="5" t="str">
        <f>IFERROR(__xludf.DUMMYFUNCTION("GOOGLETRANSLATE(D105, ""en"", ""hi"")"),"A) खिलाड़ी A 2-1 से आगे है।")</f>
        <v>A) खिलाड़ी A 2-1 से आगे है।</v>
      </c>
    </row>
    <row r="106" ht="22.5" customHeight="1">
      <c r="A106" s="2">
        <v>105.0</v>
      </c>
      <c r="B106" s="3" t="s">
        <v>7876</v>
      </c>
      <c r="C106" s="3" t="s">
        <v>7877</v>
      </c>
      <c r="D106" s="3" t="s">
        <v>7878</v>
      </c>
      <c r="F106" s="5" t="str">
        <f>IFERROR(__xludf.DUMMYFUNCTION("GOOGLETRANSLATE(A106, ""en"", ""hi"")"),"105")</f>
        <v>105</v>
      </c>
      <c r="G106" s="5" t="str">
        <f>IFERROR(__xludf.DUMMYFUNCTION("GOOGLETRANSLATE(B106, ""en"", ""hi"")"),"एक कंचे मैच के दौरान, खिलाड़ी X ने 14 अंक और खिलाड़ी Y ने 15 अंक बनाए। यदि खेल जीतने के लिए कम से कम 15 अंक चाहिए, तो परिणाम क्या होगा?")</f>
        <v>एक कंचे मैच के दौरान, खिलाड़ी X ने 14 अंक और खिलाड़ी Y ने 15 अंक बनाए। यदि खेल जीतने के लिए कम से कम 15 अंक चाहिए, तो परिणाम क्या होगा?</v>
      </c>
      <c r="H106" s="5" t="str">
        <f>IFERROR(__xludf.DUMMYFUNCTION("GOOGLETRANSLATE(C106, ""en"", ""hi"")"),"A) खिलाड़ी Y जीतता है। , B) खिलाड़ी X जीतता है। , C) खेल बराबरी पर रहता है। , D) खेल तब तक जारी रहता है जब तक कि एक खिलाड़ी 20 अंक नहीं बना लेता।")</f>
        <v>A) खिलाड़ी Y जीतता है। , B) खिलाड़ी X जीतता है। , C) खेल बराबरी पर रहता है। , D) खेल तब तक जारी रहता है जब तक कि एक खिलाड़ी 20 अंक नहीं बना लेता।</v>
      </c>
      <c r="I106" s="5" t="str">
        <f>IFERROR(__xludf.DUMMYFUNCTION("GOOGLETRANSLATE(D106, ""en"", ""hi"")"),"A) खिलाड़ी Y जीतता है.")</f>
        <v>A) खिलाड़ी Y जीतता है.</v>
      </c>
    </row>
    <row r="107" ht="22.5" customHeight="1">
      <c r="A107" s="2">
        <v>106.0</v>
      </c>
      <c r="B107" s="3" t="s">
        <v>7910</v>
      </c>
      <c r="C107" s="3" t="s">
        <v>7883</v>
      </c>
      <c r="D107" s="3" t="s">
        <v>7878</v>
      </c>
      <c r="F107" s="5" t="str">
        <f>IFERROR(__xludf.DUMMYFUNCTION("GOOGLETRANSLATE(A107, ""en"", ""hi"")"),"106")</f>
        <v>106</v>
      </c>
      <c r="G107" s="5" t="str">
        <f>IFERROR(__xludf.DUMMYFUNCTION("GOOGLETRANSLATE(B107, ""en"", ""hi"")"),"एक कंचे खेल में, यदि खिलाड़ी X ने 16 अंक बनाए और खिलाड़ी Y ने 20 अंक बनाए, तो परिणाम क्या होगा?")</f>
        <v>एक कंचे खेल में, यदि खिलाड़ी X ने 16 अंक बनाए और खिलाड़ी Y ने 20 अंक बनाए, तो परिणाम क्या होगा?</v>
      </c>
      <c r="H107" s="5" t="str">
        <f>IFERROR(__xludf.DUMMYFUNCTION("GOOGLETRANSLATE(C107,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07" s="5" t="str">
        <f>IFERROR(__xludf.DUMMYFUNCTION("GOOGLETRANSLATE(D107, ""en"", ""hi"")"),"A) खिलाड़ी Y जीतता है.")</f>
        <v>A) खिलाड़ी Y जीतता है.</v>
      </c>
    </row>
    <row r="108" ht="22.5" customHeight="1">
      <c r="A108" s="2">
        <v>107.0</v>
      </c>
      <c r="B108" s="3" t="s">
        <v>7911</v>
      </c>
      <c r="C108" s="3" t="s">
        <v>7846</v>
      </c>
      <c r="D108" s="3" t="s">
        <v>7847</v>
      </c>
      <c r="F108" s="5" t="str">
        <f>IFERROR(__xludf.DUMMYFUNCTION("GOOGLETRANSLATE(A108, ""en"", ""hi"")"),"107")</f>
        <v>107</v>
      </c>
      <c r="G108" s="5" t="str">
        <f>IFERROR(__xludf.DUMMYFUNCTION("GOOGLETRANSLATE(B108, ""en"", ""hi"")"),"खिलाड़ी X ने पहला सेट 15-12 से जीता, और खिलाड़ी Y ने दूसरा सेट 15-14 से जीता। अगर खिलाड़ी X तीसरा सेट 15-10 से जीतता है, तो मैच का स्कोर क्या होगा?")</f>
        <v>खिलाड़ी X ने पहला सेट 15-12 से जीता, और खिलाड़ी Y ने दूसरा सेट 15-14 से जीता। अगर खिलाड़ी X तीसरा सेट 15-10 से जीतता है, तो मैच का स्कोर क्या होगा?</v>
      </c>
      <c r="H108" s="5" t="str">
        <f>IFERROR(__xludf.DUMMYFUNCTION("GOOGLETRANSLATE(C108,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08" s="5" t="str">
        <f>IFERROR(__xludf.DUMMYFUNCTION("GOOGLETRANSLATE(D108, ""en"", ""hi"")"),"A) खिलाड़ी X 2-1 से आगे है।")</f>
        <v>A) खिलाड़ी X 2-1 से आगे है।</v>
      </c>
    </row>
    <row r="109" ht="22.5" customHeight="1">
      <c r="A109" s="2">
        <v>108.0</v>
      </c>
      <c r="B109" s="3" t="s">
        <v>7912</v>
      </c>
      <c r="C109" s="3" t="s">
        <v>7846</v>
      </c>
      <c r="D109" s="3" t="s">
        <v>7847</v>
      </c>
      <c r="F109" s="5" t="str">
        <f>IFERROR(__xludf.DUMMYFUNCTION("GOOGLETRANSLATE(A109, ""en"", ""hi"")"),"108")</f>
        <v>108</v>
      </c>
      <c r="G109" s="5" t="str">
        <f>IFERROR(__xludf.DUMMYFUNCTION("GOOGLETRANSLATE(B109, ""en"", ""hi"")"),"एक कंचे मैच में, यदि खिलाड़ी X पहले दो सेट 15-10 और 15-12 के स्कोर से जीतता है, और खिलाड़ी Y तीसरा सेट 15-14 से जीतता है, तो मैच का स्कोर क्या होगा?")</f>
        <v>एक कंचे मैच में, यदि खिलाड़ी X पहले दो सेट 15-10 और 15-12 के स्कोर से जीतता है, और खिलाड़ी Y तीसरा सेट 15-14 से जीतता है, तो मैच का स्कोर क्या होगा?</v>
      </c>
      <c r="H109" s="5" t="str">
        <f>IFERROR(__xludf.DUMMYFUNCTION("GOOGLETRANSLATE(C109,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09" s="5" t="str">
        <f>IFERROR(__xludf.DUMMYFUNCTION("GOOGLETRANSLATE(D109, ""en"", ""hi"")"),"A) खिलाड़ी X 2-1 से आगे है।")</f>
        <v>A) खिलाड़ी X 2-1 से आगे है।</v>
      </c>
    </row>
    <row r="110" ht="22.5" customHeight="1">
      <c r="A110" s="2">
        <v>109.0</v>
      </c>
      <c r="B110" s="3" t="s">
        <v>7913</v>
      </c>
      <c r="C110" s="3" t="s">
        <v>7856</v>
      </c>
      <c r="D110" s="3" t="s">
        <v>7857</v>
      </c>
      <c r="F110" s="5" t="str">
        <f>IFERROR(__xludf.DUMMYFUNCTION("GOOGLETRANSLATE(A110, ""en"", ""hi"")"),"109")</f>
        <v>109</v>
      </c>
      <c r="G110" s="5" t="str">
        <f>IFERROR(__xludf.DUMMYFUNCTION("GOOGLETRANSLATE(B110, ""en"", ""hi"")"),"खिलाड़ी A ने पहले दो सेट 15-11 और 15-13 से जीते। खिलाड़ी B ने तीसरा सेट 15-12 से जीता। मैच जीतने के लिए खिलाड़ी A को कम से कम कितने सेट जीतने होंगे?")</f>
        <v>खिलाड़ी A ने पहले दो सेट 15-11 और 15-13 से जीते। खिलाड़ी B ने तीसरा सेट 15-12 से जीता। मैच जीतने के लिए खिलाड़ी A को कम से कम कितने सेट जीतने होंगे?</v>
      </c>
      <c r="H110" s="5" t="str">
        <f>IFERROR(__xludf.DUMMYFUNCTION("GOOGLETRANSLATE(C110, ""en"", ""hi"")"),"ए) 2 सेट, बी) 3 सेट, सी) 4 सेट, डी) 1 सेट")</f>
        <v>ए) 2 सेट, बी) 3 सेट, सी) 4 सेट, डी) 1 सेट</v>
      </c>
      <c r="I110" s="5" t="str">
        <f>IFERROR(__xludf.DUMMYFUNCTION("GOOGLETRANSLATE(D110, ""en"", ""hi"")"),"बी) 3 सेट.")</f>
        <v>बी) 3 सेट.</v>
      </c>
    </row>
    <row r="111" ht="22.5" customHeight="1">
      <c r="A111" s="2">
        <v>110.0</v>
      </c>
      <c r="B111" s="3" t="s">
        <v>7914</v>
      </c>
      <c r="C111" s="3" t="s">
        <v>7883</v>
      </c>
      <c r="D111" s="3" t="s">
        <v>7878</v>
      </c>
      <c r="F111" s="5" t="str">
        <f>IFERROR(__xludf.DUMMYFUNCTION("GOOGLETRANSLATE(A111, ""en"", ""hi"")"),"110")</f>
        <v>110</v>
      </c>
      <c r="G111" s="5" t="str">
        <f>IFERROR(__xludf.DUMMYFUNCTION("GOOGLETRANSLATE(B111, ""en"", ""hi"")"),"एक कंचे खेल के दौरान, खिलाड़ी X ने 18 अंक बनाए और खिलाड़ी Y ने 20 अंक बनाए। यदि खेल जीतने के लिए कम से कम 20 अंक चाहिए, तो परिणाम क्या होगा?")</f>
        <v>एक कंचे खेल के दौरान, खिलाड़ी X ने 18 अंक बनाए और खिलाड़ी Y ने 20 अंक बनाए। यदि खेल जीतने के लिए कम से कम 20 अंक चाहिए, तो परिणाम क्या होगा?</v>
      </c>
      <c r="H111" s="5" t="str">
        <f>IFERROR(__xludf.DUMMYFUNCTION("GOOGLETRANSLATE(C111,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11" s="5" t="str">
        <f>IFERROR(__xludf.DUMMYFUNCTION("GOOGLETRANSLATE(D111, ""en"", ""hi"")"),"A) खिलाड़ी Y जीतता है.")</f>
        <v>A) खिलाड़ी Y जीतता है.</v>
      </c>
    </row>
    <row r="112" ht="22.5" customHeight="1">
      <c r="A112" s="2">
        <v>111.0</v>
      </c>
      <c r="B112" s="3" t="s">
        <v>7915</v>
      </c>
      <c r="C112" s="3" t="s">
        <v>7846</v>
      </c>
      <c r="D112" s="3" t="s">
        <v>7847</v>
      </c>
      <c r="F112" s="5" t="str">
        <f>IFERROR(__xludf.DUMMYFUNCTION("GOOGLETRANSLATE(A112, ""en"", ""hi"")"),"111")</f>
        <v>111</v>
      </c>
      <c r="G112" s="5" t="str">
        <f>IFERROR(__xludf.DUMMYFUNCTION("GOOGLETRANSLATE(B112, ""en"", ""hi"")"),"एक कंचे मैच में, खिलाड़ी X ने पहला सेट 15-14 से और खिलाड़ी Y ने दूसरा सेट 15-13 से जीता। यदि खिलाड़ी X तीसरा सेट 15-12 से जीतता है, तो मैच का स्कोर क्या होगा?")</f>
        <v>एक कंचे मैच में, खिलाड़ी X ने पहला सेट 15-14 से और खिलाड़ी Y ने दूसरा सेट 15-13 से जीता। यदि खिलाड़ी X तीसरा सेट 15-12 से जीतता है, तो मैच का स्कोर क्या होगा?</v>
      </c>
      <c r="H112" s="5" t="str">
        <f>IFERROR(__xludf.DUMMYFUNCTION("GOOGLETRANSLATE(C112,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12" s="5" t="str">
        <f>IFERROR(__xludf.DUMMYFUNCTION("GOOGLETRANSLATE(D112, ""en"", ""hi"")"),"A) खिलाड़ी X 2-1 से आगे है।")</f>
        <v>A) खिलाड़ी X 2-1 से आगे है।</v>
      </c>
    </row>
    <row r="113" ht="22.5" customHeight="1">
      <c r="A113" s="2">
        <v>112.0</v>
      </c>
      <c r="B113" s="3" t="s">
        <v>7909</v>
      </c>
      <c r="C113" s="3" t="s">
        <v>7826</v>
      </c>
      <c r="D113" s="3" t="s">
        <v>7827</v>
      </c>
      <c r="F113" s="5" t="str">
        <f>IFERROR(__xludf.DUMMYFUNCTION("GOOGLETRANSLATE(A113, ""en"", ""hi"")"),"112")</f>
        <v>112</v>
      </c>
      <c r="G113" s="5" t="str">
        <f>IFERROR(__xludf.DUMMYFUNCTION("GOOGLETRANSLATE(B113, ""en"", ""hi"")"),"खिलाड़ी A ने पहला सेट 15-12 से जीता, खिलाड़ी B ने दूसरा सेट 15-14 से जीता, और खिलाड़ी A ने तीसरा सेट 15-13 से जीता। मैच का स्कोर क्या है?")</f>
        <v>खिलाड़ी A ने पहला सेट 15-12 से जीता, खिलाड़ी B ने दूसरा सेट 15-14 से जीता, और खिलाड़ी A ने तीसरा सेट 15-13 से जीता। मैच का स्कोर क्या है?</v>
      </c>
      <c r="H113" s="5" t="str">
        <f>IFERROR(__xludf.DUMMYFUNCTION("GOOGLETRANSLATE(C113,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13" s="5" t="str">
        <f>IFERROR(__xludf.DUMMYFUNCTION("GOOGLETRANSLATE(D113, ""en"", ""hi"")"),"A) खिलाड़ी A 2-1 से आगे है।")</f>
        <v>A) खिलाड़ी A 2-1 से आगे है।</v>
      </c>
    </row>
    <row r="114" ht="22.5" customHeight="1">
      <c r="A114" s="2">
        <v>113.0</v>
      </c>
      <c r="B114" s="3" t="s">
        <v>7916</v>
      </c>
      <c r="C114" s="3" t="s">
        <v>7799</v>
      </c>
      <c r="D114" s="3" t="s">
        <v>7800</v>
      </c>
      <c r="F114" s="5" t="str">
        <f>IFERROR(__xludf.DUMMYFUNCTION("GOOGLETRANSLATE(A114, ""en"", ""hi"")"),"113")</f>
        <v>113</v>
      </c>
      <c r="G114" s="5" t="str">
        <f>IFERROR(__xludf.DUMMYFUNCTION("GOOGLETRANSLATE(B114, ""en"", ""hi"")"),"एक कंचे मैच के दौरान, खिलाड़ी X और खिलाड़ी Y सेटों में 2-2 से बराबरी पर हैं। यदि खिलाड़ी X अंतिम सेट 15-11 से जीत जाता है, तो मैच का स्कोर क्या होगा?")</f>
        <v>एक कंचे मैच के दौरान, खिलाड़ी X और खिलाड़ी Y सेटों में 2-2 से बराबरी पर हैं। यदि खिलाड़ी X अंतिम सेट 15-11 से जीत जाता है, तो मैच का स्कोर क्या होगा?</v>
      </c>
      <c r="H114" s="5" t="str">
        <f>IFERROR(__xludf.DUMMYFUNCTION("GOOGLETRANSLATE(C114, ""en"", ""hi"")"),"A) खिलाड़ी X 3-2 से जीतता है। , B) खिलाड़ी Y 3-2 से जीतता है। , C) मैच 2-2 से बराबर है। , D) मैच अभी भी जारी है।")</f>
        <v>A) खिलाड़ी X 3-2 से जीतता है। , B) खिलाड़ी Y 3-2 से जीतता है। , C) मैच 2-2 से बराबर है। , D) मैच अभी भी जारी है।</v>
      </c>
      <c r="I114" s="5" t="str">
        <f>IFERROR(__xludf.DUMMYFUNCTION("GOOGLETRANSLATE(D114, ""en"", ""hi"")"),"A) खिलाड़ी X 3-2 से जीतता है।")</f>
        <v>A) खिलाड़ी X 3-2 से जीतता है।</v>
      </c>
    </row>
    <row r="115" ht="22.5" customHeight="1">
      <c r="A115" s="2">
        <v>114.0</v>
      </c>
      <c r="B115" s="3" t="s">
        <v>7917</v>
      </c>
      <c r="C115" s="3" t="s">
        <v>7883</v>
      </c>
      <c r="D115" s="3" t="s">
        <v>7878</v>
      </c>
      <c r="F115" s="5" t="str">
        <f>IFERROR(__xludf.DUMMYFUNCTION("GOOGLETRANSLATE(A115, ""en"", ""hi"")"),"114")</f>
        <v>114</v>
      </c>
      <c r="G115" s="5" t="str">
        <f>IFERROR(__xludf.DUMMYFUNCTION("GOOGLETRANSLATE(B115, ""en"", ""hi"")"),"एक कंचे खेल में, यदि खिलाड़ी X ने 17 अंक बनाए और खिलाड़ी Y ने 20 अंक बनाए, तो परिणाम क्या होगा?")</f>
        <v>एक कंचे खेल में, यदि खिलाड़ी X ने 17 अंक बनाए और खिलाड़ी Y ने 20 अंक बनाए, तो परिणाम क्या होगा?</v>
      </c>
      <c r="H115" s="5" t="str">
        <f>IFERROR(__xludf.DUMMYFUNCTION("GOOGLETRANSLATE(C115,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15" s="5" t="str">
        <f>IFERROR(__xludf.DUMMYFUNCTION("GOOGLETRANSLATE(D115, ""en"", ""hi"")"),"A) खिलाड़ी Y जीतता है.")</f>
        <v>A) खिलाड़ी Y जीतता है.</v>
      </c>
    </row>
    <row r="116" ht="22.5" customHeight="1">
      <c r="A116" s="2">
        <v>115.0</v>
      </c>
      <c r="B116" s="3" t="s">
        <v>7918</v>
      </c>
      <c r="C116" s="3" t="s">
        <v>7846</v>
      </c>
      <c r="D116" s="3" t="s">
        <v>7847</v>
      </c>
      <c r="F116" s="5" t="str">
        <f>IFERROR(__xludf.DUMMYFUNCTION("GOOGLETRANSLATE(A116, ""en"", ""hi"")"),"115")</f>
        <v>115</v>
      </c>
      <c r="G116" s="5" t="str">
        <f>IFERROR(__xludf.DUMMYFUNCTION("GOOGLETRANSLATE(B116, ""en"", ""hi"")"),"खिलाड़ी X ने पहला सेट 15-12 से जीता और खिलाड़ी Y ने दूसरा सेट 15-14 से जीता। अगर खिलाड़ी X तीसरा सेट 15-13 से जीतता है, तो मैच का स्कोर क्या होगा?")</f>
        <v>खिलाड़ी X ने पहला सेट 15-12 से जीता और खिलाड़ी Y ने दूसरा सेट 15-14 से जीता। अगर खिलाड़ी X तीसरा सेट 15-13 से जीतता है, तो मैच का स्कोर क्या होगा?</v>
      </c>
      <c r="H116" s="5" t="str">
        <f>IFERROR(__xludf.DUMMYFUNCTION("GOOGLETRANSLATE(C116,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16" s="5" t="str">
        <f>IFERROR(__xludf.DUMMYFUNCTION("GOOGLETRANSLATE(D116, ""en"", ""hi"")"),"A) खिलाड़ी X 2-1 से आगे है।")</f>
        <v>A) खिलाड़ी X 2-1 से आगे है।</v>
      </c>
    </row>
    <row r="117" ht="22.5" customHeight="1">
      <c r="A117" s="2">
        <v>116.0</v>
      </c>
      <c r="B117" s="3" t="s">
        <v>7876</v>
      </c>
      <c r="C117" s="3" t="s">
        <v>7877</v>
      </c>
      <c r="D117" s="3" t="s">
        <v>7878</v>
      </c>
      <c r="F117" s="5" t="str">
        <f>IFERROR(__xludf.DUMMYFUNCTION("GOOGLETRANSLATE(A117, ""en"", ""hi"")"),"116")</f>
        <v>116</v>
      </c>
      <c r="G117" s="5" t="str">
        <f>IFERROR(__xludf.DUMMYFUNCTION("GOOGLETRANSLATE(B117, ""en"", ""hi"")"),"एक कंचे मैच के दौरान, खिलाड़ी X ने 14 अंक और खिलाड़ी Y ने 15 अंक बनाए। यदि खेल जीतने के लिए कम से कम 15 अंक चाहिए, तो परिणाम क्या होगा?")</f>
        <v>एक कंचे मैच के दौरान, खिलाड़ी X ने 14 अंक और खिलाड़ी Y ने 15 अंक बनाए। यदि खेल जीतने के लिए कम से कम 15 अंक चाहिए, तो परिणाम क्या होगा?</v>
      </c>
      <c r="H117" s="5" t="str">
        <f>IFERROR(__xludf.DUMMYFUNCTION("GOOGLETRANSLATE(C117, ""en"", ""hi"")"),"A) खिलाड़ी Y जीतता है। , B) खिलाड़ी X जीतता है। , C) खेल बराबरी पर रहता है। , D) खेल तब तक जारी रहता है जब तक कि एक खिलाड़ी 20 अंक नहीं बना लेता।")</f>
        <v>A) खिलाड़ी Y जीतता है। , B) खिलाड़ी X जीतता है। , C) खेल बराबरी पर रहता है। , D) खेल तब तक जारी रहता है जब तक कि एक खिलाड़ी 20 अंक नहीं बना लेता।</v>
      </c>
      <c r="I117" s="5" t="str">
        <f>IFERROR(__xludf.DUMMYFUNCTION("GOOGLETRANSLATE(D117, ""en"", ""hi"")"),"A) खिलाड़ी Y जीतता है.")</f>
        <v>A) खिलाड़ी Y जीतता है.</v>
      </c>
    </row>
    <row r="118" ht="22.5" customHeight="1">
      <c r="A118" s="2">
        <v>117.0</v>
      </c>
      <c r="B118" s="3" t="s">
        <v>7919</v>
      </c>
      <c r="C118" s="3" t="s">
        <v>7826</v>
      </c>
      <c r="D118" s="3" t="s">
        <v>7827</v>
      </c>
      <c r="F118" s="5" t="str">
        <f>IFERROR(__xludf.DUMMYFUNCTION("GOOGLETRANSLATE(A118, ""en"", ""hi"")"),"117")</f>
        <v>117</v>
      </c>
      <c r="G118" s="5" t="str">
        <f>IFERROR(__xludf.DUMMYFUNCTION("GOOGLETRANSLATE(B118, ""en"", ""hi"")"),"खिलाड़ी A ने पहला सेट 15-14 से जीता और खिलाड़ी B ने दूसरा सेट 15-13 से जीता। अगर खिलाड़ी A तीसरा सेट 15-12 से जीत जाता है, तो मैच का स्कोर क्या होगा?")</f>
        <v>खिलाड़ी A ने पहला सेट 15-14 से जीता और खिलाड़ी B ने दूसरा सेट 15-13 से जीता। अगर खिलाड़ी A तीसरा सेट 15-12 से जीत जाता है, तो मैच का स्कोर क्या होगा?</v>
      </c>
      <c r="H118" s="5" t="str">
        <f>IFERROR(__xludf.DUMMYFUNCTION("GOOGLETRANSLATE(C118,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18" s="5" t="str">
        <f>IFERROR(__xludf.DUMMYFUNCTION("GOOGLETRANSLATE(D118, ""en"", ""hi"")"),"A) खिलाड़ी A 2-1 से आगे है।")</f>
        <v>A) खिलाड़ी A 2-1 से आगे है।</v>
      </c>
    </row>
    <row r="119" ht="22.5" customHeight="1">
      <c r="A119" s="2">
        <v>118.0</v>
      </c>
      <c r="B119" s="3" t="s">
        <v>7920</v>
      </c>
      <c r="C119" s="3" t="s">
        <v>7865</v>
      </c>
      <c r="D119" s="3" t="s">
        <v>7711</v>
      </c>
      <c r="F119" s="5" t="str">
        <f>IFERROR(__xludf.DUMMYFUNCTION("GOOGLETRANSLATE(A119, ""en"", ""hi"")"),"118")</f>
        <v>118</v>
      </c>
      <c r="G119" s="5" t="str">
        <f>IFERROR(__xludf.DUMMYFUNCTION("GOOGLETRANSLATE(B119, ""en"", ""hi"")"),"एक कंचे खेल में, यदि खिलाड़ी X ने 25 अंक बनाए और खिलाड़ी Y ने 22 अंक बनाए, तो परिणाम क्या होगा?")</f>
        <v>एक कंचे खेल में, यदि खिलाड़ी X ने 25 अंक बनाए और खिलाड़ी Y ने 22 अंक बनाए, तो परिणाम क्या होगा?</v>
      </c>
      <c r="H119" s="5" t="str">
        <f>IFERROR(__xludf.DUMMYFUNCTION("GOOGLETRANSLATE(C119, ""en"", ""hi"")"),"A) खिलाड़ी X जीतता है। , B) खिलाड़ी Y जीतता है। , C) खेल बराबरी पर रहता है। , D) खेल तब तक जारी रहता है जब तक कि एक खिलाड़ी 30 अंक नहीं बना लेता।")</f>
        <v>A) खिलाड़ी X जीतता है। , B) खिलाड़ी Y जीतता है। , C) खेल बराबरी पर रहता है। , D) खेल तब तक जारी रहता है जब तक कि एक खिलाड़ी 30 अंक नहीं बना लेता।</v>
      </c>
      <c r="I119" s="5" t="str">
        <f>IFERROR(__xludf.DUMMYFUNCTION("GOOGLETRANSLATE(D119, ""en"", ""hi"")"),"A) खिलाड़ी X जीतता है.")</f>
        <v>A) खिलाड़ी X जीतता है.</v>
      </c>
    </row>
    <row r="120" ht="22.5" customHeight="1">
      <c r="A120" s="2">
        <v>119.0</v>
      </c>
      <c r="B120" s="3" t="s">
        <v>7921</v>
      </c>
      <c r="C120" s="3" t="s">
        <v>7846</v>
      </c>
      <c r="D120" s="3" t="s">
        <v>7847</v>
      </c>
      <c r="F120" s="5" t="str">
        <f>IFERROR(__xludf.DUMMYFUNCTION("GOOGLETRANSLATE(A120, ""en"", ""hi"")"),"119")</f>
        <v>119</v>
      </c>
      <c r="G120" s="5" t="str">
        <f>IFERROR(__xludf.DUMMYFUNCTION("GOOGLETRANSLATE(B120, ""en"", ""hi"")"),"कंचे मैच के दौरान, यदि खिलाड़ी X पहला सेट 15-13 से जीतता है, खिलाड़ी Y दूसरा सेट 15-12 से जीतता है, और खिलाड़ी X तीसरा सेट 15-14 से जीतता है, तो मैच का स्कोर क्या होगा?")</f>
        <v>कंचे मैच के दौरान, यदि खिलाड़ी X पहला सेट 15-13 से जीतता है, खिलाड़ी Y दूसरा सेट 15-12 से जीतता है, और खिलाड़ी X तीसरा सेट 15-14 से जीतता है, तो मैच का स्कोर क्या होगा?</v>
      </c>
      <c r="H120" s="5" t="str">
        <f>IFERROR(__xludf.DUMMYFUNCTION("GOOGLETRANSLATE(C120,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20" s="5" t="str">
        <f>IFERROR(__xludf.DUMMYFUNCTION("GOOGLETRANSLATE(D120, ""en"", ""hi"")"),"A) खिलाड़ी X 2-1 से आगे है।")</f>
        <v>A) खिलाड़ी X 2-1 से आगे है।</v>
      </c>
    </row>
    <row r="121" ht="22.5" customHeight="1">
      <c r="A121" s="2">
        <v>120.0</v>
      </c>
      <c r="B121" s="3" t="s">
        <v>7922</v>
      </c>
      <c r="C121" s="3" t="s">
        <v>7826</v>
      </c>
      <c r="D121" s="3" t="s">
        <v>7827</v>
      </c>
      <c r="F121" s="5" t="str">
        <f>IFERROR(__xludf.DUMMYFUNCTION("GOOGLETRANSLATE(A121, ""en"", ""hi"")"),"120")</f>
        <v>120</v>
      </c>
      <c r="G121" s="5" t="str">
        <f>IFERROR(__xludf.DUMMYFUNCTION("GOOGLETRANSLATE(B121, ""en"", ""hi"")"),"खिलाड़ी A ने पहला सेट 15-10 से जीता और खिलाड़ी B ने दूसरा सेट 15-14 से जीता। अगर खिलाड़ी A तीसरा सेट 15-13 से जीतता है, तो मैच का स्कोर क्या होगा?")</f>
        <v>खिलाड़ी A ने पहला सेट 15-10 से जीता और खिलाड़ी B ने दूसरा सेट 15-14 से जीता। अगर खिलाड़ी A तीसरा सेट 15-13 से जीतता है, तो मैच का स्कोर क्या होगा?</v>
      </c>
      <c r="H121" s="5" t="str">
        <f>IFERROR(__xludf.DUMMYFUNCTION("GOOGLETRANSLATE(C121,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21" s="5" t="str">
        <f>IFERROR(__xludf.DUMMYFUNCTION("GOOGLETRANSLATE(D121, ""en"", ""hi"")"),"A) खिलाड़ी A 2-1 से आगे है।")</f>
        <v>A) खिलाड़ी A 2-1 से आगे है।</v>
      </c>
    </row>
    <row r="122" ht="22.5" customHeight="1">
      <c r="A122" s="2">
        <v>121.0</v>
      </c>
      <c r="B122" s="3" t="s">
        <v>7894</v>
      </c>
      <c r="C122" s="3" t="s">
        <v>7883</v>
      </c>
      <c r="D122" s="3" t="s">
        <v>7878</v>
      </c>
      <c r="F122" s="5" t="str">
        <f>IFERROR(__xludf.DUMMYFUNCTION("GOOGLETRANSLATE(A122, ""en"", ""hi"")"),"121")</f>
        <v>121</v>
      </c>
      <c r="G122" s="5" t="str">
        <f>IFERROR(__xludf.DUMMYFUNCTION("GOOGLETRANSLATE(B122, ""en"", ""hi"")"),"एक कंचे खेल के दौरान, खिलाड़ी X ने 16 अंक बनाए और खिलाड़ी Y ने 20 अंक बनाए। यदि खेल जीतने के लिए कम से कम 20 अंक चाहिए, तो परिणाम क्या होगा?")</f>
        <v>एक कंचे खेल के दौरान, खिलाड़ी X ने 16 अंक बनाए और खिलाड़ी Y ने 20 अंक बनाए। यदि खेल जीतने के लिए कम से कम 20 अंक चाहिए, तो परिणाम क्या होगा?</v>
      </c>
      <c r="H122" s="5" t="str">
        <f>IFERROR(__xludf.DUMMYFUNCTION("GOOGLETRANSLATE(C122,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22" s="5" t="str">
        <f>IFERROR(__xludf.DUMMYFUNCTION("GOOGLETRANSLATE(D122, ""en"", ""hi"")"),"A) खिलाड़ी Y जीतता है.")</f>
        <v>A) खिलाड़ी Y जीतता है.</v>
      </c>
    </row>
    <row r="123" ht="22.5" customHeight="1">
      <c r="A123" s="2">
        <v>122.0</v>
      </c>
      <c r="B123" s="3" t="s">
        <v>7923</v>
      </c>
      <c r="C123" s="3" t="s">
        <v>7924</v>
      </c>
      <c r="D123" s="3" t="s">
        <v>7904</v>
      </c>
      <c r="F123" s="5" t="str">
        <f>IFERROR(__xludf.DUMMYFUNCTION("GOOGLETRANSLATE(A123, ""en"", ""hi"")"),"122")</f>
        <v>122</v>
      </c>
      <c r="G123" s="5" t="str">
        <f>IFERROR(__xludf.DUMMYFUNCTION("GOOGLETRANSLATE(B123, ""en"", ""hi"")"),"एक कंचे मैच में, खिलाड़ी X ने पहला सेट 15-12 से जीता और खिलाड़ी Y ने दूसरा सेट 15-13 से जीता। मैच जीतने के लिए खिलाड़ी X को क्या करना होगा?")</f>
        <v>एक कंचे मैच में, खिलाड़ी X ने पहला सेट 15-12 से जीता और खिलाड़ी Y ने दूसरा सेट 15-13 से जीता। मैच जीतने के लिए खिलाड़ी X को क्या करना होगा?</v>
      </c>
      <c r="H123" s="5" t="str">
        <f>IFERROR(__xludf.DUMMYFUNCTION("GOOGLETRANSLATE(C123, ""en"", ""hi"")"),"A) खिलाड़ी X को अगला सेट जीतना होगा। , B) खिलाड़ी X को दो और सेट जीतने होंगे। , C) खिलाड़ी X को अगला गेम जीतना होगा। , D) खिलाड़ी X को अगला सेट कम से कम 2 अंकों से जीतना होगा।")</f>
        <v>A) खिलाड़ी X को अगला सेट जीतना होगा। , B) खिलाड़ी X को दो और सेट जीतने होंगे। , C) खिलाड़ी X को अगला गेम जीतना होगा। , D) खिलाड़ी X को अगला सेट कम से कम 2 अंकों से जीतना होगा।</v>
      </c>
      <c r="I123" s="5" t="str">
        <f>IFERROR(__xludf.DUMMYFUNCTION("GOOGLETRANSLATE(D123, ""en"", ""hi"")"),"A) खिलाड़ी X को अगला सेट जीतना होगा।")</f>
        <v>A) खिलाड़ी X को अगला सेट जीतना होगा।</v>
      </c>
    </row>
    <row r="124" ht="22.5" customHeight="1">
      <c r="A124" s="2">
        <v>123.0</v>
      </c>
      <c r="B124" s="3" t="s">
        <v>7925</v>
      </c>
      <c r="C124" s="3" t="s">
        <v>7846</v>
      </c>
      <c r="D124" s="3" t="s">
        <v>7847</v>
      </c>
      <c r="F124" s="5" t="str">
        <f>IFERROR(__xludf.DUMMYFUNCTION("GOOGLETRANSLATE(A124, ""en"", ""hi"")"),"123")</f>
        <v>123</v>
      </c>
      <c r="G124" s="5" t="str">
        <f>IFERROR(__xludf.DUMMYFUNCTION("GOOGLETRANSLATE(B124, ""en"", ""hi"")"),"खिलाड़ी X ने पहला सेट 15-12 से जीता, और खिलाड़ी Y ने दूसरा सेट 15-13 से जीता। अगर खिलाड़ी X तीसरा सेट 15-14 से जीतता है, तो मैच का स्कोर क्या होगा?")</f>
        <v>खिलाड़ी X ने पहला सेट 15-12 से जीता, और खिलाड़ी Y ने दूसरा सेट 15-13 से जीता। अगर खिलाड़ी X तीसरा सेट 15-14 से जीतता है, तो मैच का स्कोर क्या होगा?</v>
      </c>
      <c r="H124" s="5" t="str">
        <f>IFERROR(__xludf.DUMMYFUNCTION("GOOGLETRANSLATE(C124,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24" s="5" t="str">
        <f>IFERROR(__xludf.DUMMYFUNCTION("GOOGLETRANSLATE(D124, ""en"", ""hi"")"),"A) खिलाड़ी X 2-1 से आगे है।")</f>
        <v>A) खिलाड़ी X 2-1 से आगे है।</v>
      </c>
    </row>
    <row r="125" ht="22.5" customHeight="1">
      <c r="A125" s="2">
        <v>124.0</v>
      </c>
      <c r="B125" s="3" t="s">
        <v>7901</v>
      </c>
      <c r="C125" s="3" t="s">
        <v>7883</v>
      </c>
      <c r="D125" s="3" t="s">
        <v>7878</v>
      </c>
      <c r="F125" s="5" t="str">
        <f>IFERROR(__xludf.DUMMYFUNCTION("GOOGLETRANSLATE(A125, ""en"", ""hi"")"),"124")</f>
        <v>124</v>
      </c>
      <c r="G125" s="5" t="str">
        <f>IFERROR(__xludf.DUMMYFUNCTION("GOOGLETRANSLATE(B125, ""en"", ""hi"")"),"एक कंचे खेल में, यदि खिलाड़ी X ने 18 अंक बनाए और खिलाड़ी Y ने 20 अंक बनाए, तो परिणाम क्या होगा?")</f>
        <v>एक कंचे खेल में, यदि खिलाड़ी X ने 18 अंक बनाए और खिलाड़ी Y ने 20 अंक बनाए, तो परिणाम क्या होगा?</v>
      </c>
      <c r="H125" s="5" t="str">
        <f>IFERROR(__xludf.DUMMYFUNCTION("GOOGLETRANSLATE(C125,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25" s="5" t="str">
        <f>IFERROR(__xludf.DUMMYFUNCTION("GOOGLETRANSLATE(D125, ""en"", ""hi"")"),"A) खिलाड़ी Y जीतता है.")</f>
        <v>A) खिलाड़ी Y जीतता है.</v>
      </c>
    </row>
    <row r="126" ht="22.5" customHeight="1">
      <c r="A126" s="2">
        <v>125.0</v>
      </c>
      <c r="B126" s="3" t="s">
        <v>7926</v>
      </c>
      <c r="C126" s="3" t="s">
        <v>7826</v>
      </c>
      <c r="D126" s="3" t="s">
        <v>7827</v>
      </c>
      <c r="F126" s="5" t="str">
        <f>IFERROR(__xludf.DUMMYFUNCTION("GOOGLETRANSLATE(A126, ""en"", ""hi"")"),"125")</f>
        <v>125</v>
      </c>
      <c r="G126" s="5" t="str">
        <f>IFERROR(__xludf.DUMMYFUNCTION("GOOGLETRANSLATE(B126, ""en"", ""hi"")"),"कंचे मैच के दौरान, खिलाड़ी A ने पहला सेट 15-14 से जीता, खिलाड़ी B ने दूसरा सेट 15-13 से जीता, और खिलाड़ी A ने तीसरा सेट 15-12 से जीता। मैच का स्कोर क्या है?")</f>
        <v>कंचे मैच के दौरान, खिलाड़ी A ने पहला सेट 15-14 से जीता, खिलाड़ी B ने दूसरा सेट 15-13 से जीता, और खिलाड़ी A ने तीसरा सेट 15-12 से जीता। मैच का स्कोर क्या है?</v>
      </c>
      <c r="H126" s="5" t="str">
        <f>IFERROR(__xludf.DUMMYFUNCTION("GOOGLETRANSLATE(C126,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26" s="5" t="str">
        <f>IFERROR(__xludf.DUMMYFUNCTION("GOOGLETRANSLATE(D126, ""en"", ""hi"")"),"A) खिलाड़ी A 2-1 से आगे है।")</f>
        <v>A) खिलाड़ी A 2-1 से आगे है।</v>
      </c>
    </row>
    <row r="127" ht="22.5" customHeight="1">
      <c r="A127" s="2">
        <v>126.0</v>
      </c>
      <c r="B127" s="3" t="s">
        <v>7927</v>
      </c>
      <c r="C127" s="3" t="s">
        <v>7846</v>
      </c>
      <c r="D127" s="3" t="s">
        <v>7847</v>
      </c>
      <c r="F127" s="5" t="str">
        <f>IFERROR(__xludf.DUMMYFUNCTION("GOOGLETRANSLATE(A127, ""en"", ""hi"")"),"126")</f>
        <v>126</v>
      </c>
      <c r="G127" s="5" t="str">
        <f>IFERROR(__xludf.DUMMYFUNCTION("GOOGLETRANSLATE(B127, ""en"", ""hi"")"),"खिलाड़ी X ने पहला सेट 15-13 से जीता और खिलाड़ी Y ने दूसरा सेट 15-14 से जीता। अगर खिलाड़ी X तीसरा सेट 15-12 से जीतता है, तो मैच का स्कोर क्या होगा?")</f>
        <v>खिलाड़ी X ने पहला सेट 15-13 से जीता और खिलाड़ी Y ने दूसरा सेट 15-14 से जीता। अगर खिलाड़ी X तीसरा सेट 15-12 से जीतता है, तो मैच का स्कोर क्या होगा?</v>
      </c>
      <c r="H127" s="5" t="str">
        <f>IFERROR(__xludf.DUMMYFUNCTION("GOOGLETRANSLATE(C127,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27" s="5" t="str">
        <f>IFERROR(__xludf.DUMMYFUNCTION("GOOGLETRANSLATE(D127, ""en"", ""hi"")"),"A) खिलाड़ी X 2-1 से आगे है।")</f>
        <v>A) खिलाड़ी X 2-1 से आगे है।</v>
      </c>
    </row>
    <row r="128" ht="22.5" customHeight="1">
      <c r="A128" s="2">
        <v>127.0</v>
      </c>
      <c r="B128" s="3" t="s">
        <v>7917</v>
      </c>
      <c r="C128" s="3" t="s">
        <v>7883</v>
      </c>
      <c r="D128" s="3" t="s">
        <v>7878</v>
      </c>
      <c r="F128" s="5" t="str">
        <f>IFERROR(__xludf.DUMMYFUNCTION("GOOGLETRANSLATE(A128, ""en"", ""hi"")"),"127")</f>
        <v>127</v>
      </c>
      <c r="G128" s="5" t="str">
        <f>IFERROR(__xludf.DUMMYFUNCTION("GOOGLETRANSLATE(B128, ""en"", ""hi"")"),"एक कंचे खेल में, यदि खिलाड़ी X ने 17 अंक बनाए और खिलाड़ी Y ने 20 अंक बनाए, तो परिणाम क्या होगा?")</f>
        <v>एक कंचे खेल में, यदि खिलाड़ी X ने 17 अंक बनाए और खिलाड़ी Y ने 20 अंक बनाए, तो परिणाम क्या होगा?</v>
      </c>
      <c r="H128" s="5" t="str">
        <f>IFERROR(__xludf.DUMMYFUNCTION("GOOGLETRANSLATE(C128,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28" s="5" t="str">
        <f>IFERROR(__xludf.DUMMYFUNCTION("GOOGLETRANSLATE(D128, ""en"", ""hi"")"),"A) खिलाड़ी Y जीतता है.")</f>
        <v>A) खिलाड़ी Y जीतता है.</v>
      </c>
    </row>
    <row r="129" ht="22.5" customHeight="1">
      <c r="A129" s="2">
        <v>128.0</v>
      </c>
      <c r="B129" s="3" t="s">
        <v>7928</v>
      </c>
      <c r="C129" s="3" t="s">
        <v>7883</v>
      </c>
      <c r="D129" s="3" t="s">
        <v>7878</v>
      </c>
      <c r="F129" s="5" t="str">
        <f>IFERROR(__xludf.DUMMYFUNCTION("GOOGLETRANSLATE(A129, ""en"", ""hi"")"),"128")</f>
        <v>128</v>
      </c>
      <c r="G129" s="5" t="str">
        <f>IFERROR(__xludf.DUMMYFUNCTION("GOOGLETRANSLATE(B129, ""en"", ""hi"")"),"एक कंचे मैच के दौरान, खिलाड़ी X ने 18 अंक और खिलाड़ी Y ने 20 अंक बनाए। यदि खेल जीतने के लिए कम से कम 20 अंक चाहिए, तो परिणाम क्या होगा?")</f>
        <v>एक कंचे मैच के दौरान, खिलाड़ी X ने 18 अंक और खिलाड़ी Y ने 20 अंक बनाए। यदि खेल जीतने के लिए कम से कम 20 अंक चाहिए, तो परिणाम क्या होगा?</v>
      </c>
      <c r="H129" s="5" t="str">
        <f>IFERROR(__xludf.DUMMYFUNCTION("GOOGLETRANSLATE(C129,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29" s="5" t="str">
        <f>IFERROR(__xludf.DUMMYFUNCTION("GOOGLETRANSLATE(D129, ""en"", ""hi"")"),"A) खिलाड़ी Y जीतता है.")</f>
        <v>A) खिलाड़ी Y जीतता है.</v>
      </c>
    </row>
    <row r="130" ht="22.5" customHeight="1">
      <c r="A130" s="2">
        <v>129.0</v>
      </c>
      <c r="B130" s="3" t="s">
        <v>7929</v>
      </c>
      <c r="C130" s="3" t="s">
        <v>7826</v>
      </c>
      <c r="D130" s="3" t="s">
        <v>7827</v>
      </c>
      <c r="F130" s="5" t="str">
        <f>IFERROR(__xludf.DUMMYFUNCTION("GOOGLETRANSLATE(A130, ""en"", ""hi"")"),"129")</f>
        <v>129</v>
      </c>
      <c r="G130" s="5" t="str">
        <f>IFERROR(__xludf.DUMMYFUNCTION("GOOGLETRANSLATE(B130, ""en"", ""hi"")"),"कंचे मैच में, खिलाड़ी A ने पहला सेट 15-13 से जीता, खिलाड़ी B ने दूसरा सेट 15-14 से जीता, और खिलाड़ी A ने तीसरा सेट 15-12 से जीता। वर्तमान स्कोर क्या है?")</f>
        <v>कंचे मैच में, खिलाड़ी A ने पहला सेट 15-13 से जीता, खिलाड़ी B ने दूसरा सेट 15-14 से जीता, और खिलाड़ी A ने तीसरा सेट 15-12 से जीता। वर्तमान स्कोर क्या है?</v>
      </c>
      <c r="H130" s="5" t="str">
        <f>IFERROR(__xludf.DUMMYFUNCTION("GOOGLETRANSLATE(C130,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30" s="5" t="str">
        <f>IFERROR(__xludf.DUMMYFUNCTION("GOOGLETRANSLATE(D130, ""en"", ""hi"")"),"A) खिलाड़ी A 2-1 से आगे है।")</f>
        <v>A) खिलाड़ी A 2-1 से आगे है।</v>
      </c>
    </row>
    <row r="131" ht="22.5" customHeight="1">
      <c r="A131" s="2">
        <v>130.0</v>
      </c>
      <c r="B131" s="3" t="s">
        <v>7930</v>
      </c>
      <c r="C131" s="3" t="s">
        <v>7846</v>
      </c>
      <c r="D131" s="3" t="s">
        <v>7847</v>
      </c>
      <c r="F131" s="5" t="str">
        <f>IFERROR(__xludf.DUMMYFUNCTION("GOOGLETRANSLATE(A131, ""en"", ""hi"")"),"130")</f>
        <v>130</v>
      </c>
      <c r="G131" s="5" t="str">
        <f>IFERROR(__xludf.DUMMYFUNCTION("GOOGLETRANSLATE(B131, ""en"", ""hi"")"),"खिलाड़ी X पहला सेट 15-11 से जीतता है और खिलाड़ी Y दूसरा सेट 15-14 से जीतता है। अगर खिलाड़ी X तीसरा सेट 15-13 से जीतता है, तो मैच का स्कोर क्या होगा?")</f>
        <v>खिलाड़ी X पहला सेट 15-11 से जीतता है और खिलाड़ी Y दूसरा सेट 15-14 से जीतता है। अगर खिलाड़ी X तीसरा सेट 15-13 से जीतता है, तो मैच का स्कोर क्या होगा?</v>
      </c>
      <c r="H131" s="5" t="str">
        <f>IFERROR(__xludf.DUMMYFUNCTION("GOOGLETRANSLATE(C131,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31" s="5" t="str">
        <f>IFERROR(__xludf.DUMMYFUNCTION("GOOGLETRANSLATE(D131, ""en"", ""hi"")"),"A) खिलाड़ी X 2-1 से आगे है।")</f>
        <v>A) खिलाड़ी X 2-1 से आगे है।</v>
      </c>
    </row>
    <row r="132" ht="22.5" customHeight="1">
      <c r="A132" s="2">
        <v>131.0</v>
      </c>
      <c r="B132" s="3" t="s">
        <v>7931</v>
      </c>
      <c r="C132" s="3" t="s">
        <v>7877</v>
      </c>
      <c r="D132" s="3" t="s">
        <v>7878</v>
      </c>
      <c r="F132" s="5" t="str">
        <f>IFERROR(__xludf.DUMMYFUNCTION("GOOGLETRANSLATE(A132, ""en"", ""hi"")"),"131")</f>
        <v>131</v>
      </c>
      <c r="G132" s="5" t="str">
        <f>IFERROR(__xludf.DUMMYFUNCTION("GOOGLETRANSLATE(B132, ""en"", ""hi"")"),"एक कंचे खेल के दौरान, यदि खिलाड़ी X ने 14 अंक बनाए और खिलाड़ी Y ने 15 अंक बनाए, और खेल को जीतने के लिए 15 अंकों की आवश्यकता है, तो परिणाम क्या होगा?")</f>
        <v>एक कंचे खेल के दौरान, यदि खिलाड़ी X ने 14 अंक बनाए और खिलाड़ी Y ने 15 अंक बनाए, और खेल को जीतने के लिए 15 अंकों की आवश्यकता है, तो परिणाम क्या होगा?</v>
      </c>
      <c r="H132" s="5" t="str">
        <f>IFERROR(__xludf.DUMMYFUNCTION("GOOGLETRANSLATE(C132, ""en"", ""hi"")"),"A) खिलाड़ी Y जीतता है। , B) खिलाड़ी X जीतता है। , C) खेल बराबरी पर रहता है। , D) खेल तब तक जारी रहता है जब तक कि एक खिलाड़ी 20 अंक नहीं बना लेता।")</f>
        <v>A) खिलाड़ी Y जीतता है। , B) खिलाड़ी X जीतता है। , C) खेल बराबरी पर रहता है। , D) खेल तब तक जारी रहता है जब तक कि एक खिलाड़ी 20 अंक नहीं बना लेता।</v>
      </c>
      <c r="I132" s="5" t="str">
        <f>IFERROR(__xludf.DUMMYFUNCTION("GOOGLETRANSLATE(D132, ""en"", ""hi"")"),"A) खिलाड़ी Y जीतता है.")</f>
        <v>A) खिलाड़ी Y जीतता है.</v>
      </c>
    </row>
    <row r="133" ht="22.5" customHeight="1">
      <c r="A133" s="2">
        <v>132.0</v>
      </c>
      <c r="B133" s="3" t="s">
        <v>7932</v>
      </c>
      <c r="C133" s="3" t="s">
        <v>7826</v>
      </c>
      <c r="D133" s="3" t="s">
        <v>7827</v>
      </c>
      <c r="F133" s="5" t="str">
        <f>IFERROR(__xludf.DUMMYFUNCTION("GOOGLETRANSLATE(A133, ""en"", ""hi"")"),"132")</f>
        <v>132</v>
      </c>
      <c r="G133" s="5" t="str">
        <f>IFERROR(__xludf.DUMMYFUNCTION("GOOGLETRANSLATE(B133, ""en"", ""hi"")"),"खिलाड़ी A ने पहला सेट 15-12 से जीता, खिलाड़ी B ने दूसरा सेट 15-10 से जीता, और खिलाड़ी A ने तीसरा सेट 15-14 से जीता। मैच का स्कोर क्या है?")</f>
        <v>खिलाड़ी A ने पहला सेट 15-12 से जीता, खिलाड़ी B ने दूसरा सेट 15-10 से जीता, और खिलाड़ी A ने तीसरा सेट 15-14 से जीता। मैच का स्कोर क्या है?</v>
      </c>
      <c r="H133" s="5" t="str">
        <f>IFERROR(__xludf.DUMMYFUNCTION("GOOGLETRANSLATE(C133,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33" s="5" t="str">
        <f>IFERROR(__xludf.DUMMYFUNCTION("GOOGLETRANSLATE(D133, ""en"", ""hi"")"),"A) खिलाड़ी A 2-1 से आगे है।")</f>
        <v>A) खिलाड़ी A 2-1 से आगे है।</v>
      </c>
    </row>
    <row r="134" ht="22.5" customHeight="1">
      <c r="A134" s="2">
        <v>133.0</v>
      </c>
      <c r="B134" s="3" t="s">
        <v>7933</v>
      </c>
      <c r="C134" s="3" t="s">
        <v>7934</v>
      </c>
      <c r="D134" s="3" t="s">
        <v>7935</v>
      </c>
      <c r="F134" s="5" t="str">
        <f>IFERROR(__xludf.DUMMYFUNCTION("GOOGLETRANSLATE(A134, ""en"", ""hi"")"),"133")</f>
        <v>133</v>
      </c>
      <c r="G134" s="5" t="str">
        <f>IFERROR(__xludf.DUMMYFUNCTION("GOOGLETRANSLATE(B134, ""en"", ""hi"")"),"कंचे मैच में, खिलाड़ी X पहला सेट 15-12 से जीतता है, खिलाड़ी Y दूसरा सेट 15-14 से जीतता है, और खिलाड़ी X तीसरा सेट 15-13 से जीतता है। मैच जीतने के लिए खिलाड़ी X को क्या करना होगा?")</f>
        <v>कंचे मैच में, खिलाड़ी X पहला सेट 15-12 से जीतता है, खिलाड़ी Y दूसरा सेट 15-14 से जीतता है, और खिलाड़ी X तीसरा सेट 15-13 से जीतता है। मैच जीतने के लिए खिलाड़ी X को क्या करना होगा?</v>
      </c>
      <c r="H134" s="5" t="str">
        <f>IFERROR(__xludf.DUMMYFUNCTION("GOOGLETRANSLATE(C134, ""en"", ""hi"")"),"ए) अगला सेट जीतें।, बी) दो और सेट जीतें।, सी) अगला गेम जीतें।, डी) कम से कम 2 अंकों से जीतें।")</f>
        <v>ए) अगला सेट जीतें।, बी) दो और सेट जीतें।, सी) अगला गेम जीतें।, डी) कम से कम 2 अंकों से जीतें।</v>
      </c>
      <c r="I134" s="5" t="str">
        <f>IFERROR(__xludf.DUMMYFUNCTION("GOOGLETRANSLATE(D134, ""en"", ""hi"")"),"ए) अगला सेट जीतें।")</f>
        <v>ए) अगला सेट जीतें।</v>
      </c>
    </row>
    <row r="135" ht="22.5" customHeight="1">
      <c r="A135" s="2">
        <v>134.0</v>
      </c>
      <c r="B135" s="3" t="s">
        <v>7936</v>
      </c>
      <c r="C135" s="3" t="s">
        <v>7846</v>
      </c>
      <c r="D135" s="3" t="s">
        <v>7847</v>
      </c>
      <c r="F135" s="5" t="str">
        <f>IFERROR(__xludf.DUMMYFUNCTION("GOOGLETRANSLATE(A135, ""en"", ""hi"")"),"134")</f>
        <v>134</v>
      </c>
      <c r="G135" s="5" t="str">
        <f>IFERROR(__xludf.DUMMYFUNCTION("GOOGLETRANSLATE(B135, ""en"", ""hi"")"),"खिलाड़ी X ने पहला सेट 15-14 से जीता, खिलाड़ी Y ने दूसरा सेट 15-13 से जीता, और खिलाड़ी X ने तीसरा सेट 15-12 से जीता। मैच का वर्तमान स्कोर क्या है?")</f>
        <v>खिलाड़ी X ने पहला सेट 15-14 से जीता, खिलाड़ी Y ने दूसरा सेट 15-13 से जीता, और खिलाड़ी X ने तीसरा सेट 15-12 से जीता। मैच का वर्तमान स्कोर क्या है?</v>
      </c>
      <c r="H135" s="5" t="str">
        <f>IFERROR(__xludf.DUMMYFUNCTION("GOOGLETRANSLATE(C135,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35" s="5" t="str">
        <f>IFERROR(__xludf.DUMMYFUNCTION("GOOGLETRANSLATE(D135, ""en"", ""hi"")"),"A) खिलाड़ी X 2-1 से आगे है।")</f>
        <v>A) खिलाड़ी X 2-1 से आगे है।</v>
      </c>
    </row>
    <row r="136" ht="22.5" customHeight="1">
      <c r="A136" s="2">
        <v>135.0</v>
      </c>
      <c r="B136" s="3" t="s">
        <v>7937</v>
      </c>
      <c r="C136" s="3" t="s">
        <v>7851</v>
      </c>
      <c r="D136" s="3" t="s">
        <v>7711</v>
      </c>
      <c r="F136" s="5" t="str">
        <f>IFERROR(__xludf.DUMMYFUNCTION("GOOGLETRANSLATE(A136, ""en"", ""hi"")"),"135")</f>
        <v>135</v>
      </c>
      <c r="G136" s="5" t="str">
        <f>IFERROR(__xludf.DUMMYFUNCTION("GOOGLETRANSLATE(B136, ""en"", ""hi"")"),"एक कंचे मैच के दौरान, खिलाड़ी X ने 16 अंक बनाए और खिलाड़ी Y ने 15 अंक बनाए। यदि खेल जीतने के लिए 20 अंकों की आवश्यकता है, तो परिणाम क्या होगा?")</f>
        <v>एक कंचे मैच के दौरान, खिलाड़ी X ने 16 अंक बनाए और खिलाड़ी Y ने 15 अंक बनाए। यदि खेल जीतने के लिए 20 अंकों की आवश्यकता है, तो परिणाम क्या होगा?</v>
      </c>
      <c r="H136" s="5" t="str">
        <f>IFERROR(__xludf.DUMMYFUNCTION("GOOGLETRANSLATE(C136, ""en"", ""hi"")"),"A) खिलाड़ी X जीतता है। , B) खिलाड़ी Y जीतता है। , C) खेल बराबरी पर रहता है। , D) खेल तब तक जारी रहता है जब तक कि एक खिलाड़ी 25 अंक नहीं बना लेता।")</f>
        <v>A) खिलाड़ी X जीतता है। , B) खिलाड़ी Y जीतता है। , C) खेल बराबरी पर रहता है। , D) खेल तब तक जारी रहता है जब तक कि एक खिलाड़ी 25 अंक नहीं बना लेता।</v>
      </c>
      <c r="I136" s="5" t="str">
        <f>IFERROR(__xludf.DUMMYFUNCTION("GOOGLETRANSLATE(D136, ""en"", ""hi"")"),"A) खिलाड़ी X जीतता है.")</f>
        <v>A) खिलाड़ी X जीतता है.</v>
      </c>
    </row>
    <row r="137" ht="22.5" customHeight="1">
      <c r="A137" s="2">
        <v>136.0</v>
      </c>
      <c r="B137" s="3" t="s">
        <v>7938</v>
      </c>
      <c r="C137" s="3" t="s">
        <v>7934</v>
      </c>
      <c r="D137" s="3" t="s">
        <v>7935</v>
      </c>
      <c r="F137" s="5" t="str">
        <f>IFERROR(__xludf.DUMMYFUNCTION("GOOGLETRANSLATE(A137, ""en"", ""hi"")"),"136")</f>
        <v>136</v>
      </c>
      <c r="G137" s="5" t="str">
        <f>IFERROR(__xludf.DUMMYFUNCTION("GOOGLETRANSLATE(B137, ""en"", ""hi"")"),"कंचे खेल में, यदि खिलाड़ी X पहला सेट 15-10 से जीतता है और खिलाड़ी Y दूसरा सेट 15-12 से जीतता है, तो खिलाड़ी X को मैच जीतने के लिए क्या करना होगा?")</f>
        <v>कंचे खेल में, यदि खिलाड़ी X पहला सेट 15-10 से जीतता है और खिलाड़ी Y दूसरा सेट 15-12 से जीतता है, तो खिलाड़ी X को मैच जीतने के लिए क्या करना होगा?</v>
      </c>
      <c r="H137" s="5" t="str">
        <f>IFERROR(__xludf.DUMMYFUNCTION("GOOGLETRANSLATE(C137, ""en"", ""hi"")"),"ए) अगला सेट जीतें।, बी) दो और सेट जीतें।, सी) अगला गेम जीतें।, डी) कम से कम 2 अंकों से जीतें।")</f>
        <v>ए) अगला सेट जीतें।, बी) दो और सेट जीतें।, सी) अगला गेम जीतें।, डी) कम से कम 2 अंकों से जीतें।</v>
      </c>
      <c r="I137" s="5" t="str">
        <f>IFERROR(__xludf.DUMMYFUNCTION("GOOGLETRANSLATE(D137, ""en"", ""hi"")"),"ए) अगला सेट जीतें।")</f>
        <v>ए) अगला सेट जीतें।</v>
      </c>
    </row>
    <row r="138" ht="22.5" customHeight="1">
      <c r="A138" s="2">
        <v>137.0</v>
      </c>
      <c r="B138" s="3" t="s">
        <v>7927</v>
      </c>
      <c r="C138" s="3" t="s">
        <v>7846</v>
      </c>
      <c r="D138" s="3" t="s">
        <v>7847</v>
      </c>
      <c r="F138" s="5" t="str">
        <f>IFERROR(__xludf.DUMMYFUNCTION("GOOGLETRANSLATE(A138, ""en"", ""hi"")"),"137")</f>
        <v>137</v>
      </c>
      <c r="G138" s="5" t="str">
        <f>IFERROR(__xludf.DUMMYFUNCTION("GOOGLETRANSLATE(B138, ""en"", ""hi"")"),"खिलाड़ी X ने पहला सेट 15-13 से जीता और खिलाड़ी Y ने दूसरा सेट 15-14 से जीता। अगर खिलाड़ी X तीसरा सेट 15-12 से जीतता है, तो मैच का स्कोर क्या होगा?")</f>
        <v>खिलाड़ी X ने पहला सेट 15-13 से जीता और खिलाड़ी Y ने दूसरा सेट 15-14 से जीता। अगर खिलाड़ी X तीसरा सेट 15-12 से जीतता है, तो मैच का स्कोर क्या होगा?</v>
      </c>
      <c r="H138" s="5" t="str">
        <f>IFERROR(__xludf.DUMMYFUNCTION("GOOGLETRANSLATE(C138,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38" s="5" t="str">
        <f>IFERROR(__xludf.DUMMYFUNCTION("GOOGLETRANSLATE(D138, ""en"", ""hi"")"),"A) खिलाड़ी X 2-1 से आगे है।")</f>
        <v>A) खिलाड़ी X 2-1 से आगे है।</v>
      </c>
    </row>
    <row r="139" ht="22.5" customHeight="1">
      <c r="A139" s="2">
        <v>138.0</v>
      </c>
      <c r="B139" s="3" t="s">
        <v>7939</v>
      </c>
      <c r="C139" s="3" t="s">
        <v>7940</v>
      </c>
      <c r="D139" s="3" t="s">
        <v>7878</v>
      </c>
      <c r="F139" s="5" t="str">
        <f>IFERROR(__xludf.DUMMYFUNCTION("GOOGLETRANSLATE(A139, ""en"", ""hi"")"),"138")</f>
        <v>138</v>
      </c>
      <c r="G139" s="5" t="str">
        <f>IFERROR(__xludf.DUMMYFUNCTION("GOOGLETRANSLATE(B139, ""en"", ""hi"")"),"एक कंचे मैच के दौरान, यदि खिलाड़ी X ने 20 अंक बनाए और खिलाड़ी Y ने 22 अंक बनाए, और खेल को जीतने के लिए 25 अंकों की आवश्यकता है, तो परिणाम क्या होगा?")</f>
        <v>एक कंचे मैच के दौरान, यदि खिलाड़ी X ने 20 अंक बनाए और खिलाड़ी Y ने 22 अंक बनाए, और खेल को जीतने के लिए 25 अंकों की आवश्यकता है, तो परिणाम क्या होगा?</v>
      </c>
      <c r="H139" s="5" t="str">
        <f>IFERROR(__xludf.DUMMYFUNCTION("GOOGLETRANSLATE(C139,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139" s="5" t="str">
        <f>IFERROR(__xludf.DUMMYFUNCTION("GOOGLETRANSLATE(D139, ""en"", ""hi"")"),"A) खिलाड़ी Y जीतता है.")</f>
        <v>A) खिलाड़ी Y जीतता है.</v>
      </c>
    </row>
    <row r="140" ht="22.5" customHeight="1">
      <c r="A140" s="2">
        <v>139.0</v>
      </c>
      <c r="B140" s="3" t="s">
        <v>7941</v>
      </c>
      <c r="C140" s="3" t="s">
        <v>7826</v>
      </c>
      <c r="D140" s="3" t="s">
        <v>7827</v>
      </c>
      <c r="F140" s="5" t="str">
        <f>IFERROR(__xludf.DUMMYFUNCTION("GOOGLETRANSLATE(A140, ""en"", ""hi"")"),"139")</f>
        <v>139</v>
      </c>
      <c r="G140" s="5" t="str">
        <f>IFERROR(__xludf.DUMMYFUNCTION("GOOGLETRANSLATE(B140, ""en"", ""hi"")"),"खिलाड़ी A ने पहला सेट 15-10 से जीता, खिलाड़ी B ने दूसरा सेट 15-12 से जीता, और खिलाड़ी A ने तीसरा सेट 15-13 से जीता। वर्तमान स्कोर क्या है?")</f>
        <v>खिलाड़ी A ने पहला सेट 15-10 से जीता, खिलाड़ी B ने दूसरा सेट 15-12 से जीता, और खिलाड़ी A ने तीसरा सेट 15-13 से जीता। वर्तमान स्कोर क्या है?</v>
      </c>
      <c r="H140" s="5" t="str">
        <f>IFERROR(__xludf.DUMMYFUNCTION("GOOGLETRANSLATE(C140,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40" s="5" t="str">
        <f>IFERROR(__xludf.DUMMYFUNCTION("GOOGLETRANSLATE(D140, ""en"", ""hi"")"),"A) खिलाड़ी A 2-1 से आगे है।")</f>
        <v>A) खिलाड़ी A 2-1 से आगे है।</v>
      </c>
    </row>
    <row r="141" ht="22.5" customHeight="1">
      <c r="A141" s="2">
        <v>140.0</v>
      </c>
      <c r="B141" s="3" t="s">
        <v>7942</v>
      </c>
      <c r="C141" s="3" t="s">
        <v>7851</v>
      </c>
      <c r="D141" s="3" t="s">
        <v>7711</v>
      </c>
      <c r="F141" s="5" t="str">
        <f>IFERROR(__xludf.DUMMYFUNCTION("GOOGLETRANSLATE(A141, ""en"", ""hi"")"),"140")</f>
        <v>140</v>
      </c>
      <c r="G141" s="5" t="str">
        <f>IFERROR(__xludf.DUMMYFUNCTION("GOOGLETRANSLATE(B141, ""en"", ""hi"")"),"एक कंचे खेल में, यदि खिलाड़ी X ने 22 अंक बनाए और खिलाड़ी Y ने 20 अंक बनाए, तो परिणाम क्या होगा?")</f>
        <v>एक कंचे खेल में, यदि खिलाड़ी X ने 22 अंक बनाए और खिलाड़ी Y ने 20 अंक बनाए, तो परिणाम क्या होगा?</v>
      </c>
      <c r="H141" s="5" t="str">
        <f>IFERROR(__xludf.DUMMYFUNCTION("GOOGLETRANSLATE(C141, ""en"", ""hi"")"),"A) खिलाड़ी X जीतता है। , B) खिलाड़ी Y जीतता है। , C) खेल बराबरी पर रहता है। , D) खेल तब तक जारी रहता है जब तक कि एक खिलाड़ी 25 अंक नहीं बना लेता।")</f>
        <v>A) खिलाड़ी X जीतता है। , B) खिलाड़ी Y जीतता है। , C) खेल बराबरी पर रहता है। , D) खेल तब तक जारी रहता है जब तक कि एक खिलाड़ी 25 अंक नहीं बना लेता।</v>
      </c>
      <c r="I141" s="5" t="str">
        <f>IFERROR(__xludf.DUMMYFUNCTION("GOOGLETRANSLATE(D141, ""en"", ""hi"")"),"A) खिलाड़ी X जीतता है.")</f>
        <v>A) खिलाड़ी X जीतता है.</v>
      </c>
    </row>
    <row r="142" ht="22.5" customHeight="1">
      <c r="A142" s="2">
        <v>141.0</v>
      </c>
      <c r="B142" s="3" t="s">
        <v>7943</v>
      </c>
      <c r="C142" s="3" t="s">
        <v>7846</v>
      </c>
      <c r="D142" s="3" t="s">
        <v>7847</v>
      </c>
      <c r="F142" s="5" t="str">
        <f>IFERROR(__xludf.DUMMYFUNCTION("GOOGLETRANSLATE(A142, ""en"", ""hi"")"),"141")</f>
        <v>141</v>
      </c>
      <c r="G142" s="5" t="str">
        <f>IFERROR(__xludf.DUMMYFUNCTION("GOOGLETRANSLATE(B142, ""en"", ""hi"")"),"एक कंचे मैच के दौरान, खिलाड़ी X ने पहला सेट 15-13 से और खिलाड़ी Y ने दूसरा सेट 15-11 से जीता। यदि खिलाड़ी X तीसरा सेट 15-14 से जीतता है, तो मैच का स्कोर क्या होगा?")</f>
        <v>एक कंचे मैच के दौरान, खिलाड़ी X ने पहला सेट 15-13 से और खिलाड़ी Y ने दूसरा सेट 15-11 से जीता। यदि खिलाड़ी X तीसरा सेट 15-14 से जीतता है, तो मैच का स्कोर क्या होगा?</v>
      </c>
      <c r="H142" s="5" t="str">
        <f>IFERROR(__xludf.DUMMYFUNCTION("GOOGLETRANSLATE(C142,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42" s="5" t="str">
        <f>IFERROR(__xludf.DUMMYFUNCTION("GOOGLETRANSLATE(D142, ""en"", ""hi"")"),"A) खिलाड़ी X 2-1 से आगे है।")</f>
        <v>A) खिलाड़ी X 2-1 से आगे है।</v>
      </c>
    </row>
    <row r="143" ht="22.5" customHeight="1">
      <c r="A143" s="2">
        <v>142.0</v>
      </c>
      <c r="B143" s="3" t="s">
        <v>7944</v>
      </c>
      <c r="C143" s="3" t="s">
        <v>7826</v>
      </c>
      <c r="D143" s="3" t="s">
        <v>7827</v>
      </c>
      <c r="F143" s="5" t="str">
        <f>IFERROR(__xludf.DUMMYFUNCTION("GOOGLETRANSLATE(A143, ""en"", ""hi"")"),"142")</f>
        <v>142</v>
      </c>
      <c r="G143" s="5" t="str">
        <f>IFERROR(__xludf.DUMMYFUNCTION("GOOGLETRANSLATE(B143, ""en"", ""hi"")"),"खिलाड़ी A ने पहला सेट 15-12 से जीता, खिलाड़ी B ने दूसरा सेट 15-13 से जीता, और खिलाड़ी A ने तीसरा सेट 15-14 से जीता। मैच का स्कोर क्या है?")</f>
        <v>खिलाड़ी A ने पहला सेट 15-12 से जीता, खिलाड़ी B ने दूसरा सेट 15-13 से जीता, और खिलाड़ी A ने तीसरा सेट 15-14 से जीता। मैच का स्कोर क्या है?</v>
      </c>
      <c r="H143" s="5" t="str">
        <f>IFERROR(__xludf.DUMMYFUNCTION("GOOGLETRANSLATE(C143,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43" s="5" t="str">
        <f>IFERROR(__xludf.DUMMYFUNCTION("GOOGLETRANSLATE(D143, ""en"", ""hi"")"),"A) खिलाड़ी A 2-1 से आगे है।")</f>
        <v>A) खिलाड़ी A 2-1 से आगे है।</v>
      </c>
    </row>
    <row r="144" ht="22.5" customHeight="1">
      <c r="A144" s="2">
        <v>143.0</v>
      </c>
      <c r="B144" s="3" t="s">
        <v>7945</v>
      </c>
      <c r="C144" s="3" t="s">
        <v>7883</v>
      </c>
      <c r="D144" s="3" t="s">
        <v>7878</v>
      </c>
      <c r="F144" s="5" t="str">
        <f>IFERROR(__xludf.DUMMYFUNCTION("GOOGLETRANSLATE(A144, ""en"", ""hi"")"),"143")</f>
        <v>143</v>
      </c>
      <c r="G144" s="5" t="str">
        <f>IFERROR(__xludf.DUMMYFUNCTION("GOOGLETRANSLATE(B144, ""en"", ""hi"")"),"एक कंचे खेल में, यदि खिलाड़ी X ने 17 अंक बनाए और खिलाड़ी Y ने 19 अंक बनाए, और खेल को जीतने के लिए 20 अंकों की आवश्यकता है, तो परिणाम क्या होगा?")</f>
        <v>एक कंचे खेल में, यदि खिलाड़ी X ने 17 अंक बनाए और खिलाड़ी Y ने 19 अंक बनाए, और खेल को जीतने के लिए 20 अंकों की आवश्यकता है, तो परिणाम क्या होगा?</v>
      </c>
      <c r="H144" s="5" t="str">
        <f>IFERROR(__xludf.DUMMYFUNCTION("GOOGLETRANSLATE(C144,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44" s="5" t="str">
        <f>IFERROR(__xludf.DUMMYFUNCTION("GOOGLETRANSLATE(D144, ""en"", ""hi"")"),"A) खिलाड़ी Y जीतता है.")</f>
        <v>A) खिलाड़ी Y जीतता है.</v>
      </c>
    </row>
    <row r="145" ht="22.5" customHeight="1">
      <c r="A145" s="2">
        <v>144.0</v>
      </c>
      <c r="B145" s="3" t="s">
        <v>7946</v>
      </c>
      <c r="C145" s="3" t="s">
        <v>7846</v>
      </c>
      <c r="D145" s="3" t="s">
        <v>7847</v>
      </c>
      <c r="F145" s="5" t="str">
        <f>IFERROR(__xludf.DUMMYFUNCTION("GOOGLETRANSLATE(A145, ""en"", ""hi"")"),"144")</f>
        <v>144</v>
      </c>
      <c r="G145" s="5" t="str">
        <f>IFERROR(__xludf.DUMMYFUNCTION("GOOGLETRANSLATE(B145,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145" s="5" t="str">
        <f>IFERROR(__xludf.DUMMYFUNCTION("GOOGLETRANSLATE(C145,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45" s="5" t="str">
        <f>IFERROR(__xludf.DUMMYFUNCTION("GOOGLETRANSLATE(D145, ""en"", ""hi"")"),"A) खिलाड़ी X 2-1 से आगे है।")</f>
        <v>A) खिलाड़ी X 2-1 से आगे है।</v>
      </c>
    </row>
    <row r="146" ht="22.5" customHeight="1">
      <c r="A146" s="2">
        <v>145.0</v>
      </c>
      <c r="B146" s="3" t="s">
        <v>7947</v>
      </c>
      <c r="C146" s="3" t="s">
        <v>7851</v>
      </c>
      <c r="D146" s="3" t="s">
        <v>7711</v>
      </c>
      <c r="F146" s="5" t="str">
        <f>IFERROR(__xludf.DUMMYFUNCTION("GOOGLETRANSLATE(A146, ""en"", ""hi"")"),"145")</f>
        <v>145</v>
      </c>
      <c r="G146" s="5" t="str">
        <f>IFERROR(__xludf.DUMMYFUNCTION("GOOGLETRANSLATE(B146, ""en"", ""hi"")"),"एक कंचे मैच के दौरान, खिलाड़ी X ने 18 अंक बनाए और खिलाड़ी Y ने 15 अंक बनाए। यदि खेल जीतने के लिए 20 अंकों की आवश्यकता है, तो परिणाम क्या होगा?")</f>
        <v>एक कंचे मैच के दौरान, खिलाड़ी X ने 18 अंक बनाए और खिलाड़ी Y ने 15 अंक बनाए। यदि खेल जीतने के लिए 20 अंकों की आवश्यकता है, तो परिणाम क्या होगा?</v>
      </c>
      <c r="H146" s="5" t="str">
        <f>IFERROR(__xludf.DUMMYFUNCTION("GOOGLETRANSLATE(C146, ""en"", ""hi"")"),"A) खिलाड़ी X जीतता है। , B) खिलाड़ी Y जीतता है। , C) खेल बराबरी पर रहता है। , D) खेल तब तक जारी रहता है जब तक कि एक खिलाड़ी 25 अंक नहीं बना लेता।")</f>
        <v>A) खिलाड़ी X जीतता है। , B) खिलाड़ी Y जीतता है। , C) खेल बराबरी पर रहता है। , D) खेल तब तक जारी रहता है जब तक कि एक खिलाड़ी 25 अंक नहीं बना लेता।</v>
      </c>
      <c r="I146" s="5" t="str">
        <f>IFERROR(__xludf.DUMMYFUNCTION("GOOGLETRANSLATE(D146, ""en"", ""hi"")"),"A) खिलाड़ी X जीतता है.")</f>
        <v>A) खिलाड़ी X जीतता है.</v>
      </c>
    </row>
    <row r="147" ht="22.5" customHeight="1">
      <c r="A147" s="2">
        <v>146.0</v>
      </c>
      <c r="B147" s="3" t="s">
        <v>7948</v>
      </c>
      <c r="C147" s="3" t="s">
        <v>7826</v>
      </c>
      <c r="D147" s="3" t="s">
        <v>7827</v>
      </c>
      <c r="F147" s="5" t="str">
        <f>IFERROR(__xludf.DUMMYFUNCTION("GOOGLETRANSLATE(A147, ""en"", ""hi"")"),"146")</f>
        <v>146</v>
      </c>
      <c r="G147" s="5" t="str">
        <f>IFERROR(__xludf.DUMMYFUNCTION("GOOGLETRANSLATE(B147, ""en"", ""hi"")"),"खिलाड़ी A ने पहला सेट 15-11 से जीता और खिलाड़ी B ने दूसरा सेट 15-14 से जीता। अगर खिलाड़ी A तीसरा सेट 15-13 से जीत जाता है, तो मैच का स्कोर क्या होगा?")</f>
        <v>खिलाड़ी A ने पहला सेट 15-11 से जीता और खिलाड़ी B ने दूसरा सेट 15-14 से जीता। अगर खिलाड़ी A तीसरा सेट 15-13 से जीत जाता है, तो मैच का स्कोर क्या होगा?</v>
      </c>
      <c r="H147" s="5" t="str">
        <f>IFERROR(__xludf.DUMMYFUNCTION("GOOGLETRANSLATE(C147,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47" s="5" t="str">
        <f>IFERROR(__xludf.DUMMYFUNCTION("GOOGLETRANSLATE(D147, ""en"", ""hi"")"),"A) खिलाड़ी A 2-1 से आगे है।")</f>
        <v>A) खिलाड़ी A 2-1 से आगे है।</v>
      </c>
    </row>
    <row r="148" ht="22.5" customHeight="1">
      <c r="A148" s="2">
        <v>147.0</v>
      </c>
      <c r="B148" s="3" t="s">
        <v>7949</v>
      </c>
      <c r="C148" s="3" t="s">
        <v>7940</v>
      </c>
      <c r="D148" s="3" t="s">
        <v>7878</v>
      </c>
      <c r="F148" s="5" t="str">
        <f>IFERROR(__xludf.DUMMYFUNCTION("GOOGLETRANSLATE(A148, ""en"", ""hi"")"),"147")</f>
        <v>147</v>
      </c>
      <c r="G148" s="5" t="str">
        <f>IFERROR(__xludf.DUMMYFUNCTION("GOOGLETRANSLATE(B148, ""en"", ""hi"")"),"एक कंचे खेल में, यदि खिलाड़ी X ने 19 अंक बनाए और खिलाड़ी Y ने 21 अंक बनाए, और खेल को जीतने के लिए 25 अंकों की आवश्यकता है, तो परिणाम क्या होगा?")</f>
        <v>एक कंचे खेल में, यदि खिलाड़ी X ने 19 अंक बनाए और खिलाड़ी Y ने 21 अंक बनाए, और खेल को जीतने के लिए 25 अंकों की आवश्यकता है, तो परिणाम क्या होगा?</v>
      </c>
      <c r="H148" s="5" t="str">
        <f>IFERROR(__xludf.DUMMYFUNCTION("GOOGLETRANSLATE(C148,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148" s="5" t="str">
        <f>IFERROR(__xludf.DUMMYFUNCTION("GOOGLETRANSLATE(D148, ""en"", ""hi"")"),"A) खिलाड़ी Y जीतता है.")</f>
        <v>A) खिलाड़ी Y जीतता है.</v>
      </c>
    </row>
    <row r="149" ht="22.5" customHeight="1">
      <c r="A149" s="2">
        <v>148.0</v>
      </c>
      <c r="B149" s="3" t="s">
        <v>7950</v>
      </c>
      <c r="C149" s="3" t="s">
        <v>7846</v>
      </c>
      <c r="D149" s="3" t="s">
        <v>7847</v>
      </c>
      <c r="F149" s="5" t="str">
        <f>IFERROR(__xludf.DUMMYFUNCTION("GOOGLETRANSLATE(A149, ""en"", ""hi"")"),"148")</f>
        <v>148</v>
      </c>
      <c r="G149" s="5" t="str">
        <f>IFERROR(__xludf.DUMMYFUNCTION("GOOGLETRANSLATE(B149, ""en"", ""hi"")"),"खिलाड़ी X ने पहला सेट 15-12 से और खिलाड़ी Y ने दूसरा सेट 15-13 से जीता। अगर खिलाड़ी X तीसरा सेट 15-14 से जीत जाता है, तो मैच का वर्तमान स्कोर क्या है?")</f>
        <v>खिलाड़ी X ने पहला सेट 15-12 से और खिलाड़ी Y ने दूसरा सेट 15-13 से जीता। अगर खिलाड़ी X तीसरा सेट 15-14 से जीत जाता है, तो मैच का वर्तमान स्कोर क्या है?</v>
      </c>
      <c r="H149" s="5" t="str">
        <f>IFERROR(__xludf.DUMMYFUNCTION("GOOGLETRANSLATE(C149,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49" s="5" t="str">
        <f>IFERROR(__xludf.DUMMYFUNCTION("GOOGLETRANSLATE(D149, ""en"", ""hi"")"),"A) खिलाड़ी X 2-1 से आगे है।")</f>
        <v>A) खिलाड़ी X 2-1 से आगे है।</v>
      </c>
    </row>
    <row r="150" ht="22.5" customHeight="1">
      <c r="A150" s="2">
        <v>149.0</v>
      </c>
      <c r="B150" s="3" t="s">
        <v>7951</v>
      </c>
      <c r="C150" s="3" t="s">
        <v>7940</v>
      </c>
      <c r="D150" s="3" t="s">
        <v>7878</v>
      </c>
      <c r="F150" s="5" t="str">
        <f>IFERROR(__xludf.DUMMYFUNCTION("GOOGLETRANSLATE(A150, ""en"", ""hi"")"),"149")</f>
        <v>149</v>
      </c>
      <c r="G150" s="5" t="str">
        <f>IFERROR(__xludf.DUMMYFUNCTION("GOOGLETRANSLATE(B150, ""en"", ""hi"")"),"एक कंचे मैच के दौरान, यदि खिलाड़ी X ने 21 अंक बनाए और खिलाड़ी Y ने 22 अंक बनाए, और खेल को जीतने के लिए 25 अंकों की आवश्यकता है, तो परिणाम क्या होगा?")</f>
        <v>एक कंचे मैच के दौरान, यदि खिलाड़ी X ने 21 अंक बनाए और खिलाड़ी Y ने 22 अंक बनाए, और खेल को जीतने के लिए 25 अंकों की आवश्यकता है, तो परिणाम क्या होगा?</v>
      </c>
      <c r="H150" s="5" t="str">
        <f>IFERROR(__xludf.DUMMYFUNCTION("GOOGLETRANSLATE(C150,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150" s="5" t="str">
        <f>IFERROR(__xludf.DUMMYFUNCTION("GOOGLETRANSLATE(D150, ""en"", ""hi"")"),"A) खिलाड़ी Y जीतता है.")</f>
        <v>A) खिलाड़ी Y जीतता है.</v>
      </c>
    </row>
    <row r="151" ht="22.5" customHeight="1">
      <c r="A151" s="2">
        <v>150.0</v>
      </c>
      <c r="B151" s="3" t="s">
        <v>7952</v>
      </c>
      <c r="C151" s="3" t="s">
        <v>7826</v>
      </c>
      <c r="D151" s="3" t="s">
        <v>7827</v>
      </c>
      <c r="F151" s="5" t="str">
        <f>IFERROR(__xludf.DUMMYFUNCTION("GOOGLETRANSLATE(A151, ""en"", ""hi"")"),"150")</f>
        <v>150</v>
      </c>
      <c r="G151" s="5" t="str">
        <f>IFERROR(__xludf.DUMMYFUNCTION("GOOGLETRANSLATE(B151, ""en"", ""hi"")"),"खिलाड़ी A ने पहला सेट 15-14 से जीता और खिलाड़ी B ने दूसरा सेट 15-12 से जीता। अगर खिलाड़ी A तीसरा सेट 15-13 से जीत जाता है, तो मैच का स्कोर क्या होगा?")</f>
        <v>खिलाड़ी A ने पहला सेट 15-14 से जीता और खिलाड़ी B ने दूसरा सेट 15-12 से जीता। अगर खिलाड़ी A तीसरा सेट 15-13 से जीत जाता है, तो मैच का स्कोर क्या होगा?</v>
      </c>
      <c r="H151" s="5" t="str">
        <f>IFERROR(__xludf.DUMMYFUNCTION("GOOGLETRANSLATE(C151,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51" s="5" t="str">
        <f>IFERROR(__xludf.DUMMYFUNCTION("GOOGLETRANSLATE(D151, ""en"", ""hi"")"),"A) खिलाड़ी A 2-1 से आगे है।")</f>
        <v>A) खिलाड़ी A 2-1 से आगे है।</v>
      </c>
    </row>
    <row r="152" ht="22.5" customHeight="1">
      <c r="A152" s="2">
        <v>151.0</v>
      </c>
      <c r="B152" s="3" t="s">
        <v>7953</v>
      </c>
      <c r="C152" s="3" t="s">
        <v>7851</v>
      </c>
      <c r="D152" s="3" t="s">
        <v>7711</v>
      </c>
      <c r="F152" s="5" t="str">
        <f>IFERROR(__xludf.DUMMYFUNCTION("GOOGLETRANSLATE(A152, ""en"", ""hi"")"),"151")</f>
        <v>151</v>
      </c>
      <c r="G152" s="5" t="str">
        <f>IFERROR(__xludf.DUMMYFUNCTION("GOOGLETRANSLATE(B152, ""en"", ""hi"")"),"एक कंचे खेल में, यदि खिलाड़ी X ने 15 अंक बनाए और खिलाड़ी Y ने 14 अंक बनाए, और खेल को जीतने के लिए 20 अंकों की आवश्यकता है, तो परिणाम क्या होगा?")</f>
        <v>एक कंचे खेल में, यदि खिलाड़ी X ने 15 अंक बनाए और खिलाड़ी Y ने 14 अंक बनाए, और खेल को जीतने के लिए 20 अंकों की आवश्यकता है, तो परिणाम क्या होगा?</v>
      </c>
      <c r="H152" s="5" t="str">
        <f>IFERROR(__xludf.DUMMYFUNCTION("GOOGLETRANSLATE(C152, ""en"", ""hi"")"),"A) खिलाड़ी X जीतता है। , B) खिलाड़ी Y जीतता है। , C) खेल बराबरी पर रहता है। , D) खेल तब तक जारी रहता है जब तक कि एक खिलाड़ी 25 अंक नहीं बना लेता।")</f>
        <v>A) खिलाड़ी X जीतता है। , B) खिलाड़ी Y जीतता है। , C) खेल बराबरी पर रहता है। , D) खेल तब तक जारी रहता है जब तक कि एक खिलाड़ी 25 अंक नहीं बना लेता।</v>
      </c>
      <c r="I152" s="5" t="str">
        <f>IFERROR(__xludf.DUMMYFUNCTION("GOOGLETRANSLATE(D152, ""en"", ""hi"")"),"A) खिलाड़ी X जीतता है.")</f>
        <v>A) खिलाड़ी X जीतता है.</v>
      </c>
    </row>
    <row r="153" ht="22.5" customHeight="1">
      <c r="A153" s="2">
        <v>152.0</v>
      </c>
      <c r="B153" s="3" t="s">
        <v>7927</v>
      </c>
      <c r="C153" s="3" t="s">
        <v>7846</v>
      </c>
      <c r="D153" s="3" t="s">
        <v>7847</v>
      </c>
      <c r="F153" s="5" t="str">
        <f>IFERROR(__xludf.DUMMYFUNCTION("GOOGLETRANSLATE(A153, ""en"", ""hi"")"),"152")</f>
        <v>152</v>
      </c>
      <c r="G153" s="5" t="str">
        <f>IFERROR(__xludf.DUMMYFUNCTION("GOOGLETRANSLATE(B153, ""en"", ""hi"")"),"खिलाड़ी X ने पहला सेट 15-13 से जीता और खिलाड़ी Y ने दूसरा सेट 15-14 से जीता। अगर खिलाड़ी X तीसरा सेट 15-12 से जीतता है, तो मैच का स्कोर क्या होगा?")</f>
        <v>खिलाड़ी X ने पहला सेट 15-13 से जीता और खिलाड़ी Y ने दूसरा सेट 15-14 से जीता। अगर खिलाड़ी X तीसरा सेट 15-12 से जीतता है, तो मैच का स्कोर क्या होगा?</v>
      </c>
      <c r="H153" s="5" t="str">
        <f>IFERROR(__xludf.DUMMYFUNCTION("GOOGLETRANSLATE(C153,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53" s="5" t="str">
        <f>IFERROR(__xludf.DUMMYFUNCTION("GOOGLETRANSLATE(D153, ""en"", ""hi"")"),"A) खिलाड़ी X 2-1 से आगे है।")</f>
        <v>A) खिलाड़ी X 2-1 से आगे है।</v>
      </c>
    </row>
    <row r="154" ht="22.5" customHeight="1">
      <c r="A154" s="2">
        <v>153.0</v>
      </c>
      <c r="B154" s="3" t="s">
        <v>7954</v>
      </c>
      <c r="C154" s="3" t="s">
        <v>7940</v>
      </c>
      <c r="D154" s="3" t="s">
        <v>7878</v>
      </c>
      <c r="F154" s="5" t="str">
        <f>IFERROR(__xludf.DUMMYFUNCTION("GOOGLETRANSLATE(A154, ""en"", ""hi"")"),"153")</f>
        <v>153</v>
      </c>
      <c r="G154" s="5" t="str">
        <f>IFERROR(__xludf.DUMMYFUNCTION("GOOGLETRANSLATE(B154, ""en"", ""hi"")"),"एक कंचे मैच के दौरान, खिलाड़ी X ने 22 अंक और खिलाड़ी Y ने 24 अंक बनाए। यदि खेल जीतने के लिए 25 अंक चाहिए, तो परिणाम क्या होगा?")</f>
        <v>एक कंचे मैच के दौरान, खिलाड़ी X ने 22 अंक और खिलाड़ी Y ने 24 अंक बनाए। यदि खेल जीतने के लिए 25 अंक चाहिए, तो परिणाम क्या होगा?</v>
      </c>
      <c r="H154" s="5" t="str">
        <f>IFERROR(__xludf.DUMMYFUNCTION("GOOGLETRANSLATE(C154,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154" s="5" t="str">
        <f>IFERROR(__xludf.DUMMYFUNCTION("GOOGLETRANSLATE(D154, ""en"", ""hi"")"),"A) खिलाड़ी Y जीतता है.")</f>
        <v>A) खिलाड़ी Y जीतता है.</v>
      </c>
    </row>
    <row r="155" ht="22.5" customHeight="1">
      <c r="A155" s="2">
        <v>154.0</v>
      </c>
      <c r="B155" s="3" t="s">
        <v>7955</v>
      </c>
      <c r="C155" s="3" t="s">
        <v>7826</v>
      </c>
      <c r="D155" s="3" t="s">
        <v>7827</v>
      </c>
      <c r="F155" s="5" t="str">
        <f>IFERROR(__xludf.DUMMYFUNCTION("GOOGLETRANSLATE(A155, ""en"", ""hi"")"),"154")</f>
        <v>154</v>
      </c>
      <c r="G155" s="5" t="str">
        <f>IFERROR(__xludf.DUMMYFUNCTION("GOOGLETRANSLATE(B155, ""en"", ""hi"")"),"खिलाड़ी A ने पहला सेट 15-11 से जीता और खिलाड़ी B ने दूसरा सेट 15-12 से जीता। अगर खिलाड़ी A तीसरा सेट 15-14 से जीत जाता है, तो मैच का वर्तमान स्कोर क्या है?")</f>
        <v>खिलाड़ी A ने पहला सेट 15-11 से जीता और खिलाड़ी B ने दूसरा सेट 15-12 से जीता। अगर खिलाड़ी A तीसरा सेट 15-14 से जीत जाता है, तो मैच का वर्तमान स्कोर क्या है?</v>
      </c>
      <c r="H155" s="5" t="str">
        <f>IFERROR(__xludf.DUMMYFUNCTION("GOOGLETRANSLATE(C155,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55" s="5" t="str">
        <f>IFERROR(__xludf.DUMMYFUNCTION("GOOGLETRANSLATE(D155, ""en"", ""hi"")"),"A) खिलाड़ी A 2-1 से आगे है।")</f>
        <v>A) खिलाड़ी A 2-1 से आगे है।</v>
      </c>
    </row>
    <row r="156" ht="22.5" customHeight="1">
      <c r="A156" s="2">
        <v>155.0</v>
      </c>
      <c r="B156" s="3" t="s">
        <v>7956</v>
      </c>
      <c r="C156" s="3" t="s">
        <v>7865</v>
      </c>
      <c r="D156" s="3" t="s">
        <v>7711</v>
      </c>
      <c r="F156" s="5" t="str">
        <f>IFERROR(__xludf.DUMMYFUNCTION("GOOGLETRANSLATE(A156, ""en"", ""hi"")"),"155")</f>
        <v>155</v>
      </c>
      <c r="G156" s="5" t="str">
        <f>IFERROR(__xludf.DUMMYFUNCTION("GOOGLETRANSLATE(B156, ""en"", ""hi"")"),"एक कंचे खेल में, यदि खिलाड़ी X ने 20 अंक बनाए और खिलाड़ी Y ने 18 अंक बनाए, और खेल को जीतने के लिए 25 अंकों की आवश्यकता है, तो परिणाम क्या होगा?")</f>
        <v>एक कंचे खेल में, यदि खिलाड़ी X ने 20 अंक बनाए और खिलाड़ी Y ने 18 अंक बनाए, और खेल को जीतने के लिए 25 अंकों की आवश्यकता है, तो परिणाम क्या होगा?</v>
      </c>
      <c r="H156" s="5" t="str">
        <f>IFERROR(__xludf.DUMMYFUNCTION("GOOGLETRANSLATE(C156, ""en"", ""hi"")"),"A) खिलाड़ी X जीतता है। , B) खिलाड़ी Y जीतता है। , C) खेल बराबरी पर रहता है। , D) खेल तब तक जारी रहता है जब तक कि एक खिलाड़ी 30 अंक नहीं बना लेता।")</f>
        <v>A) खिलाड़ी X जीतता है। , B) खिलाड़ी Y जीतता है। , C) खेल बराबरी पर रहता है। , D) खेल तब तक जारी रहता है जब तक कि एक खिलाड़ी 30 अंक नहीं बना लेता।</v>
      </c>
      <c r="I156" s="5" t="str">
        <f>IFERROR(__xludf.DUMMYFUNCTION("GOOGLETRANSLATE(D156, ""en"", ""hi"")"),"A) खिलाड़ी X जीतता है.")</f>
        <v>A) खिलाड़ी X जीतता है.</v>
      </c>
    </row>
    <row r="157" ht="22.5" customHeight="1">
      <c r="A157" s="2">
        <v>156.0</v>
      </c>
      <c r="B157" s="3" t="s">
        <v>7957</v>
      </c>
      <c r="C157" s="3" t="s">
        <v>7846</v>
      </c>
      <c r="D157" s="3" t="s">
        <v>7847</v>
      </c>
      <c r="F157" s="5" t="str">
        <f>IFERROR(__xludf.DUMMYFUNCTION("GOOGLETRANSLATE(A157, ""en"", ""hi"")"),"156")</f>
        <v>156</v>
      </c>
      <c r="G157" s="5" t="str">
        <f>IFERROR(__xludf.DUMMYFUNCTION("GOOGLETRANSLATE(B157, ""en"", ""hi"")"),"खिलाड़ी X ने पहला सेट 15-12 से जीता और खिलाड़ी Y ने दूसरा सेट 15-13 से जीता। अगर खिलाड़ी X तीसरा सेट 15-14 से जीतता है, तो मैच का स्कोर क्या होगा?")</f>
        <v>खिलाड़ी X ने पहला सेट 15-12 से जीता और खिलाड़ी Y ने दूसरा सेट 15-13 से जीता। अगर खिलाड़ी X तीसरा सेट 15-14 से जीतता है, तो मैच का स्कोर क्या होगा?</v>
      </c>
      <c r="H157" s="5" t="str">
        <f>IFERROR(__xludf.DUMMYFUNCTION("GOOGLETRANSLATE(C157,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57" s="5" t="str">
        <f>IFERROR(__xludf.DUMMYFUNCTION("GOOGLETRANSLATE(D157, ""en"", ""hi"")"),"A) खिलाड़ी X 2-1 से आगे है।")</f>
        <v>A) खिलाड़ी X 2-1 से आगे है।</v>
      </c>
    </row>
    <row r="158" ht="22.5" customHeight="1">
      <c r="A158" s="2">
        <v>157.0</v>
      </c>
      <c r="B158" s="3" t="s">
        <v>7958</v>
      </c>
      <c r="C158" s="3" t="s">
        <v>7959</v>
      </c>
      <c r="D158" s="3" t="s">
        <v>7878</v>
      </c>
      <c r="F158" s="5" t="str">
        <f>IFERROR(__xludf.DUMMYFUNCTION("GOOGLETRANSLATE(A158, ""en"", ""hi"")"),"157")</f>
        <v>157</v>
      </c>
      <c r="G158" s="5" t="str">
        <f>IFERROR(__xludf.DUMMYFUNCTION("GOOGLETRANSLATE(B158, ""en"", ""hi"")"),"एक कंचे मैच के दौरान, यदि खिलाड़ी X ने 23 अंक बनाए और खिलाड़ी Y ने 25 अंक बनाए, और खेल को जीतने के लिए 30 अंकों की आवश्यकता है, तो परिणाम क्या होगा?")</f>
        <v>एक कंचे मैच के दौरान, यदि खिलाड़ी X ने 23 अंक बनाए और खिलाड़ी Y ने 25 अंक बनाए, और खेल को जीतने के लिए 30 अंकों की आवश्यकता है, तो परिणाम क्या होगा?</v>
      </c>
      <c r="H158" s="5" t="str">
        <f>IFERROR(__xludf.DUMMYFUNCTION("GOOGLETRANSLATE(C158,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58" s="5" t="str">
        <f>IFERROR(__xludf.DUMMYFUNCTION("GOOGLETRANSLATE(D158, ""en"", ""hi"")"),"A) खिलाड़ी Y जीतता है.")</f>
        <v>A) खिलाड़ी Y जीतता है.</v>
      </c>
    </row>
    <row r="159" ht="22.5" customHeight="1">
      <c r="A159" s="2">
        <v>158.0</v>
      </c>
      <c r="B159" s="3" t="s">
        <v>7960</v>
      </c>
      <c r="C159" s="3" t="s">
        <v>7826</v>
      </c>
      <c r="D159" s="3" t="s">
        <v>7827</v>
      </c>
      <c r="F159" s="5" t="str">
        <f>IFERROR(__xludf.DUMMYFUNCTION("GOOGLETRANSLATE(A159, ""en"", ""hi"")"),"158")</f>
        <v>158</v>
      </c>
      <c r="G159" s="5" t="str">
        <f>IFERROR(__xludf.DUMMYFUNCTION("GOOGLETRANSLATE(B159, ""en"", ""hi"")"),"खिलाड़ी A ने पहला सेट 15-10 से जीता, खिलाड़ी B ने दूसरा सेट 15-14 से जीता, और खिलाड़ी A ने तीसरा सेट 15-12 से जीता। मैच का वर्तमान स्कोर क्या है?")</f>
        <v>खिलाड़ी A ने पहला सेट 15-10 से जीता, खिलाड़ी B ने दूसरा सेट 15-14 से जीता, और खिलाड़ी A ने तीसरा सेट 15-12 से जीता। मैच का वर्तमान स्कोर क्या है?</v>
      </c>
      <c r="H159" s="5" t="str">
        <f>IFERROR(__xludf.DUMMYFUNCTION("GOOGLETRANSLATE(C159,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59" s="5" t="str">
        <f>IFERROR(__xludf.DUMMYFUNCTION("GOOGLETRANSLATE(D159, ""en"", ""hi"")"),"A) खिलाड़ी A 2-1 से आगे है।")</f>
        <v>A) खिलाड़ी A 2-1 से आगे है।</v>
      </c>
    </row>
    <row r="160" ht="22.5" customHeight="1">
      <c r="A160" s="2">
        <v>159.0</v>
      </c>
      <c r="B160" s="3" t="s">
        <v>7961</v>
      </c>
      <c r="C160" s="3" t="s">
        <v>7959</v>
      </c>
      <c r="D160" s="3" t="s">
        <v>7878</v>
      </c>
      <c r="F160" s="5" t="str">
        <f>IFERROR(__xludf.DUMMYFUNCTION("GOOGLETRANSLATE(A160, ""en"", ""hi"")"),"159")</f>
        <v>159</v>
      </c>
      <c r="G160" s="5" t="str">
        <f>IFERROR(__xludf.DUMMYFUNCTION("GOOGLETRANSLATE(B160, ""en"", ""hi"")"),"एक कंचे खेल में, यदि खिलाड़ी X ने 24 अंक बनाए और खिलाड़ी Y ने 26 अंक बनाए, और खेल को जीतने के लिए 30 अंकों की आवश्यकता है, तो परिणाम क्या होगा?")</f>
        <v>एक कंचे खेल में, यदि खिलाड़ी X ने 24 अंक बनाए और खिलाड़ी Y ने 26 अंक बनाए, और खेल को जीतने के लिए 30 अंकों की आवश्यकता है, तो परिणाम क्या होगा?</v>
      </c>
      <c r="H160" s="5" t="str">
        <f>IFERROR(__xludf.DUMMYFUNCTION("GOOGLETRANSLATE(C160,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60" s="5" t="str">
        <f>IFERROR(__xludf.DUMMYFUNCTION("GOOGLETRANSLATE(D160, ""en"", ""hi"")"),"A) खिलाड़ी Y जीतता है.")</f>
        <v>A) खिलाड़ी Y जीतता है.</v>
      </c>
    </row>
    <row r="161" ht="22.5" customHeight="1">
      <c r="A161" s="2">
        <v>160.0</v>
      </c>
      <c r="B161" s="3" t="s">
        <v>7962</v>
      </c>
      <c r="C161" s="3" t="s">
        <v>7846</v>
      </c>
      <c r="D161" s="3" t="s">
        <v>7847</v>
      </c>
      <c r="F161" s="5" t="str">
        <f>IFERROR(__xludf.DUMMYFUNCTION("GOOGLETRANSLATE(A161, ""en"", ""hi"")"),"160")</f>
        <v>160</v>
      </c>
      <c r="G161" s="5" t="str">
        <f>IFERROR(__xludf.DUMMYFUNCTION("GOOGLETRANSLATE(B161, ""en"", ""hi"")"),"खिलाड़ी X ने पहला सेट 15-14 से जीता, खिलाड़ी Y ने दूसरा सेट 15-12 से जीता, और खिलाड़ी X ने तीसरा सेट 15-13 से जीता। मैच का स्कोर क्या है?")</f>
        <v>खिलाड़ी X ने पहला सेट 15-14 से जीता, खिलाड़ी Y ने दूसरा सेट 15-12 से जीता, और खिलाड़ी X ने तीसरा सेट 15-13 से जीता। मैच का स्कोर क्या है?</v>
      </c>
      <c r="H161" s="5" t="str">
        <f>IFERROR(__xludf.DUMMYFUNCTION("GOOGLETRANSLATE(C161,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61" s="5" t="str">
        <f>IFERROR(__xludf.DUMMYFUNCTION("GOOGLETRANSLATE(D161, ""en"", ""hi"")"),"A) खिलाड़ी X 2-1 से आगे है।")</f>
        <v>A) खिलाड़ी X 2-1 से आगे है।</v>
      </c>
    </row>
    <row r="162" ht="22.5" customHeight="1">
      <c r="A162" s="2">
        <v>161.0</v>
      </c>
      <c r="B162" s="3" t="s">
        <v>7963</v>
      </c>
      <c r="C162" s="3" t="s">
        <v>7883</v>
      </c>
      <c r="D162" s="3" t="s">
        <v>7878</v>
      </c>
      <c r="F162" s="5" t="str">
        <f>IFERROR(__xludf.DUMMYFUNCTION("GOOGLETRANSLATE(A162, ""en"", ""hi"")"),"161")</f>
        <v>161</v>
      </c>
      <c r="G162" s="5" t="str">
        <f>IFERROR(__xludf.DUMMYFUNCTION("GOOGLETRANSLATE(B162, ""en"", ""hi"")"),"एक कंचे मैच के दौरान, खिलाड़ी X ने 15 अंक बनाए और खिलाड़ी Y ने 17 अंक बनाए। यदि खेल जीतने के लिए 20 अंकों की आवश्यकता है, तो परिणाम क्या होगा?")</f>
        <v>एक कंचे मैच के दौरान, खिलाड़ी X ने 15 अंक बनाए और खिलाड़ी Y ने 17 अंक बनाए। यदि खेल जीतने के लिए 20 अंकों की आवश्यकता है, तो परिणाम क्या होगा?</v>
      </c>
      <c r="H162" s="5" t="str">
        <f>IFERROR(__xludf.DUMMYFUNCTION("GOOGLETRANSLATE(C162,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62" s="5" t="str">
        <f>IFERROR(__xludf.DUMMYFUNCTION("GOOGLETRANSLATE(D162, ""en"", ""hi"")"),"A) खिलाड़ी Y जीतता है.")</f>
        <v>A) खिलाड़ी Y जीतता है.</v>
      </c>
    </row>
    <row r="163" ht="22.5" customHeight="1">
      <c r="A163" s="2">
        <v>162.0</v>
      </c>
      <c r="B163" s="3" t="s">
        <v>7964</v>
      </c>
      <c r="C163" s="3" t="s">
        <v>7846</v>
      </c>
      <c r="D163" s="3" t="s">
        <v>7847</v>
      </c>
      <c r="F163" s="5" t="str">
        <f>IFERROR(__xludf.DUMMYFUNCTION("GOOGLETRANSLATE(A163, ""en"", ""hi"")"),"162")</f>
        <v>162</v>
      </c>
      <c r="G163" s="5" t="str">
        <f>IFERROR(__xludf.DUMMYFUNCTION("GOOGLETRANSLATE(B163, ""en"", ""hi"")"),"खिलाड़ी X ने पहला सेट 15-11 से जीता और खिलाड़ी Y ने दूसरा सेट 15-14 से जीता। अगर खिलाड़ी X तीसरा सेट 15-12 से जीतता है, तो मैच का स्कोर क्या होगा?")</f>
        <v>खिलाड़ी X ने पहला सेट 15-11 से जीता और खिलाड़ी Y ने दूसरा सेट 15-14 से जीता। अगर खिलाड़ी X तीसरा सेट 15-12 से जीतता है, तो मैच का स्कोर क्या होगा?</v>
      </c>
      <c r="H163" s="5" t="str">
        <f>IFERROR(__xludf.DUMMYFUNCTION("GOOGLETRANSLATE(C163,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63" s="5" t="str">
        <f>IFERROR(__xludf.DUMMYFUNCTION("GOOGLETRANSLATE(D163, ""en"", ""hi"")"),"A) खिलाड़ी X 2-1 से आगे है।")</f>
        <v>A) खिलाड़ी X 2-1 से आगे है।</v>
      </c>
    </row>
    <row r="164" ht="22.5" customHeight="1">
      <c r="A164" s="2">
        <v>163.0</v>
      </c>
      <c r="B164" s="3" t="s">
        <v>7965</v>
      </c>
      <c r="C164" s="3" t="s">
        <v>7966</v>
      </c>
      <c r="D164" s="3" t="s">
        <v>7711</v>
      </c>
      <c r="F164" s="5" t="str">
        <f>IFERROR(__xludf.DUMMYFUNCTION("GOOGLETRANSLATE(A164, ""en"", ""hi"")"),"163")</f>
        <v>163</v>
      </c>
      <c r="G164" s="5" t="str">
        <f>IFERROR(__xludf.DUMMYFUNCTION("GOOGLETRANSLATE(B164, ""en"", ""hi"")"),"एक कंचे खेल में, यदि खिलाड़ी X ने 25 अंक बनाए और खिलाड़ी Y ने 22 अंक बनाए, और खेल को जीतने के लिए 30 अंकों की आवश्यकता है, तो परिणाम क्या होगा?")</f>
        <v>एक कंचे खेल में, यदि खिलाड़ी X ने 25 अंक बनाए और खिलाड़ी Y ने 22 अंक बनाए, और खेल को जीतने के लिए 30 अंकों की आवश्यकता है, तो परिणाम क्या होगा?</v>
      </c>
      <c r="H164" s="5" t="str">
        <f>IFERROR(__xludf.DUMMYFUNCTION("GOOGLETRANSLATE(C164, ""en"", ""hi"")"),"A) खिलाड़ी X जीतता है। , B) खिलाड़ी Y जीतता है। , C) खेल बराबरी पर रहता है। , D) खेल तब तक जारी रहता है जब तक कि एक खिलाड़ी 35 अंक नहीं बना लेता।")</f>
        <v>A) खिलाड़ी X जीतता है। , B) खिलाड़ी Y जीतता है। , C) खेल बराबरी पर रहता है। , D) खेल तब तक जारी रहता है जब तक कि एक खिलाड़ी 35 अंक नहीं बना लेता।</v>
      </c>
      <c r="I164" s="5" t="str">
        <f>IFERROR(__xludf.DUMMYFUNCTION("GOOGLETRANSLATE(D164, ""en"", ""hi"")"),"A) खिलाड़ी X जीतता है.")</f>
        <v>A) खिलाड़ी X जीतता है.</v>
      </c>
    </row>
    <row r="165" ht="22.5" customHeight="1">
      <c r="A165" s="2">
        <v>164.0</v>
      </c>
      <c r="B165" s="3" t="s">
        <v>7967</v>
      </c>
      <c r="C165" s="3" t="s">
        <v>7826</v>
      </c>
      <c r="D165" s="3" t="s">
        <v>7827</v>
      </c>
      <c r="F165" s="5" t="str">
        <f>IFERROR(__xludf.DUMMYFUNCTION("GOOGLETRANSLATE(A165, ""en"", ""hi"")"),"164")</f>
        <v>164</v>
      </c>
      <c r="G165" s="5" t="str">
        <f>IFERROR(__xludf.DUMMYFUNCTION("GOOGLETRANSLATE(B165, ""en"", ""hi"")"),"खिलाड़ी A ने पहला सेट 15-12 से जीता और खिलाड़ी B ने दूसरा सेट 15-14 से जीता। अगर खिलाड़ी A तीसरा सेट 15-13 से जीत जाता है, तो मैच का स्कोर क्या होगा?")</f>
        <v>खिलाड़ी A ने पहला सेट 15-12 से जीता और खिलाड़ी B ने दूसरा सेट 15-14 से जीता। अगर खिलाड़ी A तीसरा सेट 15-13 से जीत जाता है, तो मैच का स्कोर क्या होगा?</v>
      </c>
      <c r="H165" s="5" t="str">
        <f>IFERROR(__xludf.DUMMYFUNCTION("GOOGLETRANSLATE(C165,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65" s="5" t="str">
        <f>IFERROR(__xludf.DUMMYFUNCTION("GOOGLETRANSLATE(D165, ""en"", ""hi"")"),"A) खिलाड़ी A 2-1 से आगे है।")</f>
        <v>A) खिलाड़ी A 2-1 से आगे है।</v>
      </c>
    </row>
    <row r="166" ht="22.5" customHeight="1">
      <c r="A166" s="2">
        <v>165.0</v>
      </c>
      <c r="B166" s="3" t="s">
        <v>7968</v>
      </c>
      <c r="C166" s="3" t="s">
        <v>7865</v>
      </c>
      <c r="D166" s="3" t="s">
        <v>7711</v>
      </c>
      <c r="F166" s="5" t="str">
        <f>IFERROR(__xludf.DUMMYFUNCTION("GOOGLETRANSLATE(A166, ""en"", ""hi"")"),"165")</f>
        <v>165</v>
      </c>
      <c r="G166" s="5" t="str">
        <f>IFERROR(__xludf.DUMMYFUNCTION("GOOGLETRANSLATE(B166, ""en"", ""hi"")"),"एक कंचे मैच के दौरान, खिलाड़ी X ने 22 अंक बनाए और खिलाड़ी Y ने 20 अंक बनाए। यदि खेल जीतने के लिए 25 अंक चाहिए, तो परिणाम क्या होगा?")</f>
        <v>एक कंचे मैच के दौरान, खिलाड़ी X ने 22 अंक बनाए और खिलाड़ी Y ने 20 अंक बनाए। यदि खेल जीतने के लिए 25 अंक चाहिए, तो परिणाम क्या होगा?</v>
      </c>
      <c r="H166" s="5" t="str">
        <f>IFERROR(__xludf.DUMMYFUNCTION("GOOGLETRANSLATE(C166, ""en"", ""hi"")"),"A) खिलाड़ी X जीतता है। , B) खिलाड़ी Y जीतता है। , C) खेल बराबरी पर रहता है। , D) खेल तब तक जारी रहता है जब तक कि एक खिलाड़ी 30 अंक नहीं बना लेता।")</f>
        <v>A) खिलाड़ी X जीतता है। , B) खिलाड़ी Y जीतता है। , C) खेल बराबरी पर रहता है। , D) खेल तब तक जारी रहता है जब तक कि एक खिलाड़ी 30 अंक नहीं बना लेता।</v>
      </c>
      <c r="I166" s="5" t="str">
        <f>IFERROR(__xludf.DUMMYFUNCTION("GOOGLETRANSLATE(D166, ""en"", ""hi"")"),"A) खिलाड़ी X जीतता है.")</f>
        <v>A) खिलाड़ी X जीतता है.</v>
      </c>
    </row>
    <row r="167" ht="22.5" customHeight="1">
      <c r="A167" s="2">
        <v>166.0</v>
      </c>
      <c r="B167" s="3" t="s">
        <v>7969</v>
      </c>
      <c r="C167" s="3" t="s">
        <v>7846</v>
      </c>
      <c r="D167" s="3" t="s">
        <v>7847</v>
      </c>
      <c r="F167" s="5" t="str">
        <f>IFERROR(__xludf.DUMMYFUNCTION("GOOGLETRANSLATE(A167, ""en"", ""hi"")"),"166")</f>
        <v>166</v>
      </c>
      <c r="G167" s="5" t="str">
        <f>IFERROR(__xludf.DUMMYFUNCTION("GOOGLETRANSLATE(B167, ""en"", ""hi"")"),"खिलाड़ी X ने पहला सेट 15-13 से जीता और खिलाड़ी Y ने दूसरा सेट 15-11 से जीता। अगर खिलाड़ी X तीसरा सेट 15-14 से जीतता है, तो मैच का स्कोर क्या होगा?")</f>
        <v>खिलाड़ी X ने पहला सेट 15-13 से जीता और खिलाड़ी Y ने दूसरा सेट 15-11 से जीता। अगर खिलाड़ी X तीसरा सेट 15-14 से जीतता है, तो मैच का स्कोर क्या होगा?</v>
      </c>
      <c r="H167" s="5" t="str">
        <f>IFERROR(__xludf.DUMMYFUNCTION("GOOGLETRANSLATE(C167,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67" s="5" t="str">
        <f>IFERROR(__xludf.DUMMYFUNCTION("GOOGLETRANSLATE(D167, ""en"", ""hi"")"),"A) खिलाड़ी X 2-1 से आगे है।")</f>
        <v>A) खिलाड़ी X 2-1 से आगे है।</v>
      </c>
    </row>
    <row r="168" ht="22.5" customHeight="1">
      <c r="A168" s="2">
        <v>167.0</v>
      </c>
      <c r="B168" s="3" t="s">
        <v>7970</v>
      </c>
      <c r="C168" s="3" t="s">
        <v>7971</v>
      </c>
      <c r="D168" s="3" t="s">
        <v>7711</v>
      </c>
      <c r="F168" s="5" t="str">
        <f>IFERROR(__xludf.DUMMYFUNCTION("GOOGLETRANSLATE(A168, ""en"", ""hi"")"),"167")</f>
        <v>167</v>
      </c>
      <c r="G168" s="5" t="str">
        <f>IFERROR(__xludf.DUMMYFUNCTION("GOOGLETRANSLATE(B168, ""en"", ""hi"")"),"एक कंचे खेल में, यदि खिलाड़ी X ने 30 अंक बनाए और खिलाड़ी Y ने 29 अंक बनाए, और खेल को जीतने के लिए 35 अंकों की आवश्यकता है, तो परिणाम क्या होगा?")</f>
        <v>एक कंचे खेल में, यदि खिलाड़ी X ने 30 अंक बनाए और खिलाड़ी Y ने 29 अंक बनाए, और खेल को जीतने के लिए 35 अंकों की आवश्यकता है, तो परिणाम क्या होगा?</v>
      </c>
      <c r="H168" s="5" t="str">
        <f>IFERROR(__xludf.DUMMYFUNCTION("GOOGLETRANSLATE(C168,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168" s="5" t="str">
        <f>IFERROR(__xludf.DUMMYFUNCTION("GOOGLETRANSLATE(D168, ""en"", ""hi"")"),"A) खिलाड़ी X जीतता है.")</f>
        <v>A) खिलाड़ी X जीतता है.</v>
      </c>
    </row>
    <row r="169" ht="22.5" customHeight="1">
      <c r="A169" s="2">
        <v>168.0</v>
      </c>
      <c r="B169" s="3" t="s">
        <v>7972</v>
      </c>
      <c r="C169" s="3" t="s">
        <v>7826</v>
      </c>
      <c r="D169" s="3" t="s">
        <v>7827</v>
      </c>
      <c r="F169" s="5" t="str">
        <f>IFERROR(__xludf.DUMMYFUNCTION("GOOGLETRANSLATE(A169, ""en"", ""hi"")"),"168")</f>
        <v>168</v>
      </c>
      <c r="G169" s="5" t="str">
        <f>IFERROR(__xludf.DUMMYFUNCTION("GOOGLETRANSLATE(B169, ""en"", ""hi"")"),"खिलाड़ी A ने पहला सेट 15-11 से जीता और खिलाड़ी B ने दूसरा सेट 15-13 से जीता। अगर खिलाड़ी A तीसरा सेट 15-12 से जीत जाता है, तो मैच का वर्तमान स्कोर क्या है?")</f>
        <v>खिलाड़ी A ने पहला सेट 15-11 से जीता और खिलाड़ी B ने दूसरा सेट 15-13 से जीता। अगर खिलाड़ी A तीसरा सेट 15-12 से जीत जाता है, तो मैच का वर्तमान स्कोर क्या है?</v>
      </c>
      <c r="H169" s="5" t="str">
        <f>IFERROR(__xludf.DUMMYFUNCTION("GOOGLETRANSLATE(C169,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69" s="5" t="str">
        <f>IFERROR(__xludf.DUMMYFUNCTION("GOOGLETRANSLATE(D169, ""en"", ""hi"")"),"A) खिलाड़ी A 2-1 से आगे है।")</f>
        <v>A) खिलाड़ी A 2-1 से आगे है।</v>
      </c>
    </row>
    <row r="170" ht="22.5" customHeight="1">
      <c r="A170" s="2">
        <v>169.0</v>
      </c>
      <c r="B170" s="3" t="s">
        <v>7973</v>
      </c>
      <c r="C170" s="3" t="s">
        <v>7966</v>
      </c>
      <c r="D170" s="3" t="s">
        <v>7711</v>
      </c>
      <c r="F170" s="5" t="str">
        <f>IFERROR(__xludf.DUMMYFUNCTION("GOOGLETRANSLATE(A170, ""en"", ""hi"")"),"169")</f>
        <v>169</v>
      </c>
      <c r="G170" s="5" t="str">
        <f>IFERROR(__xludf.DUMMYFUNCTION("GOOGLETRANSLATE(B170, ""en"", ""hi"")"),"एक कंचे मैच के दौरान, खिलाड़ी X ने 28 अंक बनाए और खिलाड़ी Y ने 26 अंक बनाए। यदि खेल जीतने के लिए 30 अंकों की आवश्यकता है, तो परिणाम क्या होगा?")</f>
        <v>एक कंचे मैच के दौरान, खिलाड़ी X ने 28 अंक बनाए और खिलाड़ी Y ने 26 अंक बनाए। यदि खेल जीतने के लिए 30 अंकों की आवश्यकता है, तो परिणाम क्या होगा?</v>
      </c>
      <c r="H170" s="5" t="str">
        <f>IFERROR(__xludf.DUMMYFUNCTION("GOOGLETRANSLATE(C170, ""en"", ""hi"")"),"A) खिलाड़ी X जीतता है। , B) खिलाड़ी Y जीतता है। , C) खेल बराबरी पर रहता है। , D) खेल तब तक जारी रहता है जब तक कि एक खिलाड़ी 35 अंक नहीं बना लेता।")</f>
        <v>A) खिलाड़ी X जीतता है। , B) खिलाड़ी Y जीतता है। , C) खेल बराबरी पर रहता है। , D) खेल तब तक जारी रहता है जब तक कि एक खिलाड़ी 35 अंक नहीं बना लेता।</v>
      </c>
      <c r="I170" s="5" t="str">
        <f>IFERROR(__xludf.DUMMYFUNCTION("GOOGLETRANSLATE(D170, ""en"", ""hi"")"),"A) खिलाड़ी X जीतता है.")</f>
        <v>A) खिलाड़ी X जीतता है.</v>
      </c>
    </row>
    <row r="171" ht="22.5" customHeight="1">
      <c r="A171" s="2">
        <v>170.0</v>
      </c>
      <c r="B171" s="3" t="s">
        <v>7974</v>
      </c>
      <c r="C171" s="3" t="s">
        <v>7846</v>
      </c>
      <c r="D171" s="3" t="s">
        <v>7847</v>
      </c>
      <c r="F171" s="5" t="str">
        <f>IFERROR(__xludf.DUMMYFUNCTION("GOOGLETRANSLATE(A171, ""en"", ""hi"")"),"170")</f>
        <v>170</v>
      </c>
      <c r="G171" s="5" t="str">
        <f>IFERROR(__xludf.DUMMYFUNCTION("GOOGLETRANSLATE(B171, ""en"", ""hi"")"),"खिलाड़ी X ने पहला सेट 15-10 से जीता और खिलाड़ी Y ने दूसरा सेट 15-14 से जीता। अगर खिलाड़ी X तीसरा सेट 15-12 से जीतता है, तो मैच का स्कोर क्या होगा?")</f>
        <v>खिलाड़ी X ने पहला सेट 15-10 से जीता और खिलाड़ी Y ने दूसरा सेट 15-14 से जीता। अगर खिलाड़ी X तीसरा सेट 15-12 से जीतता है, तो मैच का स्कोर क्या होगा?</v>
      </c>
      <c r="H171" s="5" t="str">
        <f>IFERROR(__xludf.DUMMYFUNCTION("GOOGLETRANSLATE(C171,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71" s="5" t="str">
        <f>IFERROR(__xludf.DUMMYFUNCTION("GOOGLETRANSLATE(D171, ""en"", ""hi"")"),"A) खिलाड़ी X 2-1 से आगे है।")</f>
        <v>A) खिलाड़ी X 2-1 से आगे है।</v>
      </c>
    </row>
    <row r="172" ht="22.5" customHeight="1">
      <c r="A172" s="2">
        <v>171.0</v>
      </c>
      <c r="B172" s="3" t="s">
        <v>7975</v>
      </c>
      <c r="C172" s="3" t="s">
        <v>7959</v>
      </c>
      <c r="D172" s="3" t="s">
        <v>7878</v>
      </c>
      <c r="F172" s="5" t="str">
        <f>IFERROR(__xludf.DUMMYFUNCTION("GOOGLETRANSLATE(A172, ""en"", ""hi"")"),"171")</f>
        <v>171</v>
      </c>
      <c r="G172" s="5" t="str">
        <f>IFERROR(__xludf.DUMMYFUNCTION("GOOGLETRANSLATE(B172, ""en"", ""hi"")"),"एक कंचे खेल में, यदि खिलाड़ी X ने 25 अंक बनाए और खिलाड़ी Y ने 27 अंक बनाए, और खेल को जीतने के लिए 30 अंकों की आवश्यकता है, तो परिणाम क्या होगा?")</f>
        <v>एक कंचे खेल में, यदि खिलाड़ी X ने 25 अंक बनाए और खिलाड़ी Y ने 27 अंक बनाए, और खेल को जीतने के लिए 30 अंकों की आवश्यकता है, तो परिणाम क्या होगा?</v>
      </c>
      <c r="H172" s="5" t="str">
        <f>IFERROR(__xludf.DUMMYFUNCTION("GOOGLETRANSLATE(C172,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72" s="5" t="str">
        <f>IFERROR(__xludf.DUMMYFUNCTION("GOOGLETRANSLATE(D172, ""en"", ""hi"")"),"A) खिलाड़ी Y जीतता है.")</f>
        <v>A) खिलाड़ी Y जीतता है.</v>
      </c>
    </row>
    <row r="173" ht="22.5" customHeight="1">
      <c r="A173" s="2">
        <v>172.0</v>
      </c>
      <c r="B173" s="3" t="s">
        <v>7976</v>
      </c>
      <c r="C173" s="3" t="s">
        <v>7826</v>
      </c>
      <c r="D173" s="3" t="s">
        <v>7827</v>
      </c>
      <c r="F173" s="5" t="str">
        <f>IFERROR(__xludf.DUMMYFUNCTION("GOOGLETRANSLATE(A173, ""en"", ""hi"")"),"172")</f>
        <v>172</v>
      </c>
      <c r="G173" s="5" t="str">
        <f>IFERROR(__xludf.DUMMYFUNCTION("GOOGLETRANSLATE(B173, ""en"", ""hi"")"),"खिलाड़ी A ने पहला सेट 15-12 से जीता और खिलाड़ी B ने दूसरा सेट 15-14 से जीता। अगर खिलाड़ी A तीसरा सेट 15-13 से जीत जाता है, तो मैच का वर्तमान स्कोर क्या है?")</f>
        <v>खिलाड़ी A ने पहला सेट 15-12 से जीता और खिलाड़ी B ने दूसरा सेट 15-14 से जीता। अगर खिलाड़ी A तीसरा सेट 15-13 से जीत जाता है, तो मैच का वर्तमान स्कोर क्या है?</v>
      </c>
      <c r="H173" s="5" t="str">
        <f>IFERROR(__xludf.DUMMYFUNCTION("GOOGLETRANSLATE(C173,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73" s="5" t="str">
        <f>IFERROR(__xludf.DUMMYFUNCTION("GOOGLETRANSLATE(D173, ""en"", ""hi"")"),"A) खिलाड़ी A 2-1 से आगे है।")</f>
        <v>A) खिलाड़ी A 2-1 से आगे है।</v>
      </c>
    </row>
    <row r="174" ht="22.5" customHeight="1">
      <c r="A174" s="2">
        <v>173.0</v>
      </c>
      <c r="B174" s="3" t="s">
        <v>7977</v>
      </c>
      <c r="C174" s="3" t="s">
        <v>7940</v>
      </c>
      <c r="D174" s="3" t="s">
        <v>7878</v>
      </c>
      <c r="F174" s="5" t="str">
        <f>IFERROR(__xludf.DUMMYFUNCTION("GOOGLETRANSLATE(A174, ""en"", ""hi"")"),"173")</f>
        <v>173</v>
      </c>
      <c r="G174" s="5" t="str">
        <f>IFERROR(__xludf.DUMMYFUNCTION("GOOGLETRANSLATE(B174, ""en"", ""hi"")"),"एक कंचे मैच के दौरान, खिलाड़ी X ने 22 अंक और खिलाड़ी Y ने 23 अंक बनाए। यदि खेल जीतने के लिए 25 अंक चाहिए, तो परिणाम क्या होगा?")</f>
        <v>एक कंचे मैच के दौरान, खिलाड़ी X ने 22 अंक और खिलाड़ी Y ने 23 अंक बनाए। यदि खेल जीतने के लिए 25 अंक चाहिए, तो परिणाम क्या होगा?</v>
      </c>
      <c r="H174" s="5" t="str">
        <f>IFERROR(__xludf.DUMMYFUNCTION("GOOGLETRANSLATE(C174,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174" s="5" t="str">
        <f>IFERROR(__xludf.DUMMYFUNCTION("GOOGLETRANSLATE(D174, ""en"", ""hi"")"),"A) खिलाड़ी Y जीतता है.")</f>
        <v>A) खिलाड़ी Y जीतता है.</v>
      </c>
    </row>
    <row r="175" ht="22.5" customHeight="1">
      <c r="A175" s="2">
        <v>174.0</v>
      </c>
      <c r="B175" s="3" t="s">
        <v>7978</v>
      </c>
      <c r="C175" s="3" t="s">
        <v>7846</v>
      </c>
      <c r="D175" s="3" t="s">
        <v>7847</v>
      </c>
      <c r="F175" s="5" t="str">
        <f>IFERROR(__xludf.DUMMYFUNCTION("GOOGLETRANSLATE(A175, ""en"", ""hi"")"),"174")</f>
        <v>174</v>
      </c>
      <c r="G175" s="5" t="str">
        <f>IFERROR(__xludf.DUMMYFUNCTION("GOOGLETRANSLATE(B175, ""en"", ""hi"")"),"खिलाड़ी X ने पहला सेट 15-11 से जीता और खिलाड़ी Y ने दूसरा सेट 15-13 से जीता। अगर खिलाड़ी X तीसरा सेट 15-14 से जीतता है, तो मैच का स्कोर क्या होगा?")</f>
        <v>खिलाड़ी X ने पहला सेट 15-11 से जीता और खिलाड़ी Y ने दूसरा सेट 15-13 से जीता। अगर खिलाड़ी X तीसरा सेट 15-14 से जीतता है, तो मैच का स्कोर क्या होगा?</v>
      </c>
      <c r="H175" s="5" t="str">
        <f>IFERROR(__xludf.DUMMYFUNCTION("GOOGLETRANSLATE(C175,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75" s="5" t="str">
        <f>IFERROR(__xludf.DUMMYFUNCTION("GOOGLETRANSLATE(D175, ""en"", ""hi"")"),"A) खिलाड़ी X 2-1 से आगे है।")</f>
        <v>A) खिलाड़ी X 2-1 से आगे है।</v>
      </c>
    </row>
    <row r="176" ht="22.5" customHeight="1">
      <c r="A176" s="2">
        <v>175.0</v>
      </c>
      <c r="B176" s="3" t="s">
        <v>7979</v>
      </c>
      <c r="C176" s="3" t="s">
        <v>7966</v>
      </c>
      <c r="D176" s="3" t="s">
        <v>7711</v>
      </c>
      <c r="F176" s="5" t="str">
        <f>IFERROR(__xludf.DUMMYFUNCTION("GOOGLETRANSLATE(A176, ""en"", ""hi"")"),"175")</f>
        <v>175</v>
      </c>
      <c r="G176" s="5" t="str">
        <f>IFERROR(__xludf.DUMMYFUNCTION("GOOGLETRANSLATE(B176, ""en"", ""hi"")"),"एक कंचे खेल में, यदि खिलाड़ी X ने 26 अंक बनाए और खिलाड़ी Y ने 25 अंक बनाए, और खेल को जीतने के लिए 30 अंकों की आवश्यकता है, तो परिणाम क्या होगा?")</f>
        <v>एक कंचे खेल में, यदि खिलाड़ी X ने 26 अंक बनाए और खिलाड़ी Y ने 25 अंक बनाए, और खेल को जीतने के लिए 30 अंकों की आवश्यकता है, तो परिणाम क्या होगा?</v>
      </c>
      <c r="H176" s="5" t="str">
        <f>IFERROR(__xludf.DUMMYFUNCTION("GOOGLETRANSLATE(C176, ""en"", ""hi"")"),"A) खिलाड़ी X जीतता है। , B) खिलाड़ी Y जीतता है। , C) खेल बराबरी पर रहता है। , D) खेल तब तक जारी रहता है जब तक कि एक खिलाड़ी 35 अंक नहीं बना लेता।")</f>
        <v>A) खिलाड़ी X जीतता है। , B) खिलाड़ी Y जीतता है। , C) खेल बराबरी पर रहता है। , D) खेल तब तक जारी रहता है जब तक कि एक खिलाड़ी 35 अंक नहीं बना लेता।</v>
      </c>
      <c r="I176" s="5" t="str">
        <f>IFERROR(__xludf.DUMMYFUNCTION("GOOGLETRANSLATE(D176, ""en"", ""hi"")"),"A) खिलाड़ी X जीतता है.")</f>
        <v>A) खिलाड़ी X जीतता है.</v>
      </c>
    </row>
    <row r="177" ht="22.5" customHeight="1">
      <c r="A177" s="2">
        <v>176.0</v>
      </c>
      <c r="B177" s="3" t="s">
        <v>7980</v>
      </c>
      <c r="C177" s="3" t="s">
        <v>7826</v>
      </c>
      <c r="D177" s="3" t="s">
        <v>7827</v>
      </c>
      <c r="F177" s="5" t="str">
        <f>IFERROR(__xludf.DUMMYFUNCTION("GOOGLETRANSLATE(A177, ""en"", ""hi"")"),"176")</f>
        <v>176</v>
      </c>
      <c r="G177" s="5" t="str">
        <f>IFERROR(__xludf.DUMMYFUNCTION("GOOGLETRANSLATE(B177, ""en"", ""hi"")"),"खिलाड़ी A ने पहला सेट 15-14 से जीता और खिलाड़ी B ने दूसरा सेट 15-11 से जीता। अगर खिलाड़ी A तीसरा सेट 15-13 से जीत जाता है, तो मैच का स्कोर क्या होगा?")</f>
        <v>खिलाड़ी A ने पहला सेट 15-14 से जीता और खिलाड़ी B ने दूसरा सेट 15-11 से जीता। अगर खिलाड़ी A तीसरा सेट 15-13 से जीत जाता है, तो मैच का स्कोर क्या होगा?</v>
      </c>
      <c r="H177" s="5" t="str">
        <f>IFERROR(__xludf.DUMMYFUNCTION("GOOGLETRANSLATE(C177,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77" s="5" t="str">
        <f>IFERROR(__xludf.DUMMYFUNCTION("GOOGLETRANSLATE(D177, ""en"", ""hi"")"),"A) खिलाड़ी A 2-1 से आगे है।")</f>
        <v>A) खिलाड़ी A 2-1 से आगे है।</v>
      </c>
    </row>
    <row r="178" ht="22.5" customHeight="1">
      <c r="A178" s="2">
        <v>177.0</v>
      </c>
      <c r="B178" s="3" t="s">
        <v>7981</v>
      </c>
      <c r="C178" s="3" t="s">
        <v>7883</v>
      </c>
      <c r="D178" s="3" t="s">
        <v>7878</v>
      </c>
      <c r="F178" s="5" t="str">
        <f>IFERROR(__xludf.DUMMYFUNCTION("GOOGLETRANSLATE(A178, ""en"", ""hi"")"),"177")</f>
        <v>177</v>
      </c>
      <c r="G178" s="5" t="str">
        <f>IFERROR(__xludf.DUMMYFUNCTION("GOOGLETRANSLATE(B178, ""en"", ""hi"")"),"एक कंचे मैच के दौरान, खिलाड़ी X ने 18 अंक और खिलाड़ी Y ने 19 अंक बनाए। यदि खेल जीतने के लिए 20 अंकों की आवश्यकता है, तो परिणाम क्या होगा?")</f>
        <v>एक कंचे मैच के दौरान, खिलाड़ी X ने 18 अंक और खिलाड़ी Y ने 19 अंक बनाए। यदि खेल जीतने के लिए 20 अंकों की आवश्यकता है, तो परिणाम क्या होगा?</v>
      </c>
      <c r="H178" s="5" t="str">
        <f>IFERROR(__xludf.DUMMYFUNCTION("GOOGLETRANSLATE(C178, ""en"", ""hi"")"),"A) खिलाड़ी Y जीतता है। , B) खिलाड़ी X जीतता है। , C) खेल बराबरी पर रहता है। , D) खेल तब तक जारी रहता है जब तक कि एक खिलाड़ी 25 अंक नहीं बना लेता।")</f>
        <v>A) खिलाड़ी Y जीतता है। , B) खिलाड़ी X जीतता है। , C) खेल बराबरी पर रहता है। , D) खेल तब तक जारी रहता है जब तक कि एक खिलाड़ी 25 अंक नहीं बना लेता।</v>
      </c>
      <c r="I178" s="5" t="str">
        <f>IFERROR(__xludf.DUMMYFUNCTION("GOOGLETRANSLATE(D178, ""en"", ""hi"")"),"A) खिलाड़ी Y जीतता है.")</f>
        <v>A) खिलाड़ी Y जीतता है.</v>
      </c>
    </row>
    <row r="179" ht="22.5" customHeight="1">
      <c r="A179" s="2">
        <v>178.0</v>
      </c>
      <c r="B179" s="3" t="s">
        <v>7918</v>
      </c>
      <c r="C179" s="3" t="s">
        <v>7846</v>
      </c>
      <c r="D179" s="3" t="s">
        <v>7847</v>
      </c>
      <c r="F179" s="5" t="str">
        <f>IFERROR(__xludf.DUMMYFUNCTION("GOOGLETRANSLATE(A179, ""en"", ""hi"")"),"178")</f>
        <v>178</v>
      </c>
      <c r="G179" s="5" t="str">
        <f>IFERROR(__xludf.DUMMYFUNCTION("GOOGLETRANSLATE(B179, ""en"", ""hi"")"),"खिलाड़ी X ने पहला सेट 15-12 से जीता और खिलाड़ी Y ने दूसरा सेट 15-14 से जीता। अगर खिलाड़ी X तीसरा सेट 15-13 से जीतता है, तो मैच का स्कोर क्या होगा?")</f>
        <v>खिलाड़ी X ने पहला सेट 15-12 से जीता और खिलाड़ी Y ने दूसरा सेट 15-14 से जीता। अगर खिलाड़ी X तीसरा सेट 15-13 से जीतता है, तो मैच का स्कोर क्या होगा?</v>
      </c>
      <c r="H179" s="5" t="str">
        <f>IFERROR(__xludf.DUMMYFUNCTION("GOOGLETRANSLATE(C179,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79" s="5" t="str">
        <f>IFERROR(__xludf.DUMMYFUNCTION("GOOGLETRANSLATE(D179, ""en"", ""hi"")"),"A) खिलाड़ी X 2-1 से आगे है।")</f>
        <v>A) खिलाड़ी X 2-1 से आगे है।</v>
      </c>
    </row>
    <row r="180" ht="22.5" customHeight="1">
      <c r="A180" s="2">
        <v>179.0</v>
      </c>
      <c r="B180" s="3" t="s">
        <v>7982</v>
      </c>
      <c r="C180" s="3" t="s">
        <v>7959</v>
      </c>
      <c r="D180" s="3" t="s">
        <v>7878</v>
      </c>
      <c r="F180" s="5" t="str">
        <f>IFERROR(__xludf.DUMMYFUNCTION("GOOGLETRANSLATE(A180, ""en"", ""hi"")"),"179")</f>
        <v>179</v>
      </c>
      <c r="G180" s="5" t="str">
        <f>IFERROR(__xludf.DUMMYFUNCTION("GOOGLETRANSLATE(B180, ""en"", ""hi"")"),"एक कंचे खेल में, यदि खिलाड़ी X ने 27 अंक बनाए और खिलाड़ी Y ने 29 अंक बनाए, और खेल को जीतने के लिए 30 अंकों की आवश्यकता है, तो परिणाम क्या होगा?")</f>
        <v>एक कंचे खेल में, यदि खिलाड़ी X ने 27 अंक बनाए और खिलाड़ी Y ने 29 अंक बनाए, और खेल को जीतने के लिए 30 अंकों की आवश्यकता है, तो परिणाम क्या होगा?</v>
      </c>
      <c r="H180" s="5" t="str">
        <f>IFERROR(__xludf.DUMMYFUNCTION("GOOGLETRANSLATE(C180,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80" s="5" t="str">
        <f>IFERROR(__xludf.DUMMYFUNCTION("GOOGLETRANSLATE(D180, ""en"", ""hi"")"),"A) खिलाड़ी Y जीतता है.")</f>
        <v>A) खिलाड़ी Y जीतता है.</v>
      </c>
    </row>
    <row r="181" ht="22.5" customHeight="1">
      <c r="A181" s="2">
        <v>180.0</v>
      </c>
      <c r="B181" s="3" t="s">
        <v>7983</v>
      </c>
      <c r="C181" s="3" t="s">
        <v>7826</v>
      </c>
      <c r="D181" s="3" t="s">
        <v>7827</v>
      </c>
      <c r="F181" s="5" t="str">
        <f>IFERROR(__xludf.DUMMYFUNCTION("GOOGLETRANSLATE(A181, ""en"", ""hi"")"),"180")</f>
        <v>180</v>
      </c>
      <c r="G181" s="5" t="str">
        <f>IFERROR(__xludf.DUMMYFUNCTION("GOOGLETRANSLATE(B181, ""en"", ""hi"")"),"खिलाड़ी A ने पहला सेट 15-10 से जीता और खिलाड़ी B ने दूसरा सेट 15-12 से जीता। अगर खिलाड़ी A तीसरा सेट 15-13 से जीत जाता है, तो मैच का वर्तमान स्कोर क्या होगा?")</f>
        <v>खिलाड़ी A ने पहला सेट 15-10 से जीता और खिलाड़ी B ने दूसरा सेट 15-12 से जीता। अगर खिलाड़ी A तीसरा सेट 15-13 से जीत जाता है, तो मैच का वर्तमान स्कोर क्या होगा?</v>
      </c>
      <c r="H181" s="5" t="str">
        <f>IFERROR(__xludf.DUMMYFUNCTION("GOOGLETRANSLATE(C181,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81" s="5" t="str">
        <f>IFERROR(__xludf.DUMMYFUNCTION("GOOGLETRANSLATE(D181, ""en"", ""hi"")"),"A) खिलाड़ी A 2-1 से आगे है।")</f>
        <v>A) खिलाड़ी A 2-1 से आगे है।</v>
      </c>
    </row>
    <row r="182" ht="22.5" customHeight="1">
      <c r="A182" s="2">
        <v>181.0</v>
      </c>
      <c r="B182" s="3" t="s">
        <v>7984</v>
      </c>
      <c r="C182" s="3" t="s">
        <v>7959</v>
      </c>
      <c r="D182" s="3" t="s">
        <v>7878</v>
      </c>
      <c r="F182" s="5" t="str">
        <f>IFERROR(__xludf.DUMMYFUNCTION("GOOGLETRANSLATE(A182, ""en"", ""hi"")"),"181")</f>
        <v>181</v>
      </c>
      <c r="G182" s="5" t="str">
        <f>IFERROR(__xludf.DUMMYFUNCTION("GOOGLETRANSLATE(B182, ""en"", ""hi"")"),"एक कंचे मैच के दौरान, खिलाड़ी X ने 24 अंक बनाए और खिलाड़ी Y ने 25 अंक बनाए। यदि खेल जीतने के लिए 30 अंकों की आवश्यकता है, तो परिणाम क्या होगा?")</f>
        <v>एक कंचे मैच के दौरान, खिलाड़ी X ने 24 अंक बनाए और खिलाड़ी Y ने 25 अंक बनाए। यदि खेल जीतने के लिए 30 अंकों की आवश्यकता है, तो परिणाम क्या होगा?</v>
      </c>
      <c r="H182" s="5" t="str">
        <f>IFERROR(__xludf.DUMMYFUNCTION("GOOGLETRANSLATE(C182,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82" s="5" t="str">
        <f>IFERROR(__xludf.DUMMYFUNCTION("GOOGLETRANSLATE(D182, ""en"", ""hi"")"),"A) खिलाड़ी Y जीतता है.")</f>
        <v>A) खिलाड़ी Y जीतता है.</v>
      </c>
    </row>
    <row r="183" ht="22.5" customHeight="1">
      <c r="A183" s="2">
        <v>182.0</v>
      </c>
      <c r="B183" s="3" t="s">
        <v>7985</v>
      </c>
      <c r="C183" s="3" t="s">
        <v>7846</v>
      </c>
      <c r="D183" s="3" t="s">
        <v>7847</v>
      </c>
      <c r="F183" s="5" t="str">
        <f>IFERROR(__xludf.DUMMYFUNCTION("GOOGLETRANSLATE(A183, ""en"", ""hi"")"),"182")</f>
        <v>182</v>
      </c>
      <c r="G183" s="5" t="str">
        <f>IFERROR(__xludf.DUMMYFUNCTION("GOOGLETRANSLATE(B183, ""en"", ""hi"")"),"खिलाड़ी X ने पहला सेट 15-14 से जीता और खिलाड़ी Y ने दूसरा सेट 15-12 से जीता। अगर खिलाड़ी X तीसरा सेट 15-13 से जीतता है, तो मैच का स्कोर क्या होगा?")</f>
        <v>खिलाड़ी X ने पहला सेट 15-14 से जीता और खिलाड़ी Y ने दूसरा सेट 15-12 से जीता। अगर खिलाड़ी X तीसरा सेट 15-13 से जीतता है, तो मैच का स्कोर क्या होगा?</v>
      </c>
      <c r="H183" s="5" t="str">
        <f>IFERROR(__xludf.DUMMYFUNCTION("GOOGLETRANSLATE(C183,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83" s="5" t="str">
        <f>IFERROR(__xludf.DUMMYFUNCTION("GOOGLETRANSLATE(D183, ""en"", ""hi"")"),"A) खिलाड़ी X 2-1 से आगे है।")</f>
        <v>A) खिलाड़ी X 2-1 से आगे है।</v>
      </c>
    </row>
    <row r="184" ht="22.5" customHeight="1">
      <c r="A184" s="2">
        <v>183.0</v>
      </c>
      <c r="B184" s="3" t="s">
        <v>7986</v>
      </c>
      <c r="C184" s="3" t="s">
        <v>7959</v>
      </c>
      <c r="D184" s="3" t="s">
        <v>7878</v>
      </c>
      <c r="F184" s="5" t="str">
        <f>IFERROR(__xludf.DUMMYFUNCTION("GOOGLETRANSLATE(A184, ""en"", ""hi"")"),"183")</f>
        <v>183</v>
      </c>
      <c r="G184" s="5" t="str">
        <f>IFERROR(__xludf.DUMMYFUNCTION("GOOGLETRANSLATE(B184, ""en"", ""hi"")"),"एक कंचे खेल में, यदि खिलाड़ी X ने 28 अंक बनाए और खिलाड़ी Y ने 29 अंक बनाए, और खेल को जीतने के लिए 30 अंकों की आवश्यकता है, तो परिणाम क्या होगा?")</f>
        <v>एक कंचे खेल में, यदि खिलाड़ी X ने 28 अंक बनाए और खिलाड़ी Y ने 29 अंक बनाए, और खेल को जीतने के लिए 30 अंकों की आवश्यकता है, तो परिणाम क्या होगा?</v>
      </c>
      <c r="H184" s="5" t="str">
        <f>IFERROR(__xludf.DUMMYFUNCTION("GOOGLETRANSLATE(C184,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84" s="5" t="str">
        <f>IFERROR(__xludf.DUMMYFUNCTION("GOOGLETRANSLATE(D184, ""en"", ""hi"")"),"A) खिलाड़ी Y जीतता है.")</f>
        <v>A) खिलाड़ी Y जीतता है.</v>
      </c>
    </row>
    <row r="185" ht="22.5" customHeight="1">
      <c r="A185" s="2">
        <v>184.0</v>
      </c>
      <c r="B185" s="3" t="s">
        <v>7987</v>
      </c>
      <c r="C185" s="3" t="s">
        <v>7826</v>
      </c>
      <c r="D185" s="3" t="s">
        <v>7827</v>
      </c>
      <c r="F185" s="5" t="str">
        <f>IFERROR(__xludf.DUMMYFUNCTION("GOOGLETRANSLATE(A185, ""en"", ""hi"")"),"184")</f>
        <v>184</v>
      </c>
      <c r="G185" s="5" t="str">
        <f>IFERROR(__xludf.DUMMYFUNCTION("GOOGLETRANSLATE(B185, ""en"", ""hi"")"),"खिलाड़ी A ने पहला सेट 15-11 से जीता और खिलाड़ी B ने दूसरा सेट 15-14 से जीता। अगर खिलाड़ी A तीसरा सेट 15-12 से जीत जाता है, तो मैच का वर्तमान स्कोर क्या होगा?")</f>
        <v>खिलाड़ी A ने पहला सेट 15-11 से जीता और खिलाड़ी B ने दूसरा सेट 15-14 से जीता। अगर खिलाड़ी A तीसरा सेट 15-12 से जीत जाता है, तो मैच का वर्तमान स्कोर क्या होगा?</v>
      </c>
      <c r="H185" s="5" t="str">
        <f>IFERROR(__xludf.DUMMYFUNCTION("GOOGLETRANSLATE(C185,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85" s="5" t="str">
        <f>IFERROR(__xludf.DUMMYFUNCTION("GOOGLETRANSLATE(D185, ""en"", ""hi"")"),"A) खिलाड़ी A 2-1 से आगे है।")</f>
        <v>A) खिलाड़ी A 2-1 से आगे है।</v>
      </c>
    </row>
    <row r="186" ht="22.5" customHeight="1">
      <c r="A186" s="2">
        <v>185.0</v>
      </c>
      <c r="B186" s="3" t="s">
        <v>7988</v>
      </c>
      <c r="C186" s="3" t="s">
        <v>7989</v>
      </c>
      <c r="D186" s="3" t="s">
        <v>7878</v>
      </c>
      <c r="F186" s="5" t="str">
        <f>IFERROR(__xludf.DUMMYFUNCTION("GOOGLETRANSLATE(A186, ""en"", ""hi"")"),"185")</f>
        <v>185</v>
      </c>
      <c r="G186" s="5" t="str">
        <f>IFERROR(__xludf.DUMMYFUNCTION("GOOGLETRANSLATE(B186, ""en"", ""hi"")"),"एक कंचे मैच के दौरान, खिलाड़ी X ने 30 अंक बनाए और खिलाड़ी Y ने 31 अंक बनाए। यदि खेल जीतने के लिए 35 अंक चाहिए, तो परिणाम क्या होगा?")</f>
        <v>एक कंचे मैच के दौरान, खिलाड़ी X ने 30 अंक बनाए और खिलाड़ी Y ने 31 अंक बनाए। यदि खेल जीतने के लिए 35 अंक चाहिए, तो परिणाम क्या होगा?</v>
      </c>
      <c r="H186" s="5" t="str">
        <f>IFERROR(__xludf.DUMMYFUNCTION("GOOGLETRANSLATE(C186,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186" s="5" t="str">
        <f>IFERROR(__xludf.DUMMYFUNCTION("GOOGLETRANSLATE(D186, ""en"", ""hi"")"),"A) खिलाड़ी Y जीतता है.")</f>
        <v>A) खिलाड़ी Y जीतता है.</v>
      </c>
    </row>
    <row r="187" ht="22.5" customHeight="1">
      <c r="A187" s="2">
        <v>186.0</v>
      </c>
      <c r="B187" s="3" t="s">
        <v>7918</v>
      </c>
      <c r="C187" s="3" t="s">
        <v>7846</v>
      </c>
      <c r="D187" s="3" t="s">
        <v>7847</v>
      </c>
      <c r="F187" s="5" t="str">
        <f>IFERROR(__xludf.DUMMYFUNCTION("GOOGLETRANSLATE(A187, ""en"", ""hi"")"),"186")</f>
        <v>186</v>
      </c>
      <c r="G187" s="5" t="str">
        <f>IFERROR(__xludf.DUMMYFUNCTION("GOOGLETRANSLATE(B187, ""en"", ""hi"")"),"खिलाड़ी X ने पहला सेट 15-12 से जीता और खिलाड़ी Y ने दूसरा सेट 15-14 से जीता। अगर खिलाड़ी X तीसरा सेट 15-13 से जीतता है, तो मैच का स्कोर क्या होगा?")</f>
        <v>खिलाड़ी X ने पहला सेट 15-12 से जीता और खिलाड़ी Y ने दूसरा सेट 15-14 से जीता। अगर खिलाड़ी X तीसरा सेट 15-13 से जीतता है, तो मैच का स्कोर क्या होगा?</v>
      </c>
      <c r="H187" s="5" t="str">
        <f>IFERROR(__xludf.DUMMYFUNCTION("GOOGLETRANSLATE(C187,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87" s="5" t="str">
        <f>IFERROR(__xludf.DUMMYFUNCTION("GOOGLETRANSLATE(D187, ""en"", ""hi"")"),"A) खिलाड़ी X 2-1 से आगे है।")</f>
        <v>A) खिलाड़ी X 2-1 से आगे है।</v>
      </c>
    </row>
    <row r="188" ht="22.5" customHeight="1">
      <c r="A188" s="2">
        <v>187.0</v>
      </c>
      <c r="B188" s="3" t="s">
        <v>7990</v>
      </c>
      <c r="C188" s="3" t="s">
        <v>7959</v>
      </c>
      <c r="D188" s="3" t="s">
        <v>7878</v>
      </c>
      <c r="F188" s="5" t="str">
        <f>IFERROR(__xludf.DUMMYFUNCTION("GOOGLETRANSLATE(A188, ""en"", ""hi"")"),"187")</f>
        <v>187</v>
      </c>
      <c r="G188" s="5" t="str">
        <f>IFERROR(__xludf.DUMMYFUNCTION("GOOGLETRANSLATE(B188, ""en"", ""hi"")"),"एक कंचे खेल में, यदि खिलाड़ी X ने 23 अंक बनाए और खिलाड़ी Y ने 25 अंक बनाए, और खेल को जीतने के लिए 30 अंकों की आवश्यकता है, तो परिणाम क्या होगा?")</f>
        <v>एक कंचे खेल में, यदि खिलाड़ी X ने 23 अंक बनाए और खिलाड़ी Y ने 25 अंक बनाए, और खेल को जीतने के लिए 30 अंकों की आवश्यकता है, तो परिणाम क्या होगा?</v>
      </c>
      <c r="H188" s="5" t="str">
        <f>IFERROR(__xludf.DUMMYFUNCTION("GOOGLETRANSLATE(C188,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88" s="5" t="str">
        <f>IFERROR(__xludf.DUMMYFUNCTION("GOOGLETRANSLATE(D188, ""en"", ""hi"")"),"A) खिलाड़ी Y जीतता है.")</f>
        <v>A) खिलाड़ी Y जीतता है.</v>
      </c>
    </row>
    <row r="189" ht="22.5" customHeight="1">
      <c r="A189" s="2">
        <v>188.0</v>
      </c>
      <c r="B189" s="3" t="s">
        <v>7991</v>
      </c>
      <c r="C189" s="3" t="s">
        <v>7846</v>
      </c>
      <c r="D189" s="3" t="s">
        <v>7847</v>
      </c>
      <c r="F189" s="5" t="str">
        <f>IFERROR(__xludf.DUMMYFUNCTION("GOOGLETRANSLATE(A189, ""en"", ""hi"")"),"188")</f>
        <v>188</v>
      </c>
      <c r="G189" s="5" t="str">
        <f>IFERROR(__xludf.DUMMYFUNCTION("GOOGLETRANSLATE(B189, ""en"", ""hi"")"),"खिलाड़ी X ने पहला सेट 15-10 से और खिलाड़ी Y ने दूसरा सेट 15-14 से जीता। अगर खिलाड़ी X तीसरा सेट 15-11 से जीत जाता है, तो मैच का वर्तमान स्कोर क्या है?")</f>
        <v>खिलाड़ी X ने पहला सेट 15-10 से और खिलाड़ी Y ने दूसरा सेट 15-14 से जीता। अगर खिलाड़ी X तीसरा सेट 15-11 से जीत जाता है, तो मैच का वर्तमान स्कोर क्या है?</v>
      </c>
      <c r="H189" s="5" t="str">
        <f>IFERROR(__xludf.DUMMYFUNCTION("GOOGLETRANSLATE(C189,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89" s="5" t="str">
        <f>IFERROR(__xludf.DUMMYFUNCTION("GOOGLETRANSLATE(D189, ""en"", ""hi"")"),"A) खिलाड़ी X 2-1 से आगे है।")</f>
        <v>A) खिलाड़ी X 2-1 से आगे है।</v>
      </c>
    </row>
    <row r="190" ht="22.5" customHeight="1">
      <c r="A190" s="2">
        <v>189.0</v>
      </c>
      <c r="B190" s="3" t="s">
        <v>7988</v>
      </c>
      <c r="C190" s="3" t="s">
        <v>7989</v>
      </c>
      <c r="D190" s="3" t="s">
        <v>7878</v>
      </c>
      <c r="F190" s="5" t="str">
        <f>IFERROR(__xludf.DUMMYFUNCTION("GOOGLETRANSLATE(A190, ""en"", ""hi"")"),"189")</f>
        <v>189</v>
      </c>
      <c r="G190" s="5" t="str">
        <f>IFERROR(__xludf.DUMMYFUNCTION("GOOGLETRANSLATE(B190, ""en"", ""hi"")"),"एक कंचे मैच के दौरान, खिलाड़ी X ने 30 अंक बनाए और खिलाड़ी Y ने 31 अंक बनाए। यदि खेल जीतने के लिए 35 अंक चाहिए, तो परिणाम क्या होगा?")</f>
        <v>एक कंचे मैच के दौरान, खिलाड़ी X ने 30 अंक बनाए और खिलाड़ी Y ने 31 अंक बनाए। यदि खेल जीतने के लिए 35 अंक चाहिए, तो परिणाम क्या होगा?</v>
      </c>
      <c r="H190" s="5" t="str">
        <f>IFERROR(__xludf.DUMMYFUNCTION("GOOGLETRANSLATE(C190,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190" s="5" t="str">
        <f>IFERROR(__xludf.DUMMYFUNCTION("GOOGLETRANSLATE(D190, ""en"", ""hi"")"),"A) खिलाड़ी Y जीतता है.")</f>
        <v>A) खिलाड़ी Y जीतता है.</v>
      </c>
    </row>
    <row r="191" ht="22.5" customHeight="1">
      <c r="A191" s="2">
        <v>190.0</v>
      </c>
      <c r="B191" s="3" t="s">
        <v>7992</v>
      </c>
      <c r="C191" s="3" t="s">
        <v>7826</v>
      </c>
      <c r="D191" s="3" t="s">
        <v>7827</v>
      </c>
      <c r="F191" s="5" t="str">
        <f>IFERROR(__xludf.DUMMYFUNCTION("GOOGLETRANSLATE(A191, ""en"", ""hi"")"),"190")</f>
        <v>190</v>
      </c>
      <c r="G191" s="5" t="str">
        <f>IFERROR(__xludf.DUMMYFUNCTION("GOOGLETRANSLATE(B191, ""en"", ""hi"")"),"खिलाड़ी A ने पहला सेट 15-13 से जीता और खिलाड़ी B ने दूसरा सेट 15-12 से जीता। अगर खिलाड़ी A तीसरा सेट 15-14 से जीत जाता है, तो मैच का स्कोर क्या होगा?")</f>
        <v>खिलाड़ी A ने पहला सेट 15-13 से जीता और खिलाड़ी B ने दूसरा सेट 15-12 से जीता। अगर खिलाड़ी A तीसरा सेट 15-14 से जीत जाता है, तो मैच का स्कोर क्या होगा?</v>
      </c>
      <c r="H191" s="5" t="str">
        <f>IFERROR(__xludf.DUMMYFUNCTION("GOOGLETRANSLATE(C191,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91" s="5" t="str">
        <f>IFERROR(__xludf.DUMMYFUNCTION("GOOGLETRANSLATE(D191, ""en"", ""hi"")"),"A) खिलाड़ी A 2-1 से आगे है।")</f>
        <v>A) खिलाड़ी A 2-1 से आगे है।</v>
      </c>
    </row>
    <row r="192" ht="22.5" customHeight="1">
      <c r="A192" s="2">
        <v>191.0</v>
      </c>
      <c r="B192" s="3" t="s">
        <v>7993</v>
      </c>
      <c r="C192" s="3" t="s">
        <v>7940</v>
      </c>
      <c r="D192" s="3" t="s">
        <v>7878</v>
      </c>
      <c r="F192" s="5" t="str">
        <f>IFERROR(__xludf.DUMMYFUNCTION("GOOGLETRANSLATE(A192, ""en"", ""hi"")"),"191")</f>
        <v>191</v>
      </c>
      <c r="G192" s="5" t="str">
        <f>IFERROR(__xludf.DUMMYFUNCTION("GOOGLETRANSLATE(B192, ""en"", ""hi"")"),"एक कंचे खेल में, यदि खिलाड़ी X ने 20 अंक बनाए और खिलाड़ी Y ने 22 अंक बनाए, और खेल को जीतने के लिए 25 अंकों की आवश्यकता है, तो परिणाम क्या होगा?")</f>
        <v>एक कंचे खेल में, यदि खिलाड़ी X ने 20 अंक बनाए और खिलाड़ी Y ने 22 अंक बनाए, और खेल को जीतने के लिए 25 अंकों की आवश्यकता है, तो परिणाम क्या होगा?</v>
      </c>
      <c r="H192" s="5" t="str">
        <f>IFERROR(__xludf.DUMMYFUNCTION("GOOGLETRANSLATE(C192,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192" s="5" t="str">
        <f>IFERROR(__xludf.DUMMYFUNCTION("GOOGLETRANSLATE(D192, ""en"", ""hi"")"),"A) खिलाड़ी Y जीतता है.")</f>
        <v>A) खिलाड़ी Y जीतता है.</v>
      </c>
    </row>
    <row r="193" ht="22.5" customHeight="1">
      <c r="A193" s="2">
        <v>192.0</v>
      </c>
      <c r="B193" s="3" t="s">
        <v>7994</v>
      </c>
      <c r="C193" s="3" t="s">
        <v>7846</v>
      </c>
      <c r="D193" s="3" t="s">
        <v>7847</v>
      </c>
      <c r="F193" s="5" t="str">
        <f>IFERROR(__xludf.DUMMYFUNCTION("GOOGLETRANSLATE(A193, ""en"", ""hi"")"),"192")</f>
        <v>192</v>
      </c>
      <c r="G193" s="5" t="str">
        <f>IFERROR(__xludf.DUMMYFUNCTION("GOOGLETRANSLATE(B193, ""en"", ""hi"")"),"खिलाड़ी X ने पहला सेट 15-14 से और खिलाड़ी Y ने दूसरा सेट 15-13 से जीता। अगर खिलाड़ी X तीसरा सेट 15-11 से जीत जाता है, तो मैच का वर्तमान स्कोर क्या है?")</f>
        <v>खिलाड़ी X ने पहला सेट 15-14 से और खिलाड़ी Y ने दूसरा सेट 15-13 से जीता। अगर खिलाड़ी X तीसरा सेट 15-11 से जीत जाता है, तो मैच का वर्तमान स्कोर क्या है?</v>
      </c>
      <c r="H193" s="5" t="str">
        <f>IFERROR(__xludf.DUMMYFUNCTION("GOOGLETRANSLATE(C193,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93" s="5" t="str">
        <f>IFERROR(__xludf.DUMMYFUNCTION("GOOGLETRANSLATE(D193, ""en"", ""hi"")"),"A) खिलाड़ी X 2-1 से आगे है।")</f>
        <v>A) खिलाड़ी X 2-1 से आगे है।</v>
      </c>
    </row>
    <row r="194" ht="22.5" customHeight="1">
      <c r="A194" s="2">
        <v>193.0</v>
      </c>
      <c r="B194" s="3" t="s">
        <v>7995</v>
      </c>
      <c r="C194" s="3" t="s">
        <v>7959</v>
      </c>
      <c r="D194" s="3" t="s">
        <v>7878</v>
      </c>
      <c r="F194" s="5" t="str">
        <f>IFERROR(__xludf.DUMMYFUNCTION("GOOGLETRANSLATE(A194, ""en"", ""hi"")"),"193")</f>
        <v>193</v>
      </c>
      <c r="G194" s="5" t="str">
        <f>IFERROR(__xludf.DUMMYFUNCTION("GOOGLETRANSLATE(B194, ""en"", ""hi"")"),"एक कंचे मैच के दौरान, खिलाड़ी X ने 25 अंक और खिलाड़ी Y ने 27 अंक बनाए। यदि खेल जीतने के लिए 30 अंकों की आवश्यकता है, तो परिणाम क्या होगा?")</f>
        <v>एक कंचे मैच के दौरान, खिलाड़ी X ने 25 अंक और खिलाड़ी Y ने 27 अंक बनाए। यदि खेल जीतने के लिए 30 अंकों की आवश्यकता है, तो परिणाम क्या होगा?</v>
      </c>
      <c r="H194" s="5" t="str">
        <f>IFERROR(__xludf.DUMMYFUNCTION("GOOGLETRANSLATE(C194,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94" s="5" t="str">
        <f>IFERROR(__xludf.DUMMYFUNCTION("GOOGLETRANSLATE(D194, ""en"", ""hi"")"),"A) खिलाड़ी Y जीतता है.")</f>
        <v>A) खिलाड़ी Y जीतता है.</v>
      </c>
    </row>
    <row r="195" ht="22.5" customHeight="1">
      <c r="A195" s="2">
        <v>194.0</v>
      </c>
      <c r="B195" s="3" t="s">
        <v>7996</v>
      </c>
      <c r="C195" s="3" t="s">
        <v>7826</v>
      </c>
      <c r="D195" s="3" t="s">
        <v>7827</v>
      </c>
      <c r="F195" s="5" t="str">
        <f>IFERROR(__xludf.DUMMYFUNCTION("GOOGLETRANSLATE(A195, ""en"", ""hi"")"),"194")</f>
        <v>194</v>
      </c>
      <c r="G195" s="5" t="str">
        <f>IFERROR(__xludf.DUMMYFUNCTION("GOOGLETRANSLATE(B195, ""en"", ""hi"")"),"खिलाड़ी A ने पहला सेट 15-12 से जीता और खिलाड़ी B ने दूसरा सेट 15-13 से जीता। अगर खिलाड़ी A तीसरा सेट 15-10 से जीत जाता है, तो मैच का स्कोर क्या होगा?")</f>
        <v>खिलाड़ी A ने पहला सेट 15-12 से जीता और खिलाड़ी B ने दूसरा सेट 15-13 से जीता। अगर खिलाड़ी A तीसरा सेट 15-10 से जीत जाता है, तो मैच का स्कोर क्या होगा?</v>
      </c>
      <c r="H195" s="5" t="str">
        <f>IFERROR(__xludf.DUMMYFUNCTION("GOOGLETRANSLATE(C195,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95" s="5" t="str">
        <f>IFERROR(__xludf.DUMMYFUNCTION("GOOGLETRANSLATE(D195, ""en"", ""hi"")"),"A) खिलाड़ी A 2-1 से आगे है।")</f>
        <v>A) खिलाड़ी A 2-1 से आगे है।</v>
      </c>
    </row>
    <row r="196" ht="22.5" customHeight="1">
      <c r="A196" s="2">
        <v>195.0</v>
      </c>
      <c r="B196" s="3" t="s">
        <v>7997</v>
      </c>
      <c r="C196" s="3" t="s">
        <v>7959</v>
      </c>
      <c r="D196" s="3" t="s">
        <v>7878</v>
      </c>
      <c r="F196" s="5" t="str">
        <f>IFERROR(__xludf.DUMMYFUNCTION("GOOGLETRANSLATE(A196, ""en"", ""hi"")"),"195")</f>
        <v>195</v>
      </c>
      <c r="G196" s="5" t="str">
        <f>IFERROR(__xludf.DUMMYFUNCTION("GOOGLETRANSLATE(B196, ""en"", ""hi"")"),"एक कंचे खेल में, यदि खिलाड़ी X ने 26 अंक बनाए और खिलाड़ी Y ने 29 अंक बनाए, और खेल को जीतने के लिए 30 अंकों की आवश्यकता है, तो परिणाम क्या होगा?")</f>
        <v>एक कंचे खेल में, यदि खिलाड़ी X ने 26 अंक बनाए और खिलाड़ी Y ने 29 अंक बनाए, और खेल को जीतने के लिए 30 अंकों की आवश्यकता है, तो परिणाम क्या होगा?</v>
      </c>
      <c r="H196" s="5" t="str">
        <f>IFERROR(__xludf.DUMMYFUNCTION("GOOGLETRANSLATE(C196,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196" s="5" t="str">
        <f>IFERROR(__xludf.DUMMYFUNCTION("GOOGLETRANSLATE(D196, ""en"", ""hi"")"),"A) खिलाड़ी Y जीतता है.")</f>
        <v>A) खिलाड़ी Y जीतता है.</v>
      </c>
    </row>
    <row r="197" ht="22.5" customHeight="1">
      <c r="A197" s="2">
        <v>196.0</v>
      </c>
      <c r="B197" s="3" t="s">
        <v>7998</v>
      </c>
      <c r="C197" s="3" t="s">
        <v>7846</v>
      </c>
      <c r="D197" s="3" t="s">
        <v>7847</v>
      </c>
      <c r="F197" s="5" t="str">
        <f>IFERROR(__xludf.DUMMYFUNCTION("GOOGLETRANSLATE(A197, ""en"", ""hi"")"),"196")</f>
        <v>196</v>
      </c>
      <c r="G197" s="5" t="str">
        <f>IFERROR(__xludf.DUMMYFUNCTION("GOOGLETRANSLATE(B197, ""en"", ""hi"")"),"खिलाड़ी X ने पहला सेट 15-11 से जीता और खिलाड़ी Y ने दूसरा सेट 15-10 से जीता। अगर खिलाड़ी X तीसरा सेट 15-14 से जीत जाता है, तो मैच का वर्तमान स्कोर क्या है?")</f>
        <v>खिलाड़ी X ने पहला सेट 15-11 से जीता और खिलाड़ी Y ने दूसरा सेट 15-10 से जीता। अगर खिलाड़ी X तीसरा सेट 15-14 से जीत जाता है, तो मैच का वर्तमान स्कोर क्या है?</v>
      </c>
      <c r="H197" s="5" t="str">
        <f>IFERROR(__xludf.DUMMYFUNCTION("GOOGLETRANSLATE(C197,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197" s="5" t="str">
        <f>IFERROR(__xludf.DUMMYFUNCTION("GOOGLETRANSLATE(D197, ""en"", ""hi"")"),"A) खिलाड़ी X 2-1 से आगे है।")</f>
        <v>A) खिलाड़ी X 2-1 से आगे है।</v>
      </c>
    </row>
    <row r="198" ht="22.5" customHeight="1">
      <c r="A198" s="2">
        <v>197.0</v>
      </c>
      <c r="B198" s="3" t="s">
        <v>7968</v>
      </c>
      <c r="C198" s="3" t="s">
        <v>7865</v>
      </c>
      <c r="D198" s="3" t="s">
        <v>7711</v>
      </c>
      <c r="F198" s="5" t="str">
        <f>IFERROR(__xludf.DUMMYFUNCTION("GOOGLETRANSLATE(A198, ""en"", ""hi"")"),"197")</f>
        <v>197</v>
      </c>
      <c r="G198" s="5" t="str">
        <f>IFERROR(__xludf.DUMMYFUNCTION("GOOGLETRANSLATE(B198, ""en"", ""hi"")"),"एक कंचे मैच के दौरान, खिलाड़ी X ने 22 अंक बनाए और खिलाड़ी Y ने 20 अंक बनाए। यदि खेल जीतने के लिए 25 अंक चाहिए, तो परिणाम क्या होगा?")</f>
        <v>एक कंचे मैच के दौरान, खिलाड़ी X ने 22 अंक बनाए और खिलाड़ी Y ने 20 अंक बनाए। यदि खेल जीतने के लिए 25 अंक चाहिए, तो परिणाम क्या होगा?</v>
      </c>
      <c r="H198" s="5" t="str">
        <f>IFERROR(__xludf.DUMMYFUNCTION("GOOGLETRANSLATE(C198, ""en"", ""hi"")"),"A) खिलाड़ी X जीतता है। , B) खिलाड़ी Y जीतता है। , C) खेल बराबरी पर रहता है। , D) खेल तब तक जारी रहता है जब तक कि एक खिलाड़ी 30 अंक नहीं बना लेता।")</f>
        <v>A) खिलाड़ी X जीतता है। , B) खिलाड़ी Y जीतता है। , C) खेल बराबरी पर रहता है। , D) खेल तब तक जारी रहता है जब तक कि एक खिलाड़ी 30 अंक नहीं बना लेता।</v>
      </c>
      <c r="I198" s="5" t="str">
        <f>IFERROR(__xludf.DUMMYFUNCTION("GOOGLETRANSLATE(D198, ""en"", ""hi"")"),"A) खिलाड़ी X जीतता है.")</f>
        <v>A) खिलाड़ी X जीतता है.</v>
      </c>
    </row>
    <row r="199" ht="22.5" customHeight="1">
      <c r="A199" s="2">
        <v>198.0</v>
      </c>
      <c r="B199" s="3" t="s">
        <v>7967</v>
      </c>
      <c r="C199" s="3" t="s">
        <v>7826</v>
      </c>
      <c r="D199" s="3" t="s">
        <v>7827</v>
      </c>
      <c r="F199" s="5" t="str">
        <f>IFERROR(__xludf.DUMMYFUNCTION("GOOGLETRANSLATE(A199, ""en"", ""hi"")"),"198")</f>
        <v>198</v>
      </c>
      <c r="G199" s="5" t="str">
        <f>IFERROR(__xludf.DUMMYFUNCTION("GOOGLETRANSLATE(B199, ""en"", ""hi"")"),"खिलाड़ी A ने पहला सेट 15-12 से जीता और खिलाड़ी B ने दूसरा सेट 15-14 से जीता। अगर खिलाड़ी A तीसरा सेट 15-13 से जीत जाता है, तो मैच का स्कोर क्या होगा?")</f>
        <v>खिलाड़ी A ने पहला सेट 15-12 से जीता और खिलाड़ी B ने दूसरा सेट 15-14 से जीता। अगर खिलाड़ी A तीसरा सेट 15-13 से जीत जाता है, तो मैच का स्कोर क्या होगा?</v>
      </c>
      <c r="H199" s="5" t="str">
        <f>IFERROR(__xludf.DUMMYFUNCTION("GOOGLETRANSLATE(C199, ""en"", ""hi"")"),"A) खिलाड़ी A 2-1 से आगे है। , B) खिलाड़ी B 2-1 से आगे है। , C) मैच 1-1 से बराबर है। , D) खिलाड़ी A 1-0 से आगे है।")</f>
        <v>A) खिलाड़ी A 2-1 से आगे है। , B) खिलाड़ी B 2-1 से आगे है। , C) मैच 1-1 से बराबर है। , D) खिलाड़ी A 1-0 से आगे है।</v>
      </c>
      <c r="I199" s="5" t="str">
        <f>IFERROR(__xludf.DUMMYFUNCTION("GOOGLETRANSLATE(D199, ""en"", ""hi"")"),"A) खिलाड़ी A 2-1 से आगे है।")</f>
        <v>A) खिलाड़ी A 2-1 से आगे है।</v>
      </c>
    </row>
    <row r="200" ht="22.5" customHeight="1">
      <c r="A200" s="2">
        <v>199.0</v>
      </c>
      <c r="B200" s="3" t="s">
        <v>7999</v>
      </c>
      <c r="C200" s="3" t="s">
        <v>7989</v>
      </c>
      <c r="D200" s="3" t="s">
        <v>7878</v>
      </c>
      <c r="F200" s="5" t="str">
        <f>IFERROR(__xludf.DUMMYFUNCTION("GOOGLETRANSLATE(A200, ""en"", ""hi"")"),"199")</f>
        <v>199</v>
      </c>
      <c r="G200" s="5" t="str">
        <f>IFERROR(__xludf.DUMMYFUNCTION("GOOGLETRANSLATE(B200, ""en"", ""hi"")"),"एक कंचे खेल में, यदि खिलाड़ी X ने 28 अंक बनाए और खिलाड़ी Y ने 30 अंक बनाए, और खेल को जीतने के लिए 35 अंकों की आवश्यकता है, तो परिणाम क्या होगा?")</f>
        <v>एक कंचे खेल में, यदि खिलाड़ी X ने 28 अंक बनाए और खिलाड़ी Y ने 30 अंक बनाए, और खेल को जीतने के लिए 35 अंकों की आवश्यकता है, तो परिणाम क्या होगा?</v>
      </c>
      <c r="H200" s="5" t="str">
        <f>IFERROR(__xludf.DUMMYFUNCTION("GOOGLETRANSLATE(C200,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00" s="5" t="str">
        <f>IFERROR(__xludf.DUMMYFUNCTION("GOOGLETRANSLATE(D200, ""en"", ""hi"")"),"A) खिलाड़ी Y जीतता है.")</f>
        <v>A) खिलाड़ी Y जीतता है.</v>
      </c>
    </row>
    <row r="201" ht="22.5" customHeight="1">
      <c r="A201" s="2">
        <v>200.0</v>
      </c>
      <c r="B201" s="3" t="s">
        <v>8000</v>
      </c>
      <c r="C201" s="3" t="s">
        <v>7846</v>
      </c>
      <c r="D201" s="3" t="s">
        <v>7847</v>
      </c>
      <c r="F201" s="5" t="str">
        <f>IFERROR(__xludf.DUMMYFUNCTION("GOOGLETRANSLATE(A201, ""en"", ""hi"")"),"200")</f>
        <v>200</v>
      </c>
      <c r="G201" s="5" t="str">
        <f>IFERROR(__xludf.DUMMYFUNCTION("GOOGLETRANSLATE(B201, ""en"", ""hi"")"),"खिलाड़ी X ने पहला सेट 15-14 से और खिलाड़ी Y ने दूसरा सेट 15-12 से जीता। अगर खिलाड़ी X तीसरा सेट 15-10 से जीत जाता है, तो मैच का वर्तमान स्कोर क्या है?")</f>
        <v>खिलाड़ी X ने पहला सेट 15-14 से और खिलाड़ी Y ने दूसरा सेट 15-12 से जीता। अगर खिलाड़ी X तीसरा सेट 15-10 से जीत जाता है, तो मैच का वर्तमान स्कोर क्या है?</v>
      </c>
      <c r="H201" s="5" t="str">
        <f>IFERROR(__xludf.DUMMYFUNCTION("GOOGLETRANSLATE(C201,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01" s="5" t="str">
        <f>IFERROR(__xludf.DUMMYFUNCTION("GOOGLETRANSLATE(D201, ""en"", ""hi"")"),"A) खिलाड़ी X 2-1 से आगे है।")</f>
        <v>A) खिलाड़ी X 2-1 से आगे है।</v>
      </c>
    </row>
    <row r="202" ht="22.5" customHeight="1">
      <c r="A202" s="2">
        <v>201.0</v>
      </c>
      <c r="B202" s="3" t="s">
        <v>8001</v>
      </c>
      <c r="C202" s="3" t="s">
        <v>7971</v>
      </c>
      <c r="D202" s="3" t="s">
        <v>7711</v>
      </c>
      <c r="F202" s="5" t="str">
        <f>IFERROR(__xludf.DUMMYFUNCTION("GOOGLETRANSLATE(A202, ""en"", ""hi"")"),"201")</f>
        <v>201</v>
      </c>
      <c r="G202" s="5" t="str">
        <f>IFERROR(__xludf.DUMMYFUNCTION("GOOGLETRANSLATE(B202, ""en"", ""hi"")"),"एक कंचे मैच के दौरान, खिलाड़ी X ने 31 अंक बनाए और खिलाड़ी Y ने 29 अंक बनाए। यदि खेल जीतने के लिए 35 अंक चाहिए, तो परिणाम क्या होगा?")</f>
        <v>एक कंचे मैच के दौरान, खिलाड़ी X ने 31 अंक बनाए और खिलाड़ी Y ने 29 अंक बनाए। यदि खेल जीतने के लिए 35 अंक चाहिए, तो परिणाम क्या होगा?</v>
      </c>
      <c r="H202" s="5" t="str">
        <f>IFERROR(__xludf.DUMMYFUNCTION("GOOGLETRANSLATE(C202,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202" s="5" t="str">
        <f>IFERROR(__xludf.DUMMYFUNCTION("GOOGLETRANSLATE(D202, ""en"", ""hi"")"),"A) खिलाड़ी X जीतता है.")</f>
        <v>A) खिलाड़ी X जीतता है.</v>
      </c>
    </row>
    <row r="203" ht="22.5" customHeight="1">
      <c r="A203" s="2">
        <v>202.0</v>
      </c>
      <c r="B203" s="3" t="s">
        <v>8002</v>
      </c>
      <c r="C203" s="3" t="s">
        <v>7826</v>
      </c>
      <c r="D203" s="3" t="s">
        <v>7827</v>
      </c>
      <c r="F203" s="5" t="str">
        <f>IFERROR(__xludf.DUMMYFUNCTION("GOOGLETRANSLATE(A203, ""en"", ""hi"")"),"202")</f>
        <v>202</v>
      </c>
      <c r="G203" s="5" t="str">
        <f>IFERROR(__xludf.DUMMYFUNCTION("GOOGLETRANSLATE(B203, ""en"", ""hi"")"),"खिलाड़ी A ने पहला सेट 15-13 से जीता और खिलाड़ी B ने दूसरा सेट 15-14 से जीता। अगर खिलाड़ी A तीसरा सेट 15-12 से जीत जाता है, तो मैच का स्कोर क्या होगा?")</f>
        <v>खिलाड़ी A ने पहला सेट 15-13 से जीता और खिलाड़ी B ने दूसरा सेट 15-14 से जीता। अगर खिलाड़ी A तीसरा सेट 15-12 से जीत जाता है, तो मैच का स्कोर क्या होगा?</v>
      </c>
      <c r="H203" s="5" t="str">
        <f>IFERROR(__xludf.DUMMYFUNCTION("GOOGLETRANSLATE(C203,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03" s="5" t="str">
        <f>IFERROR(__xludf.DUMMYFUNCTION("GOOGLETRANSLATE(D203, ""en"", ""hi"")"),"A) खिलाड़ी A 2-1 से आगे है।")</f>
        <v>A) खिलाड़ी A 2-1 से आगे है।</v>
      </c>
    </row>
    <row r="204" ht="22.5" customHeight="1">
      <c r="A204" s="2">
        <v>203.0</v>
      </c>
      <c r="B204" s="3" t="s">
        <v>8003</v>
      </c>
      <c r="C204" s="3" t="s">
        <v>7959</v>
      </c>
      <c r="D204" s="3" t="s">
        <v>7878</v>
      </c>
      <c r="F204" s="5" t="str">
        <f>IFERROR(__xludf.DUMMYFUNCTION("GOOGLETRANSLATE(A204, ""en"", ""hi"")"),"203")</f>
        <v>203</v>
      </c>
      <c r="G204" s="5" t="str">
        <f>IFERROR(__xludf.DUMMYFUNCTION("GOOGLETRANSLATE(B204, ""en"", ""hi"")"),"एक कंचे खेल में, यदि खिलाड़ी X ने 24 अंक बनाए और खिलाड़ी Y ने 25 अंक बनाए, और खेल को जीतने के लिए 30 अंकों की आवश्यकता है, तो परिणाम क्या होगा?")</f>
        <v>एक कंचे खेल में, यदि खिलाड़ी X ने 24 अंक बनाए और खिलाड़ी Y ने 25 अंक बनाए, और खेल को जीतने के लिए 30 अंकों की आवश्यकता है, तो परिणाम क्या होगा?</v>
      </c>
      <c r="H204" s="5" t="str">
        <f>IFERROR(__xludf.DUMMYFUNCTION("GOOGLETRANSLATE(C204,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04" s="5" t="str">
        <f>IFERROR(__xludf.DUMMYFUNCTION("GOOGLETRANSLATE(D204, ""en"", ""hi"")"),"A) खिलाड़ी Y जीतता है.")</f>
        <v>A) खिलाड़ी Y जीतता है.</v>
      </c>
    </row>
    <row r="205" ht="22.5" customHeight="1">
      <c r="A205" s="2">
        <v>204.0</v>
      </c>
      <c r="B205" s="3" t="s">
        <v>8004</v>
      </c>
      <c r="C205" s="3" t="s">
        <v>7846</v>
      </c>
      <c r="D205" s="3" t="s">
        <v>7847</v>
      </c>
      <c r="F205" s="5" t="str">
        <f>IFERROR(__xludf.DUMMYFUNCTION("GOOGLETRANSLATE(A205, ""en"", ""hi"")"),"204")</f>
        <v>204</v>
      </c>
      <c r="G205" s="5" t="str">
        <f>IFERROR(__xludf.DUMMYFUNCTION("GOOGLETRANSLATE(B205, ""en"", ""hi"")"),"खिलाड़ी X ने पहला सेट 15-10 से और खिलाड़ी Y ने दूसरा सेट 15-12 से जीता। अगर खिलाड़ी X तीसरा सेट 15-13 से जीत जाता है, तो मैच का वर्तमान स्कोर क्या है?")</f>
        <v>खिलाड़ी X ने पहला सेट 15-10 से और खिलाड़ी Y ने दूसरा सेट 15-12 से जीता। अगर खिलाड़ी X तीसरा सेट 15-13 से जीत जाता है, तो मैच का वर्तमान स्कोर क्या है?</v>
      </c>
      <c r="H205" s="5" t="str">
        <f>IFERROR(__xludf.DUMMYFUNCTION("GOOGLETRANSLATE(C205,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05" s="5" t="str">
        <f>IFERROR(__xludf.DUMMYFUNCTION("GOOGLETRANSLATE(D205, ""en"", ""hi"")"),"A) खिलाड़ी X 2-1 से आगे है।")</f>
        <v>A) खिलाड़ी X 2-1 से आगे है।</v>
      </c>
    </row>
    <row r="206" ht="22.5" customHeight="1">
      <c r="A206" s="2">
        <v>205.0</v>
      </c>
      <c r="B206" s="3" t="s">
        <v>8005</v>
      </c>
      <c r="C206" s="3" t="s">
        <v>7959</v>
      </c>
      <c r="D206" s="3" t="s">
        <v>7878</v>
      </c>
      <c r="F206" s="5" t="str">
        <f>IFERROR(__xludf.DUMMYFUNCTION("GOOGLETRANSLATE(A206, ""en"", ""hi"")"),"205")</f>
        <v>205</v>
      </c>
      <c r="G206" s="5" t="str">
        <f>IFERROR(__xludf.DUMMYFUNCTION("GOOGLETRANSLATE(B206, ""en"", ""hi"")"),"एक कंचे मैच के दौरान, खिलाड़ी X ने 27 अंक बनाए और खिलाड़ी Y ने 28 अंक बनाए। यदि खेल जीतने के लिए 30 अंकों की आवश्यकता है, तो परिणाम क्या होगा?")</f>
        <v>एक कंचे मैच के दौरान, खिलाड़ी X ने 27 अंक बनाए और खिलाड़ी Y ने 28 अंक बनाए। यदि खेल जीतने के लिए 30 अंकों की आवश्यकता है, तो परिणाम क्या होगा?</v>
      </c>
      <c r="H206" s="5" t="str">
        <f>IFERROR(__xludf.DUMMYFUNCTION("GOOGLETRANSLATE(C206,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06" s="5" t="str">
        <f>IFERROR(__xludf.DUMMYFUNCTION("GOOGLETRANSLATE(D206, ""en"", ""hi"")"),"A) खिलाड़ी Y जीतता है.")</f>
        <v>A) खिलाड़ी Y जीतता है.</v>
      </c>
    </row>
    <row r="207" ht="22.5" customHeight="1">
      <c r="A207" s="2">
        <v>206.0</v>
      </c>
      <c r="B207" s="3" t="s">
        <v>8006</v>
      </c>
      <c r="C207" s="3" t="s">
        <v>7826</v>
      </c>
      <c r="D207" s="3" t="s">
        <v>7827</v>
      </c>
      <c r="F207" s="5" t="str">
        <f>IFERROR(__xludf.DUMMYFUNCTION("GOOGLETRANSLATE(A207, ""en"", ""hi"")"),"206")</f>
        <v>206</v>
      </c>
      <c r="G207" s="5" t="str">
        <f>IFERROR(__xludf.DUMMYFUNCTION("GOOGLETRANSLATE(B207, ""en"", ""hi"")"),"खिलाड़ी A ने पहला सेट 15-13 से जीता और खिलाड़ी B ने दूसरा सेट 15-11 से जीता। अगर खिलाड़ी A तीसरा सेट 15-12 से जीत जाता है, तो मैच का स्कोर क्या होगा?")</f>
        <v>खिलाड़ी A ने पहला सेट 15-13 से जीता और खिलाड़ी B ने दूसरा सेट 15-11 से जीता। अगर खिलाड़ी A तीसरा सेट 15-12 से जीत जाता है, तो मैच का स्कोर क्या होगा?</v>
      </c>
      <c r="H207" s="5" t="str">
        <f>IFERROR(__xludf.DUMMYFUNCTION("GOOGLETRANSLATE(C207,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07" s="5" t="str">
        <f>IFERROR(__xludf.DUMMYFUNCTION("GOOGLETRANSLATE(D207, ""en"", ""hi"")"),"A) खिलाड़ी A 2-1 से आगे है।")</f>
        <v>A) खिलाड़ी A 2-1 से आगे है।</v>
      </c>
    </row>
    <row r="208" ht="22.5" customHeight="1">
      <c r="A208" s="2">
        <v>207.0</v>
      </c>
      <c r="B208" s="3" t="s">
        <v>8007</v>
      </c>
      <c r="C208" s="3" t="s">
        <v>7989</v>
      </c>
      <c r="D208" s="3" t="s">
        <v>7878</v>
      </c>
      <c r="F208" s="5" t="str">
        <f>IFERROR(__xludf.DUMMYFUNCTION("GOOGLETRANSLATE(A208, ""en"", ""hi"")"),"207")</f>
        <v>207</v>
      </c>
      <c r="G208" s="5" t="str">
        <f>IFERROR(__xludf.DUMMYFUNCTION("GOOGLETRANSLATE(B208, ""en"", ""hi"")"),"एक कंचे खेल में, यदि खिलाड़ी X ने 29 अंक बनाए और खिलाड़ी Y ने 31 अंक बनाए, और खेल को जीतने के लिए 35 अंकों की आवश्यकता है, तो परिणाम क्या होगा?")</f>
        <v>एक कंचे खेल में, यदि खिलाड़ी X ने 29 अंक बनाए और खिलाड़ी Y ने 31 अंक बनाए, और खेल को जीतने के लिए 35 अंकों की आवश्यकता है, तो परिणाम क्या होगा?</v>
      </c>
      <c r="H208" s="5" t="str">
        <f>IFERROR(__xludf.DUMMYFUNCTION("GOOGLETRANSLATE(C208,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08" s="5" t="str">
        <f>IFERROR(__xludf.DUMMYFUNCTION("GOOGLETRANSLATE(D208, ""en"", ""hi"")"),"A) खिलाड़ी Y जीतता है.")</f>
        <v>A) खिलाड़ी Y जीतता है.</v>
      </c>
    </row>
    <row r="209" ht="22.5" customHeight="1">
      <c r="A209" s="2">
        <v>208.0</v>
      </c>
      <c r="B209" s="3" t="s">
        <v>8008</v>
      </c>
      <c r="C209" s="3" t="s">
        <v>7846</v>
      </c>
      <c r="D209" s="3" t="s">
        <v>7847</v>
      </c>
      <c r="F209" s="5" t="str">
        <f>IFERROR(__xludf.DUMMYFUNCTION("GOOGLETRANSLATE(A209, ""en"", ""hi"")"),"208")</f>
        <v>208</v>
      </c>
      <c r="G209" s="5" t="str">
        <f>IFERROR(__xludf.DUMMYFUNCTION("GOOGLETRANSLATE(B209, ""en"", ""hi"")"),"खिलाड़ी X ने पहला सेट 15-12 से और खिलाड़ी Y ने दूसरा सेट 15-10 से जीता। अगर खिलाड़ी X तीसरा सेट 15-14 से जीत जाता है, तो मैच का वर्तमान स्कोर क्या है?")</f>
        <v>खिलाड़ी X ने पहला सेट 15-12 से और खिलाड़ी Y ने दूसरा सेट 15-10 से जीता। अगर खिलाड़ी X तीसरा सेट 15-14 से जीत जाता है, तो मैच का वर्तमान स्कोर क्या है?</v>
      </c>
      <c r="H209" s="5" t="str">
        <f>IFERROR(__xludf.DUMMYFUNCTION("GOOGLETRANSLATE(C209,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09" s="5" t="str">
        <f>IFERROR(__xludf.DUMMYFUNCTION("GOOGLETRANSLATE(D209, ""en"", ""hi"")"),"A) खिलाड़ी X 2-1 से आगे है।")</f>
        <v>A) खिलाड़ी X 2-1 से आगे है।</v>
      </c>
    </row>
    <row r="210" ht="22.5" customHeight="1">
      <c r="A210" s="2">
        <v>209.0</v>
      </c>
      <c r="B210" s="3" t="s">
        <v>8009</v>
      </c>
      <c r="C210" s="3" t="s">
        <v>7971</v>
      </c>
      <c r="D210" s="3" t="s">
        <v>7711</v>
      </c>
      <c r="F210" s="5" t="str">
        <f>IFERROR(__xludf.DUMMYFUNCTION("GOOGLETRANSLATE(A210, ""en"", ""hi"")"),"209")</f>
        <v>209</v>
      </c>
      <c r="G210" s="5" t="str">
        <f>IFERROR(__xludf.DUMMYFUNCTION("GOOGLETRANSLATE(B210, ""en"", ""hi"")"),"एक कंचे मैच के दौरान, खिलाड़ी X ने 32 अंक बनाए और खिलाड़ी Y ने 30 अंक बनाए। यदि खेल जीतने के लिए 35 अंक चाहिए, तो परिणाम क्या होगा?")</f>
        <v>एक कंचे मैच के दौरान, खिलाड़ी X ने 32 अंक बनाए और खिलाड़ी Y ने 30 अंक बनाए। यदि खेल जीतने के लिए 35 अंक चाहिए, तो परिणाम क्या होगा?</v>
      </c>
      <c r="H210" s="5" t="str">
        <f>IFERROR(__xludf.DUMMYFUNCTION("GOOGLETRANSLATE(C210,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210" s="5" t="str">
        <f>IFERROR(__xludf.DUMMYFUNCTION("GOOGLETRANSLATE(D210, ""en"", ""hi"")"),"A) खिलाड़ी X जीतता है.")</f>
        <v>A) खिलाड़ी X जीतता है.</v>
      </c>
    </row>
    <row r="211" ht="22.5" customHeight="1">
      <c r="A211" s="2">
        <v>210.0</v>
      </c>
      <c r="B211" s="3" t="s">
        <v>7980</v>
      </c>
      <c r="C211" s="3" t="s">
        <v>7826</v>
      </c>
      <c r="D211" s="3" t="s">
        <v>7827</v>
      </c>
      <c r="F211" s="5" t="str">
        <f>IFERROR(__xludf.DUMMYFUNCTION("GOOGLETRANSLATE(A211, ""en"", ""hi"")"),"210")</f>
        <v>210</v>
      </c>
      <c r="G211" s="5" t="str">
        <f>IFERROR(__xludf.DUMMYFUNCTION("GOOGLETRANSLATE(B211, ""en"", ""hi"")"),"खिलाड़ी A ने पहला सेट 15-14 से जीता और खिलाड़ी B ने दूसरा सेट 15-11 से जीता। अगर खिलाड़ी A तीसरा सेट 15-13 से जीत जाता है, तो मैच का स्कोर क्या होगा?")</f>
        <v>खिलाड़ी A ने पहला सेट 15-14 से जीता और खिलाड़ी B ने दूसरा सेट 15-11 से जीता। अगर खिलाड़ी A तीसरा सेट 15-13 से जीत जाता है, तो मैच का स्कोर क्या होगा?</v>
      </c>
      <c r="H211" s="5" t="str">
        <f>IFERROR(__xludf.DUMMYFUNCTION("GOOGLETRANSLATE(C211,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11" s="5" t="str">
        <f>IFERROR(__xludf.DUMMYFUNCTION("GOOGLETRANSLATE(D211, ""en"", ""hi"")"),"A) खिलाड़ी A 2-1 से आगे है।")</f>
        <v>A) खिलाड़ी A 2-1 से आगे है।</v>
      </c>
    </row>
    <row r="212" ht="22.5" customHeight="1">
      <c r="A212" s="2">
        <v>211.0</v>
      </c>
      <c r="B212" s="3" t="s">
        <v>8010</v>
      </c>
      <c r="C212" s="3" t="s">
        <v>7959</v>
      </c>
      <c r="D212" s="3" t="s">
        <v>7878</v>
      </c>
      <c r="F212" s="5" t="str">
        <f>IFERROR(__xludf.DUMMYFUNCTION("GOOGLETRANSLATE(A212, ""en"", ""hi"")"),"211")</f>
        <v>211</v>
      </c>
      <c r="G212" s="5" t="str">
        <f>IFERROR(__xludf.DUMMYFUNCTION("GOOGLETRANSLATE(B212, ""en"", ""hi"")"),"एक कंचे खेल में, यदि खिलाड़ी X ने 23 अंक बनाए और खिलाड़ी Y ने 26 अंक बनाए, और खेल को जीतने के लिए 30 अंकों की आवश्यकता है, तो परिणाम क्या होगा?")</f>
        <v>एक कंचे खेल में, यदि खिलाड़ी X ने 23 अंक बनाए और खिलाड़ी Y ने 26 अंक बनाए, और खेल को जीतने के लिए 30 अंकों की आवश्यकता है, तो परिणाम क्या होगा?</v>
      </c>
      <c r="H212" s="5" t="str">
        <f>IFERROR(__xludf.DUMMYFUNCTION("GOOGLETRANSLATE(C212,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12" s="5" t="str">
        <f>IFERROR(__xludf.DUMMYFUNCTION("GOOGLETRANSLATE(D212, ""en"", ""hi"")"),"A) खिलाड़ी Y जीतता है.")</f>
        <v>A) खिलाड़ी Y जीतता है.</v>
      </c>
    </row>
    <row r="213" ht="22.5" customHeight="1">
      <c r="A213" s="2">
        <v>212.0</v>
      </c>
      <c r="B213" s="3" t="s">
        <v>8011</v>
      </c>
      <c r="C213" s="3" t="s">
        <v>7846</v>
      </c>
      <c r="D213" s="3" t="s">
        <v>7847</v>
      </c>
      <c r="F213" s="5" t="str">
        <f>IFERROR(__xludf.DUMMYFUNCTION("GOOGLETRANSLATE(A213, ""en"", ""hi"")"),"212")</f>
        <v>212</v>
      </c>
      <c r="G213" s="5" t="str">
        <f>IFERROR(__xludf.DUMMYFUNCTION("GOOGLETRANSLATE(B213, ""en"", ""hi"")"),"खिलाड़ी X ने पहला सेट 15-13 से जीता और खिलाड़ी Y ने दूसरा सेट 15-14 से जीता। अगर खिलाड़ी X तीसरा सेट 15-11 से जीत जाता है, तो मैच का वर्तमान स्कोर क्या है?")</f>
        <v>खिलाड़ी X ने पहला सेट 15-13 से जीता और खिलाड़ी Y ने दूसरा सेट 15-14 से जीता। अगर खिलाड़ी X तीसरा सेट 15-11 से जीत जाता है, तो मैच का वर्तमान स्कोर क्या है?</v>
      </c>
      <c r="H213" s="5" t="str">
        <f>IFERROR(__xludf.DUMMYFUNCTION("GOOGLETRANSLATE(C213,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13" s="5" t="str">
        <f>IFERROR(__xludf.DUMMYFUNCTION("GOOGLETRANSLATE(D213, ""en"", ""hi"")"),"A) खिलाड़ी X 2-1 से आगे है।")</f>
        <v>A) खिलाड़ी X 2-1 से आगे है।</v>
      </c>
    </row>
    <row r="214" ht="22.5" customHeight="1">
      <c r="A214" s="2">
        <v>213.0</v>
      </c>
      <c r="B214" s="3" t="s">
        <v>8012</v>
      </c>
      <c r="C214" s="3" t="s">
        <v>7966</v>
      </c>
      <c r="D214" s="3" t="s">
        <v>7711</v>
      </c>
      <c r="F214" s="5" t="str">
        <f>IFERROR(__xludf.DUMMYFUNCTION("GOOGLETRANSLATE(A214, ""en"", ""hi"")"),"213")</f>
        <v>213</v>
      </c>
      <c r="G214" s="5" t="str">
        <f>IFERROR(__xludf.DUMMYFUNCTION("GOOGLETRANSLATE(B214, ""en"", ""hi"")"),"एक कंचे मैच के दौरान, खिलाड़ी X ने 25 अंक और खिलाड़ी Y ने 24 अंक बनाए। यदि खेल जीतने के लिए 30 अंकों की आवश्यकता है, तो परिणाम क्या होगा?")</f>
        <v>एक कंचे मैच के दौरान, खिलाड़ी X ने 25 अंक और खिलाड़ी Y ने 24 अंक बनाए। यदि खेल जीतने के लिए 30 अंकों की आवश्यकता है, तो परिणाम क्या होगा?</v>
      </c>
      <c r="H214" s="5" t="str">
        <f>IFERROR(__xludf.DUMMYFUNCTION("GOOGLETRANSLATE(C214, ""en"", ""hi"")"),"A) खिलाड़ी X जीतता है। , B) खिलाड़ी Y जीतता है। , C) खेल बराबरी पर रहता है। , D) खेल तब तक जारी रहता है जब तक कि एक खिलाड़ी 35 अंक नहीं बना लेता।")</f>
        <v>A) खिलाड़ी X जीतता है। , B) खिलाड़ी Y जीतता है। , C) खेल बराबरी पर रहता है। , D) खेल तब तक जारी रहता है जब तक कि एक खिलाड़ी 35 अंक नहीं बना लेता।</v>
      </c>
      <c r="I214" s="5" t="str">
        <f>IFERROR(__xludf.DUMMYFUNCTION("GOOGLETRANSLATE(D214, ""en"", ""hi"")"),"A) खिलाड़ी X जीतता है.")</f>
        <v>A) खिलाड़ी X जीतता है.</v>
      </c>
    </row>
    <row r="215" ht="22.5" customHeight="1">
      <c r="A215" s="2">
        <v>214.0</v>
      </c>
      <c r="B215" s="3" t="s">
        <v>7967</v>
      </c>
      <c r="C215" s="3" t="s">
        <v>7826</v>
      </c>
      <c r="D215" s="3" t="s">
        <v>7827</v>
      </c>
      <c r="F215" s="5" t="str">
        <f>IFERROR(__xludf.DUMMYFUNCTION("GOOGLETRANSLATE(A215, ""en"", ""hi"")"),"214")</f>
        <v>214</v>
      </c>
      <c r="G215" s="5" t="str">
        <f>IFERROR(__xludf.DUMMYFUNCTION("GOOGLETRANSLATE(B215, ""en"", ""hi"")"),"खिलाड़ी A ने पहला सेट 15-12 से जीता और खिलाड़ी B ने दूसरा सेट 15-14 से जीता। अगर खिलाड़ी A तीसरा सेट 15-13 से जीत जाता है, तो मैच का स्कोर क्या होगा?")</f>
        <v>खिलाड़ी A ने पहला सेट 15-12 से जीता और खिलाड़ी B ने दूसरा सेट 15-14 से जीता। अगर खिलाड़ी A तीसरा सेट 15-13 से जीत जाता है, तो मैच का स्कोर क्या होगा?</v>
      </c>
      <c r="H215" s="5" t="str">
        <f>IFERROR(__xludf.DUMMYFUNCTION("GOOGLETRANSLATE(C215,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15" s="5" t="str">
        <f>IFERROR(__xludf.DUMMYFUNCTION("GOOGLETRANSLATE(D215, ""en"", ""hi"")"),"A) खिलाड़ी A 2-1 से आगे है।")</f>
        <v>A) खिलाड़ी A 2-1 से आगे है।</v>
      </c>
    </row>
    <row r="216" ht="22.5" customHeight="1">
      <c r="A216" s="2">
        <v>215.0</v>
      </c>
      <c r="B216" s="3" t="s">
        <v>8013</v>
      </c>
      <c r="C216" s="3" t="s">
        <v>7940</v>
      </c>
      <c r="D216" s="3" t="s">
        <v>7878</v>
      </c>
      <c r="F216" s="5" t="str">
        <f>IFERROR(__xludf.DUMMYFUNCTION("GOOGLETRANSLATE(A216, ""en"", ""hi"")"),"215")</f>
        <v>215</v>
      </c>
      <c r="G216" s="5" t="str">
        <f>IFERROR(__xludf.DUMMYFUNCTION("GOOGLETRANSLATE(B216, ""en"", ""hi"")"),"एक कंचे खेल में, यदि खिलाड़ी X ने 20 अंक बनाए और खिलाड़ी Y ने 23 अंक बनाए, और खेल को जीतने के लिए 25 अंकों की आवश्यकता है, तो परिणाम क्या होगा?")</f>
        <v>एक कंचे खेल में, यदि खिलाड़ी X ने 20 अंक बनाए और खिलाड़ी Y ने 23 अंक बनाए, और खेल को जीतने के लिए 25 अंकों की आवश्यकता है, तो परिणाम क्या होगा?</v>
      </c>
      <c r="H216" s="5" t="str">
        <f>IFERROR(__xludf.DUMMYFUNCTION("GOOGLETRANSLATE(C216,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216" s="5" t="str">
        <f>IFERROR(__xludf.DUMMYFUNCTION("GOOGLETRANSLATE(D216, ""en"", ""hi"")"),"A) खिलाड़ी Y जीतता है.")</f>
        <v>A) खिलाड़ी Y जीतता है.</v>
      </c>
    </row>
    <row r="217" ht="22.5" customHeight="1">
      <c r="A217" s="2">
        <v>216.0</v>
      </c>
      <c r="B217" s="3" t="s">
        <v>8014</v>
      </c>
      <c r="C217" s="3" t="s">
        <v>7846</v>
      </c>
      <c r="D217" s="3" t="s">
        <v>7847</v>
      </c>
      <c r="F217" s="5" t="str">
        <f>IFERROR(__xludf.DUMMYFUNCTION("GOOGLETRANSLATE(A217, ""en"", ""hi"")"),"216")</f>
        <v>216</v>
      </c>
      <c r="G217" s="5" t="str">
        <f>IFERROR(__xludf.DUMMYFUNCTION("GOOGLETRANSLATE(B217, ""en"", ""hi"")"),"खिलाड़ी X ने पहला सेट 15-10 से और खिलाड़ी Y ने दूसरा सेट 15-12 से जीता। अगर खिलाड़ी X तीसरा सेट 15-14 से जीत जाता है, तो मैच का वर्तमान स्कोर क्या है?")</f>
        <v>खिलाड़ी X ने पहला सेट 15-10 से और खिलाड़ी Y ने दूसरा सेट 15-12 से जीता। अगर खिलाड़ी X तीसरा सेट 15-14 से जीत जाता है, तो मैच का वर्तमान स्कोर क्या है?</v>
      </c>
      <c r="H217" s="5" t="str">
        <f>IFERROR(__xludf.DUMMYFUNCTION("GOOGLETRANSLATE(C217,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17" s="5" t="str">
        <f>IFERROR(__xludf.DUMMYFUNCTION("GOOGLETRANSLATE(D217, ""en"", ""hi"")"),"A) खिलाड़ी X 2-1 से आगे है।")</f>
        <v>A) खिलाड़ी X 2-1 से आगे है।</v>
      </c>
    </row>
    <row r="218" ht="22.5" customHeight="1">
      <c r="A218" s="2">
        <v>217.0</v>
      </c>
      <c r="B218" s="3" t="s">
        <v>8015</v>
      </c>
      <c r="C218" s="3" t="s">
        <v>7959</v>
      </c>
      <c r="D218" s="3" t="s">
        <v>7878</v>
      </c>
      <c r="F218" s="5" t="str">
        <f>IFERROR(__xludf.DUMMYFUNCTION("GOOGLETRANSLATE(A218, ""en"", ""hi"")"),"217")</f>
        <v>217</v>
      </c>
      <c r="G218" s="5" t="str">
        <f>IFERROR(__xludf.DUMMYFUNCTION("GOOGLETRANSLATE(B218, ""en"", ""hi"")"),"एक कंचे मैच के दौरान, खिलाड़ी X ने 26 अंक बनाए और खिलाड़ी Y ने 28 अंक बनाए। यदि खेल जीतने के लिए 30 अंकों की आवश्यकता है, तो परिणाम क्या होगा?")</f>
        <v>एक कंचे मैच के दौरान, खिलाड़ी X ने 26 अंक बनाए और खिलाड़ी Y ने 28 अंक बनाए। यदि खेल जीतने के लिए 30 अंकों की आवश्यकता है, तो परिणाम क्या होगा?</v>
      </c>
      <c r="H218" s="5" t="str">
        <f>IFERROR(__xludf.DUMMYFUNCTION("GOOGLETRANSLATE(C218,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18" s="5" t="str">
        <f>IFERROR(__xludf.DUMMYFUNCTION("GOOGLETRANSLATE(D218, ""en"", ""hi"")"),"A) खिलाड़ी Y जीतता है.")</f>
        <v>A) खिलाड़ी Y जीतता है.</v>
      </c>
    </row>
    <row r="219" ht="22.5" customHeight="1">
      <c r="A219" s="2">
        <v>218.0</v>
      </c>
      <c r="B219" s="3" t="s">
        <v>8016</v>
      </c>
      <c r="C219" s="3" t="s">
        <v>7826</v>
      </c>
      <c r="D219" s="3" t="s">
        <v>7827</v>
      </c>
      <c r="F219" s="5" t="str">
        <f>IFERROR(__xludf.DUMMYFUNCTION("GOOGLETRANSLATE(A219, ""en"", ""hi"")"),"218")</f>
        <v>218</v>
      </c>
      <c r="G219" s="5" t="str">
        <f>IFERROR(__xludf.DUMMYFUNCTION("GOOGLETRANSLATE(B219, ""en"", ""hi"")"),"खिलाड़ी A ने पहला सेट 15-11 से जीता और खिलाड़ी B ने दूसरा सेट 15-13 से जीता। अगर खिलाड़ी A तीसरा सेट 15-14 से जीत जाता है, तो मैच का स्कोर क्या होगा?")</f>
        <v>खिलाड़ी A ने पहला सेट 15-11 से जीता और खिलाड़ी B ने दूसरा सेट 15-13 से जीता। अगर खिलाड़ी A तीसरा सेट 15-14 से जीत जाता है, तो मैच का स्कोर क्या होगा?</v>
      </c>
      <c r="H219" s="5" t="str">
        <f>IFERROR(__xludf.DUMMYFUNCTION("GOOGLETRANSLATE(C219,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19" s="5" t="str">
        <f>IFERROR(__xludf.DUMMYFUNCTION("GOOGLETRANSLATE(D219, ""en"", ""hi"")"),"A) खिलाड़ी A 2-1 से आगे है।")</f>
        <v>A) खिलाड़ी A 2-1 से आगे है।</v>
      </c>
    </row>
    <row r="220" ht="22.5" customHeight="1">
      <c r="A220" s="2">
        <v>219.0</v>
      </c>
      <c r="B220" s="3" t="s">
        <v>8017</v>
      </c>
      <c r="C220" s="3" t="s">
        <v>7989</v>
      </c>
      <c r="D220" s="3" t="s">
        <v>7878</v>
      </c>
      <c r="F220" s="5" t="str">
        <f>IFERROR(__xludf.DUMMYFUNCTION("GOOGLETRANSLATE(A220, ""en"", ""hi"")"),"219")</f>
        <v>219</v>
      </c>
      <c r="G220" s="5" t="str">
        <f>IFERROR(__xludf.DUMMYFUNCTION("GOOGLETRANSLATE(B220, ""en"", ""hi"")"),"एक कंचे खेल में, यदि खिलाड़ी X ने 29 अंक बनाए और खिलाड़ी Y ने 30 अंक बनाए, और खेल को जीतने के लिए 35 अंकों की आवश्यकता है, तो परिणाम क्या होगा?")</f>
        <v>एक कंचे खेल में, यदि खिलाड़ी X ने 29 अंक बनाए और खिलाड़ी Y ने 30 अंक बनाए, और खेल को जीतने के लिए 35 अंकों की आवश्यकता है, तो परिणाम क्या होगा?</v>
      </c>
      <c r="H220" s="5" t="str">
        <f>IFERROR(__xludf.DUMMYFUNCTION("GOOGLETRANSLATE(C220,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20" s="5" t="str">
        <f>IFERROR(__xludf.DUMMYFUNCTION("GOOGLETRANSLATE(D220, ""en"", ""hi"")"),"A) खिलाड़ी Y जीतता है.")</f>
        <v>A) खिलाड़ी Y जीतता है.</v>
      </c>
    </row>
    <row r="221" ht="22.5" customHeight="1">
      <c r="A221" s="2">
        <v>220.0</v>
      </c>
      <c r="B221" s="3" t="s">
        <v>8018</v>
      </c>
      <c r="C221" s="3" t="s">
        <v>7846</v>
      </c>
      <c r="D221" s="3" t="s">
        <v>7847</v>
      </c>
      <c r="F221" s="5" t="str">
        <f>IFERROR(__xludf.DUMMYFUNCTION("GOOGLETRANSLATE(A221, ""en"", ""hi"")"),"220")</f>
        <v>220</v>
      </c>
      <c r="G221" s="5" t="str">
        <f>IFERROR(__xludf.DUMMYFUNCTION("GOOGLETRANSLATE(B221, ""en"", ""hi"")"),"खिलाड़ी X ने पहला सेट 15-13 से और खिलाड़ी Y ने दूसरा सेट 15-12 से जीता। अगर खिलाड़ी X तीसरा सेट 15-10 से जीत जाता है, तो मैच का वर्तमान स्कोर क्या है?")</f>
        <v>खिलाड़ी X ने पहला सेट 15-13 से और खिलाड़ी Y ने दूसरा सेट 15-12 से जीता। अगर खिलाड़ी X तीसरा सेट 15-10 से जीत जाता है, तो मैच का वर्तमान स्कोर क्या है?</v>
      </c>
      <c r="H221" s="5" t="str">
        <f>IFERROR(__xludf.DUMMYFUNCTION("GOOGLETRANSLATE(C221,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21" s="5" t="str">
        <f>IFERROR(__xludf.DUMMYFUNCTION("GOOGLETRANSLATE(D221, ""en"", ""hi"")"),"A) खिलाड़ी X 2-1 से आगे है।")</f>
        <v>A) खिलाड़ी X 2-1 से आगे है।</v>
      </c>
    </row>
    <row r="222" ht="22.5" customHeight="1">
      <c r="A222" s="2">
        <v>221.0</v>
      </c>
      <c r="B222" s="3" t="s">
        <v>8019</v>
      </c>
      <c r="C222" s="3" t="s">
        <v>7971</v>
      </c>
      <c r="D222" s="3" t="s">
        <v>7711</v>
      </c>
      <c r="F222" s="5" t="str">
        <f>IFERROR(__xludf.DUMMYFUNCTION("GOOGLETRANSLATE(A222, ""en"", ""hi"")"),"221")</f>
        <v>221</v>
      </c>
      <c r="G222" s="5" t="str">
        <f>IFERROR(__xludf.DUMMYFUNCTION("GOOGLETRANSLATE(B222, ""en"", ""hi"")"),"एक कंचे मैच के दौरान, खिलाड़ी X ने 30 अंक बनाए और खिलाड़ी Y ने 29 अंक बनाए। यदि खेल जीतने के लिए 35 अंक चाहिए, तो परिणाम क्या होगा?")</f>
        <v>एक कंचे मैच के दौरान, खिलाड़ी X ने 30 अंक बनाए और खिलाड़ी Y ने 29 अंक बनाए। यदि खेल जीतने के लिए 35 अंक चाहिए, तो परिणाम क्या होगा?</v>
      </c>
      <c r="H222" s="5" t="str">
        <f>IFERROR(__xludf.DUMMYFUNCTION("GOOGLETRANSLATE(C222,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222" s="5" t="str">
        <f>IFERROR(__xludf.DUMMYFUNCTION("GOOGLETRANSLATE(D222, ""en"", ""hi"")"),"A) खिलाड़ी X जीतता है.")</f>
        <v>A) खिलाड़ी X जीतता है.</v>
      </c>
    </row>
    <row r="223" ht="22.5" customHeight="1">
      <c r="A223" s="2">
        <v>222.0</v>
      </c>
      <c r="B223" s="3" t="s">
        <v>8020</v>
      </c>
      <c r="C223" s="3" t="s">
        <v>7826</v>
      </c>
      <c r="D223" s="3" t="s">
        <v>7827</v>
      </c>
      <c r="F223" s="5" t="str">
        <f>IFERROR(__xludf.DUMMYFUNCTION("GOOGLETRANSLATE(A223, ""en"", ""hi"")"),"222")</f>
        <v>222</v>
      </c>
      <c r="G223" s="5" t="str">
        <f>IFERROR(__xludf.DUMMYFUNCTION("GOOGLETRANSLATE(B223, ""en"", ""hi"")"),"खिलाड़ी A ने पहला सेट 15-14 से जीता और खिलाड़ी B ने दूसरा सेट 15-12 से जीता। अगर खिलाड़ी A तीसरा सेट 15-11 से जीत जाता है, तो मैच का स्कोर क्या होगा?")</f>
        <v>खिलाड़ी A ने पहला सेट 15-14 से जीता और खिलाड़ी B ने दूसरा सेट 15-12 से जीता। अगर खिलाड़ी A तीसरा सेट 15-11 से जीत जाता है, तो मैच का स्कोर क्या होगा?</v>
      </c>
      <c r="H223" s="5" t="str">
        <f>IFERROR(__xludf.DUMMYFUNCTION("GOOGLETRANSLATE(C223,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23" s="5" t="str">
        <f>IFERROR(__xludf.DUMMYFUNCTION("GOOGLETRANSLATE(D223, ""en"", ""hi"")"),"A) खिलाड़ी A 2-1 से आगे है।")</f>
        <v>A) खिलाड़ी A 2-1 से आगे है।</v>
      </c>
    </row>
    <row r="224" ht="22.5" customHeight="1">
      <c r="A224" s="2">
        <v>223.0</v>
      </c>
      <c r="B224" s="3" t="s">
        <v>8021</v>
      </c>
      <c r="C224" s="3" t="s">
        <v>7940</v>
      </c>
      <c r="D224" s="3" t="s">
        <v>7878</v>
      </c>
      <c r="F224" s="5" t="str">
        <f>IFERROR(__xludf.DUMMYFUNCTION("GOOGLETRANSLATE(A224, ""en"", ""hi"")"),"223")</f>
        <v>223</v>
      </c>
      <c r="G224" s="5" t="str">
        <f>IFERROR(__xludf.DUMMYFUNCTION("GOOGLETRANSLATE(B224, ""en"", ""hi"")"),"एक कंचे खेल में, यदि खिलाड़ी X ने 21 अंक बनाए और खिलाड़ी Y ने 22 अंक बनाए, और खेल को जीतने के लिए 25 अंकों की आवश्यकता है, तो परिणाम क्या होगा?")</f>
        <v>एक कंचे खेल में, यदि खिलाड़ी X ने 21 अंक बनाए और खिलाड़ी Y ने 22 अंक बनाए, और खेल को जीतने के लिए 25 अंकों की आवश्यकता है, तो परिणाम क्या होगा?</v>
      </c>
      <c r="H224" s="5" t="str">
        <f>IFERROR(__xludf.DUMMYFUNCTION("GOOGLETRANSLATE(C224,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224" s="5" t="str">
        <f>IFERROR(__xludf.DUMMYFUNCTION("GOOGLETRANSLATE(D224, ""en"", ""hi"")"),"A) खिलाड़ी Y जीतता है.")</f>
        <v>A) खिलाड़ी Y जीतता है.</v>
      </c>
    </row>
    <row r="225" ht="22.5" customHeight="1">
      <c r="A225" s="2">
        <v>224.0</v>
      </c>
      <c r="B225" s="3" t="s">
        <v>8022</v>
      </c>
      <c r="C225" s="3" t="s">
        <v>7846</v>
      </c>
      <c r="D225" s="3" t="s">
        <v>7847</v>
      </c>
      <c r="F225" s="5" t="str">
        <f>IFERROR(__xludf.DUMMYFUNCTION("GOOGLETRANSLATE(A225, ""en"", ""hi"")"),"224")</f>
        <v>224</v>
      </c>
      <c r="G225" s="5" t="str">
        <f>IFERROR(__xludf.DUMMYFUNCTION("GOOGLETRANSLATE(B225, ""en"", ""hi"")"),"खिलाड़ी X ने पहला सेट 15-12 से और खिलाड़ी Y ने दूसरा सेट 15-11 से जीता। अगर खिलाड़ी X तीसरा सेट 15-14 से जीत जाता है, तो मैच का वर्तमान स्कोर क्या है?")</f>
        <v>खिलाड़ी X ने पहला सेट 15-12 से और खिलाड़ी Y ने दूसरा सेट 15-11 से जीता। अगर खिलाड़ी X तीसरा सेट 15-14 से जीत जाता है, तो मैच का वर्तमान स्कोर क्या है?</v>
      </c>
      <c r="H225" s="5" t="str">
        <f>IFERROR(__xludf.DUMMYFUNCTION("GOOGLETRANSLATE(C225,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25" s="5" t="str">
        <f>IFERROR(__xludf.DUMMYFUNCTION("GOOGLETRANSLATE(D225, ""en"", ""hi"")"),"A) खिलाड़ी X 2-1 से आगे है।")</f>
        <v>A) खिलाड़ी X 2-1 से आगे है।</v>
      </c>
    </row>
    <row r="226" ht="22.5" customHeight="1">
      <c r="A226" s="2">
        <v>225.0</v>
      </c>
      <c r="B226" s="3" t="s">
        <v>8023</v>
      </c>
      <c r="C226" s="3" t="s">
        <v>7959</v>
      </c>
      <c r="D226" s="3" t="s">
        <v>7878</v>
      </c>
      <c r="F226" s="5" t="str">
        <f>IFERROR(__xludf.DUMMYFUNCTION("GOOGLETRANSLATE(A226, ""en"", ""hi"")"),"225")</f>
        <v>225</v>
      </c>
      <c r="G226" s="5" t="str">
        <f>IFERROR(__xludf.DUMMYFUNCTION("GOOGLETRANSLATE(B226, ""en"", ""hi"")"),"एक कंचे मैच के दौरान, खिलाड़ी X ने 24 अंक बनाए और खिलाड़ी Y ने 26 अंक बनाए। यदि खेल जीतने के लिए 30 अंकों की आवश्यकता है, तो परिणाम क्या होगा?")</f>
        <v>एक कंचे मैच के दौरान, खिलाड़ी X ने 24 अंक बनाए और खिलाड़ी Y ने 26 अंक बनाए। यदि खेल जीतने के लिए 30 अंकों की आवश्यकता है, तो परिणाम क्या होगा?</v>
      </c>
      <c r="H226" s="5" t="str">
        <f>IFERROR(__xludf.DUMMYFUNCTION("GOOGLETRANSLATE(C226,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26" s="5" t="str">
        <f>IFERROR(__xludf.DUMMYFUNCTION("GOOGLETRANSLATE(D226, ""en"", ""hi"")"),"A) खिलाड़ी Y जीतता है.")</f>
        <v>A) खिलाड़ी Y जीतता है.</v>
      </c>
    </row>
    <row r="227" ht="22.5" customHeight="1">
      <c r="A227" s="2">
        <v>226.0</v>
      </c>
      <c r="B227" s="3" t="s">
        <v>8024</v>
      </c>
      <c r="C227" s="3" t="s">
        <v>7826</v>
      </c>
      <c r="D227" s="3" t="s">
        <v>7827</v>
      </c>
      <c r="F227" s="5" t="str">
        <f>IFERROR(__xludf.DUMMYFUNCTION("GOOGLETRANSLATE(A227, ""en"", ""hi"")"),"226")</f>
        <v>226</v>
      </c>
      <c r="G227" s="5" t="str">
        <f>IFERROR(__xludf.DUMMYFUNCTION("GOOGLETRANSLATE(B227, ""en"", ""hi"")"),"खिलाड़ी A ने पहला सेट 15-11 से जीता और खिलाड़ी B ने दूसरा सेट 15-12 से जीता। अगर खिलाड़ी A तीसरा सेट 15-14 से जीत जाता है, तो मैच का स्कोर क्या होगा?")</f>
        <v>खिलाड़ी A ने पहला सेट 15-11 से जीता और खिलाड़ी B ने दूसरा सेट 15-12 से जीता। अगर खिलाड़ी A तीसरा सेट 15-14 से जीत जाता है, तो मैच का स्कोर क्या होगा?</v>
      </c>
      <c r="H227" s="5" t="str">
        <f>IFERROR(__xludf.DUMMYFUNCTION("GOOGLETRANSLATE(C227,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27" s="5" t="str">
        <f>IFERROR(__xludf.DUMMYFUNCTION("GOOGLETRANSLATE(D227, ""en"", ""hi"")"),"A) खिलाड़ी A 2-1 से आगे है।")</f>
        <v>A) खिलाड़ी A 2-1 से आगे है।</v>
      </c>
    </row>
    <row r="228" ht="22.5" customHeight="1">
      <c r="A228" s="2">
        <v>227.0</v>
      </c>
      <c r="B228" s="3" t="s">
        <v>8025</v>
      </c>
      <c r="C228" s="3" t="s">
        <v>7989</v>
      </c>
      <c r="D228" s="3" t="s">
        <v>7878</v>
      </c>
      <c r="F228" s="5" t="str">
        <f>IFERROR(__xludf.DUMMYFUNCTION("GOOGLETRANSLATE(A228, ""en"", ""hi"")"),"227")</f>
        <v>227</v>
      </c>
      <c r="G228" s="5" t="str">
        <f>IFERROR(__xludf.DUMMYFUNCTION("GOOGLETRANSLATE(B228, ""en"", ""hi"")"),"एक कंचे खेल में, यदि खिलाड़ी X ने 27 अंक बनाए और खिलाड़ी Y ने 28 अंक बनाए, और खेल को जीतने के लिए 35 अंकों की आवश्यकता है, तो परिणाम क्या होगा?")</f>
        <v>एक कंचे खेल में, यदि खिलाड़ी X ने 27 अंक बनाए और खिलाड़ी Y ने 28 अंक बनाए, और खेल को जीतने के लिए 35 अंकों की आवश्यकता है, तो परिणाम क्या होगा?</v>
      </c>
      <c r="H228" s="5" t="str">
        <f>IFERROR(__xludf.DUMMYFUNCTION("GOOGLETRANSLATE(C228,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28" s="5" t="str">
        <f>IFERROR(__xludf.DUMMYFUNCTION("GOOGLETRANSLATE(D228, ""en"", ""hi"")"),"A) खिलाड़ी Y जीतता है.")</f>
        <v>A) खिलाड़ी Y जीतता है.</v>
      </c>
    </row>
    <row r="229" ht="22.5" customHeight="1">
      <c r="A229" s="2">
        <v>228.0</v>
      </c>
      <c r="B229" s="3" t="s">
        <v>8011</v>
      </c>
      <c r="C229" s="3" t="s">
        <v>7846</v>
      </c>
      <c r="D229" s="3" t="s">
        <v>7847</v>
      </c>
      <c r="F229" s="5" t="str">
        <f>IFERROR(__xludf.DUMMYFUNCTION("GOOGLETRANSLATE(A229, ""en"", ""hi"")"),"228")</f>
        <v>228</v>
      </c>
      <c r="G229" s="5" t="str">
        <f>IFERROR(__xludf.DUMMYFUNCTION("GOOGLETRANSLATE(B229, ""en"", ""hi"")"),"खिलाड़ी X ने पहला सेट 15-13 से जीता और खिलाड़ी Y ने दूसरा सेट 15-14 से जीता। अगर खिलाड़ी X तीसरा सेट 15-11 से जीत जाता है, तो मैच का वर्तमान स्कोर क्या है?")</f>
        <v>खिलाड़ी X ने पहला सेट 15-13 से जीता और खिलाड़ी Y ने दूसरा सेट 15-14 से जीता। अगर खिलाड़ी X तीसरा सेट 15-11 से जीत जाता है, तो मैच का वर्तमान स्कोर क्या है?</v>
      </c>
      <c r="H229" s="5" t="str">
        <f>IFERROR(__xludf.DUMMYFUNCTION("GOOGLETRANSLATE(C229,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29" s="5" t="str">
        <f>IFERROR(__xludf.DUMMYFUNCTION("GOOGLETRANSLATE(D229, ""en"", ""hi"")"),"A) खिलाड़ी X 2-1 से आगे है।")</f>
        <v>A) खिलाड़ी X 2-1 से आगे है।</v>
      </c>
    </row>
    <row r="230" ht="22.5" customHeight="1">
      <c r="A230" s="2">
        <v>229.0</v>
      </c>
      <c r="B230" s="3" t="s">
        <v>8026</v>
      </c>
      <c r="C230" s="3" t="s">
        <v>7865</v>
      </c>
      <c r="D230" s="3" t="s">
        <v>7711</v>
      </c>
      <c r="F230" s="5" t="str">
        <f>IFERROR(__xludf.DUMMYFUNCTION("GOOGLETRANSLATE(A230, ""en"", ""hi"")"),"229")</f>
        <v>229</v>
      </c>
      <c r="G230" s="5" t="str">
        <f>IFERROR(__xludf.DUMMYFUNCTION("GOOGLETRANSLATE(B230, ""en"", ""hi"")"),"एक कंचे मैच के दौरान, खिलाड़ी X ने 23 अंक और खिलाड़ी Y ने 22 अंक बनाए। यदि खेल जीतने के लिए 25 अंक चाहिए, तो परिणाम क्या होगा?")</f>
        <v>एक कंचे मैच के दौरान, खिलाड़ी X ने 23 अंक और खिलाड़ी Y ने 22 अंक बनाए। यदि खेल जीतने के लिए 25 अंक चाहिए, तो परिणाम क्या होगा?</v>
      </c>
      <c r="H230" s="5" t="str">
        <f>IFERROR(__xludf.DUMMYFUNCTION("GOOGLETRANSLATE(C230, ""en"", ""hi"")"),"A) खिलाड़ी X जीतता है। , B) खिलाड़ी Y जीतता है। , C) खेल बराबरी पर रहता है। , D) खेल तब तक जारी रहता है जब तक कि एक खिलाड़ी 30 अंक नहीं बना लेता।")</f>
        <v>A) खिलाड़ी X जीतता है। , B) खिलाड़ी Y जीतता है। , C) खेल बराबरी पर रहता है। , D) खेल तब तक जारी रहता है जब तक कि एक खिलाड़ी 30 अंक नहीं बना लेता।</v>
      </c>
      <c r="I230" s="5" t="str">
        <f>IFERROR(__xludf.DUMMYFUNCTION("GOOGLETRANSLATE(D230, ""en"", ""hi"")"),"A) खिलाड़ी X जीतता है.")</f>
        <v>A) खिलाड़ी X जीतता है.</v>
      </c>
    </row>
    <row r="231" ht="22.5" customHeight="1">
      <c r="A231" s="2">
        <v>230.0</v>
      </c>
      <c r="B231" s="3" t="s">
        <v>8027</v>
      </c>
      <c r="C231" s="3" t="s">
        <v>7826</v>
      </c>
      <c r="D231" s="3" t="s">
        <v>7827</v>
      </c>
      <c r="F231" s="5" t="str">
        <f>IFERROR(__xludf.DUMMYFUNCTION("GOOGLETRANSLATE(A231, ""en"", ""hi"")"),"230")</f>
        <v>230</v>
      </c>
      <c r="G231" s="5" t="str">
        <f>IFERROR(__xludf.DUMMYFUNCTION("GOOGLETRANSLATE(B231, ""en"", ""hi"")"),"खिलाड़ी A ने पहला सेट 15-14 से जीता और खिलाड़ी B ने दूसरा सेट 15-13 से जीता। अगर खिलाड़ी A तीसरा सेट 15-11 से जीत जाता है, तो मैच का स्कोर क्या होगा?")</f>
        <v>खिलाड़ी A ने पहला सेट 15-14 से जीता और खिलाड़ी B ने दूसरा सेट 15-13 से जीता। अगर खिलाड़ी A तीसरा सेट 15-11 से जीत जाता है, तो मैच का स्कोर क्या होगा?</v>
      </c>
      <c r="H231" s="5" t="str">
        <f>IFERROR(__xludf.DUMMYFUNCTION("GOOGLETRANSLATE(C231,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31" s="5" t="str">
        <f>IFERROR(__xludf.DUMMYFUNCTION("GOOGLETRANSLATE(D231, ""en"", ""hi"")"),"A) खिलाड़ी A 2-1 से आगे है।")</f>
        <v>A) खिलाड़ी A 2-1 से आगे है।</v>
      </c>
    </row>
    <row r="232" ht="22.5" customHeight="1">
      <c r="A232" s="2">
        <v>231.0</v>
      </c>
      <c r="B232" s="3" t="s">
        <v>7975</v>
      </c>
      <c r="C232" s="3" t="s">
        <v>7959</v>
      </c>
      <c r="D232" s="3" t="s">
        <v>7878</v>
      </c>
      <c r="F232" s="5" t="str">
        <f>IFERROR(__xludf.DUMMYFUNCTION("GOOGLETRANSLATE(A232, ""en"", ""hi"")"),"231")</f>
        <v>231</v>
      </c>
      <c r="G232" s="5" t="str">
        <f>IFERROR(__xludf.DUMMYFUNCTION("GOOGLETRANSLATE(B232, ""en"", ""hi"")"),"एक कंचे खेल में, यदि खिलाड़ी X ने 25 अंक बनाए और खिलाड़ी Y ने 27 अंक बनाए, और खेल को जीतने के लिए 30 अंकों की आवश्यकता है, तो परिणाम क्या होगा?")</f>
        <v>एक कंचे खेल में, यदि खिलाड़ी X ने 25 अंक बनाए और खिलाड़ी Y ने 27 अंक बनाए, और खेल को जीतने के लिए 30 अंकों की आवश्यकता है, तो परिणाम क्या होगा?</v>
      </c>
      <c r="H232" s="5" t="str">
        <f>IFERROR(__xludf.DUMMYFUNCTION("GOOGLETRANSLATE(C232,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32" s="5" t="str">
        <f>IFERROR(__xludf.DUMMYFUNCTION("GOOGLETRANSLATE(D232, ""en"", ""hi"")"),"A) खिलाड़ी Y जीतता है.")</f>
        <v>A) खिलाड़ी Y जीतता है.</v>
      </c>
    </row>
    <row r="233" ht="22.5" customHeight="1">
      <c r="A233" s="2">
        <v>232.0</v>
      </c>
      <c r="B233" s="3" t="s">
        <v>8014</v>
      </c>
      <c r="C233" s="3" t="s">
        <v>7846</v>
      </c>
      <c r="D233" s="3" t="s">
        <v>7847</v>
      </c>
      <c r="F233" s="5" t="str">
        <f>IFERROR(__xludf.DUMMYFUNCTION("GOOGLETRANSLATE(A233, ""en"", ""hi"")"),"232")</f>
        <v>232</v>
      </c>
      <c r="G233" s="5" t="str">
        <f>IFERROR(__xludf.DUMMYFUNCTION("GOOGLETRANSLATE(B233, ""en"", ""hi"")"),"खिलाड़ी X ने पहला सेट 15-10 से और खिलाड़ी Y ने दूसरा सेट 15-12 से जीता। अगर खिलाड़ी X तीसरा सेट 15-14 से जीत जाता है, तो मैच का वर्तमान स्कोर क्या है?")</f>
        <v>खिलाड़ी X ने पहला सेट 15-10 से और खिलाड़ी Y ने दूसरा सेट 15-12 से जीता। अगर खिलाड़ी X तीसरा सेट 15-14 से जीत जाता है, तो मैच का वर्तमान स्कोर क्या है?</v>
      </c>
      <c r="H233" s="5" t="str">
        <f>IFERROR(__xludf.DUMMYFUNCTION("GOOGLETRANSLATE(C233,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33" s="5" t="str">
        <f>IFERROR(__xludf.DUMMYFUNCTION("GOOGLETRANSLATE(D233, ""en"", ""hi"")"),"A) खिलाड़ी X 2-1 से आगे है।")</f>
        <v>A) खिलाड़ी X 2-1 से आगे है।</v>
      </c>
    </row>
    <row r="234" ht="22.5" customHeight="1">
      <c r="A234" s="2">
        <v>233.0</v>
      </c>
      <c r="B234" s="3" t="s">
        <v>7988</v>
      </c>
      <c r="C234" s="3" t="s">
        <v>7989</v>
      </c>
      <c r="D234" s="3" t="s">
        <v>7878</v>
      </c>
      <c r="F234" s="5" t="str">
        <f>IFERROR(__xludf.DUMMYFUNCTION("GOOGLETRANSLATE(A234, ""en"", ""hi"")"),"233")</f>
        <v>233</v>
      </c>
      <c r="G234" s="5" t="str">
        <f>IFERROR(__xludf.DUMMYFUNCTION("GOOGLETRANSLATE(B234, ""en"", ""hi"")"),"एक कंचे मैच के दौरान, खिलाड़ी X ने 30 अंक बनाए और खिलाड़ी Y ने 31 अंक बनाए। यदि खेल जीतने के लिए 35 अंक चाहिए, तो परिणाम क्या होगा?")</f>
        <v>एक कंचे मैच के दौरान, खिलाड़ी X ने 30 अंक बनाए और खिलाड़ी Y ने 31 अंक बनाए। यदि खेल जीतने के लिए 35 अंक चाहिए, तो परिणाम क्या होगा?</v>
      </c>
      <c r="H234" s="5" t="str">
        <f>IFERROR(__xludf.DUMMYFUNCTION("GOOGLETRANSLATE(C234,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34" s="5" t="str">
        <f>IFERROR(__xludf.DUMMYFUNCTION("GOOGLETRANSLATE(D234, ""en"", ""hi"")"),"A) खिलाड़ी Y जीतता है.")</f>
        <v>A) खिलाड़ी Y जीतता है.</v>
      </c>
    </row>
    <row r="235" ht="22.5" customHeight="1">
      <c r="A235" s="2">
        <v>234.0</v>
      </c>
      <c r="B235" s="3" t="s">
        <v>8028</v>
      </c>
      <c r="C235" s="3" t="s">
        <v>7826</v>
      </c>
      <c r="D235" s="3" t="s">
        <v>7827</v>
      </c>
      <c r="F235" s="5" t="str">
        <f>IFERROR(__xludf.DUMMYFUNCTION("GOOGLETRANSLATE(A235, ""en"", ""hi"")"),"234")</f>
        <v>234</v>
      </c>
      <c r="G235" s="5" t="str">
        <f>IFERROR(__xludf.DUMMYFUNCTION("GOOGLETRANSLATE(B235, ""en"", ""hi"")"),"खिलाड़ी A ने पहला सेट 15-12 से जीता और खिलाड़ी B ने दूसरा सेट 15-14 से जीता। अगर खिलाड़ी A तीसरा सेट 15-11 से जीत जाता है, तो मैच का स्कोर क्या होगा?")</f>
        <v>खिलाड़ी A ने पहला सेट 15-12 से जीता और खिलाड़ी B ने दूसरा सेट 15-14 से जीता। अगर खिलाड़ी A तीसरा सेट 15-11 से जीत जाता है, तो मैच का स्कोर क्या होगा?</v>
      </c>
      <c r="H235" s="5" t="str">
        <f>IFERROR(__xludf.DUMMYFUNCTION("GOOGLETRANSLATE(C235,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35" s="5" t="str">
        <f>IFERROR(__xludf.DUMMYFUNCTION("GOOGLETRANSLATE(D235, ""en"", ""hi"")"),"A) खिलाड़ी A 2-1 से आगे है।")</f>
        <v>A) खिलाड़ी A 2-1 से आगे है।</v>
      </c>
    </row>
    <row r="236" ht="22.5" customHeight="1">
      <c r="A236" s="2">
        <v>235.0</v>
      </c>
      <c r="B236" s="3" t="s">
        <v>8029</v>
      </c>
      <c r="C236" s="3" t="s">
        <v>7959</v>
      </c>
      <c r="D236" s="3" t="s">
        <v>7878</v>
      </c>
      <c r="F236" s="5" t="str">
        <f>IFERROR(__xludf.DUMMYFUNCTION("GOOGLETRANSLATE(A236, ""en"", ""hi"")"),"235")</f>
        <v>235</v>
      </c>
      <c r="G236" s="5" t="str">
        <f>IFERROR(__xludf.DUMMYFUNCTION("GOOGLETRANSLATE(B236, ""en"", ""hi"")"),"एक कंचे खेल में, यदि खिलाड़ी X ने 26 अंक बनाए और खिलाड़ी Y ने 27 अंक बनाए, और खेल को जीतने के लिए 30 अंकों की आवश्यकता है, तो परिणाम क्या होगा?")</f>
        <v>एक कंचे खेल में, यदि खिलाड़ी X ने 26 अंक बनाए और खिलाड़ी Y ने 27 अंक बनाए, और खेल को जीतने के लिए 30 अंकों की आवश्यकता है, तो परिणाम क्या होगा?</v>
      </c>
      <c r="H236" s="5" t="str">
        <f>IFERROR(__xludf.DUMMYFUNCTION("GOOGLETRANSLATE(C236,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36" s="5" t="str">
        <f>IFERROR(__xludf.DUMMYFUNCTION("GOOGLETRANSLATE(D236, ""en"", ""hi"")"),"A) खिलाड़ी Y जीतता है.")</f>
        <v>A) खिलाड़ी Y जीतता है.</v>
      </c>
    </row>
    <row r="237" ht="22.5" customHeight="1">
      <c r="A237" s="2">
        <v>236.0</v>
      </c>
      <c r="B237" s="3" t="s">
        <v>8030</v>
      </c>
      <c r="C237" s="3" t="s">
        <v>7846</v>
      </c>
      <c r="D237" s="3" t="s">
        <v>7847</v>
      </c>
      <c r="F237" s="5" t="str">
        <f>IFERROR(__xludf.DUMMYFUNCTION("GOOGLETRANSLATE(A237, ""en"", ""hi"")"),"236")</f>
        <v>236</v>
      </c>
      <c r="G237" s="5" t="str">
        <f>IFERROR(__xludf.DUMMYFUNCTION("GOOGLETRANSLATE(B237, ""en"", ""hi"")"),"खिलाड़ी X ने पहला सेट 15-13 से और खिलाड़ी Y ने दूसरा सेट 15-11 से जीता। अगर खिलाड़ी X तीसरा सेट 15-12 से जीत जाता है, तो मैच का वर्तमान स्कोर क्या है?")</f>
        <v>खिलाड़ी X ने पहला सेट 15-13 से और खिलाड़ी Y ने दूसरा सेट 15-11 से जीता। अगर खिलाड़ी X तीसरा सेट 15-12 से जीत जाता है, तो मैच का वर्तमान स्कोर क्या है?</v>
      </c>
      <c r="H237" s="5" t="str">
        <f>IFERROR(__xludf.DUMMYFUNCTION("GOOGLETRANSLATE(C237,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37" s="5" t="str">
        <f>IFERROR(__xludf.DUMMYFUNCTION("GOOGLETRANSLATE(D237, ""en"", ""hi"")"),"A) खिलाड़ी X 2-1 से आगे है।")</f>
        <v>A) खिलाड़ी X 2-1 से आगे है।</v>
      </c>
    </row>
    <row r="238" ht="22.5" customHeight="1">
      <c r="A238" s="2">
        <v>237.0</v>
      </c>
      <c r="B238" s="3" t="s">
        <v>7977</v>
      </c>
      <c r="C238" s="3" t="s">
        <v>7940</v>
      </c>
      <c r="D238" s="3" t="s">
        <v>7878</v>
      </c>
      <c r="F238" s="5" t="str">
        <f>IFERROR(__xludf.DUMMYFUNCTION("GOOGLETRANSLATE(A238, ""en"", ""hi"")"),"237")</f>
        <v>237</v>
      </c>
      <c r="G238" s="5" t="str">
        <f>IFERROR(__xludf.DUMMYFUNCTION("GOOGLETRANSLATE(B238, ""en"", ""hi"")"),"एक कंचे मैच के दौरान, खिलाड़ी X ने 22 अंक और खिलाड़ी Y ने 23 अंक बनाए। यदि खेल जीतने के लिए 25 अंक चाहिए, तो परिणाम क्या होगा?")</f>
        <v>एक कंचे मैच के दौरान, खिलाड़ी X ने 22 अंक और खिलाड़ी Y ने 23 अंक बनाए। यदि खेल जीतने के लिए 25 अंक चाहिए, तो परिणाम क्या होगा?</v>
      </c>
      <c r="H238" s="5" t="str">
        <f>IFERROR(__xludf.DUMMYFUNCTION("GOOGLETRANSLATE(C238,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238" s="5" t="str">
        <f>IFERROR(__xludf.DUMMYFUNCTION("GOOGLETRANSLATE(D238, ""en"", ""hi"")"),"A) खिलाड़ी Y जीतता है.")</f>
        <v>A) खिलाड़ी Y जीतता है.</v>
      </c>
    </row>
    <row r="239" ht="22.5" customHeight="1">
      <c r="A239" s="2">
        <v>238.0</v>
      </c>
      <c r="B239" s="3" t="s">
        <v>7946</v>
      </c>
      <c r="C239" s="3" t="s">
        <v>7846</v>
      </c>
      <c r="D239" s="3" t="s">
        <v>7847</v>
      </c>
      <c r="F239" s="5" t="str">
        <f>IFERROR(__xludf.DUMMYFUNCTION("GOOGLETRANSLATE(A239, ""en"", ""hi"")"),"238")</f>
        <v>238</v>
      </c>
      <c r="G239" s="5" t="str">
        <f>IFERROR(__xludf.DUMMYFUNCTION("GOOGLETRANSLATE(B239,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239" s="5" t="str">
        <f>IFERROR(__xludf.DUMMYFUNCTION("GOOGLETRANSLATE(C239,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39" s="5" t="str">
        <f>IFERROR(__xludf.DUMMYFUNCTION("GOOGLETRANSLATE(D239, ""en"", ""hi"")"),"A) खिलाड़ी X 2-1 से आगे है।")</f>
        <v>A) खिलाड़ी X 2-1 से आगे है।</v>
      </c>
    </row>
    <row r="240" ht="22.5" customHeight="1">
      <c r="A240" s="2">
        <v>239.0</v>
      </c>
      <c r="B240" s="3" t="s">
        <v>8031</v>
      </c>
      <c r="C240" s="3" t="s">
        <v>7959</v>
      </c>
      <c r="D240" s="3" t="s">
        <v>7878</v>
      </c>
      <c r="F240" s="5" t="str">
        <f>IFERROR(__xludf.DUMMYFUNCTION("GOOGLETRANSLATE(A240, ""en"", ""hi"")"),"239")</f>
        <v>239</v>
      </c>
      <c r="G240" s="5" t="str">
        <f>IFERROR(__xludf.DUMMYFUNCTION("GOOGLETRANSLATE(B240, ""en"", ""hi"")"),"एक कंचे खेल में, यदि खिलाड़ी X ने 25 अंक बनाए और खिलाड़ी Y ने 28 अंक बनाए, और खेल को जीतने के लिए 30 अंकों की आवश्यकता है, तो परिणाम क्या होगा?")</f>
        <v>एक कंचे खेल में, यदि खिलाड़ी X ने 25 अंक बनाए और खिलाड़ी Y ने 28 अंक बनाए, और खेल को जीतने के लिए 30 अंकों की आवश्यकता है, तो परिणाम क्या होगा?</v>
      </c>
      <c r="H240" s="5" t="str">
        <f>IFERROR(__xludf.DUMMYFUNCTION("GOOGLETRANSLATE(C240,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40" s="5" t="str">
        <f>IFERROR(__xludf.DUMMYFUNCTION("GOOGLETRANSLATE(D240, ""en"", ""hi"")"),"A) खिलाड़ी Y जीतता है.")</f>
        <v>A) खिलाड़ी Y जीतता है.</v>
      </c>
    </row>
    <row r="241" ht="22.5" customHeight="1">
      <c r="A241" s="2">
        <v>240.0</v>
      </c>
      <c r="B241" s="3" t="s">
        <v>8032</v>
      </c>
      <c r="C241" s="3" t="s">
        <v>7846</v>
      </c>
      <c r="D241" s="3" t="s">
        <v>7847</v>
      </c>
      <c r="F241" s="5" t="str">
        <f>IFERROR(__xludf.DUMMYFUNCTION("GOOGLETRANSLATE(A241, ""en"", ""hi"")"),"240")</f>
        <v>240</v>
      </c>
      <c r="G241" s="5" t="str">
        <f>IFERROR(__xludf.DUMMYFUNCTION("GOOGLETRANSLATE(B241, ""en"", ""hi"")"),"खिलाड़ी X ने पहला सेट 15-11 से जीता और खिलाड़ी Y ने दूसरा सेट 15-14 से जीता। अगर खिलाड़ी X तीसरा सेट 15-12 से जीत जाता है, तो मैच का वर्तमान स्कोर क्या है?")</f>
        <v>खिलाड़ी X ने पहला सेट 15-11 से जीता और खिलाड़ी Y ने दूसरा सेट 15-14 से जीता। अगर खिलाड़ी X तीसरा सेट 15-12 से जीत जाता है, तो मैच का वर्तमान स्कोर क्या है?</v>
      </c>
      <c r="H241" s="5" t="str">
        <f>IFERROR(__xludf.DUMMYFUNCTION("GOOGLETRANSLATE(C241,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41" s="5" t="str">
        <f>IFERROR(__xludf.DUMMYFUNCTION("GOOGLETRANSLATE(D241, ""en"", ""hi"")"),"A) खिलाड़ी X 2-1 से आगे है।")</f>
        <v>A) खिलाड़ी X 2-1 से आगे है।</v>
      </c>
    </row>
    <row r="242" ht="22.5" customHeight="1">
      <c r="A242" s="2">
        <v>241.0</v>
      </c>
      <c r="B242" s="3" t="s">
        <v>8033</v>
      </c>
      <c r="C242" s="3" t="s">
        <v>7971</v>
      </c>
      <c r="D242" s="3" t="s">
        <v>7711</v>
      </c>
      <c r="F242" s="5" t="str">
        <f>IFERROR(__xludf.DUMMYFUNCTION("GOOGLETRANSLATE(A242, ""en"", ""hi"")"),"241")</f>
        <v>241</v>
      </c>
      <c r="G242" s="5" t="str">
        <f>IFERROR(__xludf.DUMMYFUNCTION("GOOGLETRANSLATE(B242, ""en"", ""hi"")"),"एक कंचे मैच के दौरान, खिलाड़ी X ने 31 अंक बनाए और खिलाड़ी Y ने 30 अंक बनाए। यदि खेल जीतने के लिए 35 अंक चाहिए, तो परिणाम क्या होगा?")</f>
        <v>एक कंचे मैच के दौरान, खिलाड़ी X ने 31 अंक बनाए और खिलाड़ी Y ने 30 अंक बनाए। यदि खेल जीतने के लिए 35 अंक चाहिए, तो परिणाम क्या होगा?</v>
      </c>
      <c r="H242" s="5" t="str">
        <f>IFERROR(__xludf.DUMMYFUNCTION("GOOGLETRANSLATE(C242,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242" s="5" t="str">
        <f>IFERROR(__xludf.DUMMYFUNCTION("GOOGLETRANSLATE(D242, ""en"", ""hi"")"),"A) खिलाड़ी X जीतता है.")</f>
        <v>A) खिलाड़ी X जीतता है.</v>
      </c>
    </row>
    <row r="243" ht="22.5" customHeight="1">
      <c r="A243" s="2">
        <v>242.0</v>
      </c>
      <c r="B243" s="3" t="s">
        <v>8034</v>
      </c>
      <c r="C243" s="3" t="s">
        <v>7826</v>
      </c>
      <c r="D243" s="3" t="s">
        <v>7827</v>
      </c>
      <c r="F243" s="5" t="str">
        <f>IFERROR(__xludf.DUMMYFUNCTION("GOOGLETRANSLATE(A243, ""en"", ""hi"")"),"242")</f>
        <v>242</v>
      </c>
      <c r="G243" s="5" t="str">
        <f>IFERROR(__xludf.DUMMYFUNCTION("GOOGLETRANSLATE(B243, ""en"", ""hi"")"),"खिलाड़ी A ने पहला सेट 15-12 से जीता और खिलाड़ी B ने दूसरा सेट 15-13 से जीता। अगर खिलाड़ी A तीसरा सेट 15-11 से जीत जाता है, तो मैच का स्कोर क्या होगा?")</f>
        <v>खिलाड़ी A ने पहला सेट 15-12 से जीता और खिलाड़ी B ने दूसरा सेट 15-13 से जीता। अगर खिलाड़ी A तीसरा सेट 15-11 से जीत जाता है, तो मैच का स्कोर क्या होगा?</v>
      </c>
      <c r="H243" s="5" t="str">
        <f>IFERROR(__xludf.DUMMYFUNCTION("GOOGLETRANSLATE(C243,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43" s="5" t="str">
        <f>IFERROR(__xludf.DUMMYFUNCTION("GOOGLETRANSLATE(D243, ""en"", ""hi"")"),"A) खिलाड़ी A 2-1 से आगे है।")</f>
        <v>A) खिलाड़ी A 2-1 से आगे है।</v>
      </c>
    </row>
    <row r="244" ht="22.5" customHeight="1">
      <c r="A244" s="2">
        <v>243.0</v>
      </c>
      <c r="B244" s="3" t="s">
        <v>7961</v>
      </c>
      <c r="C244" s="3" t="s">
        <v>7959</v>
      </c>
      <c r="D244" s="3" t="s">
        <v>7878</v>
      </c>
      <c r="F244" s="5" t="str">
        <f>IFERROR(__xludf.DUMMYFUNCTION("GOOGLETRANSLATE(A244, ""en"", ""hi"")"),"243")</f>
        <v>243</v>
      </c>
      <c r="G244" s="5" t="str">
        <f>IFERROR(__xludf.DUMMYFUNCTION("GOOGLETRANSLATE(B244, ""en"", ""hi"")"),"एक कंचे खेल में, यदि खिलाड़ी X ने 24 अंक बनाए और खिलाड़ी Y ने 26 अंक बनाए, और खेल को जीतने के लिए 30 अंकों की आवश्यकता है, तो परिणाम क्या होगा?")</f>
        <v>एक कंचे खेल में, यदि खिलाड़ी X ने 24 अंक बनाए और खिलाड़ी Y ने 26 अंक बनाए, और खेल को जीतने के लिए 30 अंकों की आवश्यकता है, तो परिणाम क्या होगा?</v>
      </c>
      <c r="H244" s="5" t="str">
        <f>IFERROR(__xludf.DUMMYFUNCTION("GOOGLETRANSLATE(C244,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44" s="5" t="str">
        <f>IFERROR(__xludf.DUMMYFUNCTION("GOOGLETRANSLATE(D244, ""en"", ""hi"")"),"A) खिलाड़ी Y जीतता है.")</f>
        <v>A) खिलाड़ी Y जीतता है.</v>
      </c>
    </row>
    <row r="245" ht="22.5" customHeight="1">
      <c r="A245" s="2">
        <v>244.0</v>
      </c>
      <c r="B245" s="3" t="s">
        <v>8014</v>
      </c>
      <c r="C245" s="3" t="s">
        <v>7846</v>
      </c>
      <c r="D245" s="3" t="s">
        <v>7847</v>
      </c>
      <c r="F245" s="5" t="str">
        <f>IFERROR(__xludf.DUMMYFUNCTION("GOOGLETRANSLATE(A245, ""en"", ""hi"")"),"244")</f>
        <v>244</v>
      </c>
      <c r="G245" s="5" t="str">
        <f>IFERROR(__xludf.DUMMYFUNCTION("GOOGLETRANSLATE(B245, ""en"", ""hi"")"),"खिलाड़ी X ने पहला सेट 15-10 से और खिलाड़ी Y ने दूसरा सेट 15-12 से जीता। अगर खिलाड़ी X तीसरा सेट 15-14 से जीत जाता है, तो मैच का वर्तमान स्कोर क्या है?")</f>
        <v>खिलाड़ी X ने पहला सेट 15-10 से और खिलाड़ी Y ने दूसरा सेट 15-12 से जीता। अगर खिलाड़ी X तीसरा सेट 15-14 से जीत जाता है, तो मैच का वर्तमान स्कोर क्या है?</v>
      </c>
      <c r="H245" s="5" t="str">
        <f>IFERROR(__xludf.DUMMYFUNCTION("GOOGLETRANSLATE(C245,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45" s="5" t="str">
        <f>IFERROR(__xludf.DUMMYFUNCTION("GOOGLETRANSLATE(D245, ""en"", ""hi"")"),"A) खिलाड़ी X 2-1 से आगे है।")</f>
        <v>A) खिलाड़ी X 2-1 से आगे है।</v>
      </c>
    </row>
    <row r="246" ht="22.5" customHeight="1">
      <c r="A246" s="2">
        <v>245.0</v>
      </c>
      <c r="B246" s="3" t="s">
        <v>7995</v>
      </c>
      <c r="C246" s="3" t="s">
        <v>7959</v>
      </c>
      <c r="D246" s="3" t="s">
        <v>7878</v>
      </c>
      <c r="F246" s="5" t="str">
        <f>IFERROR(__xludf.DUMMYFUNCTION("GOOGLETRANSLATE(A246, ""en"", ""hi"")"),"245")</f>
        <v>245</v>
      </c>
      <c r="G246" s="5" t="str">
        <f>IFERROR(__xludf.DUMMYFUNCTION("GOOGLETRANSLATE(B246, ""en"", ""hi"")"),"एक कंचे मैच के दौरान, खिलाड़ी X ने 25 अंक और खिलाड़ी Y ने 27 अंक बनाए। यदि खेल जीतने के लिए 30 अंकों की आवश्यकता है, तो परिणाम क्या होगा?")</f>
        <v>एक कंचे मैच के दौरान, खिलाड़ी X ने 25 अंक और खिलाड़ी Y ने 27 अंक बनाए। यदि खेल जीतने के लिए 30 अंकों की आवश्यकता है, तो परिणाम क्या होगा?</v>
      </c>
      <c r="H246" s="5" t="str">
        <f>IFERROR(__xludf.DUMMYFUNCTION("GOOGLETRANSLATE(C246,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46" s="5" t="str">
        <f>IFERROR(__xludf.DUMMYFUNCTION("GOOGLETRANSLATE(D246, ""en"", ""hi"")"),"A) खिलाड़ी Y जीतता है.")</f>
        <v>A) खिलाड़ी Y जीतता है.</v>
      </c>
    </row>
    <row r="247" ht="22.5" customHeight="1">
      <c r="A247" s="2">
        <v>246.0</v>
      </c>
      <c r="B247" s="3" t="s">
        <v>7919</v>
      </c>
      <c r="C247" s="3" t="s">
        <v>7826</v>
      </c>
      <c r="D247" s="3" t="s">
        <v>7827</v>
      </c>
      <c r="F247" s="5" t="str">
        <f>IFERROR(__xludf.DUMMYFUNCTION("GOOGLETRANSLATE(A247, ""en"", ""hi"")"),"246")</f>
        <v>246</v>
      </c>
      <c r="G247" s="5" t="str">
        <f>IFERROR(__xludf.DUMMYFUNCTION("GOOGLETRANSLATE(B247, ""en"", ""hi"")"),"खिलाड़ी A ने पहला सेट 15-14 से जीता और खिलाड़ी B ने दूसरा सेट 15-13 से जीता। अगर खिलाड़ी A तीसरा सेट 15-12 से जीत जाता है, तो मैच का स्कोर क्या होगा?")</f>
        <v>खिलाड़ी A ने पहला सेट 15-14 से जीता और खिलाड़ी B ने दूसरा सेट 15-13 से जीता। अगर खिलाड़ी A तीसरा सेट 15-12 से जीत जाता है, तो मैच का स्कोर क्या होगा?</v>
      </c>
      <c r="H247" s="5" t="str">
        <f>IFERROR(__xludf.DUMMYFUNCTION("GOOGLETRANSLATE(C247,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47" s="5" t="str">
        <f>IFERROR(__xludf.DUMMYFUNCTION("GOOGLETRANSLATE(D247, ""en"", ""hi"")"),"A) खिलाड़ी A 2-1 से आगे है।")</f>
        <v>A) खिलाड़ी A 2-1 से आगे है।</v>
      </c>
    </row>
    <row r="248" ht="22.5" customHeight="1">
      <c r="A248" s="2">
        <v>247.0</v>
      </c>
      <c r="B248" s="3" t="s">
        <v>8017</v>
      </c>
      <c r="C248" s="3" t="s">
        <v>7989</v>
      </c>
      <c r="D248" s="3" t="s">
        <v>7878</v>
      </c>
      <c r="F248" s="5" t="str">
        <f>IFERROR(__xludf.DUMMYFUNCTION("GOOGLETRANSLATE(A248, ""en"", ""hi"")"),"247")</f>
        <v>247</v>
      </c>
      <c r="G248" s="5" t="str">
        <f>IFERROR(__xludf.DUMMYFUNCTION("GOOGLETRANSLATE(B248, ""en"", ""hi"")"),"एक कंचे खेल में, यदि खिलाड़ी X ने 29 अंक बनाए और खिलाड़ी Y ने 30 अंक बनाए, और खेल को जीतने के लिए 35 अंकों की आवश्यकता है, तो परिणाम क्या होगा?")</f>
        <v>एक कंचे खेल में, यदि खिलाड़ी X ने 29 अंक बनाए और खिलाड़ी Y ने 30 अंक बनाए, और खेल को जीतने के लिए 35 अंकों की आवश्यकता है, तो परिणाम क्या होगा?</v>
      </c>
      <c r="H248" s="5" t="str">
        <f>IFERROR(__xludf.DUMMYFUNCTION("GOOGLETRANSLATE(C248,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48" s="5" t="str">
        <f>IFERROR(__xludf.DUMMYFUNCTION("GOOGLETRANSLATE(D248, ""en"", ""hi"")"),"A) खिलाड़ी Y जीतता है.")</f>
        <v>A) खिलाड़ी Y जीतता है.</v>
      </c>
    </row>
    <row r="249" ht="22.5" customHeight="1">
      <c r="A249" s="2">
        <v>248.0</v>
      </c>
      <c r="B249" s="3" t="s">
        <v>8035</v>
      </c>
      <c r="C249" s="3" t="s">
        <v>7846</v>
      </c>
      <c r="D249" s="3" t="s">
        <v>7847</v>
      </c>
      <c r="F249" s="5" t="str">
        <f>IFERROR(__xludf.DUMMYFUNCTION("GOOGLETRANSLATE(A249, ""en"", ""hi"")"),"248")</f>
        <v>248</v>
      </c>
      <c r="G249" s="5" t="str">
        <f>IFERROR(__xludf.DUMMYFUNCTION("GOOGLETRANSLATE(B249, ""en"", ""hi"")"),"खिलाड़ी X ने पहला सेट 15-13 से और खिलाड़ी Y ने दूसरा सेट 15-11 से जीता। अगर खिलाड़ी X तीसरा सेट 15-14 से जीत जाता है, तो मैच का वर्तमान स्कोर क्या है?")</f>
        <v>खिलाड़ी X ने पहला सेट 15-13 से और खिलाड़ी Y ने दूसरा सेट 15-11 से जीता। अगर खिलाड़ी X तीसरा सेट 15-14 से जीत जाता है, तो मैच का वर्तमान स्कोर क्या है?</v>
      </c>
      <c r="H249" s="5" t="str">
        <f>IFERROR(__xludf.DUMMYFUNCTION("GOOGLETRANSLATE(C249,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49" s="5" t="str">
        <f>IFERROR(__xludf.DUMMYFUNCTION("GOOGLETRANSLATE(D249, ""en"", ""hi"")"),"A) खिलाड़ी X 2-1 से आगे है।")</f>
        <v>A) खिलाड़ी X 2-1 से आगे है।</v>
      </c>
    </row>
    <row r="250" ht="22.5" customHeight="1">
      <c r="A250" s="2">
        <v>249.0</v>
      </c>
      <c r="B250" s="3" t="s">
        <v>8036</v>
      </c>
      <c r="C250" s="3" t="s">
        <v>7940</v>
      </c>
      <c r="D250" s="3" t="s">
        <v>7878</v>
      </c>
      <c r="F250" s="5" t="str">
        <f>IFERROR(__xludf.DUMMYFUNCTION("GOOGLETRANSLATE(A250, ""en"", ""hi"")"),"249")</f>
        <v>249</v>
      </c>
      <c r="G250" s="5" t="str">
        <f>IFERROR(__xludf.DUMMYFUNCTION("GOOGLETRANSLATE(B250, ""en"", ""hi"")"),"एक कंचे मैच के दौरान, खिलाड़ी X ने 20 अंक बनाए और खिलाड़ी Y ने 22 अंक बनाए। यदि खेल जीतने के लिए 25 अंक चाहिए, तो परिणाम क्या होगा?")</f>
        <v>एक कंचे मैच के दौरान, खिलाड़ी X ने 20 अंक बनाए और खिलाड़ी Y ने 22 अंक बनाए। यदि खेल जीतने के लिए 25 अंक चाहिए, तो परिणाम क्या होगा?</v>
      </c>
      <c r="H250" s="5" t="str">
        <f>IFERROR(__xludf.DUMMYFUNCTION("GOOGLETRANSLATE(C250, ""en"", ""hi"")"),"A) खिलाड़ी Y जीतता है। , B) खिलाड़ी X जीतता है। , C) खेल बराबरी पर रहता है। , D) खेल तब तक जारी रहता है जब तक कि एक खिलाड़ी 30 अंक नहीं बना लेता।")</f>
        <v>A) खिलाड़ी Y जीतता है। , B) खिलाड़ी X जीतता है। , C) खेल बराबरी पर रहता है। , D) खेल तब तक जारी रहता है जब तक कि एक खिलाड़ी 30 अंक नहीं बना लेता।</v>
      </c>
      <c r="I250" s="5" t="str">
        <f>IFERROR(__xludf.DUMMYFUNCTION("GOOGLETRANSLATE(D250, ""en"", ""hi"")"),"A) खिलाड़ी Y जीतता है.")</f>
        <v>A) खिलाड़ी Y जीतता है.</v>
      </c>
    </row>
    <row r="251" ht="22.5" customHeight="1">
      <c r="A251" s="2">
        <v>250.0</v>
      </c>
      <c r="B251" s="3" t="s">
        <v>8024</v>
      </c>
      <c r="C251" s="3" t="s">
        <v>7826</v>
      </c>
      <c r="D251" s="3" t="s">
        <v>7827</v>
      </c>
      <c r="F251" s="5" t="str">
        <f>IFERROR(__xludf.DUMMYFUNCTION("GOOGLETRANSLATE(A251, ""en"", ""hi"")"),"250")</f>
        <v>250</v>
      </c>
      <c r="G251" s="5" t="str">
        <f>IFERROR(__xludf.DUMMYFUNCTION("GOOGLETRANSLATE(B251, ""en"", ""hi"")"),"खिलाड़ी A ने पहला सेट 15-11 से जीता और खिलाड़ी B ने दूसरा सेट 15-12 से जीता। अगर खिलाड़ी A तीसरा सेट 15-14 से जीत जाता है, तो मैच का स्कोर क्या होगा?")</f>
        <v>खिलाड़ी A ने पहला सेट 15-11 से जीता और खिलाड़ी B ने दूसरा सेट 15-12 से जीता। अगर खिलाड़ी A तीसरा सेट 15-14 से जीत जाता है, तो मैच का स्कोर क्या होगा?</v>
      </c>
      <c r="H251" s="5" t="str">
        <f>IFERROR(__xludf.DUMMYFUNCTION("GOOGLETRANSLATE(C251,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51" s="5" t="str">
        <f>IFERROR(__xludf.DUMMYFUNCTION("GOOGLETRANSLATE(D251, ""en"", ""hi"")"),"A) खिलाड़ी A 2-1 से आगे है।")</f>
        <v>A) खिलाड़ी A 2-1 से आगे है।</v>
      </c>
    </row>
    <row r="252" ht="22.5" customHeight="1">
      <c r="A252" s="2">
        <v>251.0</v>
      </c>
      <c r="B252" s="3" t="s">
        <v>8037</v>
      </c>
      <c r="C252" s="3" t="s">
        <v>7989</v>
      </c>
      <c r="D252" s="3" t="s">
        <v>7878</v>
      </c>
      <c r="F252" s="5" t="str">
        <f>IFERROR(__xludf.DUMMYFUNCTION("GOOGLETRANSLATE(A252, ""en"", ""hi"")"),"251")</f>
        <v>251</v>
      </c>
      <c r="G252" s="5" t="str">
        <f>IFERROR(__xludf.DUMMYFUNCTION("GOOGLETRANSLATE(B252, ""en"", ""hi"")"),"एक कंचे खेल में, खिलाड़ी X 30 अंक और खिलाड़ी Y 31 अंक बनाता है। यदि खेल जीतने के लिए 35 अंक चाहिए, तो परिणाम क्या होगा?")</f>
        <v>एक कंचे खेल में, खिलाड़ी X 30 अंक और खिलाड़ी Y 31 अंक बनाता है। यदि खेल जीतने के लिए 35 अंक चाहिए, तो परिणाम क्या होगा?</v>
      </c>
      <c r="H252" s="5" t="str">
        <f>IFERROR(__xludf.DUMMYFUNCTION("GOOGLETRANSLATE(C252,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52" s="5" t="str">
        <f>IFERROR(__xludf.DUMMYFUNCTION("GOOGLETRANSLATE(D252, ""en"", ""hi"")"),"A) खिलाड़ी Y जीतता है.")</f>
        <v>A) खिलाड़ी Y जीतता है.</v>
      </c>
    </row>
    <row r="253" ht="22.5" customHeight="1">
      <c r="A253" s="2">
        <v>252.0</v>
      </c>
      <c r="B253" s="3" t="s">
        <v>8002</v>
      </c>
      <c r="C253" s="3" t="s">
        <v>7826</v>
      </c>
      <c r="D253" s="3" t="s">
        <v>7827</v>
      </c>
      <c r="F253" s="5" t="str">
        <f>IFERROR(__xludf.DUMMYFUNCTION("GOOGLETRANSLATE(A253, ""en"", ""hi"")"),"252")</f>
        <v>252</v>
      </c>
      <c r="G253" s="5" t="str">
        <f>IFERROR(__xludf.DUMMYFUNCTION("GOOGLETRANSLATE(B253, ""en"", ""hi"")"),"खिलाड़ी A ने पहला सेट 15-13 से जीता और खिलाड़ी B ने दूसरा सेट 15-14 से जीता। अगर खिलाड़ी A तीसरा सेट 15-12 से जीत जाता है, तो मैच का स्कोर क्या होगा?")</f>
        <v>खिलाड़ी A ने पहला सेट 15-13 से जीता और खिलाड़ी B ने दूसरा सेट 15-14 से जीता। अगर खिलाड़ी A तीसरा सेट 15-12 से जीत जाता है, तो मैच का स्कोर क्या होगा?</v>
      </c>
      <c r="H253" s="5" t="str">
        <f>IFERROR(__xludf.DUMMYFUNCTION("GOOGLETRANSLATE(C253,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53" s="5" t="str">
        <f>IFERROR(__xludf.DUMMYFUNCTION("GOOGLETRANSLATE(D253, ""en"", ""hi"")"),"A) खिलाड़ी A 2-1 से आगे है।")</f>
        <v>A) खिलाड़ी A 2-1 से आगे है।</v>
      </c>
    </row>
    <row r="254" ht="22.5" customHeight="1">
      <c r="A254" s="2">
        <v>253.0</v>
      </c>
      <c r="B254" s="3" t="s">
        <v>8038</v>
      </c>
      <c r="C254" s="3" t="s">
        <v>7959</v>
      </c>
      <c r="D254" s="3" t="s">
        <v>7878</v>
      </c>
      <c r="F254" s="5" t="str">
        <f>IFERROR(__xludf.DUMMYFUNCTION("GOOGLETRANSLATE(A254, ""en"", ""hi"")"),"253")</f>
        <v>253</v>
      </c>
      <c r="G254" s="5" t="str">
        <f>IFERROR(__xludf.DUMMYFUNCTION("GOOGLETRANSLATE(B254, ""en"", ""hi"")"),"एक कंचे मैच में, खिलाड़ी X 25 अंक और खिलाड़ी Y 26 अंक बनाता है। यदि खेल जीतने के लिए 30 अंक चाहिए, तो परिणाम क्या होगा?")</f>
        <v>एक कंचे मैच में, खिलाड़ी X 25 अंक और खिलाड़ी Y 26 अंक बनाता है। यदि खेल जीतने के लिए 30 अंक चाहिए, तो परिणाम क्या होगा?</v>
      </c>
      <c r="H254" s="5" t="str">
        <f>IFERROR(__xludf.DUMMYFUNCTION("GOOGLETRANSLATE(C254,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54" s="5" t="str">
        <f>IFERROR(__xludf.DUMMYFUNCTION("GOOGLETRANSLATE(D254, ""en"", ""hi"")"),"A) खिलाड़ी Y जीतता है.")</f>
        <v>A) खिलाड़ी Y जीतता है.</v>
      </c>
    </row>
    <row r="255" ht="22.5" customHeight="1">
      <c r="A255" s="2">
        <v>254.0</v>
      </c>
      <c r="B255" s="3" t="s">
        <v>7957</v>
      </c>
      <c r="C255" s="3" t="s">
        <v>7846</v>
      </c>
      <c r="D255" s="3" t="s">
        <v>7847</v>
      </c>
      <c r="F255" s="5" t="str">
        <f>IFERROR(__xludf.DUMMYFUNCTION("GOOGLETRANSLATE(A255, ""en"", ""hi"")"),"254")</f>
        <v>254</v>
      </c>
      <c r="G255" s="5" t="str">
        <f>IFERROR(__xludf.DUMMYFUNCTION("GOOGLETRANSLATE(B255, ""en"", ""hi"")"),"खिलाड़ी X ने पहला सेट 15-12 से जीता और खिलाड़ी Y ने दूसरा सेट 15-13 से जीता। अगर खिलाड़ी X तीसरा सेट 15-14 से जीतता है, तो मैच का स्कोर क्या होगा?")</f>
        <v>खिलाड़ी X ने पहला सेट 15-12 से जीता और खिलाड़ी Y ने दूसरा सेट 15-13 से जीता। अगर खिलाड़ी X तीसरा सेट 15-14 से जीतता है, तो मैच का स्कोर क्या होगा?</v>
      </c>
      <c r="H255" s="5" t="str">
        <f>IFERROR(__xludf.DUMMYFUNCTION("GOOGLETRANSLATE(C255,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55" s="5" t="str">
        <f>IFERROR(__xludf.DUMMYFUNCTION("GOOGLETRANSLATE(D255, ""en"", ""hi"")"),"A) खिलाड़ी X 2-1 से आगे है।")</f>
        <v>A) खिलाड़ी X 2-1 से आगे है।</v>
      </c>
    </row>
    <row r="256" ht="22.5" customHeight="1">
      <c r="A256" s="2">
        <v>255.0</v>
      </c>
      <c r="B256" s="3" t="s">
        <v>8017</v>
      </c>
      <c r="C256" s="3" t="s">
        <v>7989</v>
      </c>
      <c r="D256" s="3" t="s">
        <v>7878</v>
      </c>
      <c r="F256" s="5" t="str">
        <f>IFERROR(__xludf.DUMMYFUNCTION("GOOGLETRANSLATE(A256, ""en"", ""hi"")"),"255")</f>
        <v>255</v>
      </c>
      <c r="G256" s="5" t="str">
        <f>IFERROR(__xludf.DUMMYFUNCTION("GOOGLETRANSLATE(B256, ""en"", ""hi"")"),"एक कंचे खेल में, यदि खिलाड़ी X ने 29 अंक बनाए और खिलाड़ी Y ने 30 अंक बनाए, और खेल को जीतने के लिए 35 अंकों की आवश्यकता है, तो परिणाम क्या होगा?")</f>
        <v>एक कंचे खेल में, यदि खिलाड़ी X ने 29 अंक बनाए और खिलाड़ी Y ने 30 अंक बनाए, और खेल को जीतने के लिए 35 अंकों की आवश्यकता है, तो परिणाम क्या होगा?</v>
      </c>
      <c r="H256" s="5" t="str">
        <f>IFERROR(__xludf.DUMMYFUNCTION("GOOGLETRANSLATE(C256,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56" s="5" t="str">
        <f>IFERROR(__xludf.DUMMYFUNCTION("GOOGLETRANSLATE(D256, ""en"", ""hi"")"),"A) खिलाड़ी Y जीतता है.")</f>
        <v>A) खिलाड़ी Y जीतता है.</v>
      </c>
    </row>
    <row r="257" ht="22.5" customHeight="1">
      <c r="A257" s="2">
        <v>256.0</v>
      </c>
      <c r="B257" s="3" t="s">
        <v>7985</v>
      </c>
      <c r="C257" s="3" t="s">
        <v>7846</v>
      </c>
      <c r="D257" s="3" t="s">
        <v>7847</v>
      </c>
      <c r="F257" s="5" t="str">
        <f>IFERROR(__xludf.DUMMYFUNCTION("GOOGLETRANSLATE(A257, ""en"", ""hi"")"),"256")</f>
        <v>256</v>
      </c>
      <c r="G257" s="5" t="str">
        <f>IFERROR(__xludf.DUMMYFUNCTION("GOOGLETRANSLATE(B257, ""en"", ""hi"")"),"खिलाड़ी X ने पहला सेट 15-14 से जीता और खिलाड़ी Y ने दूसरा सेट 15-12 से जीता। अगर खिलाड़ी X तीसरा सेट 15-13 से जीतता है, तो मैच का स्कोर क्या होगा?")</f>
        <v>खिलाड़ी X ने पहला सेट 15-14 से जीता और खिलाड़ी Y ने दूसरा सेट 15-12 से जीता। अगर खिलाड़ी X तीसरा सेट 15-13 से जीतता है, तो मैच का स्कोर क्या होगा?</v>
      </c>
      <c r="H257" s="5" t="str">
        <f>IFERROR(__xludf.DUMMYFUNCTION("GOOGLETRANSLATE(C257,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57" s="5" t="str">
        <f>IFERROR(__xludf.DUMMYFUNCTION("GOOGLETRANSLATE(D257, ""en"", ""hi"")"),"A) खिलाड़ी X 2-1 से आगे है।")</f>
        <v>A) खिलाड़ी X 2-1 से आगे है।</v>
      </c>
    </row>
    <row r="258" ht="22.5" customHeight="1">
      <c r="A258" s="2">
        <v>257.0</v>
      </c>
      <c r="B258" s="3" t="s">
        <v>8039</v>
      </c>
      <c r="C258" s="3" t="s">
        <v>7959</v>
      </c>
      <c r="D258" s="3" t="s">
        <v>7878</v>
      </c>
      <c r="F258" s="5" t="str">
        <f>IFERROR(__xludf.DUMMYFUNCTION("GOOGLETRANSLATE(A258, ""en"", ""hi"")"),"257")</f>
        <v>257</v>
      </c>
      <c r="G258" s="5" t="str">
        <f>IFERROR(__xludf.DUMMYFUNCTION("GOOGLETRANSLATE(B258, ""en"", ""hi"")"),"एक कंचे मैच में, खिलाड़ी X 24 अंक और खिलाड़ी Y 26 अंक बनाता है। यदि खेल जीतने के लिए 30 अंक चाहिए, तो परिणाम क्या होगा?")</f>
        <v>एक कंचे मैच में, खिलाड़ी X 24 अंक और खिलाड़ी Y 26 अंक बनाता है। यदि खेल जीतने के लिए 30 अंक चाहिए, तो परिणाम क्या होगा?</v>
      </c>
      <c r="H258" s="5" t="str">
        <f>IFERROR(__xludf.DUMMYFUNCTION("GOOGLETRANSLATE(C258,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58" s="5" t="str">
        <f>IFERROR(__xludf.DUMMYFUNCTION("GOOGLETRANSLATE(D258, ""en"", ""hi"")"),"A) खिलाड़ी Y जीतता है.")</f>
        <v>A) खिलाड़ी Y जीतता है.</v>
      </c>
    </row>
    <row r="259" ht="22.5" customHeight="1">
      <c r="A259" s="2">
        <v>258.0</v>
      </c>
      <c r="B259" s="3" t="s">
        <v>8024</v>
      </c>
      <c r="C259" s="3" t="s">
        <v>7826</v>
      </c>
      <c r="D259" s="3" t="s">
        <v>7827</v>
      </c>
      <c r="F259" s="5" t="str">
        <f>IFERROR(__xludf.DUMMYFUNCTION("GOOGLETRANSLATE(A259, ""en"", ""hi"")"),"258")</f>
        <v>258</v>
      </c>
      <c r="G259" s="5" t="str">
        <f>IFERROR(__xludf.DUMMYFUNCTION("GOOGLETRANSLATE(B259, ""en"", ""hi"")"),"खिलाड़ी A ने पहला सेट 15-11 से जीता और खिलाड़ी B ने दूसरा सेट 15-12 से जीता। अगर खिलाड़ी A तीसरा सेट 15-14 से जीत जाता है, तो मैच का स्कोर क्या होगा?")</f>
        <v>खिलाड़ी A ने पहला सेट 15-11 से जीता और खिलाड़ी B ने दूसरा सेट 15-12 से जीता। अगर खिलाड़ी A तीसरा सेट 15-14 से जीत जाता है, तो मैच का स्कोर क्या होगा?</v>
      </c>
      <c r="H259" s="5" t="str">
        <f>IFERROR(__xludf.DUMMYFUNCTION("GOOGLETRANSLATE(C259,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59" s="5" t="str">
        <f>IFERROR(__xludf.DUMMYFUNCTION("GOOGLETRANSLATE(D259, ""en"", ""hi"")"),"A) खिलाड़ी A 2-1 से आगे है।")</f>
        <v>A) खिलाड़ी A 2-1 से आगे है।</v>
      </c>
    </row>
    <row r="260" ht="22.5" customHeight="1">
      <c r="A260" s="2">
        <v>259.0</v>
      </c>
      <c r="B260" s="3" t="s">
        <v>7975</v>
      </c>
      <c r="C260" s="3" t="s">
        <v>7959</v>
      </c>
      <c r="D260" s="3" t="s">
        <v>7878</v>
      </c>
      <c r="F260" s="5" t="str">
        <f>IFERROR(__xludf.DUMMYFUNCTION("GOOGLETRANSLATE(A260, ""en"", ""hi"")"),"259")</f>
        <v>259</v>
      </c>
      <c r="G260" s="5" t="str">
        <f>IFERROR(__xludf.DUMMYFUNCTION("GOOGLETRANSLATE(B260, ""en"", ""hi"")"),"एक कंचे खेल में, यदि खिलाड़ी X ने 25 अंक बनाए और खिलाड़ी Y ने 27 अंक बनाए, और खेल को जीतने के लिए 30 अंकों की आवश्यकता है, तो परिणाम क्या होगा?")</f>
        <v>एक कंचे खेल में, यदि खिलाड़ी X ने 25 अंक बनाए और खिलाड़ी Y ने 27 अंक बनाए, और खेल को जीतने के लिए 30 अंकों की आवश्यकता है, तो परिणाम क्या होगा?</v>
      </c>
      <c r="H260" s="5" t="str">
        <f>IFERROR(__xludf.DUMMYFUNCTION("GOOGLETRANSLATE(C260,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60" s="5" t="str">
        <f>IFERROR(__xludf.DUMMYFUNCTION("GOOGLETRANSLATE(D260, ""en"", ""hi"")"),"A) खिलाड़ी Y जीतता है.")</f>
        <v>A) खिलाड़ी Y जीतता है.</v>
      </c>
    </row>
    <row r="261" ht="22.5" customHeight="1">
      <c r="A261" s="2">
        <v>260.0</v>
      </c>
      <c r="B261" s="3" t="s">
        <v>7946</v>
      </c>
      <c r="C261" s="3" t="s">
        <v>7846</v>
      </c>
      <c r="D261" s="3" t="s">
        <v>7847</v>
      </c>
      <c r="F261" s="5" t="str">
        <f>IFERROR(__xludf.DUMMYFUNCTION("GOOGLETRANSLATE(A261, ""en"", ""hi"")"),"260")</f>
        <v>260</v>
      </c>
      <c r="G261" s="5" t="str">
        <f>IFERROR(__xludf.DUMMYFUNCTION("GOOGLETRANSLATE(B261,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261" s="5" t="str">
        <f>IFERROR(__xludf.DUMMYFUNCTION("GOOGLETRANSLATE(C261,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61" s="5" t="str">
        <f>IFERROR(__xludf.DUMMYFUNCTION("GOOGLETRANSLATE(D261, ""en"", ""hi"")"),"A) खिलाड़ी X 2-1 से आगे है।")</f>
        <v>A) खिलाड़ी X 2-1 से आगे है।</v>
      </c>
    </row>
    <row r="262" ht="22.5" customHeight="1">
      <c r="A262" s="2">
        <v>261.0</v>
      </c>
      <c r="B262" s="3" t="s">
        <v>8040</v>
      </c>
      <c r="C262" s="3" t="s">
        <v>7989</v>
      </c>
      <c r="D262" s="3" t="s">
        <v>7878</v>
      </c>
      <c r="F262" s="5" t="str">
        <f>IFERROR(__xludf.DUMMYFUNCTION("GOOGLETRANSLATE(A262, ""en"", ""hi"")"),"261")</f>
        <v>261</v>
      </c>
      <c r="G262" s="5" t="str">
        <f>IFERROR(__xludf.DUMMYFUNCTION("GOOGLETRANSLATE(B262, ""en"", ""hi"")"),"एक कंचे मैच में, खिलाड़ी X 27 अंक और खिलाड़ी Y 28 अंक बनाता है। यदि खेल जीतने के लिए 35 अंक चाहिए, तो परिणाम क्या होगा?")</f>
        <v>एक कंचे मैच में, खिलाड़ी X 27 अंक और खिलाड़ी Y 28 अंक बनाता है। यदि खेल जीतने के लिए 35 अंक चाहिए, तो परिणाम क्या होगा?</v>
      </c>
      <c r="H262" s="5" t="str">
        <f>IFERROR(__xludf.DUMMYFUNCTION("GOOGLETRANSLATE(C262,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62" s="5" t="str">
        <f>IFERROR(__xludf.DUMMYFUNCTION("GOOGLETRANSLATE(D262, ""en"", ""hi"")"),"A) खिलाड़ी Y जीतता है.")</f>
        <v>A) खिलाड़ी Y जीतता है.</v>
      </c>
    </row>
    <row r="263" ht="22.5" customHeight="1">
      <c r="A263" s="2">
        <v>262.0</v>
      </c>
      <c r="B263" s="3" t="s">
        <v>8002</v>
      </c>
      <c r="C263" s="3" t="s">
        <v>7826</v>
      </c>
      <c r="D263" s="3" t="s">
        <v>7827</v>
      </c>
      <c r="F263" s="5" t="str">
        <f>IFERROR(__xludf.DUMMYFUNCTION("GOOGLETRANSLATE(A263, ""en"", ""hi"")"),"262")</f>
        <v>262</v>
      </c>
      <c r="G263" s="5" t="str">
        <f>IFERROR(__xludf.DUMMYFUNCTION("GOOGLETRANSLATE(B263, ""en"", ""hi"")"),"खिलाड़ी A ने पहला सेट 15-13 से जीता और खिलाड़ी B ने दूसरा सेट 15-14 से जीता। अगर खिलाड़ी A तीसरा सेट 15-12 से जीत जाता है, तो मैच का स्कोर क्या होगा?")</f>
        <v>खिलाड़ी A ने पहला सेट 15-13 से जीता और खिलाड़ी B ने दूसरा सेट 15-14 से जीता। अगर खिलाड़ी A तीसरा सेट 15-12 से जीत जाता है, तो मैच का स्कोर क्या होगा?</v>
      </c>
      <c r="H263" s="5" t="str">
        <f>IFERROR(__xludf.DUMMYFUNCTION("GOOGLETRANSLATE(C263,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63" s="5" t="str">
        <f>IFERROR(__xludf.DUMMYFUNCTION("GOOGLETRANSLATE(D263, ""en"", ""hi"")"),"A) खिलाड़ी A 2-1 से आगे है।")</f>
        <v>A) खिलाड़ी A 2-1 से आगे है।</v>
      </c>
    </row>
    <row r="264" ht="22.5" customHeight="1">
      <c r="A264" s="2">
        <v>263.0</v>
      </c>
      <c r="B264" s="3" t="s">
        <v>8041</v>
      </c>
      <c r="C264" s="3" t="s">
        <v>7959</v>
      </c>
      <c r="D264" s="3" t="s">
        <v>7878</v>
      </c>
      <c r="F264" s="5" t="str">
        <f>IFERROR(__xludf.DUMMYFUNCTION("GOOGLETRANSLATE(A264, ""en"", ""hi"")"),"263")</f>
        <v>263</v>
      </c>
      <c r="G264" s="5" t="str">
        <f>IFERROR(__xludf.DUMMYFUNCTION("GOOGLETRANSLATE(B264, ""en"", ""hi"")"),"एक कंचे खेल में, यदि खिलाड़ी X ने 26 अंक बनाए और खिलाड़ी Y ने 28 अंक बनाए, और खेल को जीतने के लिए 30 अंकों की आवश्यकता है, तो परिणाम क्या होगा?")</f>
        <v>एक कंचे खेल में, यदि खिलाड़ी X ने 26 अंक बनाए और खिलाड़ी Y ने 28 अंक बनाए, और खेल को जीतने के लिए 30 अंकों की आवश्यकता है, तो परिणाम क्या होगा?</v>
      </c>
      <c r="H264" s="5" t="str">
        <f>IFERROR(__xludf.DUMMYFUNCTION("GOOGLETRANSLATE(C264,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64" s="5" t="str">
        <f>IFERROR(__xludf.DUMMYFUNCTION("GOOGLETRANSLATE(D264, ""en"", ""hi"")"),"A) खिलाड़ी Y जीतता है.")</f>
        <v>A) खिलाड़ी Y जीतता है.</v>
      </c>
    </row>
    <row r="265" ht="22.5" customHeight="1">
      <c r="A265" s="2">
        <v>264.0</v>
      </c>
      <c r="B265" s="3" t="s">
        <v>8042</v>
      </c>
      <c r="C265" s="3" t="s">
        <v>7846</v>
      </c>
      <c r="D265" s="3" t="s">
        <v>7847</v>
      </c>
      <c r="F265" s="5" t="str">
        <f>IFERROR(__xludf.DUMMYFUNCTION("GOOGLETRANSLATE(A265, ""en"", ""hi"")"),"264")</f>
        <v>264</v>
      </c>
      <c r="G265" s="5" t="str">
        <f>IFERROR(__xludf.DUMMYFUNCTION("GOOGLETRANSLATE(B265, ""en"", ""hi"")"),"खिलाड़ी X ने पहला सेट 15-12 से जीता और खिलाड़ी Y ने दूसरा सेट 15-14 से जीता। अगर खिलाड़ी X तीसरा सेट 15-11 से जीत जाता है, तो मैच का स्कोर क्या होगा?")</f>
        <v>खिलाड़ी X ने पहला सेट 15-12 से जीता और खिलाड़ी Y ने दूसरा सेट 15-14 से जीता। अगर खिलाड़ी X तीसरा सेट 15-11 से जीत जाता है, तो मैच का स्कोर क्या होगा?</v>
      </c>
      <c r="H265" s="5" t="str">
        <f>IFERROR(__xludf.DUMMYFUNCTION("GOOGLETRANSLATE(C265,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65" s="5" t="str">
        <f>IFERROR(__xludf.DUMMYFUNCTION("GOOGLETRANSLATE(D265, ""en"", ""hi"")"),"A) खिलाड़ी X 2-1 से आगे है।")</f>
        <v>A) खिलाड़ी X 2-1 से आगे है।</v>
      </c>
    </row>
    <row r="266" ht="22.5" customHeight="1">
      <c r="A266" s="2">
        <v>265.0</v>
      </c>
      <c r="B266" s="3" t="s">
        <v>8043</v>
      </c>
      <c r="C266" s="3" t="s">
        <v>7959</v>
      </c>
      <c r="D266" s="3" t="s">
        <v>7878</v>
      </c>
      <c r="F266" s="5" t="str">
        <f>IFERROR(__xludf.DUMMYFUNCTION("GOOGLETRANSLATE(A266, ""en"", ""hi"")"),"265")</f>
        <v>265</v>
      </c>
      <c r="G266" s="5" t="str">
        <f>IFERROR(__xludf.DUMMYFUNCTION("GOOGLETRANSLATE(B266, ""en"", ""hi"")"),"एक कंचे मैच में, खिलाड़ी X 25 अंक और खिलाड़ी Y 27 अंक बनाता है। यदि खेल जीतने के लिए 30 अंक चाहिए, तो परिणाम क्या होगा?")</f>
        <v>एक कंचे मैच में, खिलाड़ी X 25 अंक और खिलाड़ी Y 27 अंक बनाता है। यदि खेल जीतने के लिए 30 अंक चाहिए, तो परिणाम क्या होगा?</v>
      </c>
      <c r="H266" s="5" t="str">
        <f>IFERROR(__xludf.DUMMYFUNCTION("GOOGLETRANSLATE(C266,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66" s="5" t="str">
        <f>IFERROR(__xludf.DUMMYFUNCTION("GOOGLETRANSLATE(D266, ""en"", ""hi"")"),"A) खिलाड़ी Y जीतता है.")</f>
        <v>A) खिलाड़ी Y जीतता है.</v>
      </c>
    </row>
    <row r="267" ht="22.5" customHeight="1">
      <c r="A267" s="2">
        <v>266.0</v>
      </c>
      <c r="B267" s="3" t="s">
        <v>8044</v>
      </c>
      <c r="C267" s="3" t="s">
        <v>7846</v>
      </c>
      <c r="D267" s="3" t="s">
        <v>7847</v>
      </c>
      <c r="F267" s="5" t="str">
        <f>IFERROR(__xludf.DUMMYFUNCTION("GOOGLETRANSLATE(A267, ""en"", ""hi"")"),"266")</f>
        <v>266</v>
      </c>
      <c r="G267" s="5" t="str">
        <f>IFERROR(__xludf.DUMMYFUNCTION("GOOGLETRANSLATE(B267, ""en"", ""hi"")"),"खिलाड़ी X ने पहला सेट 15-11 से जीता और खिलाड़ी Y ने दूसरा सेट 15-12 से जीता। अगर खिलाड़ी X तीसरा सेट 15-14 से जीतता है, तो मैच का स्कोर क्या होगा?")</f>
        <v>खिलाड़ी X ने पहला सेट 15-11 से जीता और खिलाड़ी Y ने दूसरा सेट 15-12 से जीता। अगर खिलाड़ी X तीसरा सेट 15-14 से जीतता है, तो मैच का स्कोर क्या होगा?</v>
      </c>
      <c r="H267" s="5" t="str">
        <f>IFERROR(__xludf.DUMMYFUNCTION("GOOGLETRANSLATE(C267,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67" s="5" t="str">
        <f>IFERROR(__xludf.DUMMYFUNCTION("GOOGLETRANSLATE(D267, ""en"", ""hi"")"),"A) खिलाड़ी X 2-1 से आगे है।")</f>
        <v>A) खिलाड़ी X 2-1 से आगे है।</v>
      </c>
    </row>
    <row r="268" ht="22.5" customHeight="1">
      <c r="A268" s="2">
        <v>267.0</v>
      </c>
      <c r="B268" s="3" t="s">
        <v>8003</v>
      </c>
      <c r="C268" s="3" t="s">
        <v>7959</v>
      </c>
      <c r="D268" s="3" t="s">
        <v>7878</v>
      </c>
      <c r="F268" s="5" t="str">
        <f>IFERROR(__xludf.DUMMYFUNCTION("GOOGLETRANSLATE(A268, ""en"", ""hi"")"),"267")</f>
        <v>267</v>
      </c>
      <c r="G268" s="5" t="str">
        <f>IFERROR(__xludf.DUMMYFUNCTION("GOOGLETRANSLATE(B268, ""en"", ""hi"")"),"एक कंचे खेल में, यदि खिलाड़ी X ने 24 अंक बनाए और खिलाड़ी Y ने 25 अंक बनाए, और खेल को जीतने के लिए 30 अंकों की आवश्यकता है, तो परिणाम क्या होगा?")</f>
        <v>एक कंचे खेल में, यदि खिलाड़ी X ने 24 अंक बनाए और खिलाड़ी Y ने 25 अंक बनाए, और खेल को जीतने के लिए 30 अंकों की आवश्यकता है, तो परिणाम क्या होगा?</v>
      </c>
      <c r="H268" s="5" t="str">
        <f>IFERROR(__xludf.DUMMYFUNCTION("GOOGLETRANSLATE(C268,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68" s="5" t="str">
        <f>IFERROR(__xludf.DUMMYFUNCTION("GOOGLETRANSLATE(D268, ""en"", ""hi"")"),"A) खिलाड़ी Y जीतता है.")</f>
        <v>A) खिलाड़ी Y जीतता है.</v>
      </c>
    </row>
    <row r="269" ht="22.5" customHeight="1">
      <c r="A269" s="2">
        <v>268.0</v>
      </c>
      <c r="B269" s="3" t="s">
        <v>8045</v>
      </c>
      <c r="C269" s="3" t="s">
        <v>7826</v>
      </c>
      <c r="D269" s="3" t="s">
        <v>7827</v>
      </c>
      <c r="F269" s="5" t="str">
        <f>IFERROR(__xludf.DUMMYFUNCTION("GOOGLETRANSLATE(A269, ""en"", ""hi"")"),"268")</f>
        <v>268</v>
      </c>
      <c r="G269" s="5" t="str">
        <f>IFERROR(__xludf.DUMMYFUNCTION("GOOGLETRANSLATE(B269, ""en"", ""hi"")"),"खिलाड़ी A ने पहला सेट 15-13 से जीता और खिलाड़ी B ने दूसरा सेट 15-12 से जीता। अगर खिलाड़ी A तीसरा सेट 15-11 से जीत जाता है, तो मैच का स्कोर क्या होगा?")</f>
        <v>खिलाड़ी A ने पहला सेट 15-13 से जीता और खिलाड़ी B ने दूसरा सेट 15-12 से जीता। अगर खिलाड़ी A तीसरा सेट 15-11 से जीत जाता है, तो मैच का स्कोर क्या होगा?</v>
      </c>
      <c r="H269" s="5" t="str">
        <f>IFERROR(__xludf.DUMMYFUNCTION("GOOGLETRANSLATE(C269,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69" s="5" t="str">
        <f>IFERROR(__xludf.DUMMYFUNCTION("GOOGLETRANSLATE(D269, ""en"", ""hi"")"),"A) खिलाड़ी A 2-1 से आगे है।")</f>
        <v>A) खिलाड़ी A 2-1 से आगे है।</v>
      </c>
    </row>
    <row r="270" ht="22.5" customHeight="1">
      <c r="A270" s="2">
        <v>269.0</v>
      </c>
      <c r="B270" s="3" t="s">
        <v>8046</v>
      </c>
      <c r="C270" s="3" t="s">
        <v>7989</v>
      </c>
      <c r="D270" s="3" t="s">
        <v>7878</v>
      </c>
      <c r="F270" s="5" t="str">
        <f>IFERROR(__xludf.DUMMYFUNCTION("GOOGLETRANSLATE(A270, ""en"", ""hi"")"),"269")</f>
        <v>269</v>
      </c>
      <c r="G270" s="5" t="str">
        <f>IFERROR(__xludf.DUMMYFUNCTION("GOOGLETRANSLATE(B270, ""en"", ""hi"")"),"एक कंचे मैच के दौरान, खिलाड़ी X ने 27 अंक और खिलाड़ी Y ने 29 अंक बनाए। यदि खेल जीतने के लिए 35 अंक चाहिए, तो परिणाम क्या होगा?")</f>
        <v>एक कंचे मैच के दौरान, खिलाड़ी X ने 27 अंक और खिलाड़ी Y ने 29 अंक बनाए। यदि खेल जीतने के लिए 35 अंक चाहिए, तो परिणाम क्या होगा?</v>
      </c>
      <c r="H270" s="5" t="str">
        <f>IFERROR(__xludf.DUMMYFUNCTION("GOOGLETRANSLATE(C270,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70" s="5" t="str">
        <f>IFERROR(__xludf.DUMMYFUNCTION("GOOGLETRANSLATE(D270, ""en"", ""hi"")"),"A) खिलाड़ी Y जीतता है.")</f>
        <v>A) खिलाड़ी Y जीतता है.</v>
      </c>
    </row>
    <row r="271" ht="22.5" customHeight="1">
      <c r="A271" s="2">
        <v>270.0</v>
      </c>
      <c r="B271" s="3" t="s">
        <v>8047</v>
      </c>
      <c r="C271" s="3" t="s">
        <v>7846</v>
      </c>
      <c r="D271" s="3" t="s">
        <v>7847</v>
      </c>
      <c r="F271" s="5" t="str">
        <f>IFERROR(__xludf.DUMMYFUNCTION("GOOGLETRANSLATE(A271, ""en"", ""hi"")"),"270")</f>
        <v>270</v>
      </c>
      <c r="G271" s="5" t="str">
        <f>IFERROR(__xludf.DUMMYFUNCTION("GOOGLETRANSLATE(B271, ""en"", ""hi"")"),"खिलाड़ी X ने पहला सेट 15-10 से जीता और खिलाड़ी Y ने दूसरा सेट 15-13 से जीता। अगर खिलाड़ी X तीसरा सेट 15-14 से जीतता है, तो मैच का स्कोर क्या होगा?")</f>
        <v>खिलाड़ी X ने पहला सेट 15-10 से जीता और खिलाड़ी Y ने दूसरा सेट 15-13 से जीता। अगर खिलाड़ी X तीसरा सेट 15-14 से जीतता है, तो मैच का स्कोर क्या होगा?</v>
      </c>
      <c r="H271" s="5" t="str">
        <f>IFERROR(__xludf.DUMMYFUNCTION("GOOGLETRANSLATE(C271,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71" s="5" t="str">
        <f>IFERROR(__xludf.DUMMYFUNCTION("GOOGLETRANSLATE(D271, ""en"", ""hi"")"),"A) खिलाड़ी X 2-1 से आगे है।")</f>
        <v>A) खिलाड़ी X 2-1 से आगे है।</v>
      </c>
    </row>
    <row r="272" ht="22.5" customHeight="1">
      <c r="A272" s="2">
        <v>271.0</v>
      </c>
      <c r="B272" s="3" t="s">
        <v>7986</v>
      </c>
      <c r="C272" s="3" t="s">
        <v>7959</v>
      </c>
      <c r="D272" s="3" t="s">
        <v>7878</v>
      </c>
      <c r="F272" s="5" t="str">
        <f>IFERROR(__xludf.DUMMYFUNCTION("GOOGLETRANSLATE(A272, ""en"", ""hi"")"),"271")</f>
        <v>271</v>
      </c>
      <c r="G272" s="5" t="str">
        <f>IFERROR(__xludf.DUMMYFUNCTION("GOOGLETRANSLATE(B272, ""en"", ""hi"")"),"एक कंचे खेल में, यदि खिलाड़ी X ने 28 अंक बनाए और खिलाड़ी Y ने 29 अंक बनाए, और खेल को जीतने के लिए 30 अंकों की आवश्यकता है, तो परिणाम क्या होगा?")</f>
        <v>एक कंचे खेल में, यदि खिलाड़ी X ने 28 अंक बनाए और खिलाड़ी Y ने 29 अंक बनाए, और खेल को जीतने के लिए 30 अंकों की आवश्यकता है, तो परिणाम क्या होगा?</v>
      </c>
      <c r="H272" s="5" t="str">
        <f>IFERROR(__xludf.DUMMYFUNCTION("GOOGLETRANSLATE(C272,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72" s="5" t="str">
        <f>IFERROR(__xludf.DUMMYFUNCTION("GOOGLETRANSLATE(D272, ""en"", ""hi"")"),"A) खिलाड़ी Y जीतता है.")</f>
        <v>A) खिलाड़ी Y जीतता है.</v>
      </c>
    </row>
    <row r="273" ht="22.5" customHeight="1">
      <c r="A273" s="2">
        <v>272.0</v>
      </c>
      <c r="B273" s="3" t="s">
        <v>7918</v>
      </c>
      <c r="C273" s="3" t="s">
        <v>7846</v>
      </c>
      <c r="D273" s="3" t="s">
        <v>7847</v>
      </c>
      <c r="F273" s="5" t="str">
        <f>IFERROR(__xludf.DUMMYFUNCTION("GOOGLETRANSLATE(A273, ""en"", ""hi"")"),"272")</f>
        <v>272</v>
      </c>
      <c r="G273" s="5" t="str">
        <f>IFERROR(__xludf.DUMMYFUNCTION("GOOGLETRANSLATE(B273, ""en"", ""hi"")"),"खिलाड़ी X ने पहला सेट 15-12 से जीता और खिलाड़ी Y ने दूसरा सेट 15-14 से जीता। अगर खिलाड़ी X तीसरा सेट 15-13 से जीतता है, तो मैच का स्कोर क्या होगा?")</f>
        <v>खिलाड़ी X ने पहला सेट 15-12 से जीता और खिलाड़ी Y ने दूसरा सेट 15-14 से जीता। अगर खिलाड़ी X तीसरा सेट 15-13 से जीतता है, तो मैच का स्कोर क्या होगा?</v>
      </c>
      <c r="H273" s="5" t="str">
        <f>IFERROR(__xludf.DUMMYFUNCTION("GOOGLETRANSLATE(C273,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73" s="5" t="str">
        <f>IFERROR(__xludf.DUMMYFUNCTION("GOOGLETRANSLATE(D273, ""en"", ""hi"")"),"A) खिलाड़ी X 2-1 से आगे है।")</f>
        <v>A) खिलाड़ी X 2-1 से आगे है।</v>
      </c>
    </row>
    <row r="274" ht="22.5" customHeight="1">
      <c r="A274" s="2">
        <v>273.0</v>
      </c>
      <c r="B274" s="3" t="s">
        <v>7988</v>
      </c>
      <c r="C274" s="3" t="s">
        <v>7989</v>
      </c>
      <c r="D274" s="3" t="s">
        <v>7878</v>
      </c>
      <c r="F274" s="5" t="str">
        <f>IFERROR(__xludf.DUMMYFUNCTION("GOOGLETRANSLATE(A274, ""en"", ""hi"")"),"273")</f>
        <v>273</v>
      </c>
      <c r="G274" s="5" t="str">
        <f>IFERROR(__xludf.DUMMYFUNCTION("GOOGLETRANSLATE(B274, ""en"", ""hi"")"),"एक कंचे मैच के दौरान, खिलाड़ी X ने 30 अंक बनाए और खिलाड़ी Y ने 31 अंक बनाए। यदि खेल जीतने के लिए 35 अंक चाहिए, तो परिणाम क्या होगा?")</f>
        <v>एक कंचे मैच के दौरान, खिलाड़ी X ने 30 अंक बनाए और खिलाड़ी Y ने 31 अंक बनाए। यदि खेल जीतने के लिए 35 अंक चाहिए, तो परिणाम क्या होगा?</v>
      </c>
      <c r="H274" s="5" t="str">
        <f>IFERROR(__xludf.DUMMYFUNCTION("GOOGLETRANSLATE(C274,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74" s="5" t="str">
        <f>IFERROR(__xludf.DUMMYFUNCTION("GOOGLETRANSLATE(D274, ""en"", ""hi"")"),"A) खिलाड़ी Y जीतता है.")</f>
        <v>A) खिलाड़ी Y जीतता है.</v>
      </c>
    </row>
    <row r="275" ht="22.5" customHeight="1">
      <c r="A275" s="2">
        <v>274.0</v>
      </c>
      <c r="B275" s="3" t="s">
        <v>8020</v>
      </c>
      <c r="C275" s="3" t="s">
        <v>7826</v>
      </c>
      <c r="D275" s="3" t="s">
        <v>7827</v>
      </c>
      <c r="F275" s="5" t="str">
        <f>IFERROR(__xludf.DUMMYFUNCTION("GOOGLETRANSLATE(A275, ""en"", ""hi"")"),"274")</f>
        <v>274</v>
      </c>
      <c r="G275" s="5" t="str">
        <f>IFERROR(__xludf.DUMMYFUNCTION("GOOGLETRANSLATE(B275, ""en"", ""hi"")"),"खिलाड़ी A ने पहला सेट 15-14 से जीता और खिलाड़ी B ने दूसरा सेट 15-12 से जीता। अगर खिलाड़ी A तीसरा सेट 15-11 से जीत जाता है, तो मैच का स्कोर क्या होगा?")</f>
        <v>खिलाड़ी A ने पहला सेट 15-14 से जीता और खिलाड़ी B ने दूसरा सेट 15-12 से जीता। अगर खिलाड़ी A तीसरा सेट 15-11 से जीत जाता है, तो मैच का स्कोर क्या होगा?</v>
      </c>
      <c r="H275" s="5" t="str">
        <f>IFERROR(__xludf.DUMMYFUNCTION("GOOGLETRANSLATE(C275,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75" s="5" t="str">
        <f>IFERROR(__xludf.DUMMYFUNCTION("GOOGLETRANSLATE(D275, ""en"", ""hi"")"),"A) खिलाड़ी A 2-1 से आगे है।")</f>
        <v>A) खिलाड़ी A 2-1 से आगे है।</v>
      </c>
    </row>
    <row r="276" ht="22.5" customHeight="1">
      <c r="A276" s="2">
        <v>275.0</v>
      </c>
      <c r="B276" s="3" t="s">
        <v>8048</v>
      </c>
      <c r="C276" s="3" t="s">
        <v>7959</v>
      </c>
      <c r="D276" s="3" t="s">
        <v>7878</v>
      </c>
      <c r="F276" s="5" t="str">
        <f>IFERROR(__xludf.DUMMYFUNCTION("GOOGLETRANSLATE(A276, ""en"", ""hi"")"),"275")</f>
        <v>275</v>
      </c>
      <c r="G276" s="5" t="str">
        <f>IFERROR(__xludf.DUMMYFUNCTION("GOOGLETRANSLATE(B276, ""en"", ""hi"")"),"एक कंचे खेल में, यदि खिलाड़ी X ने 25 अंक बनाए और खिलाड़ी Y ने 26 अंक बनाए, और खेल को जीतने के लिए 30 अंकों की आवश्यकता है, तो परिणाम क्या होगा?")</f>
        <v>एक कंचे खेल में, यदि खिलाड़ी X ने 25 अंक बनाए और खिलाड़ी Y ने 26 अंक बनाए, और खेल को जीतने के लिए 30 अंकों की आवश्यकता है, तो परिणाम क्या होगा?</v>
      </c>
      <c r="H276" s="5" t="str">
        <f>IFERROR(__xludf.DUMMYFUNCTION("GOOGLETRANSLATE(C276,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76" s="5" t="str">
        <f>IFERROR(__xludf.DUMMYFUNCTION("GOOGLETRANSLATE(D276, ""en"", ""hi"")"),"A) खिलाड़ी Y जीतता है.")</f>
        <v>A) खिलाड़ी Y जीतता है.</v>
      </c>
    </row>
    <row r="277" ht="22.5" customHeight="1">
      <c r="A277" s="2">
        <v>276.0</v>
      </c>
      <c r="B277" s="3" t="s">
        <v>8049</v>
      </c>
      <c r="C277" s="3" t="s">
        <v>7846</v>
      </c>
      <c r="D277" s="3" t="s">
        <v>7847</v>
      </c>
      <c r="F277" s="5" t="str">
        <f>IFERROR(__xludf.DUMMYFUNCTION("GOOGLETRANSLATE(A277, ""en"", ""hi"")"),"276")</f>
        <v>276</v>
      </c>
      <c r="G277" s="5" t="str">
        <f>IFERROR(__xludf.DUMMYFUNCTION("GOOGLETRANSLATE(B277, ""en"", ""hi"")"),"खिलाड़ी X ने पहला सेट 15-14 से जीता और खिलाड़ी Y ने दूसरा सेट 15-11 से जीता। अगर खिलाड़ी X तीसरा सेट 15-12 से जीतता है, तो मैच का स्कोर क्या होगा?")</f>
        <v>खिलाड़ी X ने पहला सेट 15-14 से जीता और खिलाड़ी Y ने दूसरा सेट 15-11 से जीता। अगर खिलाड़ी X तीसरा सेट 15-12 से जीतता है, तो मैच का स्कोर क्या होगा?</v>
      </c>
      <c r="H277" s="5" t="str">
        <f>IFERROR(__xludf.DUMMYFUNCTION("GOOGLETRANSLATE(C277,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77" s="5" t="str">
        <f>IFERROR(__xludf.DUMMYFUNCTION("GOOGLETRANSLATE(D277, ""en"", ""hi"")"),"A) खिलाड़ी X 2-1 से आगे है।")</f>
        <v>A) खिलाड़ी X 2-1 से आगे है।</v>
      </c>
    </row>
    <row r="278" ht="22.5" customHeight="1">
      <c r="A278" s="2">
        <v>277.0</v>
      </c>
      <c r="B278" s="3" t="s">
        <v>8023</v>
      </c>
      <c r="C278" s="3" t="s">
        <v>7959</v>
      </c>
      <c r="D278" s="3" t="s">
        <v>7878</v>
      </c>
      <c r="F278" s="5" t="str">
        <f>IFERROR(__xludf.DUMMYFUNCTION("GOOGLETRANSLATE(A278, ""en"", ""hi"")"),"277")</f>
        <v>277</v>
      </c>
      <c r="G278" s="5" t="str">
        <f>IFERROR(__xludf.DUMMYFUNCTION("GOOGLETRANSLATE(B278, ""en"", ""hi"")"),"एक कंचे मैच के दौरान, खिलाड़ी X ने 24 अंक बनाए और खिलाड़ी Y ने 26 अंक बनाए। यदि खेल जीतने के लिए 30 अंकों की आवश्यकता है, तो परिणाम क्या होगा?")</f>
        <v>एक कंचे मैच के दौरान, खिलाड़ी X ने 24 अंक बनाए और खिलाड़ी Y ने 26 अंक बनाए। यदि खेल जीतने के लिए 30 अंकों की आवश्यकता है, तो परिणाम क्या होगा?</v>
      </c>
      <c r="H278" s="5" t="str">
        <f>IFERROR(__xludf.DUMMYFUNCTION("GOOGLETRANSLATE(C278,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78" s="5" t="str">
        <f>IFERROR(__xludf.DUMMYFUNCTION("GOOGLETRANSLATE(D278, ""en"", ""hi"")"),"A) खिलाड़ी Y जीतता है.")</f>
        <v>A) खिलाड़ी Y जीतता है.</v>
      </c>
    </row>
    <row r="279" ht="22.5" customHeight="1">
      <c r="A279" s="2">
        <v>278.0</v>
      </c>
      <c r="B279" s="3" t="s">
        <v>8050</v>
      </c>
      <c r="C279" s="3" t="s">
        <v>7846</v>
      </c>
      <c r="D279" s="3" t="s">
        <v>7847</v>
      </c>
      <c r="F279" s="5" t="str">
        <f>IFERROR(__xludf.DUMMYFUNCTION("GOOGLETRANSLATE(A279, ""en"", ""hi"")"),"278")</f>
        <v>278</v>
      </c>
      <c r="G279" s="5" t="str">
        <f>IFERROR(__xludf.DUMMYFUNCTION("GOOGLETRANSLATE(B279, ""en"", ""hi"")"),"खिलाड़ी X ने पहला सेट 15-13 से जीता और खिलाड़ी Y ने दूसरा सेट 15-11 से जीता। अगर खिलाड़ी X तीसरा सेट 15-12 से जीतता है, तो मैच का स्कोर क्या होगा?")</f>
        <v>खिलाड़ी X ने पहला सेट 15-13 से जीता और खिलाड़ी Y ने दूसरा सेट 15-11 से जीता। अगर खिलाड़ी X तीसरा सेट 15-12 से जीतता है, तो मैच का स्कोर क्या होगा?</v>
      </c>
      <c r="H279" s="5" t="str">
        <f>IFERROR(__xludf.DUMMYFUNCTION("GOOGLETRANSLATE(C279,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79" s="5" t="str">
        <f>IFERROR(__xludf.DUMMYFUNCTION("GOOGLETRANSLATE(D279, ""en"", ""hi"")"),"A) खिलाड़ी X 2-1 से आगे है।")</f>
        <v>A) खिलाड़ी X 2-1 से आगे है।</v>
      </c>
    </row>
    <row r="280" ht="22.5" customHeight="1">
      <c r="A280" s="2">
        <v>279.0</v>
      </c>
      <c r="B280" s="3" t="s">
        <v>8051</v>
      </c>
      <c r="C280" s="3" t="s">
        <v>7989</v>
      </c>
      <c r="D280" s="3" t="s">
        <v>7878</v>
      </c>
      <c r="F280" s="5" t="str">
        <f>IFERROR(__xludf.DUMMYFUNCTION("GOOGLETRANSLATE(A280, ""en"", ""hi"")"),"279")</f>
        <v>279</v>
      </c>
      <c r="G280" s="5" t="str">
        <f>IFERROR(__xludf.DUMMYFUNCTION("GOOGLETRANSLATE(B280, ""en"", ""hi"")"),"एक कंचे खेल में, यदि खिलाड़ी X ने 30 अंक बनाए और खिलाड़ी Y ने 32 अंक बनाए, और खेल को जीतने के लिए 35 अंकों की आवश्यकता है, तो परिणाम क्या होगा?")</f>
        <v>एक कंचे खेल में, यदि खिलाड़ी X ने 30 अंक बनाए और खिलाड़ी Y ने 32 अंक बनाए, और खेल को जीतने के लिए 35 अंकों की आवश्यकता है, तो परिणाम क्या होगा?</v>
      </c>
      <c r="H280" s="5" t="str">
        <f>IFERROR(__xludf.DUMMYFUNCTION("GOOGLETRANSLATE(C280,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80" s="5" t="str">
        <f>IFERROR(__xludf.DUMMYFUNCTION("GOOGLETRANSLATE(D280, ""en"", ""hi"")"),"A) खिलाड़ी Y जीतता है.")</f>
        <v>A) खिलाड़ी Y जीतता है.</v>
      </c>
    </row>
    <row r="281" ht="22.5" customHeight="1">
      <c r="A281" s="2">
        <v>280.0</v>
      </c>
      <c r="B281" s="3" t="s">
        <v>7978</v>
      </c>
      <c r="C281" s="3" t="s">
        <v>7846</v>
      </c>
      <c r="D281" s="3" t="s">
        <v>7847</v>
      </c>
      <c r="F281" s="5" t="str">
        <f>IFERROR(__xludf.DUMMYFUNCTION("GOOGLETRANSLATE(A281, ""en"", ""hi"")"),"280")</f>
        <v>280</v>
      </c>
      <c r="G281" s="5" t="str">
        <f>IFERROR(__xludf.DUMMYFUNCTION("GOOGLETRANSLATE(B281, ""en"", ""hi"")"),"खिलाड़ी X ने पहला सेट 15-11 से जीता और खिलाड़ी Y ने दूसरा सेट 15-13 से जीता। अगर खिलाड़ी X तीसरा सेट 15-14 से जीतता है, तो मैच का स्कोर क्या होगा?")</f>
        <v>खिलाड़ी X ने पहला सेट 15-11 से जीता और खिलाड़ी Y ने दूसरा सेट 15-13 से जीता। अगर खिलाड़ी X तीसरा सेट 15-14 से जीतता है, तो मैच का स्कोर क्या होगा?</v>
      </c>
      <c r="H281" s="5" t="str">
        <f>IFERROR(__xludf.DUMMYFUNCTION("GOOGLETRANSLATE(C281,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81" s="5" t="str">
        <f>IFERROR(__xludf.DUMMYFUNCTION("GOOGLETRANSLATE(D281, ""en"", ""hi"")"),"A) खिलाड़ी X 2-1 से आगे है।")</f>
        <v>A) खिलाड़ी X 2-1 से आगे है।</v>
      </c>
    </row>
    <row r="282" ht="22.5" customHeight="1">
      <c r="A282" s="2">
        <v>281.0</v>
      </c>
      <c r="B282" s="3" t="s">
        <v>8052</v>
      </c>
      <c r="C282" s="3" t="s">
        <v>7989</v>
      </c>
      <c r="D282" s="3" t="s">
        <v>7878</v>
      </c>
      <c r="F282" s="5" t="str">
        <f>IFERROR(__xludf.DUMMYFUNCTION("GOOGLETRANSLATE(A282, ""en"", ""hi"")"),"281")</f>
        <v>281</v>
      </c>
      <c r="G282" s="5" t="str">
        <f>IFERROR(__xludf.DUMMYFUNCTION("GOOGLETRANSLATE(B282, ""en"", ""hi"")"),"एक कंचे मैच के दौरान, खिलाड़ी X ने 29 अंक बनाए और खिलाड़ी Y ने 30 अंक बनाए। यदि खेल जीतने के लिए 35 अंक चाहिए, तो परिणाम क्या होगा?")</f>
        <v>एक कंचे मैच के दौरान, खिलाड़ी X ने 29 अंक बनाए और खिलाड़ी Y ने 30 अंक बनाए। यदि खेल जीतने के लिए 35 अंक चाहिए, तो परिणाम क्या होगा?</v>
      </c>
      <c r="H282" s="5" t="str">
        <f>IFERROR(__xludf.DUMMYFUNCTION("GOOGLETRANSLATE(C282,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82" s="5" t="str">
        <f>IFERROR(__xludf.DUMMYFUNCTION("GOOGLETRANSLATE(D282, ""en"", ""hi"")"),"A) खिलाड़ी Y जीतता है.")</f>
        <v>A) खिलाड़ी Y जीतता है.</v>
      </c>
    </row>
    <row r="283" ht="22.5" customHeight="1">
      <c r="A283" s="2">
        <v>282.0</v>
      </c>
      <c r="B283" s="3" t="s">
        <v>7980</v>
      </c>
      <c r="C283" s="3" t="s">
        <v>7826</v>
      </c>
      <c r="D283" s="3" t="s">
        <v>7827</v>
      </c>
      <c r="F283" s="5" t="str">
        <f>IFERROR(__xludf.DUMMYFUNCTION("GOOGLETRANSLATE(A283, ""en"", ""hi"")"),"282")</f>
        <v>282</v>
      </c>
      <c r="G283" s="5" t="str">
        <f>IFERROR(__xludf.DUMMYFUNCTION("GOOGLETRANSLATE(B283, ""en"", ""hi"")"),"खिलाड़ी A ने पहला सेट 15-14 से जीता और खिलाड़ी B ने दूसरा सेट 15-11 से जीता। अगर खिलाड़ी A तीसरा सेट 15-13 से जीत जाता है, तो मैच का स्कोर क्या होगा?")</f>
        <v>खिलाड़ी A ने पहला सेट 15-14 से जीता और खिलाड़ी B ने दूसरा सेट 15-11 से जीता। अगर खिलाड़ी A तीसरा सेट 15-13 से जीत जाता है, तो मैच का स्कोर क्या होगा?</v>
      </c>
      <c r="H283" s="5" t="str">
        <f>IFERROR(__xludf.DUMMYFUNCTION("GOOGLETRANSLATE(C283,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83" s="5" t="str">
        <f>IFERROR(__xludf.DUMMYFUNCTION("GOOGLETRANSLATE(D283, ""en"", ""hi"")"),"A) खिलाड़ी A 2-1 से आगे है।")</f>
        <v>A) खिलाड़ी A 2-1 से आगे है।</v>
      </c>
    </row>
    <row r="284" ht="22.5" customHeight="1">
      <c r="A284" s="2">
        <v>283.0</v>
      </c>
      <c r="B284" s="3" t="s">
        <v>7961</v>
      </c>
      <c r="C284" s="3" t="s">
        <v>7959</v>
      </c>
      <c r="D284" s="3" t="s">
        <v>7878</v>
      </c>
      <c r="F284" s="5" t="str">
        <f>IFERROR(__xludf.DUMMYFUNCTION("GOOGLETRANSLATE(A284, ""en"", ""hi"")"),"283")</f>
        <v>283</v>
      </c>
      <c r="G284" s="5" t="str">
        <f>IFERROR(__xludf.DUMMYFUNCTION("GOOGLETRANSLATE(B284, ""en"", ""hi"")"),"एक कंचे खेल में, यदि खिलाड़ी X ने 24 अंक बनाए और खिलाड़ी Y ने 26 अंक बनाए, और खेल को जीतने के लिए 30 अंकों की आवश्यकता है, तो परिणाम क्या होगा?")</f>
        <v>एक कंचे खेल में, यदि खिलाड़ी X ने 24 अंक बनाए और खिलाड़ी Y ने 26 अंक बनाए, और खेल को जीतने के लिए 30 अंकों की आवश्यकता है, तो परिणाम क्या होगा?</v>
      </c>
      <c r="H284" s="5" t="str">
        <f>IFERROR(__xludf.DUMMYFUNCTION("GOOGLETRANSLATE(C284,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84" s="5" t="str">
        <f>IFERROR(__xludf.DUMMYFUNCTION("GOOGLETRANSLATE(D284, ""en"", ""hi"")"),"A) खिलाड़ी Y जीतता है.")</f>
        <v>A) खिलाड़ी Y जीतता है.</v>
      </c>
    </row>
    <row r="285" ht="22.5" customHeight="1">
      <c r="A285" s="2">
        <v>284.0</v>
      </c>
      <c r="B285" s="3" t="s">
        <v>7957</v>
      </c>
      <c r="C285" s="3" t="s">
        <v>7846</v>
      </c>
      <c r="D285" s="3" t="s">
        <v>7847</v>
      </c>
      <c r="F285" s="5" t="str">
        <f>IFERROR(__xludf.DUMMYFUNCTION("GOOGLETRANSLATE(A285, ""en"", ""hi"")"),"284")</f>
        <v>284</v>
      </c>
      <c r="G285" s="5" t="str">
        <f>IFERROR(__xludf.DUMMYFUNCTION("GOOGLETRANSLATE(B285, ""en"", ""hi"")"),"खिलाड़ी X ने पहला सेट 15-12 से जीता और खिलाड़ी Y ने दूसरा सेट 15-13 से जीता। अगर खिलाड़ी X तीसरा सेट 15-14 से जीतता है, तो मैच का स्कोर क्या होगा?")</f>
        <v>खिलाड़ी X ने पहला सेट 15-12 से जीता और खिलाड़ी Y ने दूसरा सेट 15-13 से जीता। अगर खिलाड़ी X तीसरा सेट 15-14 से जीतता है, तो मैच का स्कोर क्या होगा?</v>
      </c>
      <c r="H285" s="5" t="str">
        <f>IFERROR(__xludf.DUMMYFUNCTION("GOOGLETRANSLATE(C285,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85" s="5" t="str">
        <f>IFERROR(__xludf.DUMMYFUNCTION("GOOGLETRANSLATE(D285, ""en"", ""hi"")"),"A) खिलाड़ी X 2-1 से आगे है।")</f>
        <v>A) खिलाड़ी X 2-1 से आगे है।</v>
      </c>
    </row>
    <row r="286" ht="22.5" customHeight="1">
      <c r="A286" s="2">
        <v>285.0</v>
      </c>
      <c r="B286" s="3" t="s">
        <v>8053</v>
      </c>
      <c r="C286" s="3" t="s">
        <v>7989</v>
      </c>
      <c r="D286" s="3" t="s">
        <v>7878</v>
      </c>
      <c r="F286" s="5" t="str">
        <f>IFERROR(__xludf.DUMMYFUNCTION("GOOGLETRANSLATE(A286, ""en"", ""hi"")"),"285")</f>
        <v>285</v>
      </c>
      <c r="G286" s="5" t="str">
        <f>IFERROR(__xludf.DUMMYFUNCTION("GOOGLETRANSLATE(B286, ""en"", ""hi"")"),"एक कंचे मैच के दौरान, खिलाड़ी X ने 31 अंक बनाए और खिलाड़ी Y ने 32 अंक बनाए। यदि खेल जीतने के लिए 35 अंक चाहिए, तो परिणाम क्या होगा?")</f>
        <v>एक कंचे मैच के दौरान, खिलाड़ी X ने 31 अंक बनाए और खिलाड़ी Y ने 32 अंक बनाए। यदि खेल जीतने के लिए 35 अंक चाहिए, तो परिणाम क्या होगा?</v>
      </c>
      <c r="H286" s="5" t="str">
        <f>IFERROR(__xludf.DUMMYFUNCTION("GOOGLETRANSLATE(C286,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86" s="5" t="str">
        <f>IFERROR(__xludf.DUMMYFUNCTION("GOOGLETRANSLATE(D286, ""en"", ""hi"")"),"A) खिलाड़ी Y जीतता है.")</f>
        <v>A) खिलाड़ी Y जीतता है.</v>
      </c>
    </row>
    <row r="287" ht="22.5" customHeight="1">
      <c r="A287" s="2">
        <v>286.0</v>
      </c>
      <c r="B287" s="3" t="s">
        <v>8024</v>
      </c>
      <c r="C287" s="3" t="s">
        <v>7826</v>
      </c>
      <c r="D287" s="3" t="s">
        <v>7827</v>
      </c>
      <c r="F287" s="5" t="str">
        <f>IFERROR(__xludf.DUMMYFUNCTION("GOOGLETRANSLATE(A287, ""en"", ""hi"")"),"286")</f>
        <v>286</v>
      </c>
      <c r="G287" s="5" t="str">
        <f>IFERROR(__xludf.DUMMYFUNCTION("GOOGLETRANSLATE(B287, ""en"", ""hi"")"),"खिलाड़ी A ने पहला सेट 15-11 से जीता और खिलाड़ी B ने दूसरा सेट 15-12 से जीता। अगर खिलाड़ी A तीसरा सेट 15-14 से जीत जाता है, तो मैच का स्कोर क्या होगा?")</f>
        <v>खिलाड़ी A ने पहला सेट 15-11 से जीता और खिलाड़ी B ने दूसरा सेट 15-12 से जीता। अगर खिलाड़ी A तीसरा सेट 15-14 से जीत जाता है, तो मैच का स्कोर क्या होगा?</v>
      </c>
      <c r="H287" s="5" t="str">
        <f>IFERROR(__xludf.DUMMYFUNCTION("GOOGLETRANSLATE(C287,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87" s="5" t="str">
        <f>IFERROR(__xludf.DUMMYFUNCTION("GOOGLETRANSLATE(D287, ""en"", ""hi"")"),"A) खिलाड़ी A 2-1 से आगे है।")</f>
        <v>A) खिलाड़ी A 2-1 से आगे है।</v>
      </c>
    </row>
    <row r="288" ht="22.5" customHeight="1">
      <c r="A288" s="2">
        <v>287.0</v>
      </c>
      <c r="B288" s="3" t="s">
        <v>8007</v>
      </c>
      <c r="C288" s="3" t="s">
        <v>7989</v>
      </c>
      <c r="D288" s="3" t="s">
        <v>7878</v>
      </c>
      <c r="F288" s="5" t="str">
        <f>IFERROR(__xludf.DUMMYFUNCTION("GOOGLETRANSLATE(A288, ""en"", ""hi"")"),"287")</f>
        <v>287</v>
      </c>
      <c r="G288" s="5" t="str">
        <f>IFERROR(__xludf.DUMMYFUNCTION("GOOGLETRANSLATE(B288, ""en"", ""hi"")"),"एक कंचे खेल में, यदि खिलाड़ी X ने 29 अंक बनाए और खिलाड़ी Y ने 31 अंक बनाए, और खेल को जीतने के लिए 35 अंकों की आवश्यकता है, तो परिणाम क्या होगा?")</f>
        <v>एक कंचे खेल में, यदि खिलाड़ी X ने 29 अंक बनाए और खिलाड़ी Y ने 31 अंक बनाए, और खेल को जीतने के लिए 35 अंकों की आवश्यकता है, तो परिणाम क्या होगा?</v>
      </c>
      <c r="H288" s="5" t="str">
        <f>IFERROR(__xludf.DUMMYFUNCTION("GOOGLETRANSLATE(C288,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88" s="5" t="str">
        <f>IFERROR(__xludf.DUMMYFUNCTION("GOOGLETRANSLATE(D288, ""en"", ""hi"")"),"A) खिलाड़ी Y जीतता है.")</f>
        <v>A) खिलाड़ी Y जीतता है.</v>
      </c>
    </row>
    <row r="289" ht="22.5" customHeight="1">
      <c r="A289" s="2">
        <v>288.0</v>
      </c>
      <c r="B289" s="3" t="s">
        <v>8054</v>
      </c>
      <c r="C289" s="3" t="s">
        <v>7846</v>
      </c>
      <c r="D289" s="3" t="s">
        <v>7847</v>
      </c>
      <c r="F289" s="5" t="str">
        <f>IFERROR(__xludf.DUMMYFUNCTION("GOOGLETRANSLATE(A289, ""en"", ""hi"")"),"288")</f>
        <v>288</v>
      </c>
      <c r="G289" s="5" t="str">
        <f>IFERROR(__xludf.DUMMYFUNCTION("GOOGLETRANSLATE(B289, ""en"", ""hi"")"),"खिलाड़ी X ने पहला सेट 15-12 से जीता और खिलाड़ी Y ने दूसरा सेट 15-13 से जीता। अगर खिलाड़ी X तीसरा सेट 15-11 से जीत जाता है, तो मैच का स्कोर क्या होगा?")</f>
        <v>खिलाड़ी X ने पहला सेट 15-12 से जीता और खिलाड़ी Y ने दूसरा सेट 15-13 से जीता। अगर खिलाड़ी X तीसरा सेट 15-11 से जीत जाता है, तो मैच का स्कोर क्या होगा?</v>
      </c>
      <c r="H289" s="5" t="str">
        <f>IFERROR(__xludf.DUMMYFUNCTION("GOOGLETRANSLATE(C289,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89" s="5" t="str">
        <f>IFERROR(__xludf.DUMMYFUNCTION("GOOGLETRANSLATE(D289, ""en"", ""hi"")"),"A) खिलाड़ी X 2-1 से आगे है।")</f>
        <v>A) खिलाड़ी X 2-1 से आगे है।</v>
      </c>
    </row>
    <row r="290" ht="22.5" customHeight="1">
      <c r="A290" s="2">
        <v>289.0</v>
      </c>
      <c r="B290" s="3" t="s">
        <v>8055</v>
      </c>
      <c r="C290" s="3" t="s">
        <v>7959</v>
      </c>
      <c r="D290" s="3" t="s">
        <v>7878</v>
      </c>
      <c r="F290" s="5" t="str">
        <f>IFERROR(__xludf.DUMMYFUNCTION("GOOGLETRANSLATE(A290, ""en"", ""hi"")"),"289")</f>
        <v>289</v>
      </c>
      <c r="G290" s="5" t="str">
        <f>IFERROR(__xludf.DUMMYFUNCTION("GOOGLETRANSLATE(B290, ""en"", ""hi"")"),"एक कंचे मैच के दौरान, खिलाड़ी X ने 26 अंक बनाए और खिलाड़ी Y ने 27 अंक बनाए। यदि खेल जीतने के लिए 30 अंकों की आवश्यकता है, तो परिणाम क्या होगा?")</f>
        <v>एक कंचे मैच के दौरान, खिलाड़ी X ने 26 अंक बनाए और खिलाड़ी Y ने 27 अंक बनाए। यदि खेल जीतने के लिए 30 अंकों की आवश्यकता है, तो परिणाम क्या होगा?</v>
      </c>
      <c r="H290" s="5" t="str">
        <f>IFERROR(__xludf.DUMMYFUNCTION("GOOGLETRANSLATE(C290,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90" s="5" t="str">
        <f>IFERROR(__xludf.DUMMYFUNCTION("GOOGLETRANSLATE(D290, ""en"", ""hi"")"),"A) खिलाड़ी Y जीतता है.")</f>
        <v>A) खिलाड़ी Y जीतता है.</v>
      </c>
    </row>
    <row r="291" ht="22.5" customHeight="1">
      <c r="A291" s="2">
        <v>290.0</v>
      </c>
      <c r="B291" s="3" t="s">
        <v>7952</v>
      </c>
      <c r="C291" s="3" t="s">
        <v>7826</v>
      </c>
      <c r="D291" s="3" t="s">
        <v>7827</v>
      </c>
      <c r="F291" s="5" t="str">
        <f>IFERROR(__xludf.DUMMYFUNCTION("GOOGLETRANSLATE(A291, ""en"", ""hi"")"),"290")</f>
        <v>290</v>
      </c>
      <c r="G291" s="5" t="str">
        <f>IFERROR(__xludf.DUMMYFUNCTION("GOOGLETRANSLATE(B291, ""en"", ""hi"")"),"खिलाड़ी A ने पहला सेट 15-14 से जीता और खिलाड़ी B ने दूसरा सेट 15-12 से जीता। अगर खिलाड़ी A तीसरा सेट 15-13 से जीत जाता है, तो मैच का स्कोर क्या होगा?")</f>
        <v>खिलाड़ी A ने पहला सेट 15-14 से जीता और खिलाड़ी B ने दूसरा सेट 15-12 से जीता। अगर खिलाड़ी A तीसरा सेट 15-13 से जीत जाता है, तो मैच का स्कोर क्या होगा?</v>
      </c>
      <c r="H291" s="5" t="str">
        <f>IFERROR(__xludf.DUMMYFUNCTION("GOOGLETRANSLATE(C291,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91" s="5" t="str">
        <f>IFERROR(__xludf.DUMMYFUNCTION("GOOGLETRANSLATE(D291, ""en"", ""hi"")"),"A) खिलाड़ी A 2-1 से आगे है।")</f>
        <v>A) खिलाड़ी A 2-1 से आगे है।</v>
      </c>
    </row>
    <row r="292" ht="22.5" customHeight="1">
      <c r="A292" s="2">
        <v>291.0</v>
      </c>
      <c r="B292" s="3" t="s">
        <v>7986</v>
      </c>
      <c r="C292" s="3" t="s">
        <v>7959</v>
      </c>
      <c r="D292" s="3" t="s">
        <v>7878</v>
      </c>
      <c r="F292" s="5" t="str">
        <f>IFERROR(__xludf.DUMMYFUNCTION("GOOGLETRANSLATE(A292, ""en"", ""hi"")"),"291")</f>
        <v>291</v>
      </c>
      <c r="G292" s="5" t="str">
        <f>IFERROR(__xludf.DUMMYFUNCTION("GOOGLETRANSLATE(B292, ""en"", ""hi"")"),"एक कंचे खेल में, यदि खिलाड़ी X ने 28 अंक बनाए और खिलाड़ी Y ने 29 अंक बनाए, और खेल को जीतने के लिए 30 अंकों की आवश्यकता है, तो परिणाम क्या होगा?")</f>
        <v>एक कंचे खेल में, यदि खिलाड़ी X ने 28 अंक बनाए और खिलाड़ी Y ने 29 अंक बनाए, और खेल को जीतने के लिए 30 अंकों की आवश्यकता है, तो परिणाम क्या होगा?</v>
      </c>
      <c r="H292" s="5" t="str">
        <f>IFERROR(__xludf.DUMMYFUNCTION("GOOGLETRANSLATE(C292,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92" s="5" t="str">
        <f>IFERROR(__xludf.DUMMYFUNCTION("GOOGLETRANSLATE(D292, ""en"", ""hi"")"),"A) खिलाड़ी Y जीतता है.")</f>
        <v>A) खिलाड़ी Y जीतता है.</v>
      </c>
    </row>
    <row r="293" ht="22.5" customHeight="1">
      <c r="A293" s="2">
        <v>292.0</v>
      </c>
      <c r="B293" s="3" t="s">
        <v>7964</v>
      </c>
      <c r="C293" s="3" t="s">
        <v>7846</v>
      </c>
      <c r="D293" s="3" t="s">
        <v>7847</v>
      </c>
      <c r="F293" s="5" t="str">
        <f>IFERROR(__xludf.DUMMYFUNCTION("GOOGLETRANSLATE(A293, ""en"", ""hi"")"),"292")</f>
        <v>292</v>
      </c>
      <c r="G293" s="5" t="str">
        <f>IFERROR(__xludf.DUMMYFUNCTION("GOOGLETRANSLATE(B293, ""en"", ""hi"")"),"खिलाड़ी X ने पहला सेट 15-11 से जीता और खिलाड़ी Y ने दूसरा सेट 15-14 से जीता। अगर खिलाड़ी X तीसरा सेट 15-12 से जीतता है, तो मैच का स्कोर क्या होगा?")</f>
        <v>खिलाड़ी X ने पहला सेट 15-11 से जीता और खिलाड़ी Y ने दूसरा सेट 15-14 से जीता। अगर खिलाड़ी X तीसरा सेट 15-12 से जीतता है, तो मैच का स्कोर क्या होगा?</v>
      </c>
      <c r="H293" s="5" t="str">
        <f>IFERROR(__xludf.DUMMYFUNCTION("GOOGLETRANSLATE(C293,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93" s="5" t="str">
        <f>IFERROR(__xludf.DUMMYFUNCTION("GOOGLETRANSLATE(D293, ""en"", ""hi"")"),"A) खिलाड़ी X 2-1 से आगे है।")</f>
        <v>A) खिलाड़ी X 2-1 से आगे है।</v>
      </c>
    </row>
    <row r="294" ht="22.5" customHeight="1">
      <c r="A294" s="2">
        <v>293.0</v>
      </c>
      <c r="B294" s="3" t="s">
        <v>7984</v>
      </c>
      <c r="C294" s="3" t="s">
        <v>7959</v>
      </c>
      <c r="D294" s="3" t="s">
        <v>7878</v>
      </c>
      <c r="F294" s="5" t="str">
        <f>IFERROR(__xludf.DUMMYFUNCTION("GOOGLETRANSLATE(A294, ""en"", ""hi"")"),"293")</f>
        <v>293</v>
      </c>
      <c r="G294" s="5" t="str">
        <f>IFERROR(__xludf.DUMMYFUNCTION("GOOGLETRANSLATE(B294, ""en"", ""hi"")"),"एक कंचे मैच के दौरान, खिलाड़ी X ने 24 अंक बनाए और खिलाड़ी Y ने 25 अंक बनाए। यदि खेल जीतने के लिए 30 अंकों की आवश्यकता है, तो परिणाम क्या होगा?")</f>
        <v>एक कंचे मैच के दौरान, खिलाड़ी X ने 24 अंक बनाए और खिलाड़ी Y ने 25 अंक बनाए। यदि खेल जीतने के लिए 30 अंकों की आवश्यकता है, तो परिणाम क्या होगा?</v>
      </c>
      <c r="H294" s="5" t="str">
        <f>IFERROR(__xludf.DUMMYFUNCTION("GOOGLETRANSLATE(C294,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94" s="5" t="str">
        <f>IFERROR(__xludf.DUMMYFUNCTION("GOOGLETRANSLATE(D294, ""en"", ""hi"")"),"A) खिलाड़ी Y जीतता है.")</f>
        <v>A) खिलाड़ी Y जीतता है.</v>
      </c>
    </row>
    <row r="295" ht="22.5" customHeight="1">
      <c r="A295" s="2">
        <v>294.0</v>
      </c>
      <c r="B295" s="3" t="s">
        <v>7969</v>
      </c>
      <c r="C295" s="3" t="s">
        <v>7846</v>
      </c>
      <c r="D295" s="3" t="s">
        <v>7847</v>
      </c>
      <c r="F295" s="5" t="str">
        <f>IFERROR(__xludf.DUMMYFUNCTION("GOOGLETRANSLATE(A295, ""en"", ""hi"")"),"294")</f>
        <v>294</v>
      </c>
      <c r="G295" s="5" t="str">
        <f>IFERROR(__xludf.DUMMYFUNCTION("GOOGLETRANSLATE(B295, ""en"", ""hi"")"),"खिलाड़ी X ने पहला सेट 15-13 से जीता और खिलाड़ी Y ने दूसरा सेट 15-11 से जीता। अगर खिलाड़ी X तीसरा सेट 15-14 से जीतता है, तो मैच का स्कोर क्या होगा?")</f>
        <v>खिलाड़ी X ने पहला सेट 15-13 से जीता और खिलाड़ी Y ने दूसरा सेट 15-11 से जीता। अगर खिलाड़ी X तीसरा सेट 15-14 से जीतता है, तो मैच का स्कोर क्या होगा?</v>
      </c>
      <c r="H295" s="5" t="str">
        <f>IFERROR(__xludf.DUMMYFUNCTION("GOOGLETRANSLATE(C295,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95" s="5" t="str">
        <f>IFERROR(__xludf.DUMMYFUNCTION("GOOGLETRANSLATE(D295, ""en"", ""hi"")"),"A) खिलाड़ी X 2-1 से आगे है।")</f>
        <v>A) खिलाड़ी X 2-1 से आगे है।</v>
      </c>
    </row>
    <row r="296" ht="22.5" customHeight="1">
      <c r="A296" s="2">
        <v>295.0</v>
      </c>
      <c r="B296" s="3" t="s">
        <v>8056</v>
      </c>
      <c r="C296" s="3" t="s">
        <v>7989</v>
      </c>
      <c r="D296" s="3" t="s">
        <v>7878</v>
      </c>
      <c r="F296" s="5" t="str">
        <f>IFERROR(__xludf.DUMMYFUNCTION("GOOGLETRANSLATE(A296, ""en"", ""hi"")"),"295")</f>
        <v>295</v>
      </c>
      <c r="G296" s="5" t="str">
        <f>IFERROR(__xludf.DUMMYFUNCTION("GOOGLETRANSLATE(B296, ""en"", ""hi"")"),"एक कंचे खेल में, यदि खिलाड़ी X ने 31 अंक बनाए और खिलाड़ी Y ने 32 अंक बनाए, और खेल को जीतने के लिए 35 अंकों की आवश्यकता है, तो परिणाम क्या होगा?")</f>
        <v>एक कंचे खेल में, यदि खिलाड़ी X ने 31 अंक बनाए और खिलाड़ी Y ने 32 अंक बनाए, और खेल को जीतने के लिए 35 अंकों की आवश्यकता है, तो परिणाम क्या होगा?</v>
      </c>
      <c r="H296" s="5" t="str">
        <f>IFERROR(__xludf.DUMMYFUNCTION("GOOGLETRANSLATE(C296,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296" s="5" t="str">
        <f>IFERROR(__xludf.DUMMYFUNCTION("GOOGLETRANSLATE(D296, ""en"", ""hi"")"),"A) खिलाड़ी Y जीतता है.")</f>
        <v>A) खिलाड़ी Y जीतता है.</v>
      </c>
    </row>
    <row r="297" ht="22.5" customHeight="1">
      <c r="A297" s="2">
        <v>296.0</v>
      </c>
      <c r="B297" s="3" t="s">
        <v>8002</v>
      </c>
      <c r="C297" s="3" t="s">
        <v>7826</v>
      </c>
      <c r="D297" s="3" t="s">
        <v>7827</v>
      </c>
      <c r="F297" s="5" t="str">
        <f>IFERROR(__xludf.DUMMYFUNCTION("GOOGLETRANSLATE(A297, ""en"", ""hi"")"),"296")</f>
        <v>296</v>
      </c>
      <c r="G297" s="5" t="str">
        <f>IFERROR(__xludf.DUMMYFUNCTION("GOOGLETRANSLATE(B297, ""en"", ""hi"")"),"खिलाड़ी A ने पहला सेट 15-13 से जीता और खिलाड़ी B ने दूसरा सेट 15-14 से जीता। अगर खिलाड़ी A तीसरा सेट 15-12 से जीत जाता है, तो मैच का स्कोर क्या होगा?")</f>
        <v>खिलाड़ी A ने पहला सेट 15-13 से जीता और खिलाड़ी B ने दूसरा सेट 15-14 से जीता। अगर खिलाड़ी A तीसरा सेट 15-12 से जीत जाता है, तो मैच का स्कोर क्या होगा?</v>
      </c>
      <c r="H297" s="5" t="str">
        <f>IFERROR(__xludf.DUMMYFUNCTION("GOOGLETRANSLATE(C297, ""en"", ""hi"")"),"A) खिलाड़ी A 2-1 से आगे है। , B) खिलाड़ी B 2-1 से आगे है। , C) मैच 1-1 से बराबर है। , D) खिलाड़ी A 1-0 से आगे है।")</f>
        <v>A) खिलाड़ी A 2-1 से आगे है। , B) खिलाड़ी B 2-1 से आगे है। , C) मैच 1-1 से बराबर है। , D) खिलाड़ी A 1-0 से आगे है।</v>
      </c>
      <c r="I297" s="5" t="str">
        <f>IFERROR(__xludf.DUMMYFUNCTION("GOOGLETRANSLATE(D297, ""en"", ""hi"")"),"A) खिलाड़ी A 2-1 से आगे है।")</f>
        <v>A) खिलाड़ी A 2-1 से आगे है।</v>
      </c>
    </row>
    <row r="298" ht="22.5" customHeight="1">
      <c r="A298" s="2">
        <v>297.0</v>
      </c>
      <c r="B298" s="3" t="s">
        <v>8015</v>
      </c>
      <c r="C298" s="3" t="s">
        <v>7959</v>
      </c>
      <c r="D298" s="3" t="s">
        <v>7878</v>
      </c>
      <c r="F298" s="5" t="str">
        <f>IFERROR(__xludf.DUMMYFUNCTION("GOOGLETRANSLATE(A298, ""en"", ""hi"")"),"297")</f>
        <v>297</v>
      </c>
      <c r="G298" s="5" t="str">
        <f>IFERROR(__xludf.DUMMYFUNCTION("GOOGLETRANSLATE(B298, ""en"", ""hi"")"),"एक कंचे मैच के दौरान, खिलाड़ी X ने 26 अंक बनाए और खिलाड़ी Y ने 28 अंक बनाए। यदि खेल जीतने के लिए 30 अंकों की आवश्यकता है, तो परिणाम क्या होगा?")</f>
        <v>एक कंचे मैच के दौरान, खिलाड़ी X ने 26 अंक बनाए और खिलाड़ी Y ने 28 अंक बनाए। यदि खेल जीतने के लिए 30 अंकों की आवश्यकता है, तो परिणाम क्या होगा?</v>
      </c>
      <c r="H298" s="5" t="str">
        <f>IFERROR(__xludf.DUMMYFUNCTION("GOOGLETRANSLATE(C298,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298" s="5" t="str">
        <f>IFERROR(__xludf.DUMMYFUNCTION("GOOGLETRANSLATE(D298, ""en"", ""hi"")"),"A) खिलाड़ी Y जीतता है.")</f>
        <v>A) खिलाड़ी Y जीतता है.</v>
      </c>
    </row>
    <row r="299" ht="22.5" customHeight="1">
      <c r="A299" s="2">
        <v>298.0</v>
      </c>
      <c r="B299" s="3" t="s">
        <v>7957</v>
      </c>
      <c r="C299" s="3" t="s">
        <v>7846</v>
      </c>
      <c r="D299" s="3" t="s">
        <v>7847</v>
      </c>
      <c r="F299" s="5" t="str">
        <f>IFERROR(__xludf.DUMMYFUNCTION("GOOGLETRANSLATE(A299, ""en"", ""hi"")"),"298")</f>
        <v>298</v>
      </c>
      <c r="G299" s="5" t="str">
        <f>IFERROR(__xludf.DUMMYFUNCTION("GOOGLETRANSLATE(B299, ""en"", ""hi"")"),"खिलाड़ी X ने पहला सेट 15-12 से जीता और खिलाड़ी Y ने दूसरा सेट 15-13 से जीता। अगर खिलाड़ी X तीसरा सेट 15-14 से जीतता है, तो मैच का स्कोर क्या होगा?")</f>
        <v>खिलाड़ी X ने पहला सेट 15-12 से जीता और खिलाड़ी Y ने दूसरा सेट 15-13 से जीता। अगर खिलाड़ी X तीसरा सेट 15-14 से जीतता है, तो मैच का स्कोर क्या होगा?</v>
      </c>
      <c r="H299" s="5" t="str">
        <f>IFERROR(__xludf.DUMMYFUNCTION("GOOGLETRANSLATE(C299,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299" s="5" t="str">
        <f>IFERROR(__xludf.DUMMYFUNCTION("GOOGLETRANSLATE(D299, ""en"", ""hi"")"),"A) खिलाड़ी X 2-1 से आगे है।")</f>
        <v>A) खिलाड़ी X 2-1 से आगे है।</v>
      </c>
    </row>
    <row r="300" ht="22.5" customHeight="1">
      <c r="A300" s="2">
        <v>299.0</v>
      </c>
      <c r="B300" s="3" t="s">
        <v>8057</v>
      </c>
      <c r="C300" s="3" t="s">
        <v>7959</v>
      </c>
      <c r="D300" s="3" t="s">
        <v>7878</v>
      </c>
      <c r="F300" s="5" t="str">
        <f>IFERROR(__xludf.DUMMYFUNCTION("GOOGLETRANSLATE(A300, ""en"", ""hi"")"),"299")</f>
        <v>299</v>
      </c>
      <c r="G300" s="5" t="str">
        <f>IFERROR(__xludf.DUMMYFUNCTION("GOOGLETRANSLATE(B300, ""en"", ""hi"")"),"एक कंचे खेल में, यदि खिलाड़ी X ने 24 अंक बनाए और खिलाड़ी Y ने 27 अंक बनाए, और खेल को जीतने के लिए 30 अंकों की आवश्यकता है, तो परिणाम क्या होगा?")</f>
        <v>एक कंचे खेल में, यदि खिलाड़ी X ने 24 अंक बनाए और खिलाड़ी Y ने 27 अंक बनाए, और खेल को जीतने के लिए 30 अंकों की आवश्यकता है, तो परिणाम क्या होगा?</v>
      </c>
      <c r="H300" s="5" t="str">
        <f>IFERROR(__xludf.DUMMYFUNCTION("GOOGLETRANSLATE(C300,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00" s="5" t="str">
        <f>IFERROR(__xludf.DUMMYFUNCTION("GOOGLETRANSLATE(D300, ""en"", ""hi"")"),"A) खिलाड़ी Y जीतता है.")</f>
        <v>A) खिलाड़ी Y जीतता है.</v>
      </c>
    </row>
    <row r="301" ht="22.5" customHeight="1">
      <c r="A301" s="2">
        <v>300.0</v>
      </c>
      <c r="B301" s="3" t="s">
        <v>7946</v>
      </c>
      <c r="C301" s="3" t="s">
        <v>7846</v>
      </c>
      <c r="D301" s="3" t="s">
        <v>7847</v>
      </c>
      <c r="F301" s="5" t="str">
        <f>IFERROR(__xludf.DUMMYFUNCTION("GOOGLETRANSLATE(A301, ""en"", ""hi"")"),"300")</f>
        <v>300</v>
      </c>
      <c r="G301" s="5" t="str">
        <f>IFERROR(__xludf.DUMMYFUNCTION("GOOGLETRANSLATE(B301,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301" s="5" t="str">
        <f>IFERROR(__xludf.DUMMYFUNCTION("GOOGLETRANSLATE(C301,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01" s="5" t="str">
        <f>IFERROR(__xludf.DUMMYFUNCTION("GOOGLETRANSLATE(D301, ""en"", ""hi"")"),"A) खिलाड़ी X 2-1 से आगे है।")</f>
        <v>A) खिलाड़ी X 2-1 से आगे है।</v>
      </c>
    </row>
    <row r="302" ht="22.5" customHeight="1">
      <c r="A302" s="2">
        <v>301.0</v>
      </c>
      <c r="B302" s="3" t="s">
        <v>8052</v>
      </c>
      <c r="C302" s="3" t="s">
        <v>7989</v>
      </c>
      <c r="D302" s="3" t="s">
        <v>7878</v>
      </c>
      <c r="F302" s="5" t="str">
        <f>IFERROR(__xludf.DUMMYFUNCTION("GOOGLETRANSLATE(A302, ""en"", ""hi"")"),"301")</f>
        <v>301</v>
      </c>
      <c r="G302" s="5" t="str">
        <f>IFERROR(__xludf.DUMMYFUNCTION("GOOGLETRANSLATE(B302, ""en"", ""hi"")"),"एक कंचे मैच के दौरान, खिलाड़ी X ने 29 अंक बनाए और खिलाड़ी Y ने 30 अंक बनाए। यदि खेल जीतने के लिए 35 अंक चाहिए, तो परिणाम क्या होगा?")</f>
        <v>एक कंचे मैच के दौरान, खिलाड़ी X ने 29 अंक बनाए और खिलाड़ी Y ने 30 अंक बनाए। यदि खेल जीतने के लिए 35 अंक चाहिए, तो परिणाम क्या होगा?</v>
      </c>
      <c r="H302" s="5" t="str">
        <f>IFERROR(__xludf.DUMMYFUNCTION("GOOGLETRANSLATE(C302,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02" s="5" t="str">
        <f>IFERROR(__xludf.DUMMYFUNCTION("GOOGLETRANSLATE(D302, ""en"", ""hi"")"),"A) खिलाड़ी Y जीतता है.")</f>
        <v>A) खिलाड़ी Y जीतता है.</v>
      </c>
    </row>
    <row r="303" ht="22.5" customHeight="1">
      <c r="A303" s="2">
        <v>302.0</v>
      </c>
      <c r="B303" s="3" t="s">
        <v>7948</v>
      </c>
      <c r="C303" s="3" t="s">
        <v>7826</v>
      </c>
      <c r="D303" s="3" t="s">
        <v>7827</v>
      </c>
      <c r="F303" s="5" t="str">
        <f>IFERROR(__xludf.DUMMYFUNCTION("GOOGLETRANSLATE(A303, ""en"", ""hi"")"),"302")</f>
        <v>302</v>
      </c>
      <c r="G303" s="5" t="str">
        <f>IFERROR(__xludf.DUMMYFUNCTION("GOOGLETRANSLATE(B303, ""en"", ""hi"")"),"खिलाड़ी A ने पहला सेट 15-11 से जीता और खिलाड़ी B ने दूसरा सेट 15-14 से जीता। अगर खिलाड़ी A तीसरा सेट 15-13 से जीत जाता है, तो मैच का स्कोर क्या होगा?")</f>
        <v>खिलाड़ी A ने पहला सेट 15-11 से जीता और खिलाड़ी B ने दूसरा सेट 15-14 से जीता। अगर खिलाड़ी A तीसरा सेट 15-13 से जीत जाता है, तो मैच का स्कोर क्या होगा?</v>
      </c>
      <c r="H303" s="5" t="str">
        <f>IFERROR(__xludf.DUMMYFUNCTION("GOOGLETRANSLATE(C303, ""en"", ""hi"")"),"A) खिलाड़ी A 2-1 से आगे है। , B) खिलाड़ी B 2-1 से आगे है। , C) मैच 1-1 से बराबर है। , D) खिलाड़ी A 1-0 से आगे है।")</f>
        <v>A) खिलाड़ी A 2-1 से आगे है। , B) खिलाड़ी B 2-1 से आगे है। , C) मैच 1-1 से बराबर है। , D) खिलाड़ी A 1-0 से आगे है।</v>
      </c>
      <c r="I303" s="5" t="str">
        <f>IFERROR(__xludf.DUMMYFUNCTION("GOOGLETRANSLATE(D303, ""en"", ""hi"")"),"A) खिलाड़ी A 2-1 से आगे है।")</f>
        <v>A) खिलाड़ी A 2-1 से आगे है।</v>
      </c>
    </row>
    <row r="304" ht="22.5" customHeight="1">
      <c r="A304" s="2">
        <v>303.0</v>
      </c>
      <c r="B304" s="3" t="s">
        <v>7986</v>
      </c>
      <c r="C304" s="3" t="s">
        <v>7959</v>
      </c>
      <c r="D304" s="3" t="s">
        <v>7878</v>
      </c>
      <c r="F304" s="5" t="str">
        <f>IFERROR(__xludf.DUMMYFUNCTION("GOOGLETRANSLATE(A304, ""en"", ""hi"")"),"303")</f>
        <v>303</v>
      </c>
      <c r="G304" s="5" t="str">
        <f>IFERROR(__xludf.DUMMYFUNCTION("GOOGLETRANSLATE(B304, ""en"", ""hi"")"),"एक कंचे खेल में, यदि खिलाड़ी X ने 28 अंक बनाए और खिलाड़ी Y ने 29 अंक बनाए, और खेल को जीतने के लिए 30 अंकों की आवश्यकता है, तो परिणाम क्या होगा?")</f>
        <v>एक कंचे खेल में, यदि खिलाड़ी X ने 28 अंक बनाए और खिलाड़ी Y ने 29 अंक बनाए, और खेल को जीतने के लिए 30 अंकों की आवश्यकता है, तो परिणाम क्या होगा?</v>
      </c>
      <c r="H304" s="5" t="str">
        <f>IFERROR(__xludf.DUMMYFUNCTION("GOOGLETRANSLATE(C304,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04" s="5" t="str">
        <f>IFERROR(__xludf.DUMMYFUNCTION("GOOGLETRANSLATE(D304, ""en"", ""hi"")"),"A) खिलाड़ी Y जीतता है.")</f>
        <v>A) खिलाड़ी Y जीतता है.</v>
      </c>
    </row>
    <row r="305" ht="22.5" customHeight="1">
      <c r="A305" s="2">
        <v>304.0</v>
      </c>
      <c r="B305" s="3" t="s">
        <v>8058</v>
      </c>
      <c r="C305" s="3" t="s">
        <v>7846</v>
      </c>
      <c r="D305" s="3" t="s">
        <v>7847</v>
      </c>
      <c r="F305" s="5" t="str">
        <f>IFERROR(__xludf.DUMMYFUNCTION("GOOGLETRANSLATE(A305, ""en"", ""hi"")"),"304")</f>
        <v>304</v>
      </c>
      <c r="G305" s="5" t="str">
        <f>IFERROR(__xludf.DUMMYFUNCTION("GOOGLETRANSLATE(B305, ""en"", ""hi"")"),"खिलाड़ी X ने पहला सेट 15-13 से जीता और खिलाड़ी Y ने दूसरा सेट 15-12 से जीता। अगर खिलाड़ी X तीसरा सेट 15-14 से जीतता है, तो मैच का स्कोर क्या होगा?")</f>
        <v>खिलाड़ी X ने पहला सेट 15-13 से जीता और खिलाड़ी Y ने दूसरा सेट 15-12 से जीता। अगर खिलाड़ी X तीसरा सेट 15-14 से जीतता है, तो मैच का स्कोर क्या होगा?</v>
      </c>
      <c r="H305" s="5" t="str">
        <f>IFERROR(__xludf.DUMMYFUNCTION("GOOGLETRANSLATE(C305,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05" s="5" t="str">
        <f>IFERROR(__xludf.DUMMYFUNCTION("GOOGLETRANSLATE(D305, ""en"", ""hi"")"),"A) खिलाड़ी X 2-1 से आगे है।")</f>
        <v>A) खिलाड़ी X 2-1 से आगे है।</v>
      </c>
    </row>
    <row r="306" ht="22.5" customHeight="1">
      <c r="A306" s="2">
        <v>305.0</v>
      </c>
      <c r="B306" s="3" t="s">
        <v>8023</v>
      </c>
      <c r="C306" s="3" t="s">
        <v>7959</v>
      </c>
      <c r="D306" s="3" t="s">
        <v>7878</v>
      </c>
      <c r="F306" s="5" t="str">
        <f>IFERROR(__xludf.DUMMYFUNCTION("GOOGLETRANSLATE(A306, ""en"", ""hi"")"),"305")</f>
        <v>305</v>
      </c>
      <c r="G306" s="5" t="str">
        <f>IFERROR(__xludf.DUMMYFUNCTION("GOOGLETRANSLATE(B306, ""en"", ""hi"")"),"एक कंचे मैच के दौरान, खिलाड़ी X ने 24 अंक बनाए और खिलाड़ी Y ने 26 अंक बनाए। यदि खेल जीतने के लिए 30 अंकों की आवश्यकता है, तो परिणाम क्या होगा?")</f>
        <v>एक कंचे मैच के दौरान, खिलाड़ी X ने 24 अंक बनाए और खिलाड़ी Y ने 26 अंक बनाए। यदि खेल जीतने के लिए 30 अंकों की आवश्यकता है, तो परिणाम क्या होगा?</v>
      </c>
      <c r="H306" s="5" t="str">
        <f>IFERROR(__xludf.DUMMYFUNCTION("GOOGLETRANSLATE(C306,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06" s="5" t="str">
        <f>IFERROR(__xludf.DUMMYFUNCTION("GOOGLETRANSLATE(D306, ""en"", ""hi"")"),"A) खिलाड़ी Y जीतता है.")</f>
        <v>A) खिलाड़ी Y जीतता है.</v>
      </c>
    </row>
    <row r="307" ht="22.5" customHeight="1">
      <c r="A307" s="2">
        <v>306.0</v>
      </c>
      <c r="B307" s="3" t="s">
        <v>7918</v>
      </c>
      <c r="C307" s="3" t="s">
        <v>7846</v>
      </c>
      <c r="D307" s="3" t="s">
        <v>7847</v>
      </c>
      <c r="F307" s="5" t="str">
        <f>IFERROR(__xludf.DUMMYFUNCTION("GOOGLETRANSLATE(A307, ""en"", ""hi"")"),"306")</f>
        <v>306</v>
      </c>
      <c r="G307" s="5" t="str">
        <f>IFERROR(__xludf.DUMMYFUNCTION("GOOGLETRANSLATE(B307, ""en"", ""hi"")"),"खिलाड़ी X ने पहला सेट 15-12 से जीता और खिलाड़ी Y ने दूसरा सेट 15-14 से जीता। अगर खिलाड़ी X तीसरा सेट 15-13 से जीतता है, तो मैच का स्कोर क्या होगा?")</f>
        <v>खिलाड़ी X ने पहला सेट 15-12 से जीता और खिलाड़ी Y ने दूसरा सेट 15-14 से जीता। अगर खिलाड़ी X तीसरा सेट 15-13 से जीतता है, तो मैच का स्कोर क्या होगा?</v>
      </c>
      <c r="H307" s="5" t="str">
        <f>IFERROR(__xludf.DUMMYFUNCTION("GOOGLETRANSLATE(C307,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07" s="5" t="str">
        <f>IFERROR(__xludf.DUMMYFUNCTION("GOOGLETRANSLATE(D307, ""en"", ""hi"")"),"A) खिलाड़ी X 2-1 से आगे है।")</f>
        <v>A) खिलाड़ी X 2-1 से आगे है।</v>
      </c>
    </row>
    <row r="308" ht="22.5" customHeight="1">
      <c r="A308" s="2">
        <v>307.0</v>
      </c>
      <c r="B308" s="3" t="s">
        <v>7975</v>
      </c>
      <c r="C308" s="3" t="s">
        <v>7959</v>
      </c>
      <c r="D308" s="3" t="s">
        <v>7878</v>
      </c>
      <c r="F308" s="5" t="str">
        <f>IFERROR(__xludf.DUMMYFUNCTION("GOOGLETRANSLATE(A308, ""en"", ""hi"")"),"307")</f>
        <v>307</v>
      </c>
      <c r="G308" s="5" t="str">
        <f>IFERROR(__xludf.DUMMYFUNCTION("GOOGLETRANSLATE(B308, ""en"", ""hi"")"),"एक कंचे खेल में, यदि खिलाड़ी X ने 25 अंक बनाए और खिलाड़ी Y ने 27 अंक बनाए, और खेल को जीतने के लिए 30 अंकों की आवश्यकता है, तो परिणाम क्या होगा?")</f>
        <v>एक कंचे खेल में, यदि खिलाड़ी X ने 25 अंक बनाए और खिलाड़ी Y ने 27 अंक बनाए, और खेल को जीतने के लिए 30 अंकों की आवश्यकता है, तो परिणाम क्या होगा?</v>
      </c>
      <c r="H308" s="5" t="str">
        <f>IFERROR(__xludf.DUMMYFUNCTION("GOOGLETRANSLATE(C308,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08" s="5" t="str">
        <f>IFERROR(__xludf.DUMMYFUNCTION("GOOGLETRANSLATE(D308, ""en"", ""hi"")"),"A) खिलाड़ी Y जीतता है.")</f>
        <v>A) खिलाड़ी Y जीतता है.</v>
      </c>
    </row>
    <row r="309" ht="22.5" customHeight="1">
      <c r="A309" s="2">
        <v>308.0</v>
      </c>
      <c r="B309" s="3" t="s">
        <v>7964</v>
      </c>
      <c r="C309" s="3" t="s">
        <v>7846</v>
      </c>
      <c r="D309" s="3" t="s">
        <v>7847</v>
      </c>
      <c r="F309" s="5" t="str">
        <f>IFERROR(__xludf.DUMMYFUNCTION("GOOGLETRANSLATE(A309, ""en"", ""hi"")"),"308")</f>
        <v>308</v>
      </c>
      <c r="G309" s="5" t="str">
        <f>IFERROR(__xludf.DUMMYFUNCTION("GOOGLETRANSLATE(B309, ""en"", ""hi"")"),"खिलाड़ी X ने पहला सेट 15-11 से जीता और खिलाड़ी Y ने दूसरा सेट 15-14 से जीता। अगर खिलाड़ी X तीसरा सेट 15-12 से जीतता है, तो मैच का स्कोर क्या होगा?")</f>
        <v>खिलाड़ी X ने पहला सेट 15-11 से जीता और खिलाड़ी Y ने दूसरा सेट 15-14 से जीता। अगर खिलाड़ी X तीसरा सेट 15-12 से जीतता है, तो मैच का स्कोर क्या होगा?</v>
      </c>
      <c r="H309" s="5" t="str">
        <f>IFERROR(__xludf.DUMMYFUNCTION("GOOGLETRANSLATE(C309,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09" s="5" t="str">
        <f>IFERROR(__xludf.DUMMYFUNCTION("GOOGLETRANSLATE(D309, ""en"", ""hi"")"),"A) खिलाड़ी X 2-1 से आगे है।")</f>
        <v>A) खिलाड़ी X 2-1 से आगे है।</v>
      </c>
    </row>
    <row r="310" ht="22.5" customHeight="1">
      <c r="A310" s="2">
        <v>309.0</v>
      </c>
      <c r="B310" s="3" t="s">
        <v>7927</v>
      </c>
      <c r="C310" s="3" t="s">
        <v>7846</v>
      </c>
      <c r="D310" s="3" t="s">
        <v>7847</v>
      </c>
      <c r="F310" s="5" t="str">
        <f>IFERROR(__xludf.DUMMYFUNCTION("GOOGLETRANSLATE(A310, ""en"", ""hi"")"),"309")</f>
        <v>309</v>
      </c>
      <c r="G310" s="5" t="str">
        <f>IFERROR(__xludf.DUMMYFUNCTION("GOOGLETRANSLATE(B310, ""en"", ""hi"")"),"खिलाड़ी X ने पहला सेट 15-13 से जीता और खिलाड़ी Y ने दूसरा सेट 15-14 से जीता। अगर खिलाड़ी X तीसरा सेट 15-12 से जीतता है, तो मैच का स्कोर क्या होगा?")</f>
        <v>खिलाड़ी X ने पहला सेट 15-13 से जीता और खिलाड़ी Y ने दूसरा सेट 15-14 से जीता। अगर खिलाड़ी X तीसरा सेट 15-12 से जीतता है, तो मैच का स्कोर क्या होगा?</v>
      </c>
      <c r="H310" s="5" t="str">
        <f>IFERROR(__xludf.DUMMYFUNCTION("GOOGLETRANSLATE(C310,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10" s="5" t="str">
        <f>IFERROR(__xludf.DUMMYFUNCTION("GOOGLETRANSLATE(D310, ""en"", ""hi"")"),"A) खिलाड़ी X 2-1 से आगे है।")</f>
        <v>A) खिलाड़ी X 2-1 से आगे है।</v>
      </c>
    </row>
    <row r="311" ht="22.5" customHeight="1">
      <c r="A311" s="2">
        <v>310.0</v>
      </c>
      <c r="B311" s="3" t="s">
        <v>8059</v>
      </c>
      <c r="C311" s="3" t="s">
        <v>7959</v>
      </c>
      <c r="D311" s="3" t="s">
        <v>7878</v>
      </c>
      <c r="F311" s="5" t="str">
        <f>IFERROR(__xludf.DUMMYFUNCTION("GOOGLETRANSLATE(A311, ""en"", ""hi"")"),"310")</f>
        <v>310</v>
      </c>
      <c r="G311" s="5" t="str">
        <f>IFERROR(__xludf.DUMMYFUNCTION("GOOGLETRANSLATE(B311, ""en"", ""hi"")"),"एक कंचे खेल में, खिलाड़ी X ने 25 अंक बनाए और खिलाड़ी Y ने 29 अंक बनाए। यदि खेल जीतने के लिए 30 अंक चाहिए, तो परिणाम क्या होगा?")</f>
        <v>एक कंचे खेल में, खिलाड़ी X ने 25 अंक बनाए और खिलाड़ी Y ने 29 अंक बनाए। यदि खेल जीतने के लिए 30 अंक चाहिए, तो परिणाम क्या होगा?</v>
      </c>
      <c r="H311" s="5" t="str">
        <f>IFERROR(__xludf.DUMMYFUNCTION("GOOGLETRANSLATE(C311,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11" s="5" t="str">
        <f>IFERROR(__xludf.DUMMYFUNCTION("GOOGLETRANSLATE(D311, ""en"", ""hi"")"),"A) खिलाड़ी Y जीतता है.")</f>
        <v>A) खिलाड़ी Y जीतता है.</v>
      </c>
    </row>
    <row r="312" ht="22.5" customHeight="1">
      <c r="A312" s="2">
        <v>311.0</v>
      </c>
      <c r="B312" s="3" t="s">
        <v>8060</v>
      </c>
      <c r="C312" s="3" t="s">
        <v>8061</v>
      </c>
      <c r="D312" s="3" t="s">
        <v>8062</v>
      </c>
      <c r="F312" s="5" t="str">
        <f>IFERROR(__xludf.DUMMYFUNCTION("GOOGLETRANSLATE(A312, ""en"", ""hi"")"),"311")</f>
        <v>311</v>
      </c>
      <c r="G312" s="5" t="str">
        <f>IFERROR(__xludf.DUMMYFUNCTION("GOOGLETRANSLATE(B312, ""en"", ""hi"")"),"खिलाड़ी X ने पहला सेट 15-14 से और खिलाड़ी Y ने दूसरा सेट 15-13 से जीता। अगर खिलाड़ी Y तीसरा सेट 15-12 से जीतता है, तो मैच का स्कोर क्या होगा?")</f>
        <v>खिलाड़ी X ने पहला सेट 15-14 से और खिलाड़ी Y ने दूसरा सेट 15-13 से जीता। अगर खिलाड़ी Y तीसरा सेट 15-12 से जीतता है, तो मैच का स्कोर क्या होगा?</v>
      </c>
      <c r="H312" s="5" t="str">
        <f>IFERROR(__xludf.DUMMYFUNCTION("GOOGLETRANSLATE(C312,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12" s="5" t="str">
        <f>IFERROR(__xludf.DUMMYFUNCTION("GOOGLETRANSLATE(D312, ""en"", ""hi"")"),"A) खिलाड़ी Y 2-1 से आगे है।")</f>
        <v>A) खिलाड़ी Y 2-1 से आगे है।</v>
      </c>
    </row>
    <row r="313" ht="22.5" customHeight="1">
      <c r="A313" s="2">
        <v>312.0</v>
      </c>
      <c r="B313" s="3" t="s">
        <v>8063</v>
      </c>
      <c r="C313" s="3" t="s">
        <v>7989</v>
      </c>
      <c r="D313" s="3" t="s">
        <v>7878</v>
      </c>
      <c r="F313" s="5" t="str">
        <f>IFERROR(__xludf.DUMMYFUNCTION("GOOGLETRANSLATE(A313, ""en"", ""hi"")"),"312")</f>
        <v>312</v>
      </c>
      <c r="G313" s="5" t="str">
        <f>IFERROR(__xludf.DUMMYFUNCTION("GOOGLETRANSLATE(B313, ""en"", ""hi"")"),"एक कंचे मैच के दौरान, खिलाड़ी X ने 27 अंक बनाए और खिलाड़ी Y ने 30 अंक बनाए। यदि खेल जीतने के लिए 35 अंक चाहिए, तो परिणाम क्या होगा?")</f>
        <v>एक कंचे मैच के दौरान, खिलाड़ी X ने 27 अंक बनाए और खिलाड़ी Y ने 30 अंक बनाए। यदि खेल जीतने के लिए 35 अंक चाहिए, तो परिणाम क्या होगा?</v>
      </c>
      <c r="H313" s="5" t="str">
        <f>IFERROR(__xludf.DUMMYFUNCTION("GOOGLETRANSLATE(C313,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13" s="5" t="str">
        <f>IFERROR(__xludf.DUMMYFUNCTION("GOOGLETRANSLATE(D313, ""en"", ""hi"")"),"A) खिलाड़ी Y जीतता है.")</f>
        <v>A) खिलाड़ी Y जीतता है.</v>
      </c>
    </row>
    <row r="314" ht="22.5" customHeight="1">
      <c r="A314" s="2">
        <v>313.0</v>
      </c>
      <c r="B314" s="3" t="s">
        <v>7957</v>
      </c>
      <c r="C314" s="3" t="s">
        <v>7846</v>
      </c>
      <c r="D314" s="3" t="s">
        <v>7847</v>
      </c>
      <c r="F314" s="5" t="str">
        <f>IFERROR(__xludf.DUMMYFUNCTION("GOOGLETRANSLATE(A314, ""en"", ""hi"")"),"313")</f>
        <v>313</v>
      </c>
      <c r="G314" s="5" t="str">
        <f>IFERROR(__xludf.DUMMYFUNCTION("GOOGLETRANSLATE(B314, ""en"", ""hi"")"),"खिलाड़ी X ने पहला सेट 15-12 से जीता और खिलाड़ी Y ने दूसरा सेट 15-13 से जीता। अगर खिलाड़ी X तीसरा सेट 15-14 से जीतता है, तो मैच का स्कोर क्या होगा?")</f>
        <v>खिलाड़ी X ने पहला सेट 15-12 से जीता और खिलाड़ी Y ने दूसरा सेट 15-13 से जीता। अगर खिलाड़ी X तीसरा सेट 15-14 से जीतता है, तो मैच का स्कोर क्या होगा?</v>
      </c>
      <c r="H314" s="5" t="str">
        <f>IFERROR(__xludf.DUMMYFUNCTION("GOOGLETRANSLATE(C314,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14" s="5" t="str">
        <f>IFERROR(__xludf.DUMMYFUNCTION("GOOGLETRANSLATE(D314, ""en"", ""hi"")"),"A) खिलाड़ी X 2-1 से आगे है।")</f>
        <v>A) खिलाड़ी X 2-1 से आगे है।</v>
      </c>
    </row>
    <row r="315" ht="22.5" customHeight="1">
      <c r="A315" s="2">
        <v>314.0</v>
      </c>
      <c r="B315" s="3" t="s">
        <v>8064</v>
      </c>
      <c r="C315" s="3" t="s">
        <v>7971</v>
      </c>
      <c r="D315" s="3" t="s">
        <v>7711</v>
      </c>
      <c r="F315" s="5" t="str">
        <f>IFERROR(__xludf.DUMMYFUNCTION("GOOGLETRANSLATE(A315, ""en"", ""hi"")"),"314")</f>
        <v>314</v>
      </c>
      <c r="G315" s="5" t="str">
        <f>IFERROR(__xludf.DUMMYFUNCTION("GOOGLETRANSLATE(B315, ""en"", ""hi"")"),"एक कंचे खेल में, खिलाड़ी X ने 30 अंक बनाए और खिलाड़ी Y ने 28 अंक बनाए। यदि खेल जीतने के लिए 35 अंक चाहिए, तो परिणाम क्या होगा?")</f>
        <v>एक कंचे खेल में, खिलाड़ी X ने 30 अंक बनाए और खिलाड़ी Y ने 28 अंक बनाए। यदि खेल जीतने के लिए 35 अंक चाहिए, तो परिणाम क्या होगा?</v>
      </c>
      <c r="H315" s="5" t="str">
        <f>IFERROR(__xludf.DUMMYFUNCTION("GOOGLETRANSLATE(C315,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15" s="5" t="str">
        <f>IFERROR(__xludf.DUMMYFUNCTION("GOOGLETRANSLATE(D315, ""en"", ""hi"")"),"A) खिलाड़ी X जीतता है.")</f>
        <v>A) खिलाड़ी X जीतता है.</v>
      </c>
    </row>
    <row r="316" ht="22.5" customHeight="1">
      <c r="A316" s="2">
        <v>315.0</v>
      </c>
      <c r="B316" s="3" t="s">
        <v>8049</v>
      </c>
      <c r="C316" s="3" t="s">
        <v>7846</v>
      </c>
      <c r="D316" s="3" t="s">
        <v>7847</v>
      </c>
      <c r="F316" s="5" t="str">
        <f>IFERROR(__xludf.DUMMYFUNCTION("GOOGLETRANSLATE(A316, ""en"", ""hi"")"),"315")</f>
        <v>315</v>
      </c>
      <c r="G316" s="5" t="str">
        <f>IFERROR(__xludf.DUMMYFUNCTION("GOOGLETRANSLATE(B316, ""en"", ""hi"")"),"खिलाड़ी X ने पहला सेट 15-14 से जीता और खिलाड़ी Y ने दूसरा सेट 15-11 से जीता। अगर खिलाड़ी X तीसरा सेट 15-12 से जीतता है, तो मैच का स्कोर क्या होगा?")</f>
        <v>खिलाड़ी X ने पहला सेट 15-14 से जीता और खिलाड़ी Y ने दूसरा सेट 15-11 से जीता। अगर खिलाड़ी X तीसरा सेट 15-12 से जीतता है, तो मैच का स्कोर क्या होगा?</v>
      </c>
      <c r="H316" s="5" t="str">
        <f>IFERROR(__xludf.DUMMYFUNCTION("GOOGLETRANSLATE(C316,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16" s="5" t="str">
        <f>IFERROR(__xludf.DUMMYFUNCTION("GOOGLETRANSLATE(D316, ""en"", ""hi"")"),"A) खिलाड़ी X 2-1 से आगे है।")</f>
        <v>A) खिलाड़ी X 2-1 से आगे है।</v>
      </c>
    </row>
    <row r="317" ht="22.5" customHeight="1">
      <c r="A317" s="2">
        <v>316.0</v>
      </c>
      <c r="B317" s="3" t="s">
        <v>8065</v>
      </c>
      <c r="C317" s="3" t="s">
        <v>7959</v>
      </c>
      <c r="D317" s="3" t="s">
        <v>7878</v>
      </c>
      <c r="F317" s="5" t="str">
        <f>IFERROR(__xludf.DUMMYFUNCTION("GOOGLETRANSLATE(A317, ""en"", ""hi"")"),"316")</f>
        <v>316</v>
      </c>
      <c r="G317" s="5" t="str">
        <f>IFERROR(__xludf.DUMMYFUNCTION("GOOGLETRANSLATE(B317, ""en"", ""hi"")"),"एक कंचे मैच के दौरान, खिलाड़ी X ने 29 अंक बनाए और खिलाड़ी Y ने 31 अंक बनाए। यदि खेल जीतने के लिए 30 अंक चाहिए, तो परिणाम क्या होगा?")</f>
        <v>एक कंचे मैच के दौरान, खिलाड़ी X ने 29 अंक बनाए और खिलाड़ी Y ने 31 अंक बनाए। यदि खेल जीतने के लिए 30 अंक चाहिए, तो परिणाम क्या होगा?</v>
      </c>
      <c r="H317" s="5" t="str">
        <f>IFERROR(__xludf.DUMMYFUNCTION("GOOGLETRANSLATE(C317,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17" s="5" t="str">
        <f>IFERROR(__xludf.DUMMYFUNCTION("GOOGLETRANSLATE(D317, ""en"", ""hi"")"),"A) खिलाड़ी Y जीतता है.")</f>
        <v>A) खिलाड़ी Y जीतता है.</v>
      </c>
    </row>
    <row r="318" ht="22.5" customHeight="1">
      <c r="A318" s="2">
        <v>317.0</v>
      </c>
      <c r="B318" s="3" t="s">
        <v>8066</v>
      </c>
      <c r="C318" s="3" t="s">
        <v>8061</v>
      </c>
      <c r="D318" s="3" t="s">
        <v>8062</v>
      </c>
      <c r="F318" s="5" t="str">
        <f>IFERROR(__xludf.DUMMYFUNCTION("GOOGLETRANSLATE(A318, ""en"", ""hi"")"),"317")</f>
        <v>317</v>
      </c>
      <c r="G318" s="5" t="str">
        <f>IFERROR(__xludf.DUMMYFUNCTION("GOOGLETRANSLATE(B318, ""en"", ""hi"")"),"खिलाड़ी X ने पहला सेट 15-12 से जीता और खिलाड़ी Y ने दूसरा सेट 15-14 से जीता। अगर खिलाड़ी Y तीसरा सेट 15-13 से जीतता है, तो मैच का स्कोर क्या होगा?")</f>
        <v>खिलाड़ी X ने पहला सेट 15-12 से जीता और खिलाड़ी Y ने दूसरा सेट 15-14 से जीता। अगर खिलाड़ी Y तीसरा सेट 15-13 से जीतता है, तो मैच का स्कोर क्या होगा?</v>
      </c>
      <c r="H318" s="5" t="str">
        <f>IFERROR(__xludf.DUMMYFUNCTION("GOOGLETRANSLATE(C318,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18" s="5" t="str">
        <f>IFERROR(__xludf.DUMMYFUNCTION("GOOGLETRANSLATE(D318, ""en"", ""hi"")"),"A) खिलाड़ी Y 2-1 से आगे है।")</f>
        <v>A) खिलाड़ी Y 2-1 से आगे है।</v>
      </c>
    </row>
    <row r="319" ht="22.5" customHeight="1">
      <c r="A319" s="2">
        <v>318.0</v>
      </c>
      <c r="B319" s="3" t="s">
        <v>7997</v>
      </c>
      <c r="C319" s="3" t="s">
        <v>7959</v>
      </c>
      <c r="D319" s="3" t="s">
        <v>7878</v>
      </c>
      <c r="F319" s="5" t="str">
        <f>IFERROR(__xludf.DUMMYFUNCTION("GOOGLETRANSLATE(A319, ""en"", ""hi"")"),"318")</f>
        <v>318</v>
      </c>
      <c r="G319" s="5" t="str">
        <f>IFERROR(__xludf.DUMMYFUNCTION("GOOGLETRANSLATE(B319, ""en"", ""hi"")"),"एक कंचे खेल में, यदि खिलाड़ी X ने 26 अंक बनाए और खिलाड़ी Y ने 29 अंक बनाए, और खेल को जीतने के लिए 30 अंकों की आवश्यकता है, तो परिणाम क्या होगा?")</f>
        <v>एक कंचे खेल में, यदि खिलाड़ी X ने 26 अंक बनाए और खिलाड़ी Y ने 29 अंक बनाए, और खेल को जीतने के लिए 30 अंकों की आवश्यकता है, तो परिणाम क्या होगा?</v>
      </c>
      <c r="H319" s="5" t="str">
        <f>IFERROR(__xludf.DUMMYFUNCTION("GOOGLETRANSLATE(C319,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19" s="5" t="str">
        <f>IFERROR(__xludf.DUMMYFUNCTION("GOOGLETRANSLATE(D319, ""en"", ""hi"")"),"A) खिलाड़ी Y जीतता है.")</f>
        <v>A) खिलाड़ी Y जीतता है.</v>
      </c>
    </row>
    <row r="320" ht="22.5" customHeight="1">
      <c r="A320" s="2">
        <v>319.0</v>
      </c>
      <c r="B320" s="3" t="s">
        <v>8058</v>
      </c>
      <c r="C320" s="3" t="s">
        <v>7846</v>
      </c>
      <c r="D320" s="3" t="s">
        <v>7847</v>
      </c>
      <c r="F320" s="5" t="str">
        <f>IFERROR(__xludf.DUMMYFUNCTION("GOOGLETRANSLATE(A320, ""en"", ""hi"")"),"319")</f>
        <v>319</v>
      </c>
      <c r="G320" s="5" t="str">
        <f>IFERROR(__xludf.DUMMYFUNCTION("GOOGLETRANSLATE(B320, ""en"", ""hi"")"),"खिलाड़ी X ने पहला सेट 15-13 से जीता और खिलाड़ी Y ने दूसरा सेट 15-12 से जीता। अगर खिलाड़ी X तीसरा सेट 15-14 से जीतता है, तो मैच का स्कोर क्या होगा?")</f>
        <v>खिलाड़ी X ने पहला सेट 15-13 से जीता और खिलाड़ी Y ने दूसरा सेट 15-12 से जीता। अगर खिलाड़ी X तीसरा सेट 15-14 से जीतता है, तो मैच का स्कोर क्या होगा?</v>
      </c>
      <c r="H320" s="5" t="str">
        <f>IFERROR(__xludf.DUMMYFUNCTION("GOOGLETRANSLATE(C320,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20" s="5" t="str">
        <f>IFERROR(__xludf.DUMMYFUNCTION("GOOGLETRANSLATE(D320, ""en"", ""hi"")"),"A) खिलाड़ी X 2-1 से आगे है।")</f>
        <v>A) खिलाड़ी X 2-1 से आगे है।</v>
      </c>
    </row>
    <row r="321" ht="22.5" customHeight="1">
      <c r="A321" s="2">
        <v>320.0</v>
      </c>
      <c r="B321" s="3" t="s">
        <v>8067</v>
      </c>
      <c r="C321" s="3" t="s">
        <v>7989</v>
      </c>
      <c r="D321" s="3" t="s">
        <v>7878</v>
      </c>
      <c r="F321" s="5" t="str">
        <f>IFERROR(__xludf.DUMMYFUNCTION("GOOGLETRANSLATE(A321, ""en"", ""hi"")"),"320")</f>
        <v>320</v>
      </c>
      <c r="G321" s="5" t="str">
        <f>IFERROR(__xludf.DUMMYFUNCTION("GOOGLETRANSLATE(B321, ""en"", ""hi"")"),"एक कंचे मैच के दौरान, खिलाड़ी X ने 25 अंक और खिलाड़ी Y ने 30 अंक बनाए। यदि खेल जीतने के लिए 35 अंक चाहिए, तो परिणाम क्या होगा?")</f>
        <v>एक कंचे मैच के दौरान, खिलाड़ी X ने 25 अंक और खिलाड़ी Y ने 30 अंक बनाए। यदि खेल जीतने के लिए 35 अंक चाहिए, तो परिणाम क्या होगा?</v>
      </c>
      <c r="H321" s="5" t="str">
        <f>IFERROR(__xludf.DUMMYFUNCTION("GOOGLETRANSLATE(C321,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21" s="5" t="str">
        <f>IFERROR(__xludf.DUMMYFUNCTION("GOOGLETRANSLATE(D321, ""en"", ""hi"")"),"A) खिलाड़ी Y जीतता है.")</f>
        <v>A) खिलाड़ी Y जीतता है.</v>
      </c>
    </row>
    <row r="322" ht="22.5" customHeight="1">
      <c r="A322" s="2">
        <v>321.0</v>
      </c>
      <c r="B322" s="3" t="s">
        <v>8068</v>
      </c>
      <c r="C322" s="3" t="s">
        <v>8061</v>
      </c>
      <c r="D322" s="3" t="s">
        <v>8062</v>
      </c>
      <c r="F322" s="5" t="str">
        <f>IFERROR(__xludf.DUMMYFUNCTION("GOOGLETRANSLATE(A322, ""en"", ""hi"")"),"321")</f>
        <v>321</v>
      </c>
      <c r="G322" s="5" t="str">
        <f>IFERROR(__xludf.DUMMYFUNCTION("GOOGLETRANSLATE(B322, ""en"", ""hi"")"),"खिलाड़ी X ने पहला सेट 15-12 से जीता और खिलाड़ी Y ने दूसरा सेट 15-11 से जीता। अगर खिलाड़ी Y तीसरा सेट 15-14 से जीतता है, तो मैच का स्कोर क्या होगा?")</f>
        <v>खिलाड़ी X ने पहला सेट 15-12 से जीता और खिलाड़ी Y ने दूसरा सेट 15-11 से जीता। अगर खिलाड़ी Y तीसरा सेट 15-14 से जीतता है, तो मैच का स्कोर क्या होगा?</v>
      </c>
      <c r="H322" s="5" t="str">
        <f>IFERROR(__xludf.DUMMYFUNCTION("GOOGLETRANSLATE(C322,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22" s="5" t="str">
        <f>IFERROR(__xludf.DUMMYFUNCTION("GOOGLETRANSLATE(D322, ""en"", ""hi"")"),"A) खिलाड़ी Y 2-1 से आगे है।")</f>
        <v>A) खिलाड़ी Y 2-1 से आगे है।</v>
      </c>
    </row>
    <row r="323" ht="22.5" customHeight="1">
      <c r="A323" s="2">
        <v>322.0</v>
      </c>
      <c r="B323" s="3" t="s">
        <v>7999</v>
      </c>
      <c r="C323" s="3" t="s">
        <v>7989</v>
      </c>
      <c r="D323" s="3" t="s">
        <v>7878</v>
      </c>
      <c r="F323" s="5" t="str">
        <f>IFERROR(__xludf.DUMMYFUNCTION("GOOGLETRANSLATE(A323, ""en"", ""hi"")"),"322")</f>
        <v>322</v>
      </c>
      <c r="G323" s="5" t="str">
        <f>IFERROR(__xludf.DUMMYFUNCTION("GOOGLETRANSLATE(B323, ""en"", ""hi"")"),"एक कंचे खेल में, यदि खिलाड़ी X ने 28 अंक बनाए और खिलाड़ी Y ने 30 अंक बनाए, और खेल को जीतने के लिए 35 अंकों की आवश्यकता है, तो परिणाम क्या होगा?")</f>
        <v>एक कंचे खेल में, यदि खिलाड़ी X ने 28 अंक बनाए और खिलाड़ी Y ने 30 अंक बनाए, और खेल को जीतने के लिए 35 अंकों की आवश्यकता है, तो परिणाम क्या होगा?</v>
      </c>
      <c r="H323" s="5" t="str">
        <f>IFERROR(__xludf.DUMMYFUNCTION("GOOGLETRANSLATE(C323,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23" s="5" t="str">
        <f>IFERROR(__xludf.DUMMYFUNCTION("GOOGLETRANSLATE(D323, ""en"", ""hi"")"),"A) खिलाड़ी Y जीतता है.")</f>
        <v>A) खिलाड़ी Y जीतता है.</v>
      </c>
    </row>
    <row r="324" ht="22.5" customHeight="1">
      <c r="A324" s="2">
        <v>323.0</v>
      </c>
      <c r="B324" s="3" t="s">
        <v>7946</v>
      </c>
      <c r="C324" s="3" t="s">
        <v>7846</v>
      </c>
      <c r="D324" s="3" t="s">
        <v>7847</v>
      </c>
      <c r="F324" s="5" t="str">
        <f>IFERROR(__xludf.DUMMYFUNCTION("GOOGLETRANSLATE(A324, ""en"", ""hi"")"),"323")</f>
        <v>323</v>
      </c>
      <c r="G324" s="5" t="str">
        <f>IFERROR(__xludf.DUMMYFUNCTION("GOOGLETRANSLATE(B324,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324" s="5" t="str">
        <f>IFERROR(__xludf.DUMMYFUNCTION("GOOGLETRANSLATE(C324,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24" s="5" t="str">
        <f>IFERROR(__xludf.DUMMYFUNCTION("GOOGLETRANSLATE(D324, ""en"", ""hi"")"),"A) खिलाड़ी X 2-1 से आगे है।")</f>
        <v>A) खिलाड़ी X 2-1 से आगे है।</v>
      </c>
    </row>
    <row r="325" ht="22.5" customHeight="1">
      <c r="A325" s="2">
        <v>324.0</v>
      </c>
      <c r="B325" s="3" t="s">
        <v>8069</v>
      </c>
      <c r="C325" s="3" t="s">
        <v>7966</v>
      </c>
      <c r="D325" s="3" t="s">
        <v>7711</v>
      </c>
      <c r="F325" s="5" t="str">
        <f>IFERROR(__xludf.DUMMYFUNCTION("GOOGLETRANSLATE(A325, ""en"", ""hi"")"),"324")</f>
        <v>324</v>
      </c>
      <c r="G325" s="5" t="str">
        <f>IFERROR(__xludf.DUMMYFUNCTION("GOOGLETRANSLATE(B325, ""en"", ""hi"")"),"एक कंचे मैच के दौरान, खिलाड़ी X ने 29 अंक और खिलाड़ी Y ने 27 अंक बनाए। यदि खेल जीतने के लिए 30 अंकों की आवश्यकता है, तो परिणाम क्या होगा?")</f>
        <v>एक कंचे मैच के दौरान, खिलाड़ी X ने 29 अंक और खिलाड़ी Y ने 27 अंक बनाए। यदि खेल जीतने के लिए 30 अंकों की आवश्यकता है, तो परिणाम क्या होगा?</v>
      </c>
      <c r="H325" s="5" t="str">
        <f>IFERROR(__xludf.DUMMYFUNCTION("GOOGLETRANSLATE(C325, ""en"", ""hi"")"),"A) खिलाड़ी X जीतता है। , B) खिलाड़ी Y जीतता है। , C) खेल बराबरी पर रहता है। , D) खेल तब तक जारी रहता है जब तक कि एक खिलाड़ी 35 अंक नहीं बना लेता।")</f>
        <v>A) खिलाड़ी X जीतता है। , B) खिलाड़ी Y जीतता है। , C) खेल बराबरी पर रहता है। , D) खेल तब तक जारी रहता है जब तक कि एक खिलाड़ी 35 अंक नहीं बना लेता।</v>
      </c>
      <c r="I325" s="5" t="str">
        <f>IFERROR(__xludf.DUMMYFUNCTION("GOOGLETRANSLATE(D325, ""en"", ""hi"")"),"A) खिलाड़ी X जीतता है.")</f>
        <v>A) खिलाड़ी X जीतता है.</v>
      </c>
    </row>
    <row r="326" ht="22.5" customHeight="1">
      <c r="A326" s="2">
        <v>325.0</v>
      </c>
      <c r="B326" s="3" t="s">
        <v>8070</v>
      </c>
      <c r="C326" s="3" t="s">
        <v>8061</v>
      </c>
      <c r="D326" s="3" t="s">
        <v>8062</v>
      </c>
      <c r="F326" s="5" t="str">
        <f>IFERROR(__xludf.DUMMYFUNCTION("GOOGLETRANSLATE(A326, ""en"", ""hi"")"),"325")</f>
        <v>325</v>
      </c>
      <c r="G326" s="5" t="str">
        <f>IFERROR(__xludf.DUMMYFUNCTION("GOOGLETRANSLATE(B326, ""en"", ""hi"")"),"खिलाड़ी X ने पहला सेट 15-13 से और खिलाड़ी Y ने दूसरा सेट 15-11 से जीता। अगर खिलाड़ी Y तीसरा सेट 15-14 से जीतता है, तो मैच का स्कोर क्या होगा?")</f>
        <v>खिलाड़ी X ने पहला सेट 15-13 से और खिलाड़ी Y ने दूसरा सेट 15-11 से जीता। अगर खिलाड़ी Y तीसरा सेट 15-14 से जीतता है, तो मैच का स्कोर क्या होगा?</v>
      </c>
      <c r="H326" s="5" t="str">
        <f>IFERROR(__xludf.DUMMYFUNCTION("GOOGLETRANSLATE(C326,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26" s="5" t="str">
        <f>IFERROR(__xludf.DUMMYFUNCTION("GOOGLETRANSLATE(D326, ""en"", ""hi"")"),"A) खिलाड़ी Y 2-1 से आगे है।")</f>
        <v>A) खिलाड़ी Y 2-1 से आगे है।</v>
      </c>
    </row>
    <row r="327" ht="22.5" customHeight="1">
      <c r="A327" s="2">
        <v>326.0</v>
      </c>
      <c r="B327" s="3" t="s">
        <v>8071</v>
      </c>
      <c r="C327" s="3" t="s">
        <v>7989</v>
      </c>
      <c r="D327" s="3" t="s">
        <v>7878</v>
      </c>
      <c r="F327" s="5" t="str">
        <f>IFERROR(__xludf.DUMMYFUNCTION("GOOGLETRANSLATE(A327, ""en"", ""hi"")"),"326")</f>
        <v>326</v>
      </c>
      <c r="G327" s="5" t="str">
        <f>IFERROR(__xludf.DUMMYFUNCTION("GOOGLETRANSLATE(B327, ""en"", ""hi"")"),"एक कंचे खेल में, यदि खिलाड़ी X ने 27 अंक बनाए और खिलाड़ी Y ने 30 अंक बनाए, और खेल को जीतने के लिए 35 अंकों की आवश्यकता है, तो परिणाम क्या होगा?")</f>
        <v>एक कंचे खेल में, यदि खिलाड़ी X ने 27 अंक बनाए और खिलाड़ी Y ने 30 अंक बनाए, और खेल को जीतने के लिए 35 अंकों की आवश्यकता है, तो परिणाम क्या होगा?</v>
      </c>
      <c r="H327" s="5" t="str">
        <f>IFERROR(__xludf.DUMMYFUNCTION("GOOGLETRANSLATE(C327,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27" s="5" t="str">
        <f>IFERROR(__xludf.DUMMYFUNCTION("GOOGLETRANSLATE(D327, ""en"", ""hi"")"),"A) खिलाड़ी Y जीतता है.")</f>
        <v>A) खिलाड़ी Y जीतता है.</v>
      </c>
    </row>
    <row r="328" ht="22.5" customHeight="1">
      <c r="A328" s="2">
        <v>327.0</v>
      </c>
      <c r="B328" s="3" t="s">
        <v>8044</v>
      </c>
      <c r="C328" s="3" t="s">
        <v>7846</v>
      </c>
      <c r="D328" s="3" t="s">
        <v>7847</v>
      </c>
      <c r="F328" s="5" t="str">
        <f>IFERROR(__xludf.DUMMYFUNCTION("GOOGLETRANSLATE(A328, ""en"", ""hi"")"),"327")</f>
        <v>327</v>
      </c>
      <c r="G328" s="5" t="str">
        <f>IFERROR(__xludf.DUMMYFUNCTION("GOOGLETRANSLATE(B328, ""en"", ""hi"")"),"खिलाड़ी X ने पहला सेट 15-11 से जीता और खिलाड़ी Y ने दूसरा सेट 15-12 से जीता। अगर खिलाड़ी X तीसरा सेट 15-14 से जीतता है, तो मैच का स्कोर क्या होगा?")</f>
        <v>खिलाड़ी X ने पहला सेट 15-11 से जीता और खिलाड़ी Y ने दूसरा सेट 15-12 से जीता। अगर खिलाड़ी X तीसरा सेट 15-14 से जीतता है, तो मैच का स्कोर क्या होगा?</v>
      </c>
      <c r="H328" s="5" t="str">
        <f>IFERROR(__xludf.DUMMYFUNCTION("GOOGLETRANSLATE(C328,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28" s="5" t="str">
        <f>IFERROR(__xludf.DUMMYFUNCTION("GOOGLETRANSLATE(D328, ""en"", ""hi"")"),"A) खिलाड़ी X 2-1 से आगे है।")</f>
        <v>A) खिलाड़ी X 2-1 से आगे है।</v>
      </c>
    </row>
    <row r="329" ht="22.5" customHeight="1">
      <c r="A329" s="2">
        <v>328.0</v>
      </c>
      <c r="B329" s="3" t="s">
        <v>8072</v>
      </c>
      <c r="C329" s="3" t="s">
        <v>7971</v>
      </c>
      <c r="D329" s="3" t="s">
        <v>7711</v>
      </c>
      <c r="F329" s="5" t="str">
        <f>IFERROR(__xludf.DUMMYFUNCTION("GOOGLETRANSLATE(A329, ""en"", ""hi"")"),"328")</f>
        <v>328</v>
      </c>
      <c r="G329" s="5" t="str">
        <f>IFERROR(__xludf.DUMMYFUNCTION("GOOGLETRANSLATE(B329, ""en"", ""hi"")"),"एक कंचे मैच के दौरान, खिलाड़ी X ने 30 अंक बनाए और खिलाड़ी Y ने 25 अंक बनाए। यदि खेल जीतने के लिए 35 अंक चाहिए, तो परिणाम क्या होगा?")</f>
        <v>एक कंचे मैच के दौरान, खिलाड़ी X ने 30 अंक बनाए और खिलाड़ी Y ने 25 अंक बनाए। यदि खेल जीतने के लिए 35 अंक चाहिए, तो परिणाम क्या होगा?</v>
      </c>
      <c r="H329" s="5" t="str">
        <f>IFERROR(__xludf.DUMMYFUNCTION("GOOGLETRANSLATE(C329,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29" s="5" t="str">
        <f>IFERROR(__xludf.DUMMYFUNCTION("GOOGLETRANSLATE(D329, ""en"", ""hi"")"),"A) खिलाड़ी X जीतता है.")</f>
        <v>A) खिलाड़ी X जीतता है.</v>
      </c>
    </row>
    <row r="330" ht="22.5" customHeight="1">
      <c r="A330" s="2">
        <v>329.0</v>
      </c>
      <c r="B330" s="3" t="s">
        <v>8073</v>
      </c>
      <c r="C330" s="3" t="s">
        <v>8061</v>
      </c>
      <c r="D330" s="3" t="s">
        <v>8062</v>
      </c>
      <c r="F330" s="5" t="str">
        <f>IFERROR(__xludf.DUMMYFUNCTION("GOOGLETRANSLATE(A330, ""en"", ""hi"")"),"329")</f>
        <v>329</v>
      </c>
      <c r="G330" s="5" t="str">
        <f>IFERROR(__xludf.DUMMYFUNCTION("GOOGLETRANSLATE(B330, ""en"", ""hi"")"),"खिलाड़ी X ने पहला सेट 15-14 से और खिलाड़ी Y ने दूसरा सेट 15-12 से जीता। अगर खिलाड़ी Y तीसरा सेट 15-13 से जीतता है, तो मैच का स्कोर क्या होगा?")</f>
        <v>खिलाड़ी X ने पहला सेट 15-14 से और खिलाड़ी Y ने दूसरा सेट 15-12 से जीता। अगर खिलाड़ी Y तीसरा सेट 15-13 से जीतता है, तो मैच का स्कोर क्या होगा?</v>
      </c>
      <c r="H330" s="5" t="str">
        <f>IFERROR(__xludf.DUMMYFUNCTION("GOOGLETRANSLATE(C330,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30" s="5" t="str">
        <f>IFERROR(__xludf.DUMMYFUNCTION("GOOGLETRANSLATE(D330, ""en"", ""hi"")"),"A) खिलाड़ी Y 2-1 से आगे है।")</f>
        <v>A) खिलाड़ी Y 2-1 से आगे है।</v>
      </c>
    </row>
    <row r="331" ht="22.5" customHeight="1">
      <c r="A331" s="2">
        <v>330.0</v>
      </c>
      <c r="B331" s="3" t="s">
        <v>7961</v>
      </c>
      <c r="C331" s="3" t="s">
        <v>7959</v>
      </c>
      <c r="D331" s="3" t="s">
        <v>7878</v>
      </c>
      <c r="F331" s="5" t="str">
        <f>IFERROR(__xludf.DUMMYFUNCTION("GOOGLETRANSLATE(A331, ""en"", ""hi"")"),"330")</f>
        <v>330</v>
      </c>
      <c r="G331" s="5" t="str">
        <f>IFERROR(__xludf.DUMMYFUNCTION("GOOGLETRANSLATE(B331, ""en"", ""hi"")"),"एक कंचे खेल में, यदि खिलाड़ी X ने 24 अंक बनाए और खिलाड़ी Y ने 26 अंक बनाए, और खेल को जीतने के लिए 30 अंकों की आवश्यकता है, तो परिणाम क्या होगा?")</f>
        <v>एक कंचे खेल में, यदि खिलाड़ी X ने 24 अंक बनाए और खिलाड़ी Y ने 26 अंक बनाए, और खेल को जीतने के लिए 30 अंकों की आवश्यकता है, तो परिणाम क्या होगा?</v>
      </c>
      <c r="H331" s="5" t="str">
        <f>IFERROR(__xludf.DUMMYFUNCTION("GOOGLETRANSLATE(C331,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31" s="5" t="str">
        <f>IFERROR(__xludf.DUMMYFUNCTION("GOOGLETRANSLATE(D331, ""en"", ""hi"")"),"A) खिलाड़ी Y जीतता है.")</f>
        <v>A) खिलाड़ी Y जीतता है.</v>
      </c>
    </row>
    <row r="332" ht="22.5" customHeight="1">
      <c r="A332" s="2">
        <v>331.0</v>
      </c>
      <c r="B332" s="3" t="s">
        <v>8074</v>
      </c>
      <c r="C332" s="3" t="s">
        <v>8061</v>
      </c>
      <c r="D332" s="3" t="s">
        <v>8062</v>
      </c>
      <c r="F332" s="5" t="str">
        <f>IFERROR(__xludf.DUMMYFUNCTION("GOOGLETRANSLATE(A332, ""en"", ""hi"")"),"331")</f>
        <v>331</v>
      </c>
      <c r="G332" s="5" t="str">
        <f>IFERROR(__xludf.DUMMYFUNCTION("GOOGLETRANSLATE(B332, ""en"", ""hi"")"),"खिलाड़ी X ने पहला सेट 15-13 से जीता और खिलाड़ी Y ने दूसरा सेट 15-12 से जीता। अगर खिलाड़ी Y तीसरा सेट 15-14 से जीतता है, तो मैच का स्कोर क्या होगा?")</f>
        <v>खिलाड़ी X ने पहला सेट 15-13 से जीता और खिलाड़ी Y ने दूसरा सेट 15-12 से जीता। अगर खिलाड़ी Y तीसरा सेट 15-14 से जीतता है, तो मैच का स्कोर क्या होगा?</v>
      </c>
      <c r="H332" s="5" t="str">
        <f>IFERROR(__xludf.DUMMYFUNCTION("GOOGLETRANSLATE(C332,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32" s="5" t="str">
        <f>IFERROR(__xludf.DUMMYFUNCTION("GOOGLETRANSLATE(D332, ""en"", ""hi"")"),"A) खिलाड़ी Y 2-1 से आगे है।")</f>
        <v>A) खिलाड़ी Y 2-1 से आगे है।</v>
      </c>
    </row>
    <row r="333" ht="22.5" customHeight="1">
      <c r="A333" s="2">
        <v>332.0</v>
      </c>
      <c r="B333" s="3" t="s">
        <v>8005</v>
      </c>
      <c r="C333" s="3" t="s">
        <v>7959</v>
      </c>
      <c r="D333" s="3" t="s">
        <v>7878</v>
      </c>
      <c r="F333" s="5" t="str">
        <f>IFERROR(__xludf.DUMMYFUNCTION("GOOGLETRANSLATE(A333, ""en"", ""hi"")"),"332")</f>
        <v>332</v>
      </c>
      <c r="G333" s="5" t="str">
        <f>IFERROR(__xludf.DUMMYFUNCTION("GOOGLETRANSLATE(B333, ""en"", ""hi"")"),"एक कंचे मैच के दौरान, खिलाड़ी X ने 27 अंक बनाए और खिलाड़ी Y ने 28 अंक बनाए। यदि खेल जीतने के लिए 30 अंकों की आवश्यकता है, तो परिणाम क्या होगा?")</f>
        <v>एक कंचे मैच के दौरान, खिलाड़ी X ने 27 अंक बनाए और खिलाड़ी Y ने 28 अंक बनाए। यदि खेल जीतने के लिए 30 अंकों की आवश्यकता है, तो परिणाम क्या होगा?</v>
      </c>
      <c r="H333" s="5" t="str">
        <f>IFERROR(__xludf.DUMMYFUNCTION("GOOGLETRANSLATE(C333,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33" s="5" t="str">
        <f>IFERROR(__xludf.DUMMYFUNCTION("GOOGLETRANSLATE(D333, ""en"", ""hi"")"),"A) खिलाड़ी Y जीतता है.")</f>
        <v>A) खिलाड़ी Y जीतता है.</v>
      </c>
    </row>
    <row r="334" ht="22.5" customHeight="1">
      <c r="A334" s="2">
        <v>333.0</v>
      </c>
      <c r="B334" s="3" t="s">
        <v>8075</v>
      </c>
      <c r="C334" s="3" t="s">
        <v>7846</v>
      </c>
      <c r="D334" s="3" t="s">
        <v>7847</v>
      </c>
      <c r="F334" s="5" t="str">
        <f>IFERROR(__xludf.DUMMYFUNCTION("GOOGLETRANSLATE(A334, ""en"", ""hi"")"),"333")</f>
        <v>333</v>
      </c>
      <c r="G334" s="5" t="str">
        <f>IFERROR(__xludf.DUMMYFUNCTION("GOOGLETRANSLATE(B334, ""en"", ""hi"")"),"खिलाड़ी X ने पहला सेट 15-14 से जीता और खिलाड़ी Y ने दूसरा सेट 15-11 से जीता। अगर खिलाड़ी X तीसरा सेट 15-13 से जीतता है, तो मैच का स्कोर क्या होगा?")</f>
        <v>खिलाड़ी X ने पहला सेट 15-14 से जीता और खिलाड़ी Y ने दूसरा सेट 15-11 से जीता। अगर खिलाड़ी X तीसरा सेट 15-13 से जीतता है, तो मैच का स्कोर क्या होगा?</v>
      </c>
      <c r="H334" s="5" t="str">
        <f>IFERROR(__xludf.DUMMYFUNCTION("GOOGLETRANSLATE(C334,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34" s="5" t="str">
        <f>IFERROR(__xludf.DUMMYFUNCTION("GOOGLETRANSLATE(D334, ""en"", ""hi"")"),"A) खिलाड़ी X 2-1 से आगे है।")</f>
        <v>A) खिलाड़ी X 2-1 से आगे है।</v>
      </c>
    </row>
    <row r="335" ht="22.5" customHeight="1">
      <c r="A335" s="2">
        <v>334.0</v>
      </c>
      <c r="B335" s="3" t="s">
        <v>8076</v>
      </c>
      <c r="C335" s="3" t="s">
        <v>7971</v>
      </c>
      <c r="D335" s="3" t="s">
        <v>7711</v>
      </c>
      <c r="F335" s="5" t="str">
        <f>IFERROR(__xludf.DUMMYFUNCTION("GOOGLETRANSLATE(A335, ""en"", ""hi"")"),"334")</f>
        <v>334</v>
      </c>
      <c r="G335" s="5" t="str">
        <f>IFERROR(__xludf.DUMMYFUNCTION("GOOGLETRANSLATE(B335, ""en"", ""hi"")"),"एक कंचे खेल में, यदि खिलाड़ी X ने 31 अंक बनाए और खिलाड़ी Y ने 30 अंक बनाए, और खेल को जीतने के लिए 35 अंकों की आवश्यकता है, तो परिणाम क्या होगा?")</f>
        <v>एक कंचे खेल में, यदि खिलाड़ी X ने 31 अंक बनाए और खिलाड़ी Y ने 30 अंक बनाए, और खेल को जीतने के लिए 35 अंकों की आवश्यकता है, तो परिणाम क्या होगा?</v>
      </c>
      <c r="H335" s="5" t="str">
        <f>IFERROR(__xludf.DUMMYFUNCTION("GOOGLETRANSLATE(C335,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35" s="5" t="str">
        <f>IFERROR(__xludf.DUMMYFUNCTION("GOOGLETRANSLATE(D335, ""en"", ""hi"")"),"A) खिलाड़ी X जीतता है.")</f>
        <v>A) खिलाड़ी X जीतता है.</v>
      </c>
    </row>
    <row r="336" ht="22.5" customHeight="1">
      <c r="A336" s="2">
        <v>335.0</v>
      </c>
      <c r="B336" s="3" t="s">
        <v>8077</v>
      </c>
      <c r="C336" s="3" t="s">
        <v>8061</v>
      </c>
      <c r="D336" s="3" t="s">
        <v>8062</v>
      </c>
      <c r="F336" s="5" t="str">
        <f>IFERROR(__xludf.DUMMYFUNCTION("GOOGLETRANSLATE(A336, ""en"", ""hi"")"),"335")</f>
        <v>335</v>
      </c>
      <c r="G336" s="5" t="str">
        <f>IFERROR(__xludf.DUMMYFUNCTION("GOOGLETRANSLATE(B336, ""en"", ""hi"")"),"खिलाड़ी X ने पहला सेट 15-12 से जीता और खिलाड़ी Y ने दूसरा सेट 15-11 से जीता। अगर खिलाड़ी Y तीसरा सेट 15-13 से जीतता है, तो मैच का स्कोर क्या होगा?")</f>
        <v>खिलाड़ी X ने पहला सेट 15-12 से जीता और खिलाड़ी Y ने दूसरा सेट 15-11 से जीता। अगर खिलाड़ी Y तीसरा सेट 15-13 से जीतता है, तो मैच का स्कोर क्या होगा?</v>
      </c>
      <c r="H336" s="5" t="str">
        <f>IFERROR(__xludf.DUMMYFUNCTION("GOOGLETRANSLATE(C336,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36" s="5" t="str">
        <f>IFERROR(__xludf.DUMMYFUNCTION("GOOGLETRANSLATE(D336, ""en"", ""hi"")"),"A) खिलाड़ी Y 2-1 से आगे है।")</f>
        <v>A) खिलाड़ी Y 2-1 से आगे है।</v>
      </c>
    </row>
    <row r="337" ht="22.5" customHeight="1">
      <c r="A337" s="2">
        <v>336.0</v>
      </c>
      <c r="B337" s="3" t="s">
        <v>8078</v>
      </c>
      <c r="C337" s="3" t="s">
        <v>7959</v>
      </c>
      <c r="D337" s="3" t="s">
        <v>7878</v>
      </c>
      <c r="F337" s="5" t="str">
        <f>IFERROR(__xludf.DUMMYFUNCTION("GOOGLETRANSLATE(A337, ""en"", ""hi"")"),"336")</f>
        <v>336</v>
      </c>
      <c r="G337" s="5" t="str">
        <f>IFERROR(__xludf.DUMMYFUNCTION("GOOGLETRANSLATE(B337, ""en"", ""hi"")"),"एक कंचे मैच के दौरान, खिलाड़ी X ने 26 अंक और खिलाड़ी Y ने 29 अंक बनाए। यदि खेल जीतने के लिए 30 अंकों की आवश्यकता है, तो परिणाम क्या होगा?")</f>
        <v>एक कंचे मैच के दौरान, खिलाड़ी X ने 26 अंक और खिलाड़ी Y ने 29 अंक बनाए। यदि खेल जीतने के लिए 30 अंकों की आवश्यकता है, तो परिणाम क्या होगा?</v>
      </c>
      <c r="H337" s="5" t="str">
        <f>IFERROR(__xludf.DUMMYFUNCTION("GOOGLETRANSLATE(C337,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37" s="5" t="str">
        <f>IFERROR(__xludf.DUMMYFUNCTION("GOOGLETRANSLATE(D337, ""en"", ""hi"")"),"A) खिलाड़ी Y जीतता है.")</f>
        <v>A) खिलाड़ी Y जीतता है.</v>
      </c>
    </row>
    <row r="338" ht="22.5" customHeight="1">
      <c r="A338" s="2">
        <v>337.0</v>
      </c>
      <c r="B338" s="3" t="s">
        <v>8079</v>
      </c>
      <c r="C338" s="3" t="s">
        <v>8061</v>
      </c>
      <c r="D338" s="3" t="s">
        <v>8062</v>
      </c>
      <c r="F338" s="5" t="str">
        <f>IFERROR(__xludf.DUMMYFUNCTION("GOOGLETRANSLATE(A338, ""en"", ""hi"")"),"337")</f>
        <v>337</v>
      </c>
      <c r="G338" s="5" t="str">
        <f>IFERROR(__xludf.DUMMYFUNCTION("GOOGLETRANSLATE(B338, ""en"", ""hi"")"),"खिलाड़ी X ने पहला सेट 15-11 से जीता और खिलाड़ी Y ने दूसरा सेट 15-14 से जीता। अगर खिलाड़ी Y तीसरा सेट 15-12 से जीतता है, तो मैच का स्कोर क्या होगा?")</f>
        <v>खिलाड़ी X ने पहला सेट 15-11 से जीता और खिलाड़ी Y ने दूसरा सेट 15-14 से जीता। अगर खिलाड़ी Y तीसरा सेट 15-12 से जीतता है, तो मैच का स्कोर क्या होगा?</v>
      </c>
      <c r="H338" s="5" t="str">
        <f>IFERROR(__xludf.DUMMYFUNCTION("GOOGLETRANSLATE(C338,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38" s="5" t="str">
        <f>IFERROR(__xludf.DUMMYFUNCTION("GOOGLETRANSLATE(D338, ""en"", ""hi"")"),"A) खिलाड़ी Y 2-1 से आगे है।")</f>
        <v>A) खिलाड़ी Y 2-1 से आगे है।</v>
      </c>
    </row>
    <row r="339" ht="22.5" customHeight="1">
      <c r="A339" s="2">
        <v>338.0</v>
      </c>
      <c r="B339" s="3" t="s">
        <v>8080</v>
      </c>
      <c r="C339" s="3" t="s">
        <v>7971</v>
      </c>
      <c r="D339" s="3" t="s">
        <v>7711</v>
      </c>
      <c r="F339" s="5" t="str">
        <f>IFERROR(__xludf.DUMMYFUNCTION("GOOGLETRANSLATE(A339, ""en"", ""hi"")"),"338")</f>
        <v>338</v>
      </c>
      <c r="G339" s="5" t="str">
        <f>IFERROR(__xludf.DUMMYFUNCTION("GOOGLETRANSLATE(B339, ""en"", ""hi"")"),"एक कंचे खेल में, यदि खिलाड़ी X ने 30 अंक बनाए और खिलाड़ी Y ने 27 अंक बनाए, और खेल को जीतने के लिए 35 अंकों की आवश्यकता है, तो परिणाम क्या होगा?")</f>
        <v>एक कंचे खेल में, यदि खिलाड़ी X ने 30 अंक बनाए और खिलाड़ी Y ने 27 अंक बनाए, और खेल को जीतने के लिए 35 अंकों की आवश्यकता है, तो परिणाम क्या होगा?</v>
      </c>
      <c r="H339" s="5" t="str">
        <f>IFERROR(__xludf.DUMMYFUNCTION("GOOGLETRANSLATE(C339,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39" s="5" t="str">
        <f>IFERROR(__xludf.DUMMYFUNCTION("GOOGLETRANSLATE(D339, ""en"", ""hi"")"),"A) खिलाड़ी X जीतता है.")</f>
        <v>A) खिलाड़ी X जीतता है.</v>
      </c>
    </row>
    <row r="340" ht="22.5" customHeight="1">
      <c r="A340" s="2">
        <v>339.0</v>
      </c>
      <c r="B340" s="3" t="s">
        <v>7985</v>
      </c>
      <c r="C340" s="3" t="s">
        <v>7846</v>
      </c>
      <c r="D340" s="3" t="s">
        <v>7847</v>
      </c>
      <c r="F340" s="5" t="str">
        <f>IFERROR(__xludf.DUMMYFUNCTION("GOOGLETRANSLATE(A340, ""en"", ""hi"")"),"339")</f>
        <v>339</v>
      </c>
      <c r="G340" s="5" t="str">
        <f>IFERROR(__xludf.DUMMYFUNCTION("GOOGLETRANSLATE(B340, ""en"", ""hi"")"),"खिलाड़ी X ने पहला सेट 15-14 से जीता और खिलाड़ी Y ने दूसरा सेट 15-12 से जीता। अगर खिलाड़ी X तीसरा सेट 15-13 से जीतता है, तो मैच का स्कोर क्या होगा?")</f>
        <v>खिलाड़ी X ने पहला सेट 15-14 से जीता और खिलाड़ी Y ने दूसरा सेट 15-12 से जीता। अगर खिलाड़ी X तीसरा सेट 15-13 से जीतता है, तो मैच का स्कोर क्या होगा?</v>
      </c>
      <c r="H340" s="5" t="str">
        <f>IFERROR(__xludf.DUMMYFUNCTION("GOOGLETRANSLATE(C340,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40" s="5" t="str">
        <f>IFERROR(__xludf.DUMMYFUNCTION("GOOGLETRANSLATE(D340, ""en"", ""hi"")"),"A) खिलाड़ी X 2-1 से आगे है।")</f>
        <v>A) खिलाड़ी X 2-1 से आगे है।</v>
      </c>
    </row>
    <row r="341" ht="22.5" customHeight="1">
      <c r="A341" s="2">
        <v>340.0</v>
      </c>
      <c r="B341" s="3" t="s">
        <v>8081</v>
      </c>
      <c r="C341" s="3" t="s">
        <v>7959</v>
      </c>
      <c r="D341" s="3" t="s">
        <v>7878</v>
      </c>
      <c r="F341" s="5" t="str">
        <f>IFERROR(__xludf.DUMMYFUNCTION("GOOGLETRANSLATE(A341, ""en"", ""hi"")"),"340")</f>
        <v>340</v>
      </c>
      <c r="G341" s="5" t="str">
        <f>IFERROR(__xludf.DUMMYFUNCTION("GOOGLETRANSLATE(B341, ""en"", ""hi"")"),"एक कंचे मैच के दौरान, खिलाड़ी X ने 28 अंक बनाए और खिलाड़ी Y ने 29 अंक बनाए। यदि खेल जीतने के लिए 30 अंकों की आवश्यकता है, तो परिणाम क्या होगा?")</f>
        <v>एक कंचे मैच के दौरान, खिलाड़ी X ने 28 अंक बनाए और खिलाड़ी Y ने 29 अंक बनाए। यदि खेल जीतने के लिए 30 अंकों की आवश्यकता है, तो परिणाम क्या होगा?</v>
      </c>
      <c r="H341" s="5" t="str">
        <f>IFERROR(__xludf.DUMMYFUNCTION("GOOGLETRANSLATE(C341,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41" s="5" t="str">
        <f>IFERROR(__xludf.DUMMYFUNCTION("GOOGLETRANSLATE(D341, ""en"", ""hi"")"),"A) खिलाड़ी Y जीतता है.")</f>
        <v>A) खिलाड़ी Y जीतता है.</v>
      </c>
    </row>
    <row r="342" ht="22.5" customHeight="1">
      <c r="A342" s="2">
        <v>341.0</v>
      </c>
      <c r="B342" s="3" t="s">
        <v>8082</v>
      </c>
      <c r="C342" s="3" t="s">
        <v>8061</v>
      </c>
      <c r="D342" s="3" t="s">
        <v>8062</v>
      </c>
      <c r="F342" s="5" t="str">
        <f>IFERROR(__xludf.DUMMYFUNCTION("GOOGLETRANSLATE(A342, ""en"", ""hi"")"),"341")</f>
        <v>341</v>
      </c>
      <c r="G342" s="5" t="str">
        <f>IFERROR(__xludf.DUMMYFUNCTION("GOOGLETRANSLATE(B342, ""en"", ""hi"")"),"खिलाड़ी X ने पहला सेट 15-11 से जीता और खिलाड़ी Y ने दूसरा सेट 15-12 से जीता। अगर खिलाड़ी Y तीसरा सेट 15-14 से जीतता है, तो मैच का स्कोर क्या होगा?")</f>
        <v>खिलाड़ी X ने पहला सेट 15-11 से जीता और खिलाड़ी Y ने दूसरा सेट 15-12 से जीता। अगर खिलाड़ी Y तीसरा सेट 15-14 से जीतता है, तो मैच का स्कोर क्या होगा?</v>
      </c>
      <c r="H342" s="5" t="str">
        <f>IFERROR(__xludf.DUMMYFUNCTION("GOOGLETRANSLATE(C342,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42" s="5" t="str">
        <f>IFERROR(__xludf.DUMMYFUNCTION("GOOGLETRANSLATE(D342, ""en"", ""hi"")"),"A) खिलाड़ी Y 2-1 से आगे है।")</f>
        <v>A) खिलाड़ी Y 2-1 से आगे है।</v>
      </c>
    </row>
    <row r="343" ht="22.5" customHeight="1">
      <c r="A343" s="2">
        <v>342.0</v>
      </c>
      <c r="B343" s="3" t="s">
        <v>8003</v>
      </c>
      <c r="C343" s="3" t="s">
        <v>7959</v>
      </c>
      <c r="D343" s="3" t="s">
        <v>7878</v>
      </c>
      <c r="F343" s="5" t="str">
        <f>IFERROR(__xludf.DUMMYFUNCTION("GOOGLETRANSLATE(A343, ""en"", ""hi"")"),"342")</f>
        <v>342</v>
      </c>
      <c r="G343" s="5" t="str">
        <f>IFERROR(__xludf.DUMMYFUNCTION("GOOGLETRANSLATE(B343, ""en"", ""hi"")"),"एक कंचे खेल में, यदि खिलाड़ी X ने 24 अंक बनाए और खिलाड़ी Y ने 25 अंक बनाए, और खेल को जीतने के लिए 30 अंकों की आवश्यकता है, तो परिणाम क्या होगा?")</f>
        <v>एक कंचे खेल में, यदि खिलाड़ी X ने 24 अंक बनाए और खिलाड़ी Y ने 25 अंक बनाए, और खेल को जीतने के लिए 30 अंकों की आवश्यकता है, तो परिणाम क्या होगा?</v>
      </c>
      <c r="H343" s="5" t="str">
        <f>IFERROR(__xludf.DUMMYFUNCTION("GOOGLETRANSLATE(C343,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43" s="5" t="str">
        <f>IFERROR(__xludf.DUMMYFUNCTION("GOOGLETRANSLATE(D343, ""en"", ""hi"")"),"A) खिलाड़ी Y जीतता है.")</f>
        <v>A) खिलाड़ी Y जीतता है.</v>
      </c>
    </row>
    <row r="344" ht="22.5" customHeight="1">
      <c r="A344" s="2">
        <v>343.0</v>
      </c>
      <c r="B344" s="3" t="s">
        <v>8083</v>
      </c>
      <c r="C344" s="3" t="s">
        <v>8061</v>
      </c>
      <c r="D344" s="3" t="s">
        <v>8062</v>
      </c>
      <c r="F344" s="5" t="str">
        <f>IFERROR(__xludf.DUMMYFUNCTION("GOOGLETRANSLATE(A344, ""en"", ""hi"")"),"343")</f>
        <v>343</v>
      </c>
      <c r="G344" s="5" t="str">
        <f>IFERROR(__xludf.DUMMYFUNCTION("GOOGLETRANSLATE(B344, ""en"", ""hi"")"),"खिलाड़ी X ने पहला सेट 15-13 से और खिलाड़ी Y ने दूसरा सेट 15-14 से जीता। अगर खिलाड़ी Y तीसरा सेट 15-12 से जीतता है, तो मैच का स्कोर क्या होगा?")</f>
        <v>खिलाड़ी X ने पहला सेट 15-13 से और खिलाड़ी Y ने दूसरा सेट 15-14 से जीता। अगर खिलाड़ी Y तीसरा सेट 15-12 से जीतता है, तो मैच का स्कोर क्या होगा?</v>
      </c>
      <c r="H344" s="5" t="str">
        <f>IFERROR(__xludf.DUMMYFUNCTION("GOOGLETRANSLATE(C344,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44" s="5" t="str">
        <f>IFERROR(__xludf.DUMMYFUNCTION("GOOGLETRANSLATE(D344, ""en"", ""hi"")"),"A) खिलाड़ी Y 2-1 से आगे है।")</f>
        <v>A) खिलाड़ी Y 2-1 से आगे है।</v>
      </c>
    </row>
    <row r="345" ht="22.5" customHeight="1">
      <c r="A345" s="2">
        <v>344.0</v>
      </c>
      <c r="B345" s="3" t="s">
        <v>8084</v>
      </c>
      <c r="C345" s="3" t="s">
        <v>7959</v>
      </c>
      <c r="D345" s="3" t="s">
        <v>7878</v>
      </c>
      <c r="F345" s="5" t="str">
        <f>IFERROR(__xludf.DUMMYFUNCTION("GOOGLETRANSLATE(A345, ""en"", ""hi"")"),"344")</f>
        <v>344</v>
      </c>
      <c r="G345" s="5" t="str">
        <f>IFERROR(__xludf.DUMMYFUNCTION("GOOGLETRANSLATE(B345, ""en"", ""hi"")"),"एक कंचे मैच के दौरान, खिलाड़ी X ने 25 अंक और खिलाड़ी Y ने 29 अंक बनाए। यदि खेल जीतने के लिए 30 अंक चाहिए, तो परिणाम क्या होगा?")</f>
        <v>एक कंचे मैच के दौरान, खिलाड़ी X ने 25 अंक और खिलाड़ी Y ने 29 अंक बनाए। यदि खेल जीतने के लिए 30 अंक चाहिए, तो परिणाम क्या होगा?</v>
      </c>
      <c r="H345" s="5" t="str">
        <f>IFERROR(__xludf.DUMMYFUNCTION("GOOGLETRANSLATE(C345,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45" s="5" t="str">
        <f>IFERROR(__xludf.DUMMYFUNCTION("GOOGLETRANSLATE(D345, ""en"", ""hi"")"),"A) खिलाड़ी Y जीतता है.")</f>
        <v>A) खिलाड़ी Y जीतता है.</v>
      </c>
    </row>
    <row r="346" ht="22.5" customHeight="1">
      <c r="A346" s="2">
        <v>345.0</v>
      </c>
      <c r="B346" s="3" t="s">
        <v>8085</v>
      </c>
      <c r="C346" s="3" t="s">
        <v>8061</v>
      </c>
      <c r="D346" s="3" t="s">
        <v>8062</v>
      </c>
      <c r="F346" s="5" t="str">
        <f>IFERROR(__xludf.DUMMYFUNCTION("GOOGLETRANSLATE(A346, ""en"", ""hi"")"),"345")</f>
        <v>345</v>
      </c>
      <c r="G346" s="5" t="str">
        <f>IFERROR(__xludf.DUMMYFUNCTION("GOOGLETRANSLATE(B346, ""en"", ""hi"")"),"खिलाड़ी X ने पहला सेट 15-12 से जीता और खिलाड़ी Y ने दूसरा सेट 15-13 से जीता। अगर खिलाड़ी Y तीसरा सेट 15-14 से जीतता है, तो मैच का स्कोर क्या होगा?")</f>
        <v>खिलाड़ी X ने पहला सेट 15-12 से जीता और खिलाड़ी Y ने दूसरा सेट 15-13 से जीता। अगर खिलाड़ी Y तीसरा सेट 15-14 से जीतता है, तो मैच का स्कोर क्या होगा?</v>
      </c>
      <c r="H346" s="5" t="str">
        <f>IFERROR(__xludf.DUMMYFUNCTION("GOOGLETRANSLATE(C346,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46" s="5" t="str">
        <f>IFERROR(__xludf.DUMMYFUNCTION("GOOGLETRANSLATE(D346, ""en"", ""hi"")"),"A) खिलाड़ी Y 2-1 से आगे है।")</f>
        <v>A) खिलाड़ी Y 2-1 से आगे है।</v>
      </c>
    </row>
    <row r="347" ht="22.5" customHeight="1">
      <c r="A347" s="2">
        <v>346.0</v>
      </c>
      <c r="B347" s="3" t="s">
        <v>8086</v>
      </c>
      <c r="C347" s="3" t="s">
        <v>7959</v>
      </c>
      <c r="D347" s="3" t="s">
        <v>7878</v>
      </c>
      <c r="F347" s="5" t="str">
        <f>IFERROR(__xludf.DUMMYFUNCTION("GOOGLETRANSLATE(A347, ""en"", ""hi"")"),"346")</f>
        <v>346</v>
      </c>
      <c r="G347" s="5" t="str">
        <f>IFERROR(__xludf.DUMMYFUNCTION("GOOGLETRANSLATE(B347, ""en"", ""hi"")"),"एक कंचे खेल में, यदि खिलाड़ी X ने 27 अंक बनाए और खिलाड़ी Y ने 28 अंक बनाए, और खेल को जीतने के लिए 30 अंकों की आवश्यकता है, तो परिणाम क्या होगा?")</f>
        <v>एक कंचे खेल में, यदि खिलाड़ी X ने 27 अंक बनाए और खिलाड़ी Y ने 28 अंक बनाए, और खेल को जीतने के लिए 30 अंकों की आवश्यकता है, तो परिणाम क्या होगा?</v>
      </c>
      <c r="H347" s="5" t="str">
        <f>IFERROR(__xludf.DUMMYFUNCTION("GOOGLETRANSLATE(C347,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47" s="5" t="str">
        <f>IFERROR(__xludf.DUMMYFUNCTION("GOOGLETRANSLATE(D347, ""en"", ""hi"")"),"A) खिलाड़ी Y जीतता है.")</f>
        <v>A) खिलाड़ी Y जीतता है.</v>
      </c>
    </row>
    <row r="348" ht="22.5" customHeight="1">
      <c r="A348" s="2">
        <v>347.0</v>
      </c>
      <c r="B348" s="3" t="s">
        <v>7946</v>
      </c>
      <c r="C348" s="3" t="s">
        <v>7846</v>
      </c>
      <c r="D348" s="3" t="s">
        <v>7847</v>
      </c>
      <c r="F348" s="5" t="str">
        <f>IFERROR(__xludf.DUMMYFUNCTION("GOOGLETRANSLATE(A348, ""en"", ""hi"")"),"347")</f>
        <v>347</v>
      </c>
      <c r="G348" s="5" t="str">
        <f>IFERROR(__xludf.DUMMYFUNCTION("GOOGLETRANSLATE(B348,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348" s="5" t="str">
        <f>IFERROR(__xludf.DUMMYFUNCTION("GOOGLETRANSLATE(C348,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48" s="5" t="str">
        <f>IFERROR(__xludf.DUMMYFUNCTION("GOOGLETRANSLATE(D348, ""en"", ""hi"")"),"A) खिलाड़ी X 2-1 से आगे है।")</f>
        <v>A) खिलाड़ी X 2-1 से आगे है।</v>
      </c>
    </row>
    <row r="349" ht="22.5" customHeight="1">
      <c r="A349" s="2">
        <v>348.0</v>
      </c>
      <c r="B349" s="3" t="s">
        <v>8087</v>
      </c>
      <c r="C349" s="3" t="s">
        <v>7971</v>
      </c>
      <c r="D349" s="3" t="s">
        <v>7711</v>
      </c>
      <c r="F349" s="5" t="str">
        <f>IFERROR(__xludf.DUMMYFUNCTION("GOOGLETRANSLATE(A349, ""en"", ""hi"")"),"348")</f>
        <v>348</v>
      </c>
      <c r="G349" s="5" t="str">
        <f>IFERROR(__xludf.DUMMYFUNCTION("GOOGLETRANSLATE(B349, ""en"", ""hi"")"),"एक कंचे मैच के दौरान, खिलाड़ी X ने 30 अंक बनाए और खिलाड़ी Y ने 27 अंक बनाए। यदि खेल जीतने के लिए 35 अंक चाहिए, तो परिणाम क्या होगा?")</f>
        <v>एक कंचे मैच के दौरान, खिलाड़ी X ने 30 अंक बनाए और खिलाड़ी Y ने 27 अंक बनाए। यदि खेल जीतने के लिए 35 अंक चाहिए, तो परिणाम क्या होगा?</v>
      </c>
      <c r="H349" s="5" t="str">
        <f>IFERROR(__xludf.DUMMYFUNCTION("GOOGLETRANSLATE(C349,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49" s="5" t="str">
        <f>IFERROR(__xludf.DUMMYFUNCTION("GOOGLETRANSLATE(D349, ""en"", ""hi"")"),"A) खिलाड़ी X जीतता है.")</f>
        <v>A) खिलाड़ी X जीतता है.</v>
      </c>
    </row>
    <row r="350" ht="22.5" customHeight="1">
      <c r="A350" s="2">
        <v>349.0</v>
      </c>
      <c r="B350" s="3" t="s">
        <v>8088</v>
      </c>
      <c r="C350" s="3" t="s">
        <v>8061</v>
      </c>
      <c r="D350" s="3" t="s">
        <v>8062</v>
      </c>
      <c r="F350" s="5" t="str">
        <f>IFERROR(__xludf.DUMMYFUNCTION("GOOGLETRANSLATE(A350, ""en"", ""hi"")"),"349")</f>
        <v>349</v>
      </c>
      <c r="G350" s="5" t="str">
        <f>IFERROR(__xludf.DUMMYFUNCTION("GOOGLETRANSLATE(B350, ""en"", ""hi"")"),"खिलाड़ी X ने पहला सेट 15-11 से जीता और खिलाड़ी Y ने दूसरा सेट 15-13 से जीता। अगर खिलाड़ी Y तीसरा सेट 15-12 से जीतता है, तो मैच का स्कोर क्या होगा?")</f>
        <v>खिलाड़ी X ने पहला सेट 15-11 से जीता और खिलाड़ी Y ने दूसरा सेट 15-13 से जीता। अगर खिलाड़ी Y तीसरा सेट 15-12 से जीतता है, तो मैच का स्कोर क्या होगा?</v>
      </c>
      <c r="H350" s="5" t="str">
        <f>IFERROR(__xludf.DUMMYFUNCTION("GOOGLETRANSLATE(C350,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50" s="5" t="str">
        <f>IFERROR(__xludf.DUMMYFUNCTION("GOOGLETRANSLATE(D350, ""en"", ""hi"")"),"A) खिलाड़ी Y 2-1 से आगे है।")</f>
        <v>A) खिलाड़ी Y 2-1 से आगे है।</v>
      </c>
    </row>
    <row r="351" ht="22.5" customHeight="1">
      <c r="A351" s="2">
        <v>350.0</v>
      </c>
      <c r="B351" s="3" t="s">
        <v>8017</v>
      </c>
      <c r="C351" s="3" t="s">
        <v>7989</v>
      </c>
      <c r="D351" s="3" t="s">
        <v>7878</v>
      </c>
      <c r="F351" s="5" t="str">
        <f>IFERROR(__xludf.DUMMYFUNCTION("GOOGLETRANSLATE(A351, ""en"", ""hi"")"),"350")</f>
        <v>350</v>
      </c>
      <c r="G351" s="5" t="str">
        <f>IFERROR(__xludf.DUMMYFUNCTION("GOOGLETRANSLATE(B351, ""en"", ""hi"")"),"एक कंचे खेल में, यदि खिलाड़ी X ने 29 अंक बनाए और खिलाड़ी Y ने 30 अंक बनाए, और खेल को जीतने के लिए 35 अंकों की आवश्यकता है, तो परिणाम क्या होगा?")</f>
        <v>एक कंचे खेल में, यदि खिलाड़ी X ने 29 अंक बनाए और खिलाड़ी Y ने 30 अंक बनाए, और खेल को जीतने के लिए 35 अंकों की आवश्यकता है, तो परिणाम क्या होगा?</v>
      </c>
      <c r="H351" s="5" t="str">
        <f>IFERROR(__xludf.DUMMYFUNCTION("GOOGLETRANSLATE(C351,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51" s="5" t="str">
        <f>IFERROR(__xludf.DUMMYFUNCTION("GOOGLETRANSLATE(D351, ""en"", ""hi"")"),"A) खिलाड़ी Y जीतता है.")</f>
        <v>A) खिलाड़ी Y जीतता है.</v>
      </c>
    </row>
    <row r="352" ht="22.5" customHeight="1">
      <c r="A352" s="2">
        <v>351.0</v>
      </c>
      <c r="B352" s="3" t="s">
        <v>7985</v>
      </c>
      <c r="C352" s="3" t="s">
        <v>7846</v>
      </c>
      <c r="D352" s="3" t="s">
        <v>7847</v>
      </c>
      <c r="F352" s="5" t="str">
        <f>IFERROR(__xludf.DUMMYFUNCTION("GOOGLETRANSLATE(A352, ""en"", ""hi"")"),"351")</f>
        <v>351</v>
      </c>
      <c r="G352" s="5" t="str">
        <f>IFERROR(__xludf.DUMMYFUNCTION("GOOGLETRANSLATE(B352, ""en"", ""hi"")"),"खिलाड़ी X ने पहला सेट 15-14 से जीता और खिलाड़ी Y ने दूसरा सेट 15-12 से जीता। अगर खिलाड़ी X तीसरा सेट 15-13 से जीतता है, तो मैच का स्कोर क्या होगा?")</f>
        <v>खिलाड़ी X ने पहला सेट 15-14 से जीता और खिलाड़ी Y ने दूसरा सेट 15-12 से जीता। अगर खिलाड़ी X तीसरा सेट 15-13 से जीतता है, तो मैच का स्कोर क्या होगा?</v>
      </c>
      <c r="H352" s="5" t="str">
        <f>IFERROR(__xludf.DUMMYFUNCTION("GOOGLETRANSLATE(C352,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52" s="5" t="str">
        <f>IFERROR(__xludf.DUMMYFUNCTION("GOOGLETRANSLATE(D352, ""en"", ""hi"")"),"A) खिलाड़ी X 2-1 से आगे है।")</f>
        <v>A) खिलाड़ी X 2-1 से आगे है।</v>
      </c>
    </row>
    <row r="353" ht="22.5" customHeight="1">
      <c r="A353" s="2">
        <v>352.0</v>
      </c>
      <c r="B353" s="3" t="s">
        <v>8015</v>
      </c>
      <c r="C353" s="3" t="s">
        <v>7959</v>
      </c>
      <c r="D353" s="3" t="s">
        <v>7878</v>
      </c>
      <c r="F353" s="5" t="str">
        <f>IFERROR(__xludf.DUMMYFUNCTION("GOOGLETRANSLATE(A353, ""en"", ""hi"")"),"352")</f>
        <v>352</v>
      </c>
      <c r="G353" s="5" t="str">
        <f>IFERROR(__xludf.DUMMYFUNCTION("GOOGLETRANSLATE(B353, ""en"", ""hi"")"),"एक कंचे मैच के दौरान, खिलाड़ी X ने 26 अंक बनाए और खिलाड़ी Y ने 28 अंक बनाए। यदि खेल जीतने के लिए 30 अंकों की आवश्यकता है, तो परिणाम क्या होगा?")</f>
        <v>एक कंचे मैच के दौरान, खिलाड़ी X ने 26 अंक बनाए और खिलाड़ी Y ने 28 अंक बनाए। यदि खेल जीतने के लिए 30 अंकों की आवश्यकता है, तो परिणाम क्या होगा?</v>
      </c>
      <c r="H353" s="5" t="str">
        <f>IFERROR(__xludf.DUMMYFUNCTION("GOOGLETRANSLATE(C353,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53" s="5" t="str">
        <f>IFERROR(__xludf.DUMMYFUNCTION("GOOGLETRANSLATE(D353, ""en"", ""hi"")"),"A) खिलाड़ी Y जीतता है.")</f>
        <v>A) खिलाड़ी Y जीतता है.</v>
      </c>
    </row>
    <row r="354" ht="22.5" customHeight="1">
      <c r="A354" s="2">
        <v>353.0</v>
      </c>
      <c r="B354" s="3" t="s">
        <v>8066</v>
      </c>
      <c r="C354" s="3" t="s">
        <v>8061</v>
      </c>
      <c r="D354" s="3" t="s">
        <v>8062</v>
      </c>
      <c r="F354" s="5" t="str">
        <f>IFERROR(__xludf.DUMMYFUNCTION("GOOGLETRANSLATE(A354, ""en"", ""hi"")"),"353")</f>
        <v>353</v>
      </c>
      <c r="G354" s="5" t="str">
        <f>IFERROR(__xludf.DUMMYFUNCTION("GOOGLETRANSLATE(B354, ""en"", ""hi"")"),"खिलाड़ी X ने पहला सेट 15-12 से जीता और खिलाड़ी Y ने दूसरा सेट 15-14 से जीता। अगर खिलाड़ी Y तीसरा सेट 15-13 से जीतता है, तो मैच का स्कोर क्या होगा?")</f>
        <v>खिलाड़ी X ने पहला सेट 15-12 से जीता और खिलाड़ी Y ने दूसरा सेट 15-14 से जीता। अगर खिलाड़ी Y तीसरा सेट 15-13 से जीतता है, तो मैच का स्कोर क्या होगा?</v>
      </c>
      <c r="H354" s="5" t="str">
        <f>IFERROR(__xludf.DUMMYFUNCTION("GOOGLETRANSLATE(C354,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54" s="5" t="str">
        <f>IFERROR(__xludf.DUMMYFUNCTION("GOOGLETRANSLATE(D354, ""en"", ""hi"")"),"A) खिलाड़ी Y 2-1 से आगे है।")</f>
        <v>A) खिलाड़ी Y 2-1 से आगे है।</v>
      </c>
    </row>
    <row r="355" ht="22.5" customHeight="1">
      <c r="A355" s="2">
        <v>354.0</v>
      </c>
      <c r="B355" s="3" t="s">
        <v>8089</v>
      </c>
      <c r="C355" s="3" t="s">
        <v>7989</v>
      </c>
      <c r="D355" s="3" t="s">
        <v>7878</v>
      </c>
      <c r="F355" s="5" t="str">
        <f>IFERROR(__xludf.DUMMYFUNCTION("GOOGLETRANSLATE(A355, ""en"", ""hi"")"),"354")</f>
        <v>354</v>
      </c>
      <c r="G355" s="5" t="str">
        <f>IFERROR(__xludf.DUMMYFUNCTION("GOOGLETRANSLATE(B355, ""en"", ""hi"")"),"एक कंचे खेल में, यदि खिलाड़ी X ने 28 अंक बनाए और खिलाड़ी Y ने 31 अंक बनाए, और खेल को जीतने के लिए 35 अंकों की आवश्यकता है, तो परिणाम क्या होगा?")</f>
        <v>एक कंचे खेल में, यदि खिलाड़ी X ने 28 अंक बनाए और खिलाड़ी Y ने 31 अंक बनाए, और खेल को जीतने के लिए 35 अंकों की आवश्यकता है, तो परिणाम क्या होगा?</v>
      </c>
      <c r="H355" s="5" t="str">
        <f>IFERROR(__xludf.DUMMYFUNCTION("GOOGLETRANSLATE(C355,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55" s="5" t="str">
        <f>IFERROR(__xludf.DUMMYFUNCTION("GOOGLETRANSLATE(D355, ""en"", ""hi"")"),"A) खिलाड़ी Y जीतता है.")</f>
        <v>A) खिलाड़ी Y जीतता है.</v>
      </c>
    </row>
    <row r="356" ht="22.5" customHeight="1">
      <c r="A356" s="2">
        <v>355.0</v>
      </c>
      <c r="B356" s="3" t="s">
        <v>8090</v>
      </c>
      <c r="C356" s="3" t="s">
        <v>8061</v>
      </c>
      <c r="D356" s="3" t="s">
        <v>8062</v>
      </c>
      <c r="F356" s="5" t="str">
        <f>IFERROR(__xludf.DUMMYFUNCTION("GOOGLETRANSLATE(A356, ""en"", ""hi"")"),"355")</f>
        <v>355</v>
      </c>
      <c r="G356" s="5" t="str">
        <f>IFERROR(__xludf.DUMMYFUNCTION("GOOGLETRANSLATE(B356, ""en"", ""hi"")"),"खिलाड़ी X ने पहला सेट 15-11 से जीता और खिलाड़ी Y ने दूसरा सेट 15-13 से जीता। अगर खिलाड़ी Y तीसरा सेट 15-14 से जीतता है, तो मैच का स्कोर क्या होगा?")</f>
        <v>खिलाड़ी X ने पहला सेट 15-11 से जीता और खिलाड़ी Y ने दूसरा सेट 15-13 से जीता। अगर खिलाड़ी Y तीसरा सेट 15-14 से जीतता है, तो मैच का स्कोर क्या होगा?</v>
      </c>
      <c r="H356" s="5" t="str">
        <f>IFERROR(__xludf.DUMMYFUNCTION("GOOGLETRANSLATE(C356,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56" s="5" t="str">
        <f>IFERROR(__xludf.DUMMYFUNCTION("GOOGLETRANSLATE(D356, ""en"", ""hi"")"),"A) खिलाड़ी Y 2-1 से आगे है।")</f>
        <v>A) खिलाड़ी Y 2-1 से आगे है।</v>
      </c>
    </row>
    <row r="357" ht="22.5" customHeight="1">
      <c r="A357" s="2">
        <v>356.0</v>
      </c>
      <c r="B357" s="3" t="s">
        <v>8019</v>
      </c>
      <c r="C357" s="3" t="s">
        <v>7971</v>
      </c>
      <c r="D357" s="3" t="s">
        <v>7711</v>
      </c>
      <c r="F357" s="5" t="str">
        <f>IFERROR(__xludf.DUMMYFUNCTION("GOOGLETRANSLATE(A357, ""en"", ""hi"")"),"356")</f>
        <v>356</v>
      </c>
      <c r="G357" s="5" t="str">
        <f>IFERROR(__xludf.DUMMYFUNCTION("GOOGLETRANSLATE(B357, ""en"", ""hi"")"),"एक कंचे मैच के दौरान, खिलाड़ी X ने 30 अंक बनाए और खिलाड़ी Y ने 29 अंक बनाए। यदि खेल जीतने के लिए 35 अंक चाहिए, तो परिणाम क्या होगा?")</f>
        <v>एक कंचे मैच के दौरान, खिलाड़ी X ने 30 अंक बनाए और खिलाड़ी Y ने 29 अंक बनाए। यदि खेल जीतने के लिए 35 अंक चाहिए, तो परिणाम क्या होगा?</v>
      </c>
      <c r="H357" s="5" t="str">
        <f>IFERROR(__xludf.DUMMYFUNCTION("GOOGLETRANSLATE(C357,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57" s="5" t="str">
        <f>IFERROR(__xludf.DUMMYFUNCTION("GOOGLETRANSLATE(D357, ""en"", ""hi"")"),"A) खिलाड़ी X जीतता है.")</f>
        <v>A) खिलाड़ी X जीतता है.</v>
      </c>
    </row>
    <row r="358" ht="22.5" customHeight="1">
      <c r="A358" s="2">
        <v>357.0</v>
      </c>
      <c r="B358" s="3" t="s">
        <v>7946</v>
      </c>
      <c r="C358" s="3" t="s">
        <v>7846</v>
      </c>
      <c r="D358" s="3" t="s">
        <v>7847</v>
      </c>
      <c r="F358" s="5" t="str">
        <f>IFERROR(__xludf.DUMMYFUNCTION("GOOGLETRANSLATE(A358, ""en"", ""hi"")"),"357")</f>
        <v>357</v>
      </c>
      <c r="G358" s="5" t="str">
        <f>IFERROR(__xludf.DUMMYFUNCTION("GOOGLETRANSLATE(B358,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358" s="5" t="str">
        <f>IFERROR(__xludf.DUMMYFUNCTION("GOOGLETRANSLATE(C358,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58" s="5" t="str">
        <f>IFERROR(__xludf.DUMMYFUNCTION("GOOGLETRANSLATE(D358, ""en"", ""hi"")"),"A) खिलाड़ी X 2-1 से आगे है।")</f>
        <v>A) खिलाड़ी X 2-1 से आगे है।</v>
      </c>
    </row>
    <row r="359" ht="22.5" customHeight="1">
      <c r="A359" s="2">
        <v>358.0</v>
      </c>
      <c r="B359" s="3" t="s">
        <v>8071</v>
      </c>
      <c r="C359" s="3" t="s">
        <v>7989</v>
      </c>
      <c r="D359" s="3" t="s">
        <v>7878</v>
      </c>
      <c r="F359" s="5" t="str">
        <f>IFERROR(__xludf.DUMMYFUNCTION("GOOGLETRANSLATE(A359, ""en"", ""hi"")"),"358")</f>
        <v>358</v>
      </c>
      <c r="G359" s="5" t="str">
        <f>IFERROR(__xludf.DUMMYFUNCTION("GOOGLETRANSLATE(B359, ""en"", ""hi"")"),"एक कंचे खेल में, यदि खिलाड़ी X ने 27 अंक बनाए और खिलाड़ी Y ने 30 अंक बनाए, और खेल को जीतने के लिए 35 अंकों की आवश्यकता है, तो परिणाम क्या होगा?")</f>
        <v>एक कंचे खेल में, यदि खिलाड़ी X ने 27 अंक बनाए और खिलाड़ी Y ने 30 अंक बनाए, और खेल को जीतने के लिए 35 अंकों की आवश्यकता है, तो परिणाम क्या होगा?</v>
      </c>
      <c r="H359" s="5" t="str">
        <f>IFERROR(__xludf.DUMMYFUNCTION("GOOGLETRANSLATE(C359,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59" s="5" t="str">
        <f>IFERROR(__xludf.DUMMYFUNCTION("GOOGLETRANSLATE(D359, ""en"", ""hi"")"),"A) खिलाड़ी Y जीतता है.")</f>
        <v>A) खिलाड़ी Y जीतता है.</v>
      </c>
    </row>
    <row r="360" ht="22.5" customHeight="1">
      <c r="A360" s="2">
        <v>359.0</v>
      </c>
      <c r="B360" s="3" t="s">
        <v>8050</v>
      </c>
      <c r="C360" s="3" t="s">
        <v>7846</v>
      </c>
      <c r="D360" s="3" t="s">
        <v>7847</v>
      </c>
      <c r="F360" s="5" t="str">
        <f>IFERROR(__xludf.DUMMYFUNCTION("GOOGLETRANSLATE(A360, ""en"", ""hi"")"),"359")</f>
        <v>359</v>
      </c>
      <c r="G360" s="5" t="str">
        <f>IFERROR(__xludf.DUMMYFUNCTION("GOOGLETRANSLATE(B360, ""en"", ""hi"")"),"खिलाड़ी X ने पहला सेट 15-13 से जीता और खिलाड़ी Y ने दूसरा सेट 15-11 से जीता। अगर खिलाड़ी X तीसरा सेट 15-12 से जीतता है, तो मैच का स्कोर क्या होगा?")</f>
        <v>खिलाड़ी X ने पहला सेट 15-13 से जीता और खिलाड़ी Y ने दूसरा सेट 15-11 से जीता। अगर खिलाड़ी X तीसरा सेट 15-12 से जीतता है, तो मैच का स्कोर क्या होगा?</v>
      </c>
      <c r="H360" s="5" t="str">
        <f>IFERROR(__xludf.DUMMYFUNCTION("GOOGLETRANSLATE(C360,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60" s="5" t="str">
        <f>IFERROR(__xludf.DUMMYFUNCTION("GOOGLETRANSLATE(D360, ""en"", ""hi"")"),"A) खिलाड़ी X 2-1 से आगे है।")</f>
        <v>A) खिलाड़ी X 2-1 से आगे है।</v>
      </c>
    </row>
    <row r="361" ht="22.5" customHeight="1">
      <c r="A361" s="2">
        <v>360.0</v>
      </c>
      <c r="B361" s="3" t="s">
        <v>8078</v>
      </c>
      <c r="C361" s="3" t="s">
        <v>7959</v>
      </c>
      <c r="D361" s="3" t="s">
        <v>7878</v>
      </c>
      <c r="F361" s="5" t="str">
        <f>IFERROR(__xludf.DUMMYFUNCTION("GOOGLETRANSLATE(A361, ""en"", ""hi"")"),"360")</f>
        <v>360</v>
      </c>
      <c r="G361" s="5" t="str">
        <f>IFERROR(__xludf.DUMMYFUNCTION("GOOGLETRANSLATE(B361, ""en"", ""hi"")"),"एक कंचे मैच के दौरान, खिलाड़ी X ने 26 अंक और खिलाड़ी Y ने 29 अंक बनाए। यदि खेल जीतने के लिए 30 अंकों की आवश्यकता है, तो परिणाम क्या होगा?")</f>
        <v>एक कंचे मैच के दौरान, खिलाड़ी X ने 26 अंक और खिलाड़ी Y ने 29 अंक बनाए। यदि खेल जीतने के लिए 30 अंकों की आवश्यकता है, तो परिणाम क्या होगा?</v>
      </c>
      <c r="H361" s="5" t="str">
        <f>IFERROR(__xludf.DUMMYFUNCTION("GOOGLETRANSLATE(C361,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61" s="5" t="str">
        <f>IFERROR(__xludf.DUMMYFUNCTION("GOOGLETRANSLATE(D361, ""en"", ""hi"")"),"A) खिलाड़ी Y जीतता है.")</f>
        <v>A) खिलाड़ी Y जीतता है.</v>
      </c>
    </row>
    <row r="362" ht="22.5" customHeight="1">
      <c r="A362" s="2">
        <v>361.0</v>
      </c>
      <c r="B362" s="3" t="s">
        <v>8091</v>
      </c>
      <c r="C362" s="3" t="s">
        <v>8061</v>
      </c>
      <c r="D362" s="3" t="s">
        <v>8062</v>
      </c>
      <c r="F362" s="5" t="str">
        <f>IFERROR(__xludf.DUMMYFUNCTION("GOOGLETRANSLATE(A362, ""en"", ""hi"")"),"361")</f>
        <v>361</v>
      </c>
      <c r="G362" s="5" t="str">
        <f>IFERROR(__xludf.DUMMYFUNCTION("GOOGLETRANSLATE(B362, ""en"", ""hi"")"),"खिलाड़ी X ने पहला सेट 15-11 से जीता और खिलाड़ी Y ने दूसरा सेट 15-14 से जीता। अगर खिलाड़ी Y तीसरा सेट 15-13 से जीतता है, तो मैच का स्कोर क्या होगा?")</f>
        <v>खिलाड़ी X ने पहला सेट 15-11 से जीता और खिलाड़ी Y ने दूसरा सेट 15-14 से जीता। अगर खिलाड़ी Y तीसरा सेट 15-13 से जीतता है, तो मैच का स्कोर क्या होगा?</v>
      </c>
      <c r="H362" s="5" t="str">
        <f>IFERROR(__xludf.DUMMYFUNCTION("GOOGLETRANSLATE(C362,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62" s="5" t="str">
        <f>IFERROR(__xludf.DUMMYFUNCTION("GOOGLETRANSLATE(D362, ""en"", ""hi"")"),"A) खिलाड़ी Y 2-1 से आगे है।")</f>
        <v>A) खिलाड़ी Y 2-1 से आगे है।</v>
      </c>
    </row>
    <row r="363" ht="22.5" customHeight="1">
      <c r="A363" s="2">
        <v>362.0</v>
      </c>
      <c r="B363" s="3" t="s">
        <v>8007</v>
      </c>
      <c r="C363" s="3" t="s">
        <v>7989</v>
      </c>
      <c r="D363" s="3" t="s">
        <v>7878</v>
      </c>
      <c r="F363" s="5" t="str">
        <f>IFERROR(__xludf.DUMMYFUNCTION("GOOGLETRANSLATE(A363, ""en"", ""hi"")"),"362")</f>
        <v>362</v>
      </c>
      <c r="G363" s="5" t="str">
        <f>IFERROR(__xludf.DUMMYFUNCTION("GOOGLETRANSLATE(B363, ""en"", ""hi"")"),"एक कंचे खेल में, यदि खिलाड़ी X ने 29 अंक बनाए और खिलाड़ी Y ने 31 अंक बनाए, और खेल को जीतने के लिए 35 अंकों की आवश्यकता है, तो परिणाम क्या होगा?")</f>
        <v>एक कंचे खेल में, यदि खिलाड़ी X ने 29 अंक बनाए और खिलाड़ी Y ने 31 अंक बनाए, और खेल को जीतने के लिए 35 अंकों की आवश्यकता है, तो परिणाम क्या होगा?</v>
      </c>
      <c r="H363" s="5" t="str">
        <f>IFERROR(__xludf.DUMMYFUNCTION("GOOGLETRANSLATE(C363,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63" s="5" t="str">
        <f>IFERROR(__xludf.DUMMYFUNCTION("GOOGLETRANSLATE(D363, ""en"", ""hi"")"),"A) खिलाड़ी Y जीतता है.")</f>
        <v>A) खिलाड़ी Y जीतता है.</v>
      </c>
    </row>
    <row r="364" ht="22.5" customHeight="1">
      <c r="A364" s="2">
        <v>363.0</v>
      </c>
      <c r="B364" s="3" t="s">
        <v>8092</v>
      </c>
      <c r="C364" s="3" t="s">
        <v>7846</v>
      </c>
      <c r="D364" s="3" t="s">
        <v>7847</v>
      </c>
      <c r="F364" s="5" t="str">
        <f>IFERROR(__xludf.DUMMYFUNCTION("GOOGLETRANSLATE(A364, ""en"", ""hi"")"),"363")</f>
        <v>363</v>
      </c>
      <c r="G364" s="5" t="str">
        <f>IFERROR(__xludf.DUMMYFUNCTION("GOOGLETRANSLATE(B364, ""en"", ""hi"")"),"खिलाड़ी X ने पहला सेट 15-12 से जीता और खिलाड़ी Y ने दूसरा सेट 15-11 से जीता। अगर खिलाड़ी X तीसरा सेट 15-14 से जीतता है, तो मैच का स्कोर क्या होगा?")</f>
        <v>खिलाड़ी X ने पहला सेट 15-12 से जीता और खिलाड़ी Y ने दूसरा सेट 15-11 से जीता। अगर खिलाड़ी X तीसरा सेट 15-14 से जीतता है, तो मैच का स्कोर क्या होगा?</v>
      </c>
      <c r="H364" s="5" t="str">
        <f>IFERROR(__xludf.DUMMYFUNCTION("GOOGLETRANSLATE(C364,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64" s="5" t="str">
        <f>IFERROR(__xludf.DUMMYFUNCTION("GOOGLETRANSLATE(D364, ""en"", ""hi"")"),"A) खिलाड़ी X 2-1 से आगे है।")</f>
        <v>A) खिलाड़ी X 2-1 से आगे है।</v>
      </c>
    </row>
    <row r="365" ht="22.5" customHeight="1">
      <c r="A365" s="2">
        <v>364.0</v>
      </c>
      <c r="B365" s="3" t="s">
        <v>8093</v>
      </c>
      <c r="C365" s="3" t="s">
        <v>7989</v>
      </c>
      <c r="D365" s="3" t="s">
        <v>7878</v>
      </c>
      <c r="F365" s="5" t="str">
        <f>IFERROR(__xludf.DUMMYFUNCTION("GOOGLETRANSLATE(A365, ""en"", ""hi"")"),"364")</f>
        <v>364</v>
      </c>
      <c r="G365" s="5" t="str">
        <f>IFERROR(__xludf.DUMMYFUNCTION("GOOGLETRANSLATE(B365, ""en"", ""hi"")"),"एक कंचे मैच के दौरान, खिलाड़ी X ने 28 अंक बनाए और खिलाड़ी Y ने 30 अंक बनाए। यदि खेल जीतने के लिए 35 अंक चाहिए, तो परिणाम क्या होगा?")</f>
        <v>एक कंचे मैच के दौरान, खिलाड़ी X ने 28 अंक बनाए और खिलाड़ी Y ने 30 अंक बनाए। यदि खेल जीतने के लिए 35 अंक चाहिए, तो परिणाम क्या होगा?</v>
      </c>
      <c r="H365" s="5" t="str">
        <f>IFERROR(__xludf.DUMMYFUNCTION("GOOGLETRANSLATE(C365,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65" s="5" t="str">
        <f>IFERROR(__xludf.DUMMYFUNCTION("GOOGLETRANSLATE(D365, ""en"", ""hi"")"),"A) खिलाड़ी Y जीतता है.")</f>
        <v>A) खिलाड़ी Y जीतता है.</v>
      </c>
    </row>
    <row r="366" ht="22.5" customHeight="1">
      <c r="A366" s="2">
        <v>365.0</v>
      </c>
      <c r="B366" s="3" t="s">
        <v>8074</v>
      </c>
      <c r="C366" s="3" t="s">
        <v>8061</v>
      </c>
      <c r="D366" s="3" t="s">
        <v>8062</v>
      </c>
      <c r="F366" s="5" t="str">
        <f>IFERROR(__xludf.DUMMYFUNCTION("GOOGLETRANSLATE(A366, ""en"", ""hi"")"),"365")</f>
        <v>365</v>
      </c>
      <c r="G366" s="5" t="str">
        <f>IFERROR(__xludf.DUMMYFUNCTION("GOOGLETRANSLATE(B366, ""en"", ""hi"")"),"खिलाड़ी X ने पहला सेट 15-13 से जीता और खिलाड़ी Y ने दूसरा सेट 15-12 से जीता। अगर खिलाड़ी Y तीसरा सेट 15-14 से जीतता है, तो मैच का स्कोर क्या होगा?")</f>
        <v>खिलाड़ी X ने पहला सेट 15-13 से जीता और खिलाड़ी Y ने दूसरा सेट 15-12 से जीता। अगर खिलाड़ी Y तीसरा सेट 15-14 से जीतता है, तो मैच का स्कोर क्या होगा?</v>
      </c>
      <c r="H366" s="5" t="str">
        <f>IFERROR(__xludf.DUMMYFUNCTION("GOOGLETRANSLATE(C366,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66" s="5" t="str">
        <f>IFERROR(__xludf.DUMMYFUNCTION("GOOGLETRANSLATE(D366, ""en"", ""hi"")"),"A) खिलाड़ी Y 2-1 से आगे है।")</f>
        <v>A) खिलाड़ी Y 2-1 से आगे है।</v>
      </c>
    </row>
    <row r="367" ht="22.5" customHeight="1">
      <c r="A367" s="2">
        <v>366.0</v>
      </c>
      <c r="B367" s="3" t="s">
        <v>7970</v>
      </c>
      <c r="C367" s="3" t="s">
        <v>7971</v>
      </c>
      <c r="D367" s="3" t="s">
        <v>7711</v>
      </c>
      <c r="F367" s="5" t="str">
        <f>IFERROR(__xludf.DUMMYFUNCTION("GOOGLETRANSLATE(A367, ""en"", ""hi"")"),"366")</f>
        <v>366</v>
      </c>
      <c r="G367" s="5" t="str">
        <f>IFERROR(__xludf.DUMMYFUNCTION("GOOGLETRANSLATE(B367, ""en"", ""hi"")"),"एक कंचे खेल में, यदि खिलाड़ी X ने 30 अंक बनाए और खिलाड़ी Y ने 29 अंक बनाए, और खेल को जीतने के लिए 35 अंकों की आवश्यकता है, तो परिणाम क्या होगा?")</f>
        <v>एक कंचे खेल में, यदि खिलाड़ी X ने 30 अंक बनाए और खिलाड़ी Y ने 29 अंक बनाए, और खेल को जीतने के लिए 35 अंकों की आवश्यकता है, तो परिणाम क्या होगा?</v>
      </c>
      <c r="H367" s="5" t="str">
        <f>IFERROR(__xludf.DUMMYFUNCTION("GOOGLETRANSLATE(C367,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67" s="5" t="str">
        <f>IFERROR(__xludf.DUMMYFUNCTION("GOOGLETRANSLATE(D367, ""en"", ""hi"")"),"A) खिलाड़ी X जीतता है.")</f>
        <v>A) खिलाड़ी X जीतता है.</v>
      </c>
    </row>
    <row r="368" ht="22.5" customHeight="1">
      <c r="A368" s="2">
        <v>367.0</v>
      </c>
      <c r="B368" s="3" t="s">
        <v>7946</v>
      </c>
      <c r="C368" s="3" t="s">
        <v>7846</v>
      </c>
      <c r="D368" s="3" t="s">
        <v>7847</v>
      </c>
      <c r="F368" s="5" t="str">
        <f>IFERROR(__xludf.DUMMYFUNCTION("GOOGLETRANSLATE(A368, ""en"", ""hi"")"),"367")</f>
        <v>367</v>
      </c>
      <c r="G368" s="5" t="str">
        <f>IFERROR(__xludf.DUMMYFUNCTION("GOOGLETRANSLATE(B368, ""en"", ""hi"")"),"खिलाड़ी X ने पहला सेट 15-14 से जीता और खिलाड़ी Y ने दूसरा सेट 15-13 से जीता। अगर खिलाड़ी X तीसरा सेट 15-12 से जीतता है, तो मैच का स्कोर क्या होगा?")</f>
        <v>खिलाड़ी X ने पहला सेट 15-14 से जीता और खिलाड़ी Y ने दूसरा सेट 15-13 से जीता। अगर खिलाड़ी X तीसरा सेट 15-12 से जीतता है, तो मैच का स्कोर क्या होगा?</v>
      </c>
      <c r="H368" s="5" t="str">
        <f>IFERROR(__xludf.DUMMYFUNCTION("GOOGLETRANSLATE(C368,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68" s="5" t="str">
        <f>IFERROR(__xludf.DUMMYFUNCTION("GOOGLETRANSLATE(D368, ""en"", ""hi"")"),"A) खिलाड़ी X 2-1 से आगे है।")</f>
        <v>A) खिलाड़ी X 2-1 से आगे है।</v>
      </c>
    </row>
    <row r="369" ht="22.5" customHeight="1">
      <c r="A369" s="2">
        <v>368.0</v>
      </c>
      <c r="B369" s="3" t="s">
        <v>8094</v>
      </c>
      <c r="C369" s="3" t="s">
        <v>7989</v>
      </c>
      <c r="D369" s="3" t="s">
        <v>7878</v>
      </c>
      <c r="F369" s="5" t="str">
        <f>IFERROR(__xludf.DUMMYFUNCTION("GOOGLETRANSLATE(A369, ""en"", ""hi"")"),"368")</f>
        <v>368</v>
      </c>
      <c r="G369" s="5" t="str">
        <f>IFERROR(__xludf.DUMMYFUNCTION("GOOGLETRANSLATE(B369, ""en"", ""hi"")"),"एक कंचे मैच के दौरान, खिलाड़ी X ने 26 अंक बनाए और खिलाड़ी Y ने 30 अंक बनाए। यदि खेल जीतने के लिए 35 अंक चाहिए, तो परिणाम क्या होगा?")</f>
        <v>एक कंचे मैच के दौरान, खिलाड़ी X ने 26 अंक बनाए और खिलाड़ी Y ने 30 अंक बनाए। यदि खेल जीतने के लिए 35 अंक चाहिए, तो परिणाम क्या होगा?</v>
      </c>
      <c r="H369" s="5" t="str">
        <f>IFERROR(__xludf.DUMMYFUNCTION("GOOGLETRANSLATE(C369,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69" s="5" t="str">
        <f>IFERROR(__xludf.DUMMYFUNCTION("GOOGLETRANSLATE(D369, ""en"", ""hi"")"),"A) खिलाड़ी Y जीतता है.")</f>
        <v>A) खिलाड़ी Y जीतता है.</v>
      </c>
    </row>
    <row r="370" ht="22.5" customHeight="1">
      <c r="A370" s="2">
        <v>369.0</v>
      </c>
      <c r="B370" s="3" t="s">
        <v>8083</v>
      </c>
      <c r="C370" s="3" t="s">
        <v>8061</v>
      </c>
      <c r="D370" s="3" t="s">
        <v>8062</v>
      </c>
      <c r="F370" s="5" t="str">
        <f>IFERROR(__xludf.DUMMYFUNCTION("GOOGLETRANSLATE(A370, ""en"", ""hi"")"),"369")</f>
        <v>369</v>
      </c>
      <c r="G370" s="5" t="str">
        <f>IFERROR(__xludf.DUMMYFUNCTION("GOOGLETRANSLATE(B370, ""en"", ""hi"")"),"खिलाड़ी X ने पहला सेट 15-13 से और खिलाड़ी Y ने दूसरा सेट 15-14 से जीता। अगर खिलाड़ी Y तीसरा सेट 15-12 से जीतता है, तो मैच का स्कोर क्या होगा?")</f>
        <v>खिलाड़ी X ने पहला सेट 15-13 से और खिलाड़ी Y ने दूसरा सेट 15-14 से जीता। अगर खिलाड़ी Y तीसरा सेट 15-12 से जीतता है, तो मैच का स्कोर क्या होगा?</v>
      </c>
      <c r="H370" s="5" t="str">
        <f>IFERROR(__xludf.DUMMYFUNCTION("GOOGLETRANSLATE(C370,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70" s="5" t="str">
        <f>IFERROR(__xludf.DUMMYFUNCTION("GOOGLETRANSLATE(D370, ""en"", ""hi"")"),"A) खिलाड़ी Y 2-1 से आगे है।")</f>
        <v>A) खिलाड़ी Y 2-1 से आगे है।</v>
      </c>
    </row>
    <row r="371" ht="22.5" customHeight="1">
      <c r="A371" s="2">
        <v>370.0</v>
      </c>
      <c r="B371" s="3" t="s">
        <v>8095</v>
      </c>
      <c r="C371" s="3" t="s">
        <v>7971</v>
      </c>
      <c r="D371" s="3" t="s">
        <v>7711</v>
      </c>
      <c r="F371" s="5" t="str">
        <f>IFERROR(__xludf.DUMMYFUNCTION("GOOGLETRANSLATE(A371, ""en"", ""hi"")"),"370")</f>
        <v>370</v>
      </c>
      <c r="G371" s="5" t="str">
        <f>IFERROR(__xludf.DUMMYFUNCTION("GOOGLETRANSLATE(B371, ""en"", ""hi"")"),"एक कंचे खेल में, यदि खिलाड़ी X ने 30 अंक बनाए और खिलाड़ी Y ने 28 अंक बनाए, और खेल को जीतने के लिए 35 अंकों की आवश्यकता है, तो परिणाम क्या होगा?")</f>
        <v>एक कंचे खेल में, यदि खिलाड़ी X ने 30 अंक बनाए और खिलाड़ी Y ने 28 अंक बनाए, और खेल को जीतने के लिए 35 अंकों की आवश्यकता है, तो परिणाम क्या होगा?</v>
      </c>
      <c r="H371" s="5" t="str">
        <f>IFERROR(__xludf.DUMMYFUNCTION("GOOGLETRANSLATE(C371,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71" s="5" t="str">
        <f>IFERROR(__xludf.DUMMYFUNCTION("GOOGLETRANSLATE(D371, ""en"", ""hi"")"),"A) खिलाड़ी X जीतता है.")</f>
        <v>A) खिलाड़ी X जीतता है.</v>
      </c>
    </row>
    <row r="372" ht="22.5" customHeight="1">
      <c r="A372" s="2">
        <v>371.0</v>
      </c>
      <c r="B372" s="3" t="s">
        <v>7918</v>
      </c>
      <c r="C372" s="3" t="s">
        <v>7846</v>
      </c>
      <c r="D372" s="3" t="s">
        <v>7847</v>
      </c>
      <c r="F372" s="5" t="str">
        <f>IFERROR(__xludf.DUMMYFUNCTION("GOOGLETRANSLATE(A372, ""en"", ""hi"")"),"371")</f>
        <v>371</v>
      </c>
      <c r="G372" s="5" t="str">
        <f>IFERROR(__xludf.DUMMYFUNCTION("GOOGLETRANSLATE(B372, ""en"", ""hi"")"),"खिलाड़ी X ने पहला सेट 15-12 से जीता और खिलाड़ी Y ने दूसरा सेट 15-14 से जीता। अगर खिलाड़ी X तीसरा सेट 15-13 से जीतता है, तो मैच का स्कोर क्या होगा?")</f>
        <v>खिलाड़ी X ने पहला सेट 15-12 से जीता और खिलाड़ी Y ने दूसरा सेट 15-14 से जीता। अगर खिलाड़ी X तीसरा सेट 15-13 से जीतता है, तो मैच का स्कोर क्या होगा?</v>
      </c>
      <c r="H372" s="5" t="str">
        <f>IFERROR(__xludf.DUMMYFUNCTION("GOOGLETRANSLATE(C372,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72" s="5" t="str">
        <f>IFERROR(__xludf.DUMMYFUNCTION("GOOGLETRANSLATE(D372, ""en"", ""hi"")"),"A) खिलाड़ी X 2-1 से आगे है।")</f>
        <v>A) खिलाड़ी X 2-1 से आगे है।</v>
      </c>
    </row>
    <row r="373" ht="22.5" customHeight="1">
      <c r="A373" s="2">
        <v>372.0</v>
      </c>
      <c r="B373" s="3" t="s">
        <v>8052</v>
      </c>
      <c r="C373" s="3" t="s">
        <v>7989</v>
      </c>
      <c r="D373" s="3" t="s">
        <v>7878</v>
      </c>
      <c r="F373" s="5" t="str">
        <f>IFERROR(__xludf.DUMMYFUNCTION("GOOGLETRANSLATE(A373, ""en"", ""hi"")"),"372")</f>
        <v>372</v>
      </c>
      <c r="G373" s="5" t="str">
        <f>IFERROR(__xludf.DUMMYFUNCTION("GOOGLETRANSLATE(B373, ""en"", ""hi"")"),"एक कंचे मैच के दौरान, खिलाड़ी X ने 29 अंक बनाए और खिलाड़ी Y ने 30 अंक बनाए। यदि खेल जीतने के लिए 35 अंक चाहिए, तो परिणाम क्या होगा?")</f>
        <v>एक कंचे मैच के दौरान, खिलाड़ी X ने 29 अंक बनाए और खिलाड़ी Y ने 30 अंक बनाए। यदि खेल जीतने के लिए 35 अंक चाहिए, तो परिणाम क्या होगा?</v>
      </c>
      <c r="H373" s="5" t="str">
        <f>IFERROR(__xludf.DUMMYFUNCTION("GOOGLETRANSLATE(C373,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73" s="5" t="str">
        <f>IFERROR(__xludf.DUMMYFUNCTION("GOOGLETRANSLATE(D373, ""en"", ""hi"")"),"A) खिलाड़ी Y जीतता है.")</f>
        <v>A) खिलाड़ी Y जीतता है.</v>
      </c>
    </row>
    <row r="374" ht="22.5" customHeight="1">
      <c r="A374" s="2">
        <v>373.0</v>
      </c>
      <c r="B374" s="3" t="s">
        <v>7985</v>
      </c>
      <c r="C374" s="3" t="s">
        <v>7846</v>
      </c>
      <c r="D374" s="3" t="s">
        <v>7847</v>
      </c>
      <c r="F374" s="5" t="str">
        <f>IFERROR(__xludf.DUMMYFUNCTION("GOOGLETRANSLATE(A374, ""en"", ""hi"")"),"373")</f>
        <v>373</v>
      </c>
      <c r="G374" s="5" t="str">
        <f>IFERROR(__xludf.DUMMYFUNCTION("GOOGLETRANSLATE(B374, ""en"", ""hi"")"),"खिलाड़ी X ने पहला सेट 15-14 से जीता और खिलाड़ी Y ने दूसरा सेट 15-12 से जीता। अगर खिलाड़ी X तीसरा सेट 15-13 से जीतता है, तो मैच का स्कोर क्या होगा?")</f>
        <v>खिलाड़ी X ने पहला सेट 15-14 से जीता और खिलाड़ी Y ने दूसरा सेट 15-12 से जीता। अगर खिलाड़ी X तीसरा सेट 15-13 से जीतता है, तो मैच का स्कोर क्या होगा?</v>
      </c>
      <c r="H374" s="5" t="str">
        <f>IFERROR(__xludf.DUMMYFUNCTION("GOOGLETRANSLATE(C374,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74" s="5" t="str">
        <f>IFERROR(__xludf.DUMMYFUNCTION("GOOGLETRANSLATE(D374, ""en"", ""hi"")"),"A) खिलाड़ी X 2-1 से आगे है।")</f>
        <v>A) खिलाड़ी X 2-1 से आगे है।</v>
      </c>
    </row>
    <row r="375" ht="22.5" customHeight="1">
      <c r="A375" s="2">
        <v>374.0</v>
      </c>
      <c r="B375" s="3" t="s">
        <v>7975</v>
      </c>
      <c r="C375" s="3" t="s">
        <v>7959</v>
      </c>
      <c r="D375" s="3" t="s">
        <v>7878</v>
      </c>
      <c r="F375" s="5" t="str">
        <f>IFERROR(__xludf.DUMMYFUNCTION("GOOGLETRANSLATE(A375, ""en"", ""hi"")"),"374")</f>
        <v>374</v>
      </c>
      <c r="G375" s="5" t="str">
        <f>IFERROR(__xludf.DUMMYFUNCTION("GOOGLETRANSLATE(B375, ""en"", ""hi"")"),"एक कंचे खेल में, यदि खिलाड़ी X ने 25 अंक बनाए और खिलाड़ी Y ने 27 अंक बनाए, और खेल को जीतने के लिए 30 अंकों की आवश्यकता है, तो परिणाम क्या होगा?")</f>
        <v>एक कंचे खेल में, यदि खिलाड़ी X ने 25 अंक बनाए और खिलाड़ी Y ने 27 अंक बनाए, और खेल को जीतने के लिए 30 अंकों की आवश्यकता है, तो परिणाम क्या होगा?</v>
      </c>
      <c r="H375" s="5" t="str">
        <f>IFERROR(__xludf.DUMMYFUNCTION("GOOGLETRANSLATE(C375,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75" s="5" t="str">
        <f>IFERROR(__xludf.DUMMYFUNCTION("GOOGLETRANSLATE(D375, ""en"", ""hi"")"),"A) खिलाड़ी Y जीतता है.")</f>
        <v>A) खिलाड़ी Y जीतता है.</v>
      </c>
    </row>
    <row r="376" ht="22.5" customHeight="1">
      <c r="A376" s="2">
        <v>375.0</v>
      </c>
      <c r="B376" s="3" t="s">
        <v>8049</v>
      </c>
      <c r="C376" s="3" t="s">
        <v>7846</v>
      </c>
      <c r="D376" s="3" t="s">
        <v>7847</v>
      </c>
      <c r="F376" s="5" t="str">
        <f>IFERROR(__xludf.DUMMYFUNCTION("GOOGLETRANSLATE(A376, ""en"", ""hi"")"),"375")</f>
        <v>375</v>
      </c>
      <c r="G376" s="5" t="str">
        <f>IFERROR(__xludf.DUMMYFUNCTION("GOOGLETRANSLATE(B376, ""en"", ""hi"")"),"खिलाड़ी X ने पहला सेट 15-14 से जीता और खिलाड़ी Y ने दूसरा सेट 15-11 से जीता। अगर खिलाड़ी X तीसरा सेट 15-12 से जीतता है, तो मैच का स्कोर क्या होगा?")</f>
        <v>खिलाड़ी X ने पहला सेट 15-14 से जीता और खिलाड़ी Y ने दूसरा सेट 15-11 से जीता। अगर खिलाड़ी X तीसरा सेट 15-12 से जीतता है, तो मैच का स्कोर क्या होगा?</v>
      </c>
      <c r="H376" s="5" t="str">
        <f>IFERROR(__xludf.DUMMYFUNCTION("GOOGLETRANSLATE(C376,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76" s="5" t="str">
        <f>IFERROR(__xludf.DUMMYFUNCTION("GOOGLETRANSLATE(D376, ""en"", ""hi"")"),"A) खिलाड़ी X 2-1 से आगे है।")</f>
        <v>A) खिलाड़ी X 2-1 से आगे है।</v>
      </c>
    </row>
    <row r="377" ht="22.5" customHeight="1">
      <c r="A377" s="2">
        <v>376.0</v>
      </c>
      <c r="B377" s="3" t="s">
        <v>8096</v>
      </c>
      <c r="C377" s="3" t="s">
        <v>7959</v>
      </c>
      <c r="D377" s="3" t="s">
        <v>7878</v>
      </c>
      <c r="F377" s="5" t="str">
        <f>IFERROR(__xludf.DUMMYFUNCTION("GOOGLETRANSLATE(A377, ""en"", ""hi"")"),"376")</f>
        <v>376</v>
      </c>
      <c r="G377" s="5" t="str">
        <f>IFERROR(__xludf.DUMMYFUNCTION("GOOGLETRANSLATE(B377, ""en"", ""hi"")"),"एक कंचे मैच के दौरान, खिलाड़ी X ने 24 अंक बनाए और खिलाड़ी Y ने 29 अंक बनाए। यदि खेल जीतने के लिए 30 अंकों की आवश्यकता है, तो परिणाम क्या होगा?")</f>
        <v>एक कंचे मैच के दौरान, खिलाड़ी X ने 24 अंक बनाए और खिलाड़ी Y ने 29 अंक बनाए। यदि खेल जीतने के लिए 30 अंकों की आवश्यकता है, तो परिणाम क्या होगा?</v>
      </c>
      <c r="H377" s="5" t="str">
        <f>IFERROR(__xludf.DUMMYFUNCTION("GOOGLETRANSLATE(C377,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77" s="5" t="str">
        <f>IFERROR(__xludf.DUMMYFUNCTION("GOOGLETRANSLATE(D377, ""en"", ""hi"")"),"A) खिलाड़ी Y जीतता है.")</f>
        <v>A) खिलाड़ी Y जीतता है.</v>
      </c>
    </row>
    <row r="378" ht="22.5" customHeight="1">
      <c r="A378" s="2">
        <v>377.0</v>
      </c>
      <c r="B378" s="3" t="s">
        <v>8097</v>
      </c>
      <c r="C378" s="3" t="s">
        <v>7846</v>
      </c>
      <c r="D378" s="3" t="s">
        <v>7847</v>
      </c>
      <c r="F378" s="5" t="str">
        <f>IFERROR(__xludf.DUMMYFUNCTION("GOOGLETRANSLATE(A378, ""en"", ""hi"")"),"377")</f>
        <v>377</v>
      </c>
      <c r="G378" s="5" t="str">
        <f>IFERROR(__xludf.DUMMYFUNCTION("GOOGLETRANSLATE(B378, ""en"", ""hi"")"),"खिलाड़ी X ने पहला गेम 21-19 से जीता और खिलाड़ी Y ने दूसरा गेम 21-20 से जीता। अगर खिलाड़ी X तीसरा गेम 21-18 से जीत जाता है, तो मैच का स्कोर क्या होगा?")</f>
        <v>खिलाड़ी X ने पहला गेम 21-19 से जीता और खिलाड़ी Y ने दूसरा गेम 21-20 से जीता। अगर खिलाड़ी X तीसरा गेम 21-18 से जीत जाता है, तो मैच का स्कोर क्या होगा?</v>
      </c>
      <c r="H378" s="5" t="str">
        <f>IFERROR(__xludf.DUMMYFUNCTION("GOOGLETRANSLATE(C378,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78" s="5" t="str">
        <f>IFERROR(__xludf.DUMMYFUNCTION("GOOGLETRANSLATE(D378, ""en"", ""hi"")"),"A) खिलाड़ी X 2-1 से आगे है।")</f>
        <v>A) खिलाड़ी X 2-1 से आगे है।</v>
      </c>
    </row>
    <row r="379" ht="22.5" customHeight="1">
      <c r="A379" s="2">
        <v>378.0</v>
      </c>
      <c r="B379" s="3" t="s">
        <v>8098</v>
      </c>
      <c r="C379" s="3" t="s">
        <v>8099</v>
      </c>
      <c r="D379" s="3" t="s">
        <v>7878</v>
      </c>
      <c r="F379" s="5" t="str">
        <f>IFERROR(__xludf.DUMMYFUNCTION("GOOGLETRANSLATE(A379, ""en"", ""hi"")"),"378")</f>
        <v>378</v>
      </c>
      <c r="G379" s="5" t="str">
        <f>IFERROR(__xludf.DUMMYFUNCTION("GOOGLETRANSLATE(B379, ""en"", ""hi"")"),"एक कंचे मैच के दौरान, खिलाड़ी X ने 33 अंक बनाए और खिलाड़ी Y ने 35 अंक बनाए। यदि खेल जीतने के लिए 40 अंकों की आवश्यकता है, तो परिणाम क्या होगा?")</f>
        <v>एक कंचे मैच के दौरान, खिलाड़ी X ने 33 अंक बनाए और खिलाड़ी Y ने 35 अंक बनाए। यदि खेल जीतने के लिए 40 अंकों की आवश्यकता है, तो परिणाम क्या होगा?</v>
      </c>
      <c r="H379" s="5" t="str">
        <f>IFERROR(__xludf.DUMMYFUNCTION("GOOGLETRANSLATE(C379, ""en"", ""hi"")"),"A) खिलाड़ी Y जीतता है। , B) खिलाड़ी X जीतता है। , C) खेल बराबरी पर रहता है। , D) खेल तब तक जारी रहता है जब तक कि एक खिलाड़ी 45 अंक नहीं बना लेता।")</f>
        <v>A) खिलाड़ी Y जीतता है। , B) खिलाड़ी X जीतता है। , C) खेल बराबरी पर रहता है। , D) खेल तब तक जारी रहता है जब तक कि एक खिलाड़ी 45 अंक नहीं बना लेता।</v>
      </c>
      <c r="I379" s="5" t="str">
        <f>IFERROR(__xludf.DUMMYFUNCTION("GOOGLETRANSLATE(D379, ""en"", ""hi"")"),"A) खिलाड़ी Y जीतता है.")</f>
        <v>A) खिलाड़ी Y जीतता है.</v>
      </c>
    </row>
    <row r="380" ht="22.5" customHeight="1">
      <c r="A380" s="2">
        <v>379.0</v>
      </c>
      <c r="B380" s="3" t="s">
        <v>8100</v>
      </c>
      <c r="C380" s="3" t="s">
        <v>7846</v>
      </c>
      <c r="D380" s="3" t="s">
        <v>7847</v>
      </c>
      <c r="F380" s="5" t="str">
        <f>IFERROR(__xludf.DUMMYFUNCTION("GOOGLETRANSLATE(A380, ""en"", ""hi"")"),"379")</f>
        <v>379</v>
      </c>
      <c r="G380" s="5" t="str">
        <f>IFERROR(__xludf.DUMMYFUNCTION("GOOGLETRANSLATE(B380, ""en"", ""hi"")"),"खिलाड़ी X ने पहला सेट 18-16 से जीता और खिलाड़ी Y ने दूसरा सेट 21-19 से जीता। अगर खिलाड़ी X तीसरा सेट 22-20 से जीतता है, तो मैच का स्कोर क्या होगा?")</f>
        <v>खिलाड़ी X ने पहला सेट 18-16 से जीता और खिलाड़ी Y ने दूसरा सेट 21-19 से जीता। अगर खिलाड़ी X तीसरा सेट 22-20 से जीतता है, तो मैच का स्कोर क्या होगा?</v>
      </c>
      <c r="H380" s="5" t="str">
        <f>IFERROR(__xludf.DUMMYFUNCTION("GOOGLETRANSLATE(C380,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80" s="5" t="str">
        <f>IFERROR(__xludf.DUMMYFUNCTION("GOOGLETRANSLATE(D380, ""en"", ""hi"")"),"A) खिलाड़ी X 2-1 से आगे है।")</f>
        <v>A) खिलाड़ी X 2-1 से आगे है।</v>
      </c>
    </row>
    <row r="381" ht="22.5" customHeight="1">
      <c r="A381" s="2">
        <v>380.0</v>
      </c>
      <c r="B381" s="3" t="s">
        <v>8101</v>
      </c>
      <c r="C381" s="3" t="s">
        <v>7959</v>
      </c>
      <c r="D381" s="3" t="s">
        <v>7878</v>
      </c>
      <c r="F381" s="5" t="str">
        <f>IFERROR(__xludf.DUMMYFUNCTION("GOOGLETRANSLATE(A381, ""en"", ""hi"")"),"380")</f>
        <v>380</v>
      </c>
      <c r="G381" s="5" t="str">
        <f>IFERROR(__xludf.DUMMYFUNCTION("GOOGLETRANSLATE(B381, ""en"", ""hi"")"),"एक कंचे खेल में, खिलाड़ी X ने 25 अंक बनाए और खिलाड़ी Y ने 30 अंक बनाए। यदि खेल जीतने के लिए 30 अंक चाहिए, तो परिणाम क्या होगा?")</f>
        <v>एक कंचे खेल में, खिलाड़ी X ने 25 अंक बनाए और खिलाड़ी Y ने 30 अंक बनाए। यदि खेल जीतने के लिए 30 अंक चाहिए, तो परिणाम क्या होगा?</v>
      </c>
      <c r="H381" s="5" t="str">
        <f>IFERROR(__xludf.DUMMYFUNCTION("GOOGLETRANSLATE(C381,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81" s="5" t="str">
        <f>IFERROR(__xludf.DUMMYFUNCTION("GOOGLETRANSLATE(D381, ""en"", ""hi"")"),"A) खिलाड़ी Y जीतता है.")</f>
        <v>A) खिलाड़ी Y जीतता है.</v>
      </c>
    </row>
    <row r="382" ht="22.5" customHeight="1">
      <c r="A382" s="2">
        <v>381.0</v>
      </c>
      <c r="B382" s="3" t="s">
        <v>8102</v>
      </c>
      <c r="C382" s="3" t="s">
        <v>7846</v>
      </c>
      <c r="D382" s="3" t="s">
        <v>7847</v>
      </c>
      <c r="F382" s="5" t="str">
        <f>IFERROR(__xludf.DUMMYFUNCTION("GOOGLETRANSLATE(A382, ""en"", ""hi"")"),"381")</f>
        <v>381</v>
      </c>
      <c r="G382" s="5" t="str">
        <f>IFERROR(__xludf.DUMMYFUNCTION("GOOGLETRANSLATE(B382, ""en"", ""hi"")"),"खिलाड़ी X ने पहला गेम 19-17 से जीता और खिलाड़ी Y ने दूसरा गेम 20-18 से जीता। अगर खिलाड़ी X तीसरा गेम 21-19 से जीत जाता है, तो मैच का स्कोर क्या होगा?")</f>
        <v>खिलाड़ी X ने पहला गेम 19-17 से जीता और खिलाड़ी Y ने दूसरा गेम 20-18 से जीता। अगर खिलाड़ी X तीसरा गेम 21-19 से जीत जाता है, तो मैच का स्कोर क्या होगा?</v>
      </c>
      <c r="H382" s="5" t="str">
        <f>IFERROR(__xludf.DUMMYFUNCTION("GOOGLETRANSLATE(C382,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82" s="5" t="str">
        <f>IFERROR(__xludf.DUMMYFUNCTION("GOOGLETRANSLATE(D382, ""en"", ""hi"")"),"A) खिलाड़ी X 2-1 से आगे है।")</f>
        <v>A) खिलाड़ी X 2-1 से आगे है।</v>
      </c>
    </row>
    <row r="383" ht="22.5" customHeight="1">
      <c r="A383" s="2">
        <v>382.0</v>
      </c>
      <c r="B383" s="3" t="s">
        <v>8103</v>
      </c>
      <c r="C383" s="3" t="s">
        <v>8104</v>
      </c>
      <c r="D383" s="3" t="s">
        <v>7878</v>
      </c>
      <c r="F383" s="5" t="str">
        <f>IFERROR(__xludf.DUMMYFUNCTION("GOOGLETRANSLATE(A383, ""en"", ""hi"")"),"382")</f>
        <v>382</v>
      </c>
      <c r="G383" s="5" t="str">
        <f>IFERROR(__xludf.DUMMYFUNCTION("GOOGLETRANSLATE(B383, ""en"", ""hi"")"),"एक कंचे मैच के दौरान, खिलाड़ी X ने 40 अंक बनाए और खिलाड़ी Y ने 42 अंक बनाए। यदि खेल जीतने के लिए 50 अंक चाहिए, तो परिणाम क्या होगा?")</f>
        <v>एक कंचे मैच के दौरान, खिलाड़ी X ने 40 अंक बनाए और खिलाड़ी Y ने 42 अंक बनाए। यदि खेल जीतने के लिए 50 अंक चाहिए, तो परिणाम क्या होगा?</v>
      </c>
      <c r="H383" s="5" t="str">
        <f>IFERROR(__xludf.DUMMYFUNCTION("GOOGLETRANSLATE(C383, ""en"", ""hi"")"),"A) खिलाड़ी Y जीतता है। , B) खिलाड़ी X जीतता है। , C) खेल बराबरी पर रहता है। , D) खेल तब तक जारी रहता है जब तक कि एक खिलाड़ी 55 अंक नहीं बना लेता।")</f>
        <v>A) खिलाड़ी Y जीतता है। , B) खिलाड़ी X जीतता है। , C) खेल बराबरी पर रहता है। , D) खेल तब तक जारी रहता है जब तक कि एक खिलाड़ी 55 अंक नहीं बना लेता।</v>
      </c>
      <c r="I383" s="5" t="str">
        <f>IFERROR(__xludf.DUMMYFUNCTION("GOOGLETRANSLATE(D383, ""en"", ""hi"")"),"A) खिलाड़ी Y जीतता है.")</f>
        <v>A) खिलाड़ी Y जीतता है.</v>
      </c>
    </row>
    <row r="384" ht="22.5" customHeight="1">
      <c r="A384" s="2">
        <v>383.0</v>
      </c>
      <c r="B384" s="3" t="s">
        <v>8105</v>
      </c>
      <c r="C384" s="3" t="s">
        <v>8061</v>
      </c>
      <c r="D384" s="3" t="s">
        <v>8062</v>
      </c>
      <c r="F384" s="5" t="str">
        <f>IFERROR(__xludf.DUMMYFUNCTION("GOOGLETRANSLATE(A384, ""en"", ""hi"")"),"383")</f>
        <v>383</v>
      </c>
      <c r="G384" s="5" t="str">
        <f>IFERROR(__xludf.DUMMYFUNCTION("GOOGLETRANSLATE(B384, ""en"", ""hi"")"),"खिलाड़ी X ने पहला सेट 20-18 से जीता और खिलाड़ी Y ने दूसरा सेट 21-20 से जीता। अगर खिलाड़ी Y तीसरा सेट 21-19 से जीतता है, तो मैच का स्कोर क्या होगा?")</f>
        <v>खिलाड़ी X ने पहला सेट 20-18 से जीता और खिलाड़ी Y ने दूसरा सेट 21-20 से जीता। अगर खिलाड़ी Y तीसरा सेट 21-19 से जीतता है, तो मैच का स्कोर क्या होगा?</v>
      </c>
      <c r="H384" s="5" t="str">
        <f>IFERROR(__xludf.DUMMYFUNCTION("GOOGLETRANSLATE(C384,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84" s="5" t="str">
        <f>IFERROR(__xludf.DUMMYFUNCTION("GOOGLETRANSLATE(D384, ""en"", ""hi"")"),"A) खिलाड़ी Y 2-1 से आगे है।")</f>
        <v>A) खिलाड़ी Y 2-1 से आगे है।</v>
      </c>
    </row>
    <row r="385" ht="22.5" customHeight="1">
      <c r="A385" s="2">
        <v>384.0</v>
      </c>
      <c r="B385" s="3" t="s">
        <v>8106</v>
      </c>
      <c r="C385" s="3" t="s">
        <v>7971</v>
      </c>
      <c r="D385" s="3" t="s">
        <v>7711</v>
      </c>
      <c r="F385" s="5" t="str">
        <f>IFERROR(__xludf.DUMMYFUNCTION("GOOGLETRANSLATE(A385, ""en"", ""hi"")"),"384")</f>
        <v>384</v>
      </c>
      <c r="G385" s="5" t="str">
        <f>IFERROR(__xludf.DUMMYFUNCTION("GOOGLETRANSLATE(B385, ""en"", ""hi"")"),"एक कंचे खेल में, खिलाड़ी X ने 34 अंक बनाए और खिलाड़ी Y ने 31 अंक बनाए। यदि खेल जीतने के लिए 35 अंक चाहिए, तो परिणाम क्या होगा?")</f>
        <v>एक कंचे खेल में, खिलाड़ी X ने 34 अंक बनाए और खिलाड़ी Y ने 31 अंक बनाए। यदि खेल जीतने के लिए 35 अंक चाहिए, तो परिणाम क्या होगा?</v>
      </c>
      <c r="H385" s="5" t="str">
        <f>IFERROR(__xludf.DUMMYFUNCTION("GOOGLETRANSLATE(C385,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85" s="5" t="str">
        <f>IFERROR(__xludf.DUMMYFUNCTION("GOOGLETRANSLATE(D385, ""en"", ""hi"")"),"A) खिलाड़ी X जीतता है.")</f>
        <v>A) खिलाड़ी X जीतता है.</v>
      </c>
    </row>
    <row r="386" ht="22.5" customHeight="1">
      <c r="A386" s="2">
        <v>385.0</v>
      </c>
      <c r="B386" s="3" t="s">
        <v>8107</v>
      </c>
      <c r="C386" s="3" t="s">
        <v>8061</v>
      </c>
      <c r="D386" s="3" t="s">
        <v>8062</v>
      </c>
      <c r="F386" s="5" t="str">
        <f>IFERROR(__xludf.DUMMYFUNCTION("GOOGLETRANSLATE(A386, ""en"", ""hi"")"),"385")</f>
        <v>385</v>
      </c>
      <c r="G386" s="5" t="str">
        <f>IFERROR(__xludf.DUMMYFUNCTION("GOOGLETRANSLATE(B386, ""en"", ""hi"")"),"खिलाड़ी X ने पहला सेट 22-20 से और खिलाड़ी Y ने दूसरा सेट 21-18 से जीता। अगर खिलाड़ी Y तीसरा सेट 21-19 से जीतता है, तो मैच का स्कोर क्या होगा?")</f>
        <v>खिलाड़ी X ने पहला सेट 22-20 से और खिलाड़ी Y ने दूसरा सेट 21-18 से जीता। अगर खिलाड़ी Y तीसरा सेट 21-19 से जीतता है, तो मैच का स्कोर क्या होगा?</v>
      </c>
      <c r="H386" s="5" t="str">
        <f>IFERROR(__xludf.DUMMYFUNCTION("GOOGLETRANSLATE(C386,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86" s="5" t="str">
        <f>IFERROR(__xludf.DUMMYFUNCTION("GOOGLETRANSLATE(D386, ""en"", ""hi"")"),"A) खिलाड़ी Y 2-1 से आगे है।")</f>
        <v>A) खिलाड़ी Y 2-1 से आगे है।</v>
      </c>
    </row>
    <row r="387" ht="22.5" customHeight="1">
      <c r="A387" s="2">
        <v>386.0</v>
      </c>
      <c r="B387" s="3" t="s">
        <v>8063</v>
      </c>
      <c r="C387" s="3" t="s">
        <v>7989</v>
      </c>
      <c r="D387" s="3" t="s">
        <v>7878</v>
      </c>
      <c r="F387" s="5" t="str">
        <f>IFERROR(__xludf.DUMMYFUNCTION("GOOGLETRANSLATE(A387, ""en"", ""hi"")"),"386")</f>
        <v>386</v>
      </c>
      <c r="G387" s="5" t="str">
        <f>IFERROR(__xludf.DUMMYFUNCTION("GOOGLETRANSLATE(B387, ""en"", ""hi"")"),"एक कंचे मैच के दौरान, खिलाड़ी X ने 27 अंक बनाए और खिलाड़ी Y ने 30 अंक बनाए। यदि खेल जीतने के लिए 35 अंक चाहिए, तो परिणाम क्या होगा?")</f>
        <v>एक कंचे मैच के दौरान, खिलाड़ी X ने 27 अंक बनाए और खिलाड़ी Y ने 30 अंक बनाए। यदि खेल जीतने के लिए 35 अंक चाहिए, तो परिणाम क्या होगा?</v>
      </c>
      <c r="H387" s="5" t="str">
        <f>IFERROR(__xludf.DUMMYFUNCTION("GOOGLETRANSLATE(C387,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87" s="5" t="str">
        <f>IFERROR(__xludf.DUMMYFUNCTION("GOOGLETRANSLATE(D387, ""en"", ""hi"")"),"A) खिलाड़ी Y जीतता है.")</f>
        <v>A) खिलाड़ी Y जीतता है.</v>
      </c>
    </row>
    <row r="388" ht="22.5" customHeight="1">
      <c r="A388" s="2">
        <v>387.0</v>
      </c>
      <c r="B388" s="3" t="s">
        <v>8108</v>
      </c>
      <c r="C388" s="3" t="s">
        <v>7846</v>
      </c>
      <c r="D388" s="3" t="s">
        <v>7847</v>
      </c>
      <c r="F388" s="5" t="str">
        <f>IFERROR(__xludf.DUMMYFUNCTION("GOOGLETRANSLATE(A388, ""en"", ""hi"")"),"387")</f>
        <v>387</v>
      </c>
      <c r="G388" s="5" t="str">
        <f>IFERROR(__xludf.DUMMYFUNCTION("GOOGLETRANSLATE(B388, ""en"", ""hi"")"),"खिलाड़ी X ने पहला सेट 18-16 से और खिलाड़ी Y ने दूसरा सेट 20-18 से जीता। अगर खिलाड़ी X तीसरा सेट 21-19 से जीत जाता है, तो मैच का स्कोर क्या होगा?")</f>
        <v>खिलाड़ी X ने पहला सेट 18-16 से और खिलाड़ी Y ने दूसरा सेट 20-18 से जीता। अगर खिलाड़ी X तीसरा सेट 21-19 से जीत जाता है, तो मैच का स्कोर क्या होगा?</v>
      </c>
      <c r="H388" s="5" t="str">
        <f>IFERROR(__xludf.DUMMYFUNCTION("GOOGLETRANSLATE(C388,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88" s="5" t="str">
        <f>IFERROR(__xludf.DUMMYFUNCTION("GOOGLETRANSLATE(D388, ""en"", ""hi"")"),"A) खिलाड़ी X 2-1 से आगे है।")</f>
        <v>A) खिलाड़ी X 2-1 से आगे है।</v>
      </c>
    </row>
    <row r="389" ht="22.5" customHeight="1">
      <c r="A389" s="2">
        <v>388.0</v>
      </c>
      <c r="B389" s="3" t="s">
        <v>8109</v>
      </c>
      <c r="C389" s="3" t="s">
        <v>8110</v>
      </c>
      <c r="D389" s="3" t="s">
        <v>7711</v>
      </c>
      <c r="F389" s="5" t="str">
        <f>IFERROR(__xludf.DUMMYFUNCTION("GOOGLETRANSLATE(A389, ""en"", ""hi"")"),"388")</f>
        <v>388</v>
      </c>
      <c r="G389" s="5" t="str">
        <f>IFERROR(__xludf.DUMMYFUNCTION("GOOGLETRANSLATE(B389, ""en"", ""hi"")"),"एक कंचे खेल में, यदि खिलाड़ी X ने 36 अंक बनाए और खिलाड़ी Y ने 35 अंक बनाए, और खेल को जीतने के लिए 40 अंकों की आवश्यकता है, तो परिणाम क्या होगा?")</f>
        <v>एक कंचे खेल में, यदि खिलाड़ी X ने 36 अंक बनाए और खिलाड़ी Y ने 35 अंक बनाए, और खेल को जीतने के लिए 40 अंकों की आवश्यकता है, तो परिणाम क्या होगा?</v>
      </c>
      <c r="H389" s="5" t="str">
        <f>IFERROR(__xludf.DUMMYFUNCTION("GOOGLETRANSLATE(C389, ""en"", ""hi"")"),"A) खिलाड़ी X जीतता है। , B) खिलाड़ी Y जीतता है। , C) खेल बराबरी पर रहता है। , D) खेल तब तक जारी रहता है जब तक एक खिलाड़ी 45 अंक नहीं बना लेता।")</f>
        <v>A) खिलाड़ी X जीतता है। , B) खिलाड़ी Y जीतता है। , C) खेल बराबरी पर रहता है। , D) खेल तब तक जारी रहता है जब तक एक खिलाड़ी 45 अंक नहीं बना लेता।</v>
      </c>
      <c r="I389" s="5" t="str">
        <f>IFERROR(__xludf.DUMMYFUNCTION("GOOGLETRANSLATE(D389, ""en"", ""hi"")"),"A) खिलाड़ी X जीतता है.")</f>
        <v>A) खिलाड़ी X जीतता है.</v>
      </c>
    </row>
    <row r="390" ht="22.5" customHeight="1">
      <c r="A390" s="2">
        <v>389.0</v>
      </c>
      <c r="B390" s="3" t="s">
        <v>8111</v>
      </c>
      <c r="C390" s="3" t="s">
        <v>8061</v>
      </c>
      <c r="D390" s="3" t="s">
        <v>8062</v>
      </c>
      <c r="F390" s="5" t="str">
        <f>IFERROR(__xludf.DUMMYFUNCTION("GOOGLETRANSLATE(A390, ""en"", ""hi"")"),"389")</f>
        <v>389</v>
      </c>
      <c r="G390" s="5" t="str">
        <f>IFERROR(__xludf.DUMMYFUNCTION("GOOGLETRANSLATE(B390, ""en"", ""hi"")"),"खिलाड़ी X ने पहला सेट 19-17 से और खिलाड़ी Y ने दूसरा सेट 21-19 से जीता। अगर खिलाड़ी Y तीसरा सेट 21-18 से जीत जाता है, तो मैच का स्कोर क्या होगा?")</f>
        <v>खिलाड़ी X ने पहला सेट 19-17 से और खिलाड़ी Y ने दूसरा सेट 21-19 से जीता। अगर खिलाड़ी Y तीसरा सेट 21-18 से जीत जाता है, तो मैच का स्कोर क्या होगा?</v>
      </c>
      <c r="H390" s="5" t="str">
        <f>IFERROR(__xludf.DUMMYFUNCTION("GOOGLETRANSLATE(C390, ""en"", ""hi"")"),"A) खिलाड़ी Y 2-1 से आगे है। , B) खिलाड़ी X 2-1 से आगे है। , C) मैच 1-1 से बराबर है। , D) खिलाड़ी Y 1-0 से आगे है।")</f>
        <v>A) खिलाड़ी Y 2-1 से आगे है। , B) खिलाड़ी X 2-1 से आगे है। , C) मैच 1-1 से बराबर है। , D) खिलाड़ी Y 1-0 से आगे है।</v>
      </c>
      <c r="I390" s="5" t="str">
        <f>IFERROR(__xludf.DUMMYFUNCTION("GOOGLETRANSLATE(D390, ""en"", ""hi"")"),"A) खिलाड़ी Y 2-1 से आगे है।")</f>
        <v>A) खिलाड़ी Y 2-1 से आगे है।</v>
      </c>
    </row>
    <row r="391" ht="22.5" customHeight="1">
      <c r="A391" s="2">
        <v>390.0</v>
      </c>
      <c r="B391" s="3" t="s">
        <v>8112</v>
      </c>
      <c r="C391" s="3" t="s">
        <v>7989</v>
      </c>
      <c r="D391" s="3" t="s">
        <v>7878</v>
      </c>
      <c r="F391" s="5" t="str">
        <f>IFERROR(__xludf.DUMMYFUNCTION("GOOGLETRANSLATE(A391, ""en"", ""hi"")"),"390")</f>
        <v>390</v>
      </c>
      <c r="G391" s="5" t="str">
        <f>IFERROR(__xludf.DUMMYFUNCTION("GOOGLETRANSLATE(B391, ""en"", ""hi"")"),"एक कंचे मैच के दौरान, खिलाड़ी X ने 28 अंक बनाए और खिलाड़ी Y ने 31 अंक बनाए। यदि खेल जीतने के लिए 35 अंक चाहिए, तो परिणाम क्या होगा?")</f>
        <v>एक कंचे मैच के दौरान, खिलाड़ी X ने 28 अंक बनाए और खिलाड़ी Y ने 31 अंक बनाए। यदि खेल जीतने के लिए 35 अंक चाहिए, तो परिणाम क्या होगा?</v>
      </c>
      <c r="H391" s="5" t="str">
        <f>IFERROR(__xludf.DUMMYFUNCTION("GOOGLETRANSLATE(C391,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391" s="5" t="str">
        <f>IFERROR(__xludf.DUMMYFUNCTION("GOOGLETRANSLATE(D391, ""en"", ""hi"")"),"A) खिलाड़ी Y जीतता है.")</f>
        <v>A) खिलाड़ी Y जीतता है.</v>
      </c>
    </row>
    <row r="392" ht="22.5" customHeight="1">
      <c r="A392" s="2">
        <v>391.0</v>
      </c>
      <c r="B392" s="3" t="s">
        <v>8113</v>
      </c>
      <c r="C392" s="3" t="s">
        <v>7846</v>
      </c>
      <c r="D392" s="3" t="s">
        <v>7847</v>
      </c>
      <c r="F392" s="5" t="str">
        <f>IFERROR(__xludf.DUMMYFUNCTION("GOOGLETRANSLATE(A392, ""en"", ""hi"")"),"391")</f>
        <v>391</v>
      </c>
      <c r="G392" s="5" t="str">
        <f>IFERROR(__xludf.DUMMYFUNCTION("GOOGLETRANSLATE(B392, ""en"", ""hi"")"),"खिलाड़ी X ने पहला सेट 20-18 से जीता और खिलाड़ी Y ने दूसरा सेट 21-19 से जीता। अगर खिलाड़ी X तीसरा सेट 22-20 से जीतता है, तो मैच का स्कोर क्या होगा?")</f>
        <v>खिलाड़ी X ने पहला सेट 20-18 से जीता और खिलाड़ी Y ने दूसरा सेट 21-19 से जीता। अगर खिलाड़ी X तीसरा सेट 22-20 से जीतता है, तो मैच का स्कोर क्या होगा?</v>
      </c>
      <c r="H392" s="5" t="str">
        <f>IFERROR(__xludf.DUMMYFUNCTION("GOOGLETRANSLATE(C392,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92" s="5" t="str">
        <f>IFERROR(__xludf.DUMMYFUNCTION("GOOGLETRANSLATE(D392, ""en"", ""hi"")"),"A) खिलाड़ी X 2-1 से आगे है।")</f>
        <v>A) खिलाड़ी X 2-1 से आगे है।</v>
      </c>
    </row>
    <row r="393" ht="22.5" customHeight="1">
      <c r="A393" s="2">
        <v>392.0</v>
      </c>
      <c r="B393" s="3" t="s">
        <v>8076</v>
      </c>
      <c r="C393" s="3" t="s">
        <v>7971</v>
      </c>
      <c r="D393" s="3" t="s">
        <v>7711</v>
      </c>
      <c r="F393" s="5" t="str">
        <f>IFERROR(__xludf.DUMMYFUNCTION("GOOGLETRANSLATE(A393, ""en"", ""hi"")"),"392")</f>
        <v>392</v>
      </c>
      <c r="G393" s="5" t="str">
        <f>IFERROR(__xludf.DUMMYFUNCTION("GOOGLETRANSLATE(B393, ""en"", ""hi"")"),"एक कंचे खेल में, यदि खिलाड़ी X ने 31 अंक बनाए और खिलाड़ी Y ने 30 अंक बनाए, और खेल को जीतने के लिए 35 अंकों की आवश्यकता है, तो परिणाम क्या होगा?")</f>
        <v>एक कंचे खेल में, यदि खिलाड़ी X ने 31 अंक बनाए और खिलाड़ी Y ने 30 अंक बनाए, और खेल को जीतने के लिए 35 अंकों की आवश्यकता है, तो परिणाम क्या होगा?</v>
      </c>
      <c r="H393" s="5" t="str">
        <f>IFERROR(__xludf.DUMMYFUNCTION("GOOGLETRANSLATE(C393,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393" s="5" t="str">
        <f>IFERROR(__xludf.DUMMYFUNCTION("GOOGLETRANSLATE(D393, ""en"", ""hi"")"),"A) खिलाड़ी X जीतता है.")</f>
        <v>A) खिलाड़ी X जीतता है.</v>
      </c>
    </row>
    <row r="394" ht="22.5" customHeight="1">
      <c r="A394" s="2">
        <v>393.0</v>
      </c>
      <c r="B394" s="3" t="s">
        <v>8114</v>
      </c>
      <c r="C394" s="3" t="s">
        <v>7846</v>
      </c>
      <c r="D394" s="3" t="s">
        <v>7847</v>
      </c>
      <c r="F394" s="5" t="str">
        <f>IFERROR(__xludf.DUMMYFUNCTION("GOOGLETRANSLATE(A394, ""en"", ""hi"")"),"393")</f>
        <v>393</v>
      </c>
      <c r="G394" s="5" t="str">
        <f>IFERROR(__xludf.DUMMYFUNCTION("GOOGLETRANSLATE(B394, ""en"", ""hi"")"),"खिलाड़ी X ने पहला गेम 18-16 से जीता और खिलाड़ी Y ने दूसरा गेम 21-19 से जीता। अगर खिलाड़ी X तीसरा गेम 21-20 से जीत जाता है, तो मैच का स्कोर क्या होगा?")</f>
        <v>खिलाड़ी X ने पहला गेम 18-16 से जीता और खिलाड़ी Y ने दूसरा गेम 21-19 से जीता। अगर खिलाड़ी X तीसरा गेम 21-20 से जीत जाता है, तो मैच का स्कोर क्या होगा?</v>
      </c>
      <c r="H394" s="5" t="str">
        <f>IFERROR(__xludf.DUMMYFUNCTION("GOOGLETRANSLATE(C394,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94" s="5" t="str">
        <f>IFERROR(__xludf.DUMMYFUNCTION("GOOGLETRANSLATE(D394, ""en"", ""hi"")"),"A) खिलाड़ी X 2-1 से आगे है।")</f>
        <v>A) खिलाड़ी X 2-1 से आगे है।</v>
      </c>
    </row>
    <row r="395" ht="22.5" customHeight="1">
      <c r="A395" s="2">
        <v>394.0</v>
      </c>
      <c r="B395" s="3" t="s">
        <v>8115</v>
      </c>
      <c r="C395" s="3" t="s">
        <v>8116</v>
      </c>
      <c r="D395" s="3" t="s">
        <v>7878</v>
      </c>
      <c r="F395" s="5" t="str">
        <f>IFERROR(__xludf.DUMMYFUNCTION("GOOGLETRANSLATE(A395, ""en"", ""hi"")"),"394")</f>
        <v>394</v>
      </c>
      <c r="G395" s="5" t="str">
        <f>IFERROR(__xludf.DUMMYFUNCTION("GOOGLETRANSLATE(B395, ""en"", ""hi"")"),"एक कंचे मैच के दौरान, खिलाड़ी X ने 37 अंक बनाए और खिलाड़ी Y ने 40 अंक बनाए। यदि खेल जीतने के लिए 45 अंक चाहिए, तो परिणाम क्या होगा?")</f>
        <v>एक कंचे मैच के दौरान, खिलाड़ी X ने 37 अंक बनाए और खिलाड़ी Y ने 40 अंक बनाए। यदि खेल जीतने के लिए 45 अंक चाहिए, तो परिणाम क्या होगा?</v>
      </c>
      <c r="H395" s="5" t="str">
        <f>IFERROR(__xludf.DUMMYFUNCTION("GOOGLETRANSLATE(C395, ""en"", ""hi"")"),"A) खिलाड़ी Y जीतता है। , B) खिलाड़ी X जीतता है। , C) खेल बराबरी पर रहता है। , D) खेल तब तक जारी रहता है जब तक कि एक खिलाड़ी 50 अंक नहीं बना लेता।")</f>
        <v>A) खिलाड़ी Y जीतता है। , B) खिलाड़ी X जीतता है। , C) खेल बराबरी पर रहता है। , D) खेल तब तक जारी रहता है जब तक कि एक खिलाड़ी 50 अंक नहीं बना लेता।</v>
      </c>
      <c r="I395" s="5" t="str">
        <f>IFERROR(__xludf.DUMMYFUNCTION("GOOGLETRANSLATE(D395, ""en"", ""hi"")"),"A) खिलाड़ी Y जीतता है.")</f>
        <v>A) खिलाड़ी Y जीतता है.</v>
      </c>
    </row>
    <row r="396" ht="22.5" customHeight="1">
      <c r="A396" s="2">
        <v>395.0</v>
      </c>
      <c r="B396" s="3" t="s">
        <v>8117</v>
      </c>
      <c r="C396" s="3" t="s">
        <v>7846</v>
      </c>
      <c r="D396" s="3" t="s">
        <v>7847</v>
      </c>
      <c r="F396" s="5" t="str">
        <f>IFERROR(__xludf.DUMMYFUNCTION("GOOGLETRANSLATE(A396, ""en"", ""hi"")"),"395")</f>
        <v>395</v>
      </c>
      <c r="G396" s="5" t="str">
        <f>IFERROR(__xludf.DUMMYFUNCTION("GOOGLETRANSLATE(B396, ""en"", ""hi"")"),"खिलाड़ी X ने पहला सेट 21-19 से जीता और खिलाड़ी Y ने दूसरा सेट 22-20 से जीता। अगर खिलाड़ी X तीसरा सेट 23-21 से जीतता है, तो मैच का स्कोर क्या होगा?")</f>
        <v>खिलाड़ी X ने पहला सेट 21-19 से जीता और खिलाड़ी Y ने दूसरा सेट 22-20 से जीता। अगर खिलाड़ी X तीसरा सेट 23-21 से जीतता है, तो मैच का स्कोर क्या होगा?</v>
      </c>
      <c r="H396" s="5" t="str">
        <f>IFERROR(__xludf.DUMMYFUNCTION("GOOGLETRANSLATE(C396,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96" s="5" t="str">
        <f>IFERROR(__xludf.DUMMYFUNCTION("GOOGLETRANSLATE(D396, ""en"", ""hi"")"),"A) खिलाड़ी X 2-1 से आगे है।")</f>
        <v>A) खिलाड़ी X 2-1 से आगे है।</v>
      </c>
    </row>
    <row r="397" ht="22.5" customHeight="1">
      <c r="A397" s="2">
        <v>396.0</v>
      </c>
      <c r="B397" s="3" t="s">
        <v>8118</v>
      </c>
      <c r="C397" s="3" t="s">
        <v>8099</v>
      </c>
      <c r="D397" s="3" t="s">
        <v>7878</v>
      </c>
      <c r="F397" s="5" t="str">
        <f>IFERROR(__xludf.DUMMYFUNCTION("GOOGLETRANSLATE(A397, ""en"", ""hi"")"),"396")</f>
        <v>396</v>
      </c>
      <c r="G397" s="5" t="str">
        <f>IFERROR(__xludf.DUMMYFUNCTION("GOOGLETRANSLATE(B397, ""en"", ""hi"")"),"एक कंचे खेल में, यदि खिलाड़ी X ने 34 अंक बनाए और खिलाड़ी Y ने 36 अंक बनाए, और खेल को जीतने के लिए 40 अंकों की आवश्यकता है, तो परिणाम क्या होगा?")</f>
        <v>एक कंचे खेल में, यदि खिलाड़ी X ने 34 अंक बनाए और खिलाड़ी Y ने 36 अंक बनाए, और खेल को जीतने के लिए 40 अंकों की आवश्यकता है, तो परिणाम क्या होगा?</v>
      </c>
      <c r="H397" s="5" t="str">
        <f>IFERROR(__xludf.DUMMYFUNCTION("GOOGLETRANSLATE(C397, ""en"", ""hi"")"),"A) खिलाड़ी Y जीतता है। , B) खिलाड़ी X जीतता है। , C) खेल बराबरी पर रहता है। , D) खेल तब तक जारी रहता है जब तक कि एक खिलाड़ी 45 अंक नहीं बना लेता।")</f>
        <v>A) खिलाड़ी Y जीतता है। , B) खिलाड़ी X जीतता है। , C) खेल बराबरी पर रहता है। , D) खेल तब तक जारी रहता है जब तक कि एक खिलाड़ी 45 अंक नहीं बना लेता।</v>
      </c>
      <c r="I397" s="5" t="str">
        <f>IFERROR(__xludf.DUMMYFUNCTION("GOOGLETRANSLATE(D397, ""en"", ""hi"")"),"A) खिलाड़ी Y जीतता है.")</f>
        <v>A) खिलाड़ी Y जीतता है.</v>
      </c>
    </row>
    <row r="398" ht="22.5" customHeight="1">
      <c r="A398" s="2">
        <v>397.0</v>
      </c>
      <c r="B398" s="3" t="s">
        <v>8119</v>
      </c>
      <c r="C398" s="3" t="s">
        <v>7846</v>
      </c>
      <c r="D398" s="3" t="s">
        <v>7847</v>
      </c>
      <c r="F398" s="5" t="str">
        <f>IFERROR(__xludf.DUMMYFUNCTION("GOOGLETRANSLATE(A398, ""en"", ""hi"")"),"397")</f>
        <v>397</v>
      </c>
      <c r="G398" s="5" t="str">
        <f>IFERROR(__xludf.DUMMYFUNCTION("GOOGLETRANSLATE(B398, ""en"", ""hi"")"),"खिलाड़ी X ने पहला गेम 20-18 से जीता और खिलाड़ी Y ने दूसरा गेम 21-20 से जीता। अगर खिलाड़ी X तीसरा गेम 22-21 से जीतता है, तो मैच का स्कोर क्या होगा?")</f>
        <v>खिलाड़ी X ने पहला गेम 20-18 से जीता और खिलाड़ी Y ने दूसरा गेम 21-20 से जीता। अगर खिलाड़ी X तीसरा गेम 22-21 से जीतता है, तो मैच का स्कोर क्या होगा?</v>
      </c>
      <c r="H398" s="5" t="str">
        <f>IFERROR(__xludf.DUMMYFUNCTION("GOOGLETRANSLATE(C398,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398" s="5" t="str">
        <f>IFERROR(__xludf.DUMMYFUNCTION("GOOGLETRANSLATE(D398, ""en"", ""hi"")"),"A) खिलाड़ी X 2-1 से आगे है।")</f>
        <v>A) खिलाड़ी X 2-1 से आगे है।</v>
      </c>
    </row>
    <row r="399" ht="22.5" customHeight="1">
      <c r="A399" s="2">
        <v>398.0</v>
      </c>
      <c r="B399" s="3" t="s">
        <v>8055</v>
      </c>
      <c r="C399" s="3" t="s">
        <v>7959</v>
      </c>
      <c r="D399" s="3" t="s">
        <v>7878</v>
      </c>
      <c r="F399" s="5" t="str">
        <f>IFERROR(__xludf.DUMMYFUNCTION("GOOGLETRANSLATE(A399, ""en"", ""hi"")"),"398")</f>
        <v>398</v>
      </c>
      <c r="G399" s="5" t="str">
        <f>IFERROR(__xludf.DUMMYFUNCTION("GOOGLETRANSLATE(B399, ""en"", ""hi"")"),"एक कंचे मैच के दौरान, खिलाड़ी X ने 26 अंक बनाए और खिलाड़ी Y ने 27 अंक बनाए। यदि खेल जीतने के लिए 30 अंकों की आवश्यकता है, तो परिणाम क्या होगा?")</f>
        <v>एक कंचे मैच के दौरान, खिलाड़ी X ने 26 अंक बनाए और खिलाड़ी Y ने 27 अंक बनाए। यदि खेल जीतने के लिए 30 अंकों की आवश्यकता है, तो परिणाम क्या होगा?</v>
      </c>
      <c r="H399" s="5" t="str">
        <f>IFERROR(__xludf.DUMMYFUNCTION("GOOGLETRANSLATE(C399,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399" s="5" t="str">
        <f>IFERROR(__xludf.DUMMYFUNCTION("GOOGLETRANSLATE(D399, ""en"", ""hi"")"),"A) खिलाड़ी Y जीतता है.")</f>
        <v>A) खिलाड़ी Y जीतता है.</v>
      </c>
    </row>
    <row r="400" ht="22.5" customHeight="1">
      <c r="A400" s="2">
        <v>399.0</v>
      </c>
      <c r="B400" s="3" t="s">
        <v>8120</v>
      </c>
      <c r="C400" s="3" t="s">
        <v>7846</v>
      </c>
      <c r="D400" s="3" t="s">
        <v>7847</v>
      </c>
      <c r="F400" s="5" t="str">
        <f>IFERROR(__xludf.DUMMYFUNCTION("GOOGLETRANSLATE(A400, ""en"", ""hi"")"),"399")</f>
        <v>399</v>
      </c>
      <c r="G400" s="5" t="str">
        <f>IFERROR(__xludf.DUMMYFUNCTION("GOOGLETRANSLATE(B400, ""en"", ""hi"")"),"खिलाड़ी X ने पहला सेट 19-17 से जीता और खिलाड़ी Y ने दूसरा सेट 21-19 से जीता। अगर खिलाड़ी X तीसरा सेट 22-20 से जीतता है, तो मैच का स्कोर क्या होगा?")</f>
        <v>खिलाड़ी X ने पहला सेट 19-17 से जीता और खिलाड़ी Y ने दूसरा सेट 21-19 से जीता। अगर खिलाड़ी X तीसरा सेट 22-20 से जीतता है, तो मैच का स्कोर क्या होगा?</v>
      </c>
      <c r="H400" s="5" t="str">
        <f>IFERROR(__xludf.DUMMYFUNCTION("GOOGLETRANSLATE(C400,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00" s="5" t="str">
        <f>IFERROR(__xludf.DUMMYFUNCTION("GOOGLETRANSLATE(D400, ""en"", ""hi"")"),"A) खिलाड़ी X 2-1 से आगे है।")</f>
        <v>A) खिलाड़ी X 2-1 से आगे है।</v>
      </c>
    </row>
    <row r="401" ht="22.5" customHeight="1">
      <c r="A401" s="2">
        <v>400.0</v>
      </c>
      <c r="B401" s="3" t="s">
        <v>8017</v>
      </c>
      <c r="C401" s="3" t="s">
        <v>7989</v>
      </c>
      <c r="D401" s="3" t="s">
        <v>7878</v>
      </c>
      <c r="F401" s="5" t="str">
        <f>IFERROR(__xludf.DUMMYFUNCTION("GOOGLETRANSLATE(A401, ""en"", ""hi"")"),"400")</f>
        <v>400</v>
      </c>
      <c r="G401" s="5" t="str">
        <f>IFERROR(__xludf.DUMMYFUNCTION("GOOGLETRANSLATE(B401, ""en"", ""hi"")"),"एक कंचे खेल में, यदि खिलाड़ी X ने 29 अंक बनाए और खिलाड़ी Y ने 30 अंक बनाए, और खेल को जीतने के लिए 35 अंकों की आवश्यकता है, तो परिणाम क्या होगा?")</f>
        <v>एक कंचे खेल में, यदि खिलाड़ी X ने 29 अंक बनाए और खिलाड़ी Y ने 30 अंक बनाए, और खेल को जीतने के लिए 35 अंकों की आवश्यकता है, तो परिणाम क्या होगा?</v>
      </c>
      <c r="H401" s="5" t="str">
        <f>IFERROR(__xludf.DUMMYFUNCTION("GOOGLETRANSLATE(C401,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01" s="5" t="str">
        <f>IFERROR(__xludf.DUMMYFUNCTION("GOOGLETRANSLATE(D401, ""en"", ""hi"")"),"A) खिलाड़ी Y जीतता है.")</f>
        <v>A) खिलाड़ी Y जीतता है.</v>
      </c>
    </row>
    <row r="402" ht="22.5" customHeight="1">
      <c r="A402" s="2">
        <v>401.0</v>
      </c>
      <c r="B402" s="3" t="s">
        <v>8121</v>
      </c>
      <c r="C402" s="3" t="s">
        <v>7846</v>
      </c>
      <c r="D402" s="3" t="s">
        <v>7847</v>
      </c>
      <c r="F402" s="5" t="str">
        <f>IFERROR(__xludf.DUMMYFUNCTION("GOOGLETRANSLATE(A402, ""en"", ""hi"")"),"401")</f>
        <v>401</v>
      </c>
      <c r="G402" s="5" t="str">
        <f>IFERROR(__xludf.DUMMYFUNCTION("GOOGLETRANSLATE(B402, ""en"", ""hi"")"),"खिलाड़ी X ने पहला गेम 22-20 से जीता और खिलाड़ी Y ने दूसरा गेम 23-21 से जीता। अगर खिलाड़ी X तीसरा गेम 25-23 से जीतता है, तो मैच का स्कोर क्या होगा?")</f>
        <v>खिलाड़ी X ने पहला गेम 22-20 से जीता और खिलाड़ी Y ने दूसरा गेम 23-21 से जीता। अगर खिलाड़ी X तीसरा गेम 25-23 से जीतता है, तो मैच का स्कोर क्या होगा?</v>
      </c>
      <c r="H402" s="5" t="str">
        <f>IFERROR(__xludf.DUMMYFUNCTION("GOOGLETRANSLATE(C402,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02" s="5" t="str">
        <f>IFERROR(__xludf.DUMMYFUNCTION("GOOGLETRANSLATE(D402, ""en"", ""hi"")"),"A) खिलाड़ी X 2-1 से आगे है।")</f>
        <v>A) खिलाड़ी X 2-1 से आगे है।</v>
      </c>
    </row>
    <row r="403" ht="22.5" customHeight="1">
      <c r="A403" s="2">
        <v>402.0</v>
      </c>
      <c r="B403" s="3" t="s">
        <v>8122</v>
      </c>
      <c r="C403" s="3" t="s">
        <v>7989</v>
      </c>
      <c r="D403" s="3" t="s">
        <v>7878</v>
      </c>
      <c r="F403" s="5" t="str">
        <f>IFERROR(__xludf.DUMMYFUNCTION("GOOGLETRANSLATE(A403, ""en"", ""hi"")"),"402")</f>
        <v>402</v>
      </c>
      <c r="G403" s="5" t="str">
        <f>IFERROR(__xludf.DUMMYFUNCTION("GOOGLETRANSLATE(B403, ""en"", ""hi"")"),"एक कंचे मैच के दौरान, खिलाड़ी X ने 30 अंक बनाए और खिलाड़ी Y ने 32 अंक बनाए। यदि खेल जीतने के लिए 35 अंक चाहिए, तो परिणाम क्या होगा?")</f>
        <v>एक कंचे मैच के दौरान, खिलाड़ी X ने 30 अंक बनाए और खिलाड़ी Y ने 32 अंक बनाए। यदि खेल जीतने के लिए 35 अंक चाहिए, तो परिणाम क्या होगा?</v>
      </c>
      <c r="H403" s="5" t="str">
        <f>IFERROR(__xludf.DUMMYFUNCTION("GOOGLETRANSLATE(C403,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03" s="5" t="str">
        <f>IFERROR(__xludf.DUMMYFUNCTION("GOOGLETRANSLATE(D403, ""en"", ""hi"")"),"A) खिलाड़ी Y जीतता है.")</f>
        <v>A) खिलाड़ी Y जीतता है.</v>
      </c>
    </row>
    <row r="404" ht="22.5" customHeight="1">
      <c r="A404" s="2">
        <v>403.0</v>
      </c>
      <c r="B404" s="3" t="s">
        <v>8123</v>
      </c>
      <c r="C404" s="3" t="s">
        <v>8061</v>
      </c>
      <c r="D404" s="3" t="s">
        <v>8062</v>
      </c>
      <c r="F404" s="5" t="str">
        <f>IFERROR(__xludf.DUMMYFUNCTION("GOOGLETRANSLATE(A404, ""en"", ""hi"")"),"403")</f>
        <v>403</v>
      </c>
      <c r="G404" s="5" t="str">
        <f>IFERROR(__xludf.DUMMYFUNCTION("GOOGLETRANSLATE(B404, ""en"", ""hi"")"),"खिलाड़ी X ने पहला सेट 20-18 से और खिलाड़ी Y ने दूसरा सेट 21-19 से जीता। अगर खिलाड़ी Y तीसरा सेट 22-20 से जीतता है, तो मैच का स्कोर क्या होगा?")</f>
        <v>खिलाड़ी X ने पहला सेट 20-18 से और खिलाड़ी Y ने दूसरा सेट 21-19 से जीता। अगर खिलाड़ी Y तीसरा सेट 22-20 से जीतता है, तो मैच का स्कोर क्या होगा?</v>
      </c>
      <c r="H404" s="5" t="str">
        <f>IFERROR(__xludf.DUMMYFUNCTION("GOOGLETRANSLATE(C404, ""en"", ""hi"")"),"A) खिलाड़ी Y 2-1 से आगे है। , B) खिलाड़ी X 2-1 से आगे है। , C) मैच 1-1 से बराबर है। , D) खिलाड़ी Y 1-0 से आगे है।")</f>
        <v>A) खिलाड़ी Y 2-1 से आगे है। , B) खिलाड़ी X 2-1 से आगे है। , C) मैच 1-1 से बराबर है। , D) खिलाड़ी Y 1-0 से आगे है।</v>
      </c>
      <c r="I404" s="5" t="str">
        <f>IFERROR(__xludf.DUMMYFUNCTION("GOOGLETRANSLATE(D404, ""en"", ""hi"")"),"A) खिलाड़ी Y 2-1 से आगे है।")</f>
        <v>A) खिलाड़ी Y 2-1 से आगे है।</v>
      </c>
    </row>
    <row r="405" ht="22.5" customHeight="1">
      <c r="A405" s="2">
        <v>404.0</v>
      </c>
      <c r="B405" s="3" t="s">
        <v>8124</v>
      </c>
      <c r="C405" s="3" t="s">
        <v>8099</v>
      </c>
      <c r="D405" s="3" t="s">
        <v>7878</v>
      </c>
      <c r="F405" s="5" t="str">
        <f>IFERROR(__xludf.DUMMYFUNCTION("GOOGLETRANSLATE(A405, ""en"", ""hi"")"),"404")</f>
        <v>404</v>
      </c>
      <c r="G405" s="5" t="str">
        <f>IFERROR(__xludf.DUMMYFUNCTION("GOOGLETRANSLATE(B405, ""en"", ""hi"")"),"एक कंचे खेल में, यदि खिलाड़ी X ने 32 अंक बनाए और खिलाड़ी Y ने 35 अंक बनाए, और खेल को जीतने के लिए 40 अंकों की आवश्यकता है, तो परिणाम क्या होगा?")</f>
        <v>एक कंचे खेल में, यदि खिलाड़ी X ने 32 अंक बनाए और खिलाड़ी Y ने 35 अंक बनाए, और खेल को जीतने के लिए 40 अंकों की आवश्यकता है, तो परिणाम क्या होगा?</v>
      </c>
      <c r="H405" s="5" t="str">
        <f>IFERROR(__xludf.DUMMYFUNCTION("GOOGLETRANSLATE(C405, ""en"", ""hi"")"),"A) खिलाड़ी Y जीतता है। , B) खिलाड़ी X जीतता है। , C) खेल बराबरी पर रहता है। , D) खेल तब तक जारी रहता है जब तक कि एक खिलाड़ी 45 अंक नहीं बना लेता।")</f>
        <v>A) खिलाड़ी Y जीतता है। , B) खिलाड़ी X जीतता है। , C) खेल बराबरी पर रहता है। , D) खेल तब तक जारी रहता है जब तक कि एक खिलाड़ी 45 अंक नहीं बना लेता।</v>
      </c>
      <c r="I405" s="5" t="str">
        <f>IFERROR(__xludf.DUMMYFUNCTION("GOOGLETRANSLATE(D405, ""en"", ""hi"")"),"A) खिलाड़ी Y जीतता है.")</f>
        <v>A) खिलाड़ी Y जीतता है.</v>
      </c>
    </row>
    <row r="406" ht="22.5" customHeight="1">
      <c r="A406" s="2">
        <v>405.0</v>
      </c>
      <c r="B406" s="3" t="s">
        <v>8125</v>
      </c>
      <c r="C406" s="3" t="s">
        <v>7846</v>
      </c>
      <c r="D406" s="3" t="s">
        <v>7847</v>
      </c>
      <c r="F406" s="5" t="str">
        <f>IFERROR(__xludf.DUMMYFUNCTION("GOOGLETRANSLATE(A406, ""en"", ""hi"")"),"405")</f>
        <v>405</v>
      </c>
      <c r="G406" s="5" t="str">
        <f>IFERROR(__xludf.DUMMYFUNCTION("GOOGLETRANSLATE(B406, ""en"", ""hi"")"),"खिलाड़ी X ने पहला गेम 21-19 से जीता और खिलाड़ी Y ने दूसरा गेम 22-20 से जीता। अगर खिलाड़ी X तीसरा गेम 23-21 से जीतता है, तो मैच का स्कोर क्या होगा?")</f>
        <v>खिलाड़ी X ने पहला गेम 21-19 से जीता और खिलाड़ी Y ने दूसरा गेम 22-20 से जीता। अगर खिलाड़ी X तीसरा गेम 23-21 से जीतता है, तो मैच का स्कोर क्या होगा?</v>
      </c>
      <c r="H406" s="5" t="str">
        <f>IFERROR(__xludf.DUMMYFUNCTION("GOOGLETRANSLATE(C406,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06" s="5" t="str">
        <f>IFERROR(__xludf.DUMMYFUNCTION("GOOGLETRANSLATE(D406, ""en"", ""hi"")"),"A) खिलाड़ी X 2-1 से आगे है।")</f>
        <v>A) खिलाड़ी X 2-1 से आगे है।</v>
      </c>
    </row>
    <row r="407" ht="22.5" customHeight="1">
      <c r="A407" s="2">
        <v>406.0</v>
      </c>
      <c r="B407" s="3" t="s">
        <v>8093</v>
      </c>
      <c r="C407" s="3" t="s">
        <v>7989</v>
      </c>
      <c r="D407" s="3" t="s">
        <v>7878</v>
      </c>
      <c r="F407" s="5" t="str">
        <f>IFERROR(__xludf.DUMMYFUNCTION("GOOGLETRANSLATE(A407, ""en"", ""hi"")"),"406")</f>
        <v>406</v>
      </c>
      <c r="G407" s="5" t="str">
        <f>IFERROR(__xludf.DUMMYFUNCTION("GOOGLETRANSLATE(B407, ""en"", ""hi"")"),"एक कंचे मैच के दौरान, खिलाड़ी X ने 28 अंक बनाए और खिलाड़ी Y ने 30 अंक बनाए। यदि खेल जीतने के लिए 35 अंक चाहिए, तो परिणाम क्या होगा?")</f>
        <v>एक कंचे मैच के दौरान, खिलाड़ी X ने 28 अंक बनाए और खिलाड़ी Y ने 30 अंक बनाए। यदि खेल जीतने के लिए 35 अंक चाहिए, तो परिणाम क्या होगा?</v>
      </c>
      <c r="H407" s="5" t="str">
        <f>IFERROR(__xludf.DUMMYFUNCTION("GOOGLETRANSLATE(C407,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07" s="5" t="str">
        <f>IFERROR(__xludf.DUMMYFUNCTION("GOOGLETRANSLATE(D407, ""en"", ""hi"")"),"A) खिलाड़ी Y जीतता है.")</f>
        <v>A) खिलाड़ी Y जीतता है.</v>
      </c>
    </row>
    <row r="408" ht="22.5" customHeight="1">
      <c r="A408" s="2">
        <v>407.0</v>
      </c>
      <c r="B408" s="3" t="s">
        <v>8126</v>
      </c>
      <c r="C408" s="3" t="s">
        <v>7846</v>
      </c>
      <c r="D408" s="3" t="s">
        <v>7847</v>
      </c>
      <c r="F408" s="5" t="str">
        <f>IFERROR(__xludf.DUMMYFUNCTION("GOOGLETRANSLATE(A408, ""en"", ""hi"")"),"407")</f>
        <v>407</v>
      </c>
      <c r="G408" s="5" t="str">
        <f>IFERROR(__xludf.DUMMYFUNCTION("GOOGLETRANSLATE(B408, ""en"", ""hi"")"),"खिलाड़ी X ने पहला सेट 19-17 से जीता और खिलाड़ी Y ने दूसरा सेट 22-20 से जीता। अगर खिलाड़ी X तीसरा सेट 21-19 से जीत जाता है, तो मैच का स्कोर क्या होगा?")</f>
        <v>खिलाड़ी X ने पहला सेट 19-17 से जीता और खिलाड़ी Y ने दूसरा सेट 22-20 से जीता। अगर खिलाड़ी X तीसरा सेट 21-19 से जीत जाता है, तो मैच का स्कोर क्या होगा?</v>
      </c>
      <c r="H408" s="5" t="str">
        <f>IFERROR(__xludf.DUMMYFUNCTION("GOOGLETRANSLATE(C408,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08" s="5" t="str">
        <f>IFERROR(__xludf.DUMMYFUNCTION("GOOGLETRANSLATE(D408, ""en"", ""hi"")"),"A) खिलाड़ी X 2-1 से आगे है।")</f>
        <v>A) खिलाड़ी X 2-1 से आगे है।</v>
      </c>
    </row>
    <row r="409" ht="22.5" customHeight="1">
      <c r="A409" s="2">
        <v>408.0</v>
      </c>
      <c r="B409" s="3" t="s">
        <v>8127</v>
      </c>
      <c r="C409" s="3" t="s">
        <v>7989</v>
      </c>
      <c r="D409" s="3" t="s">
        <v>7878</v>
      </c>
      <c r="F409" s="5" t="str">
        <f>IFERROR(__xludf.DUMMYFUNCTION("GOOGLETRANSLATE(A409, ""en"", ""hi"")"),"408")</f>
        <v>408</v>
      </c>
      <c r="G409" s="5" t="str">
        <f>IFERROR(__xludf.DUMMYFUNCTION("GOOGLETRANSLATE(B409, ""en"", ""hi"")"),"एक कंचे खेल में, यदि खिलाड़ी X ने 27 अंक बनाए और खिलाड़ी Y ने 31 अंक बनाए, और खेल को जीतने के लिए 35 अंकों की आवश्यकता है, तो परिणाम क्या होगा?")</f>
        <v>एक कंचे खेल में, यदि खिलाड़ी X ने 27 अंक बनाए और खिलाड़ी Y ने 31 अंक बनाए, और खेल को जीतने के लिए 35 अंकों की आवश्यकता है, तो परिणाम क्या होगा?</v>
      </c>
      <c r="H409" s="5" t="str">
        <f>IFERROR(__xludf.DUMMYFUNCTION("GOOGLETRANSLATE(C409,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09" s="5" t="str">
        <f>IFERROR(__xludf.DUMMYFUNCTION("GOOGLETRANSLATE(D409, ""en"", ""hi"")"),"A) खिलाड़ी Y जीतता है.")</f>
        <v>A) खिलाड़ी Y जीतता है.</v>
      </c>
    </row>
    <row r="410" ht="22.5" customHeight="1">
      <c r="A410" s="2">
        <v>409.0</v>
      </c>
      <c r="B410" s="3" t="s">
        <v>8128</v>
      </c>
      <c r="C410" s="3" t="s">
        <v>7846</v>
      </c>
      <c r="D410" s="3" t="s">
        <v>7847</v>
      </c>
      <c r="F410" s="5" t="str">
        <f>IFERROR(__xludf.DUMMYFUNCTION("GOOGLETRANSLATE(A410, ""en"", ""hi"")"),"409")</f>
        <v>409</v>
      </c>
      <c r="G410" s="5" t="str">
        <f>IFERROR(__xludf.DUMMYFUNCTION("GOOGLETRANSLATE(B410, ""en"", ""hi"")"),"खिलाड़ी X ने पहला सेट 21-19 से जीता और खिलाड़ी Y ने दूसरा सेट 21-20 से जीता। अगर खिलाड़ी X तीसरा सेट 22-21 से जीत जाता है, तो मैच का स्कोर क्या होगा?")</f>
        <v>खिलाड़ी X ने पहला सेट 21-19 से जीता और खिलाड़ी Y ने दूसरा सेट 21-20 से जीता। अगर खिलाड़ी X तीसरा सेट 22-21 से जीत जाता है, तो मैच का स्कोर क्या होगा?</v>
      </c>
      <c r="H410" s="5" t="str">
        <f>IFERROR(__xludf.DUMMYFUNCTION("GOOGLETRANSLATE(C410,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10" s="5" t="str">
        <f>IFERROR(__xludf.DUMMYFUNCTION("GOOGLETRANSLATE(D410, ""en"", ""hi"")"),"A) खिलाड़ी X 2-1 से आगे है।")</f>
        <v>A) खिलाड़ी X 2-1 से आगे है।</v>
      </c>
    </row>
    <row r="411" ht="22.5" customHeight="1">
      <c r="A411" s="2">
        <v>410.0</v>
      </c>
      <c r="B411" s="3" t="s">
        <v>8129</v>
      </c>
      <c r="C411" s="3" t="s">
        <v>8099</v>
      </c>
      <c r="D411" s="3" t="s">
        <v>7878</v>
      </c>
      <c r="F411" s="5" t="str">
        <f>IFERROR(__xludf.DUMMYFUNCTION("GOOGLETRANSLATE(A411, ""en"", ""hi"")"),"410")</f>
        <v>410</v>
      </c>
      <c r="G411" s="5" t="str">
        <f>IFERROR(__xludf.DUMMYFUNCTION("GOOGLETRANSLATE(B411, ""en"", ""hi"")"),"एक कंचे मैच के दौरान, खिलाड़ी X ने 33 अंक बनाए और खिलाड़ी Y ने 36 अंक बनाए। यदि खेल जीतने के लिए 40 अंक चाहिए, तो परिणाम क्या होगा?")</f>
        <v>एक कंचे मैच के दौरान, खिलाड़ी X ने 33 अंक बनाए और खिलाड़ी Y ने 36 अंक बनाए। यदि खेल जीतने के लिए 40 अंक चाहिए, तो परिणाम क्या होगा?</v>
      </c>
      <c r="H411" s="5" t="str">
        <f>IFERROR(__xludf.DUMMYFUNCTION("GOOGLETRANSLATE(C411, ""en"", ""hi"")"),"A) खिलाड़ी Y जीतता है। , B) खिलाड़ी X जीतता है। , C) खेल बराबरी पर रहता है। , D) खेल तब तक जारी रहता है जब तक कि एक खिलाड़ी 45 अंक नहीं बना लेता।")</f>
        <v>A) खिलाड़ी Y जीतता है। , B) खिलाड़ी X जीतता है। , C) खेल बराबरी पर रहता है। , D) खेल तब तक जारी रहता है जब तक कि एक खिलाड़ी 45 अंक नहीं बना लेता।</v>
      </c>
      <c r="I411" s="5" t="str">
        <f>IFERROR(__xludf.DUMMYFUNCTION("GOOGLETRANSLATE(D411, ""en"", ""hi"")"),"A) खिलाड़ी Y जीतता है.")</f>
        <v>A) खिलाड़ी Y जीतता है.</v>
      </c>
    </row>
    <row r="412" ht="22.5" customHeight="1">
      <c r="A412" s="2">
        <v>411.0</v>
      </c>
      <c r="B412" s="3" t="s">
        <v>8130</v>
      </c>
      <c r="C412" s="3" t="s">
        <v>7846</v>
      </c>
      <c r="D412" s="3" t="s">
        <v>7847</v>
      </c>
      <c r="F412" s="5" t="str">
        <f>IFERROR(__xludf.DUMMYFUNCTION("GOOGLETRANSLATE(A412, ""en"", ""hi"")"),"411")</f>
        <v>411</v>
      </c>
      <c r="G412" s="5" t="str">
        <f>IFERROR(__xludf.DUMMYFUNCTION("GOOGLETRANSLATE(B412, ""en"", ""hi"")"),"खिलाड़ी X ने पहला गेम 21-18 से जीता और खिलाड़ी Y ने दूसरा गेम 20-18 से जीता। अगर खिलाड़ी X तीसरा गेम 22-20 से जीतता है, तो मैच का स्कोर क्या होगा?")</f>
        <v>खिलाड़ी X ने पहला गेम 21-18 से जीता और खिलाड़ी Y ने दूसरा गेम 20-18 से जीता। अगर खिलाड़ी X तीसरा गेम 22-20 से जीतता है, तो मैच का स्कोर क्या होगा?</v>
      </c>
      <c r="H412" s="5" t="str">
        <f>IFERROR(__xludf.DUMMYFUNCTION("GOOGLETRANSLATE(C412,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12" s="5" t="str">
        <f>IFERROR(__xludf.DUMMYFUNCTION("GOOGLETRANSLATE(D412, ""en"", ""hi"")"),"A) खिलाड़ी X 2-1 से आगे है।")</f>
        <v>A) खिलाड़ी X 2-1 से आगे है।</v>
      </c>
    </row>
    <row r="413" ht="22.5" customHeight="1">
      <c r="A413" s="2">
        <v>412.0</v>
      </c>
      <c r="B413" s="3" t="s">
        <v>8131</v>
      </c>
      <c r="C413" s="3" t="s">
        <v>8110</v>
      </c>
      <c r="D413" s="3" t="s">
        <v>7711</v>
      </c>
      <c r="F413" s="5" t="str">
        <f>IFERROR(__xludf.DUMMYFUNCTION("GOOGLETRANSLATE(A413, ""en"", ""hi"")"),"412")</f>
        <v>412</v>
      </c>
      <c r="G413" s="5" t="str">
        <f>IFERROR(__xludf.DUMMYFUNCTION("GOOGLETRANSLATE(B413, ""en"", ""hi"")"),"एक कंचे खेल में, यदि खिलाड़ी X ने 35 अंक बनाए और खिलाड़ी Y ने 34 अंक बनाए, और खेल को जीतने के लिए 40 अंकों की आवश्यकता है, तो परिणाम क्या होगा?")</f>
        <v>एक कंचे खेल में, यदि खिलाड़ी X ने 35 अंक बनाए और खिलाड़ी Y ने 34 अंक बनाए, और खेल को जीतने के लिए 40 अंकों की आवश्यकता है, तो परिणाम क्या होगा?</v>
      </c>
      <c r="H413" s="5" t="str">
        <f>IFERROR(__xludf.DUMMYFUNCTION("GOOGLETRANSLATE(C413, ""en"", ""hi"")"),"A) खिलाड़ी X जीतता है। , B) खिलाड़ी Y जीतता है। , C) खेल बराबरी पर रहता है। , D) खेल तब तक जारी रहता है जब तक एक खिलाड़ी 45 अंक नहीं बना लेता।")</f>
        <v>A) खिलाड़ी X जीतता है। , B) खिलाड़ी Y जीतता है। , C) खेल बराबरी पर रहता है। , D) खेल तब तक जारी रहता है जब तक एक खिलाड़ी 45 अंक नहीं बना लेता।</v>
      </c>
      <c r="I413" s="5" t="str">
        <f>IFERROR(__xludf.DUMMYFUNCTION("GOOGLETRANSLATE(D413, ""en"", ""hi"")"),"A) खिलाड़ी X जीतता है.")</f>
        <v>A) खिलाड़ी X जीतता है.</v>
      </c>
    </row>
    <row r="414" ht="22.5" customHeight="1">
      <c r="A414" s="2">
        <v>413.0</v>
      </c>
      <c r="B414" s="3" t="s">
        <v>8132</v>
      </c>
      <c r="C414" s="3" t="s">
        <v>7846</v>
      </c>
      <c r="D414" s="3" t="s">
        <v>7847</v>
      </c>
      <c r="F414" s="5" t="str">
        <f>IFERROR(__xludf.DUMMYFUNCTION("GOOGLETRANSLATE(A414, ""en"", ""hi"")"),"413")</f>
        <v>413</v>
      </c>
      <c r="G414" s="5" t="str">
        <f>IFERROR(__xludf.DUMMYFUNCTION("GOOGLETRANSLATE(B414, ""en"", ""hi"")"),"खिलाड़ी X ने पहला सेट 22-20 से और खिलाड़ी Y ने दूसरा सेट 21-18 से जीता। अगर खिलाड़ी X तीसरा सेट 23-21 से जीतता है, तो मैच का स्कोर क्या होगा?")</f>
        <v>खिलाड़ी X ने पहला सेट 22-20 से और खिलाड़ी Y ने दूसरा सेट 21-18 से जीता। अगर खिलाड़ी X तीसरा सेट 23-21 से जीतता है, तो मैच का स्कोर क्या होगा?</v>
      </c>
      <c r="H414" s="5" t="str">
        <f>IFERROR(__xludf.DUMMYFUNCTION("GOOGLETRANSLATE(C414,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14" s="5" t="str">
        <f>IFERROR(__xludf.DUMMYFUNCTION("GOOGLETRANSLATE(D414, ""en"", ""hi"")"),"A) खिलाड़ी X 2-1 से आगे है।")</f>
        <v>A) खिलाड़ी X 2-1 से आगे है।</v>
      </c>
    </row>
    <row r="415" ht="22.5" customHeight="1">
      <c r="A415" s="2">
        <v>414.0</v>
      </c>
      <c r="B415" s="3" t="s">
        <v>8122</v>
      </c>
      <c r="C415" s="3" t="s">
        <v>7989</v>
      </c>
      <c r="D415" s="3" t="s">
        <v>7878</v>
      </c>
      <c r="F415" s="5" t="str">
        <f>IFERROR(__xludf.DUMMYFUNCTION("GOOGLETRANSLATE(A415, ""en"", ""hi"")"),"414")</f>
        <v>414</v>
      </c>
      <c r="G415" s="5" t="str">
        <f>IFERROR(__xludf.DUMMYFUNCTION("GOOGLETRANSLATE(B415, ""en"", ""hi"")"),"एक कंचे मैच के दौरान, खिलाड़ी X ने 30 अंक बनाए और खिलाड़ी Y ने 32 अंक बनाए। यदि खेल जीतने के लिए 35 अंक चाहिए, तो परिणाम क्या होगा?")</f>
        <v>एक कंचे मैच के दौरान, खिलाड़ी X ने 30 अंक बनाए और खिलाड़ी Y ने 32 अंक बनाए। यदि खेल जीतने के लिए 35 अंक चाहिए, तो परिणाम क्या होगा?</v>
      </c>
      <c r="H415" s="5" t="str">
        <f>IFERROR(__xludf.DUMMYFUNCTION("GOOGLETRANSLATE(C415,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15" s="5" t="str">
        <f>IFERROR(__xludf.DUMMYFUNCTION("GOOGLETRANSLATE(D415, ""en"", ""hi"")"),"A) खिलाड़ी Y जीतता है.")</f>
        <v>A) खिलाड़ी Y जीतता है.</v>
      </c>
    </row>
    <row r="416" ht="22.5" customHeight="1">
      <c r="A416" s="2">
        <v>415.0</v>
      </c>
      <c r="B416" s="3" t="s">
        <v>8133</v>
      </c>
      <c r="C416" s="3" t="s">
        <v>8061</v>
      </c>
      <c r="D416" s="3" t="s">
        <v>8062</v>
      </c>
      <c r="F416" s="5" t="str">
        <f>IFERROR(__xludf.DUMMYFUNCTION("GOOGLETRANSLATE(A416, ""en"", ""hi"")"),"415")</f>
        <v>415</v>
      </c>
      <c r="G416" s="5" t="str">
        <f>IFERROR(__xludf.DUMMYFUNCTION("GOOGLETRANSLATE(B416, ""en"", ""hi"")"),"खिलाड़ी X ने पहला सेट 18-16 से और खिलाड़ी Y ने दूसरा सेट 21-20 से जीता। अगर खिलाड़ी Y तीसरा सेट 22-20 से जीतता है, तो मैच का स्कोर क्या होगा?")</f>
        <v>खिलाड़ी X ने पहला सेट 18-16 से और खिलाड़ी Y ने दूसरा सेट 21-20 से जीता। अगर खिलाड़ी Y तीसरा सेट 22-20 से जीतता है, तो मैच का स्कोर क्या होगा?</v>
      </c>
      <c r="H416" s="5" t="str">
        <f>IFERROR(__xludf.DUMMYFUNCTION("GOOGLETRANSLATE(C416, ""en"", ""hi"")"),"A) खिलाड़ी Y 2-1 से आगे है। , B) खिलाड़ी X 2-1 से आगे है। , C) मैच 1-1 से बराबर है। , D) खिलाड़ी Y 1-0 से आगे है।")</f>
        <v>A) खिलाड़ी Y 2-1 से आगे है। , B) खिलाड़ी X 2-1 से आगे है। , C) मैच 1-1 से बराबर है। , D) खिलाड़ी Y 1-0 से आगे है।</v>
      </c>
      <c r="I416" s="5" t="str">
        <f>IFERROR(__xludf.DUMMYFUNCTION("GOOGLETRANSLATE(D416, ""en"", ""hi"")"),"A) खिलाड़ी Y 2-1 से आगे है।")</f>
        <v>A) खिलाड़ी Y 2-1 से आगे है।</v>
      </c>
    </row>
    <row r="417" ht="22.5" customHeight="1">
      <c r="A417" s="2">
        <v>416.0</v>
      </c>
      <c r="B417" s="3" t="s">
        <v>8124</v>
      </c>
      <c r="C417" s="3" t="s">
        <v>8099</v>
      </c>
      <c r="D417" s="3" t="s">
        <v>7878</v>
      </c>
      <c r="F417" s="5" t="str">
        <f>IFERROR(__xludf.DUMMYFUNCTION("GOOGLETRANSLATE(A417, ""en"", ""hi"")"),"416")</f>
        <v>416</v>
      </c>
      <c r="G417" s="5" t="str">
        <f>IFERROR(__xludf.DUMMYFUNCTION("GOOGLETRANSLATE(B417, ""en"", ""hi"")"),"एक कंचे खेल में, यदि खिलाड़ी X ने 32 अंक बनाए और खिलाड़ी Y ने 35 अंक बनाए, और खेल को जीतने के लिए 40 अंकों की आवश्यकता है, तो परिणाम क्या होगा?")</f>
        <v>एक कंचे खेल में, यदि खिलाड़ी X ने 32 अंक बनाए और खिलाड़ी Y ने 35 अंक बनाए, और खेल को जीतने के लिए 40 अंकों की आवश्यकता है, तो परिणाम क्या होगा?</v>
      </c>
      <c r="H417" s="5" t="str">
        <f>IFERROR(__xludf.DUMMYFUNCTION("GOOGLETRANSLATE(C417, ""en"", ""hi"")"),"A) खिलाड़ी Y जीतता है। , B) खिलाड़ी X जीतता है। , C) खेल बराबरी पर रहता है। , D) खेल तब तक जारी रहता है जब तक कि एक खिलाड़ी 45 अंक नहीं बना लेता।")</f>
        <v>A) खिलाड़ी Y जीतता है। , B) खिलाड़ी X जीतता है। , C) खेल बराबरी पर रहता है। , D) खेल तब तक जारी रहता है जब तक कि एक खिलाड़ी 45 अंक नहीं बना लेता।</v>
      </c>
      <c r="I417" s="5" t="str">
        <f>IFERROR(__xludf.DUMMYFUNCTION("GOOGLETRANSLATE(D417, ""en"", ""hi"")"),"A) खिलाड़ी Y जीतता है.")</f>
        <v>A) खिलाड़ी Y जीतता है.</v>
      </c>
    </row>
    <row r="418" ht="22.5" customHeight="1">
      <c r="A418" s="2">
        <v>417.0</v>
      </c>
      <c r="B418" s="3" t="s">
        <v>8134</v>
      </c>
      <c r="C418" s="3" t="s">
        <v>7846</v>
      </c>
      <c r="D418" s="3" t="s">
        <v>7847</v>
      </c>
      <c r="F418" s="5" t="str">
        <f>IFERROR(__xludf.DUMMYFUNCTION("GOOGLETRANSLATE(A418, ""en"", ""hi"")"),"417")</f>
        <v>417</v>
      </c>
      <c r="G418" s="5" t="str">
        <f>IFERROR(__xludf.DUMMYFUNCTION("GOOGLETRANSLATE(B418, ""en"", ""hi"")"),"खिलाड़ी X ने पहला सेट 21-18 से जीता और खिलाड़ी Y ने दूसरा सेट 20-18 से जीता। अगर खिलाड़ी X तीसरा सेट 22-20 से जीत जाता है, तो मैच का स्कोर क्या होगा?")</f>
        <v>खिलाड़ी X ने पहला सेट 21-18 से जीता और खिलाड़ी Y ने दूसरा सेट 20-18 से जीता। अगर खिलाड़ी X तीसरा सेट 22-20 से जीत जाता है, तो मैच का स्कोर क्या होगा?</v>
      </c>
      <c r="H418" s="5" t="str">
        <f>IFERROR(__xludf.DUMMYFUNCTION("GOOGLETRANSLATE(C418,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18" s="5" t="str">
        <f>IFERROR(__xludf.DUMMYFUNCTION("GOOGLETRANSLATE(D418, ""en"", ""hi"")"),"A) खिलाड़ी X 2-1 से आगे है।")</f>
        <v>A) खिलाड़ी X 2-1 से आगे है।</v>
      </c>
    </row>
    <row r="419" ht="22.5" customHeight="1">
      <c r="A419" s="2">
        <v>418.0</v>
      </c>
      <c r="B419" s="3" t="s">
        <v>7995</v>
      </c>
      <c r="C419" s="3" t="s">
        <v>7959</v>
      </c>
      <c r="D419" s="3" t="s">
        <v>7878</v>
      </c>
      <c r="F419" s="5" t="str">
        <f>IFERROR(__xludf.DUMMYFUNCTION("GOOGLETRANSLATE(A419, ""en"", ""hi"")"),"418")</f>
        <v>418</v>
      </c>
      <c r="G419" s="5" t="str">
        <f>IFERROR(__xludf.DUMMYFUNCTION("GOOGLETRANSLATE(B419, ""en"", ""hi"")"),"एक कंचे मैच के दौरान, खिलाड़ी X ने 25 अंक और खिलाड़ी Y ने 27 अंक बनाए। यदि खेल जीतने के लिए 30 अंकों की आवश्यकता है, तो परिणाम क्या होगा?")</f>
        <v>एक कंचे मैच के दौरान, खिलाड़ी X ने 25 अंक और खिलाड़ी Y ने 27 अंक बनाए। यदि खेल जीतने के लिए 30 अंकों की आवश्यकता है, तो परिणाम क्या होगा?</v>
      </c>
      <c r="H419" s="5" t="str">
        <f>IFERROR(__xludf.DUMMYFUNCTION("GOOGLETRANSLATE(C419,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419" s="5" t="str">
        <f>IFERROR(__xludf.DUMMYFUNCTION("GOOGLETRANSLATE(D419, ""en"", ""hi"")"),"A) खिलाड़ी Y जीतता है.")</f>
        <v>A) खिलाड़ी Y जीतता है.</v>
      </c>
    </row>
    <row r="420" ht="22.5" customHeight="1">
      <c r="A420" s="2">
        <v>419.0</v>
      </c>
      <c r="B420" s="3" t="s">
        <v>8135</v>
      </c>
      <c r="C420" s="3" t="s">
        <v>7846</v>
      </c>
      <c r="D420" s="3" t="s">
        <v>7847</v>
      </c>
      <c r="F420" s="5" t="str">
        <f>IFERROR(__xludf.DUMMYFUNCTION("GOOGLETRANSLATE(A420, ""en"", ""hi"")"),"419")</f>
        <v>419</v>
      </c>
      <c r="G420" s="5" t="str">
        <f>IFERROR(__xludf.DUMMYFUNCTION("GOOGLETRANSLATE(B420, ""en"", ""hi"")"),"खिलाड़ी X ने पहला सेट 20-18 से जीता और खिलाड़ी Y ने दूसरा सेट 22-20 से जीता। अगर खिलाड़ी X तीसरा सेट 21-19 से जीत जाता है, तो मैच का स्कोर क्या होगा?")</f>
        <v>खिलाड़ी X ने पहला सेट 20-18 से जीता और खिलाड़ी Y ने दूसरा सेट 22-20 से जीता। अगर खिलाड़ी X तीसरा सेट 21-19 से जीत जाता है, तो मैच का स्कोर क्या होगा?</v>
      </c>
      <c r="H420" s="5" t="str">
        <f>IFERROR(__xludf.DUMMYFUNCTION("GOOGLETRANSLATE(C420,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20" s="5" t="str">
        <f>IFERROR(__xludf.DUMMYFUNCTION("GOOGLETRANSLATE(D420, ""en"", ""hi"")"),"A) खिलाड़ी X 2-1 से आगे है।")</f>
        <v>A) खिलाड़ी X 2-1 से आगे है।</v>
      </c>
    </row>
    <row r="421" ht="22.5" customHeight="1">
      <c r="A421" s="2">
        <v>420.0</v>
      </c>
      <c r="B421" s="3" t="s">
        <v>8007</v>
      </c>
      <c r="C421" s="3" t="s">
        <v>7989</v>
      </c>
      <c r="D421" s="3" t="s">
        <v>7878</v>
      </c>
      <c r="F421" s="5" t="str">
        <f>IFERROR(__xludf.DUMMYFUNCTION("GOOGLETRANSLATE(A421, ""en"", ""hi"")"),"420")</f>
        <v>420</v>
      </c>
      <c r="G421" s="5" t="str">
        <f>IFERROR(__xludf.DUMMYFUNCTION("GOOGLETRANSLATE(B421, ""en"", ""hi"")"),"एक कंचे खेल में, यदि खिलाड़ी X ने 29 अंक बनाए और खिलाड़ी Y ने 31 अंक बनाए, और खेल को जीतने के लिए 35 अंकों की आवश्यकता है, तो परिणाम क्या होगा?")</f>
        <v>एक कंचे खेल में, यदि खिलाड़ी X ने 29 अंक बनाए और खिलाड़ी Y ने 31 अंक बनाए, और खेल को जीतने के लिए 35 अंकों की आवश्यकता है, तो परिणाम क्या होगा?</v>
      </c>
      <c r="H421" s="5" t="str">
        <f>IFERROR(__xludf.DUMMYFUNCTION("GOOGLETRANSLATE(C421,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21" s="5" t="str">
        <f>IFERROR(__xludf.DUMMYFUNCTION("GOOGLETRANSLATE(D421, ""en"", ""hi"")"),"A) खिलाड़ी Y जीतता है.")</f>
        <v>A) खिलाड़ी Y जीतता है.</v>
      </c>
    </row>
    <row r="422" ht="22.5" customHeight="1">
      <c r="A422" s="2">
        <v>421.0</v>
      </c>
      <c r="B422" s="3" t="s">
        <v>8136</v>
      </c>
      <c r="C422" s="3" t="s">
        <v>7846</v>
      </c>
      <c r="D422" s="3" t="s">
        <v>7847</v>
      </c>
      <c r="F422" s="5" t="str">
        <f>IFERROR(__xludf.DUMMYFUNCTION("GOOGLETRANSLATE(A422, ""en"", ""hi"")"),"421")</f>
        <v>421</v>
      </c>
      <c r="G422" s="5" t="str">
        <f>IFERROR(__xludf.DUMMYFUNCTION("GOOGLETRANSLATE(B422, ""en"", ""hi"")"),"खिलाड़ी X ने पहला सेट 21-20 से और खिलाड़ी Y ने दूसरा सेट 22-20 से जीता। यदि खिलाड़ी X तीसरा सेट 23-21 से जीतता है, तो मैच का स्कोर क्या होगा?")</f>
        <v>खिलाड़ी X ने पहला सेट 21-20 से और खिलाड़ी Y ने दूसरा सेट 22-20 से जीता। यदि खिलाड़ी X तीसरा सेट 23-21 से जीतता है, तो मैच का स्कोर क्या होगा?</v>
      </c>
      <c r="H422" s="5" t="str">
        <f>IFERROR(__xludf.DUMMYFUNCTION("GOOGLETRANSLATE(C422,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22" s="5" t="str">
        <f>IFERROR(__xludf.DUMMYFUNCTION("GOOGLETRANSLATE(D422, ""en"", ""hi"")"),"A) खिलाड़ी X 2-1 से आगे है।")</f>
        <v>A) खिलाड़ी X 2-1 से आगे है।</v>
      </c>
    </row>
    <row r="423" ht="22.5" customHeight="1">
      <c r="A423" s="2">
        <v>422.0</v>
      </c>
      <c r="B423" s="3" t="s">
        <v>8137</v>
      </c>
      <c r="C423" s="3" t="s">
        <v>8099</v>
      </c>
      <c r="D423" s="3" t="s">
        <v>7878</v>
      </c>
      <c r="F423" s="5" t="str">
        <f>IFERROR(__xludf.DUMMYFUNCTION("GOOGLETRANSLATE(A423, ""en"", ""hi"")"),"422")</f>
        <v>422</v>
      </c>
      <c r="G423" s="5" t="str">
        <f>IFERROR(__xludf.DUMMYFUNCTION("GOOGLETRANSLATE(B423, ""en"", ""hi"")"),"एक कंचे मैच के दौरान, खिलाड़ी X ने 31 अंक बनाए और खिलाड़ी Y ने 34 अंक बनाए। यदि खेल जीतने के लिए 40 अंक चाहिए, तो परिणाम क्या होगा?")</f>
        <v>एक कंचे मैच के दौरान, खिलाड़ी X ने 31 अंक बनाए और खिलाड़ी Y ने 34 अंक बनाए। यदि खेल जीतने के लिए 40 अंक चाहिए, तो परिणाम क्या होगा?</v>
      </c>
      <c r="H423" s="5" t="str">
        <f>IFERROR(__xludf.DUMMYFUNCTION("GOOGLETRANSLATE(C423, ""en"", ""hi"")"),"A) खिलाड़ी Y जीतता है। , B) खिलाड़ी X जीतता है। , C) खेल बराबरी पर रहता है। , D) खेल तब तक जारी रहता है जब तक कि एक खिलाड़ी 45 अंक नहीं बना लेता।")</f>
        <v>A) खिलाड़ी Y जीतता है। , B) खिलाड़ी X जीतता है। , C) खेल बराबरी पर रहता है। , D) खेल तब तक जारी रहता है जब तक कि एक खिलाड़ी 45 अंक नहीं बना लेता।</v>
      </c>
      <c r="I423" s="5" t="str">
        <f>IFERROR(__xludf.DUMMYFUNCTION("GOOGLETRANSLATE(D423, ""en"", ""hi"")"),"A) खिलाड़ी Y जीतता है.")</f>
        <v>A) खिलाड़ी Y जीतता है.</v>
      </c>
    </row>
    <row r="424" ht="22.5" customHeight="1">
      <c r="A424" s="2">
        <v>423.0</v>
      </c>
      <c r="B424" s="3" t="s">
        <v>8138</v>
      </c>
      <c r="C424" s="3" t="s">
        <v>7846</v>
      </c>
      <c r="D424" s="3" t="s">
        <v>7847</v>
      </c>
      <c r="F424" s="5" t="str">
        <f>IFERROR(__xludf.DUMMYFUNCTION("GOOGLETRANSLATE(A424, ""en"", ""hi"")"),"423")</f>
        <v>423</v>
      </c>
      <c r="G424" s="5" t="str">
        <f>IFERROR(__xludf.DUMMYFUNCTION("GOOGLETRANSLATE(B424, ""en"", ""hi"")"),"खिलाड़ी X ने पहला सेट 22-20 से जीता और खिलाड़ी Y ने दूसरा सेट 20-18 से जीता। अगर खिलाड़ी X तीसरा सेट 23-21 से जीतता है, तो मैच का स्कोर क्या होगा?")</f>
        <v>खिलाड़ी X ने पहला सेट 22-20 से जीता और खिलाड़ी Y ने दूसरा सेट 20-18 से जीता। अगर खिलाड़ी X तीसरा सेट 23-21 से जीतता है, तो मैच का स्कोर क्या होगा?</v>
      </c>
      <c r="H424" s="5" t="str">
        <f>IFERROR(__xludf.DUMMYFUNCTION("GOOGLETRANSLATE(C424,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24" s="5" t="str">
        <f>IFERROR(__xludf.DUMMYFUNCTION("GOOGLETRANSLATE(D424, ""en"", ""hi"")"),"A) खिलाड़ी X 2-1 से आगे है।")</f>
        <v>A) खिलाड़ी X 2-1 से आगे है।</v>
      </c>
    </row>
    <row r="425" ht="22.5" customHeight="1">
      <c r="A425" s="2">
        <v>424.0</v>
      </c>
      <c r="B425" s="3" t="s">
        <v>8139</v>
      </c>
      <c r="C425" s="3" t="s">
        <v>8099</v>
      </c>
      <c r="D425" s="3" t="s">
        <v>7878</v>
      </c>
      <c r="F425" s="5" t="str">
        <f>IFERROR(__xludf.DUMMYFUNCTION("GOOGLETRANSLATE(A425, ""en"", ""hi"")"),"424")</f>
        <v>424</v>
      </c>
      <c r="G425" s="5" t="str">
        <f>IFERROR(__xludf.DUMMYFUNCTION("GOOGLETRANSLATE(B425, ""en"", ""hi"")"),"एक कंचे खेल में, यदि खिलाड़ी X ने 33 अंक बनाए और खिलाड़ी Y ने 35 अंक बनाए, और खेल को जीतने के लिए 40 अंकों की आवश्यकता है, तो परिणाम क्या होगा?")</f>
        <v>एक कंचे खेल में, यदि खिलाड़ी X ने 33 अंक बनाए और खिलाड़ी Y ने 35 अंक बनाए, और खेल को जीतने के लिए 40 अंकों की आवश्यकता है, तो परिणाम क्या होगा?</v>
      </c>
      <c r="H425" s="5" t="str">
        <f>IFERROR(__xludf.DUMMYFUNCTION("GOOGLETRANSLATE(C425, ""en"", ""hi"")"),"A) खिलाड़ी Y जीतता है। , B) खिलाड़ी X जीतता है। , C) खेल बराबरी पर रहता है। , D) खेल तब तक जारी रहता है जब तक कि एक खिलाड़ी 45 अंक नहीं बना लेता।")</f>
        <v>A) खिलाड़ी Y जीतता है। , B) खिलाड़ी X जीतता है। , C) खेल बराबरी पर रहता है। , D) खेल तब तक जारी रहता है जब तक कि एक खिलाड़ी 45 अंक नहीं बना लेता।</v>
      </c>
      <c r="I425" s="5" t="str">
        <f>IFERROR(__xludf.DUMMYFUNCTION("GOOGLETRANSLATE(D425, ""en"", ""hi"")"),"A) खिलाड़ी Y जीतता है.")</f>
        <v>A) खिलाड़ी Y जीतता है.</v>
      </c>
    </row>
    <row r="426" ht="22.5" customHeight="1">
      <c r="A426" s="2">
        <v>425.0</v>
      </c>
      <c r="B426" s="3" t="s">
        <v>8140</v>
      </c>
      <c r="C426" s="3" t="s">
        <v>7846</v>
      </c>
      <c r="D426" s="3" t="s">
        <v>7847</v>
      </c>
      <c r="F426" s="5" t="str">
        <f>IFERROR(__xludf.DUMMYFUNCTION("GOOGLETRANSLATE(A426, ""en"", ""hi"")"),"425")</f>
        <v>425</v>
      </c>
      <c r="G426" s="5" t="str">
        <f>IFERROR(__xludf.DUMMYFUNCTION("GOOGLETRANSLATE(B426, ""en"", ""hi"")"),"खिलाड़ी X ने पहला गेम 20-18 से जीता और खिलाड़ी Y ने दूसरा गेम 21-19 से जीता। अगर खिलाड़ी X तीसरा गेम 22-20 से जीतता है, तो मैच का स्कोर क्या होगा?")</f>
        <v>खिलाड़ी X ने पहला गेम 20-18 से जीता और खिलाड़ी Y ने दूसरा गेम 21-19 से जीता। अगर खिलाड़ी X तीसरा गेम 22-20 से जीतता है, तो मैच का स्कोर क्या होगा?</v>
      </c>
      <c r="H426" s="5" t="str">
        <f>IFERROR(__xludf.DUMMYFUNCTION("GOOGLETRANSLATE(C426,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26" s="5" t="str">
        <f>IFERROR(__xludf.DUMMYFUNCTION("GOOGLETRANSLATE(D426, ""en"", ""hi"")"),"A) खिलाड़ी X 2-1 से आगे है।")</f>
        <v>A) खिलाड़ी X 2-1 से आगे है।</v>
      </c>
    </row>
    <row r="427" ht="22.5" customHeight="1">
      <c r="A427" s="2">
        <v>426.0</v>
      </c>
      <c r="B427" s="3" t="s">
        <v>8141</v>
      </c>
      <c r="C427" s="3" t="s">
        <v>7959</v>
      </c>
      <c r="D427" s="3" t="s">
        <v>7878</v>
      </c>
      <c r="F427" s="5" t="str">
        <f>IFERROR(__xludf.DUMMYFUNCTION("GOOGLETRANSLATE(A427, ""en"", ""hi"")"),"426")</f>
        <v>426</v>
      </c>
      <c r="G427" s="5" t="str">
        <f>IFERROR(__xludf.DUMMYFUNCTION("GOOGLETRANSLATE(B427, ""en"", ""hi"")"),"एक कंचे मैच के दौरान, खिलाड़ी X ने 27 अंक और खिलाड़ी Y ने 29 अंक बनाए। यदि खेल जीतने के लिए 30 अंकों की आवश्यकता है, तो परिणाम क्या होगा?")</f>
        <v>एक कंचे मैच के दौरान, खिलाड़ी X ने 27 अंक और खिलाड़ी Y ने 29 अंक बनाए। यदि खेल जीतने के लिए 30 अंकों की आवश्यकता है, तो परिणाम क्या होगा?</v>
      </c>
      <c r="H427" s="5" t="str">
        <f>IFERROR(__xludf.DUMMYFUNCTION("GOOGLETRANSLATE(C427, ""en"", ""hi"")"),"A) खिलाड़ी Y जीतता है। , B) खिलाड़ी X जीतता है। , C) खेल बराबरी पर रहता है। , D) खेल तब तक जारी रहता है जब तक कि एक खिलाड़ी 35 अंक नहीं बना लेता।")</f>
        <v>A) खिलाड़ी Y जीतता है। , B) खिलाड़ी X जीतता है। , C) खेल बराबरी पर रहता है। , D) खेल तब तक जारी रहता है जब तक कि एक खिलाड़ी 35 अंक नहीं बना लेता।</v>
      </c>
      <c r="I427" s="5" t="str">
        <f>IFERROR(__xludf.DUMMYFUNCTION("GOOGLETRANSLATE(D427, ""en"", ""hi"")"),"A) खिलाड़ी Y जीतता है.")</f>
        <v>A) खिलाड़ी Y जीतता है.</v>
      </c>
    </row>
    <row r="428" ht="22.5" customHeight="1">
      <c r="A428" s="2">
        <v>427.0</v>
      </c>
      <c r="B428" s="3" t="s">
        <v>8142</v>
      </c>
      <c r="C428" s="3" t="s">
        <v>7846</v>
      </c>
      <c r="D428" s="3" t="s">
        <v>7847</v>
      </c>
      <c r="F428" s="5" t="str">
        <f>IFERROR(__xludf.DUMMYFUNCTION("GOOGLETRANSLATE(A428, ""en"", ""hi"")"),"427")</f>
        <v>427</v>
      </c>
      <c r="G428" s="5" t="str">
        <f>IFERROR(__xludf.DUMMYFUNCTION("GOOGLETRANSLATE(B428, ""en"", ""hi"")"),"खिलाड़ी X ने पहला सेट 18-16 से जीता और खिलाड़ी Y ने दूसरा सेट 22-20 से जीता। अगर खिलाड़ी X तीसरा सेट 21-20 से जीत जाता है, तो मैच का स्कोर क्या होगा?")</f>
        <v>खिलाड़ी X ने पहला सेट 18-16 से जीता और खिलाड़ी Y ने दूसरा सेट 22-20 से जीता। अगर खिलाड़ी X तीसरा सेट 21-20 से जीत जाता है, तो मैच का स्कोर क्या होगा?</v>
      </c>
      <c r="H428" s="5" t="str">
        <f>IFERROR(__xludf.DUMMYFUNCTION("GOOGLETRANSLATE(C428,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28" s="5" t="str">
        <f>IFERROR(__xludf.DUMMYFUNCTION("GOOGLETRANSLATE(D428, ""en"", ""hi"")"),"A) खिलाड़ी X 2-1 से आगे है।")</f>
        <v>A) खिलाड़ी X 2-1 से आगे है।</v>
      </c>
    </row>
    <row r="429" ht="22.5" customHeight="1">
      <c r="A429" s="2">
        <v>428.0</v>
      </c>
      <c r="B429" s="3" t="s">
        <v>8076</v>
      </c>
      <c r="C429" s="3" t="s">
        <v>7971</v>
      </c>
      <c r="D429" s="3" t="s">
        <v>7711</v>
      </c>
      <c r="F429" s="5" t="str">
        <f>IFERROR(__xludf.DUMMYFUNCTION("GOOGLETRANSLATE(A429, ""en"", ""hi"")"),"428")</f>
        <v>428</v>
      </c>
      <c r="G429" s="5" t="str">
        <f>IFERROR(__xludf.DUMMYFUNCTION("GOOGLETRANSLATE(B429, ""en"", ""hi"")"),"एक कंचे खेल में, यदि खिलाड़ी X ने 31 अंक बनाए और खिलाड़ी Y ने 30 अंक बनाए, और खेल को जीतने के लिए 35 अंकों की आवश्यकता है, तो परिणाम क्या होगा?")</f>
        <v>एक कंचे खेल में, यदि खिलाड़ी X ने 31 अंक बनाए और खिलाड़ी Y ने 30 अंक बनाए, और खेल को जीतने के लिए 35 अंकों की आवश्यकता है, तो परिणाम क्या होगा?</v>
      </c>
      <c r="H429" s="5" t="str">
        <f>IFERROR(__xludf.DUMMYFUNCTION("GOOGLETRANSLATE(C429,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429" s="5" t="str">
        <f>IFERROR(__xludf.DUMMYFUNCTION("GOOGLETRANSLATE(D429, ""en"", ""hi"")"),"A) खिलाड़ी X जीतता है.")</f>
        <v>A) खिलाड़ी X जीतता है.</v>
      </c>
    </row>
    <row r="430" ht="22.5" customHeight="1">
      <c r="A430" s="2">
        <v>429.0</v>
      </c>
      <c r="B430" s="3" t="s">
        <v>8143</v>
      </c>
      <c r="C430" s="3" t="s">
        <v>7846</v>
      </c>
      <c r="D430" s="3" t="s">
        <v>7847</v>
      </c>
      <c r="F430" s="5" t="str">
        <f>IFERROR(__xludf.DUMMYFUNCTION("GOOGLETRANSLATE(A430, ""en"", ""hi"")"),"429")</f>
        <v>429</v>
      </c>
      <c r="G430" s="5" t="str">
        <f>IFERROR(__xludf.DUMMYFUNCTION("GOOGLETRANSLATE(B430, ""en"", ""hi"")"),"खिलाड़ी X ने पहला सेट 21-19 से जीता और खिलाड़ी Y ने दूसरा सेट 21-18 से जीता। अगर खिलाड़ी X तीसरा सेट 22-20 से जीतता है, तो मैच का स्कोर क्या होगा?")</f>
        <v>खिलाड़ी X ने पहला सेट 21-19 से जीता और खिलाड़ी Y ने दूसरा सेट 21-18 से जीता। अगर खिलाड़ी X तीसरा सेट 22-20 से जीतता है, तो मैच का स्कोर क्या होगा?</v>
      </c>
      <c r="H430" s="5" t="str">
        <f>IFERROR(__xludf.DUMMYFUNCTION("GOOGLETRANSLATE(C430,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30" s="5" t="str">
        <f>IFERROR(__xludf.DUMMYFUNCTION("GOOGLETRANSLATE(D430, ""en"", ""hi"")"),"A) खिलाड़ी X 2-1 से आगे है।")</f>
        <v>A) खिलाड़ी X 2-1 से आगे है।</v>
      </c>
    </row>
    <row r="431" ht="22.5" customHeight="1">
      <c r="A431" s="2">
        <v>430.0</v>
      </c>
      <c r="B431" s="3" t="s">
        <v>8144</v>
      </c>
      <c r="C431" s="3" t="s">
        <v>7989</v>
      </c>
      <c r="D431" s="3" t="s">
        <v>7878</v>
      </c>
      <c r="F431" s="5" t="str">
        <f>IFERROR(__xludf.DUMMYFUNCTION("GOOGLETRANSLATE(A431, ""en"", ""hi"")"),"430")</f>
        <v>430</v>
      </c>
      <c r="G431" s="5" t="str">
        <f>IFERROR(__xludf.DUMMYFUNCTION("GOOGLETRANSLATE(B431, ""en"", ""hi"")"),"एक कंचे मैच के दौरान, खिलाड़ी X ने 28 अंक बनाए और खिलाड़ी Y ने 32 अंक बनाए। यदि खेल जीतने के लिए 35 अंक चाहिए, तो परिणाम क्या होगा?")</f>
        <v>एक कंचे मैच के दौरान, खिलाड़ी X ने 28 अंक बनाए और खिलाड़ी Y ने 32 अंक बनाए। यदि खेल जीतने के लिए 35 अंक चाहिए, तो परिणाम क्या होगा?</v>
      </c>
      <c r="H431" s="5" t="str">
        <f>IFERROR(__xludf.DUMMYFUNCTION("GOOGLETRANSLATE(C431,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31" s="5" t="str">
        <f>IFERROR(__xludf.DUMMYFUNCTION("GOOGLETRANSLATE(D431, ""en"", ""hi"")"),"A) खिलाड़ी Y जीतता है.")</f>
        <v>A) खिलाड़ी Y जीतता है.</v>
      </c>
    </row>
    <row r="432" ht="22.5" customHeight="1">
      <c r="A432" s="2">
        <v>431.0</v>
      </c>
      <c r="B432" s="3" t="s">
        <v>8120</v>
      </c>
      <c r="C432" s="3" t="s">
        <v>7846</v>
      </c>
      <c r="D432" s="3" t="s">
        <v>7847</v>
      </c>
      <c r="F432" s="5" t="str">
        <f>IFERROR(__xludf.DUMMYFUNCTION("GOOGLETRANSLATE(A432, ""en"", ""hi"")"),"431")</f>
        <v>431</v>
      </c>
      <c r="G432" s="5" t="str">
        <f>IFERROR(__xludf.DUMMYFUNCTION("GOOGLETRANSLATE(B432, ""en"", ""hi"")"),"खिलाड़ी X ने पहला सेट 19-17 से जीता और खिलाड़ी Y ने दूसरा सेट 21-19 से जीता। अगर खिलाड़ी X तीसरा सेट 22-20 से जीतता है, तो मैच का स्कोर क्या होगा?")</f>
        <v>खिलाड़ी X ने पहला सेट 19-17 से जीता और खिलाड़ी Y ने दूसरा सेट 21-19 से जीता। अगर खिलाड़ी X तीसरा सेट 22-20 से जीतता है, तो मैच का स्कोर क्या होगा?</v>
      </c>
      <c r="H432" s="5" t="str">
        <f>IFERROR(__xludf.DUMMYFUNCTION("GOOGLETRANSLATE(C432,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32" s="5" t="str">
        <f>IFERROR(__xludf.DUMMYFUNCTION("GOOGLETRANSLATE(D432, ""en"", ""hi"")"),"A) खिलाड़ी X 2-1 से आगे है।")</f>
        <v>A) खिलाड़ी X 2-1 से आगे है।</v>
      </c>
    </row>
    <row r="433" ht="22.5" customHeight="1">
      <c r="A433" s="2">
        <v>432.0</v>
      </c>
      <c r="B433" s="3" t="s">
        <v>8145</v>
      </c>
      <c r="C433" s="3" t="s">
        <v>7971</v>
      </c>
      <c r="D433" s="3" t="s">
        <v>7711</v>
      </c>
      <c r="F433" s="5" t="str">
        <f>IFERROR(__xludf.DUMMYFUNCTION("GOOGLETRANSLATE(A433, ""en"", ""hi"")"),"432")</f>
        <v>432</v>
      </c>
      <c r="G433" s="5" t="str">
        <f>IFERROR(__xludf.DUMMYFUNCTION("GOOGLETRANSLATE(B433, ""en"", ""hi"")"),"एक कंचे खेल में, यदि खिलाड़ी X ने 34 अंक बनाए और खिलाड़ी Y ने 32 अंक बनाए, और खेल को जीतने के लिए 35 अंकों की आवश्यकता है, तो परिणाम क्या होगा?")</f>
        <v>एक कंचे खेल में, यदि खिलाड़ी X ने 34 अंक बनाए और खिलाड़ी Y ने 32 अंक बनाए, और खेल को जीतने के लिए 35 अंकों की आवश्यकता है, तो परिणाम क्या होगा?</v>
      </c>
      <c r="H433" s="5" t="str">
        <f>IFERROR(__xludf.DUMMYFUNCTION("GOOGLETRANSLATE(C433, ""en"", ""hi"")"),"A) खिलाड़ी X जीतता है। , B) खिलाड़ी Y जीतता है। , C) खेल बराबरी पर रहता है। , D) खेल तब तक जारी रहता है जब तक एक खिलाड़ी 40 अंक नहीं बना लेता।")</f>
        <v>A) खिलाड़ी X जीतता है। , B) खिलाड़ी Y जीतता है। , C) खेल बराबरी पर रहता है। , D) खेल तब तक जारी रहता है जब तक एक खिलाड़ी 40 अंक नहीं बना लेता।</v>
      </c>
      <c r="I433" s="5" t="str">
        <f>IFERROR(__xludf.DUMMYFUNCTION("GOOGLETRANSLATE(D433, ""en"", ""hi"")"),"A) खिलाड़ी X जीतता है.")</f>
        <v>A) खिलाड़ी X जीतता है.</v>
      </c>
    </row>
    <row r="434" ht="22.5" customHeight="1">
      <c r="A434" s="2">
        <v>433.0</v>
      </c>
      <c r="B434" s="3" t="s">
        <v>8146</v>
      </c>
      <c r="C434" s="3" t="s">
        <v>7846</v>
      </c>
      <c r="D434" s="3" t="s">
        <v>7847</v>
      </c>
      <c r="F434" s="5" t="str">
        <f>IFERROR(__xludf.DUMMYFUNCTION("GOOGLETRANSLATE(A434, ""en"", ""hi"")"),"433")</f>
        <v>433</v>
      </c>
      <c r="G434" s="5" t="str">
        <f>IFERROR(__xludf.DUMMYFUNCTION("GOOGLETRANSLATE(B434, ""en"", ""hi"")"),"खिलाड़ी X ने पहला सेट 21-19 से जीता और खिलाड़ी Y ने दूसरा सेट 20-18 से जीता। अगर खिलाड़ी X तीसरा सेट 23-21 से जीत जाता है, तो मैच का स्कोर क्या होगा?")</f>
        <v>खिलाड़ी X ने पहला सेट 21-19 से जीता और खिलाड़ी Y ने दूसरा सेट 20-18 से जीता। अगर खिलाड़ी X तीसरा सेट 23-21 से जीत जाता है, तो मैच का स्कोर क्या होगा?</v>
      </c>
      <c r="H434" s="5" t="str">
        <f>IFERROR(__xludf.DUMMYFUNCTION("GOOGLETRANSLATE(C434,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34" s="5" t="str">
        <f>IFERROR(__xludf.DUMMYFUNCTION("GOOGLETRANSLATE(D434, ""en"", ""hi"")"),"A) खिलाड़ी X 2-1 से आगे है।")</f>
        <v>A) खिलाड़ी X 2-1 से आगे है।</v>
      </c>
    </row>
    <row r="435" ht="22.5" customHeight="1">
      <c r="A435" s="2">
        <v>434.0</v>
      </c>
      <c r="B435" s="3" t="s">
        <v>8147</v>
      </c>
      <c r="C435" s="3" t="s">
        <v>7989</v>
      </c>
      <c r="D435" s="3" t="s">
        <v>7878</v>
      </c>
      <c r="F435" s="5" t="str">
        <f>IFERROR(__xludf.DUMMYFUNCTION("GOOGLETRANSLATE(A435, ""en"", ""hi"")"),"434")</f>
        <v>434</v>
      </c>
      <c r="G435" s="5" t="str">
        <f>IFERROR(__xludf.DUMMYFUNCTION("GOOGLETRANSLATE(B435, ""en"", ""hi"")"),"एक कंचे मैच के दौरान, खिलाड़ी X ने 30 अंक बनाए और खिलाड़ी Y ने 33 अंक बनाए। यदि खेल जीतने के लिए 35 अंक चाहिए, तो परिणाम क्या होगा?")</f>
        <v>एक कंचे मैच के दौरान, खिलाड़ी X ने 30 अंक बनाए और खिलाड़ी Y ने 33 अंक बनाए। यदि खेल जीतने के लिए 35 अंक चाहिए, तो परिणाम क्या होगा?</v>
      </c>
      <c r="H435" s="5" t="str">
        <f>IFERROR(__xludf.DUMMYFUNCTION("GOOGLETRANSLATE(C435, ""en"", ""hi"")"),"A) खिलाड़ी Y जीतता है। , B) खिलाड़ी X जीतता है। , C) खेल बराबरी पर रहता है। , D) खेल तब तक जारी रहता है जब तक एक खिलाड़ी 40 अंक नहीं बना लेता।")</f>
        <v>A) खिलाड़ी Y जीतता है। , B) खिलाड़ी X जीतता है। , C) खेल बराबरी पर रहता है। , D) खेल तब तक जारी रहता है जब तक एक खिलाड़ी 40 अंक नहीं बना लेता।</v>
      </c>
      <c r="I435" s="5" t="str">
        <f>IFERROR(__xludf.DUMMYFUNCTION("GOOGLETRANSLATE(D435, ""en"", ""hi"")"),"A) खिलाड़ी Y जीतता है.")</f>
        <v>A) खिलाड़ी Y जीतता है.</v>
      </c>
    </row>
    <row r="436" ht="22.5" customHeight="1">
      <c r="A436" s="2">
        <v>435.0</v>
      </c>
      <c r="B436" s="3" t="s">
        <v>8140</v>
      </c>
      <c r="C436" s="3" t="s">
        <v>7846</v>
      </c>
      <c r="D436" s="3" t="s">
        <v>7847</v>
      </c>
      <c r="F436" s="5" t="str">
        <f>IFERROR(__xludf.DUMMYFUNCTION("GOOGLETRANSLATE(A436, ""en"", ""hi"")"),"435")</f>
        <v>435</v>
      </c>
      <c r="G436" s="5" t="str">
        <f>IFERROR(__xludf.DUMMYFUNCTION("GOOGLETRANSLATE(B436, ""en"", ""hi"")"),"खिलाड़ी X ने पहला गेम 20-18 से जीता और खिलाड़ी Y ने दूसरा गेम 21-19 से जीता। अगर खिलाड़ी X तीसरा गेम 22-20 से जीतता है, तो मैच का स्कोर क्या होगा?")</f>
        <v>खिलाड़ी X ने पहला गेम 20-18 से जीता और खिलाड़ी Y ने दूसरा गेम 21-19 से जीता। अगर खिलाड़ी X तीसरा गेम 22-20 से जीतता है, तो मैच का स्कोर क्या होगा?</v>
      </c>
      <c r="H436" s="5" t="str">
        <f>IFERROR(__xludf.DUMMYFUNCTION("GOOGLETRANSLATE(C436, ""en"", ""hi"")"),"A) खिलाड़ी X 2-1 से आगे है। , B) खिलाड़ी Y 2-1 से आगे है। , C) मैच 1-1 से बराबर है। , D) खिलाड़ी X 1-0 से आगे है।")</f>
        <v>A) खिलाड़ी X 2-1 से आगे है। , B) खिलाड़ी Y 2-1 से आगे है। , C) मैच 1-1 से बराबर है। , D) खिलाड़ी X 1-0 से आगे है।</v>
      </c>
      <c r="I436" s="5" t="str">
        <f>IFERROR(__xludf.DUMMYFUNCTION("GOOGLETRANSLATE(D436, ""en"", ""hi"")"),"A) खिलाड़ी X 2-1 से आगे है।")</f>
        <v>A) खिलाड़ी X 2-1 से आगे है।</v>
      </c>
    </row>
    <row r="437" ht="22.5" customHeight="1">
      <c r="A437" s="2">
        <v>436.0</v>
      </c>
      <c r="B437" s="3" t="s">
        <v>8131</v>
      </c>
      <c r="C437" s="3" t="s">
        <v>8110</v>
      </c>
      <c r="D437" s="3" t="s">
        <v>7711</v>
      </c>
      <c r="F437" s="5" t="str">
        <f>IFERROR(__xludf.DUMMYFUNCTION("GOOGLETRANSLATE(A437, ""en"", ""hi"")"),"436")</f>
        <v>436</v>
      </c>
      <c r="G437" s="5" t="str">
        <f>IFERROR(__xludf.DUMMYFUNCTION("GOOGLETRANSLATE(B437, ""en"", ""hi"")"),"एक कंचे खेल में, यदि खिलाड़ी X ने 35 अंक बनाए और खिलाड़ी Y ने 34 अंक बनाए, और खेल को जीतने के लिए 40 अंकों की आवश्यकता है, तो परिणाम क्या होगा?")</f>
        <v>एक कंचे खेल में, यदि खिलाड़ी X ने 35 अंक बनाए और खिलाड़ी Y ने 34 अंक बनाए, और खेल को जीतने के लिए 40 अंकों की आवश्यकता है, तो परिणाम क्या होगा?</v>
      </c>
      <c r="H437" s="5" t="str">
        <f>IFERROR(__xludf.DUMMYFUNCTION("GOOGLETRANSLATE(C437, ""en"", ""hi"")"),"A) खिलाड़ी X जीतता है। , B) खिलाड़ी Y जीतता है। , C) खेल बराबरी पर रहता है। , D) खेल तब तक जारी रहता है जब तक एक खिलाड़ी 45 अंक नहीं बना लेता।")</f>
        <v>A) खिलाड़ी X जीतता है। , B) खिलाड़ी Y जीतता है। , C) खेल बराबरी पर रहता है। , D) खेल तब तक जारी रहता है जब तक एक खिलाड़ी 45 अंक नहीं बना लेता।</v>
      </c>
      <c r="I437" s="5" t="str">
        <f>IFERROR(__xludf.DUMMYFUNCTION("GOOGLETRANSLATE(D437, ""en"", ""hi"")"),"A) खिलाड़ी X जीतता है.")</f>
        <v>A) खिलाड़ी X जीतता है.</v>
      </c>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2">
        <v>1.0</v>
      </c>
      <c r="B2" s="3" t="s">
        <v>8148</v>
      </c>
      <c r="C2" s="3" t="s">
        <v>8149</v>
      </c>
      <c r="D2" s="3" t="s">
        <v>8150</v>
      </c>
      <c r="F2" s="5" t="str">
        <f>IFERROR(__xludf.DUMMYFUNCTION("GOOGLETRANSLATE(A2, ""en"", ""hi"")"),"1")</f>
        <v>1</v>
      </c>
      <c r="G2" s="5" t="str">
        <f>IFERROR(__xludf.DUMMYFUNCTION("GOOGLETRANSLATE(B2, ""en"", ""hi"")"),"कैरम खेल में, खिलाड़ी A पहली चाल चलता है और अपने प्रतिद्वंद्वी के चाल चलने से पहले ही अपने 3 मोहरे पॉकेट में डाल लेता है। खिलाड़ी B को अगली कार्रवाई क्या करनी चाहिए?")</f>
        <v>कैरम खेल में, खिलाड़ी A पहली चाल चलता है और अपने प्रतिद्वंद्वी के चाल चलने से पहले ही अपने 3 मोहरे पॉकेट में डाल लेता है। खिलाड़ी B को अगली कार्रवाई क्या करनी चाहिए?</v>
      </c>
      <c r="H2" s="5" t="str">
        <f>IFERROR(__xludf.DUMMYFUNCTION("GOOGLETRANSLATE(C2, ""en"", ""hi"")"),"A) खिलाड़ी B अब बिना किसी प्रतिबंध के चाल चल सकता है। , B) खिलाड़ी B को अपनी चाल से पहले कम से कम एक मोहरा पॉकेट में डालना होगा। , C) खिलाड़ी B को खिलाड़ी A द्वारा अपनी रानी को पॉकेट में डालने का इंतजार करना होगा। , D) खिलाड़ी B अपनी बारी खो देता है क्यों"&amp;"कि खिलाड़ी A ने अधिक मोहरे पॉकेट में डाल लिए हैं।")</f>
        <v>A) खिलाड़ी B अब बिना किसी प्रतिबंध के चाल चल सकता है। , B) खिलाड़ी B को अपनी चाल से पहले कम से कम एक मोहरा पॉकेट में डालना होगा। , C) खिलाड़ी B को खिलाड़ी A द्वारा अपनी रानी को पॉकेट में डालने का इंतजार करना होगा। , D) खिलाड़ी B अपनी बारी खो देता है क्योंकि खिलाड़ी A ने अधिक मोहरे पॉकेट में डाल लिए हैं।</v>
      </c>
      <c r="I2" s="5" t="str">
        <f>IFERROR(__xludf.DUMMYFUNCTION("GOOGLETRANSLATE(D2, ""en"", ""hi"")"),"A) खिलाड़ी B अब बिना किसी प्रतिबंध के चाल चल सकता है।")</f>
        <v>A) खिलाड़ी B अब बिना किसी प्रतिबंध के चाल चल सकता है।</v>
      </c>
    </row>
    <row r="3" ht="22.5" customHeight="1">
      <c r="A3" s="2">
        <v>2.0</v>
      </c>
      <c r="B3" s="3" t="s">
        <v>8151</v>
      </c>
      <c r="C3" s="3" t="s">
        <v>8152</v>
      </c>
      <c r="D3" s="3" t="s">
        <v>8153</v>
      </c>
      <c r="F3" s="5" t="str">
        <f>IFERROR(__xludf.DUMMYFUNCTION("GOOGLETRANSLATE(A3, ""en"", ""hi"")"),"2")</f>
        <v>2</v>
      </c>
      <c r="G3" s="5" t="str">
        <f>IFERROR(__xludf.DUMMYFUNCTION("GOOGLETRANSLATE(B3, ""en"", ""hi"")"),"कैरम मैच के दौरान, खिलाड़ी X स्ट्राइकर को पॉकेट में डालकर फ़ाउल करता है। खिलाड़ी X के लिए दंड क्या है?")</f>
        <v>कैरम मैच के दौरान, खिलाड़ी X स्ट्राइकर को पॉकेट में डालकर फ़ाउल करता है। खिलाड़ी X के लिए दंड क्या है?</v>
      </c>
      <c r="H3" s="5" t="str">
        <f>IFERROR(__xludf.DUMMYFUNCTION("GOOGLETRANSLATE(C3, ""en"", ""hi"")"),"ए) खिलाड़ी एक्स अपनी बारी खो देता है और उसे अपने एक मोहरे को बोर्ड पर वापस रखना होगा। , बी) खिलाड़ी एक्स को अपनी अगली बारी छोड़नी होगी। , सी) खिलाड़ी एक्स खेल हार जाता है। , डी) खिलाड़ी एक्स को खेल जारी रखने के लिए एक अतिरिक्त मोहरा जेब में डालना होगा।")</f>
        <v>ए) खिलाड़ी एक्स अपनी बारी खो देता है और उसे अपने एक मोहरे को बोर्ड पर वापस रखना होगा। , बी) खिलाड़ी एक्स को अपनी अगली बारी छोड़नी होगी। , सी) खिलाड़ी एक्स खेल हार जाता है। , डी) खिलाड़ी एक्स को खेल जारी रखने के लिए एक अतिरिक्त मोहरा जेब में डालना होगा।</v>
      </c>
      <c r="I3" s="5" t="str">
        <f>IFERROR(__xludf.DUMMYFUNCTION("GOOGLETRANSLATE(D3, ""en"", ""hi"")"),"A) खिलाड़ी X अपनी बारी खो देता है और उसे अपना एक मोहरा पुनः बोर्ड पर रखना पड़ता है।")</f>
        <v>A) खिलाड़ी X अपनी बारी खो देता है और उसे अपना एक मोहरा पुनः बोर्ड पर रखना पड़ता है।</v>
      </c>
    </row>
    <row r="4" ht="22.5" customHeight="1">
      <c r="A4" s="2">
        <v>3.0</v>
      </c>
      <c r="B4" s="3" t="s">
        <v>8154</v>
      </c>
      <c r="C4" s="3" t="s">
        <v>8155</v>
      </c>
      <c r="D4" s="3" t="s">
        <v>8156</v>
      </c>
      <c r="F4" s="5" t="str">
        <f>IFERROR(__xludf.DUMMYFUNCTION("GOOGLETRANSLATE(A4, ""en"", ""hi"")"),"3")</f>
        <v>3</v>
      </c>
      <c r="G4" s="5" t="str">
        <f>IFERROR(__xludf.DUMMYFUNCTION("GOOGLETRANSLATE(B4, ""en"", ""hi"")"),"यदि कैरम खेल में ऐसी स्थिति आ जाए कि रानी को छोड़कर सभी गोटियां पॉकेट में चली जाएं, तो रानी को पॉकेट में डालने का नियम क्या है?")</f>
        <v>यदि कैरम खेल में ऐसी स्थिति आ जाए कि रानी को छोड़कर सभी गोटियां पॉकेट में चली जाएं, तो रानी को पॉकेट में डालने का नियम क्या है?</v>
      </c>
      <c r="H4" s="5" t="str">
        <f>IFERROR(__xludf.DUMMYFUNCTION("GOOGLETRANSLATE(C4, ""en"", ""hi"")"),"ए) रानी को अंतिम मोहरे से पहले पॉकेट में डालना होगा।, बी) रानी को अंतिम मोहरे के साथ पॉकेट में डालना होगा।, सी) रानी को खेल समाप्त होने से पहले पॉकेट में डालना होगा, लेकिन यह अंतिम मोहरा हो सकता है।, डी) यदि रानी अंतिम मोहरा है तो उसे जीत के लिए नहीं माना"&amp;" जाता है।")</f>
        <v>ए) रानी को अंतिम मोहरे से पहले पॉकेट में डालना होगा।, बी) रानी को अंतिम मोहरे के साथ पॉकेट में डालना होगा।, सी) रानी को खेल समाप्त होने से पहले पॉकेट में डालना होगा, लेकिन यह अंतिम मोहरा हो सकता है।, डी) यदि रानी अंतिम मोहरा है तो उसे जीत के लिए नहीं माना जाता है।</v>
      </c>
      <c r="I4" s="5" t="str">
        <f>IFERROR(__xludf.DUMMYFUNCTION("GOOGLETRANSLATE(D4, ""en"", ""hi"")"),"बी) रानी को अंतिम मोहरे के साथ जेब में डालना होगा।")</f>
        <v>बी) रानी को अंतिम मोहरे के साथ जेब में डालना होगा।</v>
      </c>
    </row>
    <row r="5" ht="22.5" customHeight="1">
      <c r="A5" s="2">
        <v>4.0</v>
      </c>
      <c r="B5" s="3" t="s">
        <v>8157</v>
      </c>
      <c r="C5" s="3" t="s">
        <v>8158</v>
      </c>
      <c r="D5" s="3" t="s">
        <v>8159</v>
      </c>
      <c r="F5" s="5" t="str">
        <f>IFERROR(__xludf.DUMMYFUNCTION("GOOGLETRANSLATE(A5, ""en"", ""hi"")"),"4")</f>
        <v>4</v>
      </c>
      <c r="G5" s="5" t="str">
        <f>IFERROR(__xludf.DUMMYFUNCTION("GOOGLETRANSLATE(B5, ""en"", ""hi"")"),"खिलाड़ी A और खिलाड़ी B कैरम खेल रहे हैं। खिलाड़ी A ने अपनी सभी गोटियाँ पॉकेट में डाल दी हैं, लेकिन रानी अभी तक पॉकेट में नहीं आई है। खिलाड़ी B रानी पॉकेट में डाल देता है। अब क्या होगा?")</f>
        <v>खिलाड़ी A और खिलाड़ी B कैरम खेल रहे हैं। खिलाड़ी A ने अपनी सभी गोटियाँ पॉकेट में डाल दी हैं, लेकिन रानी अभी तक पॉकेट में नहीं आई है। खिलाड़ी B रानी पॉकेट में डाल देता है। अब क्या होगा?</v>
      </c>
      <c r="H5" s="5" t="str">
        <f>IFERROR(__xludf.DUMMYFUNCTION("GOOGLETRANSLATE(C5, ""en"", ""hi"")"),"ए) खिलाड़ी बी तुरंत खेल जीत जाता है। , बी) खिलाड़ी ए खेल जीत जाता है क्योंकि खिलाड़ी बी ने रानी को पॉकेट में डाल दिया। , सी) खेल ड्रॉ हो जाता है क्योंकि रानी को सभी मोहरों के बाद पॉकेट में डाल दिया गया। , डी) खिलाड़ी ए को जीतने के लिए रानी को पॉकेट में डा"&amp;"लना होगा।")</f>
        <v>ए) खिलाड़ी बी तुरंत खेल जीत जाता है। , बी) खिलाड़ी ए खेल जीत जाता है क्योंकि खिलाड़ी बी ने रानी को पॉकेट में डाल दिया। , सी) खेल ड्रॉ हो जाता है क्योंकि रानी को सभी मोहरों के बाद पॉकेट में डाल दिया गया। , डी) खिलाड़ी ए को जीतने के लिए रानी को पॉकेट में डालना होगा।</v>
      </c>
      <c r="I5" s="5" t="str">
        <f>IFERROR(__xludf.DUMMYFUNCTION("GOOGLETRANSLATE(D5, ""en"", ""hi"")"),"डी) जीतने के लिए खिलाड़ी ए को रानी को पॉकेट में डालना होगा।")</f>
        <v>डी) जीतने के लिए खिलाड़ी ए को रानी को पॉकेट में डालना होगा।</v>
      </c>
    </row>
    <row r="6" ht="22.5" customHeight="1">
      <c r="A6" s="2">
        <v>5.0</v>
      </c>
      <c r="B6" s="3" t="s">
        <v>8160</v>
      </c>
      <c r="C6" s="3" t="s">
        <v>8161</v>
      </c>
      <c r="D6" s="3" t="s">
        <v>8162</v>
      </c>
      <c r="F6" s="5" t="str">
        <f>IFERROR(__xludf.DUMMYFUNCTION("GOOGLETRANSLATE(A6, ""en"", ""hi"")"),"5")</f>
        <v>5</v>
      </c>
      <c r="G6" s="5" t="str">
        <f>IFERROR(__xludf.DUMMYFUNCTION("GOOGLETRANSLATE(B6, ""en"", ""hi"")"),"कैरम में, यदि कोई खिलाड़ी रानी को पॉकेट में डाल देता है, लेकिन अगली बारी में अपनी गोटी को पॉकेट में डालने में असफल रहता है, तो इसका परिणाम क्या होगा?")</f>
        <v>कैरम में, यदि कोई खिलाड़ी रानी को पॉकेट में डाल देता है, लेकिन अगली बारी में अपनी गोटी को पॉकेट में डालने में असफल रहता है, तो इसका परिणाम क्या होगा?</v>
      </c>
      <c r="H6" s="5" t="str">
        <f>IFERROR(__xludf.DUMMYFUNCTION("GOOGLETRANSLATE(C6, ""en"", ""hi"")"),"ए) रानी को पॉकेट में डालने वाला खिलाड़ी रानी और एक मोहरा हार जाता है।, बी) खेल को ड्रॉ माना जाता है।, सी) खिलाड़ी अपनी बारी खो देता है और रानी को केंद्र में वापस कर दिया जाता है।, डी) खिलाड़ी को खेल छोड़ना पड़ता है।")</f>
        <v>ए) रानी को पॉकेट में डालने वाला खिलाड़ी रानी और एक मोहरा हार जाता है।, बी) खेल को ड्रॉ माना जाता है।, सी) खिलाड़ी अपनी बारी खो देता है और रानी को केंद्र में वापस कर दिया जाता है।, डी) खिलाड़ी को खेल छोड़ना पड़ता है।</v>
      </c>
      <c r="I6" s="5" t="str">
        <f>IFERROR(__xludf.DUMMYFUNCTION("GOOGLETRANSLATE(D6, ""en"", ""hi"")"),"C) खिलाड़ी अपनी बारी खो देता है और रानी को केंद्र में वापस कर दिया जाता है।")</f>
        <v>C) खिलाड़ी अपनी बारी खो देता है और रानी को केंद्र में वापस कर दिया जाता है।</v>
      </c>
    </row>
    <row r="7" ht="22.5" customHeight="1">
      <c r="A7" s="2">
        <v>6.0</v>
      </c>
      <c r="B7" s="3" t="s">
        <v>8163</v>
      </c>
      <c r="C7" s="3" t="s">
        <v>8164</v>
      </c>
      <c r="D7" s="3" t="s">
        <v>8165</v>
      </c>
      <c r="F7" s="5" t="str">
        <f>IFERROR(__xludf.DUMMYFUNCTION("GOOGLETRANSLATE(A7, ""en"", ""hi"")"),"6")</f>
        <v>6</v>
      </c>
      <c r="G7" s="5" t="str">
        <f>IFERROR(__xludf.DUMMYFUNCTION("GOOGLETRANSLATE(B7, ""en"", ""hi"")"),"कैरम टूर्नामेंट में, दो खिलाड़ियों के बीच एक मैच खेला जाता है जिसमें खिलाड़ी A अपनी आखिरी गोटी पॉकेट में डालता है और खिलाड़ी B उसी बारी में अपनी रानी पॉकेट में डालता है। खेल कौन जीतता है?")</f>
        <v>कैरम टूर्नामेंट में, दो खिलाड़ियों के बीच एक मैच खेला जाता है जिसमें खिलाड़ी A अपनी आखिरी गोटी पॉकेट में डालता है और खिलाड़ी B उसी बारी में अपनी रानी पॉकेट में डालता है। खेल कौन जीतता है?</v>
      </c>
      <c r="H7" s="5" t="str">
        <f>IFERROR(__xludf.DUMMYFUNCTION("GOOGLETRANSLATE(C7, ""en"", ""hi"")"),"A) खिलाड़ी A जीतता है क्योंकि उन्होंने अपना अंतिम मोहरा पॉकेट में डाल दिया है। , B) खिलाड़ी B जीतता है क्योंकि उन्होंने रानी को पॉकेट में डाल दिया है। , C) खेल बराबरी पर है। , D) खेल जारी रहता है क्योंकि दोनों खिलाड़ियों को रानी और अपना अंतिम मोहरा पॉकेट "&amp;"में डालना होता है।")</f>
        <v>A) खिलाड़ी A जीतता है क्योंकि उन्होंने अपना अंतिम मोहरा पॉकेट में डाल दिया है। , B) खिलाड़ी B जीतता है क्योंकि उन्होंने रानी को पॉकेट में डाल दिया है। , C) खेल बराबरी पर है। , D) खेल जारी रहता है क्योंकि दोनों खिलाड़ियों को रानी और अपना अंतिम मोहरा पॉकेट में डालना होता है।</v>
      </c>
      <c r="I7" s="5" t="str">
        <f>IFERROR(__xludf.DUMMYFUNCTION("GOOGLETRANSLATE(D7, ""en"", ""hi"")"),"बी) खिलाड़ी बी जीतता है क्योंकि उसने रानी को पॉकेट में डाल दिया।")</f>
        <v>बी) खिलाड़ी बी जीतता है क्योंकि उसने रानी को पॉकेट में डाल दिया।</v>
      </c>
    </row>
    <row r="8" ht="22.5" customHeight="1">
      <c r="A8" s="2">
        <v>7.0</v>
      </c>
      <c r="B8" s="3" t="s">
        <v>8166</v>
      </c>
      <c r="C8" s="3" t="s">
        <v>8167</v>
      </c>
      <c r="D8" s="3" t="s">
        <v>8168</v>
      </c>
      <c r="F8" s="5" t="str">
        <f>IFERROR(__xludf.DUMMYFUNCTION("GOOGLETRANSLATE(A8, ""en"", ""hi"")"),"7")</f>
        <v>7</v>
      </c>
      <c r="G8" s="5" t="str">
        <f>IFERROR(__xludf.DUMMYFUNCTION("GOOGLETRANSLATE(B8, ""en"", ""hi"")"),"कैरम खेल के दौरान, खिलाड़ी X का स्ट्राइकर फिसलकर बोर्ड के बीच में ही लगता है, लेकिन गोटियों पर इसका कोई असर नहीं पड़ता। इसका नियम क्या है?")</f>
        <v>कैरम खेल के दौरान, खिलाड़ी X का स्ट्राइकर फिसलकर बोर्ड के बीच में ही लगता है, लेकिन गोटियों पर इसका कोई असर नहीं पड़ता। इसका नियम क्या है?</v>
      </c>
      <c r="H8" s="5" t="str">
        <f>IFERROR(__xludf.DUMMYFUNCTION("GOOGLETRANSLATE(C8, ""en"", ""hi"")"),"A) खिलाड़ी X अपनी बारी खो देता है। , B) खिलाड़ी X को एक मोहरा वापस बोर्ड पर रखना होगा। , C) खिलाड़ी X एक और प्रयास कर सकता है। , D) खिलाड़ी X खेल जीत जाता है।")</f>
        <v>A) खिलाड़ी X अपनी बारी खो देता है। , B) खिलाड़ी X को एक मोहरा वापस बोर्ड पर रखना होगा। , C) खिलाड़ी X एक और प्रयास कर सकता है। , D) खिलाड़ी X खेल जीत जाता है।</v>
      </c>
      <c r="I8" s="5" t="str">
        <f>IFERROR(__xludf.DUMMYFUNCTION("GOOGLETRANSLATE(D8, ""en"", ""hi"")"),"A) खिलाड़ी X अपनी बारी खो देता है।")</f>
        <v>A) खिलाड़ी X अपनी बारी खो देता है।</v>
      </c>
    </row>
    <row r="9" ht="22.5" customHeight="1">
      <c r="A9" s="2">
        <v>8.0</v>
      </c>
      <c r="B9" s="3" t="s">
        <v>8169</v>
      </c>
      <c r="C9" s="3" t="s">
        <v>8170</v>
      </c>
      <c r="D9" s="3" t="s">
        <v>8171</v>
      </c>
      <c r="F9" s="5" t="str">
        <f>IFERROR(__xludf.DUMMYFUNCTION("GOOGLETRANSLATE(A9, ""en"", ""hi"")"),"8")</f>
        <v>8</v>
      </c>
      <c r="G9" s="5" t="str">
        <f>IFERROR(__xludf.DUMMYFUNCTION("GOOGLETRANSLATE(B9, ""en"", ""hi"")"),"खिलाड़ी A कैरम खेल रहा है और एक सफल शॉट लगाता है, लेकिन स्ट्राइकर खिलाड़ी B के एक मोहरे को भी पॉकेट में डाल देता है। नियम क्या है?")</f>
        <v>खिलाड़ी A कैरम खेल रहा है और एक सफल शॉट लगाता है, लेकिन स्ट्राइकर खिलाड़ी B के एक मोहरे को भी पॉकेट में डाल देता है। नियम क्या है?</v>
      </c>
      <c r="H9" s="5" t="str">
        <f>IFERROR(__xludf.DUMMYFUNCTION("GOOGLETRANSLATE(C9, ""en"", ""hi"")"),"A) खिलाड़ी A खेल जीत जाता है। , B) खिलाड़ी A अपनी बारी खो देता है और खिलाड़ी B को दंड मिलता है। , C) खिलाड़ी A अपनी बारी खो देता है और खिलाड़ी B का मोहरा वापस कर दिया जाता है। , D) खिलाड़ी A अपनी बारी सामान्य रूप से जारी रखता है।")</f>
        <v>A) खिलाड़ी A खेल जीत जाता है। , B) खिलाड़ी A अपनी बारी खो देता है और खिलाड़ी B को दंड मिलता है। , C) खिलाड़ी A अपनी बारी खो देता है और खिलाड़ी B का मोहरा वापस कर दिया जाता है। , D) खिलाड़ी A अपनी बारी सामान्य रूप से जारी रखता है।</v>
      </c>
      <c r="I9" s="5" t="str">
        <f>IFERROR(__xludf.DUMMYFUNCTION("GOOGLETRANSLATE(D9, ""en"", ""hi"")"),"C) खिलाड़ी A अपनी बारी खो देता है और खिलाड़ी B का मोहरा वापस कर दिया जाता है।")</f>
        <v>C) खिलाड़ी A अपनी बारी खो देता है और खिलाड़ी B का मोहरा वापस कर दिया जाता है।</v>
      </c>
    </row>
    <row r="10" ht="22.5" customHeight="1">
      <c r="A10" s="2">
        <v>9.0</v>
      </c>
      <c r="B10" s="3" t="s">
        <v>8172</v>
      </c>
      <c r="C10" s="3" t="s">
        <v>8173</v>
      </c>
      <c r="D10" s="3" t="s">
        <v>8174</v>
      </c>
      <c r="F10" s="5" t="str">
        <f>IFERROR(__xludf.DUMMYFUNCTION("GOOGLETRANSLATE(A10, ""en"", ""hi"")"),"9")</f>
        <v>9</v>
      </c>
      <c r="G10" s="5" t="str">
        <f>IFERROR(__xludf.DUMMYFUNCTION("GOOGLETRANSLATE(B10, ""en"", ""hi"")"),"कैरम के खेल में, खिलाड़ी B गलती से स्ट्राइकर को पॉकेट में डाल देता है, लेकिन उसी बारी में रानी को भी पॉकेट में डाल देता है। परिणाम क्या होता है?")</f>
        <v>कैरम के खेल में, खिलाड़ी B गलती से स्ट्राइकर को पॉकेट में डाल देता है, लेकिन उसी बारी में रानी को भी पॉकेट में डाल देता है। परिणाम क्या होता है?</v>
      </c>
      <c r="H10" s="5" t="str">
        <f>IFERROR(__xludf.DUMMYFUNCTION("GOOGLETRANSLATE(C10, ""en"", ""hi"")"),"A) खिलाड़ी B अपनी बारी खो देता है और रानी को बोर्ड पर वापस कर दिया जाता है। , B) खिलाड़ी B रानी को पॉकेट में डालने के कारण खेल जीत जाता है। , C) खिलाड़ी B खेल हार जाता है। , D) खिलाड़ी B की बारी के साथ खेल जारी रहता है।")</f>
        <v>A) खिलाड़ी B अपनी बारी खो देता है और रानी को बोर्ड पर वापस कर दिया जाता है। , B) खिलाड़ी B रानी को पॉकेट में डालने के कारण खेल जीत जाता है। , C) खिलाड़ी B खेल हार जाता है। , D) खिलाड़ी B की बारी के साथ खेल जारी रहता है।</v>
      </c>
      <c r="I10" s="5" t="str">
        <f>IFERROR(__xludf.DUMMYFUNCTION("GOOGLETRANSLATE(D10, ""en"", ""hi"")"),"A) खिलाड़ी B अपनी बारी खो देता है और रानी बोर्ड पर वापस आ जाती है।")</f>
        <v>A) खिलाड़ी B अपनी बारी खो देता है और रानी बोर्ड पर वापस आ जाती है।</v>
      </c>
    </row>
    <row r="11" ht="22.5" customHeight="1">
      <c r="A11" s="2">
        <v>10.0</v>
      </c>
      <c r="B11" s="3" t="s">
        <v>8175</v>
      </c>
      <c r="C11" s="3" t="s">
        <v>8176</v>
      </c>
      <c r="D11" s="3" t="s">
        <v>8177</v>
      </c>
      <c r="F11" s="5" t="str">
        <f>IFERROR(__xludf.DUMMYFUNCTION("GOOGLETRANSLATE(A11, ""en"", ""hi"")"),"10")</f>
        <v>10</v>
      </c>
      <c r="G11" s="5" t="str">
        <f>IFERROR(__xludf.DUMMYFUNCTION("GOOGLETRANSLATE(B11, ""en"", ""hi"")"),"कैरम खेल के दौरान, खिलाड़ी A अपनी रानी को पॉकेट में डाल देता है, लेकिन अगली बारी में वह मोहरा पॉकेट में नहीं डाल पाता। क्या होता है?")</f>
        <v>कैरम खेल के दौरान, खिलाड़ी A अपनी रानी को पॉकेट में डाल देता है, लेकिन अगली बारी में वह मोहरा पॉकेट में नहीं डाल पाता। क्या होता है?</v>
      </c>
      <c r="H11" s="5" t="str">
        <f>IFERROR(__xludf.DUMMYFUNCTION("GOOGLETRANSLATE(C11, ""en"", ""hi"")"),"A) खिलाड़ी A खेल जीत जाता है। , B) खिलाड़ी A रानी खो देता है और खिलाड़ी B खेल जारी रखता है। , C) खेल ड्रॉ हो जाता है। , D) खिलाड़ी A को अपनी बारी छोड़नी पड़ती है।")</f>
        <v>A) खिलाड़ी A खेल जीत जाता है। , B) खिलाड़ी A रानी खो देता है और खिलाड़ी B खेल जारी रखता है। , C) खेल ड्रॉ हो जाता है। , D) खिलाड़ी A को अपनी बारी छोड़नी पड़ती है।</v>
      </c>
      <c r="I11" s="5" t="str">
        <f>IFERROR(__xludf.DUMMYFUNCTION("GOOGLETRANSLATE(D11, ""en"", ""hi"")"),"बी) खिलाड़ी ए रानी खो देता है और खिलाड़ी बी खेल जारी रखता है।")</f>
        <v>बी) खिलाड़ी ए रानी खो देता है और खिलाड़ी बी खेल जारी रखता है।</v>
      </c>
    </row>
    <row r="12" ht="22.5" customHeight="1">
      <c r="A12" s="2">
        <v>11.0</v>
      </c>
      <c r="B12" s="3" t="s">
        <v>8178</v>
      </c>
      <c r="C12" s="3" t="s">
        <v>8179</v>
      </c>
      <c r="D12" s="3" t="s">
        <v>8180</v>
      </c>
      <c r="F12" s="5" t="str">
        <f>IFERROR(__xludf.DUMMYFUNCTION("GOOGLETRANSLATE(A12, ""en"", ""hi"")"),"11")</f>
        <v>11</v>
      </c>
      <c r="G12" s="5" t="str">
        <f>IFERROR(__xludf.DUMMYFUNCTION("GOOGLETRANSLATE(B12, ""en"", ""hi"")"),"कैरम में, यदि कोई खिलाड़ी एक ही बार में रानी और उसके बाद अपनी सभी गोटियों को पॉकेट में डाल देता है, तो परिणाम क्या होगा?")</f>
        <v>कैरम में, यदि कोई खिलाड़ी एक ही बार में रानी और उसके बाद अपनी सभी गोटियों को पॉकेट में डाल देता है, तो परिणाम क्या होगा?</v>
      </c>
      <c r="H12" s="5" t="str">
        <f>IFERROR(__xludf.DUMMYFUNCTION("GOOGLETRANSLATE(C12, ""en"", ""hi"")"),"A) खिलाड़ी खेल जीत जाता है। , B) खेल प्रतिद्वंद्वी की बारी के साथ जारी रहता है। , C) खिलाड़ी को अपने सभी मोहरे और रानी वापस करनी होती है। , D) खेल ड्रॉ होता है।")</f>
        <v>A) खिलाड़ी खेल जीत जाता है। , B) खेल प्रतिद्वंद्वी की बारी के साथ जारी रहता है। , C) खिलाड़ी को अपने सभी मोहरे और रानी वापस करनी होती है। , D) खेल ड्रॉ होता है।</v>
      </c>
      <c r="I12" s="5" t="str">
        <f>IFERROR(__xludf.DUMMYFUNCTION("GOOGLETRANSLATE(D12, ""en"", ""hi"")"),"A) खिलाड़ी खेल जीतता है।")</f>
        <v>A) खिलाड़ी खेल जीतता है।</v>
      </c>
    </row>
    <row r="13" ht="22.5" customHeight="1">
      <c r="A13" s="2">
        <v>12.0</v>
      </c>
      <c r="B13" s="3" t="s">
        <v>8181</v>
      </c>
      <c r="C13" s="3" t="s">
        <v>8182</v>
      </c>
      <c r="D13" s="3" t="s">
        <v>8183</v>
      </c>
      <c r="F13" s="5" t="str">
        <f>IFERROR(__xludf.DUMMYFUNCTION("GOOGLETRANSLATE(A13, ""en"", ""hi"")"),"12")</f>
        <v>12</v>
      </c>
      <c r="G13" s="5" t="str">
        <f>IFERROR(__xludf.DUMMYFUNCTION("GOOGLETRANSLATE(B13, ""en"", ""hi"")"),"कैरम मैच में, खिलाड़ी X एक शॉट लगाता है जो खिलाड़ी Y के एक मोहरे और रानी दोनों पर लगता है। इसका नियम क्या है?")</f>
        <v>कैरम मैच में, खिलाड़ी X एक शॉट लगाता है जो खिलाड़ी Y के एक मोहरे और रानी दोनों पर लगता है। इसका नियम क्या है?</v>
      </c>
      <c r="H13" s="5" t="str">
        <f>IFERROR(__xludf.DUMMYFUNCTION("GOOGLETRANSLATE(C13, ""en"", ""hi"")"),"A) खिलाड़ी X खेल जीत जाता है। , B) खिलाड़ी X अपनी बारी खो देता है और खिलाड़ी Y का मोहरा वापस कर दिया जाता है। , C) खिलाड़ी X अपनी बारी खो देता है और रानी को वापस रख दिया जाता है। , D) खिलाड़ी X अपनी बारी जारी रखता है।")</f>
        <v>A) खिलाड़ी X खेल जीत जाता है। , B) खिलाड़ी X अपनी बारी खो देता है और खिलाड़ी Y का मोहरा वापस कर दिया जाता है। , C) खिलाड़ी X अपनी बारी खो देता है और रानी को वापस रख दिया जाता है। , D) खिलाड़ी X अपनी बारी जारी रखता है।</v>
      </c>
      <c r="I13" s="5" t="str">
        <f>IFERROR(__xludf.DUMMYFUNCTION("GOOGLETRANSLATE(D13, ""en"", ""hi"")"),"C) खिलाड़ी X अपनी बारी खो देता है और रानी को वापस रख दिया जाता है।")</f>
        <v>C) खिलाड़ी X अपनी बारी खो देता है और रानी को वापस रख दिया जाता है।</v>
      </c>
    </row>
    <row r="14" ht="22.5" customHeight="1">
      <c r="A14" s="2">
        <v>13.0</v>
      </c>
      <c r="B14" s="3" t="s">
        <v>8184</v>
      </c>
      <c r="C14" s="3" t="s">
        <v>8185</v>
      </c>
      <c r="D14" s="3" t="s">
        <v>8186</v>
      </c>
      <c r="F14" s="5" t="str">
        <f>IFERROR(__xludf.DUMMYFUNCTION("GOOGLETRANSLATE(A14, ""en"", ""hi"")"),"13")</f>
        <v>13</v>
      </c>
      <c r="G14" s="5" t="str">
        <f>IFERROR(__xludf.DUMMYFUNCTION("GOOGLETRANSLATE(B14, ""en"", ""hi"")"),"खिलाड़ी A और खिलाड़ी B कैरम खेल रहे हैं। खिलाड़ी A ने रानी को छोड़कर अपनी सभी गोटियाँ पॉकेट में डाल दी हैं, जबकि खिलाड़ी B के पास अभी भी बोर्ड पर अपनी गोटियाँ हैं। अगर खिलाड़ी A रानी को पॉकेट में डाल दे तो क्या होगा?")</f>
        <v>खिलाड़ी A और खिलाड़ी B कैरम खेल रहे हैं। खिलाड़ी A ने रानी को छोड़कर अपनी सभी गोटियाँ पॉकेट में डाल दी हैं, जबकि खिलाड़ी B के पास अभी भी बोर्ड पर अपनी गोटियाँ हैं। अगर खिलाड़ी A रानी को पॉकेट में डाल दे तो क्या होगा?</v>
      </c>
      <c r="H14" s="5" t="str">
        <f>IFERROR(__xludf.DUMMYFUNCTION("GOOGLETRANSLATE(C14, ""en"", ""hi"")"),"A) खिलाड़ी A खेल जीतता है। , B) खिलाड़ी B खेल जीतता है। , C) खेल बराबरी पर रहता है। , D) खिलाड़ी A को जीतने के लिए अभी भी अपने मोहरों में से एक को पॉकेट में डालना होगा।")</f>
        <v>A) खिलाड़ी A खेल जीतता है। , B) खिलाड़ी B खेल जीतता है। , C) खेल बराबरी पर रहता है। , D) खिलाड़ी A को जीतने के लिए अभी भी अपने मोहरों में से एक को पॉकेट में डालना होगा।</v>
      </c>
      <c r="I14" s="5" t="str">
        <f>IFERROR(__xludf.DUMMYFUNCTION("GOOGLETRANSLATE(D14, ""en"", ""hi"")"),"D) खिलाड़ी A को जीतने के लिए अपने एक मोहरे को पॉकेट में डालना होगा।")</f>
        <v>D) खिलाड़ी A को जीतने के लिए अपने एक मोहरे को पॉकेट में डालना होगा।</v>
      </c>
    </row>
    <row r="15" ht="22.5" customHeight="1">
      <c r="A15" s="2">
        <v>14.0</v>
      </c>
      <c r="B15" s="3" t="s">
        <v>8187</v>
      </c>
      <c r="C15" s="3" t="s">
        <v>8188</v>
      </c>
      <c r="D15" s="3" t="s">
        <v>8189</v>
      </c>
      <c r="F15" s="5" t="str">
        <f>IFERROR(__xludf.DUMMYFUNCTION("GOOGLETRANSLATE(A15, ""en"", ""hi"")"),"14")</f>
        <v>14</v>
      </c>
      <c r="G15" s="5" t="str">
        <f>IFERROR(__xludf.DUMMYFUNCTION("GOOGLETRANSLATE(B15, ""en"", ""hi"")"),"कैरम खेल में, खिलाड़ी X शॉट लगाते समय गलती से खिलाड़ी Y की एक गोटी को छू लेता है। इसका नियम क्या है?")</f>
        <v>कैरम खेल में, खिलाड़ी X शॉट लगाते समय गलती से खिलाड़ी Y की एक गोटी को छू लेता है। इसका नियम क्या है?</v>
      </c>
      <c r="H15" s="5" t="str">
        <f>IFERROR(__xludf.DUMMYFUNCTION("GOOGLETRANSLATE(C15, ""en"", ""hi"")"),"A) खिलाड़ी X अपनी बारी खो देता है और छुआ हुआ मोहरा बोर्ड पर वापस आ जाता है। , B) खिलाड़ी X खेल जीत जाता है। , C) खिलाड़ी X को अपना एक मोहरा छोड़ना पड़ता है। , D) खिलाड़ी X अपनी बारी जारी रखता है।")</f>
        <v>A) खिलाड़ी X अपनी बारी खो देता है और छुआ हुआ मोहरा बोर्ड पर वापस आ जाता है। , B) खिलाड़ी X खेल जीत जाता है। , C) खिलाड़ी X को अपना एक मोहरा छोड़ना पड़ता है। , D) खिलाड़ी X अपनी बारी जारी रखता है।</v>
      </c>
      <c r="I15" s="5" t="str">
        <f>IFERROR(__xludf.DUMMYFUNCTION("GOOGLETRANSLATE(D15, ""en"", ""hi"")"),"A) खिलाड़ी X अपनी बारी खो देता है और छुआ गया मोहरा बोर्ड पर वापस आ जाता है।")</f>
        <v>A) खिलाड़ी X अपनी बारी खो देता है और छुआ गया मोहरा बोर्ड पर वापस आ जाता है।</v>
      </c>
    </row>
    <row r="16" ht="22.5" customHeight="1">
      <c r="A16" s="2">
        <v>15.0</v>
      </c>
      <c r="B16" s="3" t="s">
        <v>8190</v>
      </c>
      <c r="C16" s="3" t="s">
        <v>8191</v>
      </c>
      <c r="D16" s="3" t="s">
        <v>8192</v>
      </c>
      <c r="F16" s="5" t="str">
        <f>IFERROR(__xludf.DUMMYFUNCTION("GOOGLETRANSLATE(A16, ""en"", ""hi"")"),"15")</f>
        <v>15</v>
      </c>
      <c r="G16" s="5" t="str">
        <f>IFERROR(__xludf.DUMMYFUNCTION("GOOGLETRANSLATE(B16, ""en"", ""hi"")"),"कैरम खेल के दौरान यदि स्ट्राइकर किसी भी मोहरे को मारे बिना बोर्ड से बाहर चला जाता है, तो क्या नियम है?")</f>
        <v>कैरम खेल के दौरान यदि स्ट्राइकर किसी भी मोहरे को मारे बिना बोर्ड से बाहर चला जाता है, तो क्या नियम है?</v>
      </c>
      <c r="H16" s="5" t="str">
        <f>IFERROR(__xludf.DUMMYFUNCTION("GOOGLETRANSLATE(C16, ""en"", ""hi"")"),"A) खिलाड़ी अपनी बारी खो देता है और उसे बोर्ड पर एक मोहरा वापस रखना पड़ता है। , B) खिलाड़ी खेल जीत जाता है। , C) खेल बराबरी पर रहता है। , D) खिलाड़ी अपनी बारी जारी रखता है।")</f>
        <v>A) खिलाड़ी अपनी बारी खो देता है और उसे बोर्ड पर एक मोहरा वापस रखना पड़ता है। , B) खिलाड़ी खेल जीत जाता है। , C) खेल बराबरी पर रहता है। , D) खिलाड़ी अपनी बारी जारी रखता है।</v>
      </c>
      <c r="I16" s="5" t="str">
        <f>IFERROR(__xludf.DUMMYFUNCTION("GOOGLETRANSLATE(D16, ""en"", ""hi"")"),"A) खिलाड़ी अपनी बारी खो देता है और उसे बोर्ड पर एक मोहरा वापस रखना पड़ता है।")</f>
        <v>A) खिलाड़ी अपनी बारी खो देता है और उसे बोर्ड पर एक मोहरा वापस रखना पड़ता है।</v>
      </c>
    </row>
    <row r="17" ht="22.5" customHeight="1">
      <c r="A17" s="2">
        <v>16.0</v>
      </c>
      <c r="B17" s="3" t="s">
        <v>8193</v>
      </c>
      <c r="C17" s="3" t="s">
        <v>8194</v>
      </c>
      <c r="D17" s="3" t="s">
        <v>7821</v>
      </c>
      <c r="F17" s="5" t="str">
        <f>IFERROR(__xludf.DUMMYFUNCTION("GOOGLETRANSLATE(A17, ""en"", ""hi"")"),"16")</f>
        <v>16</v>
      </c>
      <c r="G17" s="5" t="str">
        <f>IFERROR(__xludf.DUMMYFUNCTION("GOOGLETRANSLATE(B17, ""en"", ""hi"")"),"कैरम मैच में, खिलाड़ी X ने अपनी सभी गोटियाँ और रानी पॉकेट में डाल दी हैं। हालाँकि, खिलाड़ी Y अपनी अगली बारी में रानी पॉकेट में डाल देता है। क्या होता है?")</f>
        <v>कैरम मैच में, खिलाड़ी X ने अपनी सभी गोटियाँ और रानी पॉकेट में डाल दी हैं। हालाँकि, खिलाड़ी Y अपनी अगली बारी में रानी पॉकेट में डाल देता है। क्या होता है?</v>
      </c>
      <c r="H17" s="5" t="str">
        <f>IFERROR(__xludf.DUMMYFUNCTION("GOOGLETRANSLATE(C17, ""en"", ""hi"")"),"A) खिलाड़ी X खेल जीतता है। , B) खिलाड़ी Y खेल जीतता है। , C) रानी बोर्ड पर वापस आ जाती है। , D) खिलाड़ी X को एक और मोहरा जेब में डालना होगा।")</f>
        <v>A) खिलाड़ी X खेल जीतता है। , B) खिलाड़ी Y खेल जीतता है। , C) रानी बोर्ड पर वापस आ जाती है। , D) खिलाड़ी X को एक और मोहरा जेब में डालना होगा।</v>
      </c>
      <c r="I17" s="5" t="str">
        <f>IFERROR(__xludf.DUMMYFUNCTION("GOOGLETRANSLATE(D17, ""en"", ""hi"")"),"A) खिलाड़ी X खेल जीतता है।")</f>
        <v>A) खिलाड़ी X खेल जीतता है।</v>
      </c>
    </row>
    <row r="18" ht="22.5" customHeight="1">
      <c r="A18" s="2">
        <v>17.0</v>
      </c>
      <c r="B18" s="3" t="s">
        <v>8195</v>
      </c>
      <c r="C18" s="3" t="s">
        <v>8196</v>
      </c>
      <c r="D18" s="3" t="s">
        <v>8197</v>
      </c>
      <c r="F18" s="5" t="str">
        <f>IFERROR(__xludf.DUMMYFUNCTION("GOOGLETRANSLATE(A18, ""en"", ""hi"")"),"17")</f>
        <v>17</v>
      </c>
      <c r="G18" s="5" t="str">
        <f>IFERROR(__xludf.DUMMYFUNCTION("GOOGLETRANSLATE(B18, ""en"", ""hi"")"),"यदि कोई खिलाड़ी स्ट्राइकर को पॉकेट में डालता है, लेकिन उसी बारी में एक मोहरा भी पॉकेट में डालने में सफल हो जाता है, तो जुर्माना क्या होगा?")</f>
        <v>यदि कोई खिलाड़ी स्ट्राइकर को पॉकेट में डालता है, लेकिन उसी बारी में एक मोहरा भी पॉकेट में डालने में सफल हो जाता है, तो जुर्माना क्या होगा?</v>
      </c>
      <c r="H18" s="5" t="str">
        <f>IFERROR(__xludf.DUMMYFUNCTION("GOOGLETRANSLATE(C18, ""en"", ""hi"")"),"ए) खिलाड़ी अपनी बारी खो देता है और मोहरा वापस कर दिया जाता है।, बी) खिलाड़ी खेल जीत जाता है।, सी) खिलाड़ी को अपनी अगली बारी गँवानी पड़ती है।, डी) खिलाड़ी अपनी बारी जारी रखता है।")</f>
        <v>ए) खिलाड़ी अपनी बारी खो देता है और मोहरा वापस कर दिया जाता है।, बी) खिलाड़ी खेल जीत जाता है।, सी) खिलाड़ी को अपनी अगली बारी गँवानी पड़ती है।, डी) खिलाड़ी अपनी बारी जारी रखता है।</v>
      </c>
      <c r="I18" s="5" t="str">
        <f>IFERROR(__xludf.DUMMYFUNCTION("GOOGLETRANSLATE(D18, ""en"", ""hi"")"),"ए) खिलाड़ी अपनी बारी खो देता है और मोहरा वापस कर दिया जाता है।")</f>
        <v>ए) खिलाड़ी अपनी बारी खो देता है और मोहरा वापस कर दिया जाता है।</v>
      </c>
    </row>
    <row r="19" ht="22.5" customHeight="1">
      <c r="A19" s="2">
        <v>18.0</v>
      </c>
      <c r="B19" s="3" t="s">
        <v>8198</v>
      </c>
      <c r="C19" s="3" t="s">
        <v>8199</v>
      </c>
      <c r="D19" s="3" t="s">
        <v>8180</v>
      </c>
      <c r="F19" s="5" t="str">
        <f>IFERROR(__xludf.DUMMYFUNCTION("GOOGLETRANSLATE(A19, ""en"", ""hi"")"),"18")</f>
        <v>18</v>
      </c>
      <c r="G19" s="5" t="str">
        <f>IFERROR(__xludf.DUMMYFUNCTION("GOOGLETRANSLATE(B19, ""en"", ""hi"")"),"कैरम खेल के दौरान, यदि कोई खिलाड़ी एक साथ अपने सभी मोहरों और रानी को पॉकेट में डाल देता है, तो परिणाम क्या होगा?")</f>
        <v>कैरम खेल के दौरान, यदि कोई खिलाड़ी एक साथ अपने सभी मोहरों और रानी को पॉकेट में डाल देता है, तो परिणाम क्या होगा?</v>
      </c>
      <c r="H19" s="5" t="str">
        <f>IFERROR(__xludf.DUMMYFUNCTION("GOOGLETRANSLATE(C19, ""en"", ""hi"")"),"A) खिलाड़ी खेल जीत जाता है। , B) रानी बोर्ड पर वापस आ जाती है। , C) खेल जारी रहता है। , D) खिलाड़ी को अपना अंतिम मोहरा वापस करना होगा।")</f>
        <v>A) खिलाड़ी खेल जीत जाता है। , B) रानी बोर्ड पर वापस आ जाती है। , C) खेल जारी रहता है। , D) खिलाड़ी को अपना अंतिम मोहरा वापस करना होगा।</v>
      </c>
      <c r="I19" s="5" t="str">
        <f>IFERROR(__xludf.DUMMYFUNCTION("GOOGLETRANSLATE(D19, ""en"", ""hi"")"),"A) खिलाड़ी खेल जीतता है।")</f>
        <v>A) खिलाड़ी खेल जीतता है।</v>
      </c>
    </row>
    <row r="20" ht="22.5" customHeight="1">
      <c r="A20" s="2">
        <v>19.0</v>
      </c>
      <c r="B20" s="3" t="s">
        <v>8200</v>
      </c>
      <c r="C20" s="3" t="s">
        <v>8201</v>
      </c>
      <c r="D20" s="3" t="s">
        <v>8202</v>
      </c>
      <c r="F20" s="5" t="str">
        <f>IFERROR(__xludf.DUMMYFUNCTION("GOOGLETRANSLATE(A20, ""en"", ""hi"")"),"19")</f>
        <v>19</v>
      </c>
      <c r="G20" s="5" t="str">
        <f>IFERROR(__xludf.DUMMYFUNCTION("GOOGLETRANSLATE(B20, ""en"", ""hi"")"),"कैरम में यदि कोई खिलाड़ी क्वीन को पॉकेट में डाल देता है, लेकिन फिर फाउल कर देता है, तो नियम क्या है?")</f>
        <v>कैरम में यदि कोई खिलाड़ी क्वीन को पॉकेट में डाल देता है, लेकिन फिर फाउल कर देता है, तो नियम क्या है?</v>
      </c>
      <c r="H20" s="5" t="str">
        <f>IFERROR(__xludf.DUMMYFUNCTION("GOOGLETRANSLATE(C20, ""en"", ""hi"")"),"A) खिलाड़ी रानी और अपनी बारी खो देता है। , B) खिलाड़ी खेल जीत जाता है। , C) खिलाड़ी बिना किसी दंड के अपनी बारी जारी रखता है। , D) खेल ड्रॉ हो जाता है।")</f>
        <v>A) खिलाड़ी रानी और अपनी बारी खो देता है। , B) खिलाड़ी खेल जीत जाता है। , C) खिलाड़ी बिना किसी दंड के अपनी बारी जारी रखता है। , D) खेल ड्रॉ हो जाता है।</v>
      </c>
      <c r="I20" s="5" t="str">
        <f>IFERROR(__xludf.DUMMYFUNCTION("GOOGLETRANSLATE(D20, ""en"", ""hi"")"),"A) खिलाड़ी रानी और अपनी बारी खो देता है।")</f>
        <v>A) खिलाड़ी रानी और अपनी बारी खो देता है।</v>
      </c>
    </row>
    <row r="21" ht="22.5" customHeight="1">
      <c r="A21" s="2">
        <v>20.0</v>
      </c>
      <c r="B21" s="3" t="s">
        <v>8203</v>
      </c>
      <c r="C21" s="3" t="s">
        <v>8204</v>
      </c>
      <c r="D21" s="3" t="s">
        <v>8205</v>
      </c>
      <c r="F21" s="5" t="str">
        <f>IFERROR(__xludf.DUMMYFUNCTION("GOOGLETRANSLATE(A21, ""en"", ""hi"")"),"20")</f>
        <v>20</v>
      </c>
      <c r="G21" s="5" t="str">
        <f>IFERROR(__xludf.DUMMYFUNCTION("GOOGLETRANSLATE(B21, ""en"", ""hi"")"),"खिलाड़ी X एक ही शॉट में एक मोहरा और एक रानी पॉकेट में डाल देता है, लेकिन रानी बोर्ड से बाहर चली जाती है। नतीजा क्या होता है?")</f>
        <v>खिलाड़ी X एक ही शॉट में एक मोहरा और एक रानी पॉकेट में डाल देता है, लेकिन रानी बोर्ड से बाहर चली जाती है। नतीजा क्या होता है?</v>
      </c>
      <c r="H21" s="5" t="str">
        <f>IFERROR(__xludf.DUMMYFUNCTION("GOOGLETRANSLATE(C21, ""en"", ""hi"")"),"A) खिलाड़ी X खेल जीत जाता है। , B) रानी को बोर्ड पर वापस रख दिया जाता है। , C) खेल ड्रॉ हो जाता है। , D) खिलाड़ी X अपनी बारी खो देता है।")</f>
        <v>A) खिलाड़ी X खेल जीत जाता है। , B) रानी को बोर्ड पर वापस रख दिया जाता है। , C) खेल ड्रॉ हो जाता है। , D) खिलाड़ी X अपनी बारी खो देता है।</v>
      </c>
      <c r="I21" s="5" t="str">
        <f>IFERROR(__xludf.DUMMYFUNCTION("GOOGLETRANSLATE(D21, ""en"", ""hi"")"),"बी) रानी को वापस बोर्ड पर रख दिया जाता है।")</f>
        <v>बी) रानी को वापस बोर्ड पर रख दिया जाता है।</v>
      </c>
    </row>
    <row r="22" ht="22.5" customHeight="1">
      <c r="A22" s="2">
        <v>21.0</v>
      </c>
      <c r="B22" s="3" t="s">
        <v>8206</v>
      </c>
      <c r="C22" s="3" t="s">
        <v>8207</v>
      </c>
      <c r="D22" s="3" t="s">
        <v>8208</v>
      </c>
      <c r="F22" s="5" t="str">
        <f>IFERROR(__xludf.DUMMYFUNCTION("GOOGLETRANSLATE(A22, ""en"", ""hi"")"),"21")</f>
        <v>21</v>
      </c>
      <c r="G22" s="5" t="str">
        <f>IFERROR(__xludf.DUMMYFUNCTION("GOOGLETRANSLATE(B22, ""en"", ""hi"")"),"कैरम खेल के दौरान, खिलाड़ी X अपनी रानी को पॉकेट में डाल देता है, लेकिन अगली बारी में कोई भी मोहरा पॉकेट में नहीं डाल पाता। इसका नियम क्या है?")</f>
        <v>कैरम खेल के दौरान, खिलाड़ी X अपनी रानी को पॉकेट में डाल देता है, लेकिन अगली बारी में कोई भी मोहरा पॉकेट में नहीं डाल पाता। इसका नियम क्या है?</v>
      </c>
      <c r="H22" s="5" t="str">
        <f>IFERROR(__xludf.DUMMYFUNCTION("GOOGLETRANSLATE(C22, ""en"", ""hi"")"),"A) खिलाड़ी X रानी और अपनी बारी खो देता है। , B) खिलाड़ी X खेल जीत जाता है। , C) खेल ड्रॉ हो जाता है। , D) खिलाड़ी X बिना किसी दंड के अपनी बारी जारी रखता है।")</f>
        <v>A) खिलाड़ी X रानी और अपनी बारी खो देता है। , B) खिलाड़ी X खेल जीत जाता है। , C) खेल ड्रॉ हो जाता है। , D) खिलाड़ी X बिना किसी दंड के अपनी बारी जारी रखता है।</v>
      </c>
      <c r="I22" s="5" t="str">
        <f>IFERROR(__xludf.DUMMYFUNCTION("GOOGLETRANSLATE(D22, ""en"", ""hi"")"),"A) खिलाड़ी X रानी और अपनी बारी खो देता है।")</f>
        <v>A) खिलाड़ी X रानी और अपनी बारी खो देता है।</v>
      </c>
    </row>
    <row r="23" ht="22.5" customHeight="1">
      <c r="A23" s="2">
        <v>22.0</v>
      </c>
      <c r="B23" s="3" t="s">
        <v>8209</v>
      </c>
      <c r="C23" s="3" t="s">
        <v>8210</v>
      </c>
      <c r="D23" s="3" t="s">
        <v>8211</v>
      </c>
      <c r="F23" s="5" t="str">
        <f>IFERROR(__xludf.DUMMYFUNCTION("GOOGLETRANSLATE(A23, ""en"", ""hi"")"),"22")</f>
        <v>22</v>
      </c>
      <c r="G23" s="5" t="str">
        <f>IFERROR(__xludf.DUMMYFUNCTION("GOOGLETRANSLATE(B23, ""en"", ""hi"")"),"खिलाड़ी A और खिलाड़ी B कैरम खेल रहे हैं। खिलाड़ी A अपनी अगली बारी में रानी को पॉकेट में डाल देता है, लेकिन एक भी मोहरा पॉकेट में नहीं डाल पाता। आगे क्या होता है?")</f>
        <v>खिलाड़ी A और खिलाड़ी B कैरम खेल रहे हैं। खिलाड़ी A अपनी अगली बारी में रानी को पॉकेट में डाल देता है, लेकिन एक भी मोहरा पॉकेट में नहीं डाल पाता। आगे क्या होता है?</v>
      </c>
      <c r="H23" s="5" t="str">
        <f>IFERROR(__xludf.DUMMYFUNCTION("GOOGLETRANSLATE(C23, ""en"", ""hi"")"),"A) खिलाड़ी A रानी खो देता है। , B) खिलाड़ी B खेल जीत जाता है। , C) खेल बराबरी पर रहता है। , D) खिलाड़ी A अपनी बारी जारी रखता है।")</f>
        <v>A) खिलाड़ी A रानी खो देता है। , B) खिलाड़ी B खेल जीत जाता है। , C) खेल बराबरी पर रहता है। , D) खिलाड़ी A अपनी बारी जारी रखता है।</v>
      </c>
      <c r="I23" s="5" t="str">
        <f>IFERROR(__xludf.DUMMYFUNCTION("GOOGLETRANSLATE(D23, ""en"", ""hi"")"),"A) खिलाड़ी A रानी खो देता है।")</f>
        <v>A) खिलाड़ी A रानी खो देता है।</v>
      </c>
    </row>
    <row r="24" ht="22.5" customHeight="1">
      <c r="A24" s="2">
        <v>23.0</v>
      </c>
      <c r="B24" s="3" t="s">
        <v>8212</v>
      </c>
      <c r="C24" s="3" t="s">
        <v>8213</v>
      </c>
      <c r="D24" s="3" t="s">
        <v>8214</v>
      </c>
      <c r="F24" s="5" t="str">
        <f>IFERROR(__xludf.DUMMYFUNCTION("GOOGLETRANSLATE(A24, ""en"", ""hi"")"),"23")</f>
        <v>23</v>
      </c>
      <c r="G24" s="5" t="str">
        <f>IFERROR(__xludf.DUMMYFUNCTION("GOOGLETRANSLATE(B24, ""en"", ""hi"")"),"कैरम खेल में, खिलाड़ी X अपनी आखिरी गोटी पॉकेट में डाल देता है, लेकिन अगली बारी में फ़ाउल कर देता है। नतीजा क्या होता है?")</f>
        <v>कैरम खेल में, खिलाड़ी X अपनी आखिरी गोटी पॉकेट में डाल देता है, लेकिन अगली बारी में फ़ाउल कर देता है। नतीजा क्या होता है?</v>
      </c>
      <c r="H24" s="5" t="str">
        <f>IFERROR(__xludf.DUMMYFUNCTION("GOOGLETRANSLATE(C24, ""en"", ""hi"")"),"A) खिलाड़ी X खेल हार जाता है। , B) खिलाड़ी X की बारी के साथ खेल जारी रहता है। , C) खिलाड़ी X को अपना अंतिम टुकड़ा बोर्ड पर वापस करना होगा। , D) खिलाड़ी X खेल जीत जाता है।")</f>
        <v>A) खिलाड़ी X खेल हार जाता है। , B) खिलाड़ी X की बारी के साथ खेल जारी रहता है। , C) खिलाड़ी X को अपना अंतिम टुकड़ा बोर्ड पर वापस करना होगा। , D) खिलाड़ी X खेल जीत जाता है।</v>
      </c>
      <c r="I24" s="5" t="str">
        <f>IFERROR(__xludf.DUMMYFUNCTION("GOOGLETRANSLATE(D24, ""en"", ""hi"")"),"C) खिलाड़ी X को अपना अंतिम मोहरा बोर्ड पर वापस लाना होगा।")</f>
        <v>C) खिलाड़ी X को अपना अंतिम मोहरा बोर्ड पर वापस लाना होगा।</v>
      </c>
    </row>
    <row r="25" ht="22.5" customHeight="1">
      <c r="A25" s="2">
        <v>24.0</v>
      </c>
      <c r="B25" s="3" t="s">
        <v>8215</v>
      </c>
      <c r="C25" s="3" t="s">
        <v>8216</v>
      </c>
      <c r="D25" s="3" t="s">
        <v>8217</v>
      </c>
      <c r="F25" s="5" t="str">
        <f>IFERROR(__xludf.DUMMYFUNCTION("GOOGLETRANSLATE(A25, ""en"", ""hi"")"),"24")</f>
        <v>24</v>
      </c>
      <c r="G25" s="5" t="str">
        <f>IFERROR(__xludf.DUMMYFUNCTION("GOOGLETRANSLATE(B25, ""en"", ""hi"")"),"यदि खिलाड़ी X अपने सभी मोहरे पॉकेट में डाल देता है, लेकिन गलती से उसी बारी में स्ट्राइकर को पॉकेट में डाल देता है, तो दंड क्या होगा?")</f>
        <v>यदि खिलाड़ी X अपने सभी मोहरे पॉकेट में डाल देता है, लेकिन गलती से उसी बारी में स्ट्राइकर को पॉकेट में डाल देता है, तो दंड क्या होगा?</v>
      </c>
      <c r="H25" s="5" t="str">
        <f>IFERROR(__xludf.DUMMYFUNCTION("GOOGLETRANSLATE(C25, ""en"", ""hi"")"),"A) खिलाड़ी X अपनी बारी खो देता है और उसे बोर्ड पर एक मोहरा वापस रखना पड़ता है। , B) खिलाड़ी X खेल जीत जाता है। , C) खिलाड़ी X खेल हार जाता है। , D) खेल ड्रॉ हो जाता है।")</f>
        <v>A) खिलाड़ी X अपनी बारी खो देता है और उसे बोर्ड पर एक मोहरा वापस रखना पड़ता है। , B) खिलाड़ी X खेल जीत जाता है। , C) खिलाड़ी X खेल हार जाता है। , D) खेल ड्रॉ हो जाता है।</v>
      </c>
      <c r="I25" s="5" t="str">
        <f>IFERROR(__xludf.DUMMYFUNCTION("GOOGLETRANSLATE(D25, ""en"", ""hi"")"),"A) खिलाड़ी X अपनी बारी खो देता है और उसे बोर्ड पर एक मोहरा वापस रखना पड़ता है।")</f>
        <v>A) खिलाड़ी X अपनी बारी खो देता है और उसे बोर्ड पर एक मोहरा वापस रखना पड़ता है।</v>
      </c>
    </row>
    <row r="26" ht="22.5" customHeight="1">
      <c r="A26" s="2">
        <v>25.0</v>
      </c>
      <c r="B26" s="3" t="s">
        <v>8218</v>
      </c>
      <c r="C26" s="3" t="s">
        <v>8219</v>
      </c>
      <c r="D26" s="3" t="s">
        <v>8220</v>
      </c>
      <c r="F26" s="5" t="str">
        <f>IFERROR(__xludf.DUMMYFUNCTION("GOOGLETRANSLATE(A26, ""en"", ""hi"")"),"25")</f>
        <v>25</v>
      </c>
      <c r="G26" s="5" t="str">
        <f>IFERROR(__xludf.DUMMYFUNCTION("GOOGLETRANSLATE(B26, ""en"", ""hi"")"),"कैरम मैच के दौरान, खिलाड़ी A रानी को पॉकेट में डाल देता है, लेकिन अपनी अगली बारी में वह मोहरा पॉकेट में डालने में असफल रहता है। इसका नियम क्या है?")</f>
        <v>कैरम मैच के दौरान, खिलाड़ी A रानी को पॉकेट में डाल देता है, लेकिन अपनी अगली बारी में वह मोहरा पॉकेट में डालने में असफल रहता है। इसका नियम क्या है?</v>
      </c>
      <c r="H26" s="5" t="str">
        <f>IFERROR(__xludf.DUMMYFUNCTION("GOOGLETRANSLATE(C26, ""en"", ""hi"")"),"A) खिलाड़ी A रानी खो देता है और खिलाड़ी B खेल जारी रखता है। , B) खिलाड़ी A खेल जीत जाता है। , C) खेल बराबरी पर रहता है। , D) खिलाड़ी A को अपनी अगली बारी छोड़नी पड़ती है।")</f>
        <v>A) खिलाड़ी A रानी खो देता है और खिलाड़ी B खेल जारी रखता है। , B) खिलाड़ी A खेल जीत जाता है। , C) खेल बराबरी पर रहता है। , D) खिलाड़ी A को अपनी अगली बारी छोड़नी पड़ती है।</v>
      </c>
      <c r="I26" s="5" t="str">
        <f>IFERROR(__xludf.DUMMYFUNCTION("GOOGLETRANSLATE(D26, ""en"", ""hi"")"),"A) खिलाड़ी A रानी खो देता है और खिलाड़ी B खेल जारी रखता है।")</f>
        <v>A) खिलाड़ी A रानी खो देता है और खिलाड़ी B खेल जारी रखता है।</v>
      </c>
    </row>
    <row r="27" ht="22.5" customHeight="1">
      <c r="A27" s="2">
        <v>26.0</v>
      </c>
      <c r="B27" s="3" t="s">
        <v>8221</v>
      </c>
      <c r="C27" s="3" t="s">
        <v>8222</v>
      </c>
      <c r="D27" s="3" t="s">
        <v>7821</v>
      </c>
      <c r="F27" s="5" t="str">
        <f>IFERROR(__xludf.DUMMYFUNCTION("GOOGLETRANSLATE(A27, ""en"", ""hi"")"),"26")</f>
        <v>26</v>
      </c>
      <c r="G27" s="5" t="str">
        <f>IFERROR(__xludf.DUMMYFUNCTION("GOOGLETRANSLATE(B27, ""en"", ""hi"")"),"यदि खिलाड़ी X एक ही शॉट में रानी और अपने सभी मोहरों को पॉकेट में डाल दे, तो आगे क्या होगा?")</f>
        <v>यदि खिलाड़ी X एक ही शॉट में रानी और अपने सभी मोहरों को पॉकेट में डाल दे, तो आगे क्या होगा?</v>
      </c>
      <c r="H27" s="5" t="str">
        <f>IFERROR(__xludf.DUMMYFUNCTION("GOOGLETRANSLATE(C27, ""en"", ""hi"")"),"A) खिलाड़ी X खेल जीत जाता है। , B) खेल को ड्रॉ माना जाता है। , C) खिलाड़ी X को रानी वापस करनी होगी। , D) खिलाड़ी X अपनी बारी जारी रखता है।")</f>
        <v>A) खिलाड़ी X खेल जीत जाता है। , B) खेल को ड्रॉ माना जाता है। , C) खिलाड़ी X को रानी वापस करनी होगी। , D) खिलाड़ी X अपनी बारी जारी रखता है।</v>
      </c>
      <c r="I27" s="5" t="str">
        <f>IFERROR(__xludf.DUMMYFUNCTION("GOOGLETRANSLATE(D27, ""en"", ""hi"")"),"A) खिलाड़ी X खेल जीतता है।")</f>
        <v>A) खिलाड़ी X खेल जीतता है।</v>
      </c>
    </row>
    <row r="28" ht="22.5" customHeight="1">
      <c r="A28" s="2">
        <v>27.0</v>
      </c>
      <c r="B28" s="3" t="s">
        <v>8223</v>
      </c>
      <c r="C28" s="3" t="s">
        <v>8224</v>
      </c>
      <c r="D28" s="3" t="s">
        <v>8202</v>
      </c>
      <c r="F28" s="5" t="str">
        <f>IFERROR(__xludf.DUMMYFUNCTION("GOOGLETRANSLATE(A28, ""en"", ""hi"")"),"27")</f>
        <v>27</v>
      </c>
      <c r="G28" s="5" t="str">
        <f>IFERROR(__xludf.DUMMYFUNCTION("GOOGLETRANSLATE(B28, ""en"", ""hi"")"),"कैरम में, यदि कोई खिलाड़ी अपनी अंतिम बारी में रानी को पॉकेट में डाल देता है, लेकिन उसी शॉट पर फाउल कर देता है, तो परिणाम क्या होगा?")</f>
        <v>कैरम में, यदि कोई खिलाड़ी अपनी अंतिम बारी में रानी को पॉकेट में डाल देता है, लेकिन उसी शॉट पर फाउल कर देता है, तो परिणाम क्या होगा?</v>
      </c>
      <c r="H28" s="5" t="str">
        <f>IFERROR(__xludf.DUMMYFUNCTION("GOOGLETRANSLATE(C28, ""en"", ""hi"")"),"A) खिलाड़ी रानी और अपनी बारी खो देता है। , B) खिलाड़ी खेल जीत जाता है। , C) खेल बराबरी पर रहता है। , D) खिलाड़ी अपनी बारी जारी रखता है।")</f>
        <v>A) खिलाड़ी रानी और अपनी बारी खो देता है। , B) खिलाड़ी खेल जीत जाता है। , C) खेल बराबरी पर रहता है। , D) खिलाड़ी अपनी बारी जारी रखता है।</v>
      </c>
      <c r="I28" s="5" t="str">
        <f>IFERROR(__xludf.DUMMYFUNCTION("GOOGLETRANSLATE(D28, ""en"", ""hi"")"),"A) खिलाड़ी रानी और अपनी बारी खो देता है।")</f>
        <v>A) खिलाड़ी रानी और अपनी बारी खो देता है।</v>
      </c>
    </row>
    <row r="29" ht="22.5" customHeight="1">
      <c r="A29" s="2">
        <v>28.0</v>
      </c>
      <c r="B29" s="3" t="s">
        <v>8225</v>
      </c>
      <c r="C29" s="3" t="s">
        <v>8226</v>
      </c>
      <c r="D29" s="3" t="s">
        <v>7785</v>
      </c>
      <c r="F29" s="5" t="str">
        <f>IFERROR(__xludf.DUMMYFUNCTION("GOOGLETRANSLATE(A29, ""en"", ""hi"")"),"28")</f>
        <v>28</v>
      </c>
      <c r="G29" s="5" t="str">
        <f>IFERROR(__xludf.DUMMYFUNCTION("GOOGLETRANSLATE(B29, ""en"", ""hi"")"),"खिलाड़ी A एक ही बार में रानी और उसके सभी मोहरों को पॉकेट में डाल देता है। नियम क्या है?")</f>
        <v>खिलाड़ी A एक ही बार में रानी और उसके सभी मोहरों को पॉकेट में डाल देता है। नियम क्या है?</v>
      </c>
      <c r="H29" s="5" t="str">
        <f>IFERROR(__xludf.DUMMYFUNCTION("GOOGLETRANSLATE(C29, ""en"", ""hi"")"),"A) खिलाड़ी A खेल जीत जाता है। , B) खिलाड़ी A को रानी वापस करनी होगी। , C) खेल ड्रॉ हो जाता है। , D) खिलाड़ी A अपनी बारी खो देता है।")</f>
        <v>A) खिलाड़ी A खेल जीत जाता है। , B) खिलाड़ी A को रानी वापस करनी होगी। , C) खेल ड्रॉ हो जाता है। , D) खिलाड़ी A अपनी बारी खो देता है।</v>
      </c>
      <c r="I29" s="5" t="str">
        <f>IFERROR(__xludf.DUMMYFUNCTION("GOOGLETRANSLATE(D29, ""en"", ""hi"")"),"A) खिलाड़ी A खेल जीतता है।")</f>
        <v>A) खिलाड़ी A खेल जीतता है।</v>
      </c>
    </row>
    <row r="30" ht="22.5" customHeight="1">
      <c r="A30" s="2">
        <v>29.0</v>
      </c>
      <c r="B30" s="3" t="s">
        <v>8227</v>
      </c>
      <c r="C30" s="3" t="s">
        <v>8228</v>
      </c>
      <c r="D30" s="3" t="s">
        <v>8229</v>
      </c>
      <c r="F30" s="5" t="str">
        <f>IFERROR(__xludf.DUMMYFUNCTION("GOOGLETRANSLATE(A30, ""en"", ""hi"")"),"29")</f>
        <v>29</v>
      </c>
      <c r="G30" s="5" t="str">
        <f>IFERROR(__xludf.DUMMYFUNCTION("GOOGLETRANSLATE(B30, ""en"", ""hi"")"),"कैरम मैच के दौरान, खिलाड़ी A अपनी रानी को पॉकेट में डाल देता है, लेकिन गलती से स्ट्राइकर को भी पॉकेट में डाल देता है। परिणाम क्या होता है?")</f>
        <v>कैरम मैच के दौरान, खिलाड़ी A अपनी रानी को पॉकेट में डाल देता है, लेकिन गलती से स्ट्राइकर को भी पॉकेट में डाल देता है। परिणाम क्या होता है?</v>
      </c>
      <c r="H30" s="5" t="str">
        <f>IFERROR(__xludf.DUMMYFUNCTION("GOOGLETRANSLATE(C30, ""en"", ""hi"")"),"A) खिलाड़ी A अपनी बारी खो देता है और रानी को बोर्ड पर वापस कर दिया जाता है। , B) खिलाड़ी A खेल जीत जाता है। , C) खिलाड़ी A को अपनी अगली बारी छोड़नी पड़ती है। , D) खिलाड़ी A अपनी बारी जारी रखता है।")</f>
        <v>A) खिलाड़ी A अपनी बारी खो देता है और रानी को बोर्ड पर वापस कर दिया जाता है। , B) खिलाड़ी A खेल जीत जाता है। , C) खिलाड़ी A को अपनी अगली बारी छोड़नी पड़ती है। , D) खिलाड़ी A अपनी बारी जारी रखता है।</v>
      </c>
      <c r="I30" s="5" t="str">
        <f>IFERROR(__xludf.DUMMYFUNCTION("GOOGLETRANSLATE(D30, ""en"", ""hi"")"),"A) खिलाड़ी A अपनी बारी खो देता है और रानी बोर्ड पर वापस आ जाती है।")</f>
        <v>A) खिलाड़ी A अपनी बारी खो देता है और रानी बोर्ड पर वापस आ जाती है।</v>
      </c>
    </row>
    <row r="31" ht="22.5" customHeight="1">
      <c r="A31" s="2">
        <v>30.0</v>
      </c>
      <c r="B31" s="3" t="s">
        <v>8230</v>
      </c>
      <c r="C31" s="3" t="s">
        <v>8231</v>
      </c>
      <c r="D31" s="3" t="s">
        <v>8208</v>
      </c>
      <c r="F31" s="5" t="str">
        <f>IFERROR(__xludf.DUMMYFUNCTION("GOOGLETRANSLATE(A31, ""en"", ""hi"")"),"30")</f>
        <v>30</v>
      </c>
      <c r="G31" s="5" t="str">
        <f>IFERROR(__xludf.DUMMYFUNCTION("GOOGLETRANSLATE(B31, ""en"", ""hi"")"),"खिलाड़ी X क्वीन को पॉकेट में डालता है, लेकिन स्ट्राइकर को पॉकेट में डालकर फ़ाउल भी करता है। आगे क्या होता है?")</f>
        <v>खिलाड़ी X क्वीन को पॉकेट में डालता है, लेकिन स्ट्राइकर को पॉकेट में डालकर फ़ाउल भी करता है। आगे क्या होता है?</v>
      </c>
      <c r="H31" s="5" t="str">
        <f>IFERROR(__xludf.DUMMYFUNCTION("GOOGLETRANSLATE(C31, ""en"", ""hi"")"),"A) खिलाड़ी X रानी और अपनी बारी खो देता है। , B) खिलाड़ी X खेल जीत जाता है। , C) खेल ड्रॉ हो जाता है। , D) खिलाड़ी X को अपने मोहरे बोर्ड पर वापस करने होंगे।")</f>
        <v>A) खिलाड़ी X रानी और अपनी बारी खो देता है। , B) खिलाड़ी X खेल जीत जाता है। , C) खेल ड्रॉ हो जाता है। , D) खिलाड़ी X को अपने मोहरे बोर्ड पर वापस करने होंगे।</v>
      </c>
      <c r="I31" s="5" t="str">
        <f>IFERROR(__xludf.DUMMYFUNCTION("GOOGLETRANSLATE(D31, ""en"", ""hi"")"),"A) खिलाड़ी X रानी और अपनी बारी खो देता है।")</f>
        <v>A) खिलाड़ी X रानी और अपनी बारी खो देता है।</v>
      </c>
    </row>
    <row r="32" ht="22.5" customHeight="1">
      <c r="A32" s="2">
        <v>31.0</v>
      </c>
      <c r="B32" s="3" t="s">
        <v>8232</v>
      </c>
      <c r="C32" s="3" t="s">
        <v>8233</v>
      </c>
      <c r="D32" s="3" t="s">
        <v>8180</v>
      </c>
      <c r="F32" s="5" t="str">
        <f>IFERROR(__xludf.DUMMYFUNCTION("GOOGLETRANSLATE(A32, ""en"", ""hi"")"),"31")</f>
        <v>31</v>
      </c>
      <c r="G32" s="5" t="str">
        <f>IFERROR(__xludf.DUMMYFUNCTION("GOOGLETRANSLATE(B32, ""en"", ""hi"")"),"कैरम खेल में, यदि कोई खिलाड़ी एक ही शॉट में रानी और अपने सभी मोहरों को पॉकेट में डाल देता है, तो नियम क्या है?")</f>
        <v>कैरम खेल में, यदि कोई खिलाड़ी एक ही शॉट में रानी और अपने सभी मोहरों को पॉकेट में डाल देता है, तो नियम क्या है?</v>
      </c>
      <c r="H32" s="5" t="str">
        <f>IFERROR(__xludf.DUMMYFUNCTION("GOOGLETRANSLATE(C32, ""en"", ""hi"")"),"A) खिलाड़ी खेल जीत जाता है। , B) खेल बराबरी पर छूट जाता है। , C) खिलाड़ी को अपने मोहरे वापस करने पड़ते हैं। , D) खिलाड़ी अपनी बारी जारी रखता है।")</f>
        <v>A) खिलाड़ी खेल जीत जाता है। , B) खेल बराबरी पर छूट जाता है। , C) खिलाड़ी को अपने मोहरे वापस करने पड़ते हैं। , D) खिलाड़ी अपनी बारी जारी रखता है।</v>
      </c>
      <c r="I32" s="5" t="str">
        <f>IFERROR(__xludf.DUMMYFUNCTION("GOOGLETRANSLATE(D32, ""en"", ""hi"")"),"A) खिलाड़ी खेल जीतता है।")</f>
        <v>A) खिलाड़ी खेल जीतता है।</v>
      </c>
    </row>
    <row r="33" ht="22.5" customHeight="1">
      <c r="A33" s="2">
        <v>32.0</v>
      </c>
      <c r="B33" s="3" t="s">
        <v>8234</v>
      </c>
      <c r="C33" s="3" t="s">
        <v>8235</v>
      </c>
      <c r="D33" s="3" t="s">
        <v>8236</v>
      </c>
      <c r="F33" s="5" t="str">
        <f>IFERROR(__xludf.DUMMYFUNCTION("GOOGLETRANSLATE(A33, ""en"", ""hi"")"),"32")</f>
        <v>32</v>
      </c>
      <c r="G33" s="5" t="str">
        <f>IFERROR(__xludf.DUMMYFUNCTION("GOOGLETRANSLATE(B33, ""en"", ""hi"")"),"यदि खिलाड़ी A अपने सभी मोहरों को पॉकेट में डाल देता है, लेकिन गलती से स्ट्राइकर को पॉकेट में डाल देता है, तो जुर्माना क्या होगा?")</f>
        <v>यदि खिलाड़ी A अपने सभी मोहरों को पॉकेट में डाल देता है, लेकिन गलती से स्ट्राइकर को पॉकेट में डाल देता है, तो जुर्माना क्या होगा?</v>
      </c>
      <c r="H33" s="5" t="str">
        <f>IFERROR(__xludf.DUMMYFUNCTION("GOOGLETRANSLATE(C33, ""en"", ""hi"")"),"A) खिलाड़ी A अपनी बारी खो देता है और उसे बोर्ड पर एक मोहरा वापस करना पड़ता है। , B) खिलाड़ी A खेल जीत जाता है। , C) खिलाड़ी A खेल हार जाता है। , D) खिलाड़ी A अपनी बारी जारी रखता है।")</f>
        <v>A) खिलाड़ी A अपनी बारी खो देता है और उसे बोर्ड पर एक मोहरा वापस करना पड़ता है। , B) खिलाड़ी A खेल जीत जाता है। , C) खिलाड़ी A खेल हार जाता है। , D) खिलाड़ी A अपनी बारी जारी रखता है।</v>
      </c>
      <c r="I33" s="5" t="str">
        <f>IFERROR(__xludf.DUMMYFUNCTION("GOOGLETRANSLATE(D33, ""en"", ""hi"")"),"A) खिलाड़ी A अपनी बारी खो देता है और उसे बोर्ड पर एक मोहरा वापस करना पड़ता है।")</f>
        <v>A) खिलाड़ी A अपनी बारी खो देता है और उसे बोर्ड पर एक मोहरा वापस करना पड़ता है।</v>
      </c>
    </row>
    <row r="34" ht="22.5" customHeight="1">
      <c r="A34" s="2">
        <v>33.0</v>
      </c>
      <c r="B34" s="3" t="s">
        <v>8237</v>
      </c>
      <c r="C34" s="3" t="s">
        <v>8238</v>
      </c>
      <c r="D34" s="3" t="s">
        <v>8239</v>
      </c>
      <c r="F34" s="5" t="str">
        <f>IFERROR(__xludf.DUMMYFUNCTION("GOOGLETRANSLATE(A34, ""en"", ""hi"")"),"33")</f>
        <v>33</v>
      </c>
      <c r="G34" s="5" t="str">
        <f>IFERROR(__xludf.DUMMYFUNCTION("GOOGLETRANSLATE(B34, ""en"", ""hi"")"),"खिलाड़ी X अपनी आखिरी बारी में रानी को पॉकेट में डाल देता है, लेकिन अगली बारी में कोई मोहरा पॉकेट में नहीं डालता। क्या होता है?")</f>
        <v>खिलाड़ी X अपनी आखिरी बारी में रानी को पॉकेट में डाल देता है, लेकिन अगली बारी में कोई मोहरा पॉकेट में नहीं डालता। क्या होता है?</v>
      </c>
      <c r="H34" s="5" t="str">
        <f>IFERROR(__xludf.DUMMYFUNCTION("GOOGLETRANSLATE(C34, ""en"", ""hi"")"),"A) खिलाड़ी X रानी खो देता है और खिलाड़ी Y जारी रखता है। , B) खिलाड़ी X खेल जीत जाता है। , C) खेल ड्रॉ हो जाता है। , D) खिलाड़ी X को अपनी बारी छोड़नी पड़ती है।")</f>
        <v>A) खिलाड़ी X रानी खो देता है और खिलाड़ी Y जारी रखता है। , B) खिलाड़ी X खेल जीत जाता है। , C) खेल ड्रॉ हो जाता है। , D) खिलाड़ी X को अपनी बारी छोड़नी पड़ती है।</v>
      </c>
      <c r="I34" s="5" t="str">
        <f>IFERROR(__xludf.DUMMYFUNCTION("GOOGLETRANSLATE(D34, ""en"", ""hi"")"),"A) खिलाड़ी X रानी खो देता है और खिलाड़ी Y खेल जारी रखता है।")</f>
        <v>A) खिलाड़ी X रानी खो देता है और खिलाड़ी Y खेल जारी रखता है।</v>
      </c>
    </row>
    <row r="35" ht="22.5" customHeight="1">
      <c r="A35" s="2">
        <v>34.0</v>
      </c>
      <c r="B35" s="3" t="s">
        <v>8240</v>
      </c>
      <c r="C35" s="3" t="s">
        <v>8241</v>
      </c>
      <c r="D35" s="3" t="s">
        <v>8242</v>
      </c>
      <c r="F35" s="5" t="str">
        <f>IFERROR(__xludf.DUMMYFUNCTION("GOOGLETRANSLATE(A35, ""en"", ""hi"")"),"34")</f>
        <v>34</v>
      </c>
      <c r="G35" s="5" t="str">
        <f>IFERROR(__xludf.DUMMYFUNCTION("GOOGLETRANSLATE(B35, ""en"", ""hi"")"),"कैरम खेल के दौरान, खिलाड़ी A अपनी आखिरी गोटी पॉकेट में डाल देता है, लेकिन स्ट्राइकर को बोर्ड से बाहर मारकर फ़ाउल कर देता है। परिणाम क्या होता है?")</f>
        <v>कैरम खेल के दौरान, खिलाड़ी A अपनी आखिरी गोटी पॉकेट में डाल देता है, लेकिन स्ट्राइकर को बोर्ड से बाहर मारकर फ़ाउल कर देता है। परिणाम क्या होता है?</v>
      </c>
      <c r="H35" s="5" t="str">
        <f>IFERROR(__xludf.DUMMYFUNCTION("GOOGLETRANSLATE(C35, ""en"", ""hi"")"),"A) खिलाड़ी A खेल हार जाता है। , B) खिलाड़ी A खेल जीत जाता है। , C) खिलाड़ी B की बारी के साथ खेल जारी रहता है। , D) खिलाड़ी A को अपना अंतिम मोहरा वापस करना होगा।")</f>
        <v>A) खिलाड़ी A खेल हार जाता है। , B) खिलाड़ी A खेल जीत जाता है। , C) खिलाड़ी B की बारी के साथ खेल जारी रहता है। , D) खिलाड़ी A को अपना अंतिम मोहरा वापस करना होगा।</v>
      </c>
      <c r="I35" s="5" t="str">
        <f>IFERROR(__xludf.DUMMYFUNCTION("GOOGLETRANSLATE(D35, ""en"", ""hi"")"),"A) खिलाड़ी A खेल हार जाता है।")</f>
        <v>A) खिलाड़ी A खेल हार जाता है।</v>
      </c>
    </row>
    <row r="36" ht="22.5" customHeight="1">
      <c r="A36" s="2">
        <v>35.0</v>
      </c>
      <c r="B36" s="3" t="s">
        <v>8243</v>
      </c>
      <c r="C36" s="3" t="s">
        <v>8244</v>
      </c>
      <c r="D36" s="3" t="s">
        <v>7821</v>
      </c>
      <c r="F36" s="5" t="str">
        <f>IFERROR(__xludf.DUMMYFUNCTION("GOOGLETRANSLATE(A36, ""en"", ""hi"")"),"35")</f>
        <v>35</v>
      </c>
      <c r="G36" s="5" t="str">
        <f>IFERROR(__xludf.DUMMYFUNCTION("GOOGLETRANSLATE(B36, ""en"", ""hi"")"),"कैरम मैच में, खिलाड़ी X एक ही बार में रानी और उसकी सभी गोटियों को पॉकेट में डाल देता है। इसका नियम क्या है?")</f>
        <v>कैरम मैच में, खिलाड़ी X एक ही बार में रानी और उसकी सभी गोटियों को पॉकेट में डाल देता है। इसका नियम क्या है?</v>
      </c>
      <c r="H36" s="5" t="str">
        <f>IFERROR(__xludf.DUMMYFUNCTION("GOOGLETRANSLATE(C36, ""en"", ""hi"")"),"A) खिलाड़ी X खेल जीत जाता है। , B) रानी बोर्ड पर वापस आ जाती है। , C) खेल ड्रॉ हो जाता है। , D) खिलाड़ी X को अपने मोहरे वापस करने होंगे।")</f>
        <v>A) खिलाड़ी X खेल जीत जाता है। , B) रानी बोर्ड पर वापस आ जाती है। , C) खेल ड्रॉ हो जाता है। , D) खिलाड़ी X को अपने मोहरे वापस करने होंगे।</v>
      </c>
      <c r="I36" s="5" t="str">
        <f>IFERROR(__xludf.DUMMYFUNCTION("GOOGLETRANSLATE(D36, ""en"", ""hi"")"),"A) खिलाड़ी X खेल जीतता है।")</f>
        <v>A) खिलाड़ी X खेल जीतता है।</v>
      </c>
    </row>
    <row r="37" ht="22.5" customHeight="1">
      <c r="A37" s="2">
        <v>36.0</v>
      </c>
      <c r="B37" s="3" t="s">
        <v>8245</v>
      </c>
      <c r="C37" s="3" t="s">
        <v>8246</v>
      </c>
      <c r="D37" s="3" t="s">
        <v>8247</v>
      </c>
      <c r="F37" s="5" t="str">
        <f>IFERROR(__xludf.DUMMYFUNCTION("GOOGLETRANSLATE(A37, ""en"", ""hi"")"),"36")</f>
        <v>36</v>
      </c>
      <c r="G37" s="5" t="str">
        <f>IFERROR(__xludf.DUMMYFUNCTION("GOOGLETRANSLATE(B37, ""en"", ""hi"")"),"यदि खिलाड़ी A रानी को पॉकेट में डाल देता है, लेकिन उसी बारी में स्ट्राइकर को भी पॉकेट में डाल देता है, तो क्या होगा?")</f>
        <v>यदि खिलाड़ी A रानी को पॉकेट में डाल देता है, लेकिन उसी बारी में स्ट्राइकर को भी पॉकेट में डाल देता है, तो क्या होगा?</v>
      </c>
      <c r="H37" s="5" t="str">
        <f>IFERROR(__xludf.DUMMYFUNCTION("GOOGLETRANSLATE(C37, ""en"", ""hi"")"),"A) खिलाड़ी A रानी और अपनी बारी खो देता है। , B) खिलाड़ी A खेल जीत जाता है। , C) खिलाड़ी A को अपनी अगली बारी छोड़नी पड़ती है। , D) खिलाड़ी A अपनी बारी जारी रखता है।")</f>
        <v>A) खिलाड़ी A रानी और अपनी बारी खो देता है। , B) खिलाड़ी A खेल जीत जाता है। , C) खिलाड़ी A को अपनी अगली बारी छोड़नी पड़ती है। , D) खिलाड़ी A अपनी बारी जारी रखता है।</v>
      </c>
      <c r="I37" s="5" t="str">
        <f>IFERROR(__xludf.DUMMYFUNCTION("GOOGLETRANSLATE(D37, ""en"", ""hi"")"),"A) खिलाड़ी A रानी और अपनी बारी खो देता है।")</f>
        <v>A) खिलाड़ी A रानी और अपनी बारी खो देता है।</v>
      </c>
    </row>
    <row r="38" ht="22.5" customHeight="1">
      <c r="A38" s="2">
        <v>37.0</v>
      </c>
      <c r="B38" s="3" t="s">
        <v>8248</v>
      </c>
      <c r="C38" s="3" t="s">
        <v>8249</v>
      </c>
      <c r="D38" s="3" t="s">
        <v>8250</v>
      </c>
      <c r="F38" s="5" t="str">
        <f>IFERROR(__xludf.DUMMYFUNCTION("GOOGLETRANSLATE(A38, ""en"", ""hi"")"),"37")</f>
        <v>37</v>
      </c>
      <c r="G38" s="5" t="str">
        <f>IFERROR(__xludf.DUMMYFUNCTION("GOOGLETRANSLATE(B38, ""en"", ""hi"")"),"कैरम खेल के दौरान, खिलाड़ी X अपनी आखिरी गोटी पॉकेट में डाल देता है, लेकिन फ़ाउल कर देता है। इसका नियम क्या है?")</f>
        <v>कैरम खेल के दौरान, खिलाड़ी X अपनी आखिरी गोटी पॉकेट में डाल देता है, लेकिन फ़ाउल कर देता है। इसका नियम क्या है?</v>
      </c>
      <c r="H38" s="5" t="str">
        <f>IFERROR(__xludf.DUMMYFUNCTION("GOOGLETRANSLATE(C38, ""en"", ""hi"")"),"A) खिलाड़ी X अपनी बारी खो देता है और उसे बोर्ड पर एक मोहरा वापस करना होगा। , B) खिलाड़ी X खेल जीत जाता है। , C) खेल ड्रॉ हो जाता है। , D) खिलाड़ी X को अपनी अगली बारी गँवानी होगी।")</f>
        <v>A) खिलाड़ी X अपनी बारी खो देता है और उसे बोर्ड पर एक मोहरा वापस करना होगा। , B) खिलाड़ी X खेल जीत जाता है। , C) खेल ड्रॉ हो जाता है। , D) खिलाड़ी X को अपनी अगली बारी गँवानी होगी।</v>
      </c>
      <c r="I38" s="5" t="str">
        <f>IFERROR(__xludf.DUMMYFUNCTION("GOOGLETRANSLATE(D38, ""en"", ""hi"")"),"A) खिलाड़ी X अपनी बारी खो देता है और उसे बोर्ड पर एक मोहरा वापस करना पड़ता है।")</f>
        <v>A) खिलाड़ी X अपनी बारी खो देता है और उसे बोर्ड पर एक मोहरा वापस करना पड़ता है।</v>
      </c>
    </row>
    <row r="39" ht="22.5" customHeight="1">
      <c r="A39" s="2">
        <v>38.0</v>
      </c>
      <c r="B39" s="3" t="s">
        <v>8251</v>
      </c>
      <c r="C39" s="3" t="s">
        <v>8252</v>
      </c>
      <c r="D39" s="3" t="s">
        <v>8180</v>
      </c>
      <c r="F39" s="5" t="str">
        <f>IFERROR(__xludf.DUMMYFUNCTION("GOOGLETRANSLATE(A39, ""en"", ""hi"")"),"38")</f>
        <v>38</v>
      </c>
      <c r="G39" s="5" t="str">
        <f>IFERROR(__xludf.DUMMYFUNCTION("GOOGLETRANSLATE(B39, ""en"", ""hi"")"),"कैरम खेल में, यदि कोई खिलाड़ी एक ही बार में रानी और अपनी सभी गोटियों को पॉकेट में डाल देता है, तो आगे क्या होगा?")</f>
        <v>कैरम खेल में, यदि कोई खिलाड़ी एक ही बार में रानी और अपनी सभी गोटियों को पॉकेट में डाल देता है, तो आगे क्या होगा?</v>
      </c>
      <c r="H39" s="5" t="str">
        <f>IFERROR(__xludf.DUMMYFUNCTION("GOOGLETRANSLATE(C39, ""en"", ""hi"")"),"A) खिलाड़ी खेल जीत जाता है। , B) रानी बोर्ड पर वापस आ जाती है। , C) खेल ड्रॉ हो जाता है। , D) खिलाड़ी अपनी बारी जारी रखता है।")</f>
        <v>A) खिलाड़ी खेल जीत जाता है। , B) रानी बोर्ड पर वापस आ जाती है। , C) खेल ड्रॉ हो जाता है। , D) खिलाड़ी अपनी बारी जारी रखता है।</v>
      </c>
      <c r="I39" s="5" t="str">
        <f>IFERROR(__xludf.DUMMYFUNCTION("GOOGLETRANSLATE(D39, ""en"", ""hi"")"),"A) खिलाड़ी खेल जीतता है।")</f>
        <v>A) खिलाड़ी खेल जीतता है।</v>
      </c>
    </row>
    <row r="40" ht="22.5" customHeight="1">
      <c r="A40" s="2">
        <v>39.0</v>
      </c>
      <c r="B40" s="3" t="s">
        <v>8253</v>
      </c>
      <c r="C40" s="3" t="s">
        <v>8254</v>
      </c>
      <c r="D40" s="3" t="s">
        <v>8211</v>
      </c>
      <c r="F40" s="5" t="str">
        <f>IFERROR(__xludf.DUMMYFUNCTION("GOOGLETRANSLATE(A40, ""en"", ""hi"")"),"39")</f>
        <v>39</v>
      </c>
      <c r="G40" s="5" t="str">
        <f>IFERROR(__xludf.DUMMYFUNCTION("GOOGLETRANSLATE(B40, ""en"", ""hi"")"),"खिलाड़ी A रानी को पॉकेट में डाल देता है, लेकिन अगली बारी में एक भी मोहरा पॉकेट में नहीं डाल पाता। नतीजा क्या होता है?")</f>
        <v>खिलाड़ी A रानी को पॉकेट में डाल देता है, लेकिन अगली बारी में एक भी मोहरा पॉकेट में नहीं डाल पाता। नतीजा क्या होता है?</v>
      </c>
      <c r="H40" s="5" t="str">
        <f>IFERROR(__xludf.DUMMYFUNCTION("GOOGLETRANSLATE(C40, ""en"", ""hi"")"),"A) खिलाड़ी A रानी खो देता है। , B) खिलाड़ी A खेल जीत जाता है। , C) खेल बराबरी पर रहता है। , D) खिलाड़ी A को अपनी बारी गँवानी पड़ती है।")</f>
        <v>A) खिलाड़ी A रानी खो देता है। , B) खिलाड़ी A खेल जीत जाता है। , C) खेल बराबरी पर रहता है। , D) खिलाड़ी A को अपनी बारी गँवानी पड़ती है।</v>
      </c>
      <c r="I40" s="5" t="str">
        <f>IFERROR(__xludf.DUMMYFUNCTION("GOOGLETRANSLATE(D40, ""en"", ""hi"")"),"A) खिलाड़ी A रानी खो देता है।")</f>
        <v>A) खिलाड़ी A रानी खो देता है।</v>
      </c>
    </row>
    <row r="41" ht="22.5" customHeight="1">
      <c r="A41" s="2">
        <v>40.0</v>
      </c>
      <c r="B41" s="3" t="s">
        <v>8255</v>
      </c>
      <c r="C41" s="3" t="s">
        <v>8256</v>
      </c>
      <c r="D41" s="3" t="s">
        <v>7821</v>
      </c>
      <c r="F41" s="5" t="str">
        <f>IFERROR(__xludf.DUMMYFUNCTION("GOOGLETRANSLATE(A41, ""en"", ""hi"")"),"40")</f>
        <v>40</v>
      </c>
      <c r="G41" s="5" t="str">
        <f>IFERROR(__xludf.DUMMYFUNCTION("GOOGLETRANSLATE(B41, ""en"", ""hi"")"),"यदि खिलाड़ी X एक ही शॉट में रानी और अपनी अंतिम गोटी पॉकेट में डाल दे, तो क्या होगा?")</f>
        <v>यदि खिलाड़ी X एक ही शॉट में रानी और अपनी अंतिम गोटी पॉकेट में डाल दे, तो क्या होगा?</v>
      </c>
      <c r="H41" s="5" t="str">
        <f>IFERROR(__xludf.DUMMYFUNCTION("GOOGLETRANSLATE(C41, ""en"", ""hi"")"),"A) खिलाड़ी X खेल जीत जाता है। , B) रानी बोर्ड पर वापस आ जाती है। , C) खेल ड्रॉ हो जाता है। , D) खिलाड़ी X को अपना अंतिम मोहरा वापस करना होगा।")</f>
        <v>A) खिलाड़ी X खेल जीत जाता है। , B) रानी बोर्ड पर वापस आ जाती है। , C) खेल ड्रॉ हो जाता है। , D) खिलाड़ी X को अपना अंतिम मोहरा वापस करना होगा।</v>
      </c>
      <c r="I41" s="5" t="str">
        <f>IFERROR(__xludf.DUMMYFUNCTION("GOOGLETRANSLATE(D41, ""en"", ""hi"")"),"A) खिलाड़ी X खेल जीतता है।")</f>
        <v>A) खिलाड़ी X खेल जीतता है।</v>
      </c>
    </row>
    <row r="42" ht="22.5" customHeight="1">
      <c r="A42" s="2">
        <v>41.0</v>
      </c>
      <c r="B42" s="3" t="s">
        <v>8257</v>
      </c>
      <c r="C42" s="3" t="s">
        <v>8258</v>
      </c>
      <c r="D42" s="3" t="s">
        <v>8259</v>
      </c>
      <c r="F42" s="5" t="str">
        <f>IFERROR(__xludf.DUMMYFUNCTION("GOOGLETRANSLATE(A42, ""en"", ""hi"")"),"41")</f>
        <v>41</v>
      </c>
      <c r="G42" s="5" t="str">
        <f>IFERROR(__xludf.DUMMYFUNCTION("GOOGLETRANSLATE(B42, ""en"", ""hi"")"),"खिलाड़ी X रानी को पॉकेट में डालता है और फिर एक शॉट लगाता है जो स्ट्राइकर को बोर्ड से बाहर कर देता है। इसके बाद क्या होता है?")</f>
        <v>खिलाड़ी X रानी को पॉकेट में डालता है और फिर एक शॉट लगाता है जो स्ट्राइकर को बोर्ड से बाहर कर देता है। इसके बाद क्या होता है?</v>
      </c>
      <c r="H42" s="5" t="str">
        <f>IFERROR(__xludf.DUMMYFUNCTION("GOOGLETRANSLATE(C42, ""en"", ""hi"")"),"A) खिलाड़ी X अपनी बारी खो देता है और रानी को बोर्ड पर वापस कर दिया जाता है। , B) खिलाड़ी X खेल जीत जाता है। , C) खिलाड़ी X अपनी बारी जारी रखता है। , D) खिलाड़ी X को खेल छोड़ना होगा।")</f>
        <v>A) खिलाड़ी X अपनी बारी खो देता है और रानी को बोर्ड पर वापस कर दिया जाता है। , B) खिलाड़ी X खेल जीत जाता है। , C) खिलाड़ी X अपनी बारी जारी रखता है। , D) खिलाड़ी X को खेल छोड़ना होगा।</v>
      </c>
      <c r="I42" s="5" t="str">
        <f>IFERROR(__xludf.DUMMYFUNCTION("GOOGLETRANSLATE(D42, ""en"", ""hi"")"),"A) खिलाड़ी X अपनी बारी खो देता है और रानी बोर्ड पर वापस आ जाती है।")</f>
        <v>A) खिलाड़ी X अपनी बारी खो देता है और रानी बोर्ड पर वापस आ जाती है।</v>
      </c>
    </row>
    <row r="43" ht="22.5" customHeight="1">
      <c r="A43" s="2">
        <v>42.0</v>
      </c>
      <c r="B43" s="3" t="s">
        <v>8260</v>
      </c>
      <c r="C43" s="3" t="s">
        <v>8261</v>
      </c>
      <c r="D43" s="3" t="s">
        <v>8262</v>
      </c>
      <c r="F43" s="5" t="str">
        <f>IFERROR(__xludf.DUMMYFUNCTION("GOOGLETRANSLATE(A43, ""en"", ""hi"")"),"42")</f>
        <v>42</v>
      </c>
      <c r="G43" s="5" t="str">
        <f>IFERROR(__xludf.DUMMYFUNCTION("GOOGLETRANSLATE(B43, ""en"", ""hi"")"),"कैरम खेल के दौरान, खिलाड़ी A एक मोहरा पॉकेट में डालता है लेकिन गलती से रानी को छू लेता है। इसका नियम क्या है?")</f>
        <v>कैरम खेल के दौरान, खिलाड़ी A एक मोहरा पॉकेट में डालता है लेकिन गलती से रानी को छू लेता है। इसका नियम क्या है?</v>
      </c>
      <c r="H43" s="5" t="str">
        <f>IFERROR(__xludf.DUMMYFUNCTION("GOOGLETRANSLATE(C43, ""en"", ""hi"")"),"A) खिलाड़ी A अपनी बारी खो देता है और रानी को वापस बोर्ड पर रख दिया जाता है। , B) खिलाड़ी A खेल जीत जाता है। , C) खिलाड़ी A को एक मोहरा छोड़ना पड़ता है। , D) खिलाड़ी A अपनी बारी जारी रखता है।")</f>
        <v>A) खिलाड़ी A अपनी बारी खो देता है और रानी को वापस बोर्ड पर रख दिया जाता है। , B) खिलाड़ी A खेल जीत जाता है। , C) खिलाड़ी A को एक मोहरा छोड़ना पड़ता है। , D) खिलाड़ी A अपनी बारी जारी रखता है।</v>
      </c>
      <c r="I43" s="5" t="str">
        <f>IFERROR(__xludf.DUMMYFUNCTION("GOOGLETRANSLATE(D43, ""en"", ""hi"")"),"A) खिलाड़ी A अपनी बारी खो देता है और रानी को वापस बोर्ड पर रख दिया जाता है।")</f>
        <v>A) खिलाड़ी A अपनी बारी खो देता है और रानी को वापस बोर्ड पर रख दिया जाता है।</v>
      </c>
    </row>
    <row r="44" ht="22.5" customHeight="1">
      <c r="A44" s="2">
        <v>43.0</v>
      </c>
      <c r="B44" s="3" t="s">
        <v>8263</v>
      </c>
      <c r="C44" s="3" t="s">
        <v>8264</v>
      </c>
      <c r="D44" s="3" t="s">
        <v>7785</v>
      </c>
      <c r="F44" s="5" t="str">
        <f>IFERROR(__xludf.DUMMYFUNCTION("GOOGLETRANSLATE(A44, ""en"", ""hi"")"),"43")</f>
        <v>43</v>
      </c>
      <c r="G44" s="5" t="str">
        <f>IFERROR(__xludf.DUMMYFUNCTION("GOOGLETRANSLATE(B44, ""en"", ""hi"")"),"खिलाड़ी A एक ही बार में अपनी सभी गोटियाँ और रानी जेब में डाल लेता है। नियम क्या है?")</f>
        <v>खिलाड़ी A एक ही बार में अपनी सभी गोटियाँ और रानी जेब में डाल लेता है। नियम क्या है?</v>
      </c>
      <c r="H44" s="5" t="str">
        <f>IFERROR(__xludf.DUMMYFUNCTION("GOOGLETRANSLATE(C44, ""en"", ""hi"")"),"A) खिलाड़ी A खेल जीत जाता है। , B) रानी बोर्ड पर वापस आ जाती है। , C) खेल ड्रॉ हो जाता है। , D) खिलाड़ी A को अपने मोहरे वापस करने होंगे।")</f>
        <v>A) खिलाड़ी A खेल जीत जाता है। , B) रानी बोर्ड पर वापस आ जाती है। , C) खेल ड्रॉ हो जाता है। , D) खिलाड़ी A को अपने मोहरे वापस करने होंगे।</v>
      </c>
      <c r="I44" s="5" t="str">
        <f>IFERROR(__xludf.DUMMYFUNCTION("GOOGLETRANSLATE(D44, ""en"", ""hi"")"),"A) खिलाड़ी A खेल जीतता है।")</f>
        <v>A) खिलाड़ी A खेल जीतता है।</v>
      </c>
    </row>
    <row r="45" ht="22.5" customHeight="1">
      <c r="A45" s="2">
        <v>44.0</v>
      </c>
      <c r="B45" s="3" t="s">
        <v>8265</v>
      </c>
      <c r="C45" s="3" t="s">
        <v>8266</v>
      </c>
      <c r="D45" s="3" t="s">
        <v>8267</v>
      </c>
      <c r="F45" s="5" t="str">
        <f>IFERROR(__xludf.DUMMYFUNCTION("GOOGLETRANSLATE(A45, ""en"", ""hi"")"),"44")</f>
        <v>44</v>
      </c>
      <c r="G45" s="5" t="str">
        <f>IFERROR(__xludf.DUMMYFUNCTION("GOOGLETRANSLATE(B45, ""en"", ""hi"")"),"कैरम मैच में, खिलाड़ी X अपनी आखिरी गोटी पॉकेट में डाल देता है, लेकिन स्ट्राइकर को बोर्ड से बाहर मारकर फ़ाउल कर देता है। क्या होता है?")</f>
        <v>कैरम मैच में, खिलाड़ी X अपनी आखिरी गोटी पॉकेट में डाल देता है, लेकिन स्ट्राइकर को बोर्ड से बाहर मारकर फ़ाउल कर देता है। क्या होता है?</v>
      </c>
      <c r="H45" s="5" t="str">
        <f>IFERROR(__xludf.DUMMYFUNCTION("GOOGLETRANSLATE(C45, ""en"", ""hi"")"),"A) खिलाड़ी X खेल हार जाता है। , B) खिलाड़ी X खेल जीत जाता है। , C) खेल खिलाड़ी Y की बारी के साथ जारी रहता है। , D) खिलाड़ी X को अपना अंतिम मोहरा वापस करना होगा।")</f>
        <v>A) खिलाड़ी X खेल हार जाता है। , B) खिलाड़ी X खेल जीत जाता है। , C) खेल खिलाड़ी Y की बारी के साथ जारी रहता है। , D) खिलाड़ी X को अपना अंतिम मोहरा वापस करना होगा।</v>
      </c>
      <c r="I45" s="5" t="str">
        <f>IFERROR(__xludf.DUMMYFUNCTION("GOOGLETRANSLATE(D45, ""en"", ""hi"")"),"A) खिलाड़ी X खेल हार जाता है।")</f>
        <v>A) खिलाड़ी X खेल हार जाता है।</v>
      </c>
    </row>
    <row r="46" ht="22.5" customHeight="1">
      <c r="A46" s="2">
        <v>45.0</v>
      </c>
      <c r="B46" s="3" t="s">
        <v>8268</v>
      </c>
      <c r="C46" s="3" t="s">
        <v>8238</v>
      </c>
      <c r="D46" s="3" t="s">
        <v>8239</v>
      </c>
      <c r="F46" s="5" t="str">
        <f>IFERROR(__xludf.DUMMYFUNCTION("GOOGLETRANSLATE(A46, ""en"", ""hi"")"),"45")</f>
        <v>45</v>
      </c>
      <c r="G46" s="5" t="str">
        <f>IFERROR(__xludf.DUMMYFUNCTION("GOOGLETRANSLATE(B46, ""en"", ""hi"")"),"खिलाड़ी X अपनी अगली बारी में रानी को पॉकेट में डाल देता है, लेकिन एक भी मोहरा पॉकेट में नहीं डाल पाता। नतीजा क्या होता है?")</f>
        <v>खिलाड़ी X अपनी अगली बारी में रानी को पॉकेट में डाल देता है, लेकिन एक भी मोहरा पॉकेट में नहीं डाल पाता। नतीजा क्या होता है?</v>
      </c>
      <c r="H46" s="5" t="str">
        <f>IFERROR(__xludf.DUMMYFUNCTION("GOOGLETRANSLATE(C46, ""en"", ""hi"")"),"A) खिलाड़ी X रानी खो देता है और खिलाड़ी Y जारी रखता है। , B) खिलाड़ी X खेल जीत जाता है। , C) खेल ड्रॉ हो जाता है। , D) खिलाड़ी X को अपनी बारी छोड़नी पड़ती है।")</f>
        <v>A) खिलाड़ी X रानी खो देता है और खिलाड़ी Y जारी रखता है। , B) खिलाड़ी X खेल जीत जाता है। , C) खेल ड्रॉ हो जाता है। , D) खिलाड़ी X को अपनी बारी छोड़नी पड़ती है।</v>
      </c>
      <c r="I46" s="5" t="str">
        <f>IFERROR(__xludf.DUMMYFUNCTION("GOOGLETRANSLATE(D46, ""en"", ""hi"")"),"A) खिलाड़ी X रानी खो देता है और खिलाड़ी Y खेल जारी रखता है।")</f>
        <v>A) खिलाड़ी X रानी खो देता है और खिलाड़ी Y खेल जारी रखता है।</v>
      </c>
    </row>
    <row r="47" ht="22.5" customHeight="1">
      <c r="A47" s="2">
        <v>46.0</v>
      </c>
      <c r="B47" s="3" t="s">
        <v>8269</v>
      </c>
      <c r="C47" s="3" t="s">
        <v>8270</v>
      </c>
      <c r="D47" s="3" t="s">
        <v>8271</v>
      </c>
      <c r="F47" s="5" t="str">
        <f>IFERROR(__xludf.DUMMYFUNCTION("GOOGLETRANSLATE(A47, ""en"", ""hi"")"),"46")</f>
        <v>46</v>
      </c>
      <c r="G47" s="5" t="str">
        <f>IFERROR(__xludf.DUMMYFUNCTION("GOOGLETRANSLATE(B47, ""en"", ""hi"")"),"कैरम खेल के दौरान, खिलाड़ी X अपनी सभी गोटियाँ पॉकेट में डाल देता है, लेकिन गलती से रानी भी पॉकेट में डाल देता है। इसका नियम क्या है?")</f>
        <v>कैरम खेल के दौरान, खिलाड़ी X अपनी सभी गोटियाँ पॉकेट में डाल देता है, लेकिन गलती से रानी भी पॉकेट में डाल देता है। इसका नियम क्या है?</v>
      </c>
      <c r="H47" s="5" t="str">
        <f>IFERROR(__xludf.DUMMYFUNCTION("GOOGLETRANSLATE(C47, ""en"", ""hi"")"),"ए) खिलाड़ी एक्स रानी खो देता है और उसे एक मोहरा वापस करना होगा।, बी) खिलाड़ी एक्स खेल जीत जाता है।, सी) खिलाड़ी एक्स को अपनी अगली बारी छोड़नी होगी।, डी) रानी को बोर्ड पर वापस कर दिया जाता है।")</f>
        <v>ए) खिलाड़ी एक्स रानी खो देता है और उसे एक मोहरा वापस करना होगा।, बी) खिलाड़ी एक्स खेल जीत जाता है।, सी) खिलाड़ी एक्स को अपनी अगली बारी छोड़नी होगी।, डी) रानी को बोर्ड पर वापस कर दिया जाता है।</v>
      </c>
      <c r="I47" s="5" t="str">
        <f>IFERROR(__xludf.DUMMYFUNCTION("GOOGLETRANSLATE(D47, ""en"", ""hi"")"),"A) खिलाड़ी X रानी हार जाता है और उसे एक मोहरा वापस करना पड़ता है।")</f>
        <v>A) खिलाड़ी X रानी हार जाता है और उसे एक मोहरा वापस करना पड़ता है।</v>
      </c>
    </row>
    <row r="48" ht="22.5" customHeight="1">
      <c r="A48" s="2">
        <v>47.0</v>
      </c>
      <c r="B48" s="3" t="s">
        <v>8272</v>
      </c>
      <c r="C48" s="3" t="s">
        <v>8273</v>
      </c>
      <c r="D48" s="3" t="s">
        <v>8274</v>
      </c>
      <c r="F48" s="5" t="str">
        <f>IFERROR(__xludf.DUMMYFUNCTION("GOOGLETRANSLATE(A48, ""en"", ""hi"")"),"47")</f>
        <v>47</v>
      </c>
      <c r="G48" s="5" t="str">
        <f>IFERROR(__xludf.DUMMYFUNCTION("GOOGLETRANSLATE(B48, ""en"", ""hi"")"),"यदि खिलाड़ी A एक ही शॉट पर एक मोहरा और रानी को पॉकेट में डाल देता है, लेकिन रानी ठीक से पॉकेट में नहीं जाती, तो क्या होगा?")</f>
        <v>यदि खिलाड़ी A एक ही शॉट पर एक मोहरा और रानी को पॉकेट में डाल देता है, लेकिन रानी ठीक से पॉकेट में नहीं जाती, तो क्या होगा?</v>
      </c>
      <c r="H48" s="5" t="str">
        <f>IFERROR(__xludf.DUMMYFUNCTION("GOOGLETRANSLATE(C48, ""en"", ""hi"")"),"A) खिलाड़ी A को रानी को बोर्ड पर वापस करना होगा। , B) खिलाड़ी A खेल जीतता है। , C) खिलाड़ी A अपनी बारी खो देता है। , D) खेल ड्रॉ होता है।")</f>
        <v>A) खिलाड़ी A को रानी को बोर्ड पर वापस करना होगा। , B) खिलाड़ी A खेल जीतता है। , C) खिलाड़ी A अपनी बारी खो देता है। , D) खेल ड्रॉ होता है।</v>
      </c>
      <c r="I48" s="5" t="str">
        <f>IFERROR(__xludf.DUMMYFUNCTION("GOOGLETRANSLATE(D48, ""en"", ""hi"")"),"A) खिलाड़ी A को रानी को बोर्ड पर वापस लाना होगा।")</f>
        <v>A) खिलाड़ी A को रानी को बोर्ड पर वापस लाना होगा।</v>
      </c>
    </row>
    <row r="49" ht="22.5" customHeight="1">
      <c r="A49" s="2">
        <v>48.0</v>
      </c>
      <c r="B49" s="3" t="s">
        <v>8275</v>
      </c>
      <c r="C49" s="3" t="s">
        <v>8276</v>
      </c>
      <c r="D49" s="3" t="s">
        <v>8208</v>
      </c>
      <c r="F49" s="5" t="str">
        <f>IFERROR(__xludf.DUMMYFUNCTION("GOOGLETRANSLATE(A49, ""en"", ""hi"")"),"48")</f>
        <v>48</v>
      </c>
      <c r="G49" s="5" t="str">
        <f>IFERROR(__xludf.DUMMYFUNCTION("GOOGLETRANSLATE(B49, ""en"", ""hi"")"),"खिलाड़ी X अपनी आखिरी गोटी और रानी को एक साथ पॉकेट में डालता है। अगर खिलाड़ी X उसी शॉट पर फ़ाउल करता है, तो क्या नियम होगा?")</f>
        <v>खिलाड़ी X अपनी आखिरी गोटी और रानी को एक साथ पॉकेट में डालता है। अगर खिलाड़ी X उसी शॉट पर फ़ाउल करता है, तो क्या नियम होगा?</v>
      </c>
      <c r="H49" s="5" t="str">
        <f>IFERROR(__xludf.DUMMYFUNCTION("GOOGLETRANSLATE(C49, ""en"", ""hi"")"),"A) खिलाड़ी X रानी और अपनी बारी खो देता है। , B) खिलाड़ी X खेल जीत जाता है। , C) खेल खिलाड़ी Y की बारी के साथ जारी रहता है। , D) खिलाड़ी X को अपना अंतिम मोहरा वापस करना होगा।")</f>
        <v>A) खिलाड़ी X रानी और अपनी बारी खो देता है। , B) खिलाड़ी X खेल जीत जाता है। , C) खेल खिलाड़ी Y की बारी के साथ जारी रहता है। , D) खिलाड़ी X को अपना अंतिम मोहरा वापस करना होगा।</v>
      </c>
      <c r="I49" s="5" t="str">
        <f>IFERROR(__xludf.DUMMYFUNCTION("GOOGLETRANSLATE(D49, ""en"", ""hi"")"),"A) खिलाड़ी X रानी और अपनी बारी खो देता है।")</f>
        <v>A) खिलाड़ी X रानी और अपनी बारी खो देता है।</v>
      </c>
    </row>
    <row r="50" ht="22.5" customHeight="1">
      <c r="A50" s="2">
        <v>49.0</v>
      </c>
      <c r="B50" s="3" t="s">
        <v>8277</v>
      </c>
      <c r="C50" s="3" t="s">
        <v>8278</v>
      </c>
      <c r="D50" s="3" t="s">
        <v>7785</v>
      </c>
      <c r="F50" s="5" t="str">
        <f>IFERROR(__xludf.DUMMYFUNCTION("GOOGLETRANSLATE(A50, ""en"", ""hi"")"),"49")</f>
        <v>49</v>
      </c>
      <c r="G50" s="5" t="str">
        <f>IFERROR(__xludf.DUMMYFUNCTION("GOOGLETRANSLATE(B50, ""en"", ""hi"")"),"कैरम खेल में, खिलाड़ी A अपनी आखिरी गोटी पॉकेट में डालता है और खिलाड़ी B अगली बारी में अपनी रानी पॉकेट में डालता है। क्या होता है?")</f>
        <v>कैरम खेल में, खिलाड़ी A अपनी आखिरी गोटी पॉकेट में डालता है और खिलाड़ी B अगली बारी में अपनी रानी पॉकेट में डालता है। क्या होता है?</v>
      </c>
      <c r="H50" s="5" t="str">
        <f>IFERROR(__xludf.DUMMYFUNCTION("GOOGLETRANSLATE(C50, ""en"", ""hi"")"),"A) खिलाड़ी A खेल जीतता है। , B) खिलाड़ी B खेल जीतता है। , C) रानी बोर्ड पर वापस आ जाती है। , D) खेल ड्रॉ हो जाता है।")</f>
        <v>A) खिलाड़ी A खेल जीतता है। , B) खिलाड़ी B खेल जीतता है। , C) रानी बोर्ड पर वापस आ जाती है। , D) खेल ड्रॉ हो जाता है।</v>
      </c>
      <c r="I50" s="5" t="str">
        <f>IFERROR(__xludf.DUMMYFUNCTION("GOOGLETRANSLATE(D50, ""en"", ""hi"")"),"A) खिलाड़ी A खेल जीतता है।")</f>
        <v>A) खिलाड़ी A खेल जीतता है।</v>
      </c>
    </row>
    <row r="51" ht="22.5" customHeight="1">
      <c r="A51" s="2">
        <v>50.0</v>
      </c>
      <c r="B51" s="3" t="s">
        <v>8279</v>
      </c>
      <c r="C51" s="3" t="s">
        <v>8280</v>
      </c>
      <c r="D51" s="3" t="s">
        <v>8217</v>
      </c>
      <c r="F51" s="5" t="str">
        <f>IFERROR(__xludf.DUMMYFUNCTION("GOOGLETRANSLATE(A51, ""en"", ""hi"")"),"50")</f>
        <v>50</v>
      </c>
      <c r="G51" s="5" t="str">
        <f>IFERROR(__xludf.DUMMYFUNCTION("GOOGLETRANSLATE(B51, ""en"", ""hi"")"),"खिलाड़ी X अपनी सभी गोटियाँ पॉकेट में डाल देता है, लेकिन गलती से स्ट्राइकर पॉकेट में चला जाता है। नतीजा क्या होता है?")</f>
        <v>खिलाड़ी X अपनी सभी गोटियाँ पॉकेट में डाल देता है, लेकिन गलती से स्ट्राइकर पॉकेट में चला जाता है। नतीजा क्या होता है?</v>
      </c>
      <c r="H51" s="5" t="str">
        <f>IFERROR(__xludf.DUMMYFUNCTION("GOOGLETRANSLATE(C51, ""en"", ""hi"")"),"A) खिलाड़ी X अपनी बारी खो देता है और उसे बोर्ड पर एक मोहरा वापस रखना पड़ता है। , B) खिलाड़ी X खेल जीत जाता है। , C) खेल बराबरी पर रहता है। , D) खिलाड़ी X को अपनी अगली बारी गँवानी पड़ती है।")</f>
        <v>A) खिलाड़ी X अपनी बारी खो देता है और उसे बोर्ड पर एक मोहरा वापस रखना पड़ता है। , B) खिलाड़ी X खेल जीत जाता है। , C) खेल बराबरी पर रहता है। , D) खिलाड़ी X को अपनी अगली बारी गँवानी पड़ती है।</v>
      </c>
      <c r="I51" s="5" t="str">
        <f>IFERROR(__xludf.DUMMYFUNCTION("GOOGLETRANSLATE(D51, ""en"", ""hi"")"),"A) खिलाड़ी X अपनी बारी खो देता है और उसे बोर्ड पर एक मोहरा वापस रखना पड़ता है।")</f>
        <v>A) खिलाड़ी X अपनी बारी खो देता है और उसे बोर्ड पर एक मोहरा वापस रखना पड़ता है।</v>
      </c>
    </row>
    <row r="52" ht="22.5" customHeight="1">
      <c r="A52" s="2">
        <v>51.0</v>
      </c>
      <c r="B52" s="3" t="s">
        <v>8281</v>
      </c>
      <c r="C52" s="3" t="s">
        <v>8282</v>
      </c>
      <c r="D52" s="3" t="s">
        <v>8202</v>
      </c>
      <c r="F52" s="5" t="str">
        <f>IFERROR(__xludf.DUMMYFUNCTION("GOOGLETRANSLATE(A52, ""en"", ""hi"")"),"51")</f>
        <v>51</v>
      </c>
      <c r="G52" s="5" t="str">
        <f>IFERROR(__xludf.DUMMYFUNCTION("GOOGLETRANSLATE(B52, ""en"", ""hi"")"),"कैरम मैच के दौरान, यदि कोई खिलाड़ी एक ही शॉट में रानी और अपनी अंतिम गोटी पॉकेट में डाल देता है, लेकिन फाउल कर देता है, तो क्या होगा?")</f>
        <v>कैरम मैच के दौरान, यदि कोई खिलाड़ी एक ही शॉट में रानी और अपनी अंतिम गोटी पॉकेट में डाल देता है, लेकिन फाउल कर देता है, तो क्या होगा?</v>
      </c>
      <c r="H52" s="5" t="str">
        <f>IFERROR(__xludf.DUMMYFUNCTION("GOOGLETRANSLATE(C52, ""en"", ""hi"")"),"ए) खिलाड़ी रानी और अपनी बारी खो देता है।, बी) खिलाड़ी खेल जीत जाता है।, सी) खेल बराबरी पर छूट जाता है।, डी) खिलाड़ी को अपना अंतिम मोहरा वापस करना होगा।")</f>
        <v>ए) खिलाड़ी रानी और अपनी बारी खो देता है।, बी) खिलाड़ी खेल जीत जाता है।, सी) खेल बराबरी पर छूट जाता है।, डी) खिलाड़ी को अपना अंतिम मोहरा वापस करना होगा।</v>
      </c>
      <c r="I52" s="5" t="str">
        <f>IFERROR(__xludf.DUMMYFUNCTION("GOOGLETRANSLATE(D52, ""en"", ""hi"")"),"A) खिलाड़ी रानी और अपनी बारी खो देता है।")</f>
        <v>A) खिलाड़ी रानी और अपनी बारी खो देता है।</v>
      </c>
    </row>
    <row r="53" ht="22.5" customHeight="1">
      <c r="A53" s="2">
        <v>52.0</v>
      </c>
      <c r="B53" s="3" t="s">
        <v>8283</v>
      </c>
      <c r="C53" s="3" t="s">
        <v>8284</v>
      </c>
      <c r="D53" s="3" t="s">
        <v>8220</v>
      </c>
      <c r="F53" s="5" t="str">
        <f>IFERROR(__xludf.DUMMYFUNCTION("GOOGLETRANSLATE(A53, ""en"", ""hi"")"),"52")</f>
        <v>52</v>
      </c>
      <c r="G53" s="5" t="str">
        <f>IFERROR(__xludf.DUMMYFUNCTION("GOOGLETRANSLATE(B53, ""en"", ""hi"")"),"कैरम में, खिलाड़ी A अपनी रानी को पॉकेट में डाल देता है, लेकिन अगली बारी में वह मोहरा पॉकेट में नहीं डाल पाता। इसका नियम क्या है?")</f>
        <v>कैरम में, खिलाड़ी A अपनी रानी को पॉकेट में डाल देता है, लेकिन अगली बारी में वह मोहरा पॉकेट में नहीं डाल पाता। इसका नियम क्या है?</v>
      </c>
      <c r="H53" s="5" t="str">
        <f>IFERROR(__xludf.DUMMYFUNCTION("GOOGLETRANSLATE(C53, ""en"", ""hi"")"),"A) खिलाड़ी A रानी खो देता है और खिलाड़ी B खेल जारी रखता है। , B) खिलाड़ी A खेल जीत जाता है। , C) खेल बराबरी पर रहता है। , D) खिलाड़ी A को अपनी बारी छोड़नी पड़ती है।")</f>
        <v>A) खिलाड़ी A रानी खो देता है और खिलाड़ी B खेल जारी रखता है। , B) खिलाड़ी A खेल जीत जाता है। , C) खेल बराबरी पर रहता है। , D) खिलाड़ी A को अपनी बारी छोड़नी पड़ती है।</v>
      </c>
      <c r="I53" s="5" t="str">
        <f>IFERROR(__xludf.DUMMYFUNCTION("GOOGLETRANSLATE(D53, ""en"", ""hi"")"),"A) खिलाड़ी A रानी खो देता है और खिलाड़ी B खेल जारी रखता है।")</f>
        <v>A) खिलाड़ी A रानी खो देता है और खिलाड़ी B खेल जारी रखता है।</v>
      </c>
    </row>
    <row r="54" ht="22.5" customHeight="1">
      <c r="A54" s="2">
        <v>53.0</v>
      </c>
      <c r="B54" s="3" t="s">
        <v>8285</v>
      </c>
      <c r="C54" s="3" t="s">
        <v>8286</v>
      </c>
      <c r="D54" s="3" t="s">
        <v>8259</v>
      </c>
      <c r="F54" s="5" t="str">
        <f>IFERROR(__xludf.DUMMYFUNCTION("GOOGLETRANSLATE(A54, ""en"", ""hi"")"),"53")</f>
        <v>53</v>
      </c>
      <c r="G54" s="5" t="str">
        <f>IFERROR(__xludf.DUMMYFUNCTION("GOOGLETRANSLATE(B54, ""en"", ""hi"")"),"खिलाड़ी X अपनी आखिरी बारी में रानी को पॉकेट में डाल देता है, लेकिन स्ट्राइकर को बोर्ड से बाहर कर देता है। आगे क्या होता है?")</f>
        <v>खिलाड़ी X अपनी आखिरी बारी में रानी को पॉकेट में डाल देता है, लेकिन स्ट्राइकर को बोर्ड से बाहर कर देता है। आगे क्या होता है?</v>
      </c>
      <c r="H54" s="5" t="str">
        <f>IFERROR(__xludf.DUMMYFUNCTION("GOOGLETRANSLATE(C54, ""en"", ""hi"")"),"A) खिलाड़ी X अपनी बारी खो देता है और रानी को बोर्ड पर वापस कर दिया जाता है। , B) खिलाड़ी X खेल जीत जाता है। , C) खेल ड्रॉ हो जाता है। , D) खिलाड़ी X को अपनी अगली बारी छोड़नी पड़ती है।")</f>
        <v>A) खिलाड़ी X अपनी बारी खो देता है और रानी को बोर्ड पर वापस कर दिया जाता है। , B) खिलाड़ी X खेल जीत जाता है। , C) खेल ड्रॉ हो जाता है। , D) खिलाड़ी X को अपनी अगली बारी छोड़नी पड़ती है।</v>
      </c>
      <c r="I54" s="5" t="str">
        <f>IFERROR(__xludf.DUMMYFUNCTION("GOOGLETRANSLATE(D54, ""en"", ""hi"")"),"A) खिलाड़ी X अपनी बारी खो देता है और रानी बोर्ड पर वापस आ जाती है।")</f>
        <v>A) खिलाड़ी X अपनी बारी खो देता है और रानी बोर्ड पर वापस आ जाती है।</v>
      </c>
    </row>
    <row r="55" ht="22.5" customHeight="1">
      <c r="A55" s="2">
        <v>54.0</v>
      </c>
      <c r="B55" s="3" t="s">
        <v>8287</v>
      </c>
      <c r="C55" s="3" t="s">
        <v>8288</v>
      </c>
      <c r="D55" s="3" t="s">
        <v>8242</v>
      </c>
      <c r="F55" s="5" t="str">
        <f>IFERROR(__xludf.DUMMYFUNCTION("GOOGLETRANSLATE(A55, ""en"", ""hi"")"),"54")</f>
        <v>54</v>
      </c>
      <c r="G55" s="5" t="str">
        <f>IFERROR(__xludf.DUMMYFUNCTION("GOOGLETRANSLATE(B55, ""en"", ""hi"")"),"कैरम खेल के दौरान, खिलाड़ी A अपनी आखिरी गोटी पॉकेट में डाल देता है, लेकिन गलती से स्ट्राइकर बोर्ड से बाहर गिर जाता है। परिणाम क्या होता है?")</f>
        <v>कैरम खेल के दौरान, खिलाड़ी A अपनी आखिरी गोटी पॉकेट में डाल देता है, लेकिन गलती से स्ट्राइकर बोर्ड से बाहर गिर जाता है। परिणाम क्या होता है?</v>
      </c>
      <c r="H55" s="5" t="str">
        <f>IFERROR(__xludf.DUMMYFUNCTION("GOOGLETRANSLATE(C55, ""en"", ""hi"")"),"A) खिलाड़ी A खेल हार जाता है। , B) खिलाड़ी A अपनी बारी जारी रखता है। , C) खेल बराबरी पर रहता है। , D) खिलाड़ी A को अपना अंतिम मोहरा वापस करना होगा।")</f>
        <v>A) खिलाड़ी A खेल हार जाता है। , B) खिलाड़ी A अपनी बारी जारी रखता है। , C) खेल बराबरी पर रहता है। , D) खिलाड़ी A को अपना अंतिम मोहरा वापस करना होगा।</v>
      </c>
      <c r="I55" s="5" t="str">
        <f>IFERROR(__xludf.DUMMYFUNCTION("GOOGLETRANSLATE(D55, ""en"", ""hi"")"),"A) खिलाड़ी A खेल हार जाता है।")</f>
        <v>A) खिलाड़ी A खेल हार जाता है।</v>
      </c>
    </row>
    <row r="56" ht="22.5" customHeight="1">
      <c r="A56" s="2">
        <v>55.0</v>
      </c>
      <c r="B56" s="3" t="s">
        <v>8289</v>
      </c>
      <c r="C56" s="3" t="s">
        <v>8290</v>
      </c>
      <c r="D56" s="3" t="s">
        <v>8208</v>
      </c>
      <c r="F56" s="5" t="str">
        <f>IFERROR(__xludf.DUMMYFUNCTION("GOOGLETRANSLATE(A56, ""en"", ""hi"")"),"55")</f>
        <v>55</v>
      </c>
      <c r="G56" s="5" t="str">
        <f>IFERROR(__xludf.DUMMYFUNCTION("GOOGLETRANSLATE(B56, ""en"", ""hi"")"),"खिलाड़ी X क्वीन पॉकेट में डाल देता है, लेकिन स्ट्राइकर को बोर्ड से बाहर मारकर फ़ाउल कर देता है। आगे क्या होता है?")</f>
        <v>खिलाड़ी X क्वीन पॉकेट में डाल देता है, लेकिन स्ट्राइकर को बोर्ड से बाहर मारकर फ़ाउल कर देता है। आगे क्या होता है?</v>
      </c>
      <c r="H56" s="5" t="str">
        <f>IFERROR(__xludf.DUMMYFUNCTION("GOOGLETRANSLATE(C56, ""en"", ""hi"")"),"A) खिलाड़ी X रानी और अपनी बारी खो देता है। , B) खिलाड़ी X खेल जीत जाता है। , C) खेल ड्रॉ हो जाता है। , D) खिलाड़ी X को अपनी अगली बारी छोड़नी पड़ती है।")</f>
        <v>A) खिलाड़ी X रानी और अपनी बारी खो देता है। , B) खिलाड़ी X खेल जीत जाता है। , C) खेल ड्रॉ हो जाता है। , D) खिलाड़ी X को अपनी अगली बारी छोड़नी पड़ती है।</v>
      </c>
      <c r="I56" s="5" t="str">
        <f>IFERROR(__xludf.DUMMYFUNCTION("GOOGLETRANSLATE(D56, ""en"", ""hi"")"),"A) खिलाड़ी X रानी और अपनी बारी खो देता है।")</f>
        <v>A) खिलाड़ी X रानी और अपनी बारी खो देता है।</v>
      </c>
    </row>
    <row r="57" ht="22.5" customHeight="1">
      <c r="A57" s="2">
        <v>56.0</v>
      </c>
      <c r="B57" s="3" t="s">
        <v>8291</v>
      </c>
      <c r="C57" s="3" t="s">
        <v>8292</v>
      </c>
      <c r="D57" s="3" t="s">
        <v>8236</v>
      </c>
      <c r="F57" s="5" t="str">
        <f>IFERROR(__xludf.DUMMYFUNCTION("GOOGLETRANSLATE(A57, ""en"", ""hi"")"),"56")</f>
        <v>56</v>
      </c>
      <c r="G57" s="5" t="str">
        <f>IFERROR(__xludf.DUMMYFUNCTION("GOOGLETRANSLATE(B57, ""en"", ""hi"")"),"कैरम खेल में, खिलाड़ी A अपनी सभी गोटियाँ पॉकेट में डाल देता है, लेकिन स्ट्राइकर को बोर्ड से बाहर कर देता है। इसका नियम क्या है?")</f>
        <v>कैरम खेल में, खिलाड़ी A अपनी सभी गोटियाँ पॉकेट में डाल देता है, लेकिन स्ट्राइकर को बोर्ड से बाहर कर देता है। इसका नियम क्या है?</v>
      </c>
      <c r="H57" s="5" t="str">
        <f>IFERROR(__xludf.DUMMYFUNCTION("GOOGLETRANSLATE(C57, ""en"", ""hi"")"),"A) खिलाड़ी A अपनी बारी खो देता है और उसे बोर्ड पर एक मोहरा वापस करना पड़ता है। , B) खिलाड़ी A खेल जीत जाता है। , C) खेल बराबरी पर रहता है। , D) खिलाड़ी A को अपनी अगली बारी गँवानी पड़ती है।")</f>
        <v>A) खिलाड़ी A अपनी बारी खो देता है और उसे बोर्ड पर एक मोहरा वापस करना पड़ता है। , B) खिलाड़ी A खेल जीत जाता है। , C) खेल बराबरी पर रहता है। , D) खिलाड़ी A को अपनी अगली बारी गँवानी पड़ती है।</v>
      </c>
      <c r="I57" s="5" t="str">
        <f>IFERROR(__xludf.DUMMYFUNCTION("GOOGLETRANSLATE(D57, ""en"", ""hi"")"),"A) खिलाड़ी A अपनी बारी खो देता है और उसे बोर्ड पर एक मोहरा वापस करना पड़ता है।")</f>
        <v>A) खिलाड़ी A अपनी बारी खो देता है और उसे बोर्ड पर एक मोहरा वापस करना पड़ता है।</v>
      </c>
    </row>
    <row r="58" ht="22.5" customHeight="1">
      <c r="A58" s="2">
        <v>57.0</v>
      </c>
      <c r="B58" s="3" t="s">
        <v>8293</v>
      </c>
      <c r="C58" s="3" t="s">
        <v>8294</v>
      </c>
      <c r="D58" s="3" t="s">
        <v>8295</v>
      </c>
      <c r="F58" s="5" t="str">
        <f>IFERROR(__xludf.DUMMYFUNCTION("GOOGLETRANSLATE(A58, ""en"", ""hi"")"),"57")</f>
        <v>57</v>
      </c>
      <c r="G58" s="5" t="str">
        <f>IFERROR(__xludf.DUMMYFUNCTION("GOOGLETRANSLATE(B58, ""en"", ""hi"")"),"यदि खिलाड़ी X अपनी अगली बारी में रानी को पॉकेट में डाल देता है, लेकिन कोई मोहरा पॉकेट में नहीं डालता, तो परिणाम क्या होगा?")</f>
        <v>यदि खिलाड़ी X अपनी अगली बारी में रानी को पॉकेट में डाल देता है, लेकिन कोई मोहरा पॉकेट में नहीं डालता, तो परिणाम क्या होगा?</v>
      </c>
      <c r="H58" s="5" t="str">
        <f>IFERROR(__xludf.DUMMYFUNCTION("GOOGLETRANSLATE(C58, ""en"", ""hi"")"),"A) खिलाड़ी X रानी खो देता है। , B) खिलाड़ी X खेल जीत जाता है। , C) खेल ड्रॉ हो जाता है। , D) खिलाड़ी X को अपनी अगली बारी छोड़नी पड़ती है।")</f>
        <v>A) खिलाड़ी X रानी खो देता है। , B) खिलाड़ी X खेल जीत जाता है। , C) खेल ड्रॉ हो जाता है। , D) खिलाड़ी X को अपनी अगली बारी छोड़नी पड़ती है।</v>
      </c>
      <c r="I58" s="5" t="str">
        <f>IFERROR(__xludf.DUMMYFUNCTION("GOOGLETRANSLATE(D58, ""en"", ""hi"")"),"A) खिलाड़ी X रानी खो देता है।")</f>
        <v>A) खिलाड़ी X रानी खो देता है।</v>
      </c>
    </row>
    <row r="59" ht="22.5" customHeight="1">
      <c r="A59" s="2">
        <v>58.0</v>
      </c>
      <c r="B59" s="3" t="s">
        <v>8296</v>
      </c>
      <c r="C59" s="3" t="s">
        <v>8297</v>
      </c>
      <c r="D59" s="3" t="s">
        <v>8208</v>
      </c>
      <c r="F59" s="5" t="str">
        <f>IFERROR(__xludf.DUMMYFUNCTION("GOOGLETRANSLATE(A59, ""en"", ""hi"")"),"58")</f>
        <v>58</v>
      </c>
      <c r="G59" s="5" t="str">
        <f>IFERROR(__xludf.DUMMYFUNCTION("GOOGLETRANSLATE(B59, ""en"", ""hi"")"),"खिलाड़ी X अपनी आखिरी गोटी और रानी को एक ही बार में पॉकेट में डाल देता है। अगर खिलाड़ी X फ़ाउल कर दे तो क्या होगा?")</f>
        <v>खिलाड़ी X अपनी आखिरी गोटी और रानी को एक ही बार में पॉकेट में डाल देता है। अगर खिलाड़ी X फ़ाउल कर दे तो क्या होगा?</v>
      </c>
      <c r="H59" s="5" t="str">
        <f>IFERROR(__xludf.DUMMYFUNCTION("GOOGLETRANSLATE(C59, ""en"", ""hi"")"),"A) खिलाड़ी X रानी और अपनी बारी खो देता है। , B) खिलाड़ी X खेल जीत जाता है। , C) खेल ड्रॉ हो जाता है। , D) खिलाड़ी X को अपना अंतिम मोहरा वापस करना होगा।")</f>
        <v>A) खिलाड़ी X रानी और अपनी बारी खो देता है। , B) खिलाड़ी X खेल जीत जाता है। , C) खेल ड्रॉ हो जाता है। , D) खिलाड़ी X को अपना अंतिम मोहरा वापस करना होगा।</v>
      </c>
      <c r="I59" s="5" t="str">
        <f>IFERROR(__xludf.DUMMYFUNCTION("GOOGLETRANSLATE(D59, ""en"", ""hi"")"),"A) खिलाड़ी X रानी और अपनी बारी खो देता है।")</f>
        <v>A) खिलाड़ी X रानी और अपनी बारी खो देता है।</v>
      </c>
    </row>
    <row r="60" ht="22.5" customHeight="1">
      <c r="A60" s="2">
        <v>59.0</v>
      </c>
      <c r="B60" s="3" t="s">
        <v>8298</v>
      </c>
      <c r="C60" s="3" t="s">
        <v>8299</v>
      </c>
      <c r="D60" s="3" t="s">
        <v>8267</v>
      </c>
      <c r="F60" s="5" t="str">
        <f>IFERROR(__xludf.DUMMYFUNCTION("GOOGLETRANSLATE(A60, ""en"", ""hi"")"),"59")</f>
        <v>59</v>
      </c>
      <c r="G60" s="5" t="str">
        <f>IFERROR(__xludf.DUMMYFUNCTION("GOOGLETRANSLATE(B60, ""en"", ""hi"")"),"कैरम मैच के दौरान, खिलाड़ी X अपनी आखिरी गोटी पॉकेट में डाल देता है, लेकिन स्ट्राइकर बोर्ड से बाहर गेंद मार देता है। इसका नियम क्या है?")</f>
        <v>कैरम मैच के दौरान, खिलाड़ी X अपनी आखिरी गोटी पॉकेट में डाल देता है, लेकिन स्ट्राइकर बोर्ड से बाहर गेंद मार देता है। इसका नियम क्या है?</v>
      </c>
      <c r="H60" s="5" t="str">
        <f>IFERROR(__xludf.DUMMYFUNCTION("GOOGLETRANSLATE(C60, ""en"", ""hi"")"),"A) खिलाड़ी X खेल हार जाता है। , B) खिलाड़ी X खेल जीत जाता है। , C) खिलाड़ी X को अपना अंतिम मोहरा बोर्ड पर वापस करना होगा। , D) खेल ड्रॉ हो जाता है।")</f>
        <v>A) खिलाड़ी X खेल हार जाता है। , B) खिलाड़ी X खेल जीत जाता है। , C) खिलाड़ी X को अपना अंतिम मोहरा बोर्ड पर वापस करना होगा। , D) खेल ड्रॉ हो जाता है।</v>
      </c>
      <c r="I60" s="5" t="str">
        <f>IFERROR(__xludf.DUMMYFUNCTION("GOOGLETRANSLATE(D60, ""en"", ""hi"")"),"A) खिलाड़ी X खेल हार जाता है।")</f>
        <v>A) खिलाड़ी X खेल हार जाता है।</v>
      </c>
    </row>
    <row r="61" ht="22.5" customHeight="1">
      <c r="A61" s="2">
        <v>60.0</v>
      </c>
      <c r="B61" s="3" t="s">
        <v>8300</v>
      </c>
      <c r="C61" s="3" t="s">
        <v>8301</v>
      </c>
      <c r="D61" s="3" t="s">
        <v>8208</v>
      </c>
      <c r="F61" s="5" t="str">
        <f>IFERROR(__xludf.DUMMYFUNCTION("GOOGLETRANSLATE(A61, ""en"", ""hi"")"),"60")</f>
        <v>60</v>
      </c>
      <c r="G61" s="5" t="str">
        <f>IFERROR(__xludf.DUMMYFUNCTION("GOOGLETRANSLATE(B61, ""en"", ""hi"")"),"खिलाड़ी X एक ही शॉट में अपने सभी मोहरे और रानी को पॉकेट में डाल देता है, लेकिन स्ट्राइकर को भी बोर्ड से बाहर कर देता है। नतीजा क्या होता है?")</f>
        <v>खिलाड़ी X एक ही शॉट में अपने सभी मोहरे और रानी को पॉकेट में डाल देता है, लेकिन स्ट्राइकर को भी बोर्ड से बाहर कर देता है। नतीजा क्या होता है?</v>
      </c>
      <c r="H61" s="5" t="str">
        <f>IFERROR(__xludf.DUMMYFUNCTION("GOOGLETRANSLATE(C61, ""en"", ""hi"")"),"A) खिलाड़ी X रानी और अपनी बारी खो देता है। , B) खिलाड़ी X खेल जीत जाता है। , C) रानी बोर्ड पर वापस आ जाती है। , D) खेल ड्रॉ हो जाता है।")</f>
        <v>A) खिलाड़ी X रानी और अपनी बारी खो देता है। , B) खिलाड़ी X खेल जीत जाता है। , C) रानी बोर्ड पर वापस आ जाती है। , D) खेल ड्रॉ हो जाता है।</v>
      </c>
      <c r="I61" s="5" t="str">
        <f>IFERROR(__xludf.DUMMYFUNCTION("GOOGLETRANSLATE(D61, ""en"", ""hi"")"),"A) खिलाड़ी X रानी और अपनी बारी खो देता है।")</f>
        <v>A) खिलाड़ी X रानी और अपनी बारी खो देता है।</v>
      </c>
    </row>
    <row r="62" ht="22.5" customHeight="1">
      <c r="A62" s="2">
        <v>61.0</v>
      </c>
      <c r="B62" s="3" t="s">
        <v>8302</v>
      </c>
      <c r="C62" s="3" t="s">
        <v>8290</v>
      </c>
      <c r="D62" s="3" t="s">
        <v>8208</v>
      </c>
      <c r="F62" s="5" t="str">
        <f>IFERROR(__xludf.DUMMYFUNCTION("GOOGLETRANSLATE(A62, ""en"", ""hi"")"),"61")</f>
        <v>61</v>
      </c>
      <c r="G62" s="5" t="str">
        <f>IFERROR(__xludf.DUMMYFUNCTION("GOOGLETRANSLATE(B62, ""en"", ""hi"")"),"कैरम गेम में, खिलाड़ी X रानी को पॉकेट में डाल देता है, लेकिन फ़ाउल कर देता है। आगे क्या होता है?")</f>
        <v>कैरम गेम में, खिलाड़ी X रानी को पॉकेट में डाल देता है, लेकिन फ़ाउल कर देता है। आगे क्या होता है?</v>
      </c>
      <c r="H62" s="5" t="str">
        <f>IFERROR(__xludf.DUMMYFUNCTION("GOOGLETRANSLATE(C62, ""en"", ""hi"")"),"A) खिलाड़ी X रानी और अपनी बारी खो देता है। , B) खिलाड़ी X खेल जीत जाता है। , C) खेल ड्रॉ हो जाता है। , D) खिलाड़ी X को अपनी अगली बारी छोड़नी पड़ती है।")</f>
        <v>A) खिलाड़ी X रानी और अपनी बारी खो देता है। , B) खिलाड़ी X खेल जीत जाता है। , C) खेल ड्रॉ हो जाता है। , D) खिलाड़ी X को अपनी अगली बारी छोड़नी पड़ती है।</v>
      </c>
      <c r="I62" s="5" t="str">
        <f>IFERROR(__xludf.DUMMYFUNCTION("GOOGLETRANSLATE(D62, ""en"", ""hi"")"),"A) खिलाड़ी X रानी और अपनी बारी खो देता है।")</f>
        <v>A) खिलाड़ी X रानी और अपनी बारी खो देता है।</v>
      </c>
    </row>
    <row r="63" ht="22.5" customHeight="1">
      <c r="A63" s="2">
        <v>62.0</v>
      </c>
      <c r="B63" s="3" t="s">
        <v>8268</v>
      </c>
      <c r="C63" s="3" t="s">
        <v>8303</v>
      </c>
      <c r="D63" s="3" t="s">
        <v>8295</v>
      </c>
      <c r="F63" s="5" t="str">
        <f>IFERROR(__xludf.DUMMYFUNCTION("GOOGLETRANSLATE(A63, ""en"", ""hi"")"),"62")</f>
        <v>62</v>
      </c>
      <c r="G63" s="5" t="str">
        <f>IFERROR(__xludf.DUMMYFUNCTION("GOOGLETRANSLATE(B63, ""en"", ""hi"")"),"खिलाड़ी X अपनी अगली बारी में रानी को पॉकेट में डाल देता है, लेकिन एक भी मोहरा पॉकेट में नहीं डाल पाता। नतीजा क्या होता है?")</f>
        <v>खिलाड़ी X अपनी अगली बारी में रानी को पॉकेट में डाल देता है, लेकिन एक भी मोहरा पॉकेट में नहीं डाल पाता। नतीजा क्या होता है?</v>
      </c>
      <c r="H63" s="5" t="str">
        <f>IFERROR(__xludf.DUMMYFUNCTION("GOOGLETRANSLATE(C63, ""en"", ""hi"")"),"A) खिलाड़ी X रानी हार जाता है। , B) खिलाड़ी X खेल जीत जाता है। , C) खेल ड्रॉ हो जाता है। , D) खिलाड़ी X को बोर्ड पर एक मोहरा वापस करना होगा।")</f>
        <v>A) खिलाड़ी X रानी हार जाता है। , B) खिलाड़ी X खेल जीत जाता है। , C) खेल ड्रॉ हो जाता है। , D) खिलाड़ी X को बोर्ड पर एक मोहरा वापस करना होगा।</v>
      </c>
      <c r="I63" s="5" t="str">
        <f>IFERROR(__xludf.DUMMYFUNCTION("GOOGLETRANSLATE(D63, ""en"", ""hi"")"),"A) खिलाड़ी X रानी खो देता है।")</f>
        <v>A) खिलाड़ी X रानी खो देता है।</v>
      </c>
    </row>
    <row r="64" ht="22.5" customHeight="1">
      <c r="A64" s="2">
        <v>63.0</v>
      </c>
      <c r="B64" s="3" t="s">
        <v>8304</v>
      </c>
      <c r="C64" s="3" t="s">
        <v>8305</v>
      </c>
      <c r="D64" s="3" t="s">
        <v>8208</v>
      </c>
      <c r="F64" s="5" t="str">
        <f>IFERROR(__xludf.DUMMYFUNCTION("GOOGLETRANSLATE(A64, ""en"", ""hi"")"),"63")</f>
        <v>63</v>
      </c>
      <c r="G64" s="5" t="str">
        <f>IFERROR(__xludf.DUMMYFUNCTION("GOOGLETRANSLATE(B64, ""en"", ""hi"")"),"कैरम मैच के दौरान, खिलाड़ी X एक ही बार में अपनी सभी गोटियाँ और रानी पॉकेट में डाल देता है। अगर खिलाड़ी X फ़ाउल कर दे तो क्या होगा?")</f>
        <v>कैरम मैच के दौरान, खिलाड़ी X एक ही बार में अपनी सभी गोटियाँ और रानी पॉकेट में डाल देता है। अगर खिलाड़ी X फ़ाउल कर दे तो क्या होगा?</v>
      </c>
      <c r="H64" s="5" t="str">
        <f>IFERROR(__xludf.DUMMYFUNCTION("GOOGLETRANSLATE(C64, ""en"", ""hi"")"),"A) खिलाड़ी X रानी और अपनी बारी खो देता है। , B) खिलाड़ी X खेल जीत जाता है। , C) रानी बोर्ड पर वापस आ जाती है। , D) खिलाड़ी X को अपना अंतिम मोहरा वापस करना होगा।")</f>
        <v>A) खिलाड़ी X रानी और अपनी बारी खो देता है। , B) खिलाड़ी X खेल जीत जाता है। , C) रानी बोर्ड पर वापस आ जाती है। , D) खिलाड़ी X को अपना अंतिम मोहरा वापस करना होगा।</v>
      </c>
      <c r="I64" s="5" t="str">
        <f>IFERROR(__xludf.DUMMYFUNCTION("GOOGLETRANSLATE(D64, ""en"", ""hi"")"),"A) खिलाड़ी X रानी और अपनी बारी खो देता है।")</f>
        <v>A) खिलाड़ी X रानी और अपनी बारी खो देता है।</v>
      </c>
    </row>
    <row r="65" ht="22.5" customHeight="1">
      <c r="A65" s="2">
        <v>64.0</v>
      </c>
      <c r="B65" s="3" t="s">
        <v>8306</v>
      </c>
      <c r="C65" s="3" t="s">
        <v>8301</v>
      </c>
      <c r="D65" s="3" t="s">
        <v>8208</v>
      </c>
      <c r="F65" s="5" t="str">
        <f>IFERROR(__xludf.DUMMYFUNCTION("GOOGLETRANSLATE(A65, ""en"", ""hi"")"),"64")</f>
        <v>64</v>
      </c>
      <c r="G65" s="5" t="str">
        <f>IFERROR(__xludf.DUMMYFUNCTION("GOOGLETRANSLATE(B65, ""en"", ""hi"")"),"यदि खिलाड़ी X रानी को पॉकेट में डालता है, लेकिन स्ट्राइकर को भी पॉकेट में डालता है, तो जुर्माना क्या होगा?")</f>
        <v>यदि खिलाड़ी X रानी को पॉकेट में डालता है, लेकिन स्ट्राइकर को भी पॉकेट में डालता है, तो जुर्माना क्या होगा?</v>
      </c>
      <c r="H65" s="5" t="str">
        <f>IFERROR(__xludf.DUMMYFUNCTION("GOOGLETRANSLATE(C65, ""en"", ""hi"")"),"A) खिलाड़ी X रानी और अपनी बारी खो देता है। , B) खिलाड़ी X खेल जीत जाता है। , C) रानी बोर्ड पर वापस आ जाती है। , D) खेल ड्रॉ हो जाता है।")</f>
        <v>A) खिलाड़ी X रानी और अपनी बारी खो देता है। , B) खिलाड़ी X खेल जीत जाता है। , C) रानी बोर्ड पर वापस आ जाती है। , D) खेल ड्रॉ हो जाता है।</v>
      </c>
      <c r="I65" s="5" t="str">
        <f>IFERROR(__xludf.DUMMYFUNCTION("GOOGLETRANSLATE(D65, ""en"", ""hi"")"),"A) खिलाड़ी X रानी और अपनी बारी खो देता है।")</f>
        <v>A) खिलाड़ी X रानी और अपनी बारी खो देता है।</v>
      </c>
    </row>
    <row r="66" ht="22.5" customHeight="1">
      <c r="A66" s="2">
        <v>65.0</v>
      </c>
      <c r="B66" s="3" t="s">
        <v>8307</v>
      </c>
      <c r="C66" s="3" t="s">
        <v>8308</v>
      </c>
      <c r="D66" s="3" t="s">
        <v>8267</v>
      </c>
      <c r="F66" s="5" t="str">
        <f>IFERROR(__xludf.DUMMYFUNCTION("GOOGLETRANSLATE(A66, ""en"", ""hi"")"),"65")</f>
        <v>65</v>
      </c>
      <c r="G66" s="5" t="str">
        <f>IFERROR(__xludf.DUMMYFUNCTION("GOOGLETRANSLATE(B66, ""en"", ""hi"")"),"कैरम खेल के दौरान, खिलाड़ी X अपनी आखिरी गोटी पॉकेट में डाल देता है, लेकिन स्ट्राइकर को बोर्ड से बाहर मारकर फ़ाउल कर देता है। आगे क्या होता है?")</f>
        <v>कैरम खेल के दौरान, खिलाड़ी X अपनी आखिरी गोटी पॉकेट में डाल देता है, लेकिन स्ट्राइकर को बोर्ड से बाहर मारकर फ़ाउल कर देता है। आगे क्या होता है?</v>
      </c>
      <c r="H66" s="5" t="str">
        <f>IFERROR(__xludf.DUMMYFUNCTION("GOOGLETRANSLATE(C66, ""en"", ""hi"")"),"A) खिलाड़ी X खेल हार जाता है। , B) खिलाड़ी X खेल जीत जाता है। , C) खिलाड़ी Y की बारी के साथ खेल जारी रहता है। , D) खिलाड़ी X को अपना अंतिम टुकड़ा बोर्ड पर वापस करना होगा।")</f>
        <v>A) खिलाड़ी X खेल हार जाता है। , B) खिलाड़ी X खेल जीत जाता है। , C) खिलाड़ी Y की बारी के साथ खेल जारी रहता है। , D) खिलाड़ी X को अपना अंतिम टुकड़ा बोर्ड पर वापस करना होगा।</v>
      </c>
      <c r="I66" s="5" t="str">
        <f>IFERROR(__xludf.DUMMYFUNCTION("GOOGLETRANSLATE(D66, ""en"", ""hi"")"),"A) खिलाड़ी X खेल हार जाता है।")</f>
        <v>A) खिलाड़ी X खेल हार जाता है।</v>
      </c>
    </row>
    <row r="67" ht="22.5" customHeight="1">
      <c r="A67" s="2">
        <v>66.0</v>
      </c>
      <c r="B67" s="3" t="s">
        <v>8309</v>
      </c>
      <c r="C67" s="3" t="s">
        <v>8310</v>
      </c>
      <c r="D67" s="3" t="s">
        <v>8311</v>
      </c>
      <c r="F67" s="5" t="str">
        <f>IFERROR(__xludf.DUMMYFUNCTION("GOOGLETRANSLATE(A67, ""en"", ""hi"")"),"66")</f>
        <v>66</v>
      </c>
      <c r="G67" s="5" t="str">
        <f>IFERROR(__xludf.DUMMYFUNCTION("GOOGLETRANSLATE(B67, ""en"", ""hi"")"),"खिलाड़ी X एक ही शॉट में अपनी सारी गोटियाँ और रानी पॉकेट में डाल देता है, लेकिन रानी ठीक से पॉकेट में नहीं जाती। क्या होता है?")</f>
        <v>खिलाड़ी X एक ही शॉट में अपनी सारी गोटियाँ और रानी पॉकेट में डाल देता है, लेकिन रानी ठीक से पॉकेट में नहीं जाती। क्या होता है?</v>
      </c>
      <c r="H67" s="5" t="str">
        <f>IFERROR(__xludf.DUMMYFUNCTION("GOOGLETRANSLATE(C67, ""en"", ""hi"")"),"ए) खिलाड़ी एक्स को रानी को बोर्ड पर वापस करना होगा।, बी) खिलाड़ी एक्स खेल जीतता है।, सी) खेल ड्रॉ है।, डी) खिलाड़ी एक्स को अपनी अगली बारी छोड़नी होगी।")</f>
        <v>ए) खिलाड़ी एक्स को रानी को बोर्ड पर वापस करना होगा।, बी) खिलाड़ी एक्स खेल जीतता है।, सी) खेल ड्रॉ है।, डी) खिलाड़ी एक्स को अपनी अगली बारी छोड़नी होगी।</v>
      </c>
      <c r="I67" s="5" t="str">
        <f>IFERROR(__xludf.DUMMYFUNCTION("GOOGLETRANSLATE(D67, ""en"", ""hi"")"),"A) खिलाड़ी X को रानी को बोर्ड पर वापस लाना होगा।")</f>
        <v>A) खिलाड़ी X को रानी को बोर्ड पर वापस लाना होगा।</v>
      </c>
    </row>
    <row r="68" ht="22.5" customHeight="1">
      <c r="A68" s="2">
        <v>67.0</v>
      </c>
      <c r="B68" s="3" t="s">
        <v>8312</v>
      </c>
      <c r="C68" s="3" t="s">
        <v>8249</v>
      </c>
      <c r="D68" s="3" t="s">
        <v>8250</v>
      </c>
      <c r="F68" s="5" t="str">
        <f>IFERROR(__xludf.DUMMYFUNCTION("GOOGLETRANSLATE(A68, ""en"", ""hi"")"),"67")</f>
        <v>67</v>
      </c>
      <c r="G68" s="5" t="str">
        <f>IFERROR(__xludf.DUMMYFUNCTION("GOOGLETRANSLATE(B68, ""en"", ""hi"")"),"कैरम मैच में, खिलाड़ी X अपनी आखिरी गोटी पॉकेट में डालता है, लेकिन गलती से स्ट्राइकर पॉकेट में चला जाता है। इसका नियम क्या है?")</f>
        <v>कैरम मैच में, खिलाड़ी X अपनी आखिरी गोटी पॉकेट में डालता है, लेकिन गलती से स्ट्राइकर पॉकेट में चला जाता है। इसका नियम क्या है?</v>
      </c>
      <c r="H68" s="5" t="str">
        <f>IFERROR(__xludf.DUMMYFUNCTION("GOOGLETRANSLATE(C68, ""en"", ""hi"")"),"A) खिलाड़ी X अपनी बारी खो देता है और उसे बोर्ड पर एक मोहरा वापस करना होगा। , B) खिलाड़ी X खेल जीत जाता है। , C) खेल ड्रॉ हो जाता है। , D) खिलाड़ी X को अपनी अगली बारी गँवानी होगी।")</f>
        <v>A) खिलाड़ी X अपनी बारी खो देता है और उसे बोर्ड पर एक मोहरा वापस करना होगा। , B) खिलाड़ी X खेल जीत जाता है। , C) खेल ड्रॉ हो जाता है। , D) खिलाड़ी X को अपनी अगली बारी गँवानी होगी।</v>
      </c>
      <c r="I68" s="5" t="str">
        <f>IFERROR(__xludf.DUMMYFUNCTION("GOOGLETRANSLATE(D68, ""en"", ""hi"")"),"A) खिलाड़ी X अपनी बारी खो देता है और उसे बोर्ड पर एक मोहरा वापस करना पड़ता है।")</f>
        <v>A) खिलाड़ी X अपनी बारी खो देता है और उसे बोर्ड पर एक मोहरा वापस करना पड़ता है।</v>
      </c>
    </row>
    <row r="69" ht="22.5" customHeight="1">
      <c r="A69" s="2">
        <v>68.0</v>
      </c>
      <c r="B69" s="3" t="s">
        <v>8313</v>
      </c>
      <c r="C69" s="3" t="s">
        <v>8297</v>
      </c>
      <c r="D69" s="3" t="s">
        <v>8208</v>
      </c>
      <c r="F69" s="5" t="str">
        <f>IFERROR(__xludf.DUMMYFUNCTION("GOOGLETRANSLATE(A69, ""en"", ""hi"")"),"68")</f>
        <v>68</v>
      </c>
      <c r="G69" s="5" t="str">
        <f>IFERROR(__xludf.DUMMYFUNCTION("GOOGLETRANSLATE(B69, ""en"", ""hi"")"),"खिलाड़ी X एक ही बार में रानी और उसके सभी मोहरों को पॉकेट में डाल देता है। अगर खिलाड़ी X फ़ाउल कर दे तो क्या होगा?")</f>
        <v>खिलाड़ी X एक ही बार में रानी और उसके सभी मोहरों को पॉकेट में डाल देता है। अगर खिलाड़ी X फ़ाउल कर दे तो क्या होगा?</v>
      </c>
      <c r="H69" s="5" t="str">
        <f>IFERROR(__xludf.DUMMYFUNCTION("GOOGLETRANSLATE(C69, ""en"", ""hi"")"),"A) खिलाड़ी X रानी और अपनी बारी खो देता है। , B) खिलाड़ी X खेल जीत जाता है। , C) खेल ड्रॉ हो जाता है। , D) खिलाड़ी X को अपना अंतिम मोहरा वापस करना होगा।")</f>
        <v>A) खिलाड़ी X रानी और अपनी बारी खो देता है। , B) खिलाड़ी X खेल जीत जाता है। , C) खेल ड्रॉ हो जाता है। , D) खिलाड़ी X को अपना अंतिम मोहरा वापस करना होगा।</v>
      </c>
      <c r="I69" s="5" t="str">
        <f>IFERROR(__xludf.DUMMYFUNCTION("GOOGLETRANSLATE(D69, ""en"", ""hi"")"),"A) खिलाड़ी X रानी और अपनी बारी खो देता है।")</f>
        <v>A) खिलाड़ी X रानी और अपनी बारी खो देता है।</v>
      </c>
    </row>
    <row r="70" ht="22.5" customHeight="1">
      <c r="A70" s="2">
        <v>69.0</v>
      </c>
      <c r="B70" s="3" t="s">
        <v>8314</v>
      </c>
      <c r="C70" s="3" t="s">
        <v>8315</v>
      </c>
      <c r="D70" s="3" t="s">
        <v>8208</v>
      </c>
      <c r="F70" s="5" t="str">
        <f>IFERROR(__xludf.DUMMYFUNCTION("GOOGLETRANSLATE(A70, ""en"", ""hi"")"),"69")</f>
        <v>69</v>
      </c>
      <c r="G70" s="5" t="str">
        <f>IFERROR(__xludf.DUMMYFUNCTION("GOOGLETRANSLATE(B70, ""en"", ""hi"")"),"यदि खिलाड़ी X रानी को पॉकेट में डाल देता है, लेकिन स्ट्राइकर को भी पॉकेट में डाल देता है, तो परिणाम क्या होगा?")</f>
        <v>यदि खिलाड़ी X रानी को पॉकेट में डाल देता है, लेकिन स्ट्राइकर को भी पॉकेट में डाल देता है, तो परिणाम क्या होगा?</v>
      </c>
      <c r="H70" s="5" t="str">
        <f>IFERROR(__xludf.DUMMYFUNCTION("GOOGLETRANSLATE(C70, ""en"", ""hi"")"),"A) खिलाड़ी X रानी और अपनी बारी खो देता है। , B) खिलाड़ी X खेल जीत जाता है। , C) खेल ड्रॉ हो जाता है। , D) रानी बोर्ड पर वापस आ जाती है।")</f>
        <v>A) खिलाड़ी X रानी और अपनी बारी खो देता है। , B) खिलाड़ी X खेल जीत जाता है। , C) खेल ड्रॉ हो जाता है। , D) रानी बोर्ड पर वापस आ जाती है।</v>
      </c>
      <c r="I70" s="5" t="str">
        <f>IFERROR(__xludf.DUMMYFUNCTION("GOOGLETRANSLATE(D70, ""en"", ""hi"")"),"A) खिलाड़ी X रानी और अपनी बारी खो देता है।")</f>
        <v>A) खिलाड़ी X रानी और अपनी बारी खो देता है।</v>
      </c>
    </row>
    <row r="71" ht="22.5" customHeight="1">
      <c r="A71" s="2">
        <v>70.0</v>
      </c>
      <c r="B71" s="3" t="s">
        <v>8316</v>
      </c>
      <c r="C71" s="3" t="s">
        <v>8249</v>
      </c>
      <c r="D71" s="3" t="s">
        <v>8250</v>
      </c>
      <c r="F71" s="5" t="str">
        <f>IFERROR(__xludf.DUMMYFUNCTION("GOOGLETRANSLATE(A71, ""en"", ""hi"")"),"70")</f>
        <v>70</v>
      </c>
      <c r="G71" s="5" t="str">
        <f>IFERROR(__xludf.DUMMYFUNCTION("GOOGLETRANSLATE(B71, ""en"", ""hi"")"),"कैरम खेल के दौरान, खिलाड़ी X अपनी सभी गोटियाँ पॉकेट में डाल देता है, लेकिन एक फ़ाउल कर देता है। इसका नियम क्या है?")</f>
        <v>कैरम खेल के दौरान, खिलाड़ी X अपनी सभी गोटियाँ पॉकेट में डाल देता है, लेकिन एक फ़ाउल कर देता है। इसका नियम क्या है?</v>
      </c>
      <c r="H71" s="5" t="str">
        <f>IFERROR(__xludf.DUMMYFUNCTION("GOOGLETRANSLATE(C71, ""en"", ""hi"")"),"A) खिलाड़ी X अपनी बारी खो देता है और उसे बोर्ड पर एक मोहरा वापस करना होगा। , B) खिलाड़ी X खेल जीत जाता है। , C) खेल ड्रॉ हो जाता है। , D) खिलाड़ी X को अपनी अगली बारी गँवानी होगी।")</f>
        <v>A) खिलाड़ी X अपनी बारी खो देता है और उसे बोर्ड पर एक मोहरा वापस करना होगा। , B) खिलाड़ी X खेल जीत जाता है। , C) खेल ड्रॉ हो जाता है। , D) खिलाड़ी X को अपनी अगली बारी गँवानी होगी।</v>
      </c>
      <c r="I71" s="5" t="str">
        <f>IFERROR(__xludf.DUMMYFUNCTION("GOOGLETRANSLATE(D71, ""en"", ""hi"")"),"A) खिलाड़ी X अपनी बारी खो देता है और उसे बोर्ड पर एक मोहरा वापस करना पड़ता है।")</f>
        <v>A) खिलाड़ी X अपनी बारी खो देता है और उसे बोर्ड पर एक मोहरा वापस करना पड़ता है।</v>
      </c>
    </row>
    <row r="72" ht="22.5" customHeight="1">
      <c r="A72" s="2">
        <v>71.0</v>
      </c>
      <c r="B72" s="3" t="s">
        <v>8317</v>
      </c>
      <c r="C72" s="3" t="s">
        <v>8303</v>
      </c>
      <c r="D72" s="3" t="s">
        <v>8295</v>
      </c>
      <c r="F72" s="5" t="str">
        <f>IFERROR(__xludf.DUMMYFUNCTION("GOOGLETRANSLATE(A72, ""en"", ""hi"")"),"71")</f>
        <v>71</v>
      </c>
      <c r="G72" s="5" t="str">
        <f>IFERROR(__xludf.DUMMYFUNCTION("GOOGLETRANSLATE(B72, ""en"", ""hi"")"),"खिलाड़ी X अपनी अगली बारी में रानी को पॉकेट में डाल देता है, लेकिन कोई भी मोहरा पॉकेट में नहीं डालता। नतीजा क्या होता है?")</f>
        <v>खिलाड़ी X अपनी अगली बारी में रानी को पॉकेट में डाल देता है, लेकिन कोई भी मोहरा पॉकेट में नहीं डालता। नतीजा क्या होता है?</v>
      </c>
      <c r="H72" s="5" t="str">
        <f>IFERROR(__xludf.DUMMYFUNCTION("GOOGLETRANSLATE(C72, ""en"", ""hi"")"),"A) खिलाड़ी X रानी हार जाता है। , B) खिलाड़ी X खेल जीत जाता है। , C) खेल ड्रॉ हो जाता है। , D) खिलाड़ी X को बोर्ड पर एक मोहरा वापस करना होगा।")</f>
        <v>A) खिलाड़ी X रानी हार जाता है। , B) खिलाड़ी X खेल जीत जाता है। , C) खेल ड्रॉ हो जाता है। , D) खिलाड़ी X को बोर्ड पर एक मोहरा वापस करना होगा।</v>
      </c>
      <c r="I72" s="5" t="str">
        <f>IFERROR(__xludf.DUMMYFUNCTION("GOOGLETRANSLATE(D72, ""en"", ""hi"")"),"A) खिलाड़ी X रानी खो देता है।")</f>
        <v>A) खिलाड़ी X रानी खो देता है।</v>
      </c>
    </row>
    <row r="73" ht="22.5" customHeight="1">
      <c r="A73" s="2">
        <v>72.0</v>
      </c>
      <c r="B73" s="3" t="s">
        <v>8318</v>
      </c>
      <c r="C73" s="3" t="s">
        <v>8319</v>
      </c>
      <c r="D73" s="3" t="s">
        <v>8259</v>
      </c>
      <c r="F73" s="5" t="str">
        <f>IFERROR(__xludf.DUMMYFUNCTION("GOOGLETRANSLATE(A73, ""en"", ""hi"")"),"72")</f>
        <v>72</v>
      </c>
      <c r="G73" s="5" t="str">
        <f>IFERROR(__xludf.DUMMYFUNCTION("GOOGLETRANSLATE(B73, ""en"", ""hi"")"),"कैरम खेल में, खिलाड़ी X अपनी आखिरी गोटी पॉकेट में डाल देता है, लेकिन रानी बोर्ड से बाहर चली जाती है। इसका नियम क्या है?")</f>
        <v>कैरम खेल में, खिलाड़ी X अपनी आखिरी गोटी पॉकेट में डाल देता है, लेकिन रानी बोर्ड से बाहर चली जाती है। इसका नियम क्या है?</v>
      </c>
      <c r="H73" s="5" t="str">
        <f>IFERROR(__xludf.DUMMYFUNCTION("GOOGLETRANSLATE(C73,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73" s="5" t="str">
        <f>IFERROR(__xludf.DUMMYFUNCTION("GOOGLETRANSLATE(D73, ""en"", ""hi"")"),"A) खिलाड़ी X अपनी बारी खो देता है और रानी बोर्ड पर वापस आ जाती है।")</f>
        <v>A) खिलाड़ी X अपनी बारी खो देता है और रानी बोर्ड पर वापस आ जाती है।</v>
      </c>
    </row>
    <row r="74" ht="22.5" customHeight="1">
      <c r="A74" s="2">
        <v>73.0</v>
      </c>
      <c r="B74" s="3" t="s">
        <v>8320</v>
      </c>
      <c r="C74" s="3" t="s">
        <v>8321</v>
      </c>
      <c r="D74" s="3" t="s">
        <v>8247</v>
      </c>
      <c r="F74" s="5" t="str">
        <f>IFERROR(__xludf.DUMMYFUNCTION("GOOGLETRANSLATE(A74, ""en"", ""hi"")"),"73")</f>
        <v>73</v>
      </c>
      <c r="G74" s="5" t="str">
        <f>IFERROR(__xludf.DUMMYFUNCTION("GOOGLETRANSLATE(B74, ""en"", ""hi"")"),"कैरम मैच के दौरान, यदि खिलाड़ी A एक ही बार में रानी और अपनी अंतिम गोटी पॉकेट में डाल देता है, लेकिन फाउल कर देता है, तो परिणाम क्या होगा?")</f>
        <v>कैरम मैच के दौरान, यदि खिलाड़ी A एक ही बार में रानी और अपनी अंतिम गोटी पॉकेट में डाल देता है, लेकिन फाउल कर देता है, तो परिणाम क्या होगा?</v>
      </c>
      <c r="H74" s="5" t="str">
        <f>IFERROR(__xludf.DUMMYFUNCTION("GOOGLETRANSLATE(C74, ""en"", ""hi"")"),"A) खिलाड़ी A रानी और अपनी बारी खो देता है। , B) खिलाड़ी A खेल जीत जाता है। , C) रानी को बोर्ड पर वापस कर दिया जाता है। , D) खेल ड्रॉ हो जाता है।")</f>
        <v>A) खिलाड़ी A रानी और अपनी बारी खो देता है। , B) खिलाड़ी A खेल जीत जाता है। , C) रानी को बोर्ड पर वापस कर दिया जाता है। , D) खेल ड्रॉ हो जाता है।</v>
      </c>
      <c r="I74" s="5" t="str">
        <f>IFERROR(__xludf.DUMMYFUNCTION("GOOGLETRANSLATE(D74, ""en"", ""hi"")"),"A) खिलाड़ी A रानी और अपनी बारी खो देता है।")</f>
        <v>A) खिलाड़ी A रानी और अपनी बारी खो देता है।</v>
      </c>
    </row>
    <row r="75" ht="22.5" customHeight="1">
      <c r="A75" s="2">
        <v>74.0</v>
      </c>
      <c r="B75" s="3" t="s">
        <v>8322</v>
      </c>
      <c r="C75" s="3" t="s">
        <v>8297</v>
      </c>
      <c r="D75" s="3" t="s">
        <v>8208</v>
      </c>
      <c r="F75" s="5" t="str">
        <f>IFERROR(__xludf.DUMMYFUNCTION("GOOGLETRANSLATE(A75, ""en"", ""hi"")"),"74")</f>
        <v>74</v>
      </c>
      <c r="G75" s="5" t="str">
        <f>IFERROR(__xludf.DUMMYFUNCTION("GOOGLETRANSLATE(B75, ""en"", ""hi"")"),"खिलाड़ी X रानी को पॉकेट में डालता है, लेकिन रानी ठीक से पॉकेट में नहीं जाती और वापस बोर्ड पर आ जाती है। अगर खिलाड़ी X फ़ाउल करता है, तो क्या नियम होगा?")</f>
        <v>खिलाड़ी X रानी को पॉकेट में डालता है, लेकिन रानी ठीक से पॉकेट में नहीं जाती और वापस बोर्ड पर आ जाती है। अगर खिलाड़ी X फ़ाउल करता है, तो क्या नियम होगा?</v>
      </c>
      <c r="H75" s="5" t="str">
        <f>IFERROR(__xludf.DUMMYFUNCTION("GOOGLETRANSLATE(C75, ""en"", ""hi"")"),"A) खिलाड़ी X रानी और अपनी बारी खो देता है। , B) खिलाड़ी X खेल जीत जाता है। , C) खेल ड्रॉ हो जाता है। , D) खिलाड़ी X को अपना अंतिम मोहरा वापस करना होगा।")</f>
        <v>A) खिलाड़ी X रानी और अपनी बारी खो देता है। , B) खिलाड़ी X खेल जीत जाता है। , C) खेल ड्रॉ हो जाता है। , D) खिलाड़ी X को अपना अंतिम मोहरा वापस करना होगा।</v>
      </c>
      <c r="I75" s="5" t="str">
        <f>IFERROR(__xludf.DUMMYFUNCTION("GOOGLETRANSLATE(D75, ""en"", ""hi"")"),"A) खिलाड़ी X रानी और अपनी बारी खो देता है।")</f>
        <v>A) खिलाड़ी X रानी और अपनी बारी खो देता है।</v>
      </c>
    </row>
    <row r="76" ht="22.5" customHeight="1">
      <c r="A76" s="2">
        <v>75.0</v>
      </c>
      <c r="B76" s="3" t="s">
        <v>8323</v>
      </c>
      <c r="C76" s="3" t="s">
        <v>8290</v>
      </c>
      <c r="D76" s="3" t="s">
        <v>8208</v>
      </c>
      <c r="F76" s="5" t="str">
        <f>IFERROR(__xludf.DUMMYFUNCTION("GOOGLETRANSLATE(A76, ""en"", ""hi"")"),"75")</f>
        <v>75</v>
      </c>
      <c r="G76" s="5" t="str">
        <f>IFERROR(__xludf.DUMMYFUNCTION("GOOGLETRANSLATE(B76, ""en"", ""hi"")"),"कैरम में, यदि खिलाड़ी X रानी को पॉकेट में डाल देता है, लेकिन स्ट्राइकर को भी पॉकेट में डाल देता है, तो क्या होगा?")</f>
        <v>कैरम में, यदि खिलाड़ी X रानी को पॉकेट में डाल देता है, लेकिन स्ट्राइकर को भी पॉकेट में डाल देता है, तो क्या होगा?</v>
      </c>
      <c r="H76" s="5" t="str">
        <f>IFERROR(__xludf.DUMMYFUNCTION("GOOGLETRANSLATE(C76, ""en"", ""hi"")"),"A) खिलाड़ी X रानी और अपनी बारी खो देता है। , B) खिलाड़ी X खेल जीत जाता है। , C) खेल ड्रॉ हो जाता है। , D) खिलाड़ी X को अपनी अगली बारी छोड़नी पड़ती है।")</f>
        <v>A) खिलाड़ी X रानी और अपनी बारी खो देता है। , B) खिलाड़ी X खेल जीत जाता है। , C) खेल ड्रॉ हो जाता है। , D) खिलाड़ी X को अपनी अगली बारी छोड़नी पड़ती है।</v>
      </c>
      <c r="I76" s="5" t="str">
        <f>IFERROR(__xludf.DUMMYFUNCTION("GOOGLETRANSLATE(D76, ""en"", ""hi"")"),"A) खिलाड़ी X रानी और अपनी बारी खो देता है।")</f>
        <v>A) खिलाड़ी X रानी और अपनी बारी खो देता है।</v>
      </c>
    </row>
    <row r="77" ht="22.5" customHeight="1">
      <c r="A77" s="2">
        <v>76.0</v>
      </c>
      <c r="B77" s="3" t="s">
        <v>8324</v>
      </c>
      <c r="C77" s="3" t="s">
        <v>8325</v>
      </c>
      <c r="D77" s="3" t="s">
        <v>8247</v>
      </c>
      <c r="F77" s="5" t="str">
        <f>IFERROR(__xludf.DUMMYFUNCTION("GOOGLETRANSLATE(A77, ""en"", ""hi"")"),"76")</f>
        <v>76</v>
      </c>
      <c r="G77" s="5" t="str">
        <f>IFERROR(__xludf.DUMMYFUNCTION("GOOGLETRANSLATE(B77, ""en"", ""hi"")"),"खिलाड़ी A एक ही शॉट में अपनी सभी गोटियाँ और रानी पॉकेट में डाल देता है। अगर खिलाड़ी A फ़ाउल करता है तो क्या नियम होगा?")</f>
        <v>खिलाड़ी A एक ही शॉट में अपनी सभी गोटियाँ और रानी पॉकेट में डाल देता है। अगर खिलाड़ी A फ़ाउल करता है तो क्या नियम होगा?</v>
      </c>
      <c r="H77" s="5" t="str">
        <f>IFERROR(__xludf.DUMMYFUNCTION("GOOGLETRANSLATE(C77, ""en"", ""hi"")"),"A) खिलाड़ी A रानी और अपनी बारी खो देता है। , B) खिलाड़ी A खेल जीत जाता है। , C) खेल बराबरी पर रहता है। , D) खिलाड़ी A को अपना अंतिम मोहरा वापस करना होगा।")</f>
        <v>A) खिलाड़ी A रानी और अपनी बारी खो देता है। , B) खिलाड़ी A खेल जीत जाता है। , C) खेल बराबरी पर रहता है। , D) खिलाड़ी A को अपना अंतिम मोहरा वापस करना होगा।</v>
      </c>
      <c r="I77" s="5" t="str">
        <f>IFERROR(__xludf.DUMMYFUNCTION("GOOGLETRANSLATE(D77, ""en"", ""hi"")"),"A) खिलाड़ी A रानी और अपनी बारी खो देता है।")</f>
        <v>A) खिलाड़ी A रानी और अपनी बारी खो देता है।</v>
      </c>
    </row>
    <row r="78" ht="22.5" customHeight="1">
      <c r="A78" s="2">
        <v>77.0</v>
      </c>
      <c r="B78" s="3" t="s">
        <v>8326</v>
      </c>
      <c r="C78" s="3" t="s">
        <v>8249</v>
      </c>
      <c r="D78" s="3" t="s">
        <v>8250</v>
      </c>
      <c r="F78" s="5" t="str">
        <f>IFERROR(__xludf.DUMMYFUNCTION("GOOGLETRANSLATE(A78, ""en"", ""hi"")"),"77")</f>
        <v>77</v>
      </c>
      <c r="G78" s="5" t="str">
        <f>IFERROR(__xludf.DUMMYFUNCTION("GOOGLETRANSLATE(B78, ""en"", ""hi"")"),"कैरम खेल के दौरान, यदि खिलाड़ी X अपना अंतिम मोहरा पॉकेट में डाल देता है, लेकिन फाउल कर देता है, तो आगे क्या होगा?")</f>
        <v>कैरम खेल के दौरान, यदि खिलाड़ी X अपना अंतिम मोहरा पॉकेट में डाल देता है, लेकिन फाउल कर देता है, तो आगे क्या होगा?</v>
      </c>
      <c r="H78" s="5" t="str">
        <f>IFERROR(__xludf.DUMMYFUNCTION("GOOGLETRANSLATE(C78, ""en"", ""hi"")"),"A) खिलाड़ी X अपनी बारी खो देता है और उसे बोर्ड पर एक मोहरा वापस करना होगा। , B) खिलाड़ी X खेल जीत जाता है। , C) खेल ड्रॉ हो जाता है। , D) खिलाड़ी X को अपनी अगली बारी गँवानी होगी।")</f>
        <v>A) खिलाड़ी X अपनी बारी खो देता है और उसे बोर्ड पर एक मोहरा वापस करना होगा। , B) खिलाड़ी X खेल जीत जाता है। , C) खेल ड्रॉ हो जाता है। , D) खिलाड़ी X को अपनी अगली बारी गँवानी होगी।</v>
      </c>
      <c r="I78" s="5" t="str">
        <f>IFERROR(__xludf.DUMMYFUNCTION("GOOGLETRANSLATE(D78, ""en"", ""hi"")"),"A) खिलाड़ी X अपनी बारी खो देता है और उसे बोर्ड पर एक मोहरा वापस करना पड़ता है।")</f>
        <v>A) खिलाड़ी X अपनी बारी खो देता है और उसे बोर्ड पर एक मोहरा वापस करना पड़ता है।</v>
      </c>
    </row>
    <row r="79" ht="22.5" customHeight="1">
      <c r="A79" s="2">
        <v>78.0</v>
      </c>
      <c r="B79" s="3" t="s">
        <v>8317</v>
      </c>
      <c r="C79" s="3" t="s">
        <v>8327</v>
      </c>
      <c r="D79" s="3" t="s">
        <v>8239</v>
      </c>
      <c r="F79" s="5" t="str">
        <f>IFERROR(__xludf.DUMMYFUNCTION("GOOGLETRANSLATE(A79, ""en"", ""hi"")"),"78")</f>
        <v>78</v>
      </c>
      <c r="G79" s="5" t="str">
        <f>IFERROR(__xludf.DUMMYFUNCTION("GOOGLETRANSLATE(B79, ""en"", ""hi"")"),"खिलाड़ी X अपनी अगली बारी में रानी को पॉकेट में डाल देता है, लेकिन कोई भी मोहरा पॉकेट में नहीं डालता। नतीजा क्या होता है?")</f>
        <v>खिलाड़ी X अपनी अगली बारी में रानी को पॉकेट में डाल देता है, लेकिन कोई भी मोहरा पॉकेट में नहीं डालता। नतीजा क्या होता है?</v>
      </c>
      <c r="H79" s="5" t="str">
        <f>IFERROR(__xludf.DUMMYFUNCTION("GOOGLETRANSLATE(C79, ""en"", ""hi"")"),"A) खिलाड़ी X रानी खो देता है और खिलाड़ी Y खेल जारी रखता है। , B) खिलाड़ी X खेल जीत जाता है। , C) खेल ड्रॉ हो जाता है। , D) खिलाड़ी X को अपनी अगली बारी छोड़नी पड़ती है।")</f>
        <v>A) खिलाड़ी X रानी खो देता है और खिलाड़ी Y खेल जारी रखता है। , B) खिलाड़ी X खेल जीत जाता है। , C) खेल ड्रॉ हो जाता है। , D) खिलाड़ी X को अपनी अगली बारी छोड़नी पड़ती है।</v>
      </c>
      <c r="I79" s="5" t="str">
        <f>IFERROR(__xludf.DUMMYFUNCTION("GOOGLETRANSLATE(D79, ""en"", ""hi"")"),"A) खिलाड़ी X रानी खो देता है और खिलाड़ी Y खेल जारी रखता है।")</f>
        <v>A) खिलाड़ी X रानी खो देता है और खिलाड़ी Y खेल जारी रखता है।</v>
      </c>
    </row>
    <row r="80" ht="22.5" customHeight="1">
      <c r="A80" s="2">
        <v>79.0</v>
      </c>
      <c r="B80" s="3" t="s">
        <v>8328</v>
      </c>
      <c r="C80" s="3" t="s">
        <v>8329</v>
      </c>
      <c r="D80" s="3" t="s">
        <v>8311</v>
      </c>
      <c r="F80" s="5" t="str">
        <f>IFERROR(__xludf.DUMMYFUNCTION("GOOGLETRANSLATE(A80, ""en"", ""hi"")"),"79")</f>
        <v>79</v>
      </c>
      <c r="G80" s="5" t="str">
        <f>IFERROR(__xludf.DUMMYFUNCTION("GOOGLETRANSLATE(B80, ""en"", ""hi"")"),"यदि खिलाड़ी X एक ही बार में रानी और अपनी अंतिम गोटी को पॉकेट में डाल देता है, लेकिन रानी ठीक से पॉकेट में नहीं जाती, तो परिणाम क्या होगा?")</f>
        <v>यदि खिलाड़ी X एक ही बार में रानी और अपनी अंतिम गोटी को पॉकेट में डाल देता है, लेकिन रानी ठीक से पॉकेट में नहीं जाती, तो परिणाम क्या होगा?</v>
      </c>
      <c r="H80" s="5" t="str">
        <f>IFERROR(__xludf.DUMMYFUNCTION("GOOGLETRANSLATE(C80, ""en"", ""hi"")"),"ए) खिलाड़ी एक्स को रानी को बोर्ड पर वापस करना होगा।, बी) खिलाड़ी एक्स खेल जीतता है।, सी) खेल ड्रॉ है।, डी) खिलाड़ी एक्स को अपना आखिरी टुकड़ा वापस करना होगा।")</f>
        <v>ए) खिलाड़ी एक्स को रानी को बोर्ड पर वापस करना होगा।, बी) खिलाड़ी एक्स खेल जीतता है।, सी) खेल ड्रॉ है।, डी) खिलाड़ी एक्स को अपना आखिरी टुकड़ा वापस करना होगा।</v>
      </c>
      <c r="I80" s="5" t="str">
        <f>IFERROR(__xludf.DUMMYFUNCTION("GOOGLETRANSLATE(D80, ""en"", ""hi"")"),"A) खिलाड़ी X को रानी को बोर्ड पर वापस लाना होगा।")</f>
        <v>A) खिलाड़ी X को रानी को बोर्ड पर वापस लाना होगा।</v>
      </c>
    </row>
    <row r="81" ht="22.5" customHeight="1">
      <c r="A81" s="2">
        <v>80.0</v>
      </c>
      <c r="B81" s="3" t="s">
        <v>8330</v>
      </c>
      <c r="C81" s="3" t="s">
        <v>8315</v>
      </c>
      <c r="D81" s="3" t="s">
        <v>8208</v>
      </c>
      <c r="F81" s="5" t="str">
        <f>IFERROR(__xludf.DUMMYFUNCTION("GOOGLETRANSLATE(A81, ""en"", ""hi"")"),"80")</f>
        <v>80</v>
      </c>
      <c r="G81" s="5" t="str">
        <f>IFERROR(__xludf.DUMMYFUNCTION("GOOGLETRANSLATE(B81, ""en"", ""hi"")"),"कैरम खेल में, खिलाड़ी X एक ही बार में अपनी सभी गोटियाँ और रानी पॉकेट में डाल देता है। अगर खिलाड़ी X फ़ाउल कर दे तो क्या होगा?")</f>
        <v>कैरम खेल में, खिलाड़ी X एक ही बार में अपनी सभी गोटियाँ और रानी पॉकेट में डाल देता है। अगर खिलाड़ी X फ़ाउल कर दे तो क्या होगा?</v>
      </c>
      <c r="H81" s="5" t="str">
        <f>IFERROR(__xludf.DUMMYFUNCTION("GOOGLETRANSLATE(C81, ""en"", ""hi"")"),"A) खिलाड़ी X रानी और अपनी बारी खो देता है। , B) खिलाड़ी X खेल जीत जाता है। , C) खेल ड्रॉ हो जाता है। , D) रानी बोर्ड पर वापस आ जाती है।")</f>
        <v>A) खिलाड़ी X रानी और अपनी बारी खो देता है। , B) खिलाड़ी X खेल जीत जाता है। , C) खेल ड्रॉ हो जाता है। , D) रानी बोर्ड पर वापस आ जाती है।</v>
      </c>
      <c r="I81" s="5" t="str">
        <f>IFERROR(__xludf.DUMMYFUNCTION("GOOGLETRANSLATE(D81, ""en"", ""hi"")"),"A) खिलाड़ी X रानी और अपनी बारी खो देता है।")</f>
        <v>A) खिलाड़ी X रानी और अपनी बारी खो देता है।</v>
      </c>
    </row>
    <row r="82" ht="22.5" customHeight="1">
      <c r="A82" s="2">
        <v>81.0</v>
      </c>
      <c r="B82" s="3" t="s">
        <v>8331</v>
      </c>
      <c r="C82" s="3" t="s">
        <v>8332</v>
      </c>
      <c r="D82" s="3" t="s">
        <v>8247</v>
      </c>
      <c r="F82" s="5" t="str">
        <f>IFERROR(__xludf.DUMMYFUNCTION("GOOGLETRANSLATE(A82, ""en"", ""hi"")"),"81")</f>
        <v>81</v>
      </c>
      <c r="G82" s="5" t="str">
        <f>IFERROR(__xludf.DUMMYFUNCTION("GOOGLETRANSLATE(B82, ""en"", ""hi"")"),"कैरम मैच के दौरान, यदि खिलाड़ी A एक ही बार में अपना अंतिम मोहरा और रानी पॉकेट में डाल देता है, लेकिन साथ ही फाउल भी कर देता है, तो नियम क्या होगा?")</f>
        <v>कैरम मैच के दौरान, यदि खिलाड़ी A एक ही बार में अपना अंतिम मोहरा और रानी पॉकेट में डाल देता है, लेकिन साथ ही फाउल भी कर देता है, तो नियम क्या होगा?</v>
      </c>
      <c r="H82" s="5" t="str">
        <f>IFERROR(__xludf.DUMMYFUNCTION("GOOGLETRANSLATE(C82, ""en"", ""hi"")"),"A) खिलाड़ी A रानी और अपनी बारी खो देता है। , B) खिलाड़ी A खेल जीत जाता है। , C) खेल ड्रॉ हो जाता है। , D) रानी बोर्ड पर वापस आ जाती है।")</f>
        <v>A) खिलाड़ी A रानी और अपनी बारी खो देता है। , B) खिलाड़ी A खेल जीत जाता है। , C) खेल ड्रॉ हो जाता है। , D) रानी बोर्ड पर वापस आ जाती है।</v>
      </c>
      <c r="I82" s="5" t="str">
        <f>IFERROR(__xludf.DUMMYFUNCTION("GOOGLETRANSLATE(D82, ""en"", ""hi"")"),"A) खिलाड़ी A रानी और अपनी बारी खो देता है।")</f>
        <v>A) खिलाड़ी A रानी और अपनी बारी खो देता है।</v>
      </c>
    </row>
    <row r="83" ht="22.5" customHeight="1">
      <c r="A83" s="2">
        <v>82.0</v>
      </c>
      <c r="B83" s="3" t="s">
        <v>8333</v>
      </c>
      <c r="C83" s="3" t="s">
        <v>8319</v>
      </c>
      <c r="D83" s="3" t="s">
        <v>8259</v>
      </c>
      <c r="F83" s="5" t="str">
        <f>IFERROR(__xludf.DUMMYFUNCTION("GOOGLETRANSLATE(A83, ""en"", ""hi"")"),"82")</f>
        <v>82</v>
      </c>
      <c r="G83" s="5" t="str">
        <f>IFERROR(__xludf.DUMMYFUNCTION("GOOGLETRANSLATE(B83, ""en"", ""hi"")"),"खिलाड़ी X एक ही बार में अपने सभी मोहरे और रानी को पॉकेट में डाल देता है। अगर खिलाड़ी X स्ट्राइकर को बोर्ड से बाहर कर दे तो क्या होगा?")</f>
        <v>खिलाड़ी X एक ही बार में अपने सभी मोहरे और रानी को पॉकेट में डाल देता है। अगर खिलाड़ी X स्ट्राइकर को बोर्ड से बाहर कर दे तो क्या होगा?</v>
      </c>
      <c r="H83" s="5" t="str">
        <f>IFERROR(__xludf.DUMMYFUNCTION("GOOGLETRANSLATE(C83,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83" s="5" t="str">
        <f>IFERROR(__xludf.DUMMYFUNCTION("GOOGLETRANSLATE(D83, ""en"", ""hi"")"),"A) खिलाड़ी X अपनी बारी खो देता है और रानी बोर्ड पर वापस आ जाती है।")</f>
        <v>A) खिलाड़ी X अपनी बारी खो देता है और रानी बोर्ड पर वापस आ जाती है।</v>
      </c>
    </row>
    <row r="84" ht="22.5" customHeight="1">
      <c r="A84" s="2">
        <v>83.0</v>
      </c>
      <c r="B84" s="3" t="s">
        <v>8334</v>
      </c>
      <c r="C84" s="3" t="s">
        <v>8297</v>
      </c>
      <c r="D84" s="3" t="s">
        <v>8208</v>
      </c>
      <c r="F84" s="5" t="str">
        <f>IFERROR(__xludf.DUMMYFUNCTION("GOOGLETRANSLATE(A84, ""en"", ""hi"")"),"83")</f>
        <v>83</v>
      </c>
      <c r="G84" s="5" t="str">
        <f>IFERROR(__xludf.DUMMYFUNCTION("GOOGLETRANSLATE(B84, ""en"", ""hi"")"),"यदि खिलाड़ी X रानी को पॉकेट में डाल देता है, लेकिन स्ट्राइकर को भी बोर्ड से बाहर कर देता है, तो परिणाम क्या होगा?")</f>
        <v>यदि खिलाड़ी X रानी को पॉकेट में डाल देता है, लेकिन स्ट्राइकर को भी बोर्ड से बाहर कर देता है, तो परिणाम क्या होगा?</v>
      </c>
      <c r="H84" s="5" t="str">
        <f>IFERROR(__xludf.DUMMYFUNCTION("GOOGLETRANSLATE(C84, ""en"", ""hi"")"),"A) खिलाड़ी X रानी और अपनी बारी खो देता है। , B) खिलाड़ी X खेल जीत जाता है। , C) खेल ड्रॉ हो जाता है। , D) खिलाड़ी X को अपना अंतिम मोहरा वापस करना होगा।")</f>
        <v>A) खिलाड़ी X रानी और अपनी बारी खो देता है। , B) खिलाड़ी X खेल जीत जाता है। , C) खेल ड्रॉ हो जाता है। , D) खिलाड़ी X को अपना अंतिम मोहरा वापस करना होगा।</v>
      </c>
      <c r="I84" s="5" t="str">
        <f>IFERROR(__xludf.DUMMYFUNCTION("GOOGLETRANSLATE(D84, ""en"", ""hi"")"),"A) खिलाड़ी X रानी और अपनी बारी खो देता है।")</f>
        <v>A) खिलाड़ी X रानी और अपनी बारी खो देता है।</v>
      </c>
    </row>
    <row r="85" ht="22.5" customHeight="1">
      <c r="A85" s="2">
        <v>84.0</v>
      </c>
      <c r="B85" s="3" t="s">
        <v>8335</v>
      </c>
      <c r="C85" s="3" t="s">
        <v>8315</v>
      </c>
      <c r="D85" s="3" t="s">
        <v>8208</v>
      </c>
      <c r="F85" s="5" t="str">
        <f>IFERROR(__xludf.DUMMYFUNCTION("GOOGLETRANSLATE(A85, ""en"", ""hi"")"),"84")</f>
        <v>84</v>
      </c>
      <c r="G85" s="5" t="str">
        <f>IFERROR(__xludf.DUMMYFUNCTION("GOOGLETRANSLATE(B85, ""en"", ""hi"")"),"कैरम खेल के दौरान, खिलाड़ी X एक ही बार में अपनी आखिरी गोटी और रानी को पॉकेट में डाल देता है, लेकिन फ़ाउल कर देता है। इसका नियम क्या है?")</f>
        <v>कैरम खेल के दौरान, खिलाड़ी X एक ही बार में अपनी आखिरी गोटी और रानी को पॉकेट में डाल देता है, लेकिन फ़ाउल कर देता है। इसका नियम क्या है?</v>
      </c>
      <c r="H85" s="5" t="str">
        <f>IFERROR(__xludf.DUMMYFUNCTION("GOOGLETRANSLATE(C85, ""en"", ""hi"")"),"A) खिलाड़ी X रानी और अपनी बारी खो देता है। , B) खिलाड़ी X खेल जीत जाता है। , C) खेल ड्रॉ हो जाता है। , D) रानी बोर्ड पर वापस आ जाती है।")</f>
        <v>A) खिलाड़ी X रानी और अपनी बारी खो देता है। , B) खिलाड़ी X खेल जीत जाता है। , C) खेल ड्रॉ हो जाता है। , D) रानी बोर्ड पर वापस आ जाती है।</v>
      </c>
      <c r="I85" s="5" t="str">
        <f>IFERROR(__xludf.DUMMYFUNCTION("GOOGLETRANSLATE(D85, ""en"", ""hi"")"),"A) खिलाड़ी X रानी और अपनी बारी खो देता है।")</f>
        <v>A) खिलाड़ी X रानी और अपनी बारी खो देता है।</v>
      </c>
    </row>
    <row r="86" ht="22.5" customHeight="1">
      <c r="A86" s="2">
        <v>85.0</v>
      </c>
      <c r="B86" s="3" t="s">
        <v>8336</v>
      </c>
      <c r="C86" s="3" t="s">
        <v>8319</v>
      </c>
      <c r="D86" s="3" t="s">
        <v>8259</v>
      </c>
      <c r="F86" s="5" t="str">
        <f>IFERROR(__xludf.DUMMYFUNCTION("GOOGLETRANSLATE(A86, ""en"", ""hi"")"),"85")</f>
        <v>85</v>
      </c>
      <c r="G86" s="5" t="str">
        <f>IFERROR(__xludf.DUMMYFUNCTION("GOOGLETRANSLATE(B86, ""en"", ""hi"")"),"खिलाड़ी X एक ही बार में अपने सभी मोहरों और रानी को पॉकेट में डाल देता है। अगर खिलाड़ी X गलती से स्ट्राइकर को पॉकेट में डाल देता है, तो क्या नियम होगा?")</f>
        <v>खिलाड़ी X एक ही बार में अपने सभी मोहरों और रानी को पॉकेट में डाल देता है। अगर खिलाड़ी X गलती से स्ट्राइकर को पॉकेट में डाल देता है, तो क्या नियम होगा?</v>
      </c>
      <c r="H86" s="5" t="str">
        <f>IFERROR(__xludf.DUMMYFUNCTION("GOOGLETRANSLATE(C86,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86" s="5" t="str">
        <f>IFERROR(__xludf.DUMMYFUNCTION("GOOGLETRANSLATE(D86, ""en"", ""hi"")"),"A) खिलाड़ी X अपनी बारी खो देता है और रानी बोर्ड पर वापस आ जाती है।")</f>
        <v>A) खिलाड़ी X अपनी बारी खो देता है और रानी बोर्ड पर वापस आ जाती है।</v>
      </c>
    </row>
    <row r="87" ht="22.5" customHeight="1">
      <c r="A87" s="2">
        <v>86.0</v>
      </c>
      <c r="B87" s="3" t="s">
        <v>8337</v>
      </c>
      <c r="C87" s="3" t="s">
        <v>8338</v>
      </c>
      <c r="D87" s="3" t="s">
        <v>8239</v>
      </c>
      <c r="F87" s="5" t="str">
        <f>IFERROR(__xludf.DUMMYFUNCTION("GOOGLETRANSLATE(A87, ""en"", ""hi"")"),"86")</f>
        <v>86</v>
      </c>
      <c r="G87" s="5" t="str">
        <f>IFERROR(__xludf.DUMMYFUNCTION("GOOGLETRANSLATE(B87, ""en"", ""hi"")"),"कैरम में, यदि खिलाड़ी X अपनी अगली बारी में रानी को पॉकेट में डाल देता है, लेकिन कोई मोहरा पॉकेट में नहीं डालता, तो क्या होगा?")</f>
        <v>कैरम में, यदि खिलाड़ी X अपनी अगली बारी में रानी को पॉकेट में डाल देता है, लेकिन कोई मोहरा पॉकेट में नहीं डालता, तो क्या होगा?</v>
      </c>
      <c r="H87" s="5" t="str">
        <f>IFERROR(__xludf.DUMMYFUNCTION("GOOGLETRANSLATE(C87, ""en"", ""hi"")"),"A) खिलाड़ी X रानी खो देता है और खिलाड़ी Y खेल जारी रखता है। , B) खिलाड़ी X खेल जीत जाता है। , C) खेल ड्रॉ हो जाता है। , D) खिलाड़ी X को बोर्ड पर एक मोहरा वापस करना होगा।")</f>
        <v>A) खिलाड़ी X रानी खो देता है और खिलाड़ी Y खेल जारी रखता है। , B) खिलाड़ी X खेल जीत जाता है। , C) खेल ड्रॉ हो जाता है। , D) खिलाड़ी X को बोर्ड पर एक मोहरा वापस करना होगा।</v>
      </c>
      <c r="I87" s="5" t="str">
        <f>IFERROR(__xludf.DUMMYFUNCTION("GOOGLETRANSLATE(D87, ""en"", ""hi"")"),"A) खिलाड़ी X रानी खो देता है और खिलाड़ी Y खेल जारी रखता है।")</f>
        <v>A) खिलाड़ी X रानी खो देता है और खिलाड़ी Y खेल जारी रखता है।</v>
      </c>
    </row>
    <row r="88" ht="22.5" customHeight="1">
      <c r="A88" s="2">
        <v>87.0</v>
      </c>
      <c r="B88" s="3" t="s">
        <v>8339</v>
      </c>
      <c r="C88" s="3" t="s">
        <v>8297</v>
      </c>
      <c r="D88" s="3" t="s">
        <v>8208</v>
      </c>
      <c r="F88" s="5" t="str">
        <f>IFERROR(__xludf.DUMMYFUNCTION("GOOGLETRANSLATE(A88, ""en"", ""hi"")"),"87")</f>
        <v>87</v>
      </c>
      <c r="G88" s="5" t="str">
        <f>IFERROR(__xludf.DUMMYFUNCTION("GOOGLETRANSLATE(B88, ""en"", ""hi"")"),"खिलाड़ी X एक ही बार में अपनी आखिरी गोटी और रानी को पॉकेट में डाल देता है। अगर खिलाड़ी X फ़ाउल करता है तो क्या नियम होगा?")</f>
        <v>खिलाड़ी X एक ही बार में अपनी आखिरी गोटी और रानी को पॉकेट में डाल देता है। अगर खिलाड़ी X फ़ाउल करता है तो क्या नियम होगा?</v>
      </c>
      <c r="H88" s="5" t="str">
        <f>IFERROR(__xludf.DUMMYFUNCTION("GOOGLETRANSLATE(C88, ""en"", ""hi"")"),"A) खिलाड़ी X रानी और अपनी बारी खो देता है। , B) खिलाड़ी X खेल जीत जाता है। , C) खेल ड्रॉ हो जाता है। , D) खिलाड़ी X को अपना अंतिम मोहरा वापस करना होगा।")</f>
        <v>A) खिलाड़ी X रानी और अपनी बारी खो देता है। , B) खिलाड़ी X खेल जीत जाता है। , C) खेल ड्रॉ हो जाता है। , D) खिलाड़ी X को अपना अंतिम मोहरा वापस करना होगा।</v>
      </c>
      <c r="I88" s="5" t="str">
        <f>IFERROR(__xludf.DUMMYFUNCTION("GOOGLETRANSLATE(D88, ""en"", ""hi"")"),"A) खिलाड़ी X रानी और अपनी बारी खो देता है।")</f>
        <v>A) खिलाड़ी X रानी और अपनी बारी खो देता है।</v>
      </c>
    </row>
    <row r="89" ht="22.5" customHeight="1">
      <c r="A89" s="2">
        <v>88.0</v>
      </c>
      <c r="B89" s="3" t="s">
        <v>8340</v>
      </c>
      <c r="C89" s="3" t="s">
        <v>8319</v>
      </c>
      <c r="D89" s="3" t="s">
        <v>8259</v>
      </c>
      <c r="F89" s="5" t="str">
        <f>IFERROR(__xludf.DUMMYFUNCTION("GOOGLETRANSLATE(A89, ""en"", ""hi"")"),"88")</f>
        <v>88</v>
      </c>
      <c r="G89" s="5" t="str">
        <f>IFERROR(__xludf.DUMMYFUNCTION("GOOGLETRANSLATE(B89, ""en"", ""hi"")"),"कैरम मैच के दौरान, खिलाड़ी X अपनी आखिरी गोटी पॉकेट में डाल देता है, लेकिन रानी बोर्ड से बाहर चली जाती है। आगे क्या होता है?")</f>
        <v>कैरम मैच के दौरान, खिलाड़ी X अपनी आखिरी गोटी पॉकेट में डाल देता है, लेकिन रानी बोर्ड से बाहर चली जाती है। आगे क्या होता है?</v>
      </c>
      <c r="H89" s="5" t="str">
        <f>IFERROR(__xludf.DUMMYFUNCTION("GOOGLETRANSLATE(C89,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89" s="5" t="str">
        <f>IFERROR(__xludf.DUMMYFUNCTION("GOOGLETRANSLATE(D89, ""en"", ""hi"")"),"A) खिलाड़ी X अपनी बारी खो देता है और रानी बोर्ड पर वापस आ जाती है।")</f>
        <v>A) खिलाड़ी X अपनी बारी खो देता है और रानी बोर्ड पर वापस आ जाती है।</v>
      </c>
    </row>
    <row r="90" ht="22.5" customHeight="1">
      <c r="A90" s="2">
        <v>89.0</v>
      </c>
      <c r="B90" s="3" t="s">
        <v>8341</v>
      </c>
      <c r="C90" s="3" t="s">
        <v>8319</v>
      </c>
      <c r="D90" s="3" t="s">
        <v>8259</v>
      </c>
      <c r="F90" s="5" t="str">
        <f>IFERROR(__xludf.DUMMYFUNCTION("GOOGLETRANSLATE(A90, ""en"", ""hi"")"),"89")</f>
        <v>89</v>
      </c>
      <c r="G90" s="5" t="str">
        <f>IFERROR(__xludf.DUMMYFUNCTION("GOOGLETRANSLATE(B90, ""en"", ""hi"")"),"खिलाड़ी X एक ही बार में अपने सभी मोहरे और रानी को पॉकेट में डाल देता है। अगर खिलाड़ी X स्ट्राइकर को भी बोर्ड से बाहर कर दे तो क्या होगा?")</f>
        <v>खिलाड़ी X एक ही बार में अपने सभी मोहरे और रानी को पॉकेट में डाल देता है। अगर खिलाड़ी X स्ट्राइकर को भी बोर्ड से बाहर कर दे तो क्या होगा?</v>
      </c>
      <c r="H90" s="5" t="str">
        <f>IFERROR(__xludf.DUMMYFUNCTION("GOOGLETRANSLATE(C90,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90" s="5" t="str">
        <f>IFERROR(__xludf.DUMMYFUNCTION("GOOGLETRANSLATE(D90, ""en"", ""hi"")"),"A) खिलाड़ी X अपनी बारी खो देता है और रानी बोर्ड पर वापस आ जाती है।")</f>
        <v>A) खिलाड़ी X अपनी बारी खो देता है और रानी बोर्ड पर वापस आ जाती है।</v>
      </c>
    </row>
    <row r="91" ht="22.5" customHeight="1">
      <c r="A91" s="2">
        <v>90.0</v>
      </c>
      <c r="B91" s="3" t="s">
        <v>8342</v>
      </c>
      <c r="C91" s="3" t="s">
        <v>8329</v>
      </c>
      <c r="D91" s="3" t="s">
        <v>8311</v>
      </c>
      <c r="F91" s="5" t="str">
        <f>IFERROR(__xludf.DUMMYFUNCTION("GOOGLETRANSLATE(A91, ""en"", ""hi"")"),"90")</f>
        <v>90</v>
      </c>
      <c r="G91" s="5" t="str">
        <f>IFERROR(__xludf.DUMMYFUNCTION("GOOGLETRANSLATE(B91, ""en"", ""hi"")"),"कैरम में, यदि खिलाड़ी X एक ही बार में रानी और अपनी अंतिम गोटी को पॉकेट में डाल देता है, लेकिन रानी ठीक से पॉकेट में नहीं जाती, तो परिणाम क्या होगा?")</f>
        <v>कैरम में, यदि खिलाड़ी X एक ही बार में रानी और अपनी अंतिम गोटी को पॉकेट में डाल देता है, लेकिन रानी ठीक से पॉकेट में नहीं जाती, तो परिणाम क्या होगा?</v>
      </c>
      <c r="H91" s="5" t="str">
        <f>IFERROR(__xludf.DUMMYFUNCTION("GOOGLETRANSLATE(C91, ""en"", ""hi"")"),"ए) खिलाड़ी एक्स को रानी को बोर्ड पर वापस करना होगा।, बी) खिलाड़ी एक्स खेल जीतता है।, सी) खेल ड्रॉ है।, डी) खिलाड़ी एक्स को अपना आखिरी टुकड़ा वापस करना होगा।")</f>
        <v>ए) खिलाड़ी एक्स को रानी को बोर्ड पर वापस करना होगा।, बी) खिलाड़ी एक्स खेल जीतता है।, सी) खेल ड्रॉ है।, डी) खिलाड़ी एक्स को अपना आखिरी टुकड़ा वापस करना होगा।</v>
      </c>
      <c r="I91" s="5" t="str">
        <f>IFERROR(__xludf.DUMMYFUNCTION("GOOGLETRANSLATE(D91, ""en"", ""hi"")"),"A) खिलाड़ी X को रानी को बोर्ड पर वापस लाना होगा।")</f>
        <v>A) खिलाड़ी X को रानी को बोर्ड पर वापस लाना होगा।</v>
      </c>
    </row>
    <row r="92" ht="22.5" customHeight="1">
      <c r="A92" s="2">
        <v>91.0</v>
      </c>
      <c r="B92" s="3" t="s">
        <v>8343</v>
      </c>
      <c r="C92" s="3" t="s">
        <v>8315</v>
      </c>
      <c r="D92" s="3" t="s">
        <v>8208</v>
      </c>
      <c r="F92" s="5" t="str">
        <f>IFERROR(__xludf.DUMMYFUNCTION("GOOGLETRANSLATE(A92, ""en"", ""hi"")"),"91")</f>
        <v>91</v>
      </c>
      <c r="G92" s="5" t="str">
        <f>IFERROR(__xludf.DUMMYFUNCTION("GOOGLETRANSLATE(B92, ""en"", ""hi"")"),"कैरम खेल के दौरान, खिलाड़ी X अपनी आखिरी गोटी और रानी को पॉकेट में डाल देता है, लेकिन फ़ाउल कर देता है। इसका नियम क्या है?")</f>
        <v>कैरम खेल के दौरान, खिलाड़ी X अपनी आखिरी गोटी और रानी को पॉकेट में डाल देता है, लेकिन फ़ाउल कर देता है। इसका नियम क्या है?</v>
      </c>
      <c r="H92" s="5" t="str">
        <f>IFERROR(__xludf.DUMMYFUNCTION("GOOGLETRANSLATE(C92, ""en"", ""hi"")"),"A) खिलाड़ी X रानी और अपनी बारी खो देता है। , B) खिलाड़ी X खेल जीत जाता है। , C) खेल ड्रॉ हो जाता है। , D) रानी बोर्ड पर वापस आ जाती है।")</f>
        <v>A) खिलाड़ी X रानी और अपनी बारी खो देता है। , B) खिलाड़ी X खेल जीत जाता है। , C) खेल ड्रॉ हो जाता है। , D) रानी बोर्ड पर वापस आ जाती है।</v>
      </c>
      <c r="I92" s="5" t="str">
        <f>IFERROR(__xludf.DUMMYFUNCTION("GOOGLETRANSLATE(D92, ""en"", ""hi"")"),"A) खिलाड़ी X रानी और अपनी बारी खो देता है।")</f>
        <v>A) खिलाड़ी X रानी और अपनी बारी खो देता है।</v>
      </c>
    </row>
    <row r="93" ht="22.5" customHeight="1">
      <c r="A93" s="2">
        <v>92.0</v>
      </c>
      <c r="B93" s="3" t="s">
        <v>8344</v>
      </c>
      <c r="C93" s="3" t="s">
        <v>8290</v>
      </c>
      <c r="D93" s="3" t="s">
        <v>8208</v>
      </c>
      <c r="F93" s="5" t="str">
        <f>IFERROR(__xludf.DUMMYFUNCTION("GOOGLETRANSLATE(A93, ""en"", ""hi"")"),"92")</f>
        <v>92</v>
      </c>
      <c r="G93" s="5" t="str">
        <f>IFERROR(__xludf.DUMMYFUNCTION("GOOGLETRANSLATE(B93, ""en"", ""hi"")"),"खिलाड़ी X ने रानी को पॉकेट में डाल दिया, लेकिन स्ट्राइकर को भी पॉकेट में डाल दिया। नतीजा क्या हुआ?")</f>
        <v>खिलाड़ी X ने रानी को पॉकेट में डाल दिया, लेकिन स्ट्राइकर को भी पॉकेट में डाल दिया। नतीजा क्या हुआ?</v>
      </c>
      <c r="H93" s="5" t="str">
        <f>IFERROR(__xludf.DUMMYFUNCTION("GOOGLETRANSLATE(C93, ""en"", ""hi"")"),"A) खिलाड़ी X रानी और अपनी बारी खो देता है। , B) खिलाड़ी X खेल जीत जाता है। , C) खेल ड्रॉ हो जाता है। , D) खिलाड़ी X को अपनी अगली बारी छोड़नी पड़ती है।")</f>
        <v>A) खिलाड़ी X रानी और अपनी बारी खो देता है। , B) खिलाड़ी X खेल जीत जाता है। , C) खेल ड्रॉ हो जाता है। , D) खिलाड़ी X को अपनी अगली बारी छोड़नी पड़ती है।</v>
      </c>
      <c r="I93" s="5" t="str">
        <f>IFERROR(__xludf.DUMMYFUNCTION("GOOGLETRANSLATE(D93, ""en"", ""hi"")"),"A) खिलाड़ी X रानी और अपनी बारी खो देता है।")</f>
        <v>A) खिलाड़ी X रानी और अपनी बारी खो देता है।</v>
      </c>
    </row>
    <row r="94" ht="22.5" customHeight="1">
      <c r="A94" s="2">
        <v>93.0</v>
      </c>
      <c r="B94" s="3" t="s">
        <v>8345</v>
      </c>
      <c r="C94" s="3" t="s">
        <v>8301</v>
      </c>
      <c r="D94" s="3" t="s">
        <v>8208</v>
      </c>
      <c r="F94" s="5" t="str">
        <f>IFERROR(__xludf.DUMMYFUNCTION("GOOGLETRANSLATE(A94, ""en"", ""hi"")"),"93")</f>
        <v>93</v>
      </c>
      <c r="G94" s="5" t="str">
        <f>IFERROR(__xludf.DUMMYFUNCTION("GOOGLETRANSLATE(B94, ""en"", ""hi"")"),"यदि खिलाड़ी X एक ही शॉट में अपने सभी मोहरे और रानी को पॉकेट में डाल देता है, लेकिन फाउल कर देता है, तो क्या होगा?")</f>
        <v>यदि खिलाड़ी X एक ही शॉट में अपने सभी मोहरे और रानी को पॉकेट में डाल देता है, लेकिन फाउल कर देता है, तो क्या होगा?</v>
      </c>
      <c r="H94" s="5" t="str">
        <f>IFERROR(__xludf.DUMMYFUNCTION("GOOGLETRANSLATE(C94, ""en"", ""hi"")"),"A) खिलाड़ी X रानी और अपनी बारी खो देता है। , B) खिलाड़ी X खेल जीत जाता है। , C) रानी बोर्ड पर वापस आ जाती है। , D) खेल ड्रॉ हो जाता है।")</f>
        <v>A) खिलाड़ी X रानी और अपनी बारी खो देता है। , B) खिलाड़ी X खेल जीत जाता है। , C) रानी बोर्ड पर वापस आ जाती है। , D) खेल ड्रॉ हो जाता है।</v>
      </c>
      <c r="I94" s="5" t="str">
        <f>IFERROR(__xludf.DUMMYFUNCTION("GOOGLETRANSLATE(D94, ""en"", ""hi"")"),"A) खिलाड़ी X रानी और अपनी बारी खो देता है।")</f>
        <v>A) खिलाड़ी X रानी और अपनी बारी खो देता है।</v>
      </c>
    </row>
    <row r="95" ht="22.5" customHeight="1">
      <c r="A95" s="2">
        <v>94.0</v>
      </c>
      <c r="B95" s="3" t="s">
        <v>8346</v>
      </c>
      <c r="C95" s="3" t="s">
        <v>8329</v>
      </c>
      <c r="D95" s="3" t="s">
        <v>8311</v>
      </c>
      <c r="F95" s="5" t="str">
        <f>IFERROR(__xludf.DUMMYFUNCTION("GOOGLETRANSLATE(A95, ""en"", ""hi"")"),"94")</f>
        <v>94</v>
      </c>
      <c r="G95" s="5" t="str">
        <f>IFERROR(__xludf.DUMMYFUNCTION("GOOGLETRANSLATE(B95, ""en"", ""hi"")"),"कैरम खेल में, यदि खिलाड़ी X अपना अंतिम मोहरा और रानी को पॉकेट में डाल देता है, लेकिन रानी ठीक से पॉकेट में नहीं जाती है, तो नियम क्या है?")</f>
        <v>कैरम खेल में, यदि खिलाड़ी X अपना अंतिम मोहरा और रानी को पॉकेट में डाल देता है, लेकिन रानी ठीक से पॉकेट में नहीं जाती है, तो नियम क्या है?</v>
      </c>
      <c r="H95" s="5" t="str">
        <f>IFERROR(__xludf.DUMMYFUNCTION("GOOGLETRANSLATE(C95, ""en"", ""hi"")"),"ए) खिलाड़ी एक्स को रानी को बोर्ड पर वापस करना होगा।, बी) खिलाड़ी एक्स खेल जीतता है।, सी) खेल ड्रॉ है।, डी) खिलाड़ी एक्स को अपना आखिरी टुकड़ा वापस करना होगा।")</f>
        <v>ए) खिलाड़ी एक्स को रानी को बोर्ड पर वापस करना होगा।, बी) खिलाड़ी एक्स खेल जीतता है।, सी) खेल ड्रॉ है।, डी) खिलाड़ी एक्स को अपना आखिरी टुकड़ा वापस करना होगा।</v>
      </c>
      <c r="I95" s="5" t="str">
        <f>IFERROR(__xludf.DUMMYFUNCTION("GOOGLETRANSLATE(D95, ""en"", ""hi"")"),"A) खिलाड़ी X को रानी को बोर्ड पर वापस लाना होगा।")</f>
        <v>A) खिलाड़ी X को रानी को बोर्ड पर वापस लाना होगा।</v>
      </c>
    </row>
    <row r="96" ht="22.5" customHeight="1">
      <c r="A96" s="2">
        <v>95.0</v>
      </c>
      <c r="B96" s="3" t="s">
        <v>8347</v>
      </c>
      <c r="C96" s="3" t="s">
        <v>8319</v>
      </c>
      <c r="D96" s="3" t="s">
        <v>8259</v>
      </c>
      <c r="F96" s="5" t="str">
        <f>IFERROR(__xludf.DUMMYFUNCTION("GOOGLETRANSLATE(A96, ""en"", ""hi"")"),"95")</f>
        <v>95</v>
      </c>
      <c r="G96" s="5" t="str">
        <f>IFERROR(__xludf.DUMMYFUNCTION("GOOGLETRANSLATE(B96, ""en"", ""hi"")"),"कैरम मैच के दौरान, खिलाड़ी X अपनी आखिरी गोटी पॉकेट में डाल देता है, लेकिन रानी वापस बोर्ड पर आ जाती है। परिणाम क्या होता है?")</f>
        <v>कैरम मैच के दौरान, खिलाड़ी X अपनी आखिरी गोटी पॉकेट में डाल देता है, लेकिन रानी वापस बोर्ड पर आ जाती है। परिणाम क्या होता है?</v>
      </c>
      <c r="H96" s="5" t="str">
        <f>IFERROR(__xludf.DUMMYFUNCTION("GOOGLETRANSLATE(C96,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96" s="5" t="str">
        <f>IFERROR(__xludf.DUMMYFUNCTION("GOOGLETRANSLATE(D96, ""en"", ""hi"")"),"A) खिलाड़ी X अपनी बारी खो देता है और रानी बोर्ड पर वापस आ जाती है।")</f>
        <v>A) खिलाड़ी X अपनी बारी खो देता है और रानी बोर्ड पर वापस आ जाती है।</v>
      </c>
    </row>
    <row r="97" ht="22.5" customHeight="1">
      <c r="A97" s="2">
        <v>96.0</v>
      </c>
      <c r="B97" s="3" t="s">
        <v>8348</v>
      </c>
      <c r="C97" s="3" t="s">
        <v>8319</v>
      </c>
      <c r="D97" s="3" t="s">
        <v>8259</v>
      </c>
      <c r="F97" s="5" t="str">
        <f>IFERROR(__xludf.DUMMYFUNCTION("GOOGLETRANSLATE(A97, ""en"", ""hi"")"),"96")</f>
        <v>96</v>
      </c>
      <c r="G97" s="5" t="str">
        <f>IFERROR(__xludf.DUMMYFUNCTION("GOOGLETRANSLATE(B97, ""en"", ""hi"")"),"खिलाड़ी X एक ही बार में अपने सभी मोहरे और रानी को पॉकेट में डाल देता है, लेकिन गलती से स्ट्राइकर बोर्ड से बाहर गिर जाता है। इसका नियम क्या है?")</f>
        <v>खिलाड़ी X एक ही बार में अपने सभी मोहरे और रानी को पॉकेट में डाल देता है, लेकिन गलती से स्ट्राइकर बोर्ड से बाहर गिर जाता है। इसका नियम क्या है?</v>
      </c>
      <c r="H97" s="5" t="str">
        <f>IFERROR(__xludf.DUMMYFUNCTION("GOOGLETRANSLATE(C97,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97" s="5" t="str">
        <f>IFERROR(__xludf.DUMMYFUNCTION("GOOGLETRANSLATE(D97, ""en"", ""hi"")"),"A) खिलाड़ी X अपनी बारी खो देता है और रानी बोर्ड पर वापस आ जाती है।")</f>
        <v>A) खिलाड़ी X अपनी बारी खो देता है और रानी बोर्ड पर वापस आ जाती है।</v>
      </c>
    </row>
    <row r="98" ht="22.5" customHeight="1">
      <c r="A98" s="2">
        <v>97.0</v>
      </c>
      <c r="B98" s="3" t="s">
        <v>8349</v>
      </c>
      <c r="C98" s="3" t="s">
        <v>8329</v>
      </c>
      <c r="D98" s="3" t="s">
        <v>8311</v>
      </c>
      <c r="F98" s="5" t="str">
        <f>IFERROR(__xludf.DUMMYFUNCTION("GOOGLETRANSLATE(A98, ""en"", ""hi"")"),"97")</f>
        <v>97</v>
      </c>
      <c r="G98" s="5" t="str">
        <f>IFERROR(__xludf.DUMMYFUNCTION("GOOGLETRANSLATE(B98, ""en"", ""hi"")"),"यदि खिलाड़ी X एक ही बार में रानी और अपना अंतिम मोहरा पॉकेट में डाल देता है, लेकिन रानी ठीक से पॉकेट में नहीं जाती, तो क्या होगा?")</f>
        <v>यदि खिलाड़ी X एक ही बार में रानी और अपना अंतिम मोहरा पॉकेट में डाल देता है, लेकिन रानी ठीक से पॉकेट में नहीं जाती, तो क्या होगा?</v>
      </c>
      <c r="H98" s="5" t="str">
        <f>IFERROR(__xludf.DUMMYFUNCTION("GOOGLETRANSLATE(C98, ""en"", ""hi"")"),"ए) खिलाड़ी एक्स को रानी को बोर्ड पर वापस करना होगा।, बी) खिलाड़ी एक्स खेल जीतता है।, सी) खेल ड्रॉ है।, डी) खिलाड़ी एक्स को अपना आखिरी टुकड़ा वापस करना होगा।")</f>
        <v>ए) खिलाड़ी एक्स को रानी को बोर्ड पर वापस करना होगा।, बी) खिलाड़ी एक्स खेल जीतता है।, सी) खेल ड्रॉ है।, डी) खिलाड़ी एक्स को अपना आखिरी टुकड़ा वापस करना होगा।</v>
      </c>
      <c r="I98" s="5" t="str">
        <f>IFERROR(__xludf.DUMMYFUNCTION("GOOGLETRANSLATE(D98, ""en"", ""hi"")"),"A) खिलाड़ी X को रानी को बोर्ड पर वापस लाना होगा।")</f>
        <v>A) खिलाड़ी X को रानी को बोर्ड पर वापस लाना होगा।</v>
      </c>
    </row>
    <row r="99" ht="22.5" customHeight="1">
      <c r="A99" s="2">
        <v>98.0</v>
      </c>
      <c r="B99" s="3" t="s">
        <v>8350</v>
      </c>
      <c r="C99" s="3" t="s">
        <v>8319</v>
      </c>
      <c r="D99" s="3" t="s">
        <v>8259</v>
      </c>
      <c r="F99" s="5" t="str">
        <f>IFERROR(__xludf.DUMMYFUNCTION("GOOGLETRANSLATE(A99, ""en"", ""hi"")"),"98")</f>
        <v>98</v>
      </c>
      <c r="G99" s="5" t="str">
        <f>IFERROR(__xludf.DUMMYFUNCTION("GOOGLETRANSLATE(B99, ""en"", ""hi"")"),"कैरम मैच के दौरान, खिलाड़ी X अपनी आखिरी गोटी और रानी को पॉकेट में डाल देता है, लेकिन स्ट्राइकर को बोर्ड से बाहर कर देता है। इसका नियम क्या है?")</f>
        <v>कैरम मैच के दौरान, खिलाड़ी X अपनी आखिरी गोटी और रानी को पॉकेट में डाल देता है, लेकिन स्ट्राइकर को बोर्ड से बाहर कर देता है। इसका नियम क्या है?</v>
      </c>
      <c r="H99" s="5" t="str">
        <f>IFERROR(__xludf.DUMMYFUNCTION("GOOGLETRANSLATE(C99,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99" s="5" t="str">
        <f>IFERROR(__xludf.DUMMYFUNCTION("GOOGLETRANSLATE(D99, ""en"", ""hi"")"),"A) खिलाड़ी X अपनी बारी खो देता है और रानी बोर्ड पर वापस आ जाती है।")</f>
        <v>A) खिलाड़ी X अपनी बारी खो देता है और रानी बोर्ड पर वापस आ जाती है।</v>
      </c>
    </row>
    <row r="100" ht="22.5" customHeight="1">
      <c r="A100" s="2">
        <v>99.0</v>
      </c>
      <c r="B100" s="3" t="s">
        <v>8351</v>
      </c>
      <c r="C100" s="3" t="s">
        <v>8319</v>
      </c>
      <c r="D100" s="3" t="s">
        <v>8259</v>
      </c>
      <c r="F100" s="5" t="str">
        <f>IFERROR(__xludf.DUMMYFUNCTION("GOOGLETRANSLATE(A100, ""en"", ""hi"")"),"99")</f>
        <v>99</v>
      </c>
      <c r="G100" s="5" t="str">
        <f>IFERROR(__xludf.DUMMYFUNCTION("GOOGLETRANSLATE(B100, ""en"", ""hi"")"),"खिलाड़ी X एक ही बार में अपने सभी मोहरे और रानी को पॉकेट में डाल देता है। अगर खिलाड़ी X स्ट्राइकर को भी पॉकेट में डाल दे तो क्या होगा?")</f>
        <v>खिलाड़ी X एक ही बार में अपने सभी मोहरे और रानी को पॉकेट में डाल देता है। अगर खिलाड़ी X स्ट्राइकर को भी पॉकेट में डाल दे तो क्या होगा?</v>
      </c>
      <c r="H100" s="5" t="str">
        <f>IFERROR(__xludf.DUMMYFUNCTION("GOOGLETRANSLATE(C100,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100" s="5" t="str">
        <f>IFERROR(__xludf.DUMMYFUNCTION("GOOGLETRANSLATE(D100, ""en"", ""hi"")"),"A) खिलाड़ी X अपनी बारी खो देता है और रानी बोर्ड पर वापस आ जाती है।")</f>
        <v>A) खिलाड़ी X अपनी बारी खो देता है और रानी बोर्ड पर वापस आ जाती है।</v>
      </c>
    </row>
    <row r="101" ht="22.5" customHeight="1">
      <c r="A101" s="2">
        <v>100.0</v>
      </c>
      <c r="B101" s="3" t="s">
        <v>8352</v>
      </c>
      <c r="C101" s="3" t="s">
        <v>8338</v>
      </c>
      <c r="D101" s="3" t="s">
        <v>8239</v>
      </c>
      <c r="F101" s="5" t="str">
        <f>IFERROR(__xludf.DUMMYFUNCTION("GOOGLETRANSLATE(A101, ""en"", ""hi"")"),"100")</f>
        <v>100</v>
      </c>
      <c r="G101" s="5" t="str">
        <f>IFERROR(__xludf.DUMMYFUNCTION("GOOGLETRANSLATE(B101, ""en"", ""hi"")"),"कैरम में, यदि खिलाड़ी X रानी को पॉकेट में डाल देता है, लेकिन अगली बारी में कोई मोहरा पॉकेट में नहीं डालता, तो परिणाम क्या होगा?")</f>
        <v>कैरम में, यदि खिलाड़ी X रानी को पॉकेट में डाल देता है, लेकिन अगली बारी में कोई मोहरा पॉकेट में नहीं डालता, तो परिणाम क्या होगा?</v>
      </c>
      <c r="H101" s="5" t="str">
        <f>IFERROR(__xludf.DUMMYFUNCTION("GOOGLETRANSLATE(C101, ""en"", ""hi"")"),"A) खिलाड़ी X रानी खो देता है और खिलाड़ी Y खेल जारी रखता है। , B) खिलाड़ी X खेल जीत जाता है। , C) खेल ड्रॉ हो जाता है। , D) खिलाड़ी X को बोर्ड पर एक मोहरा वापस करना होगा।")</f>
        <v>A) खिलाड़ी X रानी खो देता है और खिलाड़ी Y खेल जारी रखता है। , B) खिलाड़ी X खेल जीत जाता है। , C) खेल ड्रॉ हो जाता है। , D) खिलाड़ी X को बोर्ड पर एक मोहरा वापस करना होगा।</v>
      </c>
      <c r="I101" s="5" t="str">
        <f>IFERROR(__xludf.DUMMYFUNCTION("GOOGLETRANSLATE(D101, ""en"", ""hi"")"),"A) खिलाड़ी X रानी खो देता है और खिलाड़ी Y खेल जारी रखता है।")</f>
        <v>A) खिलाड़ी X रानी खो देता है और खिलाड़ी Y खेल जारी रखता है।</v>
      </c>
    </row>
    <row r="102" ht="22.5" customHeight="1">
      <c r="A102" s="2">
        <v>101.0</v>
      </c>
      <c r="B102" s="3" t="s">
        <v>8339</v>
      </c>
      <c r="C102" s="3" t="s">
        <v>8297</v>
      </c>
      <c r="D102" s="3" t="s">
        <v>8208</v>
      </c>
      <c r="F102" s="5" t="str">
        <f>IFERROR(__xludf.DUMMYFUNCTION("GOOGLETRANSLATE(A102, ""en"", ""hi"")"),"101")</f>
        <v>101</v>
      </c>
      <c r="G102" s="5" t="str">
        <f>IFERROR(__xludf.DUMMYFUNCTION("GOOGLETRANSLATE(B102, ""en"", ""hi"")"),"खिलाड़ी X एक ही बार में अपनी आखिरी गोटी और रानी को पॉकेट में डाल देता है। अगर खिलाड़ी X फ़ाउल करता है तो क्या नियम होगा?")</f>
        <v>खिलाड़ी X एक ही बार में अपनी आखिरी गोटी और रानी को पॉकेट में डाल देता है। अगर खिलाड़ी X फ़ाउल करता है तो क्या नियम होगा?</v>
      </c>
      <c r="H102" s="5" t="str">
        <f>IFERROR(__xludf.DUMMYFUNCTION("GOOGLETRANSLATE(C102, ""en"", ""hi"")"),"A) खिलाड़ी X रानी और अपनी बारी खो देता है। , B) खिलाड़ी X खेल जीत जाता है। , C) खेल ड्रॉ हो जाता है। , D) खिलाड़ी X को अपना अंतिम मोहरा वापस करना होगा।")</f>
        <v>A) खिलाड़ी X रानी और अपनी बारी खो देता है। , B) खिलाड़ी X खेल जीत जाता है। , C) खेल ड्रॉ हो जाता है। , D) खिलाड़ी X को अपना अंतिम मोहरा वापस करना होगा।</v>
      </c>
      <c r="I102" s="5" t="str">
        <f>IFERROR(__xludf.DUMMYFUNCTION("GOOGLETRANSLATE(D102, ""en"", ""hi"")"),"A) खिलाड़ी X रानी और अपनी बारी खो देता है।")</f>
        <v>A) खिलाड़ी X रानी और अपनी बारी खो देता है।</v>
      </c>
    </row>
    <row r="103" ht="22.5" customHeight="1">
      <c r="A103" s="2">
        <v>102.0</v>
      </c>
      <c r="B103" s="3" t="s">
        <v>8353</v>
      </c>
      <c r="C103" s="3" t="s">
        <v>8319</v>
      </c>
      <c r="D103" s="3" t="s">
        <v>8259</v>
      </c>
      <c r="F103" s="5" t="str">
        <f>IFERROR(__xludf.DUMMYFUNCTION("GOOGLETRANSLATE(A103, ""en"", ""hi"")"),"102")</f>
        <v>102</v>
      </c>
      <c r="G103" s="5" t="str">
        <f>IFERROR(__xludf.DUMMYFUNCTION("GOOGLETRANSLATE(B103, ""en"", ""hi"")"),"कैरम मैच के दौरान, खिलाड़ी X अपनी आखिरी गोटी पॉकेट में डाल देता है, लेकिन रानी बोर्ड से बाहर चली जाती है। परिणाम क्या होता है?")</f>
        <v>कैरम मैच के दौरान, खिलाड़ी X अपनी आखिरी गोटी पॉकेट में डाल देता है, लेकिन रानी बोर्ड से बाहर चली जाती है। परिणाम क्या होता है?</v>
      </c>
      <c r="H103" s="5" t="str">
        <f>IFERROR(__xludf.DUMMYFUNCTION("GOOGLETRANSLATE(C103, ""en"", ""hi"")"),"A) खिलाड़ी X अपनी बारी खो देता है और रानी को बोर्ड पर वापस कर दिया जाता है। , B) खिलाड़ी X खेल जीत जाता है। , C) खेल ड्रॉ हो जाता है। , D) खिलाड़ी X को अपना अंतिम मोहरा वापस करना होगा।")</f>
        <v>A) खिलाड़ी X अपनी बारी खो देता है और रानी को बोर्ड पर वापस कर दिया जाता है। , B) खिलाड़ी X खेल जीत जाता है। , C) खेल ड्रॉ हो जाता है। , D) खिलाड़ी X को अपना अंतिम मोहरा वापस करना होगा।</v>
      </c>
      <c r="I103" s="5" t="str">
        <f>IFERROR(__xludf.DUMMYFUNCTION("GOOGLETRANSLATE(D103, ""en"", ""hi"")"),"A) खिलाड़ी X अपनी बारी खो देता है और रानी बोर्ड पर वापस आ जाती है।")</f>
        <v>A) खिलाड़ी X अपनी बारी खो देता है और रानी बोर्ड पर वापस आ जाती है।</v>
      </c>
    </row>
    <row r="104" ht="22.5" customHeight="1">
      <c r="A104" s="2">
        <v>103.0</v>
      </c>
      <c r="B104" s="3" t="s">
        <v>8354</v>
      </c>
      <c r="C104" s="3" t="s">
        <v>8355</v>
      </c>
      <c r="D104" s="3" t="s">
        <v>8295</v>
      </c>
      <c r="F104" s="5" t="str">
        <f>IFERROR(__xludf.DUMMYFUNCTION("GOOGLETRANSLATE(A104, ""en"", ""hi"")"),"103")</f>
        <v>103</v>
      </c>
      <c r="G104" s="5" t="str">
        <f>IFERROR(__xludf.DUMMYFUNCTION("GOOGLETRANSLATE(B104, ""en"", ""hi"")"),"खिलाड़ी X रानी को पॉकेट में डाल देता है, लेकिन बोर्ड के किनारे पर गेंद मारकर फ़ाउल कर देता है। आगे क्या होता है?")</f>
        <v>खिलाड़ी X रानी को पॉकेट में डाल देता है, लेकिन बोर्ड के किनारे पर गेंद मारकर फ़ाउल कर देता है। आगे क्या होता है?</v>
      </c>
      <c r="H104" s="5" t="str">
        <f>IFERROR(__xludf.DUMMYFUNCTION("GOOGLETRANSLATE(C104, ""en"", ""hi"")"),"A) खिलाड़ी X रानी खो देता है। , B) खिलाड़ी X को एक मोहरा वापस करना होगा। , C) खिलाड़ी X खेल जीत जाता है। , D) रानी को वापस बोर्ड पर रख दिया जाता है।")</f>
        <v>A) खिलाड़ी X रानी खो देता है। , B) खिलाड़ी X को एक मोहरा वापस करना होगा। , C) खिलाड़ी X खेल जीत जाता है। , D) रानी को वापस बोर्ड पर रख दिया जाता है।</v>
      </c>
      <c r="I104" s="5" t="str">
        <f>IFERROR(__xludf.DUMMYFUNCTION("GOOGLETRANSLATE(D104, ""en"", ""hi"")"),"A) खिलाड़ी X रानी खो देता है।")</f>
        <v>A) खिलाड़ी X रानी खो देता है।</v>
      </c>
    </row>
    <row r="105" ht="22.5" customHeight="1">
      <c r="A105" s="2">
        <v>104.0</v>
      </c>
      <c r="B105" s="3" t="s">
        <v>8356</v>
      </c>
      <c r="C105" s="3" t="s">
        <v>8357</v>
      </c>
      <c r="D105" s="3" t="s">
        <v>8358</v>
      </c>
      <c r="F105" s="5" t="str">
        <f>IFERROR(__xludf.DUMMYFUNCTION("GOOGLETRANSLATE(A105, ""en"", ""hi"")"),"104")</f>
        <v>104</v>
      </c>
      <c r="G105" s="5" t="str">
        <f>IFERROR(__xludf.DUMMYFUNCTION("GOOGLETRANSLATE(B105, ""en"", ""hi"")"),"कैरम के खेल में, खिलाड़ी Y रानी को पॉकेट में डाल देता है, लेकिन उसकी बारी बिना कोई और मोहरा पॉकेट में डाले समाप्त हो जाती है। परिणाम क्या होता है?")</f>
        <v>कैरम के खेल में, खिलाड़ी Y रानी को पॉकेट में डाल देता है, लेकिन उसकी बारी बिना कोई और मोहरा पॉकेट में डाले समाप्त हो जाती है। परिणाम क्या होता है?</v>
      </c>
      <c r="H105" s="5" t="str">
        <f>IFERROR(__xludf.DUMMYFUNCTION("GOOGLETRANSLATE(C105, ""en"", ""hi"")"),"A) खिलाड़ी Y रानी खो देता है। , B) खिलाड़ी Y खेल जीत जाता है। , C) खिलाड़ी Y को एक और मौका मिलता है। , D) खेल ड्रॉ हो जाता है।")</f>
        <v>A) खिलाड़ी Y रानी खो देता है। , B) खिलाड़ी Y खेल जीत जाता है। , C) खिलाड़ी Y को एक और मौका मिलता है। , D) खेल ड्रॉ हो जाता है।</v>
      </c>
      <c r="I105" s="5" t="str">
        <f>IFERROR(__xludf.DUMMYFUNCTION("GOOGLETRANSLATE(D105, ""en"", ""hi"")"),"A) खिलाड़ी Y रानी खो देता है।")</f>
        <v>A) खिलाड़ी Y रानी खो देता है।</v>
      </c>
    </row>
    <row r="106" ht="22.5" customHeight="1">
      <c r="A106" s="2">
        <v>105.0</v>
      </c>
      <c r="B106" s="3" t="s">
        <v>8359</v>
      </c>
      <c r="C106" s="3" t="s">
        <v>8360</v>
      </c>
      <c r="D106" s="3" t="s">
        <v>8208</v>
      </c>
      <c r="F106" s="5" t="str">
        <f>IFERROR(__xludf.DUMMYFUNCTION("GOOGLETRANSLATE(A106, ""en"", ""hi"")"),"105")</f>
        <v>105</v>
      </c>
      <c r="G106" s="5" t="str">
        <f>IFERROR(__xludf.DUMMYFUNCTION("GOOGLETRANSLATE(B106, ""en"", ""hi"")"),"खिलाड़ी X, क्वीन को पॉकेट में डालने के बाद स्ट्राइकर को पॉकेट में डालता है। इसके बाद क्या होता है?")</f>
        <v>खिलाड़ी X, क्वीन को पॉकेट में डालने के बाद स्ट्राइकर को पॉकेट में डालता है। इसके बाद क्या होता है?</v>
      </c>
      <c r="H106" s="5" t="str">
        <f>IFERROR(__xludf.DUMMYFUNCTION("GOOGLETRANSLATE(C106, ""en"", ""hi"")"),"A) खिलाड़ी X रानी और अपनी बारी खो देता है। , B) खिलाड़ी X खेल जीत जाता है। , C) खिलाड़ी X को एक और मौका मिलता है। , D) खिलाड़ी X केवल रानी खो देता है।")</f>
        <v>A) खिलाड़ी X रानी और अपनी बारी खो देता है। , B) खिलाड़ी X खेल जीत जाता है। , C) खिलाड़ी X को एक और मौका मिलता है। , D) खिलाड़ी X केवल रानी खो देता है।</v>
      </c>
      <c r="I106" s="5" t="str">
        <f>IFERROR(__xludf.DUMMYFUNCTION("GOOGLETRANSLATE(D106, ""en"", ""hi"")"),"A) खिलाड़ी X रानी और अपनी बारी खो देता है।")</f>
        <v>A) खिलाड़ी X रानी और अपनी बारी खो देता है।</v>
      </c>
    </row>
    <row r="107" ht="22.5" customHeight="1">
      <c r="A107" s="2">
        <v>106.0</v>
      </c>
      <c r="B107" s="3" t="s">
        <v>8361</v>
      </c>
      <c r="C107" s="3" t="s">
        <v>8362</v>
      </c>
      <c r="D107" s="3" t="s">
        <v>8363</v>
      </c>
      <c r="F107" s="5" t="str">
        <f>IFERROR(__xludf.DUMMYFUNCTION("GOOGLETRANSLATE(A107, ""en"", ""hi"")"),"106")</f>
        <v>106</v>
      </c>
      <c r="G107" s="5" t="str">
        <f>IFERROR(__xludf.DUMMYFUNCTION("GOOGLETRANSLATE(B107, ""en"", ""hi"")"),"खिलाड़ी X एक ही शॉट में आखिरी मोहरा और रानी को जेब में डाल देता है, लेकिन साथ ही कोने का एक सिक्का भी गिरा देता है। नियम क्या है?")</f>
        <v>खिलाड़ी X एक ही शॉट में आखिरी मोहरा और रानी को जेब में डाल देता है, लेकिन साथ ही कोने का एक सिक्का भी गिरा देता है। नियम क्या है?</v>
      </c>
      <c r="H107" s="5" t="str">
        <f>IFERROR(__xludf.DUMMYFUNCTION("GOOGLETRANSLATE(C107, ""en"", ""hi"")"),"ए) खिलाड़ी एक्स को बोर्ड पर अंतिम मोहरा और रानी वापस करनी होगी। , बी) खिलाड़ी एक्स खेल जीतता है। , सी) खिलाड़ी एक्स खेल हार जाता है। , डी) रानी वापस कर दी जाती है, और खिलाड़ी वाई जारी रहता है।")</f>
        <v>ए) खिलाड़ी एक्स को बोर्ड पर अंतिम मोहरा और रानी वापस करनी होगी। , बी) खिलाड़ी एक्स खेल जीतता है। , सी) खिलाड़ी एक्स खेल हार जाता है। , डी) रानी वापस कर दी जाती है, और खिलाड़ी वाई जारी रहता है।</v>
      </c>
      <c r="I107" s="5" t="str">
        <f>IFERROR(__xludf.DUMMYFUNCTION("GOOGLETRANSLATE(D107, ""en"", ""hi"")"),"A) खिलाड़ी X को अंतिम मोहरा और रानी को बोर्ड पर वापस लाना होगा।")</f>
        <v>A) खिलाड़ी X को अंतिम मोहरा और रानी को बोर्ड पर वापस लाना होगा।</v>
      </c>
    </row>
    <row r="108" ht="22.5" customHeight="1">
      <c r="A108" s="2">
        <v>107.0</v>
      </c>
      <c r="B108" s="3" t="s">
        <v>8364</v>
      </c>
      <c r="C108" s="3" t="s">
        <v>8365</v>
      </c>
      <c r="D108" s="3" t="s">
        <v>8366</v>
      </c>
      <c r="F108" s="5" t="str">
        <f>IFERROR(__xludf.DUMMYFUNCTION("GOOGLETRANSLATE(A108, ""en"", ""hi"")"),"107")</f>
        <v>107</v>
      </c>
      <c r="G108" s="5" t="str">
        <f>IFERROR(__xludf.DUMMYFUNCTION("GOOGLETRANSLATE(B108, ""en"", ""hi"")"),"कैरम खेल के दौरान, खिलाड़ी Y, क्वीन पॉकेट में डालने के बाद फ़ाउल करता है। सही परिणाम क्या है?")</f>
        <v>कैरम खेल के दौरान, खिलाड़ी Y, क्वीन पॉकेट में डालने के बाद फ़ाउल करता है। सही परिणाम क्या है?</v>
      </c>
      <c r="H108" s="5" t="str">
        <f>IFERROR(__xludf.DUMMYFUNCTION("GOOGLETRANSLATE(C108, ""en"", ""hi"")"),"A) खिलाड़ी Y रानी और अपनी बारी खो देता है। , B) खिलाड़ी Y को एक मोहरा वापस करना होगा। , C) खिलाड़ी Y खेल जीत जाता है। , D) खिलाड़ी Y को एक और मौका मिलता है।")</f>
        <v>A) खिलाड़ी Y रानी और अपनी बारी खो देता है। , B) खिलाड़ी Y को एक मोहरा वापस करना होगा। , C) खिलाड़ी Y खेल जीत जाता है। , D) खिलाड़ी Y को एक और मौका मिलता है।</v>
      </c>
      <c r="I108" s="5" t="str">
        <f>IFERROR(__xludf.DUMMYFUNCTION("GOOGLETRANSLATE(D108, ""en"", ""hi"")"),"A) खिलाड़ी Y रानी और अपनी बारी खो देता है।")</f>
        <v>A) खिलाड़ी Y रानी और अपनी बारी खो देता है।</v>
      </c>
    </row>
    <row r="109" ht="22.5" customHeight="1">
      <c r="A109" s="2">
        <v>108.0</v>
      </c>
      <c r="B109" s="3" t="s">
        <v>8367</v>
      </c>
      <c r="C109" s="3" t="s">
        <v>8368</v>
      </c>
      <c r="D109" s="3" t="s">
        <v>8208</v>
      </c>
      <c r="F109" s="5" t="str">
        <f>IFERROR(__xludf.DUMMYFUNCTION("GOOGLETRANSLATE(A109, ""en"", ""hi"")"),"108")</f>
        <v>108</v>
      </c>
      <c r="G109" s="5" t="str">
        <f>IFERROR(__xludf.DUMMYFUNCTION("GOOGLETRANSLATE(B109, ""en"", ""hi"")"),"खिलाड़ी X ने आखिरी मोहरा और रानी को पॉकेट में डाल दिया, लेकिन फ़ाउल हो गया। नतीजा क्या हुआ?")</f>
        <v>खिलाड़ी X ने आखिरी मोहरा और रानी को पॉकेट में डाल दिया, लेकिन फ़ाउल हो गया। नतीजा क्या हुआ?</v>
      </c>
      <c r="H109" s="5" t="str">
        <f>IFERROR(__xludf.DUMMYFUNCTION("GOOGLETRANSLATE(C109, ""en"", ""hi"")"),"ए) खिलाड़ी एक्स रानी और अपनी बारी खो देता है।, बी) खिलाड़ी एक्स खेल जीतता है।, सी) खिलाड़ी एक्स को सभी पॉकेट में डाले गए मोहरे वापस करने होंगे।, डी) खिलाड़ी एक्स केवल रानी खो देता है।")</f>
        <v>ए) खिलाड़ी एक्स रानी और अपनी बारी खो देता है।, बी) खिलाड़ी एक्स खेल जीतता है।, सी) खिलाड़ी एक्स को सभी पॉकेट में डाले गए मोहरे वापस करने होंगे।, डी) खिलाड़ी एक्स केवल रानी खो देता है।</v>
      </c>
      <c r="I109" s="5" t="str">
        <f>IFERROR(__xludf.DUMMYFUNCTION("GOOGLETRANSLATE(D109, ""en"", ""hi"")"),"A) खिलाड़ी X रानी और अपनी बारी खो देता है।")</f>
        <v>A) खिलाड़ी X रानी और अपनी बारी खो देता है।</v>
      </c>
    </row>
    <row r="110" ht="22.5" customHeight="1">
      <c r="A110" s="2">
        <v>109.0</v>
      </c>
      <c r="B110" s="3" t="s">
        <v>8369</v>
      </c>
      <c r="C110" s="3" t="s">
        <v>8370</v>
      </c>
      <c r="D110" s="3" t="s">
        <v>8371</v>
      </c>
      <c r="F110" s="5" t="str">
        <f>IFERROR(__xludf.DUMMYFUNCTION("GOOGLETRANSLATE(A110, ""en"", ""hi"")"),"109")</f>
        <v>109</v>
      </c>
      <c r="G110" s="5" t="str">
        <f>IFERROR(__xludf.DUMMYFUNCTION("GOOGLETRANSLATE(B110, ""en"", ""hi"")"),"खिलाड़ी Y अपनी आखिरी गोटी पॉकेट में डालने के बाद रानी को बोर्ड से बाहर फेंक देता है। क्या होता है?")</f>
        <v>खिलाड़ी Y अपनी आखिरी गोटी पॉकेट में डालने के बाद रानी को बोर्ड से बाहर फेंक देता है। क्या होता है?</v>
      </c>
      <c r="H110" s="5" t="str">
        <f>IFERROR(__xludf.DUMMYFUNCTION("GOOGLETRANSLATE(C110, ""en"", ""hi"")"),"A) खिलाड़ी Y रानी और बारी खो देता है। , B) खिलाड़ी Y खेल जीत जाता है। , C) खिलाड़ी Y को रानी को बोर्ड पर वापस करना होगा। , D) खिलाड़ी Y जारी रखता है।")</f>
        <v>A) खिलाड़ी Y रानी और बारी खो देता है। , B) खिलाड़ी Y खेल जीत जाता है। , C) खिलाड़ी Y को रानी को बोर्ड पर वापस करना होगा। , D) खिलाड़ी Y जारी रखता है।</v>
      </c>
      <c r="I110" s="5" t="str">
        <f>IFERROR(__xludf.DUMMYFUNCTION("GOOGLETRANSLATE(D110, ""en"", ""hi"")"),"A) खिलाड़ी Y रानी और बारी खो देता है।")</f>
        <v>A) खिलाड़ी Y रानी और बारी खो देता है।</v>
      </c>
    </row>
    <row r="111" ht="22.5" customHeight="1">
      <c r="A111" s="2">
        <v>110.0</v>
      </c>
      <c r="B111" s="3" t="s">
        <v>8372</v>
      </c>
      <c r="C111" s="3" t="s">
        <v>8373</v>
      </c>
      <c r="D111" s="3" t="s">
        <v>8295</v>
      </c>
      <c r="F111" s="5" t="str">
        <f>IFERROR(__xludf.DUMMYFUNCTION("GOOGLETRANSLATE(A111, ""en"", ""hi"")"),"110")</f>
        <v>110</v>
      </c>
      <c r="G111" s="5" t="str">
        <f>IFERROR(__xludf.DUMMYFUNCTION("GOOGLETRANSLATE(B111, ""en"", ""hi"")"),"खिलाड़ी X रानी को पॉकेट में डाल देता है, लेकिन उसे दूसरे मोहरे से ढक नहीं पाता। क्या होता है?")</f>
        <v>खिलाड़ी X रानी को पॉकेट में डाल देता है, लेकिन उसे दूसरे मोहरे से ढक नहीं पाता। क्या होता है?</v>
      </c>
      <c r="H111" s="5" t="str">
        <f>IFERROR(__xludf.DUMMYFUNCTION("GOOGLETRANSLATE(C111, ""en"", ""hi"")"),"ए) खिलाड़ी एक्स रानी खो देता है।, बी) खिलाड़ी एक्स खेल जीतता है।, सी) रानी पॉकेट में रहती है।, डी) खिलाड़ी एक्स को अगली बारी में रानी को कवर करना होगा।")</f>
        <v>ए) खिलाड़ी एक्स रानी खो देता है।, बी) खिलाड़ी एक्स खेल जीतता है।, सी) रानी पॉकेट में रहती है।, डी) खिलाड़ी एक्स को अगली बारी में रानी को कवर करना होगा।</v>
      </c>
      <c r="I111" s="5" t="str">
        <f>IFERROR(__xludf.DUMMYFUNCTION("GOOGLETRANSLATE(D111, ""en"", ""hi"")"),"A) खिलाड़ी X रानी खो देता है।")</f>
        <v>A) खिलाड़ी X रानी खो देता है।</v>
      </c>
    </row>
    <row r="112" ht="22.5" customHeight="1">
      <c r="A112" s="2">
        <v>111.0</v>
      </c>
      <c r="B112" s="3" t="s">
        <v>8374</v>
      </c>
      <c r="C112" s="3" t="s">
        <v>8375</v>
      </c>
      <c r="D112" s="3" t="s">
        <v>8271</v>
      </c>
      <c r="F112" s="5" t="str">
        <f>IFERROR(__xludf.DUMMYFUNCTION("GOOGLETRANSLATE(A112, ""en"", ""hi"")"),"111")</f>
        <v>111</v>
      </c>
      <c r="G112" s="5" t="str">
        <f>IFERROR(__xludf.DUMMYFUNCTION("GOOGLETRANSLATE(B112, ""en"", ""hi"")"),"कैरम में, खिलाड़ी X एक ही बार में रानी और अपनी आखिरी गोटी पॉकेट में डाल देता है, लेकिन स्ट्राइकर भी पॉकेट में चला जाता है। क्या होता है?")</f>
        <v>कैरम में, खिलाड़ी X एक ही बार में रानी और अपनी आखिरी गोटी पॉकेट में डाल देता है, लेकिन स्ट्राइकर भी पॉकेट में चला जाता है। क्या होता है?</v>
      </c>
      <c r="H112" s="5" t="str">
        <f>IFERROR(__xludf.DUMMYFUNCTION("GOOGLETRANSLATE(C112, ""en"", ""hi"")"),"A) खिलाड़ी X रानी खो देता है और उसे एक मोहरा वापस करना पड़ता है। , B) खिलाड़ी X खेल जीत जाता है। , C) खिलाड़ी X को एक और मौका मिलता है। , D) खेल बिना किसी बेईमानी के जारी रहता है।")</f>
        <v>A) खिलाड़ी X रानी खो देता है और उसे एक मोहरा वापस करना पड़ता है। , B) खिलाड़ी X खेल जीत जाता है। , C) खिलाड़ी X को एक और मौका मिलता है। , D) खेल बिना किसी बेईमानी के जारी रहता है।</v>
      </c>
      <c r="I112" s="5" t="str">
        <f>IFERROR(__xludf.DUMMYFUNCTION("GOOGLETRANSLATE(D112, ""en"", ""hi"")"),"A) खिलाड़ी X रानी हार जाता है और उसे एक मोहरा वापस करना पड़ता है।")</f>
        <v>A) खिलाड़ी X रानी हार जाता है और उसे एक मोहरा वापस करना पड़ता है।</v>
      </c>
    </row>
    <row r="113" ht="22.5" customHeight="1">
      <c r="A113" s="2">
        <v>112.0</v>
      </c>
      <c r="B113" s="3" t="s">
        <v>8376</v>
      </c>
      <c r="C113" s="3" t="s">
        <v>8377</v>
      </c>
      <c r="D113" s="3" t="s">
        <v>8378</v>
      </c>
      <c r="F113" s="5" t="str">
        <f>IFERROR(__xludf.DUMMYFUNCTION("GOOGLETRANSLATE(A113, ""en"", ""hi"")"),"112")</f>
        <v>112</v>
      </c>
      <c r="G113" s="5" t="str">
        <f>IFERROR(__xludf.DUMMYFUNCTION("GOOGLETRANSLATE(B113, ""en"", ""hi"")"),"कैरम मैच के दौरान, खिलाड़ी Y रानी और एक मोहरे को पॉकेट में डाल देता है, लेकिन एक और मोहरा बोर्ड से बाहर चला जाता है। इसका नियम क्या है?")</f>
        <v>कैरम मैच के दौरान, खिलाड़ी Y रानी और एक मोहरे को पॉकेट में डाल देता है, लेकिन एक और मोहरा बोर्ड से बाहर चला जाता है। इसका नियम क्या है?</v>
      </c>
      <c r="H113" s="5" t="str">
        <f>IFERROR(__xludf.DUMMYFUNCTION("GOOGLETRANSLATE(C113, ""en"", ""hi"")"),"ए) खिलाड़ी वाई रानी खो देता है और उसे मोहरा वापस करना होगा।, बी) खिलाड़ी वाई खेल जीत जाता है।, सी) खिलाड़ी वाई केवल रानी खो देता है।, डी) खिलाड़ी वाई को बिना दंड के खेल जारी रखना होगा।")</f>
        <v>ए) खिलाड़ी वाई रानी खो देता है और उसे मोहरा वापस करना होगा।, बी) खिलाड़ी वाई खेल जीत जाता है।, सी) खिलाड़ी वाई केवल रानी खो देता है।, डी) खिलाड़ी वाई को बिना दंड के खेल जारी रखना होगा।</v>
      </c>
      <c r="I113" s="5" t="str">
        <f>IFERROR(__xludf.DUMMYFUNCTION("GOOGLETRANSLATE(D113, ""en"", ""hi"")"),"A) खिलाड़ी Y रानी हार जाता है और उसे मोहरा वापस करना पड़ता है।")</f>
        <v>A) खिलाड़ी Y रानी हार जाता है और उसे मोहरा वापस करना पड़ता है।</v>
      </c>
    </row>
    <row r="114" ht="22.5" customHeight="1">
      <c r="A114" s="2">
        <v>113.0</v>
      </c>
      <c r="B114" s="3" t="s">
        <v>8379</v>
      </c>
      <c r="C114" s="3" t="s">
        <v>8380</v>
      </c>
      <c r="D114" s="3" t="s">
        <v>8208</v>
      </c>
      <c r="F114" s="5" t="str">
        <f>IFERROR(__xludf.DUMMYFUNCTION("GOOGLETRANSLATE(A114, ""en"", ""hi"")"),"113")</f>
        <v>113</v>
      </c>
      <c r="G114" s="5" t="str">
        <f>IFERROR(__xludf.DUMMYFUNCTION("GOOGLETRANSLATE(B114, ""en"", ""hi"")"),"खिलाड़ी X गलती से क्वीन को पॉकेट में डालते समय स्ट्राइकर को पॉकेट में डाल देता है। अब आगे क्या करना है?")</f>
        <v>खिलाड़ी X गलती से क्वीन को पॉकेट में डालते समय स्ट्राइकर को पॉकेट में डाल देता है। अब आगे क्या करना है?</v>
      </c>
      <c r="H114" s="5" t="str">
        <f>IFERROR(__xludf.DUMMYFUNCTION("GOOGLETRANSLATE(C114, ""en"", ""hi"")"),"A) खिलाड़ी X रानी और अपनी बारी खो देता है। , B) खिलाड़ी X खेल जीत जाता है। , C) खिलाड़ी X खेल हार जाता है। , D) रानी जेब में रहती है।")</f>
        <v>A) खिलाड़ी X रानी और अपनी बारी खो देता है। , B) खिलाड़ी X खेल जीत जाता है। , C) खिलाड़ी X खेल हार जाता है। , D) रानी जेब में रहती है।</v>
      </c>
      <c r="I114" s="5" t="str">
        <f>IFERROR(__xludf.DUMMYFUNCTION("GOOGLETRANSLATE(D114, ""en"", ""hi"")"),"A) खिलाड़ी X रानी और अपनी बारी खो देता है।")</f>
        <v>A) खिलाड़ी X रानी और अपनी बारी खो देता है।</v>
      </c>
    </row>
    <row r="115" ht="22.5" customHeight="1">
      <c r="A115" s="2">
        <v>114.0</v>
      </c>
      <c r="B115" s="3" t="s">
        <v>8381</v>
      </c>
      <c r="C115" s="3" t="s">
        <v>8382</v>
      </c>
      <c r="D115" s="3" t="s">
        <v>8383</v>
      </c>
      <c r="F115" s="5" t="str">
        <f>IFERROR(__xludf.DUMMYFUNCTION("GOOGLETRANSLATE(A115, ""en"", ""hi"")"),"114")</f>
        <v>114</v>
      </c>
      <c r="G115" s="5" t="str">
        <f>IFERROR(__xludf.DUMMYFUNCTION("GOOGLETRANSLATE(B115, ""en"", ""hi"")"),"कैरम खेल में, खिलाड़ी X रानी को पॉकेट में डाल देता है, लेकिन स्ट्राइकर बोर्ड से बाहर चला जाता है। परिणाम क्या होता है?")</f>
        <v>कैरम खेल में, खिलाड़ी X रानी को पॉकेट में डाल देता है, लेकिन स्ट्राइकर बोर्ड से बाहर चला जाता है। परिणाम क्या होता है?</v>
      </c>
      <c r="H115" s="5" t="str">
        <f>IFERROR(__xludf.DUMMYFUNCTION("GOOGLETRANSLATE(C115, ""en"", ""hi"")"),"ए) खिलाड़ी एक्स रानी खो देता है और उसे अपनी बारी छोड़नी पड़ती है।, बी) खिलाड़ी एक्स खेल जीत जाता है।, सी) रानी जेब में रहती है।, डी) रानी को बोर्ड पर वापस कर दिया जाता है।")</f>
        <v>ए) खिलाड़ी एक्स रानी खो देता है और उसे अपनी बारी छोड़नी पड़ती है।, बी) खिलाड़ी एक्स खेल जीत जाता है।, सी) रानी जेब में रहती है।, डी) रानी को बोर्ड पर वापस कर दिया जाता है।</v>
      </c>
      <c r="I115" s="5" t="str">
        <f>IFERROR(__xludf.DUMMYFUNCTION("GOOGLETRANSLATE(D115, ""en"", ""hi"")"),"A) खिलाड़ी X रानी खो देता है और उसे अपनी बारी गँवानी पड़ती है।")</f>
        <v>A) खिलाड़ी X रानी खो देता है और उसे अपनी बारी गँवानी पड़ती है।</v>
      </c>
    </row>
    <row r="116" ht="22.5" customHeight="1">
      <c r="A116" s="2">
        <v>115.0</v>
      </c>
      <c r="B116" s="3" t="s">
        <v>8384</v>
      </c>
      <c r="C116" s="3" t="s">
        <v>8385</v>
      </c>
      <c r="D116" s="3" t="s">
        <v>8386</v>
      </c>
      <c r="F116" s="5" t="str">
        <f>IFERROR(__xludf.DUMMYFUNCTION("GOOGLETRANSLATE(A116, ""en"", ""hi"")"),"115")</f>
        <v>115</v>
      </c>
      <c r="G116" s="5" t="str">
        <f>IFERROR(__xludf.DUMMYFUNCTION("GOOGLETRANSLATE(B116, ""en"", ""hi"")"),"खिलाड़ी Y अपनी आखिरी गोटी पॉकेट में डालने के बाद फ़ाउल करता है। इसका फ़ैसला क्या है?")</f>
        <v>खिलाड़ी Y अपनी आखिरी गोटी पॉकेट में डालने के बाद फ़ाउल करता है। इसका फ़ैसला क्या है?</v>
      </c>
      <c r="H116" s="5" t="str">
        <f>IFERROR(__xludf.DUMMYFUNCTION("GOOGLETRANSLATE(C116, ""en"", ""hi"")"),"A) खिलाड़ी Y रानी खो देता है और उसे अंतिम मोहरा वापस करना होगा। , B) खिलाड़ी Y खेल जीत जाता है। , C) खिलाड़ी Y बिना दंड के खेल जारी रखता है। , D) खिलाड़ी Y को खेल छोड़ना होगा।")</f>
        <v>A) खिलाड़ी Y रानी खो देता है और उसे अंतिम मोहरा वापस करना होगा। , B) खिलाड़ी Y खेल जीत जाता है। , C) खिलाड़ी Y बिना दंड के खेल जारी रखता है। , D) खिलाड़ी Y को खेल छोड़ना होगा।</v>
      </c>
      <c r="I116" s="5" t="str">
        <f>IFERROR(__xludf.DUMMYFUNCTION("GOOGLETRANSLATE(D116, ""en"", ""hi"")"),"A) खिलाड़ी Y रानी हार जाता है और उसे अंतिम मोहरा वापस करना पड़ता है।")</f>
        <v>A) खिलाड़ी Y रानी हार जाता है और उसे अंतिम मोहरा वापस करना पड़ता है।</v>
      </c>
    </row>
    <row r="117" ht="22.5" customHeight="1">
      <c r="A117" s="2">
        <v>116.0</v>
      </c>
      <c r="B117" s="3" t="s">
        <v>8387</v>
      </c>
      <c r="C117" s="3" t="s">
        <v>8388</v>
      </c>
      <c r="D117" s="3" t="s">
        <v>8389</v>
      </c>
      <c r="F117" s="5" t="str">
        <f>IFERROR(__xludf.DUMMYFUNCTION("GOOGLETRANSLATE(A117, ""en"", ""hi"")"),"116")</f>
        <v>116</v>
      </c>
      <c r="G117" s="5" t="str">
        <f>IFERROR(__xludf.DUMMYFUNCTION("GOOGLETRANSLATE(B117, ""en"", ""hi"")"),"कैरम खेल में, खिलाड़ी X रानी को पॉकेट में डाल देता है, लेकिन स्ट्राइकर रानी को वापस बोर्ड पर गिरा देता है। परिणाम क्या होता है?")</f>
        <v>कैरम खेल में, खिलाड़ी X रानी को पॉकेट में डाल देता है, लेकिन स्ट्राइकर रानी को वापस बोर्ड पर गिरा देता है। परिणाम क्या होता है?</v>
      </c>
      <c r="H117" s="5" t="str">
        <f>IFERROR(__xludf.DUMMYFUNCTION("GOOGLETRANSLATE(C117, ""en"", ""hi"")"),"ए) रानी अपनी मूल स्थिति में वापस आ जाती है और खिलाड़ी एक्स रानी को खो देता है।, बी) खिलाड़ी एक्स खेल जीत जाता है।, सी) खेल ड्रॉ हो जाता है।, डी) रानी बोर्ड पर बनी रहती है और खिलाड़ी एक्स खेलना जारी रखता है।")</f>
        <v>ए) रानी अपनी मूल स्थिति में वापस आ जाती है और खिलाड़ी एक्स रानी को खो देता है।, बी) खिलाड़ी एक्स खेल जीत जाता है।, सी) खेल ड्रॉ हो जाता है।, डी) रानी बोर्ड पर बनी रहती है और खिलाड़ी एक्स खेलना जारी रखता है।</v>
      </c>
      <c r="I117" s="5" t="str">
        <f>IFERROR(__xludf.DUMMYFUNCTION("GOOGLETRANSLATE(D117, ""en"", ""hi"")"),"A) रानी अपनी मूल स्थिति में वापस आ जाती है और खिलाड़ी X रानी खो देता है।")</f>
        <v>A) रानी अपनी मूल स्थिति में वापस आ जाती है और खिलाड़ी X रानी खो देता है।</v>
      </c>
    </row>
    <row r="118" ht="22.5" customHeight="1">
      <c r="A118" s="2">
        <v>117.0</v>
      </c>
      <c r="B118" s="3" t="s">
        <v>8390</v>
      </c>
      <c r="C118" s="3" t="s">
        <v>8391</v>
      </c>
      <c r="D118" s="3" t="s">
        <v>8392</v>
      </c>
      <c r="F118" s="5" t="str">
        <f>IFERROR(__xludf.DUMMYFUNCTION("GOOGLETRANSLATE(A118, ""en"", ""hi"")"),"117")</f>
        <v>117</v>
      </c>
      <c r="G118" s="5" t="str">
        <f>IFERROR(__xludf.DUMMYFUNCTION("GOOGLETRANSLATE(B118, ""en"", ""hi"")"),"खिलाड़ी Y आखिरी मोहरा और रानी को एक ही बार में जेब में डाल देता है, लेकिन रानी जेब से बाहर उछल जाती है। आगे क्या होता है?")</f>
        <v>खिलाड़ी Y आखिरी मोहरा और रानी को एक ही बार में जेब में डाल देता है, लेकिन रानी जेब से बाहर उछल जाती है। आगे क्या होता है?</v>
      </c>
      <c r="H118" s="5" t="str">
        <f>IFERROR(__xludf.DUMMYFUNCTION("GOOGLETRANSLATE(C118, ""en"", ""hi"")"),"A) खिलाड़ी Y को रानी और अंतिम मोहरा बोर्ड पर वापस करना होगा। , B) खिलाड़ी Y खेल जीतता है। , C) खिलाड़ी Y खेल हार जाता है। , D) खेल जारी रहता है।")</f>
        <v>A) खिलाड़ी Y को रानी और अंतिम मोहरा बोर्ड पर वापस करना होगा। , B) खिलाड़ी Y खेल जीतता है। , C) खिलाड़ी Y खेल हार जाता है। , D) खेल जारी रहता है।</v>
      </c>
      <c r="I118" s="5" t="str">
        <f>IFERROR(__xludf.DUMMYFUNCTION("GOOGLETRANSLATE(D118, ""en"", ""hi"")"),"A) खिलाड़ी Y को रानी और अंतिम मोहरा बोर्ड पर वापस लाना होगा।")</f>
        <v>A) खिलाड़ी Y को रानी और अंतिम मोहरा बोर्ड पर वापस लाना होगा।</v>
      </c>
    </row>
    <row r="119" ht="22.5" customHeight="1">
      <c r="A119" s="2">
        <v>118.0</v>
      </c>
      <c r="B119" s="3" t="s">
        <v>8393</v>
      </c>
      <c r="C119" s="3" t="s">
        <v>8394</v>
      </c>
      <c r="D119" s="3" t="s">
        <v>8395</v>
      </c>
      <c r="F119" s="5" t="str">
        <f>IFERROR(__xludf.DUMMYFUNCTION("GOOGLETRANSLATE(A119, ""en"", ""hi"")"),"118")</f>
        <v>118</v>
      </c>
      <c r="G119" s="5" t="str">
        <f>IFERROR(__xludf.DUMMYFUNCTION("GOOGLETRANSLATE(B119, ""en"", ""hi"")"),"खिलाड़ी X रानी को पॉकेट में डालता है लेकिन फिर स्ट्राइकर को बोर्ड से बाहर कर देता है। नियम क्या है?")</f>
        <v>खिलाड़ी X रानी को पॉकेट में डालता है लेकिन फिर स्ट्राइकर को बोर्ड से बाहर कर देता है। नियम क्या है?</v>
      </c>
      <c r="H119" s="5" t="str">
        <f>IFERROR(__xludf.DUMMYFUNCTION("GOOGLETRANSLATE(C119, ""en"", ""hi"")"),"ए) खिलाड़ी एक्स रानी और स्ट्राइकर खो देता है।, बी) खिलाड़ी एक्स खेल जीतता है।, सी) स्ट्राइकर को वापस रखा जाता है, और खिलाड़ी एक्स जारी रखता है।, डी) खेल को ड्रॉ घोषित किया जाता है।")</f>
        <v>ए) खिलाड़ी एक्स रानी और स्ट्राइकर खो देता है।, बी) खिलाड़ी एक्स खेल जीतता है।, सी) स्ट्राइकर को वापस रखा जाता है, और खिलाड़ी एक्स जारी रखता है।, डी) खेल को ड्रॉ घोषित किया जाता है।</v>
      </c>
      <c r="I119" s="5" t="str">
        <f>IFERROR(__xludf.DUMMYFUNCTION("GOOGLETRANSLATE(D119, ""en"", ""hi"")"),"A) खिलाड़ी X रानी और स्ट्राइकर खो देता है।")</f>
        <v>A) खिलाड़ी X रानी और स्ट्राइकर खो देता है।</v>
      </c>
    </row>
    <row r="120" ht="22.5" customHeight="1">
      <c r="A120" s="2">
        <v>119.0</v>
      </c>
      <c r="B120" s="3" t="s">
        <v>8396</v>
      </c>
      <c r="C120" s="3" t="s">
        <v>8397</v>
      </c>
      <c r="D120" s="3" t="s">
        <v>8295</v>
      </c>
      <c r="F120" s="5" t="str">
        <f>IFERROR(__xludf.DUMMYFUNCTION("GOOGLETRANSLATE(A120, ""en"", ""hi"")"),"119")</f>
        <v>119</v>
      </c>
      <c r="G120" s="5" t="str">
        <f>IFERROR(__xludf.DUMMYFUNCTION("GOOGLETRANSLATE(B120, ""en"", ""hi"")"),"कैरम मैच के दौरान, खिलाड़ी X अपनी आखिरी गोटी पॉकेट में डाल देता है, लेकिन रानी नहीं बच पाती। क्या होता है?")</f>
        <v>कैरम मैच के दौरान, खिलाड़ी X अपनी आखिरी गोटी पॉकेट में डाल देता है, लेकिन रानी नहीं बच पाती। क्या होता है?</v>
      </c>
      <c r="H120" s="5" t="str">
        <f>IFERROR(__xludf.DUMMYFUNCTION("GOOGLETRANSLATE(C120, ""en"", ""hi"")"),"A) खिलाड़ी X रानी खो देता है। , B) खिलाड़ी X खेल जीत जाता है। , C) खिलाड़ी X को बोर्ड पर अंतिम टुकड़ा वापस करना होगा। , D) खिलाड़ी X को रानी को कवर करने के लिए एक और बारी मिलती है।")</f>
        <v>A) खिलाड़ी X रानी खो देता है। , B) खिलाड़ी X खेल जीत जाता है। , C) खिलाड़ी X को बोर्ड पर अंतिम टुकड़ा वापस करना होगा। , D) खिलाड़ी X को रानी को कवर करने के लिए एक और बारी मिलती है।</v>
      </c>
      <c r="I120" s="5" t="str">
        <f>IFERROR(__xludf.DUMMYFUNCTION("GOOGLETRANSLATE(D120, ""en"", ""hi"")"),"A) खिलाड़ी X रानी खो देता है।")</f>
        <v>A) खिलाड़ी X रानी खो देता है।</v>
      </c>
    </row>
    <row r="121" ht="22.5" customHeight="1">
      <c r="A121" s="2">
        <v>120.0</v>
      </c>
      <c r="B121" s="3" t="s">
        <v>8398</v>
      </c>
      <c r="C121" s="3" t="s">
        <v>8399</v>
      </c>
      <c r="D121" s="3" t="s">
        <v>8400</v>
      </c>
      <c r="F121" s="5" t="str">
        <f>IFERROR(__xludf.DUMMYFUNCTION("GOOGLETRANSLATE(A121, ""en"", ""hi"")"),"120")</f>
        <v>120</v>
      </c>
      <c r="G121" s="5" t="str">
        <f>IFERROR(__xludf.DUMMYFUNCTION("GOOGLETRANSLATE(B121, ""en"", ""hi"")"),"खिलाड़ी Y क्वीन पॉकेट में डाल देता है, लेकिन स्ट्राइकर बोर्ड से बाहर चला जाता है। सही नियम क्या है?")</f>
        <v>खिलाड़ी Y क्वीन पॉकेट में डाल देता है, लेकिन स्ट्राइकर बोर्ड से बाहर चला जाता है। सही नियम क्या है?</v>
      </c>
      <c r="H121" s="5" t="str">
        <f>IFERROR(__xludf.DUMMYFUNCTION("GOOGLETRANSLATE(C121, ""en"", ""hi"")"),"ए) खिलाड़ी वाई रानी और स्ट्राइकर खो देता है। , बी) खिलाड़ी वाई खेल जीतता है। , सी) स्ट्राइकर को बोर्ड पर वापस कर दिया जाता है। , डी) खिलाड़ी वाई को सभी पॉकेटेड मोहरे वापस करने होंगे।")</f>
        <v>ए) खिलाड़ी वाई रानी और स्ट्राइकर खो देता है। , बी) खिलाड़ी वाई खेल जीतता है। , सी) स्ट्राइकर को बोर्ड पर वापस कर दिया जाता है। , डी) खिलाड़ी वाई को सभी पॉकेटेड मोहरे वापस करने होंगे।</v>
      </c>
      <c r="I121" s="5" t="str">
        <f>IFERROR(__xludf.DUMMYFUNCTION("GOOGLETRANSLATE(D121, ""en"", ""hi"")"),"A) खिलाड़ी Y रानी और स्ट्राइकर खो देता है।")</f>
        <v>A) खिलाड़ी Y रानी और स्ट्राइकर खो देता है।</v>
      </c>
    </row>
    <row r="122" ht="22.5" customHeight="1">
      <c r="A122" s="2">
        <v>121.0</v>
      </c>
      <c r="B122" s="3" t="s">
        <v>8401</v>
      </c>
      <c r="C122" s="3" t="s">
        <v>8402</v>
      </c>
      <c r="D122" s="3" t="s">
        <v>8208</v>
      </c>
      <c r="F122" s="5" t="str">
        <f>IFERROR(__xludf.DUMMYFUNCTION("GOOGLETRANSLATE(A122, ""en"", ""hi"")"),"121")</f>
        <v>121</v>
      </c>
      <c r="G122" s="5" t="str">
        <f>IFERROR(__xludf.DUMMYFUNCTION("GOOGLETRANSLATE(B122, ""en"", ""hi"")"),"कैरम खेल में, खिलाड़ी X, रानी को पॉकेट में डालने के बाद स्ट्राइकर को बोर्ड से बाहर कर देता है। क्या होता है?")</f>
        <v>कैरम खेल में, खिलाड़ी X, रानी को पॉकेट में डालने के बाद स्ट्राइकर को बोर्ड से बाहर कर देता है। क्या होता है?</v>
      </c>
      <c r="H122" s="5" t="str">
        <f>IFERROR(__xludf.DUMMYFUNCTION("GOOGLETRANSLATE(C122, ""en"", ""hi"")"),"ए) खिलाड़ी एक्स रानी और अपनी बारी खो देता है।, बी) खिलाड़ी एक्स खेल जीत जाता है।, सी) स्ट्राइकर को वापस रखा जाता है, और खिलाड़ी एक्स खेल जारी रखता है।, डी) खेल को ड्रॉ घोषित किया जाता है।")</f>
        <v>ए) खिलाड़ी एक्स रानी और अपनी बारी खो देता है।, बी) खिलाड़ी एक्स खेल जीत जाता है।, सी) स्ट्राइकर को वापस रखा जाता है, और खिलाड़ी एक्स खेल जारी रखता है।, डी) खेल को ड्रॉ घोषित किया जाता है।</v>
      </c>
      <c r="I122" s="5" t="str">
        <f>IFERROR(__xludf.DUMMYFUNCTION("GOOGLETRANSLATE(D122, ""en"", ""hi"")"),"A) खिलाड़ी X रानी और अपनी बारी खो देता है।")</f>
        <v>A) खिलाड़ी X रानी और अपनी बारी खो देता है।</v>
      </c>
    </row>
    <row r="123" ht="22.5" customHeight="1">
      <c r="A123" s="2">
        <v>122.0</v>
      </c>
      <c r="B123" s="3" t="s">
        <v>8403</v>
      </c>
      <c r="C123" s="3" t="s">
        <v>8404</v>
      </c>
      <c r="D123" s="3" t="s">
        <v>8405</v>
      </c>
      <c r="F123" s="5" t="str">
        <f>IFERROR(__xludf.DUMMYFUNCTION("GOOGLETRANSLATE(A123, ""en"", ""hi"")"),"122")</f>
        <v>122</v>
      </c>
      <c r="G123" s="5" t="str">
        <f>IFERROR(__xludf.DUMMYFUNCTION("GOOGLETRANSLATE(B123, ""en"", ""hi"")"),"खिलाड़ी X रानी को पॉकेट में डाल देता है, लेकिन खिलाड़ी Y शॉट का विरोध करता है। आगे क्या होता है?")</f>
        <v>खिलाड़ी X रानी को पॉकेट में डाल देता है, लेकिन खिलाड़ी Y शॉट का विरोध करता है। आगे क्या होता है?</v>
      </c>
      <c r="H123" s="5" t="str">
        <f>IFERROR(__xludf.DUMMYFUNCTION("GOOGLETRANSLATE(C123, ""en"", ""hi"")"),"A) रानी को वापस रख दिया जाता है, और खिलाड़ी X रानी को खो देता है। , B) खिलाड़ी X खेल जीत जाता है। , C) खेल ड्रॉ हो जाता है। , D) रेफरी निर्णय लेता है।")</f>
        <v>A) रानी को वापस रख दिया जाता है, और खिलाड़ी X रानी को खो देता है। , B) खिलाड़ी X खेल जीत जाता है। , C) खेल ड्रॉ हो जाता है। , D) रेफरी निर्णय लेता है।</v>
      </c>
      <c r="I123" s="5" t="str">
        <f>IFERROR(__xludf.DUMMYFUNCTION("GOOGLETRANSLATE(D123, ""en"", ""hi"")"),"A) रानी को वापस रख दिया जाता है, और खिलाड़ी X रानी को खो देता है।")</f>
        <v>A) रानी को वापस रख दिया जाता है, और खिलाड़ी X रानी को खो देता है।</v>
      </c>
    </row>
    <row r="124" ht="22.5" customHeight="1">
      <c r="A124" s="2">
        <v>123.0</v>
      </c>
      <c r="B124" s="3" t="s">
        <v>8406</v>
      </c>
      <c r="C124" s="3" t="s">
        <v>8407</v>
      </c>
      <c r="D124" s="3" t="s">
        <v>8408</v>
      </c>
      <c r="F124" s="5" t="str">
        <f>IFERROR(__xludf.DUMMYFUNCTION("GOOGLETRANSLATE(A124, ""en"", ""hi"")"),"123")</f>
        <v>123</v>
      </c>
      <c r="G124" s="5" t="str">
        <f>IFERROR(__xludf.DUMMYFUNCTION("GOOGLETRANSLATE(B124, ""en"", ""hi"")"),"कैरम मैच के दौरान, खिलाड़ी Y रानी को पॉकेट में डाल देता है, लेकिन बोर्ड से बाहर एक और मोहरा मारकर फ़ाउल कर देता है। क्या होता है?")</f>
        <v>कैरम मैच के दौरान, खिलाड़ी Y रानी को पॉकेट में डाल देता है, लेकिन बोर्ड से बाहर एक और मोहरा मारकर फ़ाउल कर देता है। क्या होता है?</v>
      </c>
      <c r="H124" s="5" t="str">
        <f>IFERROR(__xludf.DUMMYFUNCTION("GOOGLETRANSLATE(C124, ""en"", ""hi"")"),"A) खिलाड़ी Y रानी खो देता है और गलत मोहरा वापस कर दिया जाता है। , B) खिलाड़ी Y खेल जीत जाता है। , C) खिलाड़ी Y को बिना दंड के खेल जारी रखना चाहिए। , D) खेल ड्रॉ हो जाता है।")</f>
        <v>A) खिलाड़ी Y रानी खो देता है और गलत मोहरा वापस कर दिया जाता है। , B) खिलाड़ी Y खेल जीत जाता है। , C) खिलाड़ी Y को बिना दंड के खेल जारी रखना चाहिए। , D) खेल ड्रॉ हो जाता है।</v>
      </c>
      <c r="I124" s="5" t="str">
        <f>IFERROR(__xludf.DUMMYFUNCTION("GOOGLETRANSLATE(D124, ""en"", ""hi"")"),"A) खिलाड़ी Y रानी खो देता है और गलत मोहरा वापस कर दिया जाता है।")</f>
        <v>A) खिलाड़ी Y रानी खो देता है और गलत मोहरा वापस कर दिया जाता है।</v>
      </c>
    </row>
    <row r="125" ht="22.5" customHeight="1">
      <c r="A125" s="2">
        <v>124.0</v>
      </c>
      <c r="B125" s="3" t="s">
        <v>8409</v>
      </c>
      <c r="C125" s="3" t="s">
        <v>8410</v>
      </c>
      <c r="D125" s="3" t="s">
        <v>8211</v>
      </c>
      <c r="F125" s="5" t="str">
        <f>IFERROR(__xludf.DUMMYFUNCTION("GOOGLETRANSLATE(A125, ""en"", ""hi"")"),"124")</f>
        <v>124</v>
      </c>
      <c r="G125" s="5" t="str">
        <f>IFERROR(__xludf.DUMMYFUNCTION("GOOGLETRANSLATE(B125, ""en"", ""hi"")"),"खिलाड़ी A स्ट्राइक करता है और क्वीन को पॉकेट में डाल देता है, लेकिन स्ट्राइकर भी पॉकेट में चला जाता है। नियम क्या है?")</f>
        <v>खिलाड़ी A स्ट्राइक करता है और क्वीन को पॉकेट में डाल देता है, लेकिन स्ट्राइकर भी पॉकेट में चला जाता है। नियम क्या है?</v>
      </c>
      <c r="H125" s="5" t="str">
        <f>IFERROR(__xludf.DUMMYFUNCTION("GOOGLETRANSLATE(C125, ""en"", ""hi"")"),"A) खिलाड़ी A रानी खो देता है। , B) खिलाड़ी A खेल जीत जाता है। , C) खिलाड़ी A को स्ट्राइकर को बोर्ड पर वापस करना होगा। , D) खिलाड़ी A को फिर से स्ट्राइक करने का मौका मिलता है।")</f>
        <v>A) खिलाड़ी A रानी खो देता है। , B) खिलाड़ी A खेल जीत जाता है। , C) खिलाड़ी A को स्ट्राइकर को बोर्ड पर वापस करना होगा। , D) खिलाड़ी A को फिर से स्ट्राइक करने का मौका मिलता है।</v>
      </c>
      <c r="I125" s="5" t="str">
        <f>IFERROR(__xludf.DUMMYFUNCTION("GOOGLETRANSLATE(D125, ""en"", ""hi"")"),"A) खिलाड़ी A रानी खो देता है।")</f>
        <v>A) खिलाड़ी A रानी खो देता है।</v>
      </c>
    </row>
    <row r="126" ht="22.5" customHeight="1">
      <c r="A126" s="2">
        <v>125.0</v>
      </c>
      <c r="B126" s="3" t="s">
        <v>8411</v>
      </c>
      <c r="C126" s="3" t="s">
        <v>8412</v>
      </c>
      <c r="D126" s="3" t="s">
        <v>8413</v>
      </c>
      <c r="F126" s="5" t="str">
        <f>IFERROR(__xludf.DUMMYFUNCTION("GOOGLETRANSLATE(A126, ""en"", ""hi"")"),"125")</f>
        <v>125</v>
      </c>
      <c r="G126" s="5" t="str">
        <f>IFERROR(__xludf.DUMMYFUNCTION("GOOGLETRANSLATE(B126, ""en"", ""hi"")"),"कैरम मैच के दौरान, खिलाड़ी B एक ही स्ट्राइक में रानी और एक सफ़ेद मोहरे को सफलतापूर्वक पॉकेट में डाल देता है। सही परिणाम क्या है?")</f>
        <v>कैरम मैच के दौरान, खिलाड़ी B एक ही स्ट्राइक में रानी और एक सफ़ेद मोहरे को सफलतापूर्वक पॉकेट में डाल देता है। सही परिणाम क्या है?</v>
      </c>
      <c r="H126" s="5" t="str">
        <f>IFERROR(__xludf.DUMMYFUNCTION("GOOGLETRANSLATE(C126, ""en"", ""hi"")"),"A) खिलाड़ी B खेल जीत जाता है। , B) खिलाड़ी B को फिर से वार करना पड़ता है। , C) खिलाड़ी B को अगली बारी में रानी को कवर करना पड़ता है। , D) खिलाड़ी B ने अवैध रूप से पॉकेट किया है।")</f>
        <v>A) खिलाड़ी B खेल जीत जाता है। , B) खिलाड़ी B को फिर से वार करना पड़ता है। , C) खिलाड़ी B को अगली बारी में रानी को कवर करना पड़ता है। , D) खिलाड़ी B ने अवैध रूप से पॉकेट किया है।</v>
      </c>
      <c r="I126" s="5" t="str">
        <f>IFERROR(__xludf.DUMMYFUNCTION("GOOGLETRANSLATE(D126, ""en"", ""hi"")"),"A) खिलाड़ी B खेल जीतता है।")</f>
        <v>A) खिलाड़ी B खेल जीतता है।</v>
      </c>
    </row>
    <row r="127" ht="22.5" customHeight="1">
      <c r="A127" s="2">
        <v>126.0</v>
      </c>
      <c r="B127" s="3" t="s">
        <v>8414</v>
      </c>
      <c r="C127" s="3" t="s">
        <v>8415</v>
      </c>
      <c r="D127" s="3" t="s">
        <v>8416</v>
      </c>
      <c r="F127" s="5" t="str">
        <f>IFERROR(__xludf.DUMMYFUNCTION("GOOGLETRANSLATE(A127, ""en"", ""hi"")"),"126")</f>
        <v>126</v>
      </c>
      <c r="G127" s="5" t="str">
        <f>IFERROR(__xludf.DUMMYFUNCTION("GOOGLETRANSLATE(B127, ""en"", ""hi"")"),"खिलाड़ी A एक मोहरा पॉकेट में डाल देता है, लेकिन रानी बोर्ड से नीचे गिर जाती है। अब क्या होगा?")</f>
        <v>खिलाड़ी A एक मोहरा पॉकेट में डाल देता है, लेकिन रानी बोर्ड से नीचे गिर जाती है। अब क्या होगा?</v>
      </c>
      <c r="H127" s="5" t="str">
        <f>IFERROR(__xludf.DUMMYFUNCTION("GOOGLETRANSLATE(C127, ""en"", ""hi"")"),"A) रानी को बोर्ड के केंद्र में रखा जाता है। , B) खिलाड़ी A अपनी बारी खो देता है। , C) खिलाड़ी A खेल जीत जाता है। , D) खिलाड़ी A एक अंक खो देता है।")</f>
        <v>A) रानी को बोर्ड के केंद्र में रखा जाता है। , B) खिलाड़ी A अपनी बारी खो देता है। , C) खिलाड़ी A खेल जीत जाता है। , D) खिलाड़ी A एक अंक खो देता है।</v>
      </c>
      <c r="I127" s="5" t="str">
        <f>IFERROR(__xludf.DUMMYFUNCTION("GOOGLETRANSLATE(D127, ""en"", ""hi"")"),"A) रानी को बोर्ड के केंद्र में रखा गया है।")</f>
        <v>A) रानी को बोर्ड के केंद्र में रखा गया है।</v>
      </c>
    </row>
    <row r="128" ht="22.5" customHeight="1">
      <c r="A128" s="2">
        <v>127.0</v>
      </c>
      <c r="B128" s="3" t="s">
        <v>8417</v>
      </c>
      <c r="C128" s="3" t="s">
        <v>8418</v>
      </c>
      <c r="D128" s="3" t="s">
        <v>8419</v>
      </c>
      <c r="F128" s="5" t="str">
        <f>IFERROR(__xludf.DUMMYFUNCTION("GOOGLETRANSLATE(A128, ""en"", ""hi"")"),"127")</f>
        <v>127</v>
      </c>
      <c r="G128" s="5" t="str">
        <f>IFERROR(__xludf.DUMMYFUNCTION("GOOGLETRANSLATE(B128, ""en"", ""hi"")"),"खिलाड़ी A रानी को कवर किए बिना आखिरी मोहरा पॉकेट में डाल देता है। नियम क्या है?")</f>
        <v>खिलाड़ी A रानी को कवर किए बिना आखिरी मोहरा पॉकेट में डाल देता है। नियम क्या है?</v>
      </c>
      <c r="H128" s="5" t="str">
        <f>IFERROR(__xludf.DUMMYFUNCTION("GOOGLETRANSLATE(C128, ""en"", ""hi"")"),"A) खिलाड़ी A खेल हार जाता है। , B) रानी को वापस रख दिया जाता है, और खिलाड़ी A को फिर से प्रयास करना होगा। , C) खिलाड़ी A को बोर्ड पर अंतिम टुकड़ा वापस करना होगा। , D) रानी के खेल में रहते हुए खेल जारी रहता है।")</f>
        <v>A) खिलाड़ी A खेल हार जाता है। , B) रानी को वापस रख दिया जाता है, और खिलाड़ी A को फिर से प्रयास करना होगा। , C) खिलाड़ी A को बोर्ड पर अंतिम टुकड़ा वापस करना होगा। , D) रानी के खेल में रहते हुए खेल जारी रहता है।</v>
      </c>
      <c r="I128" s="5" t="str">
        <f>IFERROR(__xludf.DUMMYFUNCTION("GOOGLETRANSLATE(D128, ""en"", ""hi"")"),"बी) रानी को वापस रख दिया जाता है, और खिलाड़ी ए को फिर से प्रयास करना होगा।")</f>
        <v>बी) रानी को वापस रख दिया जाता है, और खिलाड़ी ए को फिर से प्रयास करना होगा।</v>
      </c>
    </row>
    <row r="129" ht="22.5" customHeight="1">
      <c r="A129" s="2">
        <v>128.0</v>
      </c>
      <c r="B129" s="3" t="s">
        <v>8420</v>
      </c>
      <c r="C129" s="3" t="s">
        <v>8421</v>
      </c>
      <c r="D129" s="3" t="s">
        <v>8422</v>
      </c>
      <c r="F129" s="5" t="str">
        <f>IFERROR(__xludf.DUMMYFUNCTION("GOOGLETRANSLATE(A129, ""en"", ""hi"")"),"128")</f>
        <v>128</v>
      </c>
      <c r="G129" s="5" t="str">
        <f>IFERROR(__xludf.DUMMYFUNCTION("GOOGLETRANSLATE(B129, ""en"", ""hi"")"),"कैरम खेल में, खिलाड़ी B रानी को पॉकेट में डालता है, लेकिन बोर्ड से बाहर एक और मोहरा गिर जाता है। क्या होगा?")</f>
        <v>कैरम खेल में, खिलाड़ी B रानी को पॉकेट में डालता है, लेकिन बोर्ड से बाहर एक और मोहरा गिर जाता है। क्या होगा?</v>
      </c>
      <c r="H129" s="5" t="str">
        <f>IFERROR(__xludf.DUMMYFUNCTION("GOOGLETRANSLATE(C129, ""en"", ""hi"")"),"A) खिलाड़ी B रानी खो देता है। , B) खिलाड़ी B खेल जीत जाता है। , C) खिलाड़ी B को मोहरा वापस बोर्ड पर रखना होगा। , D) खेल बिना दंड के जारी रहता है।")</f>
        <v>A) खिलाड़ी B रानी खो देता है। , B) खिलाड़ी B खेल जीत जाता है। , C) खिलाड़ी B को मोहरा वापस बोर्ड पर रखना होगा। , D) खेल बिना दंड के जारी रहता है।</v>
      </c>
      <c r="I129" s="5" t="str">
        <f>IFERROR(__xludf.DUMMYFUNCTION("GOOGLETRANSLATE(D129, ""en"", ""hi"")"),"A) खिलाड़ी B रानी खो देता है।")</f>
        <v>A) खिलाड़ी B रानी खो देता है।</v>
      </c>
    </row>
    <row r="130" ht="22.5" customHeight="1">
      <c r="A130" s="2">
        <v>129.0</v>
      </c>
      <c r="B130" s="3" t="s">
        <v>8423</v>
      </c>
      <c r="C130" s="3" t="s">
        <v>8424</v>
      </c>
      <c r="D130" s="3" t="s">
        <v>8425</v>
      </c>
      <c r="F130" s="5" t="str">
        <f>IFERROR(__xludf.DUMMYFUNCTION("GOOGLETRANSLATE(A130, ""en"", ""hi"")"),"129")</f>
        <v>129</v>
      </c>
      <c r="G130" s="5" t="str">
        <f>IFERROR(__xludf.DUMMYFUNCTION("GOOGLETRANSLATE(B130, ""en"", ""hi"")"),"खिलाड़ी A एक ही शॉट में रानी और स्ट्राइकर दोनों को पॉकेट में डाल देता है। नतीजा क्या होता है?")</f>
        <v>खिलाड़ी A एक ही शॉट में रानी और स्ट्राइकर दोनों को पॉकेट में डाल देता है। नतीजा क्या होता है?</v>
      </c>
      <c r="H130" s="5" t="str">
        <f>IFERROR(__xludf.DUMMYFUNCTION("GOOGLETRANSLATE(C130, ""en"", ""hi"")"),"A) खिलाड़ी A रानी और स्ट्राइकर खो देता है। , B) खिलाड़ी A खेल जीत जाता है। , C) खिलाड़ी A को स्ट्राइकर को बोर्ड पर वापस करना होगा। , D) खिलाड़ी A को दोनों मोहरों को बोर्ड पर वापस करना होगा।")</f>
        <v>A) खिलाड़ी A रानी और स्ट्राइकर खो देता है। , B) खिलाड़ी A खेल जीत जाता है। , C) खिलाड़ी A को स्ट्राइकर को बोर्ड पर वापस करना होगा। , D) खिलाड़ी A को दोनों मोहरों को बोर्ड पर वापस करना होगा।</v>
      </c>
      <c r="I130" s="5" t="str">
        <f>IFERROR(__xludf.DUMMYFUNCTION("GOOGLETRANSLATE(D130, ""en"", ""hi"")"),"A) खिलाड़ी A रानी और स्ट्राइकर खो देता है।")</f>
        <v>A) खिलाड़ी A रानी और स्ट्राइकर खो देता है।</v>
      </c>
    </row>
    <row r="131" ht="22.5" customHeight="1">
      <c r="A131" s="2">
        <v>130.0</v>
      </c>
      <c r="B131" s="3" t="s">
        <v>8426</v>
      </c>
      <c r="C131" s="3" t="s">
        <v>8427</v>
      </c>
      <c r="D131" s="3" t="s">
        <v>8422</v>
      </c>
      <c r="F131" s="5" t="str">
        <f>IFERROR(__xludf.DUMMYFUNCTION("GOOGLETRANSLATE(A131, ""en"", ""hi"")"),"130")</f>
        <v>130</v>
      </c>
      <c r="G131" s="5" t="str">
        <f>IFERROR(__xludf.DUMMYFUNCTION("GOOGLETRANSLATE(B131, ""en"", ""hi"")"),"कैरम मैच में, खिलाड़ी B रानी को पॉकेट में डालता है, लेकिन अपने प्रतिद्वंद्वी की गोटी को भी पॉकेट में डाल देता है। इसका नियम क्या है?")</f>
        <v>कैरम मैच में, खिलाड़ी B रानी को पॉकेट में डालता है, लेकिन अपने प्रतिद्वंद्वी की गोटी को भी पॉकेट में डाल देता है। इसका नियम क्या है?</v>
      </c>
      <c r="H131" s="5" t="str">
        <f>IFERROR(__xludf.DUMMYFUNCTION("GOOGLETRANSLATE(C131, ""en"", ""hi"")"),"ए) खिलाड़ी बी रानी खो देता है।, बी) खिलाड़ी बी खेल जीत जाता है।, सी) खिलाड़ी बी को प्रतिद्वंद्वी के मोहरे को बोर्ड पर वापस करना होगा।, डी) खिलाड़ी बी बिना दंड के खेल जारी रखता है।")</f>
        <v>ए) खिलाड़ी बी रानी खो देता है।, बी) खिलाड़ी बी खेल जीत जाता है।, सी) खिलाड़ी बी को प्रतिद्वंद्वी के मोहरे को बोर्ड पर वापस करना होगा।, डी) खिलाड़ी बी बिना दंड के खेल जारी रखता है।</v>
      </c>
      <c r="I131" s="5" t="str">
        <f>IFERROR(__xludf.DUMMYFUNCTION("GOOGLETRANSLATE(D131, ""en"", ""hi"")"),"A) खिलाड़ी B रानी खो देता है।")</f>
        <v>A) खिलाड़ी B रानी खो देता है।</v>
      </c>
    </row>
    <row r="132" ht="22.5" customHeight="1">
      <c r="A132" s="2">
        <v>131.0</v>
      </c>
      <c r="B132" s="3" t="s">
        <v>8428</v>
      </c>
      <c r="C132" s="3" t="s">
        <v>8429</v>
      </c>
      <c r="D132" s="3" t="s">
        <v>8430</v>
      </c>
      <c r="F132" s="5" t="str">
        <f>IFERROR(__xludf.DUMMYFUNCTION("GOOGLETRANSLATE(A132, ""en"", ""hi"")"),"131")</f>
        <v>131</v>
      </c>
      <c r="G132" s="5" t="str">
        <f>IFERROR(__xludf.DUMMYFUNCTION("GOOGLETRANSLATE(B132, ""en"", ""hi"")"),"खिलाड़ी A स्ट्राइक करता है और स्ट्राइकर एक मोहरा पॉकेट में डालने के बाद बोर्ड से बाहर चला जाता है। क्या होगा?")</f>
        <v>खिलाड़ी A स्ट्राइक करता है और स्ट्राइकर एक मोहरा पॉकेट में डालने के बाद बोर्ड से बाहर चला जाता है। क्या होगा?</v>
      </c>
      <c r="H132" s="5" t="str">
        <f>IFERROR(__xludf.DUMMYFUNCTION("GOOGLETRANSLATE(C132, ""en"", ""hi"")"),"A) खिलाड़ी A अपनी बारी खो देता है। , B) खिलाड़ी A खेल जीत जाता है। , C) खिलाड़ी A को स्ट्राइकर को बोर्ड पर वापस लाना होगा। , D) खिलाड़ी A फिर से स्ट्राइक कर सकता है।")</f>
        <v>A) खिलाड़ी A अपनी बारी खो देता है। , B) खिलाड़ी A खेल जीत जाता है। , C) खिलाड़ी A को स्ट्राइकर को बोर्ड पर वापस लाना होगा। , D) खिलाड़ी A फिर से स्ट्राइक कर सकता है।</v>
      </c>
      <c r="I132" s="5" t="str">
        <f>IFERROR(__xludf.DUMMYFUNCTION("GOOGLETRANSLATE(D132, ""en"", ""hi"")"),"A) खिलाड़ी A अपनी बारी खो देता है।")</f>
        <v>A) खिलाड़ी A अपनी बारी खो देता है।</v>
      </c>
    </row>
    <row r="133" ht="22.5" customHeight="1">
      <c r="A133" s="2">
        <v>132.0</v>
      </c>
      <c r="B133" s="3" t="s">
        <v>8431</v>
      </c>
      <c r="C133" s="3" t="s">
        <v>8432</v>
      </c>
      <c r="D133" s="3" t="s">
        <v>8433</v>
      </c>
      <c r="F133" s="5" t="str">
        <f>IFERROR(__xludf.DUMMYFUNCTION("GOOGLETRANSLATE(A133, ""en"", ""hi"")"),"132")</f>
        <v>132</v>
      </c>
      <c r="G133" s="5" t="str">
        <f>IFERROR(__xludf.DUMMYFUNCTION("GOOGLETRANSLATE(B133, ""en"", ""hi"")"),"खिलाड़ी B अपनी आखिरी गोटी पॉकेट में डाल देता है, लेकिन रानी को कवर नहीं कर पाता। नतीजा क्या होता है?")</f>
        <v>खिलाड़ी B अपनी आखिरी गोटी पॉकेट में डाल देता है, लेकिन रानी को कवर नहीं कर पाता। नतीजा क्या होता है?</v>
      </c>
      <c r="H133" s="5" t="str">
        <f>IFERROR(__xludf.DUMMYFUNCTION("GOOGLETRANSLATE(C133, ""en"", ""hi"")"),"A) खिलाड़ी B खेल हार जाता है। , B) खिलाड़ी B को मोहरा बोर्ड पर वापस रखना होगा। , C) रानी को वापस बोर्ड पर रख दिया जाता है। , D) रानी के खेल में बने रहने के साथ खेल जारी रहता है।")</f>
        <v>A) खिलाड़ी B खेल हार जाता है। , B) खिलाड़ी B को मोहरा बोर्ड पर वापस रखना होगा। , C) रानी को वापस बोर्ड पर रख दिया जाता है। , D) रानी के खेल में बने रहने के साथ खेल जारी रहता है।</v>
      </c>
      <c r="I133" s="5" t="str">
        <f>IFERROR(__xludf.DUMMYFUNCTION("GOOGLETRANSLATE(D133, ""en"", ""hi"")"),"C) रानी को वापस बोर्ड पर रख दिया जाता है।")</f>
        <v>C) रानी को वापस बोर्ड पर रख दिया जाता है।</v>
      </c>
    </row>
    <row r="134" ht="22.5" customHeight="1">
      <c r="A134" s="2">
        <v>133.0</v>
      </c>
      <c r="B134" s="3" t="s">
        <v>8434</v>
      </c>
      <c r="C134" s="3" t="s">
        <v>8435</v>
      </c>
      <c r="D134" s="3" t="s">
        <v>8247</v>
      </c>
      <c r="F134" s="5" t="str">
        <f>IFERROR(__xludf.DUMMYFUNCTION("GOOGLETRANSLATE(A134, ""en"", ""hi"")"),"133")</f>
        <v>133</v>
      </c>
      <c r="G134" s="5" t="str">
        <f>IFERROR(__xludf.DUMMYFUNCTION("GOOGLETRANSLATE(B134, ""en"", ""hi"")"),"कैरम खेल में, खिलाड़ी A, क्वीन को पॉकेट में डालने के बाद स्ट्राइकर को पॉकेट में डालकर फ़ाउल करता है। क्या होता है?")</f>
        <v>कैरम खेल में, खिलाड़ी A, क्वीन को पॉकेट में डालने के बाद स्ट्राइकर को पॉकेट में डालकर फ़ाउल करता है। क्या होता है?</v>
      </c>
      <c r="H134" s="5" t="str">
        <f>IFERROR(__xludf.DUMMYFUNCTION("GOOGLETRANSLATE(C134, ""en"", ""hi"")"),"ए) खिलाड़ी ए रानी और अपनी बारी खो देता है।, बी) खिलाड़ी ए खेल जीत जाता है।, सी) स्ट्राइकर वापस कर दिया जाता है, और खिलाड़ी ए खेल जारी रखता है।, डी) खिलाड़ी ए केवल स्ट्राइकर खो देता है।")</f>
        <v>ए) खिलाड़ी ए रानी और अपनी बारी खो देता है।, बी) खिलाड़ी ए खेल जीत जाता है।, सी) स्ट्राइकर वापस कर दिया जाता है, और खिलाड़ी ए खेल जारी रखता है।, डी) खिलाड़ी ए केवल स्ट्राइकर खो देता है।</v>
      </c>
      <c r="I134" s="5" t="str">
        <f>IFERROR(__xludf.DUMMYFUNCTION("GOOGLETRANSLATE(D134, ""en"", ""hi"")"),"A) खिलाड़ी A रानी और अपनी बारी खो देता है।")</f>
        <v>A) खिलाड़ी A रानी और अपनी बारी खो देता है।</v>
      </c>
    </row>
    <row r="135" ht="22.5" customHeight="1">
      <c r="A135" s="2">
        <v>134.0</v>
      </c>
      <c r="B135" s="3" t="s">
        <v>8436</v>
      </c>
      <c r="C135" s="3" t="s">
        <v>8437</v>
      </c>
      <c r="D135" s="3" t="s">
        <v>8438</v>
      </c>
      <c r="F135" s="5" t="str">
        <f>IFERROR(__xludf.DUMMYFUNCTION("GOOGLETRANSLATE(A135, ""en"", ""hi"")"),"134")</f>
        <v>134</v>
      </c>
      <c r="G135" s="5" t="str">
        <f>IFERROR(__xludf.DUMMYFUNCTION("GOOGLETRANSLATE(B135, ""en"", ""hi"")"),"खिलाड़ी A रानी को पॉकेट में डालने की कोशिश में गलती से विरोधी पक्ष का मोहरा पॉकेट में डाल देता है। आगे क्या होता है?")</f>
        <v>खिलाड़ी A रानी को पॉकेट में डालने की कोशिश में गलती से विरोधी पक्ष का मोहरा पॉकेट में डाल देता है। आगे क्या होता है?</v>
      </c>
      <c r="H135" s="5" t="str">
        <f>IFERROR(__xludf.DUMMYFUNCTION("GOOGLETRANSLATE(C135, ""en"", ""hi"")"),"A) खिलाड़ी A अपनी बारी और रानी खो देता है। , B) खिलाड़ी A खेल जीत जाता है। , C) खिलाड़ी A को प्रतिद्वंद्वी के मोहरे को बोर्ड पर वापस करना होगा। , D) खिलाड़ी A अपनी बारी जारी रख सकता है।")</f>
        <v>A) खिलाड़ी A अपनी बारी और रानी खो देता है। , B) खिलाड़ी A खेल जीत जाता है। , C) खिलाड़ी A को प्रतिद्वंद्वी के मोहरे को बोर्ड पर वापस करना होगा। , D) खिलाड़ी A अपनी बारी जारी रख सकता है।</v>
      </c>
      <c r="I135" s="5" t="str">
        <f>IFERROR(__xludf.DUMMYFUNCTION("GOOGLETRANSLATE(D135, ""en"", ""hi"")"),"A) खिलाड़ी A अपनी बारी और रानी खो देता है।")</f>
        <v>A) खिलाड़ी A अपनी बारी और रानी खो देता है।</v>
      </c>
    </row>
    <row r="136" ht="22.5" customHeight="1">
      <c r="A136" s="2">
        <v>135.0</v>
      </c>
      <c r="B136" s="3" t="s">
        <v>8439</v>
      </c>
      <c r="C136" s="3" t="s">
        <v>8440</v>
      </c>
      <c r="D136" s="3" t="s">
        <v>8441</v>
      </c>
      <c r="F136" s="5" t="str">
        <f>IFERROR(__xludf.DUMMYFUNCTION("GOOGLETRANSLATE(A136, ""en"", ""hi"")"),"135")</f>
        <v>135</v>
      </c>
      <c r="G136" s="5" t="str">
        <f>IFERROR(__xludf.DUMMYFUNCTION("GOOGLETRANSLATE(B136, ""en"", ""hi"")"),"खिलाड़ी B स्ट्राइकर को पॉकेट में डालते हुए रानी को बोर्ड से गिरा देता है। नियम क्या है?")</f>
        <v>खिलाड़ी B स्ट्राइकर को पॉकेट में डालते हुए रानी को बोर्ड से गिरा देता है। नियम क्या है?</v>
      </c>
      <c r="H136" s="5" t="str">
        <f>IFERROR(__xludf.DUMMYFUNCTION("GOOGLETRANSLATE(C136, ""en"", ""hi"")"),"ए) खिलाड़ी बी रानी और स्ट्राइकर खो देता है। , बी) खिलाड़ी बी खेल जीत जाता है। , सी) स्ट्राइकर को वापस रखा जाता है, और खिलाड़ी बी खेल जारी रखता है। , डी) रानी बोर्ड से बाहर रहती है।")</f>
        <v>ए) खिलाड़ी बी रानी और स्ट्राइकर खो देता है। , बी) खिलाड़ी बी खेल जीत जाता है। , सी) स्ट्राइकर को वापस रखा जाता है, और खिलाड़ी बी खेल जारी रखता है। , डी) रानी बोर्ड से बाहर रहती है।</v>
      </c>
      <c r="I136" s="5" t="str">
        <f>IFERROR(__xludf.DUMMYFUNCTION("GOOGLETRANSLATE(D136, ""en"", ""hi"")"),"A) खिलाड़ी B रानी और स्ट्राइकर खो देता है।")</f>
        <v>A) खिलाड़ी B रानी और स्ट्राइकर खो देता है।</v>
      </c>
    </row>
    <row r="137" ht="22.5" customHeight="1">
      <c r="A137" s="2">
        <v>136.0</v>
      </c>
      <c r="B137" s="3" t="s">
        <v>8442</v>
      </c>
      <c r="C137" s="3" t="s">
        <v>8443</v>
      </c>
      <c r="D137" s="3" t="s">
        <v>8444</v>
      </c>
      <c r="F137" s="5" t="str">
        <f>IFERROR(__xludf.DUMMYFUNCTION("GOOGLETRANSLATE(A137, ""en"", ""hi"")"),"136")</f>
        <v>136</v>
      </c>
      <c r="G137" s="5" t="str">
        <f>IFERROR(__xludf.DUMMYFUNCTION("GOOGLETRANSLATE(B137, ""en"", ""hi"")"),"खिलाड़ी A रानी और आखिरी मोहरे को पॉकेट में डाल देता है, लेकिन स्ट्राइकर को हाथ से छूकर फ़ाउल कर देता है। क्या होता है?")</f>
        <v>खिलाड़ी A रानी और आखिरी मोहरे को पॉकेट में डाल देता है, लेकिन स्ट्राइकर को हाथ से छूकर फ़ाउल कर देता है। क्या होता है?</v>
      </c>
      <c r="H137" s="5" t="str">
        <f>IFERROR(__xludf.DUMMYFUNCTION("GOOGLETRANSLATE(C137, ""en"", ""hi"")"),"A) खिलाड़ी A रानी खो देता है और उसे अंतिम मोहरा वापस करना पड़ता है। , B) खिलाड़ी A खेल जीत जाता है। , C) खिलाड़ी A को चेतावनी मिलती है और वह खेल जारी रखता है। , D) खिलाड़ी A केवल रानी खोता है।")</f>
        <v>A) खिलाड़ी A रानी खो देता है और उसे अंतिम मोहरा वापस करना पड़ता है। , B) खिलाड़ी A खेल जीत जाता है। , C) खिलाड़ी A को चेतावनी मिलती है और वह खेल जारी रखता है। , D) खिलाड़ी A केवल रानी खोता है।</v>
      </c>
      <c r="I137" s="5" t="str">
        <f>IFERROR(__xludf.DUMMYFUNCTION("GOOGLETRANSLATE(D137, ""en"", ""hi"")"),"A) खिलाड़ी A रानी हार जाता है और उसे अंतिम मोहरा वापस करना पड़ता है।")</f>
        <v>A) खिलाड़ी A रानी हार जाता है और उसे अंतिम मोहरा वापस करना पड़ता है।</v>
      </c>
    </row>
    <row r="138" ht="22.5" customHeight="1">
      <c r="A138" s="2">
        <v>137.0</v>
      </c>
      <c r="B138" s="3" t="s">
        <v>8445</v>
      </c>
      <c r="C138" s="3" t="s">
        <v>8446</v>
      </c>
      <c r="D138" s="3" t="s">
        <v>8447</v>
      </c>
      <c r="F138" s="5" t="str">
        <f>IFERROR(__xludf.DUMMYFUNCTION("GOOGLETRANSLATE(A138, ""en"", ""hi"")"),"137")</f>
        <v>137</v>
      </c>
      <c r="G138" s="5" t="str">
        <f>IFERROR(__xludf.DUMMYFUNCTION("GOOGLETRANSLATE(B138, ""en"", ""hi"")"),"कैरम मैच के दौरान, खिलाड़ी B आखिरी काली गोटी तो पॉकेट में डाल देता है, लेकिन रानी को पॉकेट में नहीं डाल पाता। क्या होता है?")</f>
        <v>कैरम मैच के दौरान, खिलाड़ी B आखिरी काली गोटी तो पॉकेट में डाल देता है, लेकिन रानी को पॉकेट में नहीं डाल पाता। क्या होता है?</v>
      </c>
      <c r="H138" s="5" t="str">
        <f>IFERROR(__xludf.DUMMYFUNCTION("GOOGLETRANSLATE(C138, ""en"", ""hi"")"),"A) खिलाड़ी B को अंतिम काला मोहरा बोर्ड पर वापस लाना होगा। , B) खिलाड़ी B खेल जीत जाता है। , C) खेल रानी के बिना जारी रहता है। , D) खिलाड़ी B को रानी को पॉकेट में डालने का एक और मौका मिलता है।")</f>
        <v>A) खिलाड़ी B को अंतिम काला मोहरा बोर्ड पर वापस लाना होगा। , B) खिलाड़ी B खेल जीत जाता है। , C) खेल रानी के बिना जारी रहता है। , D) खिलाड़ी B को रानी को पॉकेट में डालने का एक और मौका मिलता है।</v>
      </c>
      <c r="I138" s="5" t="str">
        <f>IFERROR(__xludf.DUMMYFUNCTION("GOOGLETRANSLATE(D138, ""en"", ""hi"")"),"A) खिलाड़ी B को अंतिम काला मोहरा बोर्ड पर वापस लाना होगा।")</f>
        <v>A) खिलाड़ी B को अंतिम काला मोहरा बोर्ड पर वापस लाना होगा।</v>
      </c>
    </row>
    <row r="139" ht="22.5" customHeight="1">
      <c r="A139" s="2">
        <v>138.0</v>
      </c>
      <c r="B139" s="3" t="s">
        <v>8448</v>
      </c>
      <c r="C139" s="3" t="s">
        <v>8449</v>
      </c>
      <c r="D139" s="3" t="s">
        <v>8450</v>
      </c>
      <c r="F139" s="5" t="str">
        <f>IFERROR(__xludf.DUMMYFUNCTION("GOOGLETRANSLATE(A139, ""en"", ""hi"")"),"138")</f>
        <v>138</v>
      </c>
      <c r="G139" s="5" t="str">
        <f>IFERROR(__xludf.DUMMYFUNCTION("GOOGLETRANSLATE(B139, ""en"", ""hi"")"),"खिलाड़ी A गलती से रानी को प्रतिद्वंद्वी की जेब में डाल देता है। इसका क्या नियम है?")</f>
        <v>खिलाड़ी A गलती से रानी को प्रतिद्वंद्वी की जेब में डाल देता है। इसका क्या नियम है?</v>
      </c>
      <c r="H139" s="5" t="str">
        <f>IFERROR(__xludf.DUMMYFUNCTION("GOOGLETRANSLATE(C139, ""en"", ""hi"")"),"A) रानी को वापस बोर्ड पर रख दिया जाता है। , B) खिलाड़ी A रानी को खो देता है। , C) खिलाड़ी A खेल जीत जाता है। , D) खिलाड़ी A को अपने एक मोहरे को बोर्ड पर वापस लाना होगा।")</f>
        <v>A) रानी को वापस बोर्ड पर रख दिया जाता है। , B) खिलाड़ी A रानी को खो देता है। , C) खिलाड़ी A खेल जीत जाता है। , D) खिलाड़ी A को अपने एक मोहरे को बोर्ड पर वापस लाना होगा।</v>
      </c>
      <c r="I139" s="5" t="str">
        <f>IFERROR(__xludf.DUMMYFUNCTION("GOOGLETRANSLATE(D139, ""en"", ""hi"")"),"A) रानी को वापस बोर्ड पर रख दिया जाता है।")</f>
        <v>A) रानी को वापस बोर्ड पर रख दिया जाता है।</v>
      </c>
    </row>
    <row r="140" ht="22.5" customHeight="1">
      <c r="A140" s="2">
        <v>139.0</v>
      </c>
      <c r="B140" s="3" t="s">
        <v>8451</v>
      </c>
      <c r="C140" s="3" t="s">
        <v>8452</v>
      </c>
      <c r="D140" s="3" t="s">
        <v>8453</v>
      </c>
      <c r="F140" s="5" t="str">
        <f>IFERROR(__xludf.DUMMYFUNCTION("GOOGLETRANSLATE(A140, ""en"", ""hi"")"),"139")</f>
        <v>139</v>
      </c>
      <c r="G140" s="5" t="str">
        <f>IFERROR(__xludf.DUMMYFUNCTION("GOOGLETRANSLATE(B140, ""en"", ""hi"")"),"खिलाड़ी B स्ट्राइक करता है और रानी स्ट्राइकर से टकराकर बोर्ड से गिर जाती है। क्या होगा?")</f>
        <v>खिलाड़ी B स्ट्राइक करता है और रानी स्ट्राइकर से टकराकर बोर्ड से गिर जाती है। क्या होगा?</v>
      </c>
      <c r="H140" s="5" t="str">
        <f>IFERROR(__xludf.DUMMYFUNCTION("GOOGLETRANSLATE(C140, ""en"", ""hi"")"),"A) रानी को वापस केंद्र में रख दिया जाता है। , B) खिलाड़ी B रानी को खो देता है। , C) खिलाड़ी B खेल जीत जाता है। , D) खिलाड़ी B अपनी बारी खो देता है।")</f>
        <v>A) रानी को वापस केंद्र में रख दिया जाता है। , B) खिलाड़ी B रानी को खो देता है। , C) खिलाड़ी B खेल जीत जाता है। , D) खिलाड़ी B अपनी बारी खो देता है।</v>
      </c>
      <c r="I140" s="5" t="str">
        <f>IFERROR(__xludf.DUMMYFUNCTION("GOOGLETRANSLATE(D140, ""en"", ""hi"")"),"A) रानी को वापस केंद्र में रखा गया है।")</f>
        <v>A) रानी को वापस केंद्र में रखा गया है।</v>
      </c>
    </row>
    <row r="141" ht="22.5" customHeight="1">
      <c r="A141" s="2">
        <v>140.0</v>
      </c>
      <c r="B141" s="3" t="s">
        <v>8454</v>
      </c>
      <c r="C141" s="3" t="s">
        <v>8418</v>
      </c>
      <c r="D141" s="3" t="s">
        <v>8419</v>
      </c>
      <c r="F141" s="5" t="str">
        <f>IFERROR(__xludf.DUMMYFUNCTION("GOOGLETRANSLATE(A141, ""en"", ""hi"")"),"140")</f>
        <v>140</v>
      </c>
      <c r="G141" s="5" t="str">
        <f>IFERROR(__xludf.DUMMYFUNCTION("GOOGLETRANSLATE(B141, ""en"", ""hi"")"),"कैरम मैच में, खिलाड़ी A, रानी को कवर किए बिना अपनी आखिरी गोटी पॉकेट में डाल देता है। परिणाम क्या होता है?")</f>
        <v>कैरम मैच में, खिलाड़ी A, रानी को कवर किए बिना अपनी आखिरी गोटी पॉकेट में डाल देता है। परिणाम क्या होता है?</v>
      </c>
      <c r="H141" s="5" t="str">
        <f>IFERROR(__xludf.DUMMYFUNCTION("GOOGLETRANSLATE(C141, ""en"", ""hi"")"),"A) खिलाड़ी A खेल हार जाता है। , B) रानी को वापस रख दिया जाता है, और खिलाड़ी A को फिर से प्रयास करना होगा। , C) खिलाड़ी A को बोर्ड पर अंतिम टुकड़ा वापस करना होगा। , D) रानी के खेल में रहते हुए खेल जारी रहता है।")</f>
        <v>A) खिलाड़ी A खेल हार जाता है। , B) रानी को वापस रख दिया जाता है, और खिलाड़ी A को फिर से प्रयास करना होगा। , C) खिलाड़ी A को बोर्ड पर अंतिम टुकड़ा वापस करना होगा। , D) रानी के खेल में रहते हुए खेल जारी रहता है।</v>
      </c>
      <c r="I141" s="5" t="str">
        <f>IFERROR(__xludf.DUMMYFUNCTION("GOOGLETRANSLATE(D141, ""en"", ""hi"")"),"बी) रानी को वापस रख दिया जाता है, और खिलाड़ी ए को फिर से प्रयास करना होगा।")</f>
        <v>बी) रानी को वापस रख दिया जाता है, और खिलाड़ी ए को फिर से प्रयास करना होगा।</v>
      </c>
    </row>
    <row r="142" ht="22.5" customHeight="1">
      <c r="A142" s="2">
        <v>141.0</v>
      </c>
      <c r="B142" s="3" t="s">
        <v>8455</v>
      </c>
      <c r="C142" s="3" t="s">
        <v>8456</v>
      </c>
      <c r="D142" s="3" t="s">
        <v>8457</v>
      </c>
      <c r="F142" s="5" t="str">
        <f>IFERROR(__xludf.DUMMYFUNCTION("GOOGLETRANSLATE(A142, ""en"", ""hi"")"),"141")</f>
        <v>141</v>
      </c>
      <c r="G142" s="5" t="str">
        <f>IFERROR(__xludf.DUMMYFUNCTION("GOOGLETRANSLATE(B142, ""en"", ""hi"")"),"खिलाड़ी A स्ट्राइकर को पॉकेट में डाल देता है, लेकिन उसी बारी में रानी को कवर करने में कामयाब हो जाता है। क्या होता है?")</f>
        <v>खिलाड़ी A स्ट्राइकर को पॉकेट में डाल देता है, लेकिन उसी बारी में रानी को कवर करने में कामयाब हो जाता है। क्या होता है?</v>
      </c>
      <c r="H142" s="5" t="str">
        <f>IFERROR(__xludf.DUMMYFUNCTION("GOOGLETRANSLATE(C142, ""en"", ""hi"")"),"A) खिलाड़ी A स्ट्राइकर और रानी दोनों खो देता है। , B) खिलाड़ी A खेल जीत जाता है। , C) खिलाड़ी A को बारी फिर से खेलनी होगी। , D) खिलाड़ी A को एक और मौका मिलता है।")</f>
        <v>A) खिलाड़ी A स्ट्राइकर और रानी दोनों खो देता है। , B) खिलाड़ी A खेल जीत जाता है। , C) खिलाड़ी A को बारी फिर से खेलनी होगी। , D) खिलाड़ी A को एक और मौका मिलता है।</v>
      </c>
      <c r="I142" s="5" t="str">
        <f>IFERROR(__xludf.DUMMYFUNCTION("GOOGLETRANSLATE(D142, ""en"", ""hi"")"),"A) खिलाड़ी A स्ट्राइकर और रानी दोनों खो देता है।")</f>
        <v>A) खिलाड़ी A स्ट्राइकर और रानी दोनों खो देता है।</v>
      </c>
    </row>
    <row r="143" ht="22.5" customHeight="1">
      <c r="A143" s="2">
        <v>142.0</v>
      </c>
      <c r="B143" s="3" t="s">
        <v>8458</v>
      </c>
      <c r="C143" s="3" t="s">
        <v>8459</v>
      </c>
      <c r="D143" s="3" t="s">
        <v>8441</v>
      </c>
      <c r="F143" s="5" t="str">
        <f>IFERROR(__xludf.DUMMYFUNCTION("GOOGLETRANSLATE(A143, ""en"", ""hi"")"),"142")</f>
        <v>142</v>
      </c>
      <c r="G143" s="5" t="str">
        <f>IFERROR(__xludf.DUMMYFUNCTION("GOOGLETRANSLATE(B143, ""en"", ""hi"")"),"खिलाड़ी B ने क्वीन पॉकेट में डाल दी, लेकिन स्ट्राइकर उसी शॉट में बोर्ड से बाहर चला गया। नतीजा क्या हुआ?")</f>
        <v>खिलाड़ी B ने क्वीन पॉकेट में डाल दी, लेकिन स्ट्राइकर उसी शॉट में बोर्ड से बाहर चला गया। नतीजा क्या हुआ?</v>
      </c>
      <c r="H143" s="5" t="str">
        <f>IFERROR(__xludf.DUMMYFUNCTION("GOOGLETRANSLATE(C143, ""en"", ""hi"")"),"ए) खिलाड़ी बी रानी और स्ट्राइकर खो देता है। , बी) खिलाड़ी बी खेल जीत जाता है। , सी) स्ट्राइकर वापस कर दिया जाता है, और खिलाड़ी बी खेल जारी रखता है। , डी) खिलाड़ी बी केवल स्ट्राइकर खो देता है।")</f>
        <v>ए) खिलाड़ी बी रानी और स्ट्राइकर खो देता है। , बी) खिलाड़ी बी खेल जीत जाता है। , सी) स्ट्राइकर वापस कर दिया जाता है, और खिलाड़ी बी खेल जारी रखता है। , डी) खिलाड़ी बी केवल स्ट्राइकर खो देता है।</v>
      </c>
      <c r="I143" s="5" t="str">
        <f>IFERROR(__xludf.DUMMYFUNCTION("GOOGLETRANSLATE(D143, ""en"", ""hi"")"),"A) खिलाड़ी B रानी और स्ट्राइकर खो देता है।")</f>
        <v>A) खिलाड़ी B रानी और स्ट्राइकर खो देता है।</v>
      </c>
    </row>
    <row r="144" ht="22.5" customHeight="1">
      <c r="A144" s="2">
        <v>143.0</v>
      </c>
      <c r="B144" s="3" t="s">
        <v>8460</v>
      </c>
      <c r="C144" s="3" t="s">
        <v>8461</v>
      </c>
      <c r="D144" s="3" t="s">
        <v>8462</v>
      </c>
      <c r="F144" s="5" t="str">
        <f>IFERROR(__xludf.DUMMYFUNCTION("GOOGLETRANSLATE(A144, ""en"", ""hi"")"),"143")</f>
        <v>143</v>
      </c>
      <c r="G144" s="5" t="str">
        <f>IFERROR(__xludf.DUMMYFUNCTION("GOOGLETRANSLATE(B144, ""en"", ""hi"")"),"कैरम खेल के दौरान, खिलाड़ी A अपनी बारी से पहले ही गेंद मारकर फ़ाउल कर देता है और एक मोहरा पॉकेट में चला जाता है। क्या होता है?")</f>
        <v>कैरम खेल के दौरान, खिलाड़ी A अपनी बारी से पहले ही गेंद मारकर फ़ाउल कर देता है और एक मोहरा पॉकेट में चला जाता है। क्या होता है?</v>
      </c>
      <c r="H144" s="5" t="str">
        <f>IFERROR(__xludf.DUMMYFUNCTION("GOOGLETRANSLATE(C144, ""en"", ""hi"")"),"A) खिलाड़ी A अपनी बारी और पॉकेट में डाला गया मोहरा खो देता है। , B) खिलाड़ी A खेल जीत जाता है। , C) खिलाड़ी A को मोहरा बोर्ड पर वापस करना होगा। , D) खिलाड़ी A बिना किसी दंड के खेल जारी रखता है।")</f>
        <v>A) खिलाड़ी A अपनी बारी और पॉकेट में डाला गया मोहरा खो देता है। , B) खिलाड़ी A खेल जीत जाता है। , C) खिलाड़ी A को मोहरा बोर्ड पर वापस करना होगा। , D) खिलाड़ी A बिना किसी दंड के खेल जारी रखता है।</v>
      </c>
      <c r="I144" s="5" t="str">
        <f>IFERROR(__xludf.DUMMYFUNCTION("GOOGLETRANSLATE(D144, ""en"", ""hi"")"),"A) खिलाड़ी A अपनी बारी और जेब में रखा गया मोहरा खो देता है।")</f>
        <v>A) खिलाड़ी A अपनी बारी और जेब में रखा गया मोहरा खो देता है।</v>
      </c>
    </row>
    <row r="145" ht="22.5" customHeight="1">
      <c r="A145" s="2">
        <v>144.0</v>
      </c>
      <c r="B145" s="3" t="s">
        <v>8463</v>
      </c>
      <c r="C145" s="3" t="s">
        <v>8464</v>
      </c>
      <c r="D145" s="3" t="s">
        <v>8465</v>
      </c>
      <c r="F145" s="5" t="str">
        <f>IFERROR(__xludf.DUMMYFUNCTION("GOOGLETRANSLATE(A145, ""en"", ""hi"")"),"144")</f>
        <v>144</v>
      </c>
      <c r="G145" s="5" t="str">
        <f>IFERROR(__xludf.DUMMYFUNCTION("GOOGLETRANSLATE(B145, ""en"", ""hi"")"),"खिलाड़ी A रानी को पॉकेट में डाल देता है, लेकिन गलती से एक और मोहरा बोर्ड से नीचे गिर जाता है। नियम क्या है?")</f>
        <v>खिलाड़ी A रानी को पॉकेट में डाल देता है, लेकिन गलती से एक और मोहरा बोर्ड से नीचे गिर जाता है। नियम क्या है?</v>
      </c>
      <c r="H145" s="5" t="str">
        <f>IFERROR(__xludf.DUMMYFUNCTION("GOOGLETRANSLATE(C145, ""en"", ""hi"")"),"A) खिलाड़ी A रानी खो देता है और गिरा हुआ मोहरा वापस कर दिया जाता है। , B) खिलाड़ी A खेल जीत जाता है। , C) खिलाड़ी A को मोहरा वापस करना होगा लेकिन रानी को अपने पास रखना होगा। , D) खिलाड़ी A को मोहरा जेब में डालने का एक और मौका मिलता है।")</f>
        <v>A) खिलाड़ी A रानी खो देता है और गिरा हुआ मोहरा वापस कर दिया जाता है। , B) खिलाड़ी A खेल जीत जाता है। , C) खिलाड़ी A को मोहरा वापस करना होगा लेकिन रानी को अपने पास रखना होगा। , D) खिलाड़ी A को मोहरा जेब में डालने का एक और मौका मिलता है।</v>
      </c>
      <c r="I145" s="5" t="str">
        <f>IFERROR(__xludf.DUMMYFUNCTION("GOOGLETRANSLATE(D145, ""en"", ""hi"")"),"A) खिलाड़ी A रानी हार जाता है और गिरा हुआ मोहरा वापस कर दिया जाता है।")</f>
        <v>A) खिलाड़ी A रानी हार जाता है और गिरा हुआ मोहरा वापस कर दिया जाता है।</v>
      </c>
    </row>
    <row r="146" ht="22.5" customHeight="1">
      <c r="A146" s="2">
        <v>145.0</v>
      </c>
      <c r="B146" s="3" t="s">
        <v>8466</v>
      </c>
      <c r="C146" s="3" t="s">
        <v>8467</v>
      </c>
      <c r="D146" s="3" t="s">
        <v>8468</v>
      </c>
      <c r="F146" s="5" t="str">
        <f>IFERROR(__xludf.DUMMYFUNCTION("GOOGLETRANSLATE(A146, ""en"", ""hi"")"),"145")</f>
        <v>145</v>
      </c>
      <c r="G146" s="5" t="str">
        <f>IFERROR(__xludf.DUMMYFUNCTION("GOOGLETRANSLATE(B146, ""en"", ""hi"")"),"कैरम खेल में, खिलाड़ी B सफ़ेद मोहरा पॉकेट में डालता है, लेकिन स्ट्राइकर को बोर्ड से बाहर भी कर देता है। क्या होता है?")</f>
        <v>कैरम खेल में, खिलाड़ी B सफ़ेद मोहरा पॉकेट में डालता है, लेकिन स्ट्राइकर को बोर्ड से बाहर भी कर देता है। क्या होता है?</v>
      </c>
      <c r="H146" s="5" t="str">
        <f>IFERROR(__xludf.DUMMYFUNCTION("GOOGLETRANSLATE(C146, ""en"", ""hi"")"),"A) खिलाड़ी B अपनी बारी और सफेद मोहरा खो देता है। , B) खिलाड़ी B खेल जीत जाता है। , C) खिलाड़ी B को स्ट्राइकर को बोर्ड पर वापस लाना होगा। , D) खिलाड़ी B बिना पेनल्टी के खेल जारी रखता है।")</f>
        <v>A) खिलाड़ी B अपनी बारी और सफेद मोहरा खो देता है। , B) खिलाड़ी B खेल जीत जाता है। , C) खिलाड़ी B को स्ट्राइकर को बोर्ड पर वापस लाना होगा। , D) खिलाड़ी B बिना पेनल्टी के खेल जारी रखता है।</v>
      </c>
      <c r="I146" s="5" t="str">
        <f>IFERROR(__xludf.DUMMYFUNCTION("GOOGLETRANSLATE(D146, ""en"", ""hi"")"),"A) खिलाड़ी B अपनी बारी और सफ़ेद मोहरा खो देता है।")</f>
        <v>A) खिलाड़ी B अपनी बारी और सफ़ेद मोहरा खो देता है।</v>
      </c>
    </row>
    <row r="147" ht="22.5" customHeight="1">
      <c r="A147" s="2">
        <v>146.0</v>
      </c>
      <c r="B147" s="3" t="s">
        <v>8469</v>
      </c>
      <c r="C147" s="3" t="s">
        <v>8470</v>
      </c>
      <c r="D147" s="3" t="s">
        <v>8211</v>
      </c>
      <c r="F147" s="5" t="str">
        <f>IFERROR(__xludf.DUMMYFUNCTION("GOOGLETRANSLATE(A147, ""en"", ""hi"")"),"146")</f>
        <v>146</v>
      </c>
      <c r="G147" s="5" t="str">
        <f>IFERROR(__xludf.DUMMYFUNCTION("GOOGLETRANSLATE(B147, ""en"", ""hi"")"),"खिलाड़ी A रानी को पॉकेट में डाल देता है, लेकिन शॉट से पहले घोषणा करना भूल जाता है। नतीजा क्या होता है?")</f>
        <v>खिलाड़ी A रानी को पॉकेट में डाल देता है, लेकिन शॉट से पहले घोषणा करना भूल जाता है। नतीजा क्या होता है?</v>
      </c>
      <c r="H147" s="5" t="str">
        <f>IFERROR(__xludf.DUMMYFUNCTION("GOOGLETRANSLATE(C147, ""en"", ""hi"")"),"A) खिलाड़ी A रानी खो देता है। , B) खिलाड़ी A खेल जीत जाता है। , C) खिलाड़ी A को घोषणा करनी होगी और फिर से वार करना होगा। , D) रानी को वापस बोर्ड पर रख दिया जाता है।")</f>
        <v>A) खिलाड़ी A रानी खो देता है। , B) खिलाड़ी A खेल जीत जाता है। , C) खिलाड़ी A को घोषणा करनी होगी और फिर से वार करना होगा। , D) रानी को वापस बोर्ड पर रख दिया जाता है।</v>
      </c>
      <c r="I147" s="5" t="str">
        <f>IFERROR(__xludf.DUMMYFUNCTION("GOOGLETRANSLATE(D147, ""en"", ""hi"")"),"A) खिलाड़ी A रानी खो देता है।")</f>
        <v>A) खिलाड़ी A रानी खो देता है।</v>
      </c>
    </row>
    <row r="148" ht="22.5" customHeight="1">
      <c r="A148" s="2">
        <v>147.0</v>
      </c>
      <c r="B148" s="3" t="s">
        <v>8471</v>
      </c>
      <c r="C148" s="3" t="s">
        <v>8472</v>
      </c>
      <c r="D148" s="3" t="s">
        <v>8205</v>
      </c>
      <c r="F148" s="5" t="str">
        <f>IFERROR(__xludf.DUMMYFUNCTION("GOOGLETRANSLATE(A148, ""en"", ""hi"")"),"147")</f>
        <v>147</v>
      </c>
      <c r="G148" s="5" t="str">
        <f>IFERROR(__xludf.DUMMYFUNCTION("GOOGLETRANSLATE(B148, ""en"", ""hi"")"),"कैरम मैच के दौरान, खिलाड़ी B आखिरी गोटी पॉकेट में डाल देता है, लेकिन रानी को कवर नहीं करता। क्या होगा?")</f>
        <v>कैरम मैच के दौरान, खिलाड़ी B आखिरी गोटी पॉकेट में डाल देता है, लेकिन रानी को कवर नहीं करता। क्या होगा?</v>
      </c>
      <c r="H148" s="5" t="str">
        <f>IFERROR(__xludf.DUMMYFUNCTION("GOOGLETRANSLATE(C148, ""en"", ""hi"")"),"A) खिलाड़ी B खेल हार जाता है। , B) रानी को वापस बोर्ड पर रख दिया जाता है। , C) खिलाड़ी B को अंतिम मोहरा बोर्ड पर वापस करना होगा। , D) मैच जारी रहता है।")</f>
        <v>A) खिलाड़ी B खेल हार जाता है। , B) रानी को वापस बोर्ड पर रख दिया जाता है। , C) खिलाड़ी B को अंतिम मोहरा बोर्ड पर वापस करना होगा। , D) मैच जारी रहता है।</v>
      </c>
      <c r="I148" s="5" t="str">
        <f>IFERROR(__xludf.DUMMYFUNCTION("GOOGLETRANSLATE(D148, ""en"", ""hi"")"),"बी) रानी को वापस बोर्ड पर रख दिया जाता है।")</f>
        <v>बी) रानी को वापस बोर्ड पर रख दिया जाता है।</v>
      </c>
    </row>
    <row r="149" ht="22.5" customHeight="1">
      <c r="A149" s="2">
        <v>148.0</v>
      </c>
      <c r="B149" s="3" t="s">
        <v>8473</v>
      </c>
      <c r="C149" s="3" t="s">
        <v>8474</v>
      </c>
      <c r="D149" s="3" t="s">
        <v>8211</v>
      </c>
      <c r="F149" s="5" t="str">
        <f>IFERROR(__xludf.DUMMYFUNCTION("GOOGLETRANSLATE(A149, ""en"", ""hi"")"),"148")</f>
        <v>148</v>
      </c>
      <c r="G149" s="5" t="str">
        <f>IFERROR(__xludf.DUMMYFUNCTION("GOOGLETRANSLATE(B149, ""en"", ""hi"")"),"खिलाड़ी A, रानी को पॉकेट में डालते हुए स्ट्राइकर को पॉकेट में डाल देता है। नियम क्या है?")</f>
        <v>खिलाड़ी A, रानी को पॉकेट में डालते हुए स्ट्राइकर को पॉकेट में डाल देता है। नियम क्या है?</v>
      </c>
      <c r="H149" s="5" t="str">
        <f>IFERROR(__xludf.DUMMYFUNCTION("GOOGLETRANSLATE(C149, ""en"", ""hi"")"),"A) खिलाड़ी A रानी खो देता है। , B) खिलाड़ी A खेल जीत जाता है। , C) खिलाड़ी A बिना पेनल्टी के खेल जारी रखता है। , D) स्ट्राइकर को वापस बोर्ड पर रख दिया जाता है।")</f>
        <v>A) खिलाड़ी A रानी खो देता है। , B) खिलाड़ी A खेल जीत जाता है। , C) खिलाड़ी A बिना पेनल्टी के खेल जारी रखता है। , D) स्ट्राइकर को वापस बोर्ड पर रख दिया जाता है।</v>
      </c>
      <c r="I149" s="5" t="str">
        <f>IFERROR(__xludf.DUMMYFUNCTION("GOOGLETRANSLATE(D149, ""en"", ""hi"")"),"A) खिलाड़ी A रानी खो देता है।")</f>
        <v>A) खिलाड़ी A रानी खो देता है।</v>
      </c>
    </row>
    <row r="150" ht="22.5" customHeight="1">
      <c r="A150" s="2">
        <v>149.0</v>
      </c>
      <c r="B150" s="3" t="s">
        <v>8475</v>
      </c>
      <c r="C150" s="3" t="s">
        <v>8427</v>
      </c>
      <c r="D150" s="3" t="s">
        <v>8422</v>
      </c>
      <c r="F150" s="5" t="str">
        <f>IFERROR(__xludf.DUMMYFUNCTION("GOOGLETRANSLATE(A150, ""en"", ""hi"")"),"149")</f>
        <v>149</v>
      </c>
      <c r="G150" s="5" t="str">
        <f>IFERROR(__xludf.DUMMYFUNCTION("GOOGLETRANSLATE(B150, ""en"", ""hi"")"),"खिलाड़ी B प्रतिद्वंद्वी के मोहरे को पॉकेट में डालता है, लेकिन रानी को भी कवर करता है। परिणाम क्या होता है?")</f>
        <v>खिलाड़ी B प्रतिद्वंद्वी के मोहरे को पॉकेट में डालता है, लेकिन रानी को भी कवर करता है। परिणाम क्या होता है?</v>
      </c>
      <c r="H150" s="5" t="str">
        <f>IFERROR(__xludf.DUMMYFUNCTION("GOOGLETRANSLATE(C150, ""en"", ""hi"")"),"ए) खिलाड़ी बी रानी खो देता है।, बी) खिलाड़ी बी खेल जीत जाता है।, सी) खिलाड़ी बी को प्रतिद्वंद्वी के मोहरे को बोर्ड पर वापस करना होगा।, डी) खिलाड़ी बी बिना दंड के खेल जारी रखता है।")</f>
        <v>ए) खिलाड़ी बी रानी खो देता है।, बी) खिलाड़ी बी खेल जीत जाता है।, सी) खिलाड़ी बी को प्रतिद्वंद्वी के मोहरे को बोर्ड पर वापस करना होगा।, डी) खिलाड़ी बी बिना दंड के खेल जारी रखता है।</v>
      </c>
      <c r="I150" s="5" t="str">
        <f>IFERROR(__xludf.DUMMYFUNCTION("GOOGLETRANSLATE(D150, ""en"", ""hi"")"),"A) खिलाड़ी B रानी खो देता है।")</f>
        <v>A) खिलाड़ी B रानी खो देता है।</v>
      </c>
    </row>
    <row r="151" ht="22.5" customHeight="1">
      <c r="A151" s="2">
        <v>150.0</v>
      </c>
      <c r="B151" s="3" t="s">
        <v>8476</v>
      </c>
      <c r="C151" s="3" t="s">
        <v>8477</v>
      </c>
      <c r="D151" s="3" t="s">
        <v>7785</v>
      </c>
      <c r="F151" s="5" t="str">
        <f>IFERROR(__xludf.DUMMYFUNCTION("GOOGLETRANSLATE(A151, ""en"", ""hi"")"),"150")</f>
        <v>150</v>
      </c>
      <c r="G151" s="5" t="str">
        <f>IFERROR(__xludf.DUMMYFUNCTION("GOOGLETRANSLATE(B151, ""en"", ""hi"")"),"कैरम के खेल में, खिलाड़ी A, रानी को पॉकेट में डालता है और फिर तुरंत एक काली मोहरी को पॉकेट में डालता है। परिणाम क्या होता है?")</f>
        <v>कैरम के खेल में, खिलाड़ी A, रानी को पॉकेट में डालता है और फिर तुरंत एक काली मोहरी को पॉकेट में डालता है। परिणाम क्या होता है?</v>
      </c>
      <c r="H151" s="5" t="str">
        <f>IFERROR(__xludf.DUMMYFUNCTION("GOOGLETRANSLATE(C151, ""en"", ""hi"")"),"A) खिलाड़ी A खेल जीत जाता है। , B) खिलाड़ी A रानी खो देता है। , C) खिलाड़ी A को एक और काला मोहरा जेब में डालना होगा। , D) खिलाड़ी A की बारी जारी रहती है।")</f>
        <v>A) खिलाड़ी A खेल जीत जाता है। , B) खिलाड़ी A रानी खो देता है। , C) खिलाड़ी A को एक और काला मोहरा जेब में डालना होगा। , D) खिलाड़ी A की बारी जारी रहती है।</v>
      </c>
      <c r="I151" s="5" t="str">
        <f>IFERROR(__xludf.DUMMYFUNCTION("GOOGLETRANSLATE(D151, ""en"", ""hi"")"),"A) खिलाड़ी A खेल जीतता है।")</f>
        <v>A) खिलाड़ी A खेल जीतता है।</v>
      </c>
    </row>
    <row r="152" ht="22.5" customHeight="1">
      <c r="A152" s="2">
        <v>151.0</v>
      </c>
      <c r="B152" s="3" t="s">
        <v>8478</v>
      </c>
      <c r="C152" s="3" t="s">
        <v>8479</v>
      </c>
      <c r="D152" s="3" t="s">
        <v>8480</v>
      </c>
      <c r="F152" s="5" t="str">
        <f>IFERROR(__xludf.DUMMYFUNCTION("GOOGLETRANSLATE(A152, ""en"", ""hi"")"),"151")</f>
        <v>151</v>
      </c>
      <c r="G152" s="5" t="str">
        <f>IFERROR(__xludf.DUMMYFUNCTION("GOOGLETRANSLATE(B152, ""en"", ""hi"")"),"कैरम मैच के दौरान, खिलाड़ी A एक मोहरा पॉकेट में डाल देता है, लेकिन रानी को बोर्ड से नीचे गिरा देता है। सही नियम क्या है?")</f>
        <v>कैरम मैच के दौरान, खिलाड़ी A एक मोहरा पॉकेट में डाल देता है, लेकिन रानी को बोर्ड से नीचे गिरा देता है। सही नियम क्या है?</v>
      </c>
      <c r="H152" s="5" t="str">
        <f>IFERROR(__xludf.DUMMYFUNCTION("GOOGLETRANSLATE(C152, ""en"", ""hi"")"),"A) खिलाड़ी A अपनी बारी खो देता है। , B) रानी को वापस केंद्र में रख दिया जाता है। , C) खिलाड़ी A खेल जीत जाता है। , D) खिलाड़ी A को एक अंक का दंड दिया जाता है।")</f>
        <v>A) खिलाड़ी A अपनी बारी खो देता है। , B) रानी को वापस केंद्र में रख दिया जाता है। , C) खिलाड़ी A खेल जीत जाता है। , D) खिलाड़ी A को एक अंक का दंड दिया जाता है।</v>
      </c>
      <c r="I152" s="5" t="str">
        <f>IFERROR(__xludf.DUMMYFUNCTION("GOOGLETRANSLATE(D152, ""en"", ""hi"")"),"बी) रानी को वापस केंद्र में रखा गया है।")</f>
        <v>बी) रानी को वापस केंद्र में रखा गया है।</v>
      </c>
    </row>
    <row r="153" ht="22.5" customHeight="1">
      <c r="A153" s="2">
        <v>152.0</v>
      </c>
      <c r="B153" s="3" t="s">
        <v>8481</v>
      </c>
      <c r="C153" s="3" t="s">
        <v>8482</v>
      </c>
      <c r="D153" s="3" t="s">
        <v>8422</v>
      </c>
      <c r="F153" s="5" t="str">
        <f>IFERROR(__xludf.DUMMYFUNCTION("GOOGLETRANSLATE(A153, ""en"", ""hi"")"),"152")</f>
        <v>152</v>
      </c>
      <c r="G153" s="5" t="str">
        <f>IFERROR(__xludf.DUMMYFUNCTION("GOOGLETRANSLATE(B153, ""en"", ""hi"")"),"खिलाड़ी B ने क्वीन को पॉकेट में डाल दिया, लेकिन स्ट्राइकर पॉकेट में चला गया। अब क्या होगा?")</f>
        <v>खिलाड़ी B ने क्वीन को पॉकेट में डाल दिया, लेकिन स्ट्राइकर पॉकेट में चला गया। अब क्या होगा?</v>
      </c>
      <c r="H153" s="5" t="str">
        <f>IFERROR(__xludf.DUMMYFUNCTION("GOOGLETRANSLATE(C153, ""en"", ""hi"")"),"A) खिलाड़ी B रानी खो देता है। , B) खिलाड़ी B खेल जीत जाता है। , C) खिलाड़ी B को शॉट फिर से खेलना होगा। , D) खिलाड़ी B को अगली बारी में रानी को कवर करना होगा।")</f>
        <v>A) खिलाड़ी B रानी खो देता है। , B) खिलाड़ी B खेल जीत जाता है। , C) खिलाड़ी B को शॉट फिर से खेलना होगा। , D) खिलाड़ी B को अगली बारी में रानी को कवर करना होगा।</v>
      </c>
      <c r="I153" s="5" t="str">
        <f>IFERROR(__xludf.DUMMYFUNCTION("GOOGLETRANSLATE(D153, ""en"", ""hi"")"),"A) खिलाड़ी B रानी खो देता है।")</f>
        <v>A) खिलाड़ी B रानी खो देता है।</v>
      </c>
    </row>
    <row r="154" ht="22.5" customHeight="1">
      <c r="A154" s="2">
        <v>153.0</v>
      </c>
      <c r="B154" s="3" t="s">
        <v>8483</v>
      </c>
      <c r="C154" s="3" t="s">
        <v>8484</v>
      </c>
      <c r="D154" s="3" t="s">
        <v>8485</v>
      </c>
      <c r="F154" s="5" t="str">
        <f>IFERROR(__xludf.DUMMYFUNCTION("GOOGLETRANSLATE(A154, ""en"", ""hi"")"),"153")</f>
        <v>153</v>
      </c>
      <c r="G154" s="5" t="str">
        <f>IFERROR(__xludf.DUMMYFUNCTION("GOOGLETRANSLATE(B154, ""en"", ""hi"")"),"खिलाड़ी A रानी को पॉकेट में डालते समय गलती से प्रतिद्वंद्वी का मोहरा गिरा देता है। इसका नियम क्या है?")</f>
        <v>खिलाड़ी A रानी को पॉकेट में डालते समय गलती से प्रतिद्वंद्वी का मोहरा गिरा देता है। इसका नियम क्या है?</v>
      </c>
      <c r="H154" s="5" t="str">
        <f>IFERROR(__xludf.DUMMYFUNCTION("GOOGLETRANSLATE(C154, ""en"", ""hi"")"),"ए) खिलाड़ी ए रानी खो देता है और उसे प्रतिद्वंद्वी का मोहरा वापस करना होगा।, बी) खिलाड़ी ए खेल जीत जाता है।, सी) प्रतिद्वंद्वी का मोहरा बोर्ड से बाहर रहता है।, डी) खिलाड़ी ए को शॉट फिर से खेलना होगा।")</f>
        <v>ए) खिलाड़ी ए रानी खो देता है और उसे प्रतिद्वंद्वी का मोहरा वापस करना होगा।, बी) खिलाड़ी ए खेल जीत जाता है।, सी) प्रतिद्वंद्वी का मोहरा बोर्ड से बाहर रहता है।, डी) खिलाड़ी ए को शॉट फिर से खेलना होगा।</v>
      </c>
      <c r="I154" s="5" t="str">
        <f>IFERROR(__xludf.DUMMYFUNCTION("GOOGLETRANSLATE(D154, ""en"", ""hi"")"),"A) खिलाड़ी A रानी खो देता है और उसे प्रतिद्वंद्वी का मोहरा वापस करना पड़ता है।")</f>
        <v>A) खिलाड़ी A रानी खो देता है और उसे प्रतिद्वंद्वी का मोहरा वापस करना पड़ता है।</v>
      </c>
    </row>
    <row r="155" ht="22.5" customHeight="1">
      <c r="A155" s="2">
        <v>154.0</v>
      </c>
      <c r="B155" s="3" t="s">
        <v>8486</v>
      </c>
      <c r="C155" s="3" t="s">
        <v>8487</v>
      </c>
      <c r="D155" s="3" t="s">
        <v>8488</v>
      </c>
      <c r="F155" s="5" t="str">
        <f>IFERROR(__xludf.DUMMYFUNCTION("GOOGLETRANSLATE(A155, ""en"", ""hi"")"),"154")</f>
        <v>154</v>
      </c>
      <c r="G155" s="5" t="str">
        <f>IFERROR(__xludf.DUMMYFUNCTION("GOOGLETRANSLATE(B155, ""en"", ""hi"")"),"खिलाड़ी B एक मोहरा पॉकेट में डालता है, लेकिन स्ट्राइकर भी पॉकेट में चला जाता है। सही नियम क्या है?")</f>
        <v>खिलाड़ी B एक मोहरा पॉकेट में डालता है, लेकिन स्ट्राइकर भी पॉकेट में चला जाता है। सही नियम क्या है?</v>
      </c>
      <c r="H155" s="5" t="str">
        <f>IFERROR(__xludf.DUMMYFUNCTION("GOOGLETRANSLATE(C155, ""en"", ""hi"")"),"A) खिलाड़ी B अपनी बारी खो देता है। , B) खिलाड़ी B एक अंक खो देता है। , C) खिलाड़ी B बिना दंड के खेल जारी रखता है। , D) खिलाड़ी B को बोर्ड पर स्ट्राइकर की जगह लेनी होगी।")</f>
        <v>A) खिलाड़ी B अपनी बारी खो देता है। , B) खिलाड़ी B एक अंक खो देता है। , C) खिलाड़ी B बिना दंड के खेल जारी रखता है। , D) खिलाड़ी B को बोर्ड पर स्ट्राइकर की जगह लेनी होगी।</v>
      </c>
      <c r="I155" s="5" t="str">
        <f>IFERROR(__xludf.DUMMYFUNCTION("GOOGLETRANSLATE(D155, ""en"", ""hi"")"),"A) खिलाड़ी B अपनी बारी खो देता है।")</f>
        <v>A) खिलाड़ी B अपनी बारी खो देता है।</v>
      </c>
    </row>
    <row r="156" ht="22.5" customHeight="1">
      <c r="A156" s="2">
        <v>155.0</v>
      </c>
      <c r="B156" s="3" t="s">
        <v>8489</v>
      </c>
      <c r="C156" s="3" t="s">
        <v>8490</v>
      </c>
      <c r="D156" s="3" t="s">
        <v>8491</v>
      </c>
      <c r="F156" s="5" t="str">
        <f>IFERROR(__xludf.DUMMYFUNCTION("GOOGLETRANSLATE(A156, ""en"", ""hi"")"),"155")</f>
        <v>155</v>
      </c>
      <c r="G156" s="5" t="str">
        <f>IFERROR(__xludf.DUMMYFUNCTION("GOOGLETRANSLATE(B156, ""en"", ""hi"")"),"कैरम मैच के दौरान, खिलाड़ी A अपनी सभी गोटियाँ पॉकेट में डाल देता है, लेकिन रानी बोर्ड पर ही रहती है। क्या होता है?")</f>
        <v>कैरम मैच के दौरान, खिलाड़ी A अपनी सभी गोटियाँ पॉकेट में डाल देता है, लेकिन रानी बोर्ड पर ही रहती है। क्या होता है?</v>
      </c>
      <c r="H156" s="5" t="str">
        <f>IFERROR(__xludf.DUMMYFUNCTION("GOOGLETRANSLATE(C156, ""en"", ""hi"")"),"A) खिलाड़ी A खेल हार जाता है। , B) रानी को वापस बोर्ड पर रख दिया जाता है। , C) खिलाड़ी A को प्रतिद्वंद्वी द्वारा रानी को ढकने का इंतजार करना होगा। , D) खिलाड़ी A को अपने एक मोहरे को बोर्ड पर वापस लाना होगा।")</f>
        <v>A) खिलाड़ी A खेल हार जाता है। , B) रानी को वापस बोर्ड पर रख दिया जाता है। , C) खिलाड़ी A को प्रतिद्वंद्वी द्वारा रानी को ढकने का इंतजार करना होगा। , D) खिलाड़ी A को अपने एक मोहरे को बोर्ड पर वापस लाना होगा।</v>
      </c>
      <c r="I156" s="5" t="str">
        <f>IFERROR(__xludf.DUMMYFUNCTION("GOOGLETRANSLATE(D156, ""en"", ""hi"")"),"D) खिलाड़ी A को अपना एक मोहरा बोर्ड पर वापस लाना होगा।")</f>
        <v>D) खिलाड़ी A को अपना एक मोहरा बोर्ड पर वापस लाना होगा।</v>
      </c>
    </row>
    <row r="157" ht="22.5" customHeight="1">
      <c r="A157" s="2">
        <v>156.0</v>
      </c>
      <c r="B157" s="3" t="s">
        <v>8492</v>
      </c>
      <c r="C157" s="3" t="s">
        <v>8493</v>
      </c>
      <c r="D157" s="3" t="s">
        <v>8211</v>
      </c>
      <c r="F157" s="5" t="str">
        <f>IFERROR(__xludf.DUMMYFUNCTION("GOOGLETRANSLATE(A157, ""en"", ""hi"")"),"156")</f>
        <v>156</v>
      </c>
      <c r="G157" s="5" t="str">
        <f>IFERROR(__xludf.DUMMYFUNCTION("GOOGLETRANSLATE(B157, ""en"", ""hi"")"),"खिलाड़ी A रानी की घोषणा करता है और उसे पॉकेट में डाल देता है, लेकिन प्रतिद्वंद्वी के एक मोहरे को भी पॉकेट में डाल देता है। नतीजा क्या होता है?")</f>
        <v>खिलाड़ी A रानी की घोषणा करता है और उसे पॉकेट में डाल देता है, लेकिन प्रतिद्वंद्वी के एक मोहरे को भी पॉकेट में डाल देता है। नतीजा क्या होता है?</v>
      </c>
      <c r="H157" s="5" t="str">
        <f>IFERROR(__xludf.DUMMYFUNCTION("GOOGLETRANSLATE(C157, ""en"", ""hi"")"),"A) खिलाड़ी A रानी खो देता है। , B) खिलाड़ी A खेल जीत जाता है। , C) खिलाड़ी A को खेल जारी रखने का मौका मिलता है। , D) खिलाड़ी A को बोर्ड पर प्रतिद्वंद्वी के मोहरे को बदलना होगा।")</f>
        <v>A) खिलाड़ी A रानी खो देता है। , B) खिलाड़ी A खेल जीत जाता है। , C) खिलाड़ी A को खेल जारी रखने का मौका मिलता है। , D) खिलाड़ी A को बोर्ड पर प्रतिद्वंद्वी के मोहरे को बदलना होगा।</v>
      </c>
      <c r="I157" s="5" t="str">
        <f>IFERROR(__xludf.DUMMYFUNCTION("GOOGLETRANSLATE(D157, ""en"", ""hi"")"),"A) खिलाड़ी A रानी खो देता है।")</f>
        <v>A) खिलाड़ी A रानी खो देता है।</v>
      </c>
    </row>
    <row r="158" ht="22.5" customHeight="1">
      <c r="A158" s="2">
        <v>157.0</v>
      </c>
      <c r="B158" s="3" t="s">
        <v>8494</v>
      </c>
      <c r="C158" s="3" t="s">
        <v>8495</v>
      </c>
      <c r="D158" s="3" t="s">
        <v>8488</v>
      </c>
      <c r="F158" s="5" t="str">
        <f>IFERROR(__xludf.DUMMYFUNCTION("GOOGLETRANSLATE(A158, ""en"", ""hi"")"),"157")</f>
        <v>157</v>
      </c>
      <c r="G158" s="5" t="str">
        <f>IFERROR(__xludf.DUMMYFUNCTION("GOOGLETRANSLATE(B158, ""en"", ""hi"")"),"कैरम खेल में, खिलाड़ी B एक ही शॉट में दो गोटियाँ पॉकेट में डाल देता है, लेकिन स्ट्राइकर पॉकेट में चला जाता है। नियम क्या है?")</f>
        <v>कैरम खेल में, खिलाड़ी B एक ही शॉट में दो गोटियाँ पॉकेट में डाल देता है, लेकिन स्ट्राइकर पॉकेट में चला जाता है। नियम क्या है?</v>
      </c>
      <c r="H158" s="5" t="str">
        <f>IFERROR(__xludf.DUMMYFUNCTION("GOOGLETRANSLATE(C158, ""en"", ""hi"")"),"A) खिलाड़ी B अपनी बारी खो देता है। , B) खिलाड़ी B दो मोहरे खो देता है। , C) खिलाड़ी B बिना दंड के खेल जारी रखता है। , D) खिलाड़ी B को शॉट को फिर से खेलना होगा।")</f>
        <v>A) खिलाड़ी B अपनी बारी खो देता है। , B) खिलाड़ी B दो मोहरे खो देता है। , C) खिलाड़ी B बिना दंड के खेल जारी रखता है। , D) खिलाड़ी B को शॉट को फिर से खेलना होगा।</v>
      </c>
      <c r="I158" s="5" t="str">
        <f>IFERROR(__xludf.DUMMYFUNCTION("GOOGLETRANSLATE(D158, ""en"", ""hi"")"),"A) खिलाड़ी B अपनी बारी खो देता है।")</f>
        <v>A) खिलाड़ी B अपनी बारी खो देता है।</v>
      </c>
    </row>
    <row r="159" ht="22.5" customHeight="1">
      <c r="A159" s="2">
        <v>158.0</v>
      </c>
      <c r="B159" s="3" t="s">
        <v>8496</v>
      </c>
      <c r="C159" s="3" t="s">
        <v>8497</v>
      </c>
      <c r="D159" s="3" t="s">
        <v>7785</v>
      </c>
      <c r="F159" s="5" t="str">
        <f>IFERROR(__xludf.DUMMYFUNCTION("GOOGLETRANSLATE(A159, ""en"", ""hi"")"),"158")</f>
        <v>158</v>
      </c>
      <c r="G159" s="5" t="str">
        <f>IFERROR(__xludf.DUMMYFUNCTION("GOOGLETRANSLATE(B159, ""en"", ""hi"")"),"खिलाड़ी A रानी और एक अन्य मोहरे को एक साथ जेब में डालता है। क्या होता है?")</f>
        <v>खिलाड़ी A रानी और एक अन्य मोहरे को एक साथ जेब में डालता है। क्या होता है?</v>
      </c>
      <c r="H159" s="5" t="str">
        <f>IFERROR(__xludf.DUMMYFUNCTION("GOOGLETRANSLATE(C159, ""en"", ""hi"")"),"A) खिलाड़ी A खेल जीत जाता है। , B) खिलाड़ी A को दूसरा मोहरा बदलना पड़ता है। , C) खिलाड़ी A रानी खो देता है। , D) खिलाड़ी A बिना दंड के खेल जारी रखता है।")</f>
        <v>A) खिलाड़ी A खेल जीत जाता है। , B) खिलाड़ी A को दूसरा मोहरा बदलना पड़ता है। , C) खिलाड़ी A रानी खो देता है। , D) खिलाड़ी A बिना दंड के खेल जारी रखता है।</v>
      </c>
      <c r="I159" s="5" t="str">
        <f>IFERROR(__xludf.DUMMYFUNCTION("GOOGLETRANSLATE(D159, ""en"", ""hi"")"),"A) खिलाड़ी A खेल जीतता है।")</f>
        <v>A) खिलाड़ी A खेल जीतता है।</v>
      </c>
    </row>
    <row r="160" ht="22.5" customHeight="1">
      <c r="A160" s="2">
        <v>159.0</v>
      </c>
      <c r="B160" s="3" t="s">
        <v>8498</v>
      </c>
      <c r="C160" s="3" t="s">
        <v>8499</v>
      </c>
      <c r="D160" s="3" t="s">
        <v>8453</v>
      </c>
      <c r="F160" s="5" t="str">
        <f>IFERROR(__xludf.DUMMYFUNCTION("GOOGLETRANSLATE(A160, ""en"", ""hi"")"),"159")</f>
        <v>159</v>
      </c>
      <c r="G160" s="5" t="str">
        <f>IFERROR(__xludf.DUMMYFUNCTION("GOOGLETRANSLATE(B160, ""en"", ""hi"")"),"खिलाड़ी B मोहरे पर प्रहार करते समय गलती से रानी को बोर्ड से नीचे गिरा देता है। इसका क्या नियम है?")</f>
        <v>खिलाड़ी B मोहरे पर प्रहार करते समय गलती से रानी को बोर्ड से नीचे गिरा देता है। इसका क्या नियम है?</v>
      </c>
      <c r="H160" s="5" t="str">
        <f>IFERROR(__xludf.DUMMYFUNCTION("GOOGLETRANSLATE(C160, ""en"", ""hi"")"),"A) रानी को वापस केंद्र में रखा जाता है। , B) खिलाड़ी B अपनी बारी खो देता है। , C) खिलाड़ी B एक अंक खो देता है। , D) खिलाड़ी B को दो अंक का दंड दिया जाता है।")</f>
        <v>A) रानी को वापस केंद्र में रखा जाता है। , B) खिलाड़ी B अपनी बारी खो देता है। , C) खिलाड़ी B एक अंक खो देता है। , D) खिलाड़ी B को दो अंक का दंड दिया जाता है।</v>
      </c>
      <c r="I160" s="5" t="str">
        <f>IFERROR(__xludf.DUMMYFUNCTION("GOOGLETRANSLATE(D160, ""en"", ""hi"")"),"A) रानी को वापस केंद्र में रखा गया है।")</f>
        <v>A) रानी को वापस केंद्र में रखा गया है।</v>
      </c>
    </row>
    <row r="161" ht="22.5" customHeight="1">
      <c r="A161" s="2">
        <v>160.0</v>
      </c>
      <c r="B161" s="3" t="s">
        <v>8500</v>
      </c>
      <c r="C161" s="3" t="s">
        <v>8501</v>
      </c>
      <c r="D161" s="3" t="s">
        <v>8502</v>
      </c>
      <c r="F161" s="5" t="str">
        <f>IFERROR(__xludf.DUMMYFUNCTION("GOOGLETRANSLATE(A161, ""en"", ""hi"")"),"160")</f>
        <v>160</v>
      </c>
      <c r="G161" s="5" t="str">
        <f>IFERROR(__xludf.DUMMYFUNCTION("GOOGLETRANSLATE(B161, ""en"", ""hi"")"),"कैरम खेल के दौरान, खिलाड़ी A आखिरी गोटी तो पॉकेट में डाल देता है, लेकिन रानी को कवर नहीं कर पाता। आगे क्या होता है?")</f>
        <v>कैरम खेल के दौरान, खिलाड़ी A आखिरी गोटी तो पॉकेट में डाल देता है, लेकिन रानी को कवर नहीं कर पाता। आगे क्या होता है?</v>
      </c>
      <c r="H161" s="5" t="str">
        <f>IFERROR(__xludf.DUMMYFUNCTION("GOOGLETRANSLATE(C161, ""en"", ""hi"")"),"ए) खिलाड़ी ए खेल जीतता है।, बी) खिलाड़ी ए को अंतिम मोहरा बदलना होगा।, सी) रानी खेल में बनी रहती है।, डी) खिलाड़ी ए के प्रतिद्वंद्वी द्वारा रानी को ढकने के साथ मैच जारी रहता है।")</f>
        <v>ए) खिलाड़ी ए खेल जीतता है।, बी) खिलाड़ी ए को अंतिम मोहरा बदलना होगा।, सी) रानी खेल में बनी रहती है।, डी) खिलाड़ी ए के प्रतिद्वंद्वी द्वारा रानी को ढकने के साथ मैच जारी रहता है।</v>
      </c>
      <c r="I161" s="5" t="str">
        <f>IFERROR(__xludf.DUMMYFUNCTION("GOOGLETRANSLATE(D161, ""en"", ""hi"")"),"बी) खिलाड़ी ए को अंतिम मोहरा बदलना होगा।")</f>
        <v>बी) खिलाड़ी ए को अंतिम मोहरा बदलना होगा।</v>
      </c>
    </row>
    <row r="162" ht="22.5" customHeight="1">
      <c r="A162" s="2">
        <v>161.0</v>
      </c>
      <c r="B162" s="3" t="s">
        <v>8503</v>
      </c>
      <c r="C162" s="3" t="s">
        <v>8504</v>
      </c>
      <c r="D162" s="3" t="s">
        <v>8505</v>
      </c>
      <c r="F162" s="5" t="str">
        <f>IFERROR(__xludf.DUMMYFUNCTION("GOOGLETRANSLATE(A162, ""en"", ""hi"")"),"161")</f>
        <v>161</v>
      </c>
      <c r="G162" s="5" t="str">
        <f>IFERROR(__xludf.DUMMYFUNCTION("GOOGLETRANSLATE(B162, ""en"", ""hi"")"),"खिलाड़ी B रानी को कवर करता है और फिर गलती से एक और मोहरा बोर्ड से नीचे गिरा देता है। सही नियम क्या है?")</f>
        <v>खिलाड़ी B रानी को कवर करता है और फिर गलती से एक और मोहरा बोर्ड से नीचे गिरा देता है। सही नियम क्या है?</v>
      </c>
      <c r="H162" s="5" t="str">
        <f>IFERROR(__xludf.DUMMYFUNCTION("GOOGLETRANSLATE(C162, ""en"", ""hi"")"),"A) खिलाड़ी B खेल जीत जाता है। , B) खिलाड़ी B रानी खो देता है। , C) खिलाड़ी B अपनी बारी खो देता है। , D) खिलाड़ी B को एक अंक का दंड दिया जाता है।")</f>
        <v>A) खिलाड़ी B खेल जीत जाता है। , B) खिलाड़ी B रानी खो देता है। , C) खिलाड़ी B अपनी बारी खो देता है। , D) खिलाड़ी B को एक अंक का दंड दिया जाता है।</v>
      </c>
      <c r="I162" s="5" t="str">
        <f>IFERROR(__xludf.DUMMYFUNCTION("GOOGLETRANSLATE(D162, ""en"", ""hi"")"),"B) खिलाड़ी B रानी खो देता है।")</f>
        <v>B) खिलाड़ी B रानी खो देता है।</v>
      </c>
    </row>
    <row r="163" ht="22.5" customHeight="1">
      <c r="A163" s="2">
        <v>162.0</v>
      </c>
      <c r="B163" s="3" t="s">
        <v>8506</v>
      </c>
      <c r="C163" s="3" t="s">
        <v>8507</v>
      </c>
      <c r="D163" s="3" t="s">
        <v>8205</v>
      </c>
      <c r="F163" s="5" t="str">
        <f>IFERROR(__xludf.DUMMYFUNCTION("GOOGLETRANSLATE(A163, ""en"", ""hi"")"),"162")</f>
        <v>162</v>
      </c>
      <c r="G163" s="5" t="str">
        <f>IFERROR(__xludf.DUMMYFUNCTION("GOOGLETRANSLATE(B163, ""en"", ""hi"")"),"खिलाड़ी A रानी को पॉकेट में डाल देता है, लेकिन अगली बारी में उसे कवर नहीं करता। क्या होता है?")</f>
        <v>खिलाड़ी A रानी को पॉकेट में डाल देता है, लेकिन अगली बारी में उसे कवर नहीं करता। क्या होता है?</v>
      </c>
      <c r="H163" s="5" t="str">
        <f>IFERROR(__xludf.DUMMYFUNCTION("GOOGLETRANSLATE(C163, ""en"", ""hi"")"),"ए) रानी पॉकेट में ही रहती है।, बी) रानी को वापस बोर्ड पर रख दिया जाता है।, सी) खिलाड़ी ए खेल हार जाता है।, डी) खिलाड़ी ए को शॉट फिर से खेलना होगा।")</f>
        <v>ए) रानी पॉकेट में ही रहती है।, बी) रानी को वापस बोर्ड पर रख दिया जाता है।, सी) खिलाड़ी ए खेल हार जाता है।, डी) खिलाड़ी ए को शॉट फिर से खेलना होगा।</v>
      </c>
      <c r="I163" s="5" t="str">
        <f>IFERROR(__xludf.DUMMYFUNCTION("GOOGLETRANSLATE(D163, ""en"", ""hi"")"),"बी) रानी को वापस बोर्ड पर रख दिया जाता है।")</f>
        <v>बी) रानी को वापस बोर्ड पर रख दिया जाता है।</v>
      </c>
    </row>
    <row r="164" ht="22.5" customHeight="1">
      <c r="A164" s="2">
        <v>163.0</v>
      </c>
      <c r="B164" s="3" t="s">
        <v>8508</v>
      </c>
      <c r="C164" s="3" t="s">
        <v>8509</v>
      </c>
      <c r="D164" s="3" t="s">
        <v>8430</v>
      </c>
      <c r="F164" s="5" t="str">
        <f>IFERROR(__xludf.DUMMYFUNCTION("GOOGLETRANSLATE(A164, ""en"", ""hi"")"),"163")</f>
        <v>163</v>
      </c>
      <c r="G164" s="5" t="str">
        <f>IFERROR(__xludf.DUMMYFUNCTION("GOOGLETRANSLATE(B164, ""en"", ""hi"")"),"खिलाड़ी A स्ट्राइक करता है और स्ट्राइकर और प्रतिद्वंद्वी के एक मोहरे को पॉकेट में डाल देता है। इसके बाद क्या होता है?")</f>
        <v>खिलाड़ी A स्ट्राइक करता है और स्ट्राइकर और प्रतिद्वंद्वी के एक मोहरे को पॉकेट में डाल देता है। इसके बाद क्या होता है?</v>
      </c>
      <c r="H164" s="5" t="str">
        <f>IFERROR(__xludf.DUMMYFUNCTION("GOOGLETRANSLATE(C164, ""en"", ""hi"")"),"A) खिलाड़ी A अपनी बारी खो देता है। , B) खिलाड़ी A एक अंक खो देता है। , C) खिलाड़ी A बिना दंड के खेल जारी रखता है। , D) खिलाड़ी A को प्रतिद्वंद्वी के मोहरे को बोर्ड पर वापस करना होगा।")</f>
        <v>A) खिलाड़ी A अपनी बारी खो देता है। , B) खिलाड़ी A एक अंक खो देता है। , C) खिलाड़ी A बिना दंड के खेल जारी रखता है। , D) खिलाड़ी A को प्रतिद्वंद्वी के मोहरे को बोर्ड पर वापस करना होगा।</v>
      </c>
      <c r="I164" s="5" t="str">
        <f>IFERROR(__xludf.DUMMYFUNCTION("GOOGLETRANSLATE(D164, ""en"", ""hi"")"),"A) खिलाड़ी A अपनी बारी खो देता है।")</f>
        <v>A) खिलाड़ी A अपनी बारी खो देता है।</v>
      </c>
    </row>
    <row r="165" ht="22.5" customHeight="1">
      <c r="A165" s="2">
        <v>164.0</v>
      </c>
      <c r="B165" s="3" t="s">
        <v>8510</v>
      </c>
      <c r="C165" s="3" t="s">
        <v>8511</v>
      </c>
      <c r="D165" s="3" t="s">
        <v>8505</v>
      </c>
      <c r="F165" s="5" t="str">
        <f>IFERROR(__xludf.DUMMYFUNCTION("GOOGLETRANSLATE(A165, ""en"", ""hi"")"),"164")</f>
        <v>164</v>
      </c>
      <c r="G165" s="5" t="str">
        <f>IFERROR(__xludf.DUMMYFUNCTION("GOOGLETRANSLATE(B165, ""en"", ""hi"")"),"खिलाड़ी B ने रानी को सफलतापूर्वक पॉकेट में डाल दिया, लेकिन स्ट्राइकर को भी पॉकेट में डाल दिया। नियम क्या है?")</f>
        <v>खिलाड़ी B ने रानी को सफलतापूर्वक पॉकेट में डाल दिया, लेकिन स्ट्राइकर को भी पॉकेट में डाल दिया। नियम क्या है?</v>
      </c>
      <c r="H165" s="5" t="str">
        <f>IFERROR(__xludf.DUMMYFUNCTION("GOOGLETRANSLATE(C165, ""en"", ""hi"")"),"A) खिलाड़ी B खेल जीत जाता है। , B) खिलाड़ी B रानी खो देता है। , C) खिलाड़ी B को शॉट फिर से खेलना होगा। , D) खिलाड़ी B बिना दंड के खेल जारी रखता है।")</f>
        <v>A) खिलाड़ी B खेल जीत जाता है। , B) खिलाड़ी B रानी खो देता है। , C) खिलाड़ी B को शॉट फिर से खेलना होगा। , D) खिलाड़ी B बिना दंड के खेल जारी रखता है।</v>
      </c>
      <c r="I165" s="5" t="str">
        <f>IFERROR(__xludf.DUMMYFUNCTION("GOOGLETRANSLATE(D165, ""en"", ""hi"")"),"B) खिलाड़ी B रानी खो देता है।")</f>
        <v>B) खिलाड़ी B रानी खो देता है।</v>
      </c>
    </row>
    <row r="166" ht="22.5" customHeight="1">
      <c r="A166" s="2">
        <v>165.0</v>
      </c>
      <c r="B166" s="3" t="s">
        <v>8512</v>
      </c>
      <c r="C166" s="3" t="s">
        <v>8513</v>
      </c>
      <c r="D166" s="3" t="s">
        <v>8211</v>
      </c>
      <c r="F166" s="5" t="str">
        <f>IFERROR(__xludf.DUMMYFUNCTION("GOOGLETRANSLATE(A166, ""en"", ""hi"")"),"165")</f>
        <v>165</v>
      </c>
      <c r="G166" s="5" t="str">
        <f>IFERROR(__xludf.DUMMYFUNCTION("GOOGLETRANSLATE(B166, ""en"", ""hi"")"),"कैरम मैच के दौरान, खिलाड़ी A स्ट्राइक करता है और स्ट्राइकर क्वीन पॉकेट में डालने के बाद बोर्ड से बाहर चला जाता है। परिणाम क्या होता है?")</f>
        <v>कैरम मैच के दौरान, खिलाड़ी A स्ट्राइक करता है और स्ट्राइकर क्वीन पॉकेट में डालने के बाद बोर्ड से बाहर चला जाता है। परिणाम क्या होता है?</v>
      </c>
      <c r="H166" s="5" t="str">
        <f>IFERROR(__xludf.DUMMYFUNCTION("GOOGLETRANSLATE(C166, ""en"", ""hi"")"),"A) खिलाड़ी A रानी खो देता है। , B) रानी को वापस बोर्ड पर रख दिया जाता है। , C) खिलाड़ी A खेल जीत जाता है। , D) खिलाड़ी A बिना पेनल्टी के खेल जारी रखता है।")</f>
        <v>A) खिलाड़ी A रानी खो देता है। , B) रानी को वापस बोर्ड पर रख दिया जाता है। , C) खिलाड़ी A खेल जीत जाता है। , D) खिलाड़ी A बिना पेनल्टी के खेल जारी रखता है।</v>
      </c>
      <c r="I166" s="5" t="str">
        <f>IFERROR(__xludf.DUMMYFUNCTION("GOOGLETRANSLATE(D166, ""en"", ""hi"")"),"A) खिलाड़ी A रानी खो देता है।")</f>
        <v>A) खिलाड़ी A रानी खो देता है।</v>
      </c>
    </row>
    <row r="167" ht="22.5" customHeight="1">
      <c r="A167" s="2">
        <v>166.0</v>
      </c>
      <c r="B167" s="3" t="s">
        <v>8514</v>
      </c>
      <c r="C167" s="3" t="s">
        <v>8515</v>
      </c>
      <c r="D167" s="3" t="s">
        <v>8516</v>
      </c>
      <c r="F167" s="5" t="str">
        <f>IFERROR(__xludf.DUMMYFUNCTION("GOOGLETRANSLATE(A167, ""en"", ""hi"")"),"166")</f>
        <v>166</v>
      </c>
      <c r="G167" s="5" t="str">
        <f>IFERROR(__xludf.DUMMYFUNCTION("GOOGLETRANSLATE(B167, ""en"", ""hi"")"),"खिलाड़ी B अपनी आखिरी गोटी पॉकेट में डाल देता है, लेकिन रानी को कवर नहीं कर पाता। अब क्या होगा?")</f>
        <v>खिलाड़ी B अपनी आखिरी गोटी पॉकेट में डाल देता है, लेकिन रानी को कवर नहीं कर पाता। अब क्या होगा?</v>
      </c>
      <c r="H167" s="5" t="str">
        <f>IFERROR(__xludf.DUMMYFUNCTION("GOOGLETRANSLATE(C167, ""en"", ""hi"")"),"ए) खिलाड़ी बी खेल जीतता है। , बी) खिलाड़ी बी को बोर्ड पर अंतिम टुकड़ा वापस करना होगा। , सी) रानी के साथ खेल जारी रहता है। , डी) खिलाड़ी बी को शॉट को फिर से खेलना होगा।")</f>
        <v>ए) खिलाड़ी बी खेल जीतता है। , बी) खिलाड़ी बी को बोर्ड पर अंतिम टुकड़ा वापस करना होगा। , सी) रानी के साथ खेल जारी रहता है। , डी) खिलाड़ी बी को शॉट को फिर से खेलना होगा।</v>
      </c>
      <c r="I167" s="5" t="str">
        <f>IFERROR(__xludf.DUMMYFUNCTION("GOOGLETRANSLATE(D167, ""en"", ""hi"")"),"बी) खिलाड़ी बी को अंतिम मोहरा बोर्ड पर वापस लाना होगा।")</f>
        <v>बी) खिलाड़ी बी को अंतिम मोहरा बोर्ड पर वापस लाना होगा।</v>
      </c>
    </row>
    <row r="168" ht="22.5" customHeight="1">
      <c r="A168" s="2">
        <v>167.0</v>
      </c>
      <c r="B168" s="3" t="s">
        <v>8517</v>
      </c>
      <c r="C168" s="3" t="s">
        <v>8518</v>
      </c>
      <c r="D168" s="3" t="s">
        <v>8519</v>
      </c>
      <c r="F168" s="5" t="str">
        <f>IFERROR(__xludf.DUMMYFUNCTION("GOOGLETRANSLATE(A168, ""en"", ""hi"")"),"167")</f>
        <v>167</v>
      </c>
      <c r="G168" s="5" t="str">
        <f>IFERROR(__xludf.DUMMYFUNCTION("GOOGLETRANSLATE(B168, ""en"", ""hi"")"),"खिलाड़ी A ने क्वीन पॉकेट में डाल दी, लेकिन उनका स्ट्राइकर भी पॉकेट में चला गया। नियम क्या है?")</f>
        <v>खिलाड़ी A ने क्वीन पॉकेट में डाल दी, लेकिन उनका स्ट्राइकर भी पॉकेट में चला गया। नियम क्या है?</v>
      </c>
      <c r="H168" s="5" t="str">
        <f>IFERROR(__xludf.DUMMYFUNCTION("GOOGLETRANSLATE(C168, ""en"", ""hi"")"),"A) खिलाड़ी A खेल जीत जाता है। , B) खिलाड़ी A रानी खो देता है। , C) खिलाड़ी A बिना पेनल्टी के खेल जारी रखता है। , D) खिलाड़ी A को शॉट फिर से खेलना होगा।")</f>
        <v>A) खिलाड़ी A खेल जीत जाता है। , B) खिलाड़ी A रानी खो देता है। , C) खिलाड़ी A बिना पेनल्टी के खेल जारी रखता है। , D) खिलाड़ी A को शॉट फिर से खेलना होगा।</v>
      </c>
      <c r="I168" s="5" t="str">
        <f>IFERROR(__xludf.DUMMYFUNCTION("GOOGLETRANSLATE(D168, ""en"", ""hi"")"),"बी) खिलाड़ी ए रानी खो देता है।")</f>
        <v>बी) खिलाड़ी ए रानी खो देता है।</v>
      </c>
    </row>
    <row r="169" ht="22.5" customHeight="1">
      <c r="A169" s="2">
        <v>168.0</v>
      </c>
      <c r="B169" s="3" t="s">
        <v>8520</v>
      </c>
      <c r="C169" s="3" t="s">
        <v>8521</v>
      </c>
      <c r="D169" s="3" t="s">
        <v>8422</v>
      </c>
      <c r="F169" s="5" t="str">
        <f>IFERROR(__xludf.DUMMYFUNCTION("GOOGLETRANSLATE(A169, ""en"", ""hi"")"),"168")</f>
        <v>168</v>
      </c>
      <c r="G169" s="5" t="str">
        <f>IFERROR(__xludf.DUMMYFUNCTION("GOOGLETRANSLATE(B169, ""en"", ""hi"")"),"खिलाड़ी B, क्वीन को सफलतापूर्वक कवर करने के बाद स्ट्राइकर को पॉकेट में डालता है। सही नियम क्या है?")</f>
        <v>खिलाड़ी B, क्वीन को सफलतापूर्वक कवर करने के बाद स्ट्राइकर को पॉकेट में डालता है। सही नियम क्या है?</v>
      </c>
      <c r="H169" s="5" t="str">
        <f>IFERROR(__xludf.DUMMYFUNCTION("GOOGLETRANSLATE(C169, ""en"", ""hi"")"),"ए) खिलाड़ी बी रानी खो देता है।, बी) खिलाड़ी बी खेल जीतता है।, सी) खिलाड़ी बी को स्ट्राइकर को बोर्ड पर वापस करना होगा।, डी) खिलाड़ी बी बिना दंड के खेल जारी रखता है।")</f>
        <v>ए) खिलाड़ी बी रानी खो देता है।, बी) खिलाड़ी बी खेल जीतता है।, सी) खिलाड़ी बी को स्ट्राइकर को बोर्ड पर वापस करना होगा।, डी) खिलाड़ी बी बिना दंड के खेल जारी रखता है।</v>
      </c>
      <c r="I169" s="5" t="str">
        <f>IFERROR(__xludf.DUMMYFUNCTION("GOOGLETRANSLATE(D169, ""en"", ""hi"")"),"A) खिलाड़ी B रानी खो देता है।")</f>
        <v>A) खिलाड़ी B रानी खो देता है।</v>
      </c>
    </row>
    <row r="170" ht="22.5" customHeight="1">
      <c r="A170" s="2">
        <v>169.0</v>
      </c>
      <c r="B170" s="3" t="s">
        <v>8522</v>
      </c>
      <c r="C170" s="3" t="s">
        <v>8523</v>
      </c>
      <c r="D170" s="3" t="s">
        <v>8524</v>
      </c>
      <c r="F170" s="5" t="str">
        <f>IFERROR(__xludf.DUMMYFUNCTION("GOOGLETRANSLATE(A170, ""en"", ""hi"")"),"169")</f>
        <v>169</v>
      </c>
      <c r="G170" s="5" t="str">
        <f>IFERROR(__xludf.DUMMYFUNCTION("GOOGLETRANSLATE(B170, ""en"", ""hi"")"),"खिलाड़ी A आखिरी काली गोटी पॉकेट में डाल देता है, लेकिन रानी पॉकेट में नहीं डाल पाता। नतीजा क्या होता है?")</f>
        <v>खिलाड़ी A आखिरी काली गोटी पॉकेट में डाल देता है, लेकिन रानी पॉकेट में नहीं डाल पाता। नतीजा क्या होता है?</v>
      </c>
      <c r="H170" s="5" t="str">
        <f>IFERROR(__xludf.DUMMYFUNCTION("GOOGLETRANSLATE(C170, ""en"", ""hi"")"),"A) खिलाड़ी A खेल जीतता है। , B) खिलाड़ी A एक मोहरा खो देता है। , C) रानी को वापस बोर्ड पर रख दिया जाता है। , D) खिलाड़ी A को अंतिम काला मोहरा वापस करना होगा।")</f>
        <v>A) खिलाड़ी A खेल जीतता है। , B) खिलाड़ी A एक मोहरा खो देता है। , C) रानी को वापस बोर्ड पर रख दिया जाता है। , D) खिलाड़ी A को अंतिम काला मोहरा वापस करना होगा।</v>
      </c>
      <c r="I170" s="5" t="str">
        <f>IFERROR(__xludf.DUMMYFUNCTION("GOOGLETRANSLATE(D170, ""en"", ""hi"")"),"D) खिलाड़ी A को अंतिम काला मोहरा वापस करना होगा।")</f>
        <v>D) खिलाड़ी A को अंतिम काला मोहरा वापस करना होगा।</v>
      </c>
    </row>
    <row r="171" ht="22.5" customHeight="1">
      <c r="A171" s="2">
        <v>170.0</v>
      </c>
      <c r="B171" s="3" t="s">
        <v>8525</v>
      </c>
      <c r="C171" s="3" t="s">
        <v>8526</v>
      </c>
      <c r="D171" s="3" t="s">
        <v>8422</v>
      </c>
      <c r="F171" s="5" t="str">
        <f>IFERROR(__xludf.DUMMYFUNCTION("GOOGLETRANSLATE(A171, ""en"", ""hi"")"),"170")</f>
        <v>170</v>
      </c>
      <c r="G171" s="5" t="str">
        <f>IFERROR(__xludf.DUMMYFUNCTION("GOOGLETRANSLATE(B171, ""en"", ""hi"")"),"कैरम मैच के दौरान, खिलाड़ी B बिना घोषणा किए रानी को पॉकेट में डाल देता है। इसका नियम क्या है?")</f>
        <v>कैरम मैच के दौरान, खिलाड़ी B बिना घोषणा किए रानी को पॉकेट में डाल देता है। इसका नियम क्या है?</v>
      </c>
      <c r="H171" s="5" t="str">
        <f>IFERROR(__xludf.DUMMYFUNCTION("GOOGLETRANSLATE(C171, ""en"", ""hi"")"),"A) खिलाड़ी B रानी खो देता है। , B) खिलाड़ी B खेल जीत जाता है। , C) रानी पॉकेट में रहती है। , D) खिलाड़ी B बिना किसी पेनल्टी के खेल जारी रखता है।")</f>
        <v>A) खिलाड़ी B रानी खो देता है। , B) खिलाड़ी B खेल जीत जाता है। , C) रानी पॉकेट में रहती है। , D) खिलाड़ी B बिना किसी पेनल्टी के खेल जारी रखता है।</v>
      </c>
      <c r="I171" s="5" t="str">
        <f>IFERROR(__xludf.DUMMYFUNCTION("GOOGLETRANSLATE(D171, ""en"", ""hi"")"),"A) खिलाड़ी B रानी खो देता है।")</f>
        <v>A) खिलाड़ी B रानी खो देता है।</v>
      </c>
    </row>
    <row r="172" ht="22.5" customHeight="1">
      <c r="A172" s="2">
        <v>171.0</v>
      </c>
      <c r="B172" s="3" t="s">
        <v>8527</v>
      </c>
      <c r="C172" s="3" t="s">
        <v>8528</v>
      </c>
      <c r="D172" s="3" t="s">
        <v>8453</v>
      </c>
      <c r="F172" s="5" t="str">
        <f>IFERROR(__xludf.DUMMYFUNCTION("GOOGLETRANSLATE(A172, ""en"", ""hi"")"),"171")</f>
        <v>171</v>
      </c>
      <c r="G172" s="5" t="str">
        <f>IFERROR(__xludf.DUMMYFUNCTION("GOOGLETRANSLATE(B172, ""en"", ""hi"")"),"खिलाड़ी A स्ट्राइकर पर वार करता है, जिससे रानी गिर जाती है, लेकिन कोई भी मोहरा पॉकेट में नहीं जाता। इसके बाद क्या होता है?")</f>
        <v>खिलाड़ी A स्ट्राइकर पर वार करता है, जिससे रानी गिर जाती है, लेकिन कोई भी मोहरा पॉकेट में नहीं जाता। इसके बाद क्या होता है?</v>
      </c>
      <c r="H172" s="5" t="str">
        <f>IFERROR(__xludf.DUMMYFUNCTION("GOOGLETRANSLATE(C172, ""en"", ""hi"")"),"ए) रानी को वापस केंद्र में रखा जाता है।, बी) खिलाड़ी ए को एक अंक का दंड दिया जाता है।, सी) खिलाड़ी ए अपनी बारी खो देता है।, डी) खिलाड़ी ए को अपने टुकड़ों में से एक को बदलना होगा।")</f>
        <v>ए) रानी को वापस केंद्र में रखा जाता है।, बी) खिलाड़ी ए को एक अंक का दंड दिया जाता है।, सी) खिलाड़ी ए अपनी बारी खो देता है।, डी) खिलाड़ी ए को अपने टुकड़ों में से एक को बदलना होगा।</v>
      </c>
      <c r="I172" s="5" t="str">
        <f>IFERROR(__xludf.DUMMYFUNCTION("GOOGLETRANSLATE(D172, ""en"", ""hi"")"),"A) रानी को वापस केंद्र में रखा गया है।")</f>
        <v>A) रानी को वापस केंद्र में रखा गया है।</v>
      </c>
    </row>
    <row r="173" ht="22.5" customHeight="1">
      <c r="A173" s="2">
        <v>172.0</v>
      </c>
      <c r="B173" s="3" t="s">
        <v>8529</v>
      </c>
      <c r="C173" s="3" t="s">
        <v>8530</v>
      </c>
      <c r="D173" s="3" t="s">
        <v>8422</v>
      </c>
      <c r="F173" s="5" t="str">
        <f>IFERROR(__xludf.DUMMYFUNCTION("GOOGLETRANSLATE(A173, ""en"", ""hi"")"),"172")</f>
        <v>172</v>
      </c>
      <c r="G173" s="5" t="str">
        <f>IFERROR(__xludf.DUMMYFUNCTION("GOOGLETRANSLATE(B173, ""en"", ""hi"")"),"खिलाड़ी B रानी को कवर करता है लेकिन उसी शॉट में प्रतिद्वंद्वी के मोहरे को पॉकेट में डाल देता है। सही नियम क्या है?")</f>
        <v>खिलाड़ी B रानी को कवर करता है लेकिन उसी शॉट में प्रतिद्वंद्वी के मोहरे को पॉकेट में डाल देता है। सही नियम क्या है?</v>
      </c>
      <c r="H173" s="5" t="str">
        <f>IFERROR(__xludf.DUMMYFUNCTION("GOOGLETRANSLATE(C173, ""en"", ""hi"")"),"A) खिलाड़ी B रानी खो देता है। , B) खिलाड़ी B खेल जीत जाता है। , C) खिलाड़ी B बिना दंड के खेल जारी रखता है। , D) खिलाड़ी B को प्रतिद्वंद्वी के मोहरे को बोर्ड पर वापस करना होगा।")</f>
        <v>A) खिलाड़ी B रानी खो देता है। , B) खिलाड़ी B खेल जीत जाता है। , C) खिलाड़ी B बिना दंड के खेल जारी रखता है। , D) खिलाड़ी B को प्रतिद्वंद्वी के मोहरे को बोर्ड पर वापस करना होगा।</v>
      </c>
      <c r="I173" s="5" t="str">
        <f>IFERROR(__xludf.DUMMYFUNCTION("GOOGLETRANSLATE(D173, ""en"", ""hi"")"),"A) खिलाड़ी B रानी खो देता है।")</f>
        <v>A) खिलाड़ी B रानी खो देता है।</v>
      </c>
    </row>
    <row r="174" ht="22.5" customHeight="1">
      <c r="A174" s="2">
        <v>173.0</v>
      </c>
      <c r="B174" s="3" t="s">
        <v>8531</v>
      </c>
      <c r="C174" s="3" t="s">
        <v>8532</v>
      </c>
      <c r="D174" s="3" t="s">
        <v>8519</v>
      </c>
      <c r="F174" s="5" t="str">
        <f>IFERROR(__xludf.DUMMYFUNCTION("GOOGLETRANSLATE(A174, ""en"", ""hi"")"),"173")</f>
        <v>173</v>
      </c>
      <c r="G174" s="5" t="str">
        <f>IFERROR(__xludf.DUMMYFUNCTION("GOOGLETRANSLATE(B174, ""en"", ""hi"")"),"कैरम खेल में, खिलाड़ी A, रानी और स्ट्राइकर को पॉकेट में डाल देता है। परिणाम क्या होता है?")</f>
        <v>कैरम खेल में, खिलाड़ी A, रानी और स्ट्राइकर को पॉकेट में डाल देता है। परिणाम क्या होता है?</v>
      </c>
      <c r="H174" s="5" t="str">
        <f>IFERROR(__xludf.DUMMYFUNCTION("GOOGLETRANSLATE(C174, ""en"", ""hi"")"),"A) खिलाड़ी A खेल जीत जाता है। , B) खिलाड़ी A रानी खो देता है। , C) खिलाड़ी A को शॉट दोबारा खेलना होगा। , D) खिलाड़ी A बिना पेनल्टी के खेल जारी रखता है।")</f>
        <v>A) खिलाड़ी A खेल जीत जाता है। , B) खिलाड़ी A रानी खो देता है। , C) खिलाड़ी A को शॉट दोबारा खेलना होगा। , D) खिलाड़ी A बिना पेनल्टी के खेल जारी रखता है।</v>
      </c>
      <c r="I174" s="5" t="str">
        <f>IFERROR(__xludf.DUMMYFUNCTION("GOOGLETRANSLATE(D174, ""en"", ""hi"")"),"बी) खिलाड़ी ए रानी खो देता है।")</f>
        <v>बी) खिलाड़ी ए रानी खो देता है।</v>
      </c>
    </row>
    <row r="175" ht="22.5" customHeight="1">
      <c r="A175" s="2">
        <v>174.0</v>
      </c>
      <c r="B175" s="3" t="s">
        <v>8533</v>
      </c>
      <c r="C175" s="3" t="s">
        <v>8534</v>
      </c>
      <c r="D175" s="3" t="s">
        <v>8535</v>
      </c>
      <c r="F175" s="5" t="str">
        <f>IFERROR(__xludf.DUMMYFUNCTION("GOOGLETRANSLATE(A175, ""en"", ""hi"")"),"174")</f>
        <v>174</v>
      </c>
      <c r="G175" s="5" t="str">
        <f>IFERROR(__xludf.DUMMYFUNCTION("GOOGLETRANSLATE(B175, ""en"", ""hi"")"),"कैरम मैच के दौरान, खिलाड़ी A आखिरी गोटी पॉकेट में डाल देता है, लेकिन रानी को कवर नहीं करता। क्या होता है?")</f>
        <v>कैरम मैच के दौरान, खिलाड़ी A आखिरी गोटी पॉकेट में डाल देता है, लेकिन रानी को कवर नहीं करता। क्या होता है?</v>
      </c>
      <c r="H175" s="5" t="str">
        <f>IFERROR(__xludf.DUMMYFUNCTION("GOOGLETRANSLATE(C175, ""en"", ""hi"")"),"A) खिलाड़ी A खेल जीत जाता है। , B) खिलाड़ी A को अंतिम मोहरा वापस करना होगा। , C) रानी को वापस बोर्ड पर रख दिया जाता है। , D) खिलाड़ी A को एक अंक का दंड दिया जाता है।")</f>
        <v>A) खिलाड़ी A खेल जीत जाता है। , B) खिलाड़ी A को अंतिम मोहरा वापस करना होगा। , C) रानी को वापस बोर्ड पर रख दिया जाता है। , D) खिलाड़ी A को एक अंक का दंड दिया जाता है।</v>
      </c>
      <c r="I175" s="5" t="str">
        <f>IFERROR(__xludf.DUMMYFUNCTION("GOOGLETRANSLATE(D175, ""en"", ""hi"")"),"बी) खिलाड़ी ए को अंतिम टुकड़ा वापस करना होगा।")</f>
        <v>बी) खिलाड़ी ए को अंतिम टुकड़ा वापस करना होगा।</v>
      </c>
    </row>
    <row r="176" ht="22.5" customHeight="1">
      <c r="A176" s="2">
        <v>175.0</v>
      </c>
      <c r="B176" s="3" t="s">
        <v>8536</v>
      </c>
      <c r="C176" s="3" t="s">
        <v>8537</v>
      </c>
      <c r="D176" s="3" t="s">
        <v>8505</v>
      </c>
      <c r="F176" s="5" t="str">
        <f>IFERROR(__xludf.DUMMYFUNCTION("GOOGLETRANSLATE(A176, ""en"", ""hi"")"),"175")</f>
        <v>175</v>
      </c>
      <c r="G176" s="5" t="str">
        <f>IFERROR(__xludf.DUMMYFUNCTION("GOOGLETRANSLATE(B176, ""en"", ""hi"")"),"खिलाड़ी B, क्वीन को पॉकेट में डालने की कोशिश में स्ट्राइकर को पॉकेट में डाल देता है। नियम क्या है?")</f>
        <v>खिलाड़ी B, क्वीन को पॉकेट में डालने की कोशिश में स्ट्राइकर को पॉकेट में डाल देता है। नियम क्या है?</v>
      </c>
      <c r="H176" s="5" t="str">
        <f>IFERROR(__xludf.DUMMYFUNCTION("GOOGLETRANSLATE(C176, ""en"", ""hi"")"),"ए) खिलाड़ी बी खेल जीतता है।, बी) खिलाड़ी बी रानी खो देता है।, सी) खिलाड़ी बी को एक मोहरा दंडित किया जाता है।, डी) खिलाड़ी बी को शॉट फिर से खेलना होगा।")</f>
        <v>ए) खिलाड़ी बी खेल जीतता है।, बी) खिलाड़ी बी रानी खो देता है।, सी) खिलाड़ी बी को एक मोहरा दंडित किया जाता है।, डी) खिलाड़ी बी को शॉट फिर से खेलना होगा।</v>
      </c>
      <c r="I176" s="5" t="str">
        <f>IFERROR(__xludf.DUMMYFUNCTION("GOOGLETRANSLATE(D176, ""en"", ""hi"")"),"B) खिलाड़ी B रानी खो देता है।")</f>
        <v>B) खिलाड़ी B रानी खो देता है।</v>
      </c>
    </row>
    <row r="177" ht="22.5" customHeight="1">
      <c r="A177" s="2">
        <v>176.0</v>
      </c>
      <c r="B177" s="3" t="s">
        <v>8538</v>
      </c>
      <c r="C177" s="3" t="s">
        <v>8539</v>
      </c>
      <c r="D177" s="3" t="s">
        <v>7785</v>
      </c>
      <c r="F177" s="5" t="str">
        <f>IFERROR(__xludf.DUMMYFUNCTION("GOOGLETRANSLATE(A177, ""en"", ""hi"")"),"176")</f>
        <v>176</v>
      </c>
      <c r="G177" s="5" t="str">
        <f>IFERROR(__xludf.DUMMYFUNCTION("GOOGLETRANSLATE(B177, ""en"", ""hi"")"),"खिलाड़ी A एक ही बार में रानी और आखिरी काली गोटी को सफलतापूर्वक पॉकेट में डाल देता है। परिणाम क्या होता है?")</f>
        <v>खिलाड़ी A एक ही बार में रानी और आखिरी काली गोटी को सफलतापूर्वक पॉकेट में डाल देता है। परिणाम क्या होता है?</v>
      </c>
      <c r="H177" s="5" t="str">
        <f>IFERROR(__xludf.DUMMYFUNCTION("GOOGLETRANSLATE(C177, ""en"", ""hi"")"),"A) खिलाड़ी A खेल जीतता है। , B) शॉट अवैध है। , C) खिलाड़ी A को काला मोहरा वापस करना होगा। , D) खिलाड़ी A खेल जारी रखता है।")</f>
        <v>A) खिलाड़ी A खेल जीतता है। , B) शॉट अवैध है। , C) खिलाड़ी A को काला मोहरा वापस करना होगा। , D) खिलाड़ी A खेल जारी रखता है।</v>
      </c>
      <c r="I177" s="5" t="str">
        <f>IFERROR(__xludf.DUMMYFUNCTION("GOOGLETRANSLATE(D177, ""en"", ""hi"")"),"A) खिलाड़ी A खेल जीतता है।")</f>
        <v>A) खिलाड़ी A खेल जीतता है।</v>
      </c>
    </row>
    <row r="178" ht="22.5" customHeight="1">
      <c r="A178" s="2">
        <v>177.0</v>
      </c>
      <c r="B178" s="3" t="s">
        <v>8540</v>
      </c>
      <c r="C178" s="3" t="s">
        <v>8541</v>
      </c>
      <c r="D178" s="3" t="s">
        <v>8542</v>
      </c>
      <c r="F178" s="5" t="str">
        <f>IFERROR(__xludf.DUMMYFUNCTION("GOOGLETRANSLATE(A178, ""en"", ""hi"")"),"177")</f>
        <v>177</v>
      </c>
      <c r="G178" s="5" t="str">
        <f>IFERROR(__xludf.DUMMYFUNCTION("GOOGLETRANSLATE(B178, ""en"", ""hi"")"),"खिलाड़ी B रानी को पॉकेट में डालते समय गलती से प्रतिद्वंद्वी का मोहरा बोर्ड से बाहर चला जाता है। इसका नियम क्या है?")</f>
        <v>खिलाड़ी B रानी को पॉकेट में डालते समय गलती से प्रतिद्वंद्वी का मोहरा बोर्ड से बाहर चला जाता है। इसका नियम क्या है?</v>
      </c>
      <c r="H178" s="5" t="str">
        <f>IFERROR(__xludf.DUMMYFUNCTION("GOOGLETRANSLATE(C178, ""en"", ""hi"")"),"A) खिलाड़ी B रानी और अपनी बारी खो देता है। , B) खिलाड़ी B खेल जीत जाता है। , C) खिलाड़ी B पर दो अंक का जुर्माना लगाया जाता है। , D) खिलाड़ी B बिना जुर्माने के खेल जारी रखता है।")</f>
        <v>A) खिलाड़ी B रानी और अपनी बारी खो देता है। , B) खिलाड़ी B खेल जीत जाता है। , C) खिलाड़ी B पर दो अंक का जुर्माना लगाया जाता है। , D) खिलाड़ी B बिना जुर्माने के खेल जारी रखता है।</v>
      </c>
      <c r="I178" s="5" t="str">
        <f>IFERROR(__xludf.DUMMYFUNCTION("GOOGLETRANSLATE(D178, ""en"", ""hi"")"),"A) खिलाड़ी B रानी और अपनी बारी खो देता है।")</f>
        <v>A) खिलाड़ी B रानी और अपनी बारी खो देता है।</v>
      </c>
    </row>
    <row r="179" ht="22.5" customHeight="1">
      <c r="A179" s="2">
        <v>178.0</v>
      </c>
      <c r="B179" s="3" t="s">
        <v>8543</v>
      </c>
      <c r="C179" s="3" t="s">
        <v>8544</v>
      </c>
      <c r="D179" s="3" t="s">
        <v>8519</v>
      </c>
      <c r="F179" s="5" t="str">
        <f>IFERROR(__xludf.DUMMYFUNCTION("GOOGLETRANSLATE(A179, ""en"", ""hi"")"),"178")</f>
        <v>178</v>
      </c>
      <c r="G179" s="5" t="str">
        <f>IFERROR(__xludf.DUMMYFUNCTION("GOOGLETRANSLATE(B179, ""en"", ""hi"")"),"कैरम मैच में, खिलाड़ी A, रानी को पॉकेट में डालता है, लेकिन स्ट्राइकर को भी पॉकेट में डालता है। परिणाम क्या होता है?")</f>
        <v>कैरम मैच में, खिलाड़ी A, रानी को पॉकेट में डालता है, लेकिन स्ट्राइकर को भी पॉकेट में डालता है। परिणाम क्या होता है?</v>
      </c>
      <c r="H179" s="5" t="str">
        <f>IFERROR(__xludf.DUMMYFUNCTION("GOOGLETRANSLATE(C179, ""en"", ""hi"")"),"A) खिलाड़ी A खेल जीत जाता है। , B) खिलाड़ी A रानी खो देता है। , C) खिलाड़ी A को शॉट फिर से खेलना होगा। , D) खिलाड़ी A अपनी बारी जारी रखता है।")</f>
        <v>A) खिलाड़ी A खेल जीत जाता है। , B) खिलाड़ी A रानी खो देता है। , C) खिलाड़ी A को शॉट फिर से खेलना होगा। , D) खिलाड़ी A अपनी बारी जारी रखता है।</v>
      </c>
      <c r="I179" s="5" t="str">
        <f>IFERROR(__xludf.DUMMYFUNCTION("GOOGLETRANSLATE(D179, ""en"", ""hi"")"),"बी) खिलाड़ी ए रानी खो देता है।")</f>
        <v>बी) खिलाड़ी ए रानी खो देता है।</v>
      </c>
    </row>
    <row r="180" ht="22.5" customHeight="1">
      <c r="A180" s="2">
        <v>179.0</v>
      </c>
      <c r="B180" s="3" t="s">
        <v>8545</v>
      </c>
      <c r="C180" s="3" t="s">
        <v>8546</v>
      </c>
      <c r="D180" s="3" t="s">
        <v>8547</v>
      </c>
      <c r="F180" s="5" t="str">
        <f>IFERROR(__xludf.DUMMYFUNCTION("GOOGLETRANSLATE(A180, ""en"", ""hi"")"),"179")</f>
        <v>179</v>
      </c>
      <c r="G180" s="5" t="str">
        <f>IFERROR(__xludf.DUMMYFUNCTION("GOOGLETRANSLATE(B180, ""en"", ""hi"")"),"खिलाड़ी A स्ट्राइक करता है और स्ट्राइकर रानी और एक सफ़ेद मोहरे को बोर्ड से गिरा देता है। इसके बाद क्या होता है?")</f>
        <v>खिलाड़ी A स्ट्राइक करता है और स्ट्राइकर रानी और एक सफ़ेद मोहरे को बोर्ड से गिरा देता है। इसके बाद क्या होता है?</v>
      </c>
      <c r="H180" s="5" t="str">
        <f>IFERROR(__xludf.DUMMYFUNCTION("GOOGLETRANSLATE(C180, ""en"", ""hi"")"),"A) खिलाड़ी A सफेद मोहरा खो देता है। , B) रानी और सफेद मोहरा को वापस बोर्ड पर रख दिया जाता है। , C) खिलाड़ी A अपनी बारी खो देता है। , D) खिलाड़ी A को दोनों मोहरे बदलने होंगे।")</f>
        <v>A) खिलाड़ी A सफेद मोहरा खो देता है। , B) रानी और सफेद मोहरा को वापस बोर्ड पर रख दिया जाता है। , C) खिलाड़ी A अपनी बारी खो देता है। , D) खिलाड़ी A को दोनों मोहरे बदलने होंगे।</v>
      </c>
      <c r="I180" s="5" t="str">
        <f>IFERROR(__xludf.DUMMYFUNCTION("GOOGLETRANSLATE(D180, ""en"", ""hi"")"),"बी) रानी और सफेद मोहरे को वापस बोर्ड पर रख दिया जाता है।")</f>
        <v>बी) रानी और सफेद मोहरे को वापस बोर्ड पर रख दिया जाता है।</v>
      </c>
    </row>
    <row r="181" ht="22.5" customHeight="1">
      <c r="A181" s="2">
        <v>180.0</v>
      </c>
      <c r="B181" s="3" t="s">
        <v>8548</v>
      </c>
      <c r="C181" s="3" t="s">
        <v>8549</v>
      </c>
      <c r="D181" s="3" t="s">
        <v>8205</v>
      </c>
      <c r="F181" s="5" t="str">
        <f>IFERROR(__xludf.DUMMYFUNCTION("GOOGLETRANSLATE(A181, ""en"", ""hi"")"),"180")</f>
        <v>180</v>
      </c>
      <c r="G181" s="5" t="str">
        <f>IFERROR(__xludf.DUMMYFUNCTION("GOOGLETRANSLATE(B181, ""en"", ""hi"")"),"खिलाड़ी B रानी को पॉकेट में डालकर उसे घोषित कर देता है, लेकिन अगले शॉट में रानी कवर नहीं होती। नतीजा क्या होता है?")</f>
        <v>खिलाड़ी B रानी को पॉकेट में डालकर उसे घोषित कर देता है, लेकिन अगले शॉट में रानी कवर नहीं होती। नतीजा क्या होता है?</v>
      </c>
      <c r="H181" s="5" t="str">
        <f>IFERROR(__xludf.DUMMYFUNCTION("GOOGLETRANSLATE(C181, ""en"", ""hi"")"),"A) खिलाड़ी B अपनी रानी खो देता है। , B) रानी को वापस बोर्ड पर रख दिया जाता है। , C) खिलाड़ी B बिना दंड के खेल जारी रखता है। , D) खिलाड़ी B को दो अंक का दंड दिया जाता है।")</f>
        <v>A) खिलाड़ी B अपनी रानी खो देता है। , B) रानी को वापस बोर्ड पर रख दिया जाता है। , C) खिलाड़ी B बिना दंड के खेल जारी रखता है। , D) खिलाड़ी B को दो अंक का दंड दिया जाता है।</v>
      </c>
      <c r="I181" s="5" t="str">
        <f>IFERROR(__xludf.DUMMYFUNCTION("GOOGLETRANSLATE(D181, ""en"", ""hi"")"),"बी) रानी को वापस बोर्ड पर रख दिया जाता है।")</f>
        <v>बी) रानी को वापस बोर्ड पर रख दिया जाता है।</v>
      </c>
    </row>
    <row r="182" ht="22.5" customHeight="1">
      <c r="A182" s="2">
        <v>181.0</v>
      </c>
      <c r="B182" s="3" t="s">
        <v>8550</v>
      </c>
      <c r="C182" s="3" t="s">
        <v>8551</v>
      </c>
      <c r="D182" s="3" t="s">
        <v>8430</v>
      </c>
      <c r="F182" s="5" t="str">
        <f>IFERROR(__xludf.DUMMYFUNCTION("GOOGLETRANSLATE(A182, ""en"", ""hi"")"),"181")</f>
        <v>181</v>
      </c>
      <c r="G182" s="5" t="str">
        <f>IFERROR(__xludf.DUMMYFUNCTION("GOOGLETRANSLATE(B182, ""en"", ""hi"")"),"कैरम मैच के दौरान, खिलाड़ी A अपने दो मोहरों को पॉकेट में डालता है, लेकिन स्ट्राइकर को भी पॉकेट में डालता है। सही नियम क्या है?")</f>
        <v>कैरम मैच के दौरान, खिलाड़ी A अपने दो मोहरों को पॉकेट में डालता है, लेकिन स्ट्राइकर को भी पॉकेट में डालता है। सही नियम क्या है?</v>
      </c>
      <c r="H182" s="5" t="str">
        <f>IFERROR(__xludf.DUMMYFUNCTION("GOOGLETRANSLATE(C182, ""en"", ""hi"")"),"A) खिलाड़ी A अपनी बारी खो देता है। , B) खिलाड़ी A एक मोहरा खो देता है। , C) खिलाड़ी A को एक अंक का दंड दिया जाता है। , D) खिलाड़ी A को दोनों मोहरे वापस करने होंगे।")</f>
        <v>A) खिलाड़ी A अपनी बारी खो देता है। , B) खिलाड़ी A एक मोहरा खो देता है। , C) खिलाड़ी A को एक अंक का दंड दिया जाता है। , D) खिलाड़ी A को दोनों मोहरे वापस करने होंगे।</v>
      </c>
      <c r="I182" s="5" t="str">
        <f>IFERROR(__xludf.DUMMYFUNCTION("GOOGLETRANSLATE(D182, ""en"", ""hi"")"),"A) खिलाड़ी A अपनी बारी खो देता है।")</f>
        <v>A) खिलाड़ी A अपनी बारी खो देता है।</v>
      </c>
    </row>
    <row r="183" ht="22.5" customHeight="1">
      <c r="A183" s="2">
        <v>182.0</v>
      </c>
      <c r="B183" s="3" t="s">
        <v>8552</v>
      </c>
      <c r="C183" s="3" t="s">
        <v>8553</v>
      </c>
      <c r="D183" s="3" t="s">
        <v>8519</v>
      </c>
      <c r="F183" s="5" t="str">
        <f>IFERROR(__xludf.DUMMYFUNCTION("GOOGLETRANSLATE(A183, ""en"", ""hi"")"),"182")</f>
        <v>182</v>
      </c>
      <c r="G183" s="5" t="str">
        <f>IFERROR(__xludf.DUMMYFUNCTION("GOOGLETRANSLATE(B183, ""en"", ""hi"")"),"खिलाड़ी A, क्वीन पॉकेट में डालने के बाद गलती से अपने स्ट्राइकर को बोर्ड से हटा देता है। नतीजा क्या होता है?")</f>
        <v>खिलाड़ी A, क्वीन पॉकेट में डालने के बाद गलती से अपने स्ट्राइकर को बोर्ड से हटा देता है। नतीजा क्या होता है?</v>
      </c>
      <c r="H183" s="5" t="str">
        <f>IFERROR(__xludf.DUMMYFUNCTION("GOOGLETRANSLATE(C183, ""en"", ""hi"")"),"ए) खिलाड़ी ए खेल जीतता है।, बी) खिलाड़ी ए रानी खो देता है।, सी) खिलाड़ी ए बिना दंड के खेल जारी रखता है।, डी) खिलाड़ी ए को स्ट्राइकर को बोर्ड पर वापस करना होगा।")</f>
        <v>ए) खिलाड़ी ए खेल जीतता है।, बी) खिलाड़ी ए रानी खो देता है।, सी) खिलाड़ी ए बिना दंड के खेल जारी रखता है।, डी) खिलाड़ी ए को स्ट्राइकर को बोर्ड पर वापस करना होगा।</v>
      </c>
      <c r="I183" s="5" t="str">
        <f>IFERROR(__xludf.DUMMYFUNCTION("GOOGLETRANSLATE(D183, ""en"", ""hi"")"),"बी) खिलाड़ी ए रानी खो देता है।")</f>
        <v>बी) खिलाड़ी ए रानी खो देता है।</v>
      </c>
    </row>
    <row r="184" ht="22.5" customHeight="1">
      <c r="A184" s="2">
        <v>183.0</v>
      </c>
      <c r="B184" s="3" t="s">
        <v>8554</v>
      </c>
      <c r="C184" s="3" t="s">
        <v>8555</v>
      </c>
      <c r="D184" s="3" t="s">
        <v>8556</v>
      </c>
      <c r="F184" s="5" t="str">
        <f>IFERROR(__xludf.DUMMYFUNCTION("GOOGLETRANSLATE(A184, ""en"", ""hi"")"),"183")</f>
        <v>183</v>
      </c>
      <c r="G184" s="5" t="str">
        <f>IFERROR(__xludf.DUMMYFUNCTION("GOOGLETRANSLATE(B184, ""en"", ""hi"")"),"खिलाड़ी B अपनी सारी गोटियाँ पॉकेट में डाल देता है, लेकिन रानी को पॉकेट में नहीं डाल पाता। क्या होगा?")</f>
        <v>खिलाड़ी B अपनी सारी गोटियाँ पॉकेट में डाल देता है, लेकिन रानी को पॉकेट में नहीं डाल पाता। क्या होगा?</v>
      </c>
      <c r="H184" s="5" t="str">
        <f>IFERROR(__xludf.DUMMYFUNCTION("GOOGLETRANSLATE(C184, ""en"", ""hi"")"),"ए) खिलाड़ी बी खेल जीतता है। , बी) खिलाड़ी बी को बोर्ड पर एक टुकड़ा वापस करना होगा। , सी) खेल तब तक जारी रहता है जब तक कि रानी पॉकेट में नहीं चली जाती। , डी) खिलाड़ी बी को एक अंक का दंड दिया जाता है।")</f>
        <v>ए) खिलाड़ी बी खेल जीतता है। , बी) खिलाड़ी बी को बोर्ड पर एक टुकड़ा वापस करना होगा। , सी) खेल तब तक जारी रहता है जब तक कि रानी पॉकेट में नहीं चली जाती। , डी) खिलाड़ी बी को एक अंक का दंड दिया जाता है।</v>
      </c>
      <c r="I184" s="5" t="str">
        <f>IFERROR(__xludf.DUMMYFUNCTION("GOOGLETRANSLATE(D184, ""en"", ""hi"")"),"बी) खिलाड़ी बी को एक मोहरा बोर्ड पर वापस लाना होगा।")</f>
        <v>बी) खिलाड़ी बी को एक मोहरा बोर्ड पर वापस लाना होगा।</v>
      </c>
    </row>
    <row r="185" ht="22.5" customHeight="1">
      <c r="A185" s="2">
        <v>184.0</v>
      </c>
      <c r="B185" s="3" t="s">
        <v>8557</v>
      </c>
      <c r="C185" s="3" t="s">
        <v>8558</v>
      </c>
      <c r="D185" s="3" t="s">
        <v>8453</v>
      </c>
      <c r="F185" s="5" t="str">
        <f>IFERROR(__xludf.DUMMYFUNCTION("GOOGLETRANSLATE(A185, ""en"", ""hi"")"),"184")</f>
        <v>184</v>
      </c>
      <c r="G185" s="5" t="str">
        <f>IFERROR(__xludf.DUMMYFUNCTION("GOOGLETRANSLATE(B185, ""en"", ""hi"")"),"खिलाड़ी A स्ट्राइक करते हुए रानी को गिरा देता है, लेकिन कोई भी मोहरा पॉकेट में नहीं डाल पाता। आगे क्या होता है?")</f>
        <v>खिलाड़ी A स्ट्राइक करते हुए रानी को गिरा देता है, लेकिन कोई भी मोहरा पॉकेट में नहीं डाल पाता। आगे क्या होता है?</v>
      </c>
      <c r="H185" s="5" t="str">
        <f>IFERROR(__xludf.DUMMYFUNCTION("GOOGLETRANSLATE(C185, ""en"", ""hi"")"),"ए) रानी को वापस केंद्र में रखा जाता है।, बी) खिलाड़ी ए अपनी बारी खो देता है।, सी) खिलाड़ी ए एक टुकड़ा खो देता है।, डी) खिलाड़ी ए को स्ट्राइकर को बोर्ड पर वापस करना होगा।")</f>
        <v>ए) रानी को वापस केंद्र में रखा जाता है।, बी) खिलाड़ी ए अपनी बारी खो देता है।, सी) खिलाड़ी ए एक टुकड़ा खो देता है।, डी) खिलाड़ी ए को स्ट्राइकर को बोर्ड पर वापस करना होगा।</v>
      </c>
      <c r="I185" s="5" t="str">
        <f>IFERROR(__xludf.DUMMYFUNCTION("GOOGLETRANSLATE(D185, ""en"", ""hi"")"),"A) रानी को वापस केंद्र में रखा गया है।")</f>
        <v>A) रानी को वापस केंद्र में रखा गया है।</v>
      </c>
    </row>
    <row r="186" ht="22.5" customHeight="1">
      <c r="A186" s="2">
        <v>185.0</v>
      </c>
      <c r="B186" s="3" t="s">
        <v>8559</v>
      </c>
      <c r="C186" s="3" t="s">
        <v>8560</v>
      </c>
      <c r="D186" s="3" t="s">
        <v>8505</v>
      </c>
      <c r="F186" s="5" t="str">
        <f>IFERROR(__xludf.DUMMYFUNCTION("GOOGLETRANSLATE(A186, ""en"", ""hi"")"),"185")</f>
        <v>185</v>
      </c>
      <c r="G186" s="5" t="str">
        <f>IFERROR(__xludf.DUMMYFUNCTION("GOOGLETRANSLATE(B186, ""en"", ""hi"")"),"खिलाड़ी B रानी की घोषणा करता है और उसे पॉकेट में डाल देता है, लेकिन उसी शॉट में प्रतिद्वंद्वी का एक मोहरा भी पॉकेट में डाल देता है। नियम क्या है?")</f>
        <v>खिलाड़ी B रानी की घोषणा करता है और उसे पॉकेट में डाल देता है, लेकिन उसी शॉट में प्रतिद्वंद्वी का एक मोहरा भी पॉकेट में डाल देता है। नियम क्या है?</v>
      </c>
      <c r="H186" s="5" t="str">
        <f>IFERROR(__xludf.DUMMYFUNCTION("GOOGLETRANSLATE(C186, ""en"", ""hi"")"),"A) खिलाड़ी B खेल जीत जाता है। , B) खिलाड़ी B रानी खो देता है। , C) खिलाड़ी B को प्रतिद्वंद्वी का मोहरा वापस करना होगा। , D) खिलाड़ी B को एक अंक का दंड दिया जाता है।")</f>
        <v>A) खिलाड़ी B खेल जीत जाता है। , B) खिलाड़ी B रानी खो देता है। , C) खिलाड़ी B को प्रतिद्वंद्वी का मोहरा वापस करना होगा। , D) खिलाड़ी B को एक अंक का दंड दिया जाता है।</v>
      </c>
      <c r="I186" s="5" t="str">
        <f>IFERROR(__xludf.DUMMYFUNCTION("GOOGLETRANSLATE(D186, ""en"", ""hi"")"),"B) खिलाड़ी B रानी खो देता है।")</f>
        <v>B) खिलाड़ी B रानी खो देता है।</v>
      </c>
    </row>
    <row r="187" ht="22.5" customHeight="1">
      <c r="A187" s="2">
        <v>186.0</v>
      </c>
      <c r="B187" s="3" t="s">
        <v>8561</v>
      </c>
      <c r="C187" s="3" t="s">
        <v>8562</v>
      </c>
      <c r="D187" s="3" t="s">
        <v>8519</v>
      </c>
      <c r="F187" s="5" t="str">
        <f>IFERROR(__xludf.DUMMYFUNCTION("GOOGLETRANSLATE(A187, ""en"", ""hi"")"),"186")</f>
        <v>186</v>
      </c>
      <c r="G187" s="5" t="str">
        <f>IFERROR(__xludf.DUMMYFUNCTION("GOOGLETRANSLATE(B187, ""en"", ""hi"")"),"कैरम मैच में, खिलाड़ी A, क्वीन को कवर करने के बाद स्ट्राइकर को पॉकेट में डाल देता है। परिणाम क्या होता है?")</f>
        <v>कैरम मैच में, खिलाड़ी A, क्वीन को कवर करने के बाद स्ट्राइकर को पॉकेट में डाल देता है। परिणाम क्या होता है?</v>
      </c>
      <c r="H187" s="5" t="str">
        <f>IFERROR(__xludf.DUMMYFUNCTION("GOOGLETRANSLATE(C187, ""en"", ""hi"")"),"A) खिलाड़ी A खेल जीतता है। , B) खिलाड़ी A रानी खो देता है। , C) खिलाड़ी A बिना दंड के खेल जारी रखता है। , D) खिलाड़ी A को बोर्ड पर स्ट्राइकर की जगह लेनी होगी।")</f>
        <v>A) खिलाड़ी A खेल जीतता है। , B) खिलाड़ी A रानी खो देता है। , C) खिलाड़ी A बिना दंड के खेल जारी रखता है। , D) खिलाड़ी A को बोर्ड पर स्ट्राइकर की जगह लेनी होगी।</v>
      </c>
      <c r="I187" s="5" t="str">
        <f>IFERROR(__xludf.DUMMYFUNCTION("GOOGLETRANSLATE(D187, ""en"", ""hi"")"),"बी) खिलाड़ी ए रानी खो देता है।")</f>
        <v>बी) खिलाड़ी ए रानी खो देता है।</v>
      </c>
    </row>
    <row r="188" ht="22.5" customHeight="1">
      <c r="A188" s="2">
        <v>187.0</v>
      </c>
      <c r="B188" s="3" t="s">
        <v>8563</v>
      </c>
      <c r="C188" s="3" t="s">
        <v>8564</v>
      </c>
      <c r="D188" s="3" t="s">
        <v>8565</v>
      </c>
      <c r="F188" s="5" t="str">
        <f>IFERROR(__xludf.DUMMYFUNCTION("GOOGLETRANSLATE(A188, ""en"", ""hi"")"),"187")</f>
        <v>187</v>
      </c>
      <c r="G188" s="5" t="str">
        <f>IFERROR(__xludf.DUMMYFUNCTION("GOOGLETRANSLATE(B188, ""en"", ""hi"")"),"खिलाड़ी B आखिरी मोहरा तो पॉकेट में डाल देता है, लेकिन रानी को पॉकेट में नहीं डाल पाता। क्या होता है?")</f>
        <v>खिलाड़ी B आखिरी मोहरा तो पॉकेट में डाल देता है, लेकिन रानी को पॉकेट में नहीं डाल पाता। क्या होता है?</v>
      </c>
      <c r="H188" s="5" t="str">
        <f>IFERROR(__xludf.DUMMYFUNCTION("GOOGLETRANSLATE(C188, ""en"", ""hi"")"),"A) खिलाड़ी B खेल जीत जाता है। , B) खिलाड़ी B को अंतिम मोहरा वापस करना होगा। , C) रानी खेल में बनी रहती है। , D) खिलाड़ी B को एक अंक का दंड दिया जाता है।")</f>
        <v>A) खिलाड़ी B खेल जीत जाता है। , B) खिलाड़ी B को अंतिम मोहरा वापस करना होगा। , C) रानी खेल में बनी रहती है। , D) खिलाड़ी B को एक अंक का दंड दिया जाता है।</v>
      </c>
      <c r="I188" s="5" t="str">
        <f>IFERROR(__xludf.DUMMYFUNCTION("GOOGLETRANSLATE(D188, ""en"", ""hi"")"),"बी) खिलाड़ी बी को अंतिम मोहरा वापस करना होगा।")</f>
        <v>बी) खिलाड़ी बी को अंतिम मोहरा वापस करना होगा।</v>
      </c>
    </row>
    <row r="189" ht="22.5" customHeight="1">
      <c r="A189" s="2">
        <v>188.0</v>
      </c>
      <c r="B189" s="3" t="s">
        <v>8566</v>
      </c>
      <c r="C189" s="3" t="s">
        <v>8567</v>
      </c>
      <c r="D189" s="3" t="s">
        <v>8211</v>
      </c>
      <c r="F189" s="5" t="str">
        <f>IFERROR(__xludf.DUMMYFUNCTION("GOOGLETRANSLATE(A189, ""en"", ""hi"")"),"188")</f>
        <v>188</v>
      </c>
      <c r="G189" s="5" t="str">
        <f>IFERROR(__xludf.DUMMYFUNCTION("GOOGLETRANSLATE(B189, ""en"", ""hi"")"),"खिलाड़ी A रानी को कवर करने की कोशिश में प्रतिद्वंद्वी के मोहरे को पॉकेट में डाल देता है। परिणाम क्या होता है?")</f>
        <v>खिलाड़ी A रानी को कवर करने की कोशिश में प्रतिद्वंद्वी के मोहरे को पॉकेट में डाल देता है। परिणाम क्या होता है?</v>
      </c>
      <c r="H189" s="5" t="str">
        <f>IFERROR(__xludf.DUMMYFUNCTION("GOOGLETRANSLATE(C189, ""en"", ""hi"")"),"A) खिलाड़ी A रानी खो देता है। , B) खिलाड़ी A खेल जीत जाता है। , C) खिलाड़ी A बिना पेनल्टी के खेल जारी रखता है। , D) खिलाड़ी A को शॉट फिर से खेलना होगा।")</f>
        <v>A) खिलाड़ी A रानी खो देता है। , B) खिलाड़ी A खेल जीत जाता है। , C) खिलाड़ी A बिना पेनल्टी के खेल जारी रखता है। , D) खिलाड़ी A को शॉट फिर से खेलना होगा।</v>
      </c>
      <c r="I189" s="5" t="str">
        <f>IFERROR(__xludf.DUMMYFUNCTION("GOOGLETRANSLATE(D189, ""en"", ""hi"")"),"A) खिलाड़ी A रानी खो देता है।")</f>
        <v>A) खिलाड़ी A रानी खो देता है।</v>
      </c>
    </row>
    <row r="190" ht="22.5" customHeight="1">
      <c r="A190" s="2">
        <v>189.0</v>
      </c>
      <c r="B190" s="3" t="s">
        <v>8568</v>
      </c>
      <c r="C190" s="3" t="s">
        <v>8532</v>
      </c>
      <c r="D190" s="3" t="s">
        <v>8519</v>
      </c>
      <c r="F190" s="5" t="str">
        <f>IFERROR(__xludf.DUMMYFUNCTION("GOOGLETRANSLATE(A190, ""en"", ""hi"")"),"189")</f>
        <v>189</v>
      </c>
      <c r="G190" s="5" t="str">
        <f>IFERROR(__xludf.DUMMYFUNCTION("GOOGLETRANSLATE(B190, ""en"", ""hi"")"),"कैरम खेल के दौरान, खिलाड़ी A, रानी को पॉकेट में डालता है, लेकिन स्ट्राइकर को भी पॉकेट में डालता है। इसका नियम क्या है?")</f>
        <v>कैरम खेल के दौरान, खिलाड़ी A, रानी को पॉकेट में डालता है, लेकिन स्ट्राइकर को भी पॉकेट में डालता है। इसका नियम क्या है?</v>
      </c>
      <c r="H190" s="5" t="str">
        <f>IFERROR(__xludf.DUMMYFUNCTION("GOOGLETRANSLATE(C190, ""en"", ""hi"")"),"A) खिलाड़ी A खेल जीत जाता है। , B) खिलाड़ी A रानी खो देता है। , C) खिलाड़ी A को शॉट दोबारा खेलना होगा। , D) खिलाड़ी A बिना पेनल्टी के खेल जारी रखता है।")</f>
        <v>A) खिलाड़ी A खेल जीत जाता है। , B) खिलाड़ी A रानी खो देता है। , C) खिलाड़ी A को शॉट दोबारा खेलना होगा। , D) खिलाड़ी A बिना पेनल्टी के खेल जारी रखता है।</v>
      </c>
      <c r="I190" s="5" t="str">
        <f>IFERROR(__xludf.DUMMYFUNCTION("GOOGLETRANSLATE(D190, ""en"", ""hi"")"),"बी) खिलाड़ी ए रानी खो देता है।")</f>
        <v>बी) खिलाड़ी ए रानी खो देता है।</v>
      </c>
    </row>
    <row r="191" ht="22.5" customHeight="1">
      <c r="A191" s="2">
        <v>190.0</v>
      </c>
      <c r="B191" s="3" t="s">
        <v>8569</v>
      </c>
      <c r="C191" s="3" t="s">
        <v>8570</v>
      </c>
      <c r="D191" s="3" t="s">
        <v>8571</v>
      </c>
      <c r="F191" s="5" t="str">
        <f>IFERROR(__xludf.DUMMYFUNCTION("GOOGLETRANSLATE(A191, ""en"", ""hi"")"),"190")</f>
        <v>190</v>
      </c>
      <c r="G191" s="5" t="str">
        <f>IFERROR(__xludf.DUMMYFUNCTION("GOOGLETRANSLATE(B191, ""en"", ""hi"")"),"खिलाड़ी B स्ट्राइकर और रानी को बोर्ड से बाहर कर देता है। इसके बाद क्या होता है?")</f>
        <v>खिलाड़ी B स्ट्राइकर और रानी को बोर्ड से बाहर कर देता है। इसके बाद क्या होता है?</v>
      </c>
      <c r="H191" s="5" t="str">
        <f>IFERROR(__xludf.DUMMYFUNCTION("GOOGLETRANSLATE(C191, ""en"", ""hi"")"),"ए) खिलाड़ी बी अपनी रानी खो देता है।, बी) रानी और स्ट्राइकर को वापस केंद्र में रखा जाता है।, सी) खिलाड़ी बी अपनी बारी खो देता है।, डी) खिलाड़ी बी को दोनों को बोर्ड पर वापस करना होगा।")</f>
        <v>ए) खिलाड़ी बी अपनी रानी खो देता है।, बी) रानी और स्ट्राइकर को वापस केंद्र में रखा जाता है।, सी) खिलाड़ी बी अपनी बारी खो देता है।, डी) खिलाड़ी बी को दोनों को बोर्ड पर वापस करना होगा।</v>
      </c>
      <c r="I191" s="5" t="str">
        <f>IFERROR(__xludf.DUMMYFUNCTION("GOOGLETRANSLATE(D191, ""en"", ""hi"")"),"बी) रानी और स्ट्राइकर को वापस केंद्र में रखा जाता है।")</f>
        <v>बी) रानी और स्ट्राइकर को वापस केंद्र में रखा जाता है।</v>
      </c>
    </row>
    <row r="192" ht="22.5" customHeight="1">
      <c r="A192" s="2">
        <v>191.0</v>
      </c>
      <c r="B192" s="3" t="s">
        <v>8572</v>
      </c>
      <c r="C192" s="3" t="s">
        <v>8573</v>
      </c>
      <c r="D192" s="3" t="s">
        <v>8519</v>
      </c>
      <c r="F192" s="5" t="str">
        <f>IFERROR(__xludf.DUMMYFUNCTION("GOOGLETRANSLATE(A192, ""en"", ""hi"")"),"191")</f>
        <v>191</v>
      </c>
      <c r="G192" s="5" t="str">
        <f>IFERROR(__xludf.DUMMYFUNCTION("GOOGLETRANSLATE(B192, ""en"", ""hi"")"),"खिलाड़ी A क्वीन घोषित करता है और उसे पॉकेट में डाल देता है, लेकिन उसी शॉट में स्ट्राइकर को भी पॉकेट में डाल देता है। नतीजा क्या होता है?")</f>
        <v>खिलाड़ी A क्वीन घोषित करता है और उसे पॉकेट में डाल देता है, लेकिन उसी शॉट में स्ट्राइकर को भी पॉकेट में डाल देता है। नतीजा क्या होता है?</v>
      </c>
      <c r="H192" s="5" t="str">
        <f>IFERROR(__xludf.DUMMYFUNCTION("GOOGLETRANSLATE(C192, ""en"", ""hi"")"),"A) खिलाड़ी A खेल जीत जाता है। , B) खिलाड़ी A रानी खो देता है। , C) खिलाड़ी A को शॉट दोबारा खेलना होगा। , D) खिलाड़ी A बिना किसी पेनल्टी के खेल जारी रखता है।")</f>
        <v>A) खिलाड़ी A खेल जीत जाता है। , B) खिलाड़ी A रानी खो देता है। , C) खिलाड़ी A को शॉट दोबारा खेलना होगा। , D) खिलाड़ी A बिना किसी पेनल्टी के खेल जारी रखता है।</v>
      </c>
      <c r="I192" s="5" t="str">
        <f>IFERROR(__xludf.DUMMYFUNCTION("GOOGLETRANSLATE(D192, ""en"", ""hi"")"),"बी) खिलाड़ी ए रानी खो देता है।")</f>
        <v>बी) खिलाड़ी ए रानी खो देता है।</v>
      </c>
    </row>
    <row r="193" ht="22.5" customHeight="1">
      <c r="A193" s="2">
        <v>192.0</v>
      </c>
      <c r="B193" s="3" t="s">
        <v>8574</v>
      </c>
      <c r="C193" s="3" t="s">
        <v>8575</v>
      </c>
      <c r="D193" s="3" t="s">
        <v>8505</v>
      </c>
      <c r="F193" s="5" t="str">
        <f>IFERROR(__xludf.DUMMYFUNCTION("GOOGLETRANSLATE(A193, ""en"", ""hi"")"),"192")</f>
        <v>192</v>
      </c>
      <c r="G193" s="5" t="str">
        <f>IFERROR(__xludf.DUMMYFUNCTION("GOOGLETRANSLATE(B193, ""en"", ""hi"")"),"खिलाड़ी B, रानी को कवर करने की कोशिश में गलती से अपने ही दो मोहरे पॉकेट में डाल देता है। इसका नियम क्या है?")</f>
        <v>खिलाड़ी B, रानी को कवर करने की कोशिश में गलती से अपने ही दो मोहरे पॉकेट में डाल देता है। इसका नियम क्या है?</v>
      </c>
      <c r="H193" s="5" t="str">
        <f>IFERROR(__xludf.DUMMYFUNCTION("GOOGLETRANSLATE(C193, ""en"", ""hi"")"),"A) खिलाड़ी B एक मोहरा खो देता है। , B) खिलाड़ी B रानी खो देता है। , C) खिलाड़ी B बिना दंड के खेल जारी रखता है। , D) खिलाड़ी B पर दो अंक का दंड लगाया जाता है।")</f>
        <v>A) खिलाड़ी B एक मोहरा खो देता है। , B) खिलाड़ी B रानी खो देता है। , C) खिलाड़ी B बिना दंड के खेल जारी रखता है। , D) खिलाड़ी B पर दो अंक का दंड लगाया जाता है।</v>
      </c>
      <c r="I193" s="5" t="str">
        <f>IFERROR(__xludf.DUMMYFUNCTION("GOOGLETRANSLATE(D193, ""en"", ""hi"")"),"B) खिलाड़ी B रानी खो देता है।")</f>
        <v>B) खिलाड़ी B रानी खो देता है।</v>
      </c>
    </row>
    <row r="194" ht="22.5" customHeight="1">
      <c r="A194" s="2">
        <v>193.0</v>
      </c>
      <c r="B194" s="3" t="s">
        <v>8576</v>
      </c>
      <c r="C194" s="3" t="s">
        <v>8577</v>
      </c>
      <c r="D194" s="3" t="s">
        <v>8578</v>
      </c>
      <c r="F194" s="5" t="str">
        <f>IFERROR(__xludf.DUMMYFUNCTION("GOOGLETRANSLATE(A194, ""en"", ""hi"")"),"193")</f>
        <v>193</v>
      </c>
      <c r="G194" s="5" t="str">
        <f>IFERROR(__xludf.DUMMYFUNCTION("GOOGLETRANSLATE(B194, ""en"", ""hi"")"),"खिलाड़ी A रानी को कवर करने से पहले अपनी आखिरी गोटी पॉकेट में डाल देता है। क्या होगा?")</f>
        <v>खिलाड़ी A रानी को कवर करने से पहले अपनी आखिरी गोटी पॉकेट में डाल देता है। क्या होगा?</v>
      </c>
      <c r="H194" s="5" t="str">
        <f>IFERROR(__xludf.DUMMYFUNCTION("GOOGLETRANSLATE(C194, ""en"", ""hi"")"),"A) खिलाड़ी A खेल जीत जाता है। , B) खिलाड़ी A अपना आखिरी मोहरा खो देता है। , C) खिलाड़ी A को आखिरी मोहरा वापस करना होगा। , D) खिलाड़ी A को एक अंक का दंड दिया जाता है।")</f>
        <v>A) खिलाड़ी A खेल जीत जाता है। , B) खिलाड़ी A अपना आखिरी मोहरा खो देता है। , C) खिलाड़ी A को आखिरी मोहरा वापस करना होगा। , D) खिलाड़ी A को एक अंक का दंड दिया जाता है।</v>
      </c>
      <c r="I194" s="5" t="str">
        <f>IFERROR(__xludf.DUMMYFUNCTION("GOOGLETRANSLATE(D194, ""en"", ""hi"")"),"C) खिलाड़ी A को अंतिम मोहरा वापस करना होगा।")</f>
        <v>C) खिलाड़ी A को अंतिम मोहरा वापस करना होगा।</v>
      </c>
    </row>
    <row r="195" ht="22.5" customHeight="1">
      <c r="A195" s="2">
        <v>194.0</v>
      </c>
      <c r="B195" s="3" t="s">
        <v>8579</v>
      </c>
      <c r="C195" s="3" t="s">
        <v>8580</v>
      </c>
      <c r="D195" s="3" t="s">
        <v>8205</v>
      </c>
      <c r="F195" s="5" t="str">
        <f>IFERROR(__xludf.DUMMYFUNCTION("GOOGLETRANSLATE(A195, ""en"", ""hi"")"),"194")</f>
        <v>194</v>
      </c>
      <c r="G195" s="5" t="str">
        <f>IFERROR(__xludf.DUMMYFUNCTION("GOOGLETRANSLATE(B195, ""en"", ""hi"")"),"खिलाड़ी A रानी को पॉकेट में डाल देता है, लेकिन अगली बारी से पहले उसे कवर नहीं कर पाता। क्या होता है?")</f>
        <v>खिलाड़ी A रानी को पॉकेट में डाल देता है, लेकिन अगली बारी से पहले उसे कवर नहीं कर पाता। क्या होता है?</v>
      </c>
      <c r="H195" s="5" t="str">
        <f>IFERROR(__xludf.DUMMYFUNCTION("GOOGLETRANSLATE(C195, ""en"", ""hi"")"),"A) खिलाड़ी A खेल जीत जाता है। , B) रानी को वापस बोर्ड पर रख दिया जाता है। , C) खिलाड़ी A को एक अंक का दंड दिया जाता है। , D) खिलाड़ी A को इसे कवर करने का एक और मौका मिलता है।")</f>
        <v>A) खिलाड़ी A खेल जीत जाता है। , B) रानी को वापस बोर्ड पर रख दिया जाता है। , C) खिलाड़ी A को एक अंक का दंड दिया जाता है। , D) खिलाड़ी A को इसे कवर करने का एक और मौका मिलता है।</v>
      </c>
      <c r="I195" s="5" t="str">
        <f>IFERROR(__xludf.DUMMYFUNCTION("GOOGLETRANSLATE(D195, ""en"", ""hi"")"),"बी) रानी को वापस बोर्ड पर रख दिया जाता है।")</f>
        <v>बी) रानी को वापस बोर्ड पर रख दिया जाता है।</v>
      </c>
    </row>
    <row r="196" ht="22.5" customHeight="1">
      <c r="A196" s="2">
        <v>195.0</v>
      </c>
      <c r="B196" s="3" t="s">
        <v>8581</v>
      </c>
      <c r="C196" s="3" t="s">
        <v>8582</v>
      </c>
      <c r="D196" s="3" t="s">
        <v>8480</v>
      </c>
      <c r="F196" s="5" t="str">
        <f>IFERROR(__xludf.DUMMYFUNCTION("GOOGLETRANSLATE(A196, ""en"", ""hi"")"),"195")</f>
        <v>195</v>
      </c>
      <c r="G196" s="5" t="str">
        <f>IFERROR(__xludf.DUMMYFUNCTION("GOOGLETRANSLATE(B196, ""en"", ""hi"")"),"कैरम मैच के दौरान, खिलाड़ी B गलती से रानी को बोर्ड से नीचे गिरा देता है। इसका क्या नियम है?")</f>
        <v>कैरम मैच के दौरान, खिलाड़ी B गलती से रानी को बोर्ड से नीचे गिरा देता है। इसका क्या नियम है?</v>
      </c>
      <c r="H196" s="5" t="str">
        <f>IFERROR(__xludf.DUMMYFUNCTION("GOOGLETRANSLATE(C196, ""en"", ""hi"")"),"A) खिलाड़ी B अपनी रानी खो देता है। , B) रानी को वापस केंद्र में रख दिया जाता है। , C) खिलाड़ी B को दो अंक का दंड दिया जाता है। , D) खिलाड़ी B अपनी बारी खो देता है।")</f>
        <v>A) खिलाड़ी B अपनी रानी खो देता है। , B) रानी को वापस केंद्र में रख दिया जाता है। , C) खिलाड़ी B को दो अंक का दंड दिया जाता है। , D) खिलाड़ी B अपनी बारी खो देता है।</v>
      </c>
      <c r="I196" s="5" t="str">
        <f>IFERROR(__xludf.DUMMYFUNCTION("GOOGLETRANSLATE(D196, ""en"", ""hi"")"),"बी) रानी को वापस केंद्र में रखा गया है।")</f>
        <v>बी) रानी को वापस केंद्र में रखा गया है।</v>
      </c>
    </row>
    <row r="197" ht="22.5" customHeight="1">
      <c r="A197" s="2">
        <v>196.0</v>
      </c>
      <c r="B197" s="3" t="s">
        <v>8583</v>
      </c>
      <c r="C197" s="3" t="s">
        <v>8584</v>
      </c>
      <c r="D197" s="3" t="s">
        <v>8519</v>
      </c>
      <c r="F197" s="5" t="str">
        <f>IFERROR(__xludf.DUMMYFUNCTION("GOOGLETRANSLATE(A197, ""en"", ""hi"")"),"196")</f>
        <v>196</v>
      </c>
      <c r="G197" s="5" t="str">
        <f>IFERROR(__xludf.DUMMYFUNCTION("GOOGLETRANSLATE(B197, ""en"", ""hi"")"),"खिलाड़ी A ने वार किया और रानी और खिलाड़ी B का एक मोहरा पॉकेट में चला गया। क्या होगा?")</f>
        <v>खिलाड़ी A ने वार किया और रानी और खिलाड़ी B का एक मोहरा पॉकेट में चला गया। क्या होगा?</v>
      </c>
      <c r="H197" s="5" t="str">
        <f>IFERROR(__xludf.DUMMYFUNCTION("GOOGLETRANSLATE(C197, ""en"", ""hi"")"),"A) खिलाड़ी A खेल जीत जाता है। , B) खिलाड़ी A रानी खो देता है। , C) रानी बोर्ड पर वापस आ जाती है। , D) खिलाड़ी B को एक अतिरिक्त बारी मिलती है।")</f>
        <v>A) खिलाड़ी A खेल जीत जाता है। , B) खिलाड़ी A रानी खो देता है। , C) रानी बोर्ड पर वापस आ जाती है। , D) खिलाड़ी B को एक अतिरिक्त बारी मिलती है।</v>
      </c>
      <c r="I197" s="5" t="str">
        <f>IFERROR(__xludf.DUMMYFUNCTION("GOOGLETRANSLATE(D197, ""en"", ""hi"")"),"बी) खिलाड़ी ए रानी खो देता है।")</f>
        <v>बी) खिलाड़ी ए रानी खो देता है।</v>
      </c>
    </row>
    <row r="198" ht="22.5" customHeight="1">
      <c r="A198" s="2">
        <v>197.0</v>
      </c>
      <c r="B198" s="3" t="s">
        <v>8585</v>
      </c>
      <c r="C198" s="3" t="s">
        <v>8586</v>
      </c>
      <c r="D198" s="3" t="s">
        <v>8422</v>
      </c>
      <c r="F198" s="5" t="str">
        <f>IFERROR(__xludf.DUMMYFUNCTION("GOOGLETRANSLATE(A198, ""en"", ""hi"")"),"197")</f>
        <v>197</v>
      </c>
      <c r="G198" s="5" t="str">
        <f>IFERROR(__xludf.DUMMYFUNCTION("GOOGLETRANSLATE(B198, ""en"", ""hi"")"),"खिलाड़ी B, क्वीन को कवर करने की कोशिश में स्ट्राइकर को पॉकेट में डाल देता है। नतीजा क्या होता है?")</f>
        <v>खिलाड़ी B, क्वीन को कवर करने की कोशिश में स्ट्राइकर को पॉकेट में डाल देता है। नतीजा क्या होता है?</v>
      </c>
      <c r="H198" s="5" t="str">
        <f>IFERROR(__xludf.DUMMYFUNCTION("GOOGLETRANSLATE(C198, ""en"", ""hi"")"),"ए) खिलाड़ी बी रानी खो देता है।, बी) खिलाड़ी बी को एक मोहरा दंडित किया जाता है।, सी) खिलाड़ी बी अपनी बारी खो देता है।, डी) खिलाड़ी बी को स्ट्राइकर की जगह लेनी होगी।")</f>
        <v>ए) खिलाड़ी बी रानी खो देता है।, बी) खिलाड़ी बी को एक मोहरा दंडित किया जाता है।, सी) खिलाड़ी बी अपनी बारी खो देता है।, डी) खिलाड़ी बी को स्ट्राइकर की जगह लेनी होगी।</v>
      </c>
      <c r="I198" s="5" t="str">
        <f>IFERROR(__xludf.DUMMYFUNCTION("GOOGLETRANSLATE(D198, ""en"", ""hi"")"),"A) खिलाड़ी B रानी खो देता है।")</f>
        <v>A) खिलाड़ी B रानी खो देता है।</v>
      </c>
    </row>
    <row r="199" ht="22.5" customHeight="1">
      <c r="A199" s="2">
        <v>198.0</v>
      </c>
      <c r="B199" s="3" t="s">
        <v>8587</v>
      </c>
      <c r="C199" s="3" t="s">
        <v>8588</v>
      </c>
      <c r="D199" s="3" t="s">
        <v>8589</v>
      </c>
      <c r="F199" s="5" t="str">
        <f>IFERROR(__xludf.DUMMYFUNCTION("GOOGLETRANSLATE(A199, ""en"", ""hi"")"),"198")</f>
        <v>198</v>
      </c>
      <c r="G199" s="5" t="str">
        <f>IFERROR(__xludf.DUMMYFUNCTION("GOOGLETRANSLATE(B199, ""en"", ""hi"")"),"खिलाड़ी A आखिरी काली गोटी पॉकेट में डाल देता है, लेकिन रानी को कवर नहीं करता। नतीजा क्या होता है?")</f>
        <v>खिलाड़ी A आखिरी काली गोटी पॉकेट में डाल देता है, लेकिन रानी को कवर नहीं करता। नतीजा क्या होता है?</v>
      </c>
      <c r="H199" s="5" t="str">
        <f>IFERROR(__xludf.DUMMYFUNCTION("GOOGLETRANSLATE(C199, ""en"", ""hi"")"),"ए) खिलाड़ी ए खेल जीतता है।, बी) खिलाड़ी ए को काला मोहरा वापस करना होगा।, सी) खिलाड़ी ए को एक अंक का दंड दिया जाता है।, डी) खेल जारी रहता है और खिलाड़ी ए को रानी को पॉकेट में डालना होता है।")</f>
        <v>ए) खिलाड़ी ए खेल जीतता है।, बी) खिलाड़ी ए को काला मोहरा वापस करना होगा।, सी) खिलाड़ी ए को एक अंक का दंड दिया जाता है।, डी) खेल जारी रहता है और खिलाड़ी ए को रानी को पॉकेट में डालना होता है।</v>
      </c>
      <c r="I199" s="5" t="str">
        <f>IFERROR(__xludf.DUMMYFUNCTION("GOOGLETRANSLATE(D199, ""en"", ""hi"")"),"बी) खिलाड़ी ए को काला मोहरा वापस करना होगा।")</f>
        <v>बी) खिलाड़ी ए को काला मोहरा वापस करना होगा।</v>
      </c>
    </row>
    <row r="200" ht="22.5" customHeight="1">
      <c r="A200" s="2">
        <v>199.0</v>
      </c>
      <c r="B200" s="3" t="s">
        <v>8590</v>
      </c>
      <c r="C200" s="3" t="s">
        <v>8591</v>
      </c>
      <c r="D200" s="3" t="s">
        <v>8413</v>
      </c>
      <c r="F200" s="5" t="str">
        <f>IFERROR(__xludf.DUMMYFUNCTION("GOOGLETRANSLATE(A200, ""en"", ""hi"")"),"199")</f>
        <v>199</v>
      </c>
      <c r="G200" s="5" t="str">
        <f>IFERROR(__xludf.DUMMYFUNCTION("GOOGLETRANSLATE(B200, ""en"", ""hi"")"),"कैरम मैच में, खिलाड़ी B अपनी आखिरी गोटी पॉकेट में डाल देता है और एक ही शॉट में रानी को ढँक लेता है। क्या होता है?")</f>
        <v>कैरम मैच में, खिलाड़ी B अपनी आखिरी गोटी पॉकेट में डाल देता है और एक ही शॉट में रानी को ढँक लेता है। क्या होता है?</v>
      </c>
      <c r="H200" s="5" t="str">
        <f>IFERROR(__xludf.DUMMYFUNCTION("GOOGLETRANSLATE(C200, ""en"", ""hi"")"),"ए) खिलाड़ी बी खेल जीत जाता है। , बी) शॉट अवैध है। , सी) खिलाड़ी बी को शॉट दोबारा खेलना होगा। , डी) खिलाड़ी बी को रानी घोषित नहीं करने के लिए दंडित किया जाता है।")</f>
        <v>ए) खिलाड़ी बी खेल जीत जाता है। , बी) शॉट अवैध है। , सी) खिलाड़ी बी को शॉट दोबारा खेलना होगा। , डी) खिलाड़ी बी को रानी घोषित नहीं करने के लिए दंडित किया जाता है।</v>
      </c>
      <c r="I200" s="5" t="str">
        <f>IFERROR(__xludf.DUMMYFUNCTION("GOOGLETRANSLATE(D200, ""en"", ""hi"")"),"A) खिलाड़ी B खेल जीतता है।")</f>
        <v>A) खिलाड़ी B खेल जीतता है।</v>
      </c>
    </row>
    <row r="201" ht="22.5" customHeight="1">
      <c r="A201" s="2">
        <v>200.0</v>
      </c>
      <c r="B201" s="3" t="s">
        <v>8592</v>
      </c>
      <c r="C201" s="3" t="s">
        <v>8593</v>
      </c>
      <c r="D201" s="3" t="s">
        <v>8480</v>
      </c>
      <c r="F201" s="5" t="str">
        <f>IFERROR(__xludf.DUMMYFUNCTION("GOOGLETRANSLATE(A201, ""en"", ""hi"")"),"200")</f>
        <v>200</v>
      </c>
      <c r="G201" s="5" t="str">
        <f>IFERROR(__xludf.DUMMYFUNCTION("GOOGLETRANSLATE(B201, ""en"", ""hi"")"),"खिलाड़ी A गलती से मोहरा पॉकेट में डालने की कोशिश में रानी को चला देता है, लेकिन वह पॉकेट में नहीं जाता। सही नियम क्या है?")</f>
        <v>खिलाड़ी A गलती से मोहरा पॉकेट में डालने की कोशिश में रानी को चला देता है, लेकिन वह पॉकेट में नहीं जाता। सही नियम क्या है?</v>
      </c>
      <c r="H201" s="5" t="str">
        <f>IFERROR(__xludf.DUMMYFUNCTION("GOOGLETRANSLATE(C201, ""en"", ""hi"")"),"A) खिलाड़ी A अपनी बारी खो देता है। , B) रानी को वापस केंद्र में रखा जाता है। , C) खिलाड़ी A को एक अंक का दंड दिया जाता है। , D) रानी को निकटतम उपलब्ध स्थान पर रखा जाता है।")</f>
        <v>A) खिलाड़ी A अपनी बारी खो देता है। , B) रानी को वापस केंद्र में रखा जाता है। , C) खिलाड़ी A को एक अंक का दंड दिया जाता है। , D) रानी को निकटतम उपलब्ध स्थान पर रखा जाता है।</v>
      </c>
      <c r="I201" s="5" t="str">
        <f>IFERROR(__xludf.DUMMYFUNCTION("GOOGLETRANSLATE(D201, ""en"", ""hi"")"),"बी) रानी को वापस केंद्र में रखा गया है।")</f>
        <v>बी) रानी को वापस केंद्र में रखा गया है।</v>
      </c>
    </row>
    <row r="202" ht="22.5" customHeight="1">
      <c r="A202" s="2">
        <v>201.0</v>
      </c>
      <c r="B202" s="3" t="s">
        <v>8594</v>
      </c>
      <c r="C202" s="3" t="s">
        <v>8595</v>
      </c>
      <c r="D202" s="3" t="s">
        <v>8505</v>
      </c>
      <c r="F202" s="5" t="str">
        <f>IFERROR(__xludf.DUMMYFUNCTION("GOOGLETRANSLATE(A202, ""en"", ""hi"")"),"201")</f>
        <v>201</v>
      </c>
      <c r="G202" s="5" t="str">
        <f>IFERROR(__xludf.DUMMYFUNCTION("GOOGLETRANSLATE(B202, ""en"", ""hi"")"),"खिलाड़ी B क्वीन को कवर करता है, लेकिन उसी शॉट में स्ट्राइकर को पॉकेट में डाल देता है। क्या होता है?")</f>
        <v>खिलाड़ी B क्वीन को कवर करता है, लेकिन उसी शॉट में स्ट्राइकर को पॉकेट में डाल देता है। क्या होता है?</v>
      </c>
      <c r="H202" s="5" t="str">
        <f>IFERROR(__xludf.DUMMYFUNCTION("GOOGLETRANSLATE(C202, ""en"", ""hi"")"),"A) खिलाड़ी B खेल जीत जाता है। , B) खिलाड़ी B रानी खो देता है। , C) खिलाड़ी B को शॉट दोबारा खेलना होगा। , D) खिलाड़ी B अपनी बारी खो देता है।")</f>
        <v>A) खिलाड़ी B खेल जीत जाता है। , B) खिलाड़ी B रानी खो देता है। , C) खिलाड़ी B को शॉट दोबारा खेलना होगा। , D) खिलाड़ी B अपनी बारी खो देता है।</v>
      </c>
      <c r="I202" s="5" t="str">
        <f>IFERROR(__xludf.DUMMYFUNCTION("GOOGLETRANSLATE(D202, ""en"", ""hi"")"),"B) खिलाड़ी B रानी खो देता है।")</f>
        <v>B) खिलाड़ी B रानी खो देता है।</v>
      </c>
    </row>
    <row r="203" ht="22.5" customHeight="1">
      <c r="A203" s="2">
        <v>202.0</v>
      </c>
      <c r="B203" s="3" t="s">
        <v>8596</v>
      </c>
      <c r="C203" s="3" t="s">
        <v>8597</v>
      </c>
      <c r="D203" s="3" t="s">
        <v>8598</v>
      </c>
      <c r="F203" s="5" t="str">
        <f>IFERROR(__xludf.DUMMYFUNCTION("GOOGLETRANSLATE(A203, ""en"", ""hi"")"),"202")</f>
        <v>202</v>
      </c>
      <c r="G203" s="5" t="str">
        <f>IFERROR(__xludf.DUMMYFUNCTION("GOOGLETRANSLATE(B203, ""en"", ""hi"")"),"कैरम खेल के दौरान, खिलाड़ी A, रानी को कवर करने की कोशिश में अपनी एक गोटी बोर्ड से नीचे गिरा देता है। परिणाम क्या होता है?")</f>
        <v>कैरम खेल के दौरान, खिलाड़ी A, रानी को कवर करने की कोशिश में अपनी एक गोटी बोर्ड से नीचे गिरा देता है। परिणाम क्या होता है?</v>
      </c>
      <c r="H203" s="5" t="str">
        <f>IFERROR(__xludf.DUMMYFUNCTION("GOOGLETRANSLATE(C203, ""en"", ""hi"")"),"A) खिलाड़ी A अपनी रानी खो देता है। , B) खिलाड़ी A अपनी गोटी खो देता है। , C) खिलाड़ी A अपनी बारी खो देता है। , D) खिलाड़ी A को दो अंक का दंड दिया जाता है।")</f>
        <v>A) खिलाड़ी A अपनी रानी खो देता है। , B) खिलाड़ी A अपनी गोटी खो देता है। , C) खिलाड़ी A अपनी बारी खो देता है। , D) खिलाड़ी A को दो अंक का दंड दिया जाता है।</v>
      </c>
      <c r="I203" s="5" t="str">
        <f>IFERROR(__xludf.DUMMYFUNCTION("GOOGLETRANSLATE(D203, ""en"", ""hi"")"),"B) खिलाड़ी A अपना मोहरा खो देता है।")</f>
        <v>B) खिलाड़ी A अपना मोहरा खो देता है।</v>
      </c>
    </row>
    <row r="204" ht="22.5" customHeight="1">
      <c r="A204" s="2">
        <v>203.0</v>
      </c>
      <c r="B204" s="3" t="s">
        <v>8599</v>
      </c>
      <c r="C204" s="3" t="s">
        <v>8600</v>
      </c>
      <c r="D204" s="3" t="s">
        <v>8601</v>
      </c>
      <c r="F204" s="5" t="str">
        <f>IFERROR(__xludf.DUMMYFUNCTION("GOOGLETRANSLATE(A204, ""en"", ""hi"")"),"203")</f>
        <v>203</v>
      </c>
      <c r="G204" s="5" t="str">
        <f>IFERROR(__xludf.DUMMYFUNCTION("GOOGLETRANSLATE(B204, ""en"", ""hi"")"),"खिलाड़ी A ने स्ट्राइकर को लगातार दो बार पॉकेट में डाला। इसका नियम क्या है?")</f>
        <v>खिलाड़ी A ने स्ट्राइकर को लगातार दो बार पॉकेट में डाला। इसका नियम क्या है?</v>
      </c>
      <c r="H204" s="5" t="str">
        <f>IFERROR(__xludf.DUMMYFUNCTION("GOOGLETRANSLATE(C204, ""en"", ""hi"")"),"A) खिलाड़ी A को एक अंक का दंड दिया जाता है। , B) खिलाड़ी A अपनी बारी खो देता है। , C) खिलाड़ी A को एक मोहरा बोर्ड पर वापस करना होगा। , D) खिलाड़ी A बिना दंड के खेल जारी रखता है।")</f>
        <v>A) खिलाड़ी A को एक अंक का दंड दिया जाता है। , B) खिलाड़ी A अपनी बारी खो देता है। , C) खिलाड़ी A को एक मोहरा बोर्ड पर वापस करना होगा। , D) खिलाड़ी A बिना दंड के खेल जारी रखता है।</v>
      </c>
      <c r="I204" s="5" t="str">
        <f>IFERROR(__xludf.DUMMYFUNCTION("GOOGLETRANSLATE(D204, ""en"", ""hi"")"),"C) खिलाड़ी A को एक मोहरा बोर्ड पर वापस लाना होगा।")</f>
        <v>C) खिलाड़ी A को एक मोहरा बोर्ड पर वापस लाना होगा।</v>
      </c>
    </row>
    <row r="205" ht="22.5" customHeight="1">
      <c r="A205" s="2">
        <v>204.0</v>
      </c>
      <c r="B205" s="3" t="s">
        <v>8602</v>
      </c>
      <c r="C205" s="3" t="s">
        <v>8603</v>
      </c>
      <c r="D205" s="3" t="s">
        <v>8413</v>
      </c>
      <c r="F205" s="5" t="str">
        <f>IFERROR(__xludf.DUMMYFUNCTION("GOOGLETRANSLATE(A205, ""en"", ""hi"")"),"204")</f>
        <v>204</v>
      </c>
      <c r="G205" s="5" t="str">
        <f>IFERROR(__xludf.DUMMYFUNCTION("GOOGLETRANSLATE(B205, ""en"", ""hi"")"),"खिलाड़ी B एक ही बार में रानी और आखिरी सफ़ेद मोहरा पॉकेट में डाल देता है। नतीजा क्या होता है?")</f>
        <v>खिलाड़ी B एक ही बार में रानी और आखिरी सफ़ेद मोहरा पॉकेट में डाल देता है। नतीजा क्या होता है?</v>
      </c>
      <c r="H205" s="5" t="str">
        <f>IFERROR(__xludf.DUMMYFUNCTION("GOOGLETRANSLATE(C205, ""en"", ""hi"")"),"A) खिलाड़ी B खेल जीत जाता है। , B) खिलाड़ी B रानी खो देता है। , C) खिलाड़ी B को शॉट दोबारा खेलना होगा। , D) रानी को वापस बोर्ड पर रख दिया जाता है।")</f>
        <v>A) खिलाड़ी B खेल जीत जाता है। , B) खिलाड़ी B रानी खो देता है। , C) खिलाड़ी B को शॉट दोबारा खेलना होगा। , D) रानी को वापस बोर्ड पर रख दिया जाता है।</v>
      </c>
      <c r="I205" s="5" t="str">
        <f>IFERROR(__xludf.DUMMYFUNCTION("GOOGLETRANSLATE(D205, ""en"", ""hi"")"),"A) खिलाड़ी B खेल जीतता है।")</f>
        <v>A) खिलाड़ी B खेल जीतता है।</v>
      </c>
    </row>
    <row r="206" ht="22.5" customHeight="1">
      <c r="A206" s="2">
        <v>205.0</v>
      </c>
      <c r="B206" s="3" t="s">
        <v>8604</v>
      </c>
      <c r="C206" s="3" t="s">
        <v>8605</v>
      </c>
      <c r="D206" s="3" t="s">
        <v>8606</v>
      </c>
      <c r="F206" s="5" t="str">
        <f>IFERROR(__xludf.DUMMYFUNCTION("GOOGLETRANSLATE(A206, ""en"", ""hi"")"),"205")</f>
        <v>205</v>
      </c>
      <c r="G206" s="5" t="str">
        <f>IFERROR(__xludf.DUMMYFUNCTION("GOOGLETRANSLATE(B206, ""en"", ""hi"")"),"खिलाड़ी A ने रानी पर प्रहार किया, लेकिन वह स्ट्राइकर को छूकर वापस केंद्र में आ गई। नियम क्या है?")</f>
        <v>खिलाड़ी A ने रानी पर प्रहार किया, लेकिन वह स्ट्राइकर को छूकर वापस केंद्र में आ गई। नियम क्या है?</v>
      </c>
      <c r="H206" s="5" t="str">
        <f>IFERROR(__xludf.DUMMYFUNCTION("GOOGLETRANSLATE(C206, ""en"", ""hi"")"),"A) रानी को वापस केंद्र में रखा जाता है। , B) खिलाड़ी A अपनी बारी खो देता है। , C) खिलाड़ी A को एक अंक का दंड दिया जाता है। , D) रानी खेल में बनी रहती है।")</f>
        <v>A) रानी को वापस केंद्र में रखा जाता है। , B) खिलाड़ी A अपनी बारी खो देता है। , C) खिलाड़ी A को एक अंक का दंड दिया जाता है। , D) रानी खेल में बनी रहती है।</v>
      </c>
      <c r="I206" s="5" t="str">
        <f>IFERROR(__xludf.DUMMYFUNCTION("GOOGLETRANSLATE(D206, ""en"", ""hi"")"),"D) रानी खेल में बनी रहती है।")</f>
        <v>D) रानी खेल में बनी रहती है।</v>
      </c>
    </row>
    <row r="207" ht="22.5" customHeight="1">
      <c r="A207" s="2">
        <v>206.0</v>
      </c>
      <c r="B207" s="3" t="s">
        <v>8607</v>
      </c>
      <c r="C207" s="3" t="s">
        <v>8608</v>
      </c>
      <c r="D207" s="3" t="s">
        <v>8488</v>
      </c>
      <c r="F207" s="5" t="str">
        <f>IFERROR(__xludf.DUMMYFUNCTION("GOOGLETRANSLATE(A207, ""en"", ""hi"")"),"206")</f>
        <v>206</v>
      </c>
      <c r="G207" s="5" t="str">
        <f>IFERROR(__xludf.DUMMYFUNCTION("GOOGLETRANSLATE(B207, ""en"", ""hi"")"),"खिलाड़ी B मोहरा पॉकेट में डालने की कोशिश में स्ट्राइकर को बोर्ड से नीचे गिरा देता है। क्या होता है?")</f>
        <v>खिलाड़ी B मोहरा पॉकेट में डालने की कोशिश में स्ट्राइकर को बोर्ड से नीचे गिरा देता है। क्या होता है?</v>
      </c>
      <c r="H207" s="5" t="str">
        <f>IFERROR(__xludf.DUMMYFUNCTION("GOOGLETRANSLATE(C207, ""en"", ""hi"")"),"ए) खिलाड़ी बी अपनी बारी खो देता है।, बी) खिलाड़ी बी को दो अंक का दंड दिया जाता है।, सी) खिलाड़ी बी बिना दंड के खेल जारी रखता है।, डी) खिलाड़ी बी को एक मोहरा वापस करना होगा।")</f>
        <v>ए) खिलाड़ी बी अपनी बारी खो देता है।, बी) खिलाड़ी बी को दो अंक का दंड दिया जाता है।, सी) खिलाड़ी बी बिना दंड के खेल जारी रखता है।, डी) खिलाड़ी बी को एक मोहरा वापस करना होगा।</v>
      </c>
      <c r="I207" s="5" t="str">
        <f>IFERROR(__xludf.DUMMYFUNCTION("GOOGLETRANSLATE(D207, ""en"", ""hi"")"),"A) खिलाड़ी B अपनी बारी खो देता है।")</f>
        <v>A) खिलाड़ी B अपनी बारी खो देता है।</v>
      </c>
    </row>
    <row r="208" ht="22.5" customHeight="1">
      <c r="A208" s="2">
        <v>207.0</v>
      </c>
      <c r="B208" s="3" t="s">
        <v>8609</v>
      </c>
      <c r="C208" s="3" t="s">
        <v>8610</v>
      </c>
      <c r="D208" s="3" t="s">
        <v>8611</v>
      </c>
      <c r="F208" s="5" t="str">
        <f>IFERROR(__xludf.DUMMYFUNCTION("GOOGLETRANSLATE(A208, ""en"", ""hi"")"),"207")</f>
        <v>207</v>
      </c>
      <c r="G208" s="5" t="str">
        <f>IFERROR(__xludf.DUMMYFUNCTION("GOOGLETRANSLATE(B208, ""en"", ""hi"")"),"खिलाड़ी A गलती से रानी और उसके एक मोहरे को बोर्ड से नीचे गिरा देता है। नतीजा क्या होता है?")</f>
        <v>खिलाड़ी A गलती से रानी और उसके एक मोहरे को बोर्ड से नीचे गिरा देता है। नतीजा क्या होता है?</v>
      </c>
      <c r="H208" s="5" t="str">
        <f>IFERROR(__xludf.DUMMYFUNCTION("GOOGLETRANSLATE(C208, ""en"", ""hi"")"),"A) खिलाड़ी A अपनी रानी खो देता है। , B) खिलाड़ी A अपना मोहरा खो देता है। , C) दोनों को बोर्ड पर वापस रख दिया जाता है। , D) खिलाड़ी A को एक अंक का दंड दिया जाता है।")</f>
        <v>A) खिलाड़ी A अपनी रानी खो देता है। , B) खिलाड़ी A अपना मोहरा खो देता है। , C) दोनों को बोर्ड पर वापस रख दिया जाता है। , D) खिलाड़ी A को एक अंक का दंड दिया जाता है।</v>
      </c>
      <c r="I208" s="5" t="str">
        <f>IFERROR(__xludf.DUMMYFUNCTION("GOOGLETRANSLATE(D208, ""en"", ""hi"")"),"C) दोनों को वापस बोर्ड पर रख दिया जाता है।")</f>
        <v>C) दोनों को वापस बोर्ड पर रख दिया जाता है।</v>
      </c>
    </row>
    <row r="209" ht="22.5" customHeight="1">
      <c r="A209" s="2">
        <v>208.0</v>
      </c>
      <c r="B209" s="3" t="s">
        <v>8612</v>
      </c>
      <c r="C209" s="3" t="s">
        <v>8613</v>
      </c>
      <c r="D209" s="3" t="s">
        <v>8565</v>
      </c>
      <c r="F209" s="5" t="str">
        <f>IFERROR(__xludf.DUMMYFUNCTION("GOOGLETRANSLATE(A209, ""en"", ""hi"")"),"208")</f>
        <v>208</v>
      </c>
      <c r="G209" s="5" t="str">
        <f>IFERROR(__xludf.DUMMYFUNCTION("GOOGLETRANSLATE(B209, ""en"", ""hi"")"),"खिलाड़ी B ने अपनी आखिरी गोटी जेब में डाल ली है, लेकिन रानी घोषित नहीं की है। अब क्या होगा?")</f>
        <v>खिलाड़ी B ने अपनी आखिरी गोटी जेब में डाल ली है, लेकिन रानी घोषित नहीं की है। अब क्या होगा?</v>
      </c>
      <c r="H209" s="5" t="str">
        <f>IFERROR(__xludf.DUMMYFUNCTION("GOOGLETRANSLATE(C209, ""en"", ""hi"")"),"A) खिलाड़ी B खेल जीत जाता है। , B) खिलाड़ी B को अंतिम मोहरा वापस करना होगा। , C) रानी को वापस बोर्ड पर रख दिया जाता है। , D) खिलाड़ी B को एक अंक का दंड दिया जाता है।")</f>
        <v>A) खिलाड़ी B खेल जीत जाता है। , B) खिलाड़ी B को अंतिम मोहरा वापस करना होगा। , C) रानी को वापस बोर्ड पर रख दिया जाता है। , D) खिलाड़ी B को एक अंक का दंड दिया जाता है।</v>
      </c>
      <c r="I209" s="5" t="str">
        <f>IFERROR(__xludf.DUMMYFUNCTION("GOOGLETRANSLATE(D209, ""en"", ""hi"")"),"बी) खिलाड़ी बी को अंतिम मोहरा वापस करना होगा।")</f>
        <v>बी) खिलाड़ी बी को अंतिम मोहरा वापस करना होगा।</v>
      </c>
    </row>
    <row r="210" ht="22.5" customHeight="1">
      <c r="A210" s="2">
        <v>209.0</v>
      </c>
      <c r="B210" s="3" t="s">
        <v>8614</v>
      </c>
      <c r="C210" s="3" t="s">
        <v>8615</v>
      </c>
      <c r="D210" s="3" t="s">
        <v>8616</v>
      </c>
      <c r="F210" s="5" t="str">
        <f>IFERROR(__xludf.DUMMYFUNCTION("GOOGLETRANSLATE(A210, ""en"", ""hi"")"),"209")</f>
        <v>209</v>
      </c>
      <c r="G210" s="5" t="str">
        <f>IFERROR(__xludf.DUMMYFUNCTION("GOOGLETRANSLATE(B210, ""en"", ""hi"")"),"खिलाड़ी A स्ट्राइकर पर वार करता है और दो काले मोहरों को पॉकेट में डाल देता है, लेकिन स्ट्राइकर को भी पॉकेट में डाल देता है। क्या होता है?")</f>
        <v>खिलाड़ी A स्ट्राइकर पर वार करता है और दो काले मोहरों को पॉकेट में डाल देता है, लेकिन स्ट्राइकर को भी पॉकेट में डाल देता है। क्या होता है?</v>
      </c>
      <c r="H210" s="5" t="str">
        <f>IFERROR(__xludf.DUMMYFUNCTION("GOOGLETRANSLATE(C210, ""en"", ""hi"")"),"A) खिलाड़ी A अपनी बारी खो देता है। , B) खिलाड़ी A को एक काला मोहरा वापस करना होगा। , C) खिलाड़ी A को एक अंक का दंड दिया जाता है। , D) खिलाड़ी A को दोनों काले मोहरे वापस करने होंगे।")</f>
        <v>A) खिलाड़ी A अपनी बारी खो देता है। , B) खिलाड़ी A को एक काला मोहरा वापस करना होगा। , C) खिलाड़ी A को एक अंक का दंड दिया जाता है। , D) खिलाड़ी A को दोनों काले मोहरे वापस करने होंगे।</v>
      </c>
      <c r="I210" s="5" t="str">
        <f>IFERROR(__xludf.DUMMYFUNCTION("GOOGLETRANSLATE(D210, ""en"", ""hi"")"),"बी) खिलाड़ी ए को एक काला मोहरा वापस करना होगा।")</f>
        <v>बी) खिलाड़ी ए को एक काला मोहरा वापस करना होगा।</v>
      </c>
    </row>
    <row r="211" ht="22.5" customHeight="1">
      <c r="A211" s="2">
        <v>210.0</v>
      </c>
      <c r="B211" s="3" t="s">
        <v>8617</v>
      </c>
      <c r="C211" s="3" t="s">
        <v>8618</v>
      </c>
      <c r="D211" s="3" t="s">
        <v>8505</v>
      </c>
      <c r="F211" s="5" t="str">
        <f>IFERROR(__xludf.DUMMYFUNCTION("GOOGLETRANSLATE(A211, ""en"", ""hi"")"),"210")</f>
        <v>210</v>
      </c>
      <c r="G211" s="5" t="str">
        <f>IFERROR(__xludf.DUMMYFUNCTION("GOOGLETRANSLATE(B211, ""en"", ""hi"")"),"खिलाड़ी B रानी को पॉकेट में डालता है, लेकिन उसी शॉट में प्रतिद्वंद्वी का एक मोहरा भी पॉकेट में डाल देता है। नियम क्या है?")</f>
        <v>खिलाड़ी B रानी को पॉकेट में डालता है, लेकिन उसी शॉट में प्रतिद्वंद्वी का एक मोहरा भी पॉकेट में डाल देता है। नियम क्या है?</v>
      </c>
      <c r="H211" s="5" t="str">
        <f>IFERROR(__xludf.DUMMYFUNCTION("GOOGLETRANSLATE(C211, ""en"", ""hi"")"),"A) खिलाड़ी B खेल जीतता है। , B) खिलाड़ी B रानी खो देता है। , C) खिलाड़ी B बिना दंड के खेल जारी रखता है। , D) खिलाड़ी B को प्रतिद्वंद्वी का मोहरा वापस करना होगा।")</f>
        <v>A) खिलाड़ी B खेल जीतता है। , B) खिलाड़ी B रानी खो देता है। , C) खिलाड़ी B बिना दंड के खेल जारी रखता है। , D) खिलाड़ी B को प्रतिद्वंद्वी का मोहरा वापस करना होगा।</v>
      </c>
      <c r="I211" s="5" t="str">
        <f>IFERROR(__xludf.DUMMYFUNCTION("GOOGLETRANSLATE(D211, ""en"", ""hi"")"),"B) खिलाड़ी B रानी खो देता है।")</f>
        <v>B) खिलाड़ी B रानी खो देता है।</v>
      </c>
    </row>
    <row r="212" ht="22.5" customHeight="1">
      <c r="A212" s="2">
        <v>211.0</v>
      </c>
      <c r="B212" s="3" t="s">
        <v>8619</v>
      </c>
      <c r="C212" s="3" t="s">
        <v>8620</v>
      </c>
      <c r="D212" s="3" t="s">
        <v>8621</v>
      </c>
      <c r="F212" s="5" t="str">
        <f>IFERROR(__xludf.DUMMYFUNCTION("GOOGLETRANSLATE(A212, ""en"", ""hi"")"),"211")</f>
        <v>211</v>
      </c>
      <c r="G212" s="5" t="str">
        <f>IFERROR(__xludf.DUMMYFUNCTION("GOOGLETRANSLATE(B212, ""en"", ""hi"")"),"खिलाड़ी A गलती से रानी और एक और मोहरे को बोर्ड से गिरा देता है। नतीजा क्या होता है?")</f>
        <v>खिलाड़ी A गलती से रानी और एक और मोहरे को बोर्ड से गिरा देता है। नतीजा क्या होता है?</v>
      </c>
      <c r="H212" s="5" t="str">
        <f>IFERROR(__xludf.DUMMYFUNCTION("GOOGLETRANSLATE(C212, ""en"", ""hi"")"),"A) खिलाड़ी A अपनी बारी खो देता है। , B) दोनों मोहरों को बोर्ड पर वापस रख दिया जाता है। , C) खिलाड़ी A को एक अंक का दंड दिया जाता है। , D) खिलाड़ी A को एक मोहरा बोर्ड पर वापस लाना होगा।")</f>
        <v>A) खिलाड़ी A अपनी बारी खो देता है। , B) दोनों मोहरों को बोर्ड पर वापस रख दिया जाता है। , C) खिलाड़ी A को एक अंक का दंड दिया जाता है। , D) खिलाड़ी A को एक मोहरा बोर्ड पर वापस लाना होगा।</v>
      </c>
      <c r="I212" s="5" t="str">
        <f>IFERROR(__xludf.DUMMYFUNCTION("GOOGLETRANSLATE(D212, ""en"", ""hi"")"),"बी) दोनों मोहरों को वापस बोर्ड पर रख दिया जाता है।")</f>
        <v>बी) दोनों मोहरों को वापस बोर्ड पर रख दिया जाता है।</v>
      </c>
    </row>
    <row r="213" ht="22.5" customHeight="1">
      <c r="A213" s="2">
        <v>212.0</v>
      </c>
      <c r="B213" s="3" t="s">
        <v>8622</v>
      </c>
      <c r="C213" s="3" t="s">
        <v>8623</v>
      </c>
      <c r="D213" s="3" t="s">
        <v>8624</v>
      </c>
      <c r="F213" s="5" t="str">
        <f>IFERROR(__xludf.DUMMYFUNCTION("GOOGLETRANSLATE(A213, ""en"", ""hi"")"),"212")</f>
        <v>212</v>
      </c>
      <c r="G213" s="5" t="str">
        <f>IFERROR(__xludf.DUMMYFUNCTION("GOOGLETRANSLATE(B213, ""en"", ""hi"")"),"खिलाड़ी B रानी को पॉकेट में डालता है, लेकिन कोई और मोहरा पॉकेट में नहीं डाल पाता। सही नियम क्या है?")</f>
        <v>खिलाड़ी B रानी को पॉकेट में डालता है, लेकिन कोई और मोहरा पॉकेट में नहीं डाल पाता। सही नियम क्या है?</v>
      </c>
      <c r="H213" s="5" t="str">
        <f>IFERROR(__xludf.DUMMYFUNCTION("GOOGLETRANSLATE(C213, ""en"", ""hi"")"),"A) खिलाड़ी B खेल जीत जाता है। , B) खिलाड़ी B को रानी वापस करनी होगी। , C) खिलाड़ी B अपनी बारी खो देता है। , D) खिलाड़ी B बिना दंड के खेल जारी रखता है।")</f>
        <v>A) खिलाड़ी B खेल जीत जाता है। , B) खिलाड़ी B को रानी वापस करनी होगी। , C) खिलाड़ी B अपनी बारी खो देता है। , D) खिलाड़ी B बिना दंड के खेल जारी रखता है।</v>
      </c>
      <c r="I213" s="5" t="str">
        <f>IFERROR(__xludf.DUMMYFUNCTION("GOOGLETRANSLATE(D213, ""en"", ""hi"")"),"बी) खिलाड़ी बी को रानी वापस करनी होगी।")</f>
        <v>बी) खिलाड़ी बी को रानी वापस करनी होगी।</v>
      </c>
    </row>
    <row r="214" ht="22.5" customHeight="1">
      <c r="A214" s="2">
        <v>213.0</v>
      </c>
      <c r="B214" s="3" t="s">
        <v>8625</v>
      </c>
      <c r="C214" s="3" t="s">
        <v>8626</v>
      </c>
      <c r="D214" s="3" t="s">
        <v>8211</v>
      </c>
      <c r="F214" s="5" t="str">
        <f>IFERROR(__xludf.DUMMYFUNCTION("GOOGLETRANSLATE(A214, ""en"", ""hi"")"),"213")</f>
        <v>213</v>
      </c>
      <c r="G214" s="5" t="str">
        <f>IFERROR(__xludf.DUMMYFUNCTION("GOOGLETRANSLATE(B214, ""en"", ""hi"")"),"कैरम मैच के दौरान, खिलाड़ी A स्ट्राइकर और क्वीन को एक साथ पॉकेट में डालता है। इसका नियम क्या है?")</f>
        <v>कैरम मैच के दौरान, खिलाड़ी A स्ट्राइकर और क्वीन को एक साथ पॉकेट में डालता है। इसका नियम क्या है?</v>
      </c>
      <c r="H214" s="5" t="str">
        <f>IFERROR(__xludf.DUMMYFUNCTION("GOOGLETRANSLATE(C214, ""en"", ""hi"")"),"A) खिलाड़ी A रानी खो देता है। , B) खिलाड़ी A को दो अंक का दंड दिया जाता है। , C) खिलाड़ी A को शॉट फिर से खेलना होगा। , D) खिलाड़ी A खेल जीत जाता है।")</f>
        <v>A) खिलाड़ी A रानी खो देता है। , B) खिलाड़ी A को दो अंक का दंड दिया जाता है। , C) खिलाड़ी A को शॉट फिर से खेलना होगा। , D) खिलाड़ी A खेल जीत जाता है।</v>
      </c>
      <c r="I214" s="5" t="str">
        <f>IFERROR(__xludf.DUMMYFUNCTION("GOOGLETRANSLATE(D214, ""en"", ""hi"")"),"A) खिलाड़ी A रानी खो देता है।")</f>
        <v>A) खिलाड़ी A रानी खो देता है।</v>
      </c>
    </row>
    <row r="215" ht="22.5" customHeight="1">
      <c r="A215" s="2">
        <v>214.0</v>
      </c>
      <c r="B215" s="3" t="s">
        <v>8627</v>
      </c>
      <c r="C215" s="3" t="s">
        <v>8628</v>
      </c>
      <c r="D215" s="3" t="s">
        <v>8505</v>
      </c>
      <c r="F215" s="5" t="str">
        <f>IFERROR(__xludf.DUMMYFUNCTION("GOOGLETRANSLATE(A215, ""en"", ""hi"")"),"214")</f>
        <v>214</v>
      </c>
      <c r="G215" s="5" t="str">
        <f>IFERROR(__xludf.DUMMYFUNCTION("GOOGLETRANSLATE(B215, ""en"", ""hi"")"),"खिलाड़ी B रानी और एक काले मोहरे को जेब में डालता है। सही परिणाम क्या है?")</f>
        <v>खिलाड़ी B रानी और एक काले मोहरे को जेब में डालता है। सही परिणाम क्या है?</v>
      </c>
      <c r="H215" s="5" t="str">
        <f>IFERROR(__xludf.DUMMYFUNCTION("GOOGLETRANSLATE(C215, ""en"", ""hi"")"),"A) खिलाड़ी B खेल जीत जाता है। , B) खिलाड़ी B रानी खो देता है। , C) खिलाड़ी B को काला मोहरा वापस करना होगा। , D) खिलाड़ी B बिना दंड के खेल जारी रखता है।")</f>
        <v>A) खिलाड़ी B खेल जीत जाता है। , B) खिलाड़ी B रानी खो देता है। , C) खिलाड़ी B को काला मोहरा वापस करना होगा। , D) खिलाड़ी B बिना दंड के खेल जारी रखता है।</v>
      </c>
      <c r="I215" s="5" t="str">
        <f>IFERROR(__xludf.DUMMYFUNCTION("GOOGLETRANSLATE(D215, ""en"", ""hi"")"),"B) खिलाड़ी B रानी खो देता है।")</f>
        <v>B) खिलाड़ी B रानी खो देता है।</v>
      </c>
    </row>
    <row r="216" ht="22.5" customHeight="1">
      <c r="A216" s="2">
        <v>215.0</v>
      </c>
      <c r="B216" s="3" t="s">
        <v>8629</v>
      </c>
      <c r="C216" s="3" t="s">
        <v>8630</v>
      </c>
      <c r="D216" s="3" t="s">
        <v>8589</v>
      </c>
      <c r="F216" s="5" t="str">
        <f>IFERROR(__xludf.DUMMYFUNCTION("GOOGLETRANSLATE(A216, ""en"", ""hi"")"),"215")</f>
        <v>215</v>
      </c>
      <c r="G216" s="5" t="str">
        <f>IFERROR(__xludf.DUMMYFUNCTION("GOOGLETRANSLATE(B216, ""en"", ""hi"")"),"खिलाड़ी A आखिरी काली गोटी पॉकेट में डालता है, लेकिन स्ट्राइकर को भी पॉकेट में डालता है। नियम क्या है?")</f>
        <v>खिलाड़ी A आखिरी काली गोटी पॉकेट में डालता है, लेकिन स्ट्राइकर को भी पॉकेट में डालता है। नियम क्या है?</v>
      </c>
      <c r="H216" s="5" t="str">
        <f>IFERROR(__xludf.DUMMYFUNCTION("GOOGLETRANSLATE(C216, ""en"", ""hi"")"),"A) खिलाड़ी A खेल जीत जाता है। , B) खिलाड़ी A को काला मोहरा वापस करना होगा। , C) खिलाड़ी A को एक अंक का दंड दिया जाता है। , D) खिलाड़ी A को शॉट दोबारा खेलना होगा।")</f>
        <v>A) खिलाड़ी A खेल जीत जाता है। , B) खिलाड़ी A को काला मोहरा वापस करना होगा। , C) खिलाड़ी A को एक अंक का दंड दिया जाता है। , D) खिलाड़ी A को शॉट दोबारा खेलना होगा।</v>
      </c>
      <c r="I216" s="5" t="str">
        <f>IFERROR(__xludf.DUMMYFUNCTION("GOOGLETRANSLATE(D216, ""en"", ""hi"")"),"बी) खिलाड़ी ए को काला मोहरा वापस करना होगा।")</f>
        <v>बी) खिलाड़ी ए को काला मोहरा वापस करना होगा।</v>
      </c>
    </row>
    <row r="217" ht="22.5" customHeight="1">
      <c r="A217" s="2">
        <v>216.0</v>
      </c>
      <c r="B217" s="3" t="s">
        <v>8631</v>
      </c>
      <c r="C217" s="3" t="s">
        <v>8632</v>
      </c>
      <c r="D217" s="3" t="s">
        <v>8505</v>
      </c>
      <c r="F217" s="5" t="str">
        <f>IFERROR(__xludf.DUMMYFUNCTION("GOOGLETRANSLATE(A217, ""en"", ""hi"")"),"216")</f>
        <v>216</v>
      </c>
      <c r="G217" s="5" t="str">
        <f>IFERROR(__xludf.DUMMYFUNCTION("GOOGLETRANSLATE(B217, ""en"", ""hi"")"),"खिलाड़ी B रानी को पॉकेट में डाल देता है, लेकिन अगले शॉट में प्रतिद्वंद्वी का मोहरा पॉकेट में डाल देता है। क्या होता है?")</f>
        <v>खिलाड़ी B रानी को पॉकेट में डाल देता है, लेकिन अगले शॉट में प्रतिद्वंद्वी का मोहरा पॉकेट में डाल देता है। क्या होता है?</v>
      </c>
      <c r="H217" s="5" t="str">
        <f>IFERROR(__xludf.DUMMYFUNCTION("GOOGLETRANSLATE(C217, ""en"", ""hi"")"),"A) खिलाड़ी B खेल जीत जाता है। , B) खिलाड़ी B रानी खो देता है। , C) प्रतिद्वंद्वी का मोहरा बोर्ड पर वापस आ जाता है। , D) खिलाड़ी B को एक अंक का दंड दिया जाता है।")</f>
        <v>A) खिलाड़ी B खेल जीत जाता है। , B) खिलाड़ी B रानी खो देता है। , C) प्रतिद्वंद्वी का मोहरा बोर्ड पर वापस आ जाता है। , D) खिलाड़ी B को एक अंक का दंड दिया जाता है।</v>
      </c>
      <c r="I217" s="5" t="str">
        <f>IFERROR(__xludf.DUMMYFUNCTION("GOOGLETRANSLATE(D217, ""en"", ""hi"")"),"B) खिलाड़ी B रानी खो देता है।")</f>
        <v>B) खिलाड़ी B रानी खो देता है।</v>
      </c>
    </row>
    <row r="218" ht="22.5" customHeight="1">
      <c r="A218" s="2">
        <v>217.0</v>
      </c>
      <c r="B218" s="3" t="s">
        <v>8633</v>
      </c>
      <c r="C218" s="3" t="s">
        <v>8634</v>
      </c>
      <c r="D218" s="3" t="s">
        <v>8635</v>
      </c>
      <c r="F218" s="5" t="str">
        <f>IFERROR(__xludf.DUMMYFUNCTION("GOOGLETRANSLATE(A218, ""en"", ""hi"")"),"217")</f>
        <v>217</v>
      </c>
      <c r="G218" s="5" t="str">
        <f>IFERROR(__xludf.DUMMYFUNCTION("GOOGLETRANSLATE(B218, ""en"", ""hi"")"),"खिलाड़ी A रानी को सफलतापूर्वक कवर करता है, लेकिन अगले शॉट में गलती से एक सफ़ेद मोहरा जेब में चला जाता है। नियम क्या है?")</f>
        <v>खिलाड़ी A रानी को सफलतापूर्वक कवर करता है, लेकिन अगले शॉट में गलती से एक सफ़ेद मोहरा जेब में चला जाता है। नियम क्या है?</v>
      </c>
      <c r="H218" s="5" t="str">
        <f>IFERROR(__xludf.DUMMYFUNCTION("GOOGLETRANSLATE(C218, ""en"", ""hi"")"),"A) खिलाड़ी A खेल जीतता है। , B) खिलाड़ी A रानी खो देता है। , C) खिलाड़ी A बिना दंड के खेल जारी रखता है। , D) खिलाड़ी A को सफेद मोहरा वापस करना होगा।")</f>
        <v>A) खिलाड़ी A खेल जीतता है। , B) खिलाड़ी A रानी खो देता है। , C) खिलाड़ी A बिना दंड के खेल जारी रखता है। , D) खिलाड़ी A को सफेद मोहरा वापस करना होगा।</v>
      </c>
      <c r="I218" s="5" t="str">
        <f>IFERROR(__xludf.DUMMYFUNCTION("GOOGLETRANSLATE(D218, ""en"", ""hi"")"),"C) खिलाड़ी A बिना पेनल्टी के खेल जारी रखता है।")</f>
        <v>C) खिलाड़ी A बिना पेनल्टी के खेल जारी रखता है।</v>
      </c>
    </row>
    <row r="219" ht="22.5" customHeight="1">
      <c r="A219" s="2">
        <v>218.0</v>
      </c>
      <c r="B219" s="3" t="s">
        <v>8636</v>
      </c>
      <c r="C219" s="3" t="s">
        <v>8637</v>
      </c>
      <c r="D219" s="3" t="s">
        <v>8519</v>
      </c>
      <c r="F219" s="5" t="str">
        <f>IFERROR(__xludf.DUMMYFUNCTION("GOOGLETRANSLATE(A219, ""en"", ""hi"")"),"218")</f>
        <v>218</v>
      </c>
      <c r="G219" s="5" t="str">
        <f>IFERROR(__xludf.DUMMYFUNCTION("GOOGLETRANSLATE(B219, ""en"", ""hi"")"),"एक महत्वपूर्ण खेल के दौरान, खिलाड़ी A रानी को कवर करता है, लेकिन अगले शॉट में गलती से प्रतिद्वंद्वी के मोहरे को पॉकेट में डाल देता है। क्या होता है?")</f>
        <v>एक महत्वपूर्ण खेल के दौरान, खिलाड़ी A रानी को कवर करता है, लेकिन अगले शॉट में गलती से प्रतिद्वंद्वी के मोहरे को पॉकेट में डाल देता है। क्या होता है?</v>
      </c>
      <c r="H219" s="5" t="str">
        <f>IFERROR(__xludf.DUMMYFUNCTION("GOOGLETRANSLATE(C219, ""en"", ""hi"")"),"A) खिलाड़ी A खेल जीत जाता है। , B) खिलाड़ी A रानी खो देता है। , C) प्रतिद्वंद्वी का मोहरा वापस कर दिया जाता है। , D) खिलाड़ी A को एक अंक का दंड दिया जाता है।")</f>
        <v>A) खिलाड़ी A खेल जीत जाता है। , B) खिलाड़ी A रानी खो देता है। , C) प्रतिद्वंद्वी का मोहरा वापस कर दिया जाता है। , D) खिलाड़ी A को एक अंक का दंड दिया जाता है।</v>
      </c>
      <c r="I219" s="5" t="str">
        <f>IFERROR(__xludf.DUMMYFUNCTION("GOOGLETRANSLATE(D219, ""en"", ""hi"")"),"बी) खिलाड़ी ए रानी खो देता है।")</f>
        <v>बी) खिलाड़ी ए रानी खो देता है।</v>
      </c>
    </row>
    <row r="220" ht="22.5" customHeight="1">
      <c r="A220" s="2">
        <v>219.0</v>
      </c>
      <c r="B220" s="3" t="s">
        <v>8638</v>
      </c>
      <c r="C220" s="3" t="s">
        <v>8639</v>
      </c>
      <c r="D220" s="3" t="s">
        <v>8640</v>
      </c>
      <c r="F220" s="5" t="str">
        <f>IFERROR(__xludf.DUMMYFUNCTION("GOOGLETRANSLATE(A220, ""en"", ""hi"")"),"219")</f>
        <v>219</v>
      </c>
      <c r="G220" s="5" t="str">
        <f>IFERROR(__xludf.DUMMYFUNCTION("GOOGLETRANSLATE(B220, ""en"", ""hi"")"),"खिलाड़ी B अपने सभी मोहरों को पॉकेट में डालने में सफल रहा, लेकिन रानी को कवर करने से चूक गया। नियम क्या है?")</f>
        <v>खिलाड़ी B अपने सभी मोहरों को पॉकेट में डालने में सफल रहा, लेकिन रानी को कवर करने से चूक गया। नियम क्या है?</v>
      </c>
      <c r="H220" s="5" t="str">
        <f>IFERROR(__xludf.DUMMYFUNCTION("GOOGLETRANSLATE(C220, ""en"", ""hi"")"),"A) खिलाड़ी B खेल जीत जाता है। , B) खिलाड़ी B को एक मोहरा वापस करना होगा। , C) खिलाड़ी B अपनी आखिरी बारी खो देता है। , D) खिलाड़ी B को रानी को कवर करने के लिए खेलना जारी रखना होगा।")</f>
        <v>A) खिलाड़ी B खेल जीत जाता है। , B) खिलाड़ी B को एक मोहरा वापस करना होगा। , C) खिलाड़ी B अपनी आखिरी बारी खो देता है। , D) खिलाड़ी B को रानी को कवर करने के लिए खेलना जारी रखना होगा।</v>
      </c>
      <c r="I220" s="5" t="str">
        <f>IFERROR(__xludf.DUMMYFUNCTION("GOOGLETRANSLATE(D220, ""en"", ""hi"")"),"D) खिलाड़ी बी को रानी को कवर करने के लिए खेलना जारी रखना चाहिए।")</f>
        <v>D) खिलाड़ी बी को रानी को कवर करने के लिए खेलना जारी रखना चाहिए।</v>
      </c>
    </row>
    <row r="221" ht="22.5" customHeight="1">
      <c r="A221" s="2">
        <v>220.0</v>
      </c>
      <c r="B221" s="3" t="s">
        <v>8641</v>
      </c>
      <c r="C221" s="3" t="s">
        <v>8642</v>
      </c>
      <c r="D221" s="3" t="s">
        <v>8643</v>
      </c>
      <c r="F221" s="5" t="str">
        <f>IFERROR(__xludf.DUMMYFUNCTION("GOOGLETRANSLATE(A221, ""en"", ""hi"")"),"220")</f>
        <v>220</v>
      </c>
      <c r="G221" s="5" t="str">
        <f>IFERROR(__xludf.DUMMYFUNCTION("GOOGLETRANSLATE(B221, ""en"", ""hi"")"),"खिलाड़ी A रानी को पॉकेट में डाल देता है, लेकिन शॉट से पहले इसकी घोषणा नहीं करता। नतीजा क्या होता है?")</f>
        <v>खिलाड़ी A रानी को पॉकेट में डाल देता है, लेकिन शॉट से पहले इसकी घोषणा नहीं करता। नतीजा क्या होता है?</v>
      </c>
      <c r="H221" s="5" t="str">
        <f>IFERROR(__xludf.DUMMYFUNCTION("GOOGLETRANSLATE(C221, ""en"", ""hi"")"),"A) खिलाड़ी A खेल जीत जाता है। , B) रानी को केंद्र में वापस कर दिया जाता है। , C) खिलाड़ी A अपनी बारी खो देता है। , D) खिलाड़ी A बिना दंड के खेल जारी रखता है।")</f>
        <v>A) खिलाड़ी A खेल जीत जाता है। , B) रानी को केंद्र में वापस कर दिया जाता है। , C) खिलाड़ी A अपनी बारी खो देता है। , D) खिलाड़ी A बिना दंड के खेल जारी रखता है।</v>
      </c>
      <c r="I221" s="5" t="str">
        <f>IFERROR(__xludf.DUMMYFUNCTION("GOOGLETRANSLATE(D221, ""en"", ""hi"")"),"बी) रानी को केंद्र में वापस लाया जाता है।")</f>
        <v>बी) रानी को केंद्र में वापस लाया जाता है।</v>
      </c>
    </row>
    <row r="222" ht="22.5" customHeight="1">
      <c r="A222" s="2">
        <v>221.0</v>
      </c>
      <c r="B222" s="3" t="s">
        <v>8644</v>
      </c>
      <c r="C222" s="3" t="s">
        <v>8645</v>
      </c>
      <c r="D222" s="3" t="s">
        <v>8422</v>
      </c>
      <c r="F222" s="5" t="str">
        <f>IFERROR(__xludf.DUMMYFUNCTION("GOOGLETRANSLATE(A222, ""en"", ""hi"")"),"221")</f>
        <v>221</v>
      </c>
      <c r="G222" s="5" t="str">
        <f>IFERROR(__xludf.DUMMYFUNCTION("GOOGLETRANSLATE(B222, ""en"", ""hi"")"),"खिलाड़ी B, क्वीन को कवर करने की कोशिश में गलती से स्ट्राइकर को पॉकेट में गिरा देता है। क्या होता है?")</f>
        <v>खिलाड़ी B, क्वीन को कवर करने की कोशिश में गलती से स्ट्राइकर को पॉकेट में गिरा देता है। क्या होता है?</v>
      </c>
      <c r="H222" s="5" t="str">
        <f>IFERROR(__xludf.DUMMYFUNCTION("GOOGLETRANSLATE(C222, ""en"", ""hi"")"),"A) खिलाड़ी B रानी खो देता है। , B) खिलाड़ी B को एक अंक का दंड दिया जाता है। , C) खिलाड़ी B अपनी बारी खो देता है। , D) खिलाड़ी B को बोर्ड पर एक टुकड़ा बदलना होगा।")</f>
        <v>A) खिलाड़ी B रानी खो देता है। , B) खिलाड़ी B को एक अंक का दंड दिया जाता है। , C) खिलाड़ी B अपनी बारी खो देता है। , D) खिलाड़ी B को बोर्ड पर एक टुकड़ा बदलना होगा।</v>
      </c>
      <c r="I222" s="5" t="str">
        <f>IFERROR(__xludf.DUMMYFUNCTION("GOOGLETRANSLATE(D222, ""en"", ""hi"")"),"A) खिलाड़ी B रानी खो देता है।")</f>
        <v>A) खिलाड़ी B रानी खो देता है।</v>
      </c>
    </row>
    <row r="223" ht="22.5" customHeight="1">
      <c r="A223" s="2">
        <v>222.0</v>
      </c>
      <c r="B223" s="3" t="s">
        <v>8646</v>
      </c>
      <c r="C223" s="3" t="s">
        <v>8647</v>
      </c>
      <c r="D223" s="3" t="s">
        <v>8648</v>
      </c>
      <c r="F223" s="5" t="str">
        <f>IFERROR(__xludf.DUMMYFUNCTION("GOOGLETRANSLATE(A223, ""en"", ""hi"")"),"222")</f>
        <v>222</v>
      </c>
      <c r="G223" s="5" t="str">
        <f>IFERROR(__xludf.DUMMYFUNCTION("GOOGLETRANSLATE(B223, ""en"", ""hi"")"),"खिलाड़ी A अपनी आखिरी गोटी पॉकेट में डालने की कोशिश करता है, लेकिन चूक जाता है और स्ट्राइकर बोर्ड से बाहर चला जाता है। नियम क्या है?")</f>
        <v>खिलाड़ी A अपनी आखिरी गोटी पॉकेट में डालने की कोशिश करता है, लेकिन चूक जाता है और स्ट्राइकर बोर्ड से बाहर चला जाता है। नियम क्या है?</v>
      </c>
      <c r="H223" s="5" t="str">
        <f>IFERROR(__xludf.DUMMYFUNCTION("GOOGLETRANSLATE(C223, ""en"", ""hi"")"),"ए) खिलाड़ी ए को एक अंक का दंड दिया जाता है।, बी) खिलाड़ी ए अपनी बारी खो देता है।, सी) खिलाड़ी ए को बोर्ड पर एक टुकड़ा वापस रखना होगा।, डी) खिलाड़ी ए को केवल स्ट्राइकर की जगह लेनी होगी।")</f>
        <v>ए) खिलाड़ी ए को एक अंक का दंड दिया जाता है।, बी) खिलाड़ी ए अपनी बारी खो देता है।, सी) खिलाड़ी ए को बोर्ड पर एक टुकड़ा वापस रखना होगा।, डी) खिलाड़ी ए को केवल स्ट्राइकर की जगह लेनी होगी।</v>
      </c>
      <c r="I223" s="5" t="str">
        <f>IFERROR(__xludf.DUMMYFUNCTION("GOOGLETRANSLATE(D223, ""en"", ""hi"")"),"B) खिलाड़ी A अपनी बारी खो देता है।")</f>
        <v>B) खिलाड़ी A अपनी बारी खो देता है।</v>
      </c>
    </row>
    <row r="224" ht="22.5" customHeight="1">
      <c r="A224" s="2">
        <v>223.0</v>
      </c>
      <c r="B224" s="3" t="s">
        <v>8649</v>
      </c>
      <c r="C224" s="3" t="s">
        <v>8650</v>
      </c>
      <c r="D224" s="3" t="s">
        <v>8505</v>
      </c>
      <c r="F224" s="5" t="str">
        <f>IFERROR(__xludf.DUMMYFUNCTION("GOOGLETRANSLATE(A224, ""en"", ""hi"")"),"223")</f>
        <v>223</v>
      </c>
      <c r="G224" s="5" t="str">
        <f>IFERROR(__xludf.DUMMYFUNCTION("GOOGLETRANSLATE(B224, ""en"", ""hi"")"),"खिलाड़ी B क्वीन को पॉकेट में डालने में सफल हो जाता है, लेकिन बाद में स्ट्राइकर को पॉकेट में डालकर फ़ाउल कर देता है। क्या होता है?")</f>
        <v>खिलाड़ी B क्वीन को पॉकेट में डालने में सफल हो जाता है, लेकिन बाद में स्ट्राइकर को पॉकेट में डालकर फ़ाउल कर देता है। क्या होता है?</v>
      </c>
      <c r="H224" s="5" t="str">
        <f>IFERROR(__xludf.DUMMYFUNCTION("GOOGLETRANSLATE(C224, ""en"", ""hi"")"),"A) खिलाड़ी B खेल जीत जाता है। , B) खिलाड़ी B रानी खो देता है। , C) खिलाड़ी B को एक अंक का दंड दिया जाता है। , D) खिलाड़ी B को रानी को ढकने का एक और मौका मिलता है।")</f>
        <v>A) खिलाड़ी B खेल जीत जाता है। , B) खिलाड़ी B रानी खो देता है। , C) खिलाड़ी B को एक अंक का दंड दिया जाता है। , D) खिलाड़ी B को रानी को ढकने का एक और मौका मिलता है।</v>
      </c>
      <c r="I224" s="5" t="str">
        <f>IFERROR(__xludf.DUMMYFUNCTION("GOOGLETRANSLATE(D224, ""en"", ""hi"")"),"B) खिलाड़ी B रानी खो देता है।")</f>
        <v>B) खिलाड़ी B रानी खो देता है।</v>
      </c>
    </row>
    <row r="225" ht="22.5" customHeight="1">
      <c r="A225" s="2">
        <v>224.0</v>
      </c>
      <c r="B225" s="3" t="s">
        <v>8651</v>
      </c>
      <c r="C225" s="3" t="s">
        <v>8652</v>
      </c>
      <c r="D225" s="3" t="s">
        <v>7785</v>
      </c>
      <c r="F225" s="5" t="str">
        <f>IFERROR(__xludf.DUMMYFUNCTION("GOOGLETRANSLATE(A225, ""en"", ""hi"")"),"224")</f>
        <v>224</v>
      </c>
      <c r="G225" s="5" t="str">
        <f>IFERROR(__xludf.DUMMYFUNCTION("GOOGLETRANSLATE(B225, ""en"", ""hi"")"),"खिलाड़ी A गलती से एक ही बार में रानी और अपनी गोटी दोनों पॉकेट में डाल देता है। इसका नियम क्या है?")</f>
        <v>खिलाड़ी A गलती से एक ही बार में रानी और अपनी गोटी दोनों पॉकेट में डाल देता है। इसका नियम क्या है?</v>
      </c>
      <c r="H225" s="5" t="str">
        <f>IFERROR(__xludf.DUMMYFUNCTION("GOOGLETRANSLATE(C225, ""en"", ""hi"")"),"A) खिलाड़ी A खेल जीत जाता है। , B) खिलाड़ी A रानी खो देता है। , C) रानी को बोर्ड पर वापस कर दिया जाता है। , D) खिलाड़ी A को एक अंक का दंड दिया जाता है।")</f>
        <v>A) खिलाड़ी A खेल जीत जाता है। , B) खिलाड़ी A रानी खो देता है। , C) रानी को बोर्ड पर वापस कर दिया जाता है। , D) खिलाड़ी A को एक अंक का दंड दिया जाता है।</v>
      </c>
      <c r="I225" s="5" t="str">
        <f>IFERROR(__xludf.DUMMYFUNCTION("GOOGLETRANSLATE(D225, ""en"", ""hi"")"),"A) खिलाड़ी A खेल जीतता है।")</f>
        <v>A) खिलाड़ी A खेल जीतता है।</v>
      </c>
    </row>
    <row r="226" ht="22.5" customHeight="1">
      <c r="A226" s="2">
        <v>225.0</v>
      </c>
      <c r="B226" s="3" t="s">
        <v>8653</v>
      </c>
      <c r="C226" s="3" t="s">
        <v>8654</v>
      </c>
      <c r="D226" s="3" t="s">
        <v>8505</v>
      </c>
      <c r="F226" s="5" t="str">
        <f>IFERROR(__xludf.DUMMYFUNCTION("GOOGLETRANSLATE(A226, ""en"", ""hi"")"),"225")</f>
        <v>225</v>
      </c>
      <c r="G226" s="5" t="str">
        <f>IFERROR(__xludf.DUMMYFUNCTION("GOOGLETRANSLATE(B226, ""en"", ""hi"")"),"खिलाड़ी बी रानी को पॉकेट में डालता है, लेकिन खिलाड़ी ए के एक मोहरे को भी पॉकेट में डाल देता है। क्या होता है?")</f>
        <v>खिलाड़ी बी रानी को पॉकेट में डालता है, लेकिन खिलाड़ी ए के एक मोहरे को भी पॉकेट में डाल देता है। क्या होता है?</v>
      </c>
      <c r="H226" s="5" t="str">
        <f>IFERROR(__xludf.DUMMYFUNCTION("GOOGLETRANSLATE(C226, ""en"", ""hi"")"),"A) खिलाड़ी B खेल जीत जाता है। , B) खिलाड़ी B रानी खो देता है। , C) खिलाड़ी B को रानी को ढकना होता है और खेल जारी रहता है। , D) खिलाड़ी A को मोहरा वापस बोर्ड पर मिल जाता है।")</f>
        <v>A) खिलाड़ी B खेल जीत जाता है। , B) खिलाड़ी B रानी खो देता है। , C) खिलाड़ी B को रानी को ढकना होता है और खेल जारी रहता है। , D) खिलाड़ी A को मोहरा वापस बोर्ड पर मिल जाता है।</v>
      </c>
      <c r="I226" s="5" t="str">
        <f>IFERROR(__xludf.DUMMYFUNCTION("GOOGLETRANSLATE(D226, ""en"", ""hi"")"),"B) खिलाड़ी B रानी खो देता है।")</f>
        <v>B) खिलाड़ी B रानी खो देता है।</v>
      </c>
    </row>
    <row r="227" ht="22.5" customHeight="1">
      <c r="A227" s="2">
        <v>226.0</v>
      </c>
      <c r="B227" s="3" t="s">
        <v>8655</v>
      </c>
      <c r="C227" s="3" t="s">
        <v>8656</v>
      </c>
      <c r="D227" s="3" t="s">
        <v>8519</v>
      </c>
      <c r="F227" s="5" t="str">
        <f>IFERROR(__xludf.DUMMYFUNCTION("GOOGLETRANSLATE(A227, ""en"", ""hi"")"),"226")</f>
        <v>226</v>
      </c>
      <c r="G227" s="5" t="str">
        <f>IFERROR(__xludf.DUMMYFUNCTION("GOOGLETRANSLATE(B227, ""en"", ""hi"")"),"खिलाड़ी A, रानी को कवर करने की कोशिश करते हुए, खिलाड़ी B की आखिरी बची हुई गोटी को जेब में डाल देता है। नियम क्या है?")</f>
        <v>खिलाड़ी A, रानी को कवर करने की कोशिश करते हुए, खिलाड़ी B की आखिरी बची हुई गोटी को जेब में डाल देता है। नियम क्या है?</v>
      </c>
      <c r="H227" s="5" t="str">
        <f>IFERROR(__xludf.DUMMYFUNCTION("GOOGLETRANSLATE(C227, ""en"", ""hi"")"),"ए) खिलाड़ी बी को दंडित किया जाता है।, बी) खिलाड़ी ए रानी खो देता है।, सी) खिलाड़ी ए को शॉट को फिर से खेलना होगा।, डी) खिलाड़ी ए दंड के बिना जारी रहता है।")</f>
        <v>ए) खिलाड़ी बी को दंडित किया जाता है।, बी) खिलाड़ी ए रानी खो देता है।, सी) खिलाड़ी ए को शॉट को फिर से खेलना होगा।, डी) खिलाड़ी ए दंड के बिना जारी रहता है।</v>
      </c>
      <c r="I227" s="5" t="str">
        <f>IFERROR(__xludf.DUMMYFUNCTION("GOOGLETRANSLATE(D227, ""en"", ""hi"")"),"बी) खिलाड़ी ए रानी खो देता है।")</f>
        <v>बी) खिलाड़ी ए रानी खो देता है।</v>
      </c>
    </row>
    <row r="228" ht="22.5" customHeight="1">
      <c r="A228" s="2">
        <v>227.0</v>
      </c>
      <c r="B228" s="3" t="s">
        <v>8657</v>
      </c>
      <c r="C228" s="3" t="s">
        <v>8658</v>
      </c>
      <c r="D228" s="3" t="s">
        <v>8659</v>
      </c>
      <c r="F228" s="5" t="str">
        <f>IFERROR(__xludf.DUMMYFUNCTION("GOOGLETRANSLATE(A228, ""en"", ""hi"")"),"227")</f>
        <v>227</v>
      </c>
      <c r="G228" s="5" t="str">
        <f>IFERROR(__xludf.DUMMYFUNCTION("GOOGLETRANSLATE(B228, ""en"", ""hi"")"),"खिलाड़ी B अपने दो मोहरे पॉकेट में डाल देता है, लेकिन एक ही बार में रानी को कवर नहीं कर पाता। क्या होता है?")</f>
        <v>खिलाड़ी B अपने दो मोहरे पॉकेट में डाल देता है, लेकिन एक ही बार में रानी को कवर नहीं कर पाता। क्या होता है?</v>
      </c>
      <c r="H228" s="5" t="str">
        <f>IFERROR(__xludf.DUMMYFUNCTION("GOOGLETRANSLATE(C228, ""en"", ""hi"")"),"A) खिलाड़ी B खेल जीतता है। , B) खिलाड़ी B दोनों मोहरे खो देता है। , C) खिलाड़ी B को रानी को बोर्ड पर वापस करना होगा। , D) खिलाड़ी B को एक मोहरा वापस करना होगा।")</f>
        <v>A) खिलाड़ी B खेल जीतता है। , B) खिलाड़ी B दोनों मोहरे खो देता है। , C) खिलाड़ी B को रानी को बोर्ड पर वापस करना होगा। , D) खिलाड़ी B को एक मोहरा वापस करना होगा।</v>
      </c>
      <c r="I228" s="5" t="str">
        <f>IFERROR(__xludf.DUMMYFUNCTION("GOOGLETRANSLATE(D228, ""en"", ""hi"")"),"D) खिलाड़ी B को एक मोहरा वापस करना होगा।")</f>
        <v>D) खिलाड़ी B को एक मोहरा वापस करना होगा।</v>
      </c>
    </row>
    <row r="229" ht="22.5" customHeight="1">
      <c r="A229" s="2">
        <v>228.0</v>
      </c>
      <c r="B229" s="3" t="s">
        <v>8660</v>
      </c>
      <c r="C229" s="3" t="s">
        <v>8661</v>
      </c>
      <c r="D229" s="3" t="s">
        <v>7785</v>
      </c>
      <c r="F229" s="5" t="str">
        <f>IFERROR(__xludf.DUMMYFUNCTION("GOOGLETRANSLATE(A229, ""en"", ""hi"")"),"228")</f>
        <v>228</v>
      </c>
      <c r="G229" s="5" t="str">
        <f>IFERROR(__xludf.DUMMYFUNCTION("GOOGLETRANSLATE(B229, ""en"", ""hi"")"),"खिलाड़ी A एक ही बार में रानी को कवर करता है और आखिरी काली गोटी को पॉकेट में डाल देता है। नतीजा क्या होता है?")</f>
        <v>खिलाड़ी A एक ही बार में रानी को कवर करता है और आखिरी काली गोटी को पॉकेट में डाल देता है। नतीजा क्या होता है?</v>
      </c>
      <c r="H229" s="5" t="str">
        <f>IFERROR(__xludf.DUMMYFUNCTION("GOOGLETRANSLATE(C229, ""en"", ""hi"")"),"A) खिलाड़ी A खेल जीत जाता है। , B) खिलाड़ी A को काला मोहरा वापस करना होगा। , C) शॉट अवैध है। , D) खिलाड़ी A को एक अंक का दंड दिया जाता है।")</f>
        <v>A) खिलाड़ी A खेल जीत जाता है। , B) खिलाड़ी A को काला मोहरा वापस करना होगा। , C) शॉट अवैध है। , D) खिलाड़ी A को एक अंक का दंड दिया जाता है।</v>
      </c>
      <c r="I229" s="5" t="str">
        <f>IFERROR(__xludf.DUMMYFUNCTION("GOOGLETRANSLATE(D229, ""en"", ""hi"")"),"A) खिलाड़ी A खेल जीतता है।")</f>
        <v>A) खिलाड़ी A खेल जीतता है।</v>
      </c>
    </row>
    <row r="230" ht="22.5" customHeight="1">
      <c r="A230" s="2">
        <v>229.0</v>
      </c>
      <c r="B230" s="3" t="s">
        <v>8662</v>
      </c>
      <c r="C230" s="3" t="s">
        <v>8663</v>
      </c>
      <c r="D230" s="3" t="s">
        <v>8505</v>
      </c>
      <c r="F230" s="5" t="str">
        <f>IFERROR(__xludf.DUMMYFUNCTION("GOOGLETRANSLATE(A230, ""en"", ""hi"")"),"229")</f>
        <v>229</v>
      </c>
      <c r="G230" s="5" t="str">
        <f>IFERROR(__xludf.DUMMYFUNCTION("GOOGLETRANSLATE(B230, ""en"", ""hi"")"),"खिलाड़ी B क्वीन को पॉकेट में डालता है, लेकिन स्ट्राइकर को भी पॉकेट में डाल देता है। सही नियम क्या है?")</f>
        <v>खिलाड़ी B क्वीन को पॉकेट में डालता है, लेकिन स्ट्राइकर को भी पॉकेट में डाल देता है। सही नियम क्या है?</v>
      </c>
      <c r="H230" s="5" t="str">
        <f>IFERROR(__xludf.DUMMYFUNCTION("GOOGLETRANSLATE(C230, ""en"", ""hi"")"),"A) खिलाड़ी B खेल जीत जाता है। , B) खिलाड़ी B रानी खो देता है। , C) खिलाड़ी B को दो अंक का दंड दिया जाता है। , D) खिलाड़ी B को बोर्ड पर एक मोहरा बदलना होगा।")</f>
        <v>A) खिलाड़ी B खेल जीत जाता है। , B) खिलाड़ी B रानी खो देता है। , C) खिलाड़ी B को दो अंक का दंड दिया जाता है। , D) खिलाड़ी B को बोर्ड पर एक मोहरा बदलना होगा।</v>
      </c>
      <c r="I230" s="5" t="str">
        <f>IFERROR(__xludf.DUMMYFUNCTION("GOOGLETRANSLATE(D230, ""en"", ""hi"")"),"B) खिलाड़ी B रानी खो देता है।")</f>
        <v>B) खिलाड़ी B रानी खो देता है।</v>
      </c>
    </row>
    <row r="231" ht="22.5" customHeight="1">
      <c r="A231" s="2">
        <v>230.0</v>
      </c>
      <c r="B231" s="3" t="s">
        <v>8664</v>
      </c>
      <c r="C231" s="3" t="s">
        <v>8665</v>
      </c>
      <c r="D231" s="3" t="s">
        <v>8666</v>
      </c>
      <c r="F231" s="5" t="str">
        <f>IFERROR(__xludf.DUMMYFUNCTION("GOOGLETRANSLATE(A231, ""en"", ""hi"")"),"230")</f>
        <v>230</v>
      </c>
      <c r="G231" s="5" t="str">
        <f>IFERROR(__xludf.DUMMYFUNCTION("GOOGLETRANSLATE(B231, ""en"", ""hi"")"),"खिलाड़ी A रानी को सफलतापूर्वक कवर कर लेता है, लेकिन खिलाड़ी B तुरंत बाद स्ट्राइकर को पॉकेट में डाल देता है। क्या होता है?")</f>
        <v>खिलाड़ी A रानी को सफलतापूर्वक कवर कर लेता है, लेकिन खिलाड़ी B तुरंत बाद स्ट्राइकर को पॉकेट में डाल देता है। क्या होता है?</v>
      </c>
      <c r="H231" s="5" t="str">
        <f>IFERROR(__xludf.DUMMYFUNCTION("GOOGLETRANSLATE(C231, ""en"", ""hi"")"),"A) खिलाड़ी B को एक अंक का दंड दिया जाता है। , B) खिलाड़ी A खेल जीत जाता है। , C) खेल जारी रहता है। , D) खिलाड़ी B को अपनी बारी पुनः खेलनी होगी।")</f>
        <v>A) खिलाड़ी B को एक अंक का दंड दिया जाता है। , B) खिलाड़ी A खेल जीत जाता है। , C) खेल जारी रहता है। , D) खिलाड़ी B को अपनी बारी पुनः खेलनी होगी।</v>
      </c>
      <c r="I231" s="5" t="str">
        <f>IFERROR(__xludf.DUMMYFUNCTION("GOOGLETRANSLATE(D231, ""en"", ""hi"")"),"ग) खेल जारी है.")</f>
        <v>ग) खेल जारी है.</v>
      </c>
    </row>
    <row r="232" ht="22.5" customHeight="1">
      <c r="A232" s="2">
        <v>231.0</v>
      </c>
      <c r="B232" s="3" t="s">
        <v>8667</v>
      </c>
      <c r="C232" s="3" t="s">
        <v>8668</v>
      </c>
      <c r="D232" s="3" t="s">
        <v>8505</v>
      </c>
      <c r="F232" s="5" t="str">
        <f>IFERROR(__xludf.DUMMYFUNCTION("GOOGLETRANSLATE(A232, ""en"", ""hi"")"),"231")</f>
        <v>231</v>
      </c>
      <c r="G232" s="5" t="str">
        <f>IFERROR(__xludf.DUMMYFUNCTION("GOOGLETRANSLATE(B232, ""en"", ""hi"")"),"खिलाड़ी B रानी को कवर करता है, लेकिन अगले शॉट में गलती से प्रतिद्वंद्वी का मोहरा पॉकेट में चला जाता है। नतीजा क्या होता है?")</f>
        <v>खिलाड़ी B रानी को कवर करता है, लेकिन अगले शॉट में गलती से प्रतिद्वंद्वी का मोहरा पॉकेट में चला जाता है। नतीजा क्या होता है?</v>
      </c>
      <c r="H232" s="5" t="str">
        <f>IFERROR(__xludf.DUMMYFUNCTION("GOOGLETRANSLATE(C232, ""en"", ""hi"")"),"A) खिलाड़ी B खेल जीत जाता है। , B) खिलाड़ी B रानी खो देता है। , C) खिलाड़ी B को अपना एक मोहरा वापस करना होगा। , D) खिलाड़ी B को शॉट फिर से खेलना होगा।")</f>
        <v>A) खिलाड़ी B खेल जीत जाता है। , B) खिलाड़ी B रानी खो देता है। , C) खिलाड़ी B को अपना एक मोहरा वापस करना होगा। , D) खिलाड़ी B को शॉट फिर से खेलना होगा।</v>
      </c>
      <c r="I232" s="5" t="str">
        <f>IFERROR(__xludf.DUMMYFUNCTION("GOOGLETRANSLATE(D232, ""en"", ""hi"")"),"B) खिलाड़ी B रानी खो देता है।")</f>
        <v>B) खिलाड़ी B रानी खो देता है।</v>
      </c>
    </row>
    <row r="233" ht="22.5" customHeight="1">
      <c r="A233" s="2">
        <v>232.0</v>
      </c>
      <c r="B233" s="3" t="s">
        <v>8669</v>
      </c>
      <c r="C233" s="3" t="s">
        <v>8670</v>
      </c>
      <c r="D233" s="3" t="s">
        <v>8671</v>
      </c>
      <c r="F233" s="5" t="str">
        <f>IFERROR(__xludf.DUMMYFUNCTION("GOOGLETRANSLATE(A233, ""en"", ""hi"")"),"232")</f>
        <v>232</v>
      </c>
      <c r="G233" s="5" t="str">
        <f>IFERROR(__xludf.DUMMYFUNCTION("GOOGLETRANSLATE(B233, ""en"", ""hi"")"),"खिलाड़ी A ने स्ट्राइक की और रानी बोर्ड से बाहर चली गई। नियम क्या है?")</f>
        <v>खिलाड़ी A ने स्ट्राइक की और रानी बोर्ड से बाहर चली गई। नियम क्या है?</v>
      </c>
      <c r="H233" s="5" t="str">
        <f>IFERROR(__xludf.DUMMYFUNCTION("GOOGLETRANSLATE(C233, ""en"", ""hi"")"),"A) रानी को वापस केंद्र में रख दिया जाता है। , B) खिलाड़ी A रानी खो देता है। , C) खिलाड़ी A को एक अंक का दंड दिया जाता है। , D) खिलाड़ी A अपनी बारी खो देता है।")</f>
        <v>A) रानी को वापस केंद्र में रख दिया जाता है। , B) खिलाड़ी A रानी खो देता है। , C) खिलाड़ी A को एक अंक का दंड दिया जाता है। , D) खिलाड़ी A अपनी बारी खो देता है।</v>
      </c>
      <c r="I233" s="5" t="str">
        <f>IFERROR(__xludf.DUMMYFUNCTION("GOOGLETRANSLATE(D233, ""en"", ""hi"")"),"A) रानी को वापस केंद्र में रखा गया है।")</f>
        <v>A) रानी को वापस केंद्र में रखा गया है।</v>
      </c>
    </row>
    <row r="234" ht="22.5" customHeight="1">
      <c r="A234" s="2">
        <v>233.0</v>
      </c>
      <c r="B234" s="3" t="s">
        <v>8672</v>
      </c>
      <c r="C234" s="3" t="s">
        <v>8673</v>
      </c>
      <c r="D234" s="3" t="s">
        <v>8674</v>
      </c>
      <c r="F234" s="5" t="str">
        <f>IFERROR(__xludf.DUMMYFUNCTION("GOOGLETRANSLATE(A234, ""en"", ""hi"")"),"233")</f>
        <v>233</v>
      </c>
      <c r="G234" s="5" t="str">
        <f>IFERROR(__xludf.DUMMYFUNCTION("GOOGLETRANSLATE(B234, ""en"", ""hi"")"),"कैरम मैच के दौरान, खिलाड़ी B गलती से खिलाड़ी A की दो गोटियाँ पॉकेट में डाल देता है। क्या होता है?")</f>
        <v>कैरम मैच के दौरान, खिलाड़ी B गलती से खिलाड़ी A की दो गोटियाँ पॉकेट में डाल देता है। क्या होता है?</v>
      </c>
      <c r="H234" s="5" t="str">
        <f>IFERROR(__xludf.DUMMYFUNCTION("GOOGLETRANSLATE(C234, ""en"", ""hi"")"),"A) खिलाड़ी B दो अंक खो देता है। , B) खिलाड़ी A को दोनों मोहरे वापस मिल जाते हैं। , C) खिलाड़ी A को एक बोनस बारी मिलती है। , D) खिलाड़ी B को एक मोहरा बोर्ड पर वापस करना होगा।")</f>
        <v>A) खिलाड़ी B दो अंक खो देता है। , B) खिलाड़ी A को दोनों मोहरे वापस मिल जाते हैं। , C) खिलाड़ी A को एक बोनस बारी मिलती है। , D) खिलाड़ी B को एक मोहरा बोर्ड पर वापस करना होगा।</v>
      </c>
      <c r="I234" s="5" t="str">
        <f>IFERROR(__xludf.DUMMYFUNCTION("GOOGLETRANSLATE(D234, ""en"", ""hi"")"),"C) खिलाड़ी A को एक बोनस बारी मिलती है।")</f>
        <v>C) खिलाड़ी A को एक बोनस बारी मिलती है।</v>
      </c>
    </row>
    <row r="235" ht="22.5" customHeight="1">
      <c r="A235" s="2">
        <v>234.0</v>
      </c>
      <c r="B235" s="3" t="s">
        <v>8675</v>
      </c>
      <c r="C235" s="3" t="s">
        <v>8676</v>
      </c>
      <c r="D235" s="3" t="s">
        <v>7785</v>
      </c>
      <c r="F235" s="5" t="str">
        <f>IFERROR(__xludf.DUMMYFUNCTION("GOOGLETRANSLATE(A235, ""en"", ""hi"")"),"234")</f>
        <v>234</v>
      </c>
      <c r="G235" s="5" t="str">
        <f>IFERROR(__xludf.DUMMYFUNCTION("GOOGLETRANSLATE(B235, ""en"", ""hi"")"),"खिलाड़ी A अपनी आखिरी काली गोटी को सफलतापूर्वक पॉकेट में डाल देता है, लेकिन खिलाड़ी B तुरंत स्ट्राइकर को पॉकेट में डाल देता है। सही कार्रवाई क्या है?")</f>
        <v>खिलाड़ी A अपनी आखिरी काली गोटी को सफलतापूर्वक पॉकेट में डाल देता है, लेकिन खिलाड़ी B तुरंत स्ट्राइकर को पॉकेट में डाल देता है। सही कार्रवाई क्या है?</v>
      </c>
      <c r="H235" s="5" t="str">
        <f>IFERROR(__xludf.DUMMYFUNCTION("GOOGLETRANSLATE(C235, ""en"", ""hi"")"),"A) खिलाड़ी A खेल जीत जाता है। , B) खिलाड़ी A को काला मोहरा वापस करना होगा। , C) खिलाड़ी B अपनी बारी खो देता है। , D) खिलाड़ी B को अपनी बारी पुनः खेलनी होगी।")</f>
        <v>A) खिलाड़ी A खेल जीत जाता है। , B) खिलाड़ी A को काला मोहरा वापस करना होगा। , C) खिलाड़ी B अपनी बारी खो देता है। , D) खिलाड़ी B को अपनी बारी पुनः खेलनी होगी।</v>
      </c>
      <c r="I235" s="5" t="str">
        <f>IFERROR(__xludf.DUMMYFUNCTION("GOOGLETRANSLATE(D235, ""en"", ""hi"")"),"A) खिलाड़ी A खेल जीतता है।")</f>
        <v>A) खिलाड़ी A खेल जीतता है।</v>
      </c>
    </row>
    <row r="236" ht="22.5" customHeight="1">
      <c r="A236" s="2">
        <v>235.0</v>
      </c>
      <c r="B236" s="3" t="s">
        <v>8677</v>
      </c>
      <c r="C236" s="3" t="s">
        <v>8678</v>
      </c>
      <c r="D236" s="3" t="s">
        <v>8679</v>
      </c>
      <c r="F236" s="5" t="str">
        <f>IFERROR(__xludf.DUMMYFUNCTION("GOOGLETRANSLATE(A236, ""en"", ""hi"")"),"235")</f>
        <v>235</v>
      </c>
      <c r="G236" s="5" t="str">
        <f>IFERROR(__xludf.DUMMYFUNCTION("GOOGLETRANSLATE(B236, ""en"", ""hi"")"),"खिलाड़ी A की बारी के दौरान खिलाड़ी B गलती से रानी को पॉकेट में डाल देता है। सही नियम क्या है?")</f>
        <v>खिलाड़ी A की बारी के दौरान खिलाड़ी B गलती से रानी को पॉकेट में डाल देता है। सही नियम क्या है?</v>
      </c>
      <c r="H236" s="5" t="str">
        <f>IFERROR(__xludf.DUMMYFUNCTION("GOOGLETRANSLATE(C236, ""en"", ""hi"")"),"ए) रानी को केंद्र में वापस कर दिया जाता है।, बी) खिलाड़ी ए खेल जीत जाता है।, सी) खिलाड़ी बी को एक अंक का दंड दिया जाता है।, डी) खिलाड़ी बी अपनी बारी खो देता है।")</f>
        <v>ए) रानी को केंद्र में वापस कर दिया जाता है।, बी) खिलाड़ी ए खेल जीत जाता है।, सी) खिलाड़ी बी को एक अंक का दंड दिया जाता है।, डी) खिलाड़ी बी अपनी बारी खो देता है।</v>
      </c>
      <c r="I236" s="5" t="str">
        <f>IFERROR(__xludf.DUMMYFUNCTION("GOOGLETRANSLATE(D236, ""en"", ""hi"")"),"A) रानी को केन्द्र में वापस लाया जाता है।")</f>
        <v>A) रानी को केन्द्र में वापस लाया जाता है।</v>
      </c>
    </row>
    <row r="237" ht="22.5" customHeight="1">
      <c r="A237" s="2">
        <v>236.0</v>
      </c>
      <c r="B237" s="3" t="s">
        <v>8680</v>
      </c>
      <c r="C237" s="3" t="s">
        <v>8681</v>
      </c>
      <c r="D237" s="3" t="s">
        <v>8682</v>
      </c>
      <c r="F237" s="5" t="str">
        <f>IFERROR(__xludf.DUMMYFUNCTION("GOOGLETRANSLATE(A237, ""en"", ""hi"")"),"236")</f>
        <v>236</v>
      </c>
      <c r="G237" s="5" t="str">
        <f>IFERROR(__xludf.DUMMYFUNCTION("GOOGLETRANSLATE(B237, ""en"", ""hi"")"),"खिलाड़ी A अपनी सारी गोटियाँ पॉकेट में डाल देता है और रानी को पॉकेट में डालने की कोशिश करता है। रानी पॉकेट में नहीं जाती। आगे क्या होता है?")</f>
        <v>खिलाड़ी A अपनी सारी गोटियाँ पॉकेट में डाल देता है और रानी को पॉकेट में डालने की कोशिश करता है। रानी पॉकेट में नहीं जाती। आगे क्या होता है?</v>
      </c>
      <c r="H237" s="5" t="str">
        <f>IFERROR(__xludf.DUMMYFUNCTION("GOOGLETRANSLATE(C237, ""en"", ""hi"")"),"A) खिलाड़ी A खेल जीत जाता है। , B) खिलाड़ी A एक मोहरा खो देता है। , C) खिलाड़ी A को रानी को पॉकेट में डालना जारी रखना चाहिए। , D) रानी को वापस केंद्र में रख दिया जाता है।")</f>
        <v>A) खिलाड़ी A खेल जीत जाता है। , B) खिलाड़ी A एक मोहरा खो देता है। , C) खिलाड़ी A को रानी को पॉकेट में डालना जारी रखना चाहिए। , D) रानी को वापस केंद्र में रख दिया जाता है।</v>
      </c>
      <c r="I237" s="5" t="str">
        <f>IFERROR(__xludf.DUMMYFUNCTION("GOOGLETRANSLATE(D237, ""en"", ""hi"")"),"C) खिलाड़ी A को रानी को पॉकेट में डालना जारी रखना होगा।")</f>
        <v>C) खिलाड़ी A को रानी को पॉकेट में डालना जारी रखना होगा।</v>
      </c>
    </row>
    <row r="238" ht="22.5" customHeight="1">
      <c r="A238" s="2">
        <v>237.0</v>
      </c>
      <c r="B238" s="3" t="s">
        <v>8683</v>
      </c>
      <c r="C238" s="3" t="s">
        <v>8684</v>
      </c>
      <c r="D238" s="3" t="s">
        <v>8505</v>
      </c>
      <c r="F238" s="5" t="str">
        <f>IFERROR(__xludf.DUMMYFUNCTION("GOOGLETRANSLATE(A238, ""en"", ""hi"")"),"237")</f>
        <v>237</v>
      </c>
      <c r="G238" s="5" t="str">
        <f>IFERROR(__xludf.DUMMYFUNCTION("GOOGLETRANSLATE(B238, ""en"", ""hi"")"),"खिलाड़ी B गलती से खिलाड़ी A के एक मोहरे और रानी को एक ही शॉट में पॉकेट में डाल देता है। क्या होता है?")</f>
        <v>खिलाड़ी B गलती से खिलाड़ी A के एक मोहरे और रानी को एक ही शॉट में पॉकेट में डाल देता है। क्या होता है?</v>
      </c>
      <c r="H238" s="5" t="str">
        <f>IFERROR(__xludf.DUMMYFUNCTION("GOOGLETRANSLATE(C238, ""en"", ""hi"")"),"A) खिलाड़ी B खेल जीतता है। , B) खिलाड़ी B रानी खो देता है। , C) खेल जारी रहता है। , D) खिलाड़ी A को मोहरा बोर्ड पर वापस मिल जाता है।")</f>
        <v>A) खिलाड़ी B खेल जीतता है। , B) खिलाड़ी B रानी खो देता है। , C) खेल जारी रहता है। , D) खिलाड़ी A को मोहरा बोर्ड पर वापस मिल जाता है।</v>
      </c>
      <c r="I238" s="5" t="str">
        <f>IFERROR(__xludf.DUMMYFUNCTION("GOOGLETRANSLATE(D238, ""en"", ""hi"")"),"B) खिलाड़ी B रानी खो देता है।")</f>
        <v>B) खिलाड़ी B रानी खो देता है।</v>
      </c>
    </row>
    <row r="239" ht="22.5" customHeight="1">
      <c r="A239" s="2">
        <v>238.0</v>
      </c>
      <c r="B239" s="3" t="s">
        <v>8685</v>
      </c>
      <c r="C239" s="3" t="s">
        <v>8686</v>
      </c>
      <c r="D239" s="3" t="s">
        <v>8211</v>
      </c>
      <c r="F239" s="5" t="str">
        <f>IFERROR(__xludf.DUMMYFUNCTION("GOOGLETRANSLATE(A239, ""en"", ""hi"")"),"238")</f>
        <v>238</v>
      </c>
      <c r="G239" s="5" t="str">
        <f>IFERROR(__xludf.DUMMYFUNCTION("GOOGLETRANSLATE(B239, ""en"", ""hi"")"),"खिलाड़ी A रानी को पॉकेट में डालने की कोशिश करता है, लेकिन अंत में उसकी स्ट्राइकर को पॉकेट में डाल देता है। क्या होता है?")</f>
        <v>खिलाड़ी A रानी को पॉकेट में डालने की कोशिश करता है, लेकिन अंत में उसकी स्ट्राइकर को पॉकेट में डाल देता है। क्या होता है?</v>
      </c>
      <c r="H239" s="5" t="str">
        <f>IFERROR(__xludf.DUMMYFUNCTION("GOOGLETRANSLATE(C239, ""en"", ""hi"")"),"A) खिलाड़ी A रानी खो देता है। , B) खिलाड़ी A को एक अंक का दंड दिया जाता है। , C) खिलाड़ी A अपनी बारी खो देता है। , D) खिलाड़ी A को बोर्ड पर एक टुकड़ा वापस करना होगा।")</f>
        <v>A) खिलाड़ी A रानी खो देता है। , B) खिलाड़ी A को एक अंक का दंड दिया जाता है। , C) खिलाड़ी A अपनी बारी खो देता है। , D) खिलाड़ी A को बोर्ड पर एक टुकड़ा वापस करना होगा।</v>
      </c>
      <c r="I239" s="5" t="str">
        <f>IFERROR(__xludf.DUMMYFUNCTION("GOOGLETRANSLATE(D239, ""en"", ""hi"")"),"A) खिलाड़ी A रानी खो देता है।")</f>
        <v>A) खिलाड़ी A रानी खो देता है।</v>
      </c>
    </row>
    <row r="240" ht="22.5" customHeight="1">
      <c r="A240" s="2">
        <v>239.0</v>
      </c>
      <c r="B240" s="3" t="s">
        <v>8687</v>
      </c>
      <c r="C240" s="3" t="s">
        <v>8688</v>
      </c>
      <c r="D240" s="3" t="s">
        <v>8519</v>
      </c>
      <c r="F240" s="5" t="str">
        <f>IFERROR(__xludf.DUMMYFUNCTION("GOOGLETRANSLATE(A240, ""en"", ""hi"")"),"239")</f>
        <v>239</v>
      </c>
      <c r="G240" s="5" t="str">
        <f>IFERROR(__xludf.DUMMYFUNCTION("GOOGLETRANSLATE(B240, ""en"", ""hi"")"),"कैरम खेल के दौरान, खिलाड़ी A रानी को पॉकेट में डालने में सफल हो जाता है, लेकिन खिलाड़ी B का मोहरा भी पॉकेट में चला जाता है। क्या होता है?")</f>
        <v>कैरम खेल के दौरान, खिलाड़ी A रानी को पॉकेट में डालने में सफल हो जाता है, लेकिन खिलाड़ी B का मोहरा भी पॉकेट में चला जाता है। क्या होता है?</v>
      </c>
      <c r="H240" s="5" t="str">
        <f>IFERROR(__xludf.DUMMYFUNCTION("GOOGLETRANSLATE(C240, ""en"", ""hi"")"),"A) खिलाड़ी A खेल जीतता है। , B) खिलाड़ी A रानी खो देता है। , C) खिलाड़ी B को एक और बारी मिलती है। , D) खिलाड़ी B को अपना मोहरा बोर्ड पर वापस करना होगा।")</f>
        <v>A) खिलाड़ी A खेल जीतता है। , B) खिलाड़ी A रानी खो देता है। , C) खिलाड़ी B को एक और बारी मिलती है। , D) खिलाड़ी B को अपना मोहरा बोर्ड पर वापस करना होगा।</v>
      </c>
      <c r="I240" s="5" t="str">
        <f>IFERROR(__xludf.DUMMYFUNCTION("GOOGLETRANSLATE(D240, ""en"", ""hi"")"),"बी) खिलाड़ी ए रानी खो देता है।")</f>
        <v>बी) खिलाड़ी ए रानी खो देता है।</v>
      </c>
    </row>
    <row r="241" ht="22.5" customHeight="1">
      <c r="A241" s="2">
        <v>240.0</v>
      </c>
      <c r="B241" s="3" t="s">
        <v>8689</v>
      </c>
      <c r="C241" s="3" t="s">
        <v>8690</v>
      </c>
      <c r="D241" s="3" t="s">
        <v>7785</v>
      </c>
      <c r="F241" s="5" t="str">
        <f>IFERROR(__xludf.DUMMYFUNCTION("GOOGLETRANSLATE(A241, ""en"", ""hi"")"),"240")</f>
        <v>240</v>
      </c>
      <c r="G241" s="5" t="str">
        <f>IFERROR(__xludf.DUMMYFUNCTION("GOOGLETRANSLATE(B241, ""en"", ""hi"")"),"खिलाड़ी A रानी को पॉकेट में डालने में सफल हो जाता है, लेकिन बाद में गलती से उसकी अपनी ही एक गोटी पॉकेट में चली जाती है। इसका नियम क्या है?")</f>
        <v>खिलाड़ी A रानी को पॉकेट में डालने में सफल हो जाता है, लेकिन बाद में गलती से उसकी अपनी ही एक गोटी पॉकेट में चली जाती है। इसका नियम क्या है?</v>
      </c>
      <c r="H241" s="5" t="str">
        <f>IFERROR(__xludf.DUMMYFUNCTION("GOOGLETRANSLATE(C241, ""en"", ""hi"")"),"A) खिलाड़ी A खेल जीत जाता है। , B) खिलाड़ी A रानी खो देता है। , C) खिलाड़ी A खेलना जारी रखता है। , D) खिलाड़ी A को रानी को पॉकेट में डालने का एक और मौका मिलता है।")</f>
        <v>A) खिलाड़ी A खेल जीत जाता है। , B) खिलाड़ी A रानी खो देता है। , C) खिलाड़ी A खेलना जारी रखता है। , D) खिलाड़ी A को रानी को पॉकेट में डालने का एक और मौका मिलता है।</v>
      </c>
      <c r="I241" s="5" t="str">
        <f>IFERROR(__xludf.DUMMYFUNCTION("GOOGLETRANSLATE(D241, ""en"", ""hi"")"),"A) खिलाड़ी A खेल जीतता है।")</f>
        <v>A) खिलाड़ी A खेल जीतता है।</v>
      </c>
    </row>
    <row r="242" ht="22.5" customHeight="1">
      <c r="A242" s="2">
        <v>241.0</v>
      </c>
      <c r="B242" s="3" t="s">
        <v>8691</v>
      </c>
      <c r="C242" s="3" t="s">
        <v>8692</v>
      </c>
      <c r="D242" s="3" t="s">
        <v>8422</v>
      </c>
      <c r="F242" s="5" t="str">
        <f>IFERROR(__xludf.DUMMYFUNCTION("GOOGLETRANSLATE(A242, ""en"", ""hi"")"),"241")</f>
        <v>241</v>
      </c>
      <c r="G242" s="5" t="str">
        <f>IFERROR(__xludf.DUMMYFUNCTION("GOOGLETRANSLATE(B242, ""en"", ""hi"")"),"खिलाड़ी B, क्वीन कवर करने के तुरंत बाद स्ट्राइकर को पॉकेट में डाल देता है। क्या होता है?")</f>
        <v>खिलाड़ी B, क्वीन कवर करने के तुरंत बाद स्ट्राइकर को पॉकेट में डाल देता है। क्या होता है?</v>
      </c>
      <c r="H242" s="5" t="str">
        <f>IFERROR(__xludf.DUMMYFUNCTION("GOOGLETRANSLATE(C242, ""en"", ""hi"")"),"A) खिलाड़ी B रानी खो देता है। , B) खिलाड़ी B को 2 अंक का दंड दिया जाता है। , C) खिलाड़ी B को अपने मोहरों में से एक को वापस करना होगा। , D) खिलाड़ी B बिना दंड के खेल जारी रखता है।")</f>
        <v>A) खिलाड़ी B रानी खो देता है। , B) खिलाड़ी B को 2 अंक का दंड दिया जाता है। , C) खिलाड़ी B को अपने मोहरों में से एक को वापस करना होगा। , D) खिलाड़ी B बिना दंड के खेल जारी रखता है।</v>
      </c>
      <c r="I242" s="5" t="str">
        <f>IFERROR(__xludf.DUMMYFUNCTION("GOOGLETRANSLATE(D242, ""en"", ""hi"")"),"A) खिलाड़ी B रानी खो देता है।")</f>
        <v>A) खिलाड़ी B रानी खो देता है।</v>
      </c>
    </row>
    <row r="243" ht="22.5" customHeight="1">
      <c r="A243" s="2">
        <v>242.0</v>
      </c>
      <c r="B243" s="3" t="s">
        <v>8693</v>
      </c>
      <c r="C243" s="3" t="s">
        <v>8694</v>
      </c>
      <c r="D243" s="3" t="s">
        <v>8643</v>
      </c>
      <c r="F243" s="5" t="str">
        <f>IFERROR(__xludf.DUMMYFUNCTION("GOOGLETRANSLATE(A243, ""en"", ""hi"")"),"242")</f>
        <v>242</v>
      </c>
      <c r="G243" s="5" t="str">
        <f>IFERROR(__xludf.DUMMYFUNCTION("GOOGLETRANSLATE(B243, ""en"", ""hi"")"),"खिलाड़ी A, रानी को कवर करते हुए, प्रतिद्वंद्वी के मोहरे को पॉकेट में डालता है। इसका नियम क्या है?")</f>
        <v>खिलाड़ी A, रानी को कवर करते हुए, प्रतिद्वंद्वी के मोहरे को पॉकेट में डालता है। इसका नियम क्या है?</v>
      </c>
      <c r="H243" s="5" t="str">
        <f>IFERROR(__xludf.DUMMYFUNCTION("GOOGLETRANSLATE(C243, ""en"", ""hi"")"),"A) खिलाड़ी A खेल जीत जाता है। , B) रानी को केंद्र में वापस कर दिया जाता है। , C) खिलाड़ी A को अपना एक मोहरा वापस करना होगा। , D) खिलाड़ी A अपनी अगली बारी खो देता है।")</f>
        <v>A) खिलाड़ी A खेल जीत जाता है। , B) रानी को केंद्र में वापस कर दिया जाता है। , C) खिलाड़ी A को अपना एक मोहरा वापस करना होगा। , D) खिलाड़ी A अपनी अगली बारी खो देता है।</v>
      </c>
      <c r="I243" s="5" t="str">
        <f>IFERROR(__xludf.DUMMYFUNCTION("GOOGLETRANSLATE(D243, ""en"", ""hi"")"),"बी) रानी को केंद्र में वापस लाया जाता है।")</f>
        <v>बी) रानी को केंद्र में वापस लाया जाता है।</v>
      </c>
    </row>
    <row r="244" ht="22.5" customHeight="1">
      <c r="A244" s="2">
        <v>243.0</v>
      </c>
      <c r="B244" s="3" t="s">
        <v>8695</v>
      </c>
      <c r="C244" s="3" t="s">
        <v>8696</v>
      </c>
      <c r="D244" s="3" t="s">
        <v>8697</v>
      </c>
      <c r="F244" s="5" t="str">
        <f>IFERROR(__xludf.DUMMYFUNCTION("GOOGLETRANSLATE(A244, ""en"", ""hi"")"),"243")</f>
        <v>243</v>
      </c>
      <c r="G244" s="5" t="str">
        <f>IFERROR(__xludf.DUMMYFUNCTION("GOOGLETRANSLATE(B244, ""en"", ""hi"")"),"खिलाड़ी B अपनी आखिरी गोटी मारने की कोशिश में गलती से स्ट्राइकर को पॉकेट में डाल देता है। नतीजा क्या होता है?")</f>
        <v>खिलाड़ी B अपनी आखिरी गोटी मारने की कोशिश में गलती से स्ट्राइकर को पॉकेट में डाल देता है। नतीजा क्या होता है?</v>
      </c>
      <c r="H244" s="5" t="str">
        <f>IFERROR(__xludf.DUMMYFUNCTION("GOOGLETRANSLATE(C244, ""en"", ""hi"")"),"A) खिलाड़ी B खेल जीत जाता है। , B) खिलाड़ी B अपनी एक बारी खो देता है। , C) खिलाड़ी B को एक अंक का दंड दिया जाता है। , D) खिलाड़ी B को अंतिम मोहरा वापस बोर्ड पर रखना होगा।")</f>
        <v>A) खिलाड़ी B खेल जीत जाता है। , B) खिलाड़ी B अपनी एक बारी खो देता है। , C) खिलाड़ी B को एक अंक का दंड दिया जाता है। , D) खिलाड़ी B को अंतिम मोहरा वापस बोर्ड पर रखना होगा।</v>
      </c>
      <c r="I244" s="5" t="str">
        <f>IFERROR(__xludf.DUMMYFUNCTION("GOOGLETRANSLATE(D244, ""en"", ""hi"")"),"C) खिलाड़ी B को एक अंक का दंड दिया जाता है।")</f>
        <v>C) खिलाड़ी B को एक अंक का दंड दिया जाता है।</v>
      </c>
    </row>
    <row r="245" ht="22.5" customHeight="1">
      <c r="A245" s="2">
        <v>244.0</v>
      </c>
      <c r="B245" s="3" t="s">
        <v>8698</v>
      </c>
      <c r="C245" s="3" t="s">
        <v>8699</v>
      </c>
      <c r="D245" s="3" t="s">
        <v>8648</v>
      </c>
      <c r="F245" s="5" t="str">
        <f>IFERROR(__xludf.DUMMYFUNCTION("GOOGLETRANSLATE(A245, ""en"", ""hi"")"),"244")</f>
        <v>244</v>
      </c>
      <c r="G245" s="5" t="str">
        <f>IFERROR(__xludf.DUMMYFUNCTION("GOOGLETRANSLATE(B245, ""en"", ""hi"")"),"खेल के दौरान, खिलाड़ी A, विरोधी टीम के मोहरे पर वार करने की कोशिश करते हुए स्ट्राइकर को पॉकेट में डाल देता है। इसका नियम क्या है?")</f>
        <v>खेल के दौरान, खिलाड़ी A, विरोधी टीम के मोहरे पर वार करने की कोशिश करते हुए स्ट्राइकर को पॉकेट में डाल देता है। इसका नियम क्या है?</v>
      </c>
      <c r="H245" s="5" t="str">
        <f>IFERROR(__xludf.DUMMYFUNCTION("GOOGLETRANSLATE(C245, ""en"", ""hi"")"),"A) खिलाड़ी A को एक अंक का दंड दिया जाता है। , B) खिलाड़ी A अपनी बारी खो देता है। , C) खिलाड़ी A बिना दंड के खेल जारी रखता है। , D) खिलाड़ी A को स्ट्राइकर की जगह लेनी होगी।")</f>
        <v>A) खिलाड़ी A को एक अंक का दंड दिया जाता है। , B) खिलाड़ी A अपनी बारी खो देता है। , C) खिलाड़ी A बिना दंड के खेल जारी रखता है। , D) खिलाड़ी A को स्ट्राइकर की जगह लेनी होगी।</v>
      </c>
      <c r="I245" s="5" t="str">
        <f>IFERROR(__xludf.DUMMYFUNCTION("GOOGLETRANSLATE(D245, ""en"", ""hi"")"),"B) खिलाड़ी A अपनी बारी खो देता है।")</f>
        <v>B) खिलाड़ी A अपनी बारी खो देता है।</v>
      </c>
    </row>
    <row r="246" ht="22.5" customHeight="1">
      <c r="A246" s="2">
        <v>245.0</v>
      </c>
      <c r="B246" s="3" t="s">
        <v>8700</v>
      </c>
      <c r="C246" s="3" t="s">
        <v>8701</v>
      </c>
      <c r="D246" s="3" t="s">
        <v>8702</v>
      </c>
      <c r="F246" s="5" t="str">
        <f>IFERROR(__xludf.DUMMYFUNCTION("GOOGLETRANSLATE(A246, ""en"", ""hi"")"),"245")</f>
        <v>245</v>
      </c>
      <c r="G246" s="5" t="str">
        <f>IFERROR(__xludf.DUMMYFUNCTION("GOOGLETRANSLATE(B246, ""en"", ""hi"")"),"खिलाड़ी B ने अपनी सारी गोटियाँ पॉकेट में डाल दीं, लेकिन रानी नहीं मिली। अब क्या होगा?")</f>
        <v>खिलाड़ी B ने अपनी सारी गोटियाँ पॉकेट में डाल दीं, लेकिन रानी नहीं मिली। अब क्या होगा?</v>
      </c>
      <c r="H246" s="5" t="str">
        <f>IFERROR(__xludf.DUMMYFUNCTION("GOOGLETRANSLATE(C246, ""en"", ""hi"")"),"ए) खिलाड़ी बी खेल जीतता है। , बी) खिलाड़ी बी को जीतने से पहले रानी को पॉकेट में डालना होगा। , सी) खिलाड़ी बी को बोर्ड पर एक टुकड़ा वापस रखना होगा। , डी) खिलाड़ी बी को एक अंक का दंड दिया जाता है।")</f>
        <v>ए) खिलाड़ी बी खेल जीतता है। , बी) खिलाड़ी बी को जीतने से पहले रानी को पॉकेट में डालना होगा। , सी) खिलाड़ी बी को बोर्ड पर एक टुकड़ा वापस रखना होगा। , डी) खिलाड़ी बी को एक अंक का दंड दिया जाता है।</v>
      </c>
      <c r="I246" s="5" t="str">
        <f>IFERROR(__xludf.DUMMYFUNCTION("GOOGLETRANSLATE(D246, ""en"", ""hi"")"),"बी) खिलाड़ी बी को जीतने से पहले रानी को पॉकेट में डालना होगा।")</f>
        <v>बी) खिलाड़ी बी को जीतने से पहले रानी को पॉकेट में डालना होगा।</v>
      </c>
    </row>
    <row r="247" ht="22.5" customHeight="1">
      <c r="A247" s="2">
        <v>246.0</v>
      </c>
      <c r="B247" s="3" t="s">
        <v>8703</v>
      </c>
      <c r="C247" s="3" t="s">
        <v>8704</v>
      </c>
      <c r="D247" s="3" t="s">
        <v>8519</v>
      </c>
      <c r="F247" s="5" t="str">
        <f>IFERROR(__xludf.DUMMYFUNCTION("GOOGLETRANSLATE(A247, ""en"", ""hi"")"),"246")</f>
        <v>246</v>
      </c>
      <c r="G247" s="5" t="str">
        <f>IFERROR(__xludf.DUMMYFUNCTION("GOOGLETRANSLATE(B247, ""en"", ""hi"")"),"खिलाड़ी A रानी को पॉकेट में डालता है, लेकिन अगली बारी में प्रतिद्वंद्वी का एक मोहरा भी पॉकेट में डाल देता है। क्या होता है?")</f>
        <v>खिलाड़ी A रानी को पॉकेट में डालता है, लेकिन अगली बारी में प्रतिद्वंद्वी का एक मोहरा भी पॉकेट में डाल देता है। क्या होता है?</v>
      </c>
      <c r="H247" s="5" t="str">
        <f>IFERROR(__xludf.DUMMYFUNCTION("GOOGLETRANSLATE(C247, ""en"", ""hi"")"),"A) खिलाड़ी A खेल जीतता है। , B) खिलाड़ी A रानी खो देता है। , C) खिलाड़ी A को दो अंक का दंड दिया जाता है। , D) खेल सामान्य रूप से जारी रहता है।")</f>
        <v>A) खिलाड़ी A खेल जीतता है। , B) खिलाड़ी A रानी खो देता है। , C) खिलाड़ी A को दो अंक का दंड दिया जाता है। , D) खेल सामान्य रूप से जारी रहता है।</v>
      </c>
      <c r="I247" s="5" t="str">
        <f>IFERROR(__xludf.DUMMYFUNCTION("GOOGLETRANSLATE(D247, ""en"", ""hi"")"),"बी) खिलाड़ी ए रानी खो देता है।")</f>
        <v>बी) खिलाड़ी ए रानी खो देता है।</v>
      </c>
    </row>
    <row r="248" ht="22.5" customHeight="1">
      <c r="A248" s="2">
        <v>247.0</v>
      </c>
      <c r="B248" s="3" t="s">
        <v>8705</v>
      </c>
      <c r="C248" s="3" t="s">
        <v>8706</v>
      </c>
      <c r="D248" s="3" t="s">
        <v>8707</v>
      </c>
      <c r="F248" s="5" t="str">
        <f>IFERROR(__xludf.DUMMYFUNCTION("GOOGLETRANSLATE(A248, ""en"", ""hi"")"),"247")</f>
        <v>247</v>
      </c>
      <c r="G248" s="5" t="str">
        <f>IFERROR(__xludf.DUMMYFUNCTION("GOOGLETRANSLATE(B248, ""en"", ""hi"")"),"खिलाड़ी A अपनी आखिरी गोटी जेब में डाल लेता है, लेकिन रानी अभी भी खेल में है। नियम क्या है?")</f>
        <v>खिलाड़ी A अपनी आखिरी गोटी जेब में डाल लेता है, लेकिन रानी अभी भी खेल में है। नियम क्या है?</v>
      </c>
      <c r="H248" s="5" t="str">
        <f>IFERROR(__xludf.DUMMYFUNCTION("GOOGLETRANSLATE(C248, ""en"", ""hi"")"),"A) खिलाड़ी A खेल जीत जाता है। , B) खिलाड़ी A को जीतने से पहले रानी को पॉकेट में डालना होगा। , C) खिलाड़ी A एक अंक खो देता है। , D) खिलाड़ी A को अपने एक मोहरे को बोर्ड पर वापस लाना होगा।")</f>
        <v>A) खिलाड़ी A खेल जीत जाता है। , B) खिलाड़ी A को जीतने से पहले रानी को पॉकेट में डालना होगा। , C) खिलाड़ी A एक अंक खो देता है। , D) खिलाड़ी A को अपने एक मोहरे को बोर्ड पर वापस लाना होगा।</v>
      </c>
      <c r="I248" s="5" t="str">
        <f>IFERROR(__xludf.DUMMYFUNCTION("GOOGLETRANSLATE(D248, ""en"", ""hi"")"),"बी) जीतने से पहले खिलाड़ी ए को रानी को पॉकेट में डालना होगा।")</f>
        <v>बी) जीतने से पहले खिलाड़ी ए को रानी को पॉकेट में डालना होगा।</v>
      </c>
    </row>
    <row r="249" ht="22.5" customHeight="1">
      <c r="A249" s="2">
        <v>248.0</v>
      </c>
      <c r="B249" s="3" t="s">
        <v>8708</v>
      </c>
      <c r="C249" s="3" t="s">
        <v>8709</v>
      </c>
      <c r="D249" s="3" t="s">
        <v>8710</v>
      </c>
      <c r="F249" s="5" t="str">
        <f>IFERROR(__xludf.DUMMYFUNCTION("GOOGLETRANSLATE(A249, ""en"", ""hi"")"),"248")</f>
        <v>248</v>
      </c>
      <c r="G249" s="5" t="str">
        <f>IFERROR(__xludf.DUMMYFUNCTION("GOOGLETRANSLATE(B249, ""en"", ""hi"")"),"खिलाड़ी B क्वीन को कवर करता है लेकिन बाद में स्ट्राइकर को पॉकेट में डाल देता है। नियम क्या है?")</f>
        <v>खिलाड़ी B क्वीन को कवर करता है लेकिन बाद में स्ट्राइकर को पॉकेट में डाल देता है। नियम क्या है?</v>
      </c>
      <c r="H249" s="5" t="str">
        <f>IFERROR(__xludf.DUMMYFUNCTION("GOOGLETRANSLATE(C249, ""en"", ""hi"")"),"A) खिलाड़ी B खेल जीत जाता है। , B) खिलाड़ी B को दो अंक का दंड दिया जाता है। , C) खिलाड़ी B रानी खो देता है। , D) खिलाड़ी B बिना दंड के खेल जारी रखता है।")</f>
        <v>A) खिलाड़ी B खेल जीत जाता है। , B) खिलाड़ी B को दो अंक का दंड दिया जाता है। , C) खिलाड़ी B रानी खो देता है। , D) खिलाड़ी B बिना दंड के खेल जारी रखता है।</v>
      </c>
      <c r="I249" s="5" t="str">
        <f>IFERROR(__xludf.DUMMYFUNCTION("GOOGLETRANSLATE(D249, ""en"", ""hi"")"),"C) खिलाड़ी B रानी खो देता है।")</f>
        <v>C) खिलाड़ी B रानी खो देता है।</v>
      </c>
    </row>
    <row r="250" ht="22.5" customHeight="1">
      <c r="A250" s="2">
        <v>249.0</v>
      </c>
      <c r="B250" s="3" t="s">
        <v>8711</v>
      </c>
      <c r="C250" s="3" t="s">
        <v>8712</v>
      </c>
      <c r="D250" s="3" t="s">
        <v>8713</v>
      </c>
      <c r="F250" s="5" t="str">
        <f>IFERROR(__xludf.DUMMYFUNCTION("GOOGLETRANSLATE(A250, ""en"", ""hi"")"),"249")</f>
        <v>249</v>
      </c>
      <c r="G250" s="5" t="str">
        <f>IFERROR(__xludf.DUMMYFUNCTION("GOOGLETRANSLATE(B250, ""en"", ""hi"")"),"खिलाड़ी A एक ही बार में अपनी दो गोटियाँ पॉकेट में डाल देता है, लेकिन रानी को कवर नहीं कर पाता। आगे क्या होता है?")</f>
        <v>खिलाड़ी A एक ही बार में अपनी दो गोटियाँ पॉकेट में डाल देता है, लेकिन रानी को कवर नहीं कर पाता। आगे क्या होता है?</v>
      </c>
      <c r="H250" s="5" t="str">
        <f>IFERROR(__xludf.DUMMYFUNCTION("GOOGLETRANSLATE(C250, ""en"", ""hi"")"),"A) खिलाड़ी A खेल जीत जाता है। , B) खिलाड़ी A पॉकेट में डाले गए टुकड़ों में से एक खो देता है। , C) खिलाड़ी A खेलना जारी रखता है। , D) खिलाड़ी A को टुकड़ों में से एक को बोर्ड पर वापस करना होगा।")</f>
        <v>A) खिलाड़ी A खेल जीत जाता है। , B) खिलाड़ी A पॉकेट में डाले गए टुकड़ों में से एक खो देता है। , C) खिलाड़ी A खेलना जारी रखता है। , D) खिलाड़ी A को टुकड़ों में से एक को बोर्ड पर वापस करना होगा।</v>
      </c>
      <c r="I250" s="5" t="str">
        <f>IFERROR(__xludf.DUMMYFUNCTION("GOOGLETRANSLATE(D250, ""en"", ""hi"")"),"D) खिलाड़ी A को एक टुकड़ा बोर्ड पर वापस लाना होगा।")</f>
        <v>D) खिलाड़ी A को एक टुकड़ा बोर्ड पर वापस लाना होगा।</v>
      </c>
    </row>
    <row r="251" ht="22.5" customHeight="1">
      <c r="A251" s="2">
        <v>250.0</v>
      </c>
      <c r="B251" s="3" t="s">
        <v>8714</v>
      </c>
      <c r="C251" s="3" t="s">
        <v>8715</v>
      </c>
      <c r="D251" s="3" t="s">
        <v>8671</v>
      </c>
      <c r="F251" s="5" t="str">
        <f>IFERROR(__xludf.DUMMYFUNCTION("GOOGLETRANSLATE(A251, ""en"", ""hi"")"),"250")</f>
        <v>250</v>
      </c>
      <c r="G251" s="5" t="str">
        <f>IFERROR(__xludf.DUMMYFUNCTION("GOOGLETRANSLATE(B251, ""en"", ""hi"")"),"खिलाड़ी A रानी को कवर करने की कोशिश में उसे बोर्ड से नीचे गिरा देता है। क्या होता है?")</f>
        <v>खिलाड़ी A रानी को कवर करने की कोशिश में उसे बोर्ड से नीचे गिरा देता है। क्या होता है?</v>
      </c>
      <c r="H251" s="5" t="str">
        <f>IFERROR(__xludf.DUMMYFUNCTION("GOOGLETRANSLATE(C251, ""en"", ""hi"")"),"ए) रानी को वापस केंद्र में रख दिया जाता है।, बी) खिलाड़ी ए रानी खो देता है।, सी) खिलाड़ी ए को एक अंक का दंड दिया जाता है।, डी) खिलाड़ी ए को एक और शॉट लेना होगा।")</f>
        <v>ए) रानी को वापस केंद्र में रख दिया जाता है।, बी) खिलाड़ी ए रानी खो देता है।, सी) खिलाड़ी ए को एक अंक का दंड दिया जाता है।, डी) खिलाड़ी ए को एक और शॉट लेना होगा।</v>
      </c>
      <c r="I251" s="5" t="str">
        <f>IFERROR(__xludf.DUMMYFUNCTION("GOOGLETRANSLATE(D251, ""en"", ""hi"")"),"A) रानी को वापस केंद्र में रखा गया है।")</f>
        <v>A) रानी को वापस केंद्र में रखा गया है।</v>
      </c>
    </row>
    <row r="252" ht="22.5" customHeight="1">
      <c r="A252" s="2">
        <v>251.0</v>
      </c>
      <c r="B252" s="3" t="s">
        <v>8716</v>
      </c>
      <c r="C252" s="3" t="s">
        <v>8717</v>
      </c>
      <c r="D252" s="3" t="s">
        <v>8718</v>
      </c>
      <c r="F252" s="5" t="str">
        <f>IFERROR(__xludf.DUMMYFUNCTION("GOOGLETRANSLATE(A252, ""en"", ""hi"")"),"251")</f>
        <v>251</v>
      </c>
      <c r="G252" s="5" t="str">
        <f>IFERROR(__xludf.DUMMYFUNCTION("GOOGLETRANSLATE(B252, ""en"", ""hi"")"),"खिलाड़ी B क्वीन को पॉकेट में डालता है, लेकिन खिलाड़ी A तुरंत स्ट्राइकर को पॉकेट में डाल देता है। नियम क्या है?")</f>
        <v>खिलाड़ी B क्वीन को पॉकेट में डालता है, लेकिन खिलाड़ी A तुरंत स्ट्राइकर को पॉकेट में डाल देता है। नियम क्या है?</v>
      </c>
      <c r="H252" s="5" t="str">
        <f>IFERROR(__xludf.DUMMYFUNCTION("GOOGLETRANSLATE(C252, ""en"", ""hi"")"),"A) खिलाड़ी B खेल जीत जाता है। , B) खिलाड़ी A को दो अंक का दंड दिया जाता है। , C) खिलाड़ी A अपनी बारी खो देता है। , D) खेल सामान्य रूप से जारी रहता है।")</f>
        <v>A) खिलाड़ी B खेल जीत जाता है। , B) खिलाड़ी A को दो अंक का दंड दिया जाता है। , C) खिलाड़ी A अपनी बारी खो देता है। , D) खेल सामान्य रूप से जारी रहता है।</v>
      </c>
      <c r="I252" s="5" t="str">
        <f>IFERROR(__xludf.DUMMYFUNCTION("GOOGLETRANSLATE(D252, ""en"", ""hi"")"),"D) खेल सामान्य रूप से जारी रहता है।")</f>
        <v>D) खेल सामान्य रूप से जारी रहता है।</v>
      </c>
    </row>
    <row r="253" ht="22.5" customHeight="1">
      <c r="A253" s="2">
        <v>252.0</v>
      </c>
      <c r="B253" s="3" t="s">
        <v>8719</v>
      </c>
      <c r="C253" s="3" t="s">
        <v>8720</v>
      </c>
      <c r="D253" s="3" t="s">
        <v>8519</v>
      </c>
      <c r="F253" s="5" t="str">
        <f>IFERROR(__xludf.DUMMYFUNCTION("GOOGLETRANSLATE(A253, ""en"", ""hi"")"),"252")</f>
        <v>252</v>
      </c>
      <c r="G253" s="5" t="str">
        <f>IFERROR(__xludf.DUMMYFUNCTION("GOOGLETRANSLATE(B253, ""en"", ""hi"")"),"खिलाड़ी A रानी को सफलतापूर्वक कवर करता है, लेकिन बाद में स्ट्राइकर को पॉकेट में डाल देता है। क्या होता है?")</f>
        <v>खिलाड़ी A रानी को सफलतापूर्वक कवर करता है, लेकिन बाद में स्ट्राइकर को पॉकेट में डाल देता है। क्या होता है?</v>
      </c>
      <c r="H253" s="5" t="str">
        <f>IFERROR(__xludf.DUMMYFUNCTION("GOOGLETRANSLATE(C253, ""en"", ""hi"")"),"A) खिलाड़ी A खेल जीत जाता है। , B) खिलाड़ी A रानी खो देता है। , C) खिलाड़ी A को दो अंक का दंड दिया जाता है। , D) खिलाड़ी A खेलना जारी रखता है।")</f>
        <v>A) खिलाड़ी A खेल जीत जाता है। , B) खिलाड़ी A रानी खो देता है। , C) खिलाड़ी A को दो अंक का दंड दिया जाता है। , D) खिलाड़ी A खेलना जारी रखता है।</v>
      </c>
      <c r="I253" s="5" t="str">
        <f>IFERROR(__xludf.DUMMYFUNCTION("GOOGLETRANSLATE(D253, ""en"", ""hi"")"),"बी) खिलाड़ी ए रानी खो देता है।")</f>
        <v>बी) खिलाड़ी ए रानी खो देता है।</v>
      </c>
    </row>
    <row r="254" ht="22.5" customHeight="1">
      <c r="A254" s="2">
        <v>253.0</v>
      </c>
      <c r="B254" s="3" t="s">
        <v>8721</v>
      </c>
      <c r="C254" s="3" t="s">
        <v>8722</v>
      </c>
      <c r="D254" s="3" t="s">
        <v>8723</v>
      </c>
      <c r="F254" s="5" t="str">
        <f>IFERROR(__xludf.DUMMYFUNCTION("GOOGLETRANSLATE(A254, ""en"", ""hi"")"),"253")</f>
        <v>253</v>
      </c>
      <c r="G254" s="5" t="str">
        <f>IFERROR(__xludf.DUMMYFUNCTION("GOOGLETRANSLATE(B254, ""en"", ""hi"")"),"खिलाड़ी B बिना कवर किए ही रानी को पॉकेट में डाल देता है। नतीजा क्या होता है?")</f>
        <v>खिलाड़ी B बिना कवर किए ही रानी को पॉकेट में डाल देता है। नतीजा क्या होता है?</v>
      </c>
      <c r="H254" s="5" t="str">
        <f>IFERROR(__xludf.DUMMYFUNCTION("GOOGLETRANSLATE(C254, ""en"", ""hi"")"),"A) खिलाड़ी B खेल जीत जाता है। , B) खिलाड़ी B एक अंक खो देता है। , C) रानी को केंद्र में वापस कर दिया जाता है। , D) खिलाड़ी B को दो अंक का दंड दिया जाता है।")</f>
        <v>A) खिलाड़ी B खेल जीत जाता है। , B) खिलाड़ी B एक अंक खो देता है। , C) रानी को केंद्र में वापस कर दिया जाता है। , D) खिलाड़ी B को दो अंक का दंड दिया जाता है।</v>
      </c>
      <c r="I254" s="5" t="str">
        <f>IFERROR(__xludf.DUMMYFUNCTION("GOOGLETRANSLATE(D254, ""en"", ""hi"")"),"C) रानी को केंद्र में वापस लाया जाता है।")</f>
        <v>C) रानी को केंद्र में वापस लाया जाता है।</v>
      </c>
    </row>
    <row r="255" ht="22.5" customHeight="1">
      <c r="A255" s="2">
        <v>254.0</v>
      </c>
      <c r="B255" s="3" t="s">
        <v>8724</v>
      </c>
      <c r="C255" s="3" t="s">
        <v>8725</v>
      </c>
      <c r="D255" s="3" t="s">
        <v>8519</v>
      </c>
      <c r="F255" s="5" t="str">
        <f>IFERROR(__xludf.DUMMYFUNCTION("GOOGLETRANSLATE(A255, ""en"", ""hi"")"),"254")</f>
        <v>254</v>
      </c>
      <c r="G255" s="5" t="str">
        <f>IFERROR(__xludf.DUMMYFUNCTION("GOOGLETRANSLATE(B255, ""en"", ""hi"")"),"खिलाड़ी A रानी को कवर करता है, लेकिन बाद में प्रतिद्वंद्वी के मोहरे को पॉकेट में डाल देता है। क्या होता है?")</f>
        <v>खिलाड़ी A रानी को कवर करता है, लेकिन बाद में प्रतिद्वंद्वी के मोहरे को पॉकेट में डाल देता है। क्या होता है?</v>
      </c>
      <c r="H255" s="5" t="str">
        <f>IFERROR(__xludf.DUMMYFUNCTION("GOOGLETRANSLATE(C255, ""en"", ""hi"")"),"A) खिलाड़ी A खेल जीत जाता है। , B) खिलाड़ी A रानी खो देता है। , C) खिलाड़ी A को अपने एक मोहरे को बोर्ड पर वापस करना होगा। , D) खिलाड़ी A को दो अंक का दंड दिया जाता है।")</f>
        <v>A) खिलाड़ी A खेल जीत जाता है। , B) खिलाड़ी A रानी खो देता है। , C) खिलाड़ी A को अपने एक मोहरे को बोर्ड पर वापस करना होगा। , D) खिलाड़ी A को दो अंक का दंड दिया जाता है।</v>
      </c>
      <c r="I255" s="5" t="str">
        <f>IFERROR(__xludf.DUMMYFUNCTION("GOOGLETRANSLATE(D255, ""en"", ""hi"")"),"बी) खिलाड़ी ए रानी खो देता है।")</f>
        <v>बी) खिलाड़ी ए रानी खो देता है।</v>
      </c>
    </row>
    <row r="256" ht="22.5" customHeight="1">
      <c r="A256" s="2">
        <v>255.0</v>
      </c>
      <c r="B256" s="3" t="s">
        <v>8726</v>
      </c>
      <c r="C256" s="3" t="s">
        <v>8727</v>
      </c>
      <c r="D256" s="3" t="s">
        <v>8728</v>
      </c>
      <c r="F256" s="5" t="str">
        <f>IFERROR(__xludf.DUMMYFUNCTION("GOOGLETRANSLATE(A256, ""en"", ""hi"")"),"255")</f>
        <v>255</v>
      </c>
      <c r="G256" s="5" t="str">
        <f>IFERROR(__xludf.DUMMYFUNCTION("GOOGLETRANSLATE(B256, ""en"", ""hi"")"),"खिलाड़ी B गलती से क्वीन पर हिट करने की कोशिश में स्ट्राइकर को पॉकेट में डाल देता है। इसका क्या नियम है?")</f>
        <v>खिलाड़ी B गलती से क्वीन पर हिट करने की कोशिश में स्ट्राइकर को पॉकेट में डाल देता है। इसका क्या नियम है?</v>
      </c>
      <c r="H256" s="5" t="str">
        <f>IFERROR(__xludf.DUMMYFUNCTION("GOOGLETRANSLATE(C256, ""en"", ""hi"")"),"A) खिलाड़ी B अपनी बारी खो देता है। , B) खिलाड़ी B को एक अंक का दंड दिया जाता है। , C) खिलाड़ी B बिना दंड के खेल जारी रखता है। , D) खिलाड़ी B को बोर्ड पर एक मोहरा वापस करना होगा।")</f>
        <v>A) खिलाड़ी B अपनी बारी खो देता है। , B) खिलाड़ी B को एक अंक का दंड दिया जाता है। , C) खिलाड़ी B बिना दंड के खेल जारी रखता है। , D) खिलाड़ी B को बोर्ड पर एक मोहरा वापस करना होगा।</v>
      </c>
      <c r="I256" s="5" t="str">
        <f>IFERROR(__xludf.DUMMYFUNCTION("GOOGLETRANSLATE(D256, ""en"", ""hi"")"),"बी) खिलाड़ी बी को एक अंक का दंड दिया जाता है।")</f>
        <v>बी) खिलाड़ी बी को एक अंक का दंड दिया जाता है।</v>
      </c>
    </row>
    <row r="257" ht="22.5" customHeight="1">
      <c r="A257" s="2">
        <v>256.0</v>
      </c>
      <c r="B257" s="3" t="s">
        <v>8729</v>
      </c>
      <c r="C257" s="3" t="s">
        <v>8730</v>
      </c>
      <c r="D257" s="3" t="s">
        <v>8643</v>
      </c>
      <c r="F257" s="5" t="str">
        <f>IFERROR(__xludf.DUMMYFUNCTION("GOOGLETRANSLATE(A257, ""en"", ""hi"")"),"256")</f>
        <v>256</v>
      </c>
      <c r="G257" s="5" t="str">
        <f>IFERROR(__xludf.DUMMYFUNCTION("GOOGLETRANSLATE(B257, ""en"", ""hi"")"),"खिलाड़ी A रानी को सफलतापूर्वक पॉकेट में डाल देता है, लेकिन खिलाड़ी B विरोध करता है कि खिलाड़ी A ने अपना इरादा ज़ाहिर नहीं किया था। फ़ैसला क्या है?")</f>
        <v>खिलाड़ी A रानी को सफलतापूर्वक पॉकेट में डाल देता है, लेकिन खिलाड़ी B विरोध करता है कि खिलाड़ी A ने अपना इरादा ज़ाहिर नहीं किया था। फ़ैसला क्या है?</v>
      </c>
      <c r="H257" s="5" t="str">
        <f>IFERROR(__xludf.DUMMYFUNCTION("GOOGLETRANSLATE(C257, ""en"", ""hi"")"),"A) खिलाड़ी A खेल जीत जाता है। , B) रानी को केंद्र में वापस कर दिया जाता है। , C) खिलाड़ी A को दो अंक का दंड दिया जाता है। , D) खिलाड़ी A अपनी अगली बारी खो देता है।")</f>
        <v>A) खिलाड़ी A खेल जीत जाता है। , B) रानी को केंद्र में वापस कर दिया जाता है। , C) खिलाड़ी A को दो अंक का दंड दिया जाता है। , D) खिलाड़ी A अपनी अगली बारी खो देता है।</v>
      </c>
      <c r="I257" s="5" t="str">
        <f>IFERROR(__xludf.DUMMYFUNCTION("GOOGLETRANSLATE(D257, ""en"", ""hi"")"),"बी) रानी को केंद्र में वापस लाया जाता है।")</f>
        <v>बी) रानी को केंद्र में वापस लाया जाता है।</v>
      </c>
    </row>
    <row r="258" ht="22.5" customHeight="1">
      <c r="A258" s="2">
        <v>257.0</v>
      </c>
      <c r="B258" s="3" t="s">
        <v>8731</v>
      </c>
      <c r="C258" s="3" t="s">
        <v>8732</v>
      </c>
      <c r="D258" s="3" t="s">
        <v>8505</v>
      </c>
      <c r="F258" s="5" t="str">
        <f>IFERROR(__xludf.DUMMYFUNCTION("GOOGLETRANSLATE(A258, ""en"", ""hi"")"),"257")</f>
        <v>257</v>
      </c>
      <c r="G258" s="5" t="str">
        <f>IFERROR(__xludf.DUMMYFUNCTION("GOOGLETRANSLATE(B258, ""en"", ""hi"")"),"खिलाड़ी B रानी को कवर करता है, लेकिन अगले शॉट में प्रतिद्वंद्वी के मोहरे को पॉकेट में डाल देता है। क्या होता है?")</f>
        <v>खिलाड़ी B रानी को कवर करता है, लेकिन अगले शॉट में प्रतिद्वंद्वी के मोहरे को पॉकेट में डाल देता है। क्या होता है?</v>
      </c>
      <c r="H258" s="5" t="str">
        <f>IFERROR(__xludf.DUMMYFUNCTION("GOOGLETRANSLATE(C258, ""en"", ""hi"")"),"A) खिलाड़ी B खेल जीत जाता है। , B) खिलाड़ी B रानी खो देता है। , C) खिलाड़ी B पर दो अंक का जुर्माना लगाया जाता है। , D) खिलाड़ी B बिना जुर्माने के खेल जारी रखता है।")</f>
        <v>A) खिलाड़ी B खेल जीत जाता है। , B) खिलाड़ी B रानी खो देता है। , C) खिलाड़ी B पर दो अंक का जुर्माना लगाया जाता है। , D) खिलाड़ी B बिना जुर्माने के खेल जारी रखता है।</v>
      </c>
      <c r="I258" s="5" t="str">
        <f>IFERROR(__xludf.DUMMYFUNCTION("GOOGLETRANSLATE(D258, ""en"", ""hi"")"),"B) खिलाड़ी B रानी खो देता है।")</f>
        <v>B) खिलाड़ी B रानी खो देता है।</v>
      </c>
    </row>
    <row r="259" ht="22.5" customHeight="1">
      <c r="A259" s="2">
        <v>258.0</v>
      </c>
      <c r="B259" s="3" t="s">
        <v>8733</v>
      </c>
      <c r="C259" s="3" t="s">
        <v>8734</v>
      </c>
      <c r="D259" s="3" t="s">
        <v>8707</v>
      </c>
      <c r="F259" s="5" t="str">
        <f>IFERROR(__xludf.DUMMYFUNCTION("GOOGLETRANSLATE(A259, ""en"", ""hi"")"),"258")</f>
        <v>258</v>
      </c>
      <c r="G259" s="5" t="str">
        <f>IFERROR(__xludf.DUMMYFUNCTION("GOOGLETRANSLATE(B259, ""en"", ""hi"")"),"खिलाड़ी A अपनी आखिरी गोटी जेब में रखता है, लेकिन रानी को बोर्ड पर ही छोड़ देता है। नियम क्या है?")</f>
        <v>खिलाड़ी A अपनी आखिरी गोटी जेब में रखता है, लेकिन रानी को बोर्ड पर ही छोड़ देता है। नियम क्या है?</v>
      </c>
      <c r="H259" s="5" t="str">
        <f>IFERROR(__xludf.DUMMYFUNCTION("GOOGLETRANSLATE(C259, ""en"", ""hi"")"),"A) खिलाड़ी A खेल जीत जाता है। , B) खिलाड़ी A को जीतने से पहले रानी को पॉकेट में डालना होगा। , C) खिलाड़ी A को दो अंक का दंड दिया जाता है। , D) खिलाड़ी A अपनी बारी खो देता है।")</f>
        <v>A) खिलाड़ी A खेल जीत जाता है। , B) खिलाड़ी A को जीतने से पहले रानी को पॉकेट में डालना होगा। , C) खिलाड़ी A को दो अंक का दंड दिया जाता है। , D) खिलाड़ी A अपनी बारी खो देता है।</v>
      </c>
      <c r="I259" s="5" t="str">
        <f>IFERROR(__xludf.DUMMYFUNCTION("GOOGLETRANSLATE(D259, ""en"", ""hi"")"),"बी) जीतने से पहले खिलाड़ी ए को रानी को पॉकेट में डालना होगा।")</f>
        <v>बी) जीतने से पहले खिलाड़ी ए को रानी को पॉकेट में डालना होगा।</v>
      </c>
    </row>
    <row r="260" ht="22.5" customHeight="1">
      <c r="A260" s="2">
        <v>259.0</v>
      </c>
      <c r="B260" s="3" t="s">
        <v>8735</v>
      </c>
      <c r="C260" s="3" t="s">
        <v>8736</v>
      </c>
      <c r="D260" s="3" t="s">
        <v>8728</v>
      </c>
      <c r="F260" s="5" t="str">
        <f>IFERROR(__xludf.DUMMYFUNCTION("GOOGLETRANSLATE(A260, ""en"", ""hi"")"),"259")</f>
        <v>259</v>
      </c>
      <c r="G260" s="5" t="str">
        <f>IFERROR(__xludf.DUMMYFUNCTION("GOOGLETRANSLATE(B260, ""en"", ""hi"")"),"खिलाड़ी B, क्वीन पर शॉट मारने की कोशिश में गलती से स्ट्राइकर को पॉकेट में गिरा देता है। क्या होता है?")</f>
        <v>खिलाड़ी B, क्वीन पर शॉट मारने की कोशिश में गलती से स्ट्राइकर को पॉकेट में गिरा देता है। क्या होता है?</v>
      </c>
      <c r="H260" s="5" t="str">
        <f>IFERROR(__xludf.DUMMYFUNCTION("GOOGLETRANSLATE(C260, ""en"", ""hi"")"),"ए) खिलाड़ी बी रानी खो देता है।, बी) खिलाड़ी बी को एक अंक का दंड दिया जाता है।, सी) खिलाड़ी बी बिना दंड के खेल जारी रखता है।, डी) खिलाड़ी बी को बोर्ड पर एक टुकड़ा वापस करना होगा।")</f>
        <v>ए) खिलाड़ी बी रानी खो देता है।, बी) खिलाड़ी बी को एक अंक का दंड दिया जाता है।, सी) खिलाड़ी बी बिना दंड के खेल जारी रखता है।, डी) खिलाड़ी बी को बोर्ड पर एक टुकड़ा वापस करना होगा।</v>
      </c>
      <c r="I260" s="5" t="str">
        <f>IFERROR(__xludf.DUMMYFUNCTION("GOOGLETRANSLATE(D260, ""en"", ""hi"")"),"बी) खिलाड़ी बी को एक अंक का दंड दिया जाता है।")</f>
        <v>बी) खिलाड़ी बी को एक अंक का दंड दिया जाता है।</v>
      </c>
    </row>
    <row r="261" ht="22.5" customHeight="1">
      <c r="A261" s="2">
        <v>260.0</v>
      </c>
      <c r="B261" s="3" t="s">
        <v>8737</v>
      </c>
      <c r="C261" s="3" t="s">
        <v>8738</v>
      </c>
      <c r="D261" s="3" t="s">
        <v>8519</v>
      </c>
      <c r="F261" s="5" t="str">
        <f>IFERROR(__xludf.DUMMYFUNCTION("GOOGLETRANSLATE(A261, ""en"", ""hi"")"),"260")</f>
        <v>260</v>
      </c>
      <c r="G261" s="5" t="str">
        <f>IFERROR(__xludf.DUMMYFUNCTION("GOOGLETRANSLATE(B261, ""en"", ""hi"")"),"खिलाड़ी A क्वीन को कवर करता है, लेकिन गलती से स्ट्राइकर को पॉकेट में डाल देता है। क्या होता है?")</f>
        <v>खिलाड़ी A क्वीन को कवर करता है, लेकिन गलती से स्ट्राइकर को पॉकेट में डाल देता है। क्या होता है?</v>
      </c>
      <c r="H261" s="5" t="str">
        <f>IFERROR(__xludf.DUMMYFUNCTION("GOOGLETRANSLATE(C261, ""en"", ""hi"")"),"A) खिलाड़ी A खेल जीत जाता है। , B) खिलाड़ी A रानी खो देता है। , C) खिलाड़ी A को एक अंक का दंड दिया जाता है। , D) खिलाड़ी A को अपने एक मोहरे को बोर्ड पर वापस लाना होगा।")</f>
        <v>A) खिलाड़ी A खेल जीत जाता है। , B) खिलाड़ी A रानी खो देता है। , C) खिलाड़ी A को एक अंक का दंड दिया जाता है। , D) खिलाड़ी A को अपने एक मोहरे को बोर्ड पर वापस लाना होगा।</v>
      </c>
      <c r="I261" s="5" t="str">
        <f>IFERROR(__xludf.DUMMYFUNCTION("GOOGLETRANSLATE(D261, ""en"", ""hi"")"),"बी) खिलाड़ी ए रानी खो देता है।")</f>
        <v>बी) खिलाड़ी ए रानी खो देता है।</v>
      </c>
    </row>
    <row r="262" ht="22.5" customHeight="1">
      <c r="A262" s="2">
        <v>261.0</v>
      </c>
      <c r="B262" s="3" t="s">
        <v>8739</v>
      </c>
      <c r="C262" s="3" t="s">
        <v>8740</v>
      </c>
      <c r="D262" s="3" t="s">
        <v>8643</v>
      </c>
      <c r="F262" s="5" t="str">
        <f>IFERROR(__xludf.DUMMYFUNCTION("GOOGLETRANSLATE(A262, ""en"", ""hi"")"),"261")</f>
        <v>261</v>
      </c>
      <c r="G262" s="5" t="str">
        <f>IFERROR(__xludf.DUMMYFUNCTION("GOOGLETRANSLATE(B262, ""en"", ""hi"")"),"खिलाड़ी B स्ट्राइक करता है और रानी बोर्ड से बाहर चली जाती है। फिर क्या होता है?")</f>
        <v>खिलाड़ी B स्ट्राइक करता है और रानी बोर्ड से बाहर चली जाती है। फिर क्या होता है?</v>
      </c>
      <c r="H262" s="5" t="str">
        <f>IFERROR(__xludf.DUMMYFUNCTION("GOOGLETRANSLATE(C262, ""en"", ""hi"")"),"A) खिलाड़ी B खेल जीत जाता है। , B) रानी को केंद्र में वापस कर दिया जाता है। , C) खिलाड़ी B को दो अंक का दंड दिया जाता है। , D) खिलाड़ी B अपनी बारी खो देता है।")</f>
        <v>A) खिलाड़ी B खेल जीत जाता है। , B) रानी को केंद्र में वापस कर दिया जाता है। , C) खिलाड़ी B को दो अंक का दंड दिया जाता है। , D) खिलाड़ी B अपनी बारी खो देता है।</v>
      </c>
      <c r="I262" s="5" t="str">
        <f>IFERROR(__xludf.DUMMYFUNCTION("GOOGLETRANSLATE(D262, ""en"", ""hi"")"),"बी) रानी को केंद्र में वापस लाया जाता है।")</f>
        <v>बी) रानी को केंद्र में वापस लाया जाता है।</v>
      </c>
    </row>
    <row r="263" ht="22.5" customHeight="1">
      <c r="A263" s="2">
        <v>262.0</v>
      </c>
      <c r="B263" s="3" t="s">
        <v>8741</v>
      </c>
      <c r="C263" s="3" t="s">
        <v>8742</v>
      </c>
      <c r="D263" s="3" t="s">
        <v>8743</v>
      </c>
      <c r="F263" s="5" t="str">
        <f>IFERROR(__xludf.DUMMYFUNCTION("GOOGLETRANSLATE(A263, ""en"", ""hi"")"),"262")</f>
        <v>262</v>
      </c>
      <c r="G263" s="5" t="str">
        <f>IFERROR(__xludf.DUMMYFUNCTION("GOOGLETRANSLATE(B263, ""en"", ""hi"")"),"खिलाड़ी A, रानी को मारने की कोशिश में स्ट्राइकर को बोर्ड से नीचे गिरा देता है। इसका क्या नियम है?")</f>
        <v>खिलाड़ी A, रानी को मारने की कोशिश में स्ट्राइकर को बोर्ड से नीचे गिरा देता है। इसका क्या नियम है?</v>
      </c>
      <c r="H263" s="5" t="str">
        <f>IFERROR(__xludf.DUMMYFUNCTION("GOOGLETRANSLATE(C263, ""en"", ""hi"")"),"A) खिलाड़ी A को एक अंक का दंड दिया जाता है। , B) खिलाड़ी A अपनी बारी खो देता है। , C) खिलाड़ी A को स्ट्राइकर की जगह लेनी होगी। , D) खिलाड़ी A खेलना जारी रखता है।")</f>
        <v>A) खिलाड़ी A को एक अंक का दंड दिया जाता है। , B) खिलाड़ी A अपनी बारी खो देता है। , C) खिलाड़ी A को स्ट्राइकर की जगह लेनी होगी। , D) खिलाड़ी A खेलना जारी रखता है।</v>
      </c>
      <c r="I263" s="5" t="str">
        <f>IFERROR(__xludf.DUMMYFUNCTION("GOOGLETRANSLATE(D263, ""en"", ""hi"")"),"A) खिलाड़ी A को एक अंक का दंड दिया जाता है।")</f>
        <v>A) खिलाड़ी A को एक अंक का दंड दिया जाता है।</v>
      </c>
    </row>
    <row r="264" ht="22.5" customHeight="1">
      <c r="A264" s="2">
        <v>263.0</v>
      </c>
      <c r="B264" s="3" t="s">
        <v>8744</v>
      </c>
      <c r="C264" s="3" t="s">
        <v>8745</v>
      </c>
      <c r="D264" s="3" t="s">
        <v>8505</v>
      </c>
      <c r="F264" s="5" t="str">
        <f>IFERROR(__xludf.DUMMYFUNCTION("GOOGLETRANSLATE(A264, ""en"", ""hi"")"),"263")</f>
        <v>263</v>
      </c>
      <c r="G264" s="5" t="str">
        <f>IFERROR(__xludf.DUMMYFUNCTION("GOOGLETRANSLATE(B264, ""en"", ""hi"")"),"खिलाड़ी B रानी को सफलतापूर्वक कवर कर लेता है, लेकिन गलती से खिलाड़ी A का मोहरा पॉकेट में चला जाता है। क्या होता है?")</f>
        <v>खिलाड़ी B रानी को सफलतापूर्वक कवर कर लेता है, लेकिन गलती से खिलाड़ी A का मोहरा पॉकेट में चला जाता है। क्या होता है?</v>
      </c>
      <c r="H264" s="5" t="str">
        <f>IFERROR(__xludf.DUMMYFUNCTION("GOOGLETRANSLATE(C264, ""en"", ""hi"")"),"A) खिलाड़ी B खेल जीतता है। , B) खिलाड़ी B रानी खो देता है। , C) खिलाड़ी A का मोहरा वापस कर दिया जाता है। , D) खेल सामान्य रूप से जारी रहता है।")</f>
        <v>A) खिलाड़ी B खेल जीतता है। , B) खिलाड़ी B रानी खो देता है। , C) खिलाड़ी A का मोहरा वापस कर दिया जाता है। , D) खेल सामान्य रूप से जारी रहता है।</v>
      </c>
      <c r="I264" s="5" t="str">
        <f>IFERROR(__xludf.DUMMYFUNCTION("GOOGLETRANSLATE(D264, ""en"", ""hi"")"),"B) खिलाड़ी B रानी खो देता है।")</f>
        <v>B) खिलाड़ी B रानी खो देता है।</v>
      </c>
    </row>
    <row r="265" ht="22.5" customHeight="1">
      <c r="A265" s="2">
        <v>264.0</v>
      </c>
      <c r="B265" s="3" t="s">
        <v>8746</v>
      </c>
      <c r="C265" s="3" t="s">
        <v>8747</v>
      </c>
      <c r="D265" s="3" t="s">
        <v>7785</v>
      </c>
      <c r="F265" s="5" t="str">
        <f>IFERROR(__xludf.DUMMYFUNCTION("GOOGLETRANSLATE(A265, ""en"", ""hi"")"),"264")</f>
        <v>264</v>
      </c>
      <c r="G265" s="5" t="str">
        <f>IFERROR(__xludf.DUMMYFUNCTION("GOOGLETRANSLATE(B265, ""en"", ""hi"")"),"खिलाड़ी A रानी और उसके सभी मोहरे पॉकेट में डाल देता है। नतीजा क्या होता है?")</f>
        <v>खिलाड़ी A रानी और उसके सभी मोहरे पॉकेट में डाल देता है। नतीजा क्या होता है?</v>
      </c>
      <c r="H265" s="5" t="str">
        <f>IFERROR(__xludf.DUMMYFUNCTION("GOOGLETRANSLATE(C265, ""en"", ""hi"")"),"ए) खिलाड़ी ए खेल जीतता है।, बी) खिलाड़ी ए को एक मोहरा वापस करना होगा।, सी) खिलाड़ी ए को एक अंक का दंड दिया जाता है।, डी) खिलाड़ी ए को शॉट फिर से खेलना होगा।")</f>
        <v>ए) खिलाड़ी ए खेल जीतता है।, बी) खिलाड़ी ए को एक मोहरा वापस करना होगा।, सी) खिलाड़ी ए को एक अंक का दंड दिया जाता है।, डी) खिलाड़ी ए को शॉट फिर से खेलना होगा।</v>
      </c>
      <c r="I265" s="5" t="str">
        <f>IFERROR(__xludf.DUMMYFUNCTION("GOOGLETRANSLATE(D265, ""en"", ""hi"")"),"A) खिलाड़ी A खेल जीतता है।")</f>
        <v>A) खिलाड़ी A खेल जीतता है।</v>
      </c>
    </row>
    <row r="266" ht="22.5" customHeight="1">
      <c r="A266" s="2">
        <v>265.0</v>
      </c>
      <c r="B266" s="3" t="s">
        <v>8748</v>
      </c>
      <c r="C266" s="3" t="s">
        <v>8749</v>
      </c>
      <c r="D266" s="3" t="s">
        <v>8643</v>
      </c>
      <c r="F266" s="5" t="str">
        <f>IFERROR(__xludf.DUMMYFUNCTION("GOOGLETRANSLATE(A266, ""en"", ""hi"")"),"265")</f>
        <v>265</v>
      </c>
      <c r="G266" s="5" t="str">
        <f>IFERROR(__xludf.DUMMYFUNCTION("GOOGLETRANSLATE(B266, ""en"", ""hi"")"),"खिलाड़ी B रानी को पॉकेट में डालता है, लेकिन उसे कवर करने से चूक जाता है। नियम क्या है?")</f>
        <v>खिलाड़ी B रानी को पॉकेट में डालता है, लेकिन उसे कवर करने से चूक जाता है। नियम क्या है?</v>
      </c>
      <c r="H266" s="5" t="str">
        <f>IFERROR(__xludf.DUMMYFUNCTION("GOOGLETRANSLATE(C266, ""en"", ""hi"")"),"A) खिलाड़ी B खेल जीत जाता है। , B) रानी को केंद्र में वापस कर दिया जाता है। , C) खिलाड़ी B अपनी बारी खो देता है। , D) खिलाड़ी B को एक अंक का दंड दिया जाता है।")</f>
        <v>A) खिलाड़ी B खेल जीत जाता है। , B) रानी को केंद्र में वापस कर दिया जाता है। , C) खिलाड़ी B अपनी बारी खो देता है। , D) खिलाड़ी B को एक अंक का दंड दिया जाता है।</v>
      </c>
      <c r="I266" s="5" t="str">
        <f>IFERROR(__xludf.DUMMYFUNCTION("GOOGLETRANSLATE(D266, ""en"", ""hi"")"),"बी) रानी को केंद्र में वापस लाया जाता है।")</f>
        <v>बी) रानी को केंद्र में वापस लाया जाता है।</v>
      </c>
    </row>
    <row r="267" ht="22.5" customHeight="1">
      <c r="A267" s="2">
        <v>266.0</v>
      </c>
      <c r="B267" s="3" t="s">
        <v>8750</v>
      </c>
      <c r="C267" s="3" t="s">
        <v>8751</v>
      </c>
      <c r="D267" s="3" t="s">
        <v>8211</v>
      </c>
      <c r="F267" s="5" t="str">
        <f>IFERROR(__xludf.DUMMYFUNCTION("GOOGLETRANSLATE(A267, ""en"", ""hi"")"),"266")</f>
        <v>266</v>
      </c>
      <c r="G267" s="5" t="str">
        <f>IFERROR(__xludf.DUMMYFUNCTION("GOOGLETRANSLATE(B267, ""en"", ""hi"")"),"खिलाड़ी A गलती से एक ही बारी में रानी और स्ट्राइकर को पॉकेट में डाल देता है। क्या होता है?")</f>
        <v>खिलाड़ी A गलती से एक ही बारी में रानी और स्ट्राइकर को पॉकेट में डाल देता है। क्या होता है?</v>
      </c>
      <c r="H267" s="5" t="str">
        <f>IFERROR(__xludf.DUMMYFUNCTION("GOOGLETRANSLATE(C267, ""en"", ""hi"")"),"A) खिलाड़ी A रानी खो देता है। , B) खिलाड़ी A खेल जीत जाता है। , C) खिलाड़ी A को एक अंक का दंड दिया जाता है। , D) खिलाड़ी A को एक मोहरा वापस करना होगा।")</f>
        <v>A) खिलाड़ी A रानी खो देता है। , B) खिलाड़ी A खेल जीत जाता है। , C) खिलाड़ी A को एक अंक का दंड दिया जाता है। , D) खिलाड़ी A को एक मोहरा वापस करना होगा।</v>
      </c>
      <c r="I267" s="5" t="str">
        <f>IFERROR(__xludf.DUMMYFUNCTION("GOOGLETRANSLATE(D267, ""en"", ""hi"")"),"A) खिलाड़ी A रानी खो देता है।")</f>
        <v>A) खिलाड़ी A रानी खो देता है।</v>
      </c>
    </row>
    <row r="268" ht="22.5" customHeight="1">
      <c r="A268" s="2">
        <v>267.0</v>
      </c>
      <c r="B268" s="3" t="s">
        <v>8752</v>
      </c>
      <c r="C268" s="3" t="s">
        <v>8753</v>
      </c>
      <c r="D268" s="3" t="s">
        <v>8702</v>
      </c>
      <c r="F268" s="5" t="str">
        <f>IFERROR(__xludf.DUMMYFUNCTION("GOOGLETRANSLATE(A268, ""en"", ""hi"")"),"267")</f>
        <v>267</v>
      </c>
      <c r="G268" s="5" t="str">
        <f>IFERROR(__xludf.DUMMYFUNCTION("GOOGLETRANSLATE(B268, ""en"", ""hi"")"),"खिलाड़ी B अपनी सभी गोटियाँ सफलतापूर्वक पॉकेट में डाल देता है, लेकिन रानी की कोई गोटी पॉकेट में नहीं जाती। नतीजा क्या होता है?")</f>
        <v>खिलाड़ी B अपनी सभी गोटियाँ सफलतापूर्वक पॉकेट में डाल देता है, लेकिन रानी की कोई गोटी पॉकेट में नहीं जाती। नतीजा क्या होता है?</v>
      </c>
      <c r="H268" s="5" t="str">
        <f>IFERROR(__xludf.DUMMYFUNCTION("GOOGLETRANSLATE(C268, ""en"", ""hi"")"),"ए) खिलाड़ी बी खेल जीतता है। , बी) खिलाड़ी बी को जीतने से पहले रानी को पॉकेट में डालना होगा। , सी) खिलाड़ी बी को दो अंक का दंड दिया जाता है। , डी) खिलाड़ी बी को बोर्ड पर एक टुकड़ा वापस करना होगा।")</f>
        <v>ए) खिलाड़ी बी खेल जीतता है। , बी) खिलाड़ी बी को जीतने से पहले रानी को पॉकेट में डालना होगा। , सी) खिलाड़ी बी को दो अंक का दंड दिया जाता है। , डी) खिलाड़ी बी को बोर्ड पर एक टुकड़ा वापस करना होगा।</v>
      </c>
      <c r="I268" s="5" t="str">
        <f>IFERROR(__xludf.DUMMYFUNCTION("GOOGLETRANSLATE(D268, ""en"", ""hi"")"),"बी) खिलाड़ी बी को जीतने से पहले रानी को पॉकेट में डालना होगा।")</f>
        <v>बी) खिलाड़ी बी को जीतने से पहले रानी को पॉकेट में डालना होगा।</v>
      </c>
    </row>
    <row r="269" ht="22.5" customHeight="1">
      <c r="A269" s="2">
        <v>268.0</v>
      </c>
      <c r="B269" s="3" t="s">
        <v>8754</v>
      </c>
      <c r="C269" s="3" t="s">
        <v>8755</v>
      </c>
      <c r="D269" s="3" t="s">
        <v>8519</v>
      </c>
      <c r="F269" s="5" t="str">
        <f>IFERROR(__xludf.DUMMYFUNCTION("GOOGLETRANSLATE(A269, ""en"", ""hi"")"),"268")</f>
        <v>268</v>
      </c>
      <c r="G269" s="5" t="str">
        <f>IFERROR(__xludf.DUMMYFUNCTION("GOOGLETRANSLATE(B269, ""en"", ""hi"")"),"खिलाड़ी A क्वीन को कवर करता है लेकिन गलती से स्ट्राइकर को पॉकेट में डाल देता है। क्या होता है?")</f>
        <v>खिलाड़ी A क्वीन को कवर करता है लेकिन गलती से स्ट्राइकर को पॉकेट में डाल देता है। क्या होता है?</v>
      </c>
      <c r="H269" s="5" t="str">
        <f>IFERROR(__xludf.DUMMYFUNCTION("GOOGLETRANSLATE(C269, ""en"", ""hi"")"),"A) खिलाड़ी A खेल जीत जाता है। , B) खिलाड़ी A रानी खो देता है। , C) खिलाड़ी A को दो अंक का दंड दिया जाता है। , D) खिलाड़ी A को बोर्ड पर एक टुकड़ा वापस करना होगा।")</f>
        <v>A) खिलाड़ी A खेल जीत जाता है। , B) खिलाड़ी A रानी खो देता है। , C) खिलाड़ी A को दो अंक का दंड दिया जाता है। , D) खिलाड़ी A को बोर्ड पर एक टुकड़ा वापस करना होगा।</v>
      </c>
      <c r="I269" s="5" t="str">
        <f>IFERROR(__xludf.DUMMYFUNCTION("GOOGLETRANSLATE(D269, ""en"", ""hi"")"),"बी) खिलाड़ी ए रानी खो देता है।")</f>
        <v>बी) खिलाड़ी ए रानी खो देता है।</v>
      </c>
    </row>
    <row r="270" ht="22.5" customHeight="1">
      <c r="A270" s="2">
        <v>269.0</v>
      </c>
      <c r="B270" s="3" t="s">
        <v>8756</v>
      </c>
      <c r="C270" s="3" t="s">
        <v>8757</v>
      </c>
      <c r="D270" s="3" t="s">
        <v>8505</v>
      </c>
      <c r="F270" s="5" t="str">
        <f>IFERROR(__xludf.DUMMYFUNCTION("GOOGLETRANSLATE(A270, ""en"", ""hi"")"),"269")</f>
        <v>269</v>
      </c>
      <c r="G270" s="5" t="str">
        <f>IFERROR(__xludf.DUMMYFUNCTION("GOOGLETRANSLATE(B270, ""en"", ""hi"")"),"खिलाड़ी B रानी को पॉकेट में डालता है और फिर गलती से अपनी ही एक गोटी को पॉकेट में डाल देता है। इसका नियम क्या है?")</f>
        <v>खिलाड़ी B रानी को पॉकेट में डालता है और फिर गलती से अपनी ही एक गोटी को पॉकेट में डाल देता है। इसका नियम क्या है?</v>
      </c>
      <c r="H270" s="5" t="str">
        <f>IFERROR(__xludf.DUMMYFUNCTION("GOOGLETRANSLATE(C270, ""en"", ""hi"")"),"A) खिलाड़ी B खेल जीत जाता है। , B) खिलाड़ी B रानी खो देता है। , C) खिलाड़ी B को एक अंक का दंड दिया जाता है। , D) खिलाड़ी B खेलना जारी रखता है।")</f>
        <v>A) खिलाड़ी B खेल जीत जाता है। , B) खिलाड़ी B रानी खो देता है। , C) खिलाड़ी B को एक अंक का दंड दिया जाता है। , D) खिलाड़ी B खेलना जारी रखता है।</v>
      </c>
      <c r="I270" s="5" t="str">
        <f>IFERROR(__xludf.DUMMYFUNCTION("GOOGLETRANSLATE(D270, ""en"", ""hi"")"),"B) खिलाड़ी B रानी खो देता है।")</f>
        <v>B) खिलाड़ी B रानी खो देता है।</v>
      </c>
    </row>
    <row r="271" ht="22.5" customHeight="1">
      <c r="A271" s="2">
        <v>270.0</v>
      </c>
      <c r="B271" s="3" t="s">
        <v>8758</v>
      </c>
      <c r="C271" s="3" t="s">
        <v>8747</v>
      </c>
      <c r="D271" s="3" t="s">
        <v>7785</v>
      </c>
      <c r="F271" s="5" t="str">
        <f>IFERROR(__xludf.DUMMYFUNCTION("GOOGLETRANSLATE(A271, ""en"", ""hi"")"),"270")</f>
        <v>270</v>
      </c>
      <c r="G271" s="5" t="str">
        <f>IFERROR(__xludf.DUMMYFUNCTION("GOOGLETRANSLATE(B271, ""en"", ""hi"")"),"खिलाड़ी A एक ही शॉट में रानी को पॉकेट में डाल देता है और दूसरे शॉट में अपनी सारी गोटियाँ। क्या होता है?")</f>
        <v>खिलाड़ी A एक ही शॉट में रानी को पॉकेट में डाल देता है और दूसरे शॉट में अपनी सारी गोटियाँ। क्या होता है?</v>
      </c>
      <c r="H271" s="5" t="str">
        <f>IFERROR(__xludf.DUMMYFUNCTION("GOOGLETRANSLATE(C271, ""en"", ""hi"")"),"ए) खिलाड़ी ए खेल जीतता है।, बी) खिलाड़ी ए को एक मोहरा वापस करना होगा।, सी) खिलाड़ी ए को एक अंक का दंड दिया जाता है।, डी) खिलाड़ी ए को शॉट फिर से खेलना होगा।")</f>
        <v>ए) खिलाड़ी ए खेल जीतता है।, बी) खिलाड़ी ए को एक मोहरा वापस करना होगा।, सी) खिलाड़ी ए को एक अंक का दंड दिया जाता है।, डी) खिलाड़ी ए को शॉट फिर से खेलना होगा।</v>
      </c>
      <c r="I271" s="5" t="str">
        <f>IFERROR(__xludf.DUMMYFUNCTION("GOOGLETRANSLATE(D271, ""en"", ""hi"")"),"A) खिलाड़ी A खेल जीतता है।")</f>
        <v>A) खिलाड़ी A खेल जीतता है।</v>
      </c>
    </row>
    <row r="272" ht="22.5" customHeight="1">
      <c r="A272" s="2">
        <v>271.0</v>
      </c>
      <c r="B272" s="3" t="s">
        <v>8759</v>
      </c>
      <c r="C272" s="3" t="s">
        <v>8760</v>
      </c>
      <c r="D272" s="3" t="s">
        <v>8702</v>
      </c>
      <c r="F272" s="5" t="str">
        <f>IFERROR(__xludf.DUMMYFUNCTION("GOOGLETRANSLATE(A272, ""en"", ""hi"")"),"271")</f>
        <v>271</v>
      </c>
      <c r="G272" s="5" t="str">
        <f>IFERROR(__xludf.DUMMYFUNCTION("GOOGLETRANSLATE(B272, ""en"", ""hi"")"),"खिलाड़ी B अपना आखिरी मोहरा तो पॉकेट में डाल देता है, लेकिन रानी को कवर नहीं कर पाता। नियम क्या है?")</f>
        <v>खिलाड़ी B अपना आखिरी मोहरा तो पॉकेट में डाल देता है, लेकिन रानी को कवर नहीं कर पाता। नियम क्या है?</v>
      </c>
      <c r="H272" s="5" t="str">
        <f>IFERROR(__xludf.DUMMYFUNCTION("GOOGLETRANSLATE(C272, ""en"", ""hi"")"),"A) खिलाड़ी B खेल जीत जाता है। , B) खिलाड़ी B को जीतने से पहले रानी को पॉकेट में डालना होगा। , C) खिलाड़ी B को एक अंक का दंड दिया जाता है। , D) खेल बराबरी पर समाप्त होता है।")</f>
        <v>A) खिलाड़ी B खेल जीत जाता है। , B) खिलाड़ी B को जीतने से पहले रानी को पॉकेट में डालना होगा। , C) खिलाड़ी B को एक अंक का दंड दिया जाता है। , D) खेल बराबरी पर समाप्त होता है।</v>
      </c>
      <c r="I272" s="5" t="str">
        <f>IFERROR(__xludf.DUMMYFUNCTION("GOOGLETRANSLATE(D272, ""en"", ""hi"")"),"बी) खिलाड़ी बी को जीतने से पहले रानी को पॉकेट में डालना होगा।")</f>
        <v>बी) खिलाड़ी बी को जीतने से पहले रानी को पॉकेट में डालना होगा।</v>
      </c>
    </row>
    <row r="273" ht="22.5" customHeight="1">
      <c r="A273" s="2">
        <v>272.0</v>
      </c>
      <c r="B273" s="3" t="s">
        <v>8761</v>
      </c>
      <c r="C273" s="3" t="s">
        <v>8762</v>
      </c>
      <c r="D273" s="3" t="s">
        <v>8519</v>
      </c>
      <c r="F273" s="5" t="str">
        <f>IFERROR(__xludf.DUMMYFUNCTION("GOOGLETRANSLATE(A273, ""en"", ""hi"")"),"272")</f>
        <v>272</v>
      </c>
      <c r="G273" s="5" t="str">
        <f>IFERROR(__xludf.DUMMYFUNCTION("GOOGLETRANSLATE(B273, ""en"", ""hi"")"),"खिलाड़ी A रानी को कवर करता है, लेकिन स्ट्राइकर को भी बोर्ड से बाहर कर देता है। नतीजा क्या होता है?")</f>
        <v>खिलाड़ी A रानी को कवर करता है, लेकिन स्ट्राइकर को भी बोर्ड से बाहर कर देता है। नतीजा क्या होता है?</v>
      </c>
      <c r="H273" s="5" t="str">
        <f>IFERROR(__xludf.DUMMYFUNCTION("GOOGLETRANSLATE(C273, ""en"", ""hi"")"),"A) खिलाड़ी A खेल जीतता है। , B) खिलाड़ी A रानी खो देता है। , C) खिलाड़ी A को दो अंक का दंड दिया जाता है। , D) खिलाड़ी A को स्ट्राइकर की जगह लेनी होगी।")</f>
        <v>A) खिलाड़ी A खेल जीतता है। , B) खिलाड़ी A रानी खो देता है। , C) खिलाड़ी A को दो अंक का दंड दिया जाता है। , D) खिलाड़ी A को स्ट्राइकर की जगह लेनी होगी।</v>
      </c>
      <c r="I273" s="5" t="str">
        <f>IFERROR(__xludf.DUMMYFUNCTION("GOOGLETRANSLATE(D273, ""en"", ""hi"")"),"बी) खिलाड़ी ए रानी खो देता है।")</f>
        <v>बी) खिलाड़ी ए रानी खो देता है।</v>
      </c>
    </row>
    <row r="274" ht="22.5" customHeight="1">
      <c r="A274" s="2">
        <v>273.0</v>
      </c>
      <c r="B274" s="3" t="s">
        <v>8763</v>
      </c>
      <c r="C274" s="3" t="s">
        <v>8764</v>
      </c>
      <c r="D274" s="3" t="s">
        <v>8505</v>
      </c>
      <c r="F274" s="5" t="str">
        <f>IFERROR(__xludf.DUMMYFUNCTION("GOOGLETRANSLATE(A274, ""en"", ""hi"")"),"273")</f>
        <v>273</v>
      </c>
      <c r="G274" s="5" t="str">
        <f>IFERROR(__xludf.DUMMYFUNCTION("GOOGLETRANSLATE(B274, ""en"", ""hi"")"),"खिलाड़ी B पहले रानी और फिर खिलाड़ी A का मोहरा पॉकेट में डालता है। क्या होता है?")</f>
        <v>खिलाड़ी B पहले रानी और फिर खिलाड़ी A का मोहरा पॉकेट में डालता है। क्या होता है?</v>
      </c>
      <c r="H274" s="5" t="str">
        <f>IFERROR(__xludf.DUMMYFUNCTION("GOOGLETRANSLATE(C274, ""en"", ""hi"")"),"A) खिलाड़ी B खेल जीत जाता है। , B) खिलाड़ी B रानी खो देता है। , C) खिलाड़ी A का मोहरा वापस कर दिया जाता है। , D) खिलाड़ी B खेलना जारी रखता है।")</f>
        <v>A) खिलाड़ी B खेल जीत जाता है। , B) खिलाड़ी B रानी खो देता है। , C) खिलाड़ी A का मोहरा वापस कर दिया जाता है। , D) खिलाड़ी B खेलना जारी रखता है।</v>
      </c>
      <c r="I274" s="5" t="str">
        <f>IFERROR(__xludf.DUMMYFUNCTION("GOOGLETRANSLATE(D274, ""en"", ""hi"")"),"B) खिलाड़ी B रानी खो देता है।")</f>
        <v>B) खिलाड़ी B रानी खो देता है।</v>
      </c>
    </row>
    <row r="275" ht="22.5" customHeight="1">
      <c r="A275" s="2">
        <v>274.0</v>
      </c>
      <c r="B275" s="3" t="s">
        <v>8765</v>
      </c>
      <c r="C275" s="3" t="s">
        <v>8766</v>
      </c>
      <c r="D275" s="3" t="s">
        <v>8707</v>
      </c>
      <c r="F275" s="5" t="str">
        <f>IFERROR(__xludf.DUMMYFUNCTION("GOOGLETRANSLATE(A275, ""en"", ""hi"")"),"274")</f>
        <v>274</v>
      </c>
      <c r="G275" s="5" t="str">
        <f>IFERROR(__xludf.DUMMYFUNCTION("GOOGLETRANSLATE(B275, ""en"", ""hi"")"),"खिलाड़ी A रानी और उसके सभी मोहरों को पॉकेट में डाल देता है, लेकिन रानी को कवर नहीं कर पाता। नियम क्या है?")</f>
        <v>खिलाड़ी A रानी और उसके सभी मोहरों को पॉकेट में डाल देता है, लेकिन रानी को कवर नहीं कर पाता। नियम क्या है?</v>
      </c>
      <c r="H275" s="5" t="str">
        <f>IFERROR(__xludf.DUMMYFUNCTION("GOOGLETRANSLATE(C275,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275" s="5" t="str">
        <f>IFERROR(__xludf.DUMMYFUNCTION("GOOGLETRANSLATE(D275, ""en"", ""hi"")"),"बी) जीतने से पहले खिलाड़ी ए को रानी को पॉकेट में डालना होगा।")</f>
        <v>बी) जीतने से पहले खिलाड़ी ए को रानी को पॉकेट में डालना होगा।</v>
      </c>
    </row>
    <row r="276" ht="22.5" customHeight="1">
      <c r="A276" s="2">
        <v>275.0</v>
      </c>
      <c r="B276" s="3" t="s">
        <v>8767</v>
      </c>
      <c r="C276" s="3" t="s">
        <v>8768</v>
      </c>
      <c r="D276" s="3" t="s">
        <v>8505</v>
      </c>
      <c r="F276" s="5" t="str">
        <f>IFERROR(__xludf.DUMMYFUNCTION("GOOGLETRANSLATE(A276, ""en"", ""hi"")"),"275")</f>
        <v>275</v>
      </c>
      <c r="G276" s="5" t="str">
        <f>IFERROR(__xludf.DUMMYFUNCTION("GOOGLETRANSLATE(B276, ""en"", ""hi"")"),"खिलाड़ी B क्वीन को कवर करता है लेकिन स्ट्राइकर को पॉकेट में डाल देता है। क्या होता है?")</f>
        <v>खिलाड़ी B क्वीन को कवर करता है लेकिन स्ट्राइकर को पॉकेट में डाल देता है। क्या होता है?</v>
      </c>
      <c r="H276" s="5" t="str">
        <f>IFERROR(__xludf.DUMMYFUNCTION("GOOGLETRANSLATE(C276, ""en"", ""hi"")"),"A) खिलाड़ी B खेल जीत जाता है। , B) खिलाड़ी B रानी खो देता है। , C) खिलाड़ी B को दो अंक का दंड दिया जाता है। , D) खिलाड़ी B खेलना जारी रखता है।")</f>
        <v>A) खिलाड़ी B खेल जीत जाता है। , B) खिलाड़ी B रानी खो देता है। , C) खिलाड़ी B को दो अंक का दंड दिया जाता है। , D) खिलाड़ी B खेलना जारी रखता है।</v>
      </c>
      <c r="I276" s="5" t="str">
        <f>IFERROR(__xludf.DUMMYFUNCTION("GOOGLETRANSLATE(D276, ""en"", ""hi"")"),"B) खिलाड़ी B रानी खो देता है।")</f>
        <v>B) खिलाड़ी B रानी खो देता है।</v>
      </c>
    </row>
    <row r="277" ht="22.5" customHeight="1">
      <c r="A277" s="2">
        <v>276.0</v>
      </c>
      <c r="B277" s="3" t="s">
        <v>8769</v>
      </c>
      <c r="C277" s="3" t="s">
        <v>8766</v>
      </c>
      <c r="D277" s="3" t="s">
        <v>8707</v>
      </c>
      <c r="F277" s="5" t="str">
        <f>IFERROR(__xludf.DUMMYFUNCTION("GOOGLETRANSLATE(A277, ""en"", ""hi"")"),"276")</f>
        <v>276</v>
      </c>
      <c r="G277" s="5" t="str">
        <f>IFERROR(__xludf.DUMMYFUNCTION("GOOGLETRANSLATE(B277, ""en"", ""hi"")"),"खिलाड़ी A अपनी आखिरी गोटी जेब में डाल लेता है, लेकिन रानी जेब में नहीं जाती। नियम क्या है?")</f>
        <v>खिलाड़ी A अपनी आखिरी गोटी जेब में डाल लेता है, लेकिन रानी जेब में नहीं जाती। नियम क्या है?</v>
      </c>
      <c r="H277" s="5" t="str">
        <f>IFERROR(__xludf.DUMMYFUNCTION("GOOGLETRANSLATE(C277,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277" s="5" t="str">
        <f>IFERROR(__xludf.DUMMYFUNCTION("GOOGLETRANSLATE(D277, ""en"", ""hi"")"),"बी) जीतने से पहले खिलाड़ी ए को रानी को पॉकेट में डालना होगा।")</f>
        <v>बी) जीतने से पहले खिलाड़ी ए को रानी को पॉकेट में डालना होगा।</v>
      </c>
    </row>
    <row r="278" ht="22.5" customHeight="1">
      <c r="A278" s="2">
        <v>277.0</v>
      </c>
      <c r="B278" s="3" t="s">
        <v>8770</v>
      </c>
      <c r="C278" s="3" t="s">
        <v>8771</v>
      </c>
      <c r="D278" s="3" t="s">
        <v>8505</v>
      </c>
      <c r="F278" s="5" t="str">
        <f>IFERROR(__xludf.DUMMYFUNCTION("GOOGLETRANSLATE(A278, ""en"", ""hi"")"),"277")</f>
        <v>277</v>
      </c>
      <c r="G278" s="5" t="str">
        <f>IFERROR(__xludf.DUMMYFUNCTION("GOOGLETRANSLATE(B278,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278" s="5" t="str">
        <f>IFERROR(__xludf.DUMMYFUNCTION("GOOGLETRANSLATE(C278, ""en"", ""hi"")"),"A) खिलाड़ी B खेल जीत जाता है। , B) खिलाड़ी B रानी खो देता है। , C) खिलाड़ी B को दो अंक का दंड दिया जाता है। , D) खिलाड़ी B को स्ट्राइकर की जगह लेनी होगी।")</f>
        <v>A) खिलाड़ी B खेल जीत जाता है। , B) खिलाड़ी B रानी खो देता है। , C) खिलाड़ी B को दो अंक का दंड दिया जाता है। , D) खिलाड़ी B को स्ट्राइकर की जगह लेनी होगी।</v>
      </c>
      <c r="I278" s="5" t="str">
        <f>IFERROR(__xludf.DUMMYFUNCTION("GOOGLETRANSLATE(D278, ""en"", ""hi"")"),"B) खिलाड़ी B रानी खो देता है।")</f>
        <v>B) खिलाड़ी B रानी खो देता है।</v>
      </c>
    </row>
    <row r="279" ht="22.5" customHeight="1">
      <c r="A279" s="2">
        <v>278.0</v>
      </c>
      <c r="B279" s="3" t="s">
        <v>8772</v>
      </c>
      <c r="C279" s="3" t="s">
        <v>8773</v>
      </c>
      <c r="D279" s="3" t="s">
        <v>7785</v>
      </c>
      <c r="F279" s="5" t="str">
        <f>IFERROR(__xludf.DUMMYFUNCTION("GOOGLETRANSLATE(A279, ""en"", ""hi"")"),"278")</f>
        <v>278</v>
      </c>
      <c r="G279" s="5" t="str">
        <f>IFERROR(__xludf.DUMMYFUNCTION("GOOGLETRANSLATE(B279, ""en"", ""hi"")"),"खिलाड़ी A अपनी आखिरी गोटी जेब में डालता है और फिर उसी बारी में रानी को भी ढक देता है। क्या होता है?")</f>
        <v>खिलाड़ी A अपनी आखिरी गोटी जेब में डालता है और फिर उसी बारी में रानी को भी ढक देता है। क्या होता है?</v>
      </c>
      <c r="H279" s="5" t="str">
        <f>IFERROR(__xludf.DUMMYFUNCTION("GOOGLETRANSLATE(C279, ""en"", ""hi"")"),"A) खिलाड़ी A खेल जीत जाता है। , B) खिलाड़ी A को एक मोहरा वापस करना होगा। , C) खिलाड़ी A को एक अंक का दंड दिया जाता है। , D) खिलाड़ी A को शॉट दोबारा खेलना होगा।")</f>
        <v>A) खिलाड़ी A खेल जीत जाता है। , B) खिलाड़ी A को एक मोहरा वापस करना होगा। , C) खिलाड़ी A को एक अंक का दंड दिया जाता है। , D) खिलाड़ी A को शॉट दोबारा खेलना होगा।</v>
      </c>
      <c r="I279" s="5" t="str">
        <f>IFERROR(__xludf.DUMMYFUNCTION("GOOGLETRANSLATE(D279, ""en"", ""hi"")"),"A) खिलाड़ी A खेल जीतता है।")</f>
        <v>A) खिलाड़ी A खेल जीतता है।</v>
      </c>
    </row>
    <row r="280" ht="22.5" customHeight="1">
      <c r="A280" s="2">
        <v>279.0</v>
      </c>
      <c r="B280" s="3" t="s">
        <v>8774</v>
      </c>
      <c r="C280" s="3" t="s">
        <v>8775</v>
      </c>
      <c r="D280" s="3" t="s">
        <v>8505</v>
      </c>
      <c r="F280" s="5" t="str">
        <f>IFERROR(__xludf.DUMMYFUNCTION("GOOGLETRANSLATE(A280, ""en"", ""hi"")"),"279")</f>
        <v>279</v>
      </c>
      <c r="G280" s="5" t="str">
        <f>IFERROR(__xludf.DUMMYFUNCTION("GOOGLETRANSLATE(B280, ""en"", ""hi"")"),"खिलाड़ी B रानी को पॉकेट में डालता है, लेकिन फिर अपनी एक गोटी को पॉकेट में डाल देता है। नियम क्या है?")</f>
        <v>खिलाड़ी B रानी को पॉकेट में डालता है, लेकिन फिर अपनी एक गोटी को पॉकेट में डाल देता है। नियम क्या है?</v>
      </c>
      <c r="H280" s="5" t="str">
        <f>IFERROR(__xludf.DUMMYFUNCTION("GOOGLETRANSLATE(C280, ""en"", ""hi"")"),"A) खिलाड़ी B खेल जीत जाता है। , B) खिलाड़ी B रानी खो देता है। , C) खिलाड़ी B को मोहरा बोर्ड पर वापस करना होगा। , D) खिलाड़ी B को एक अंक का दंड दिया जाता है।")</f>
        <v>A) खिलाड़ी B खेल जीत जाता है। , B) खिलाड़ी B रानी खो देता है। , C) खिलाड़ी B को मोहरा बोर्ड पर वापस करना होगा। , D) खिलाड़ी B को एक अंक का दंड दिया जाता है।</v>
      </c>
      <c r="I280" s="5" t="str">
        <f>IFERROR(__xludf.DUMMYFUNCTION("GOOGLETRANSLATE(D280, ""en"", ""hi"")"),"B) खिलाड़ी B रानी खो देता है।")</f>
        <v>B) खिलाड़ी B रानी खो देता है।</v>
      </c>
    </row>
    <row r="281" ht="22.5" customHeight="1">
      <c r="A281" s="2">
        <v>280.0</v>
      </c>
      <c r="B281" s="3" t="s">
        <v>8776</v>
      </c>
      <c r="C281" s="3" t="s">
        <v>8773</v>
      </c>
      <c r="D281" s="3" t="s">
        <v>7785</v>
      </c>
      <c r="F281" s="5" t="str">
        <f>IFERROR(__xludf.DUMMYFUNCTION("GOOGLETRANSLATE(A281, ""en"", ""hi"")"),"280")</f>
        <v>280</v>
      </c>
      <c r="G281" s="5" t="str">
        <f>IFERROR(__xludf.DUMMYFUNCTION("GOOGLETRANSLATE(B281, ""en"", ""hi"")"),"खिलाड़ी A अलग-अलग बारी में रानी और अपने सभी मोहरों को पॉकेट में डालता है। नियम क्या है?")</f>
        <v>खिलाड़ी A अलग-अलग बारी में रानी और अपने सभी मोहरों को पॉकेट में डालता है। नियम क्या है?</v>
      </c>
      <c r="H281" s="5" t="str">
        <f>IFERROR(__xludf.DUMMYFUNCTION("GOOGLETRANSLATE(C281, ""en"", ""hi"")"),"A) खिलाड़ी A खेल जीत जाता है। , B) खिलाड़ी A को एक मोहरा वापस करना होगा। , C) खिलाड़ी A को एक अंक का दंड दिया जाता है। , D) खिलाड़ी A को शॉट दोबारा खेलना होगा।")</f>
        <v>A) खिलाड़ी A खेल जीत जाता है। , B) खिलाड़ी A को एक मोहरा वापस करना होगा। , C) खिलाड़ी A को एक अंक का दंड दिया जाता है। , D) खिलाड़ी A को शॉट दोबारा खेलना होगा।</v>
      </c>
      <c r="I281" s="5" t="str">
        <f>IFERROR(__xludf.DUMMYFUNCTION("GOOGLETRANSLATE(D281, ""en"", ""hi"")"),"A) खिलाड़ी A खेल जीतता है।")</f>
        <v>A) खिलाड़ी A खेल जीतता है।</v>
      </c>
    </row>
    <row r="282" ht="22.5" customHeight="1">
      <c r="A282" s="2">
        <v>281.0</v>
      </c>
      <c r="B282" s="3" t="s">
        <v>8777</v>
      </c>
      <c r="C282" s="3" t="s">
        <v>8768</v>
      </c>
      <c r="D282" s="3" t="s">
        <v>8505</v>
      </c>
      <c r="F282" s="5" t="str">
        <f>IFERROR(__xludf.DUMMYFUNCTION("GOOGLETRANSLATE(A282, ""en"", ""hi"")"),"281")</f>
        <v>281</v>
      </c>
      <c r="G282" s="5" t="str">
        <f>IFERROR(__xludf.DUMMYFUNCTION("GOOGLETRANSLATE(B282, ""en"", ""hi"")"),"खिलाड़ी B रानी को कवर करता है लेकिन फिर प्रतिद्वंद्वी के मोहरे को पॉकेट में डाल देता है। नतीजा क्या होता है?")</f>
        <v>खिलाड़ी B रानी को कवर करता है लेकिन फिर प्रतिद्वंद्वी के मोहरे को पॉकेट में डाल देता है। नतीजा क्या होता है?</v>
      </c>
      <c r="H282" s="5" t="str">
        <f>IFERROR(__xludf.DUMMYFUNCTION("GOOGLETRANSLATE(C282, ""en"", ""hi"")"),"A) खिलाड़ी B खेल जीत जाता है। , B) खिलाड़ी B रानी खो देता है। , C) खिलाड़ी B को दो अंक का दंड दिया जाता है। , D) खिलाड़ी B खेलना जारी रखता है।")</f>
        <v>A) खिलाड़ी B खेल जीत जाता है। , B) खिलाड़ी B रानी खो देता है। , C) खिलाड़ी B को दो अंक का दंड दिया जाता है। , D) खिलाड़ी B खेलना जारी रखता है।</v>
      </c>
      <c r="I282" s="5" t="str">
        <f>IFERROR(__xludf.DUMMYFUNCTION("GOOGLETRANSLATE(D282, ""en"", ""hi"")"),"B) खिलाड़ी B रानी खो देता है।")</f>
        <v>B) खिलाड़ी B रानी खो देता है।</v>
      </c>
    </row>
    <row r="283" ht="22.5" customHeight="1">
      <c r="A283" s="2">
        <v>282.0</v>
      </c>
      <c r="B283" s="3" t="s">
        <v>8778</v>
      </c>
      <c r="C283" s="3" t="s">
        <v>8779</v>
      </c>
      <c r="D283" s="3" t="s">
        <v>8519</v>
      </c>
      <c r="F283" s="5" t="str">
        <f>IFERROR(__xludf.DUMMYFUNCTION("GOOGLETRANSLATE(A283, ""en"", ""hi"")"),"282")</f>
        <v>282</v>
      </c>
      <c r="G283" s="5" t="str">
        <f>IFERROR(__xludf.DUMMYFUNCTION("GOOGLETRANSLATE(B283, ""en"", ""hi"")"),"खिलाड़ी A क्वीन पॉकेट में डाल देता है, लेकिन स्ट्राइकर तुरंत बाद बोर्ड से बाहर चला जाता है। नियम क्या है?")</f>
        <v>खिलाड़ी A क्वीन पॉकेट में डाल देता है, लेकिन स्ट्राइकर तुरंत बाद बोर्ड से बाहर चला जाता है। नियम क्या है?</v>
      </c>
      <c r="H283" s="5" t="str">
        <f>IFERROR(__xludf.DUMMYFUNCTION("GOOGLETRANSLATE(C283, ""en"", ""hi"")"),"A) खिलाड़ी A खेल जीतता है। , B) खिलाड़ी A रानी खो देता है। , C) खिलाड़ी A को स्ट्राइकर की जगह लेनी होगी। , D) खिलाड़ी A खेलना जारी रखता है।")</f>
        <v>A) खिलाड़ी A खेल जीतता है। , B) खिलाड़ी A रानी खो देता है। , C) खिलाड़ी A को स्ट्राइकर की जगह लेनी होगी। , D) खिलाड़ी A खेलना जारी रखता है।</v>
      </c>
      <c r="I283" s="5" t="str">
        <f>IFERROR(__xludf.DUMMYFUNCTION("GOOGLETRANSLATE(D283, ""en"", ""hi"")"),"बी) खिलाड़ी ए रानी खो देता है।")</f>
        <v>बी) खिलाड़ी ए रानी खो देता है।</v>
      </c>
    </row>
    <row r="284" ht="22.5" customHeight="1">
      <c r="A284" s="2">
        <v>283.0</v>
      </c>
      <c r="B284" s="3" t="s">
        <v>8780</v>
      </c>
      <c r="C284" s="3" t="s">
        <v>8781</v>
      </c>
      <c r="D284" s="3" t="s">
        <v>8643</v>
      </c>
      <c r="F284" s="5" t="str">
        <f>IFERROR(__xludf.DUMMYFUNCTION("GOOGLETRANSLATE(A284, ""en"", ""hi"")"),"283")</f>
        <v>283</v>
      </c>
      <c r="G284" s="5" t="str">
        <f>IFERROR(__xludf.DUMMYFUNCTION("GOOGLETRANSLATE(B284, ""en"", ""hi"")"),"खिलाड़ी B रानी को पॉकेट में डालता है, लेकिन उसे कवर करने से चूक जाता है। नतीजा क्या होता है?")</f>
        <v>खिलाड़ी B रानी को पॉकेट में डालता है, लेकिन उसे कवर करने से चूक जाता है। नतीजा क्या होता है?</v>
      </c>
      <c r="H284" s="5" t="str">
        <f>IFERROR(__xludf.DUMMYFUNCTION("GOOGLETRANSLATE(C284, ""en"", ""hi"")"),"A) खिलाड़ी B खेल जीत जाता है। , B) रानी को केंद्र में वापस कर दिया जाता है। , C) खिलाड़ी B एक अंक खो देता है। , D) खिलाड़ी B को शॉट फिर से खेलना होगा।")</f>
        <v>A) खिलाड़ी B खेल जीत जाता है। , B) रानी को केंद्र में वापस कर दिया जाता है। , C) खिलाड़ी B एक अंक खो देता है। , D) खिलाड़ी B को शॉट फिर से खेलना होगा।</v>
      </c>
      <c r="I284" s="5" t="str">
        <f>IFERROR(__xludf.DUMMYFUNCTION("GOOGLETRANSLATE(D284, ""en"", ""hi"")"),"बी) रानी को केंद्र में वापस लाया जाता है।")</f>
        <v>बी) रानी को केंद्र में वापस लाया जाता है।</v>
      </c>
    </row>
    <row r="285" ht="22.5" customHeight="1">
      <c r="A285" s="2">
        <v>284.0</v>
      </c>
      <c r="B285" s="3" t="s">
        <v>8782</v>
      </c>
      <c r="C285" s="3" t="s">
        <v>8783</v>
      </c>
      <c r="D285" s="3" t="s">
        <v>8519</v>
      </c>
      <c r="F285" s="5" t="str">
        <f>IFERROR(__xludf.DUMMYFUNCTION("GOOGLETRANSLATE(A285, ""en"", ""hi"")"),"284")</f>
        <v>284</v>
      </c>
      <c r="G285" s="5" t="str">
        <f>IFERROR(__xludf.DUMMYFUNCTION("GOOGLETRANSLATE(B285, ""en"", ""hi"")"),"खिलाड़ी A रानी को सफलतापूर्वक कवर करता है, लेकिन स्ट्राइकर को पॉकेट में डाल देता है। क्या होता है?")</f>
        <v>खिलाड़ी A रानी को सफलतापूर्वक कवर करता है, लेकिन स्ट्राइकर को पॉकेट में डाल देता है। क्या होता है?</v>
      </c>
      <c r="H285" s="5" t="str">
        <f>IFERROR(__xludf.DUMMYFUNCTION("GOOGLETRANSLATE(C285, ""en"", ""hi"")"),"A) खिलाड़ी A खेल जीत जाता है। , B) खिलाड़ी A रानी खो देता है। , C) खिलाड़ी A को दो अंक का दंड दिया जाता है। , D) खिलाड़ी A को बोर्ड पर एक मोहरा वापस करना होगा।")</f>
        <v>A) खिलाड़ी A खेल जीत जाता है। , B) खिलाड़ी A रानी खो देता है। , C) खिलाड़ी A को दो अंक का दंड दिया जाता है। , D) खिलाड़ी A को बोर्ड पर एक मोहरा वापस करना होगा।</v>
      </c>
      <c r="I285" s="5" t="str">
        <f>IFERROR(__xludf.DUMMYFUNCTION("GOOGLETRANSLATE(D285, ""en"", ""hi"")"),"बी) खिलाड़ी ए रानी खो देता है।")</f>
        <v>बी) खिलाड़ी ए रानी खो देता है।</v>
      </c>
    </row>
    <row r="286" ht="22.5" customHeight="1">
      <c r="A286" s="2">
        <v>285.0</v>
      </c>
      <c r="B286" s="3" t="s">
        <v>8784</v>
      </c>
      <c r="C286" s="3" t="s">
        <v>8760</v>
      </c>
      <c r="D286" s="3" t="s">
        <v>8702</v>
      </c>
      <c r="F286" s="5" t="str">
        <f>IFERROR(__xludf.DUMMYFUNCTION("GOOGLETRANSLATE(A286, ""en"", ""hi"")"),"285")</f>
        <v>285</v>
      </c>
      <c r="G286" s="5" t="str">
        <f>IFERROR(__xludf.DUMMYFUNCTION("GOOGLETRANSLATE(B286, ""en"", ""hi"")"),"खिलाड़ी B अपना आखिरी मोहरा पॉकेट में डाल देता है, लेकिन रानी को कवर नहीं कर पाता। नियम क्या है?")</f>
        <v>खिलाड़ी B अपना आखिरी मोहरा पॉकेट में डाल देता है, लेकिन रानी को कवर नहीं कर पाता। नियम क्या है?</v>
      </c>
      <c r="H286" s="5" t="str">
        <f>IFERROR(__xludf.DUMMYFUNCTION("GOOGLETRANSLATE(C286, ""en"", ""hi"")"),"A) खिलाड़ी B खेल जीत जाता है। , B) खिलाड़ी B को जीतने से पहले रानी को पॉकेट में डालना होगा। , C) खिलाड़ी B को एक अंक का दंड दिया जाता है। , D) खेल बराबरी पर समाप्त होता है।")</f>
        <v>A) खिलाड़ी B खेल जीत जाता है। , B) खिलाड़ी B को जीतने से पहले रानी को पॉकेट में डालना होगा। , C) खिलाड़ी B को एक अंक का दंड दिया जाता है। , D) खेल बराबरी पर समाप्त होता है।</v>
      </c>
      <c r="I286" s="5" t="str">
        <f>IFERROR(__xludf.DUMMYFUNCTION("GOOGLETRANSLATE(D286, ""en"", ""hi"")"),"बी) खिलाड़ी बी को जीतने से पहले रानी को पॉकेट में डालना होगा।")</f>
        <v>बी) खिलाड़ी बी को जीतने से पहले रानी को पॉकेट में डालना होगा।</v>
      </c>
    </row>
    <row r="287" ht="22.5" customHeight="1">
      <c r="A287" s="2">
        <v>286.0</v>
      </c>
      <c r="B287" s="3" t="s">
        <v>8785</v>
      </c>
      <c r="C287" s="3" t="s">
        <v>8766</v>
      </c>
      <c r="D287" s="3" t="s">
        <v>8707</v>
      </c>
      <c r="F287" s="5" t="str">
        <f>IFERROR(__xludf.DUMMYFUNCTION("GOOGLETRANSLATE(A287, ""en"", ""hi"")"),"286")</f>
        <v>286</v>
      </c>
      <c r="G287" s="5" t="str">
        <f>IFERROR(__xludf.DUMMYFUNCTION("GOOGLETRANSLATE(B287, ""en"", ""hi"")"),"खिलाड़ी A रानी और उसके सभी मोहरों को पॉकेट में डाल देता है, लेकिन आखिरी बारी में रानी को कवर नहीं कर पाता। क्या होता है?")</f>
        <v>खिलाड़ी A रानी और उसके सभी मोहरों को पॉकेट में डाल देता है, लेकिन आखिरी बारी में रानी को कवर नहीं कर पाता। क्या होता है?</v>
      </c>
      <c r="H287" s="5" t="str">
        <f>IFERROR(__xludf.DUMMYFUNCTION("GOOGLETRANSLATE(C287,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287" s="5" t="str">
        <f>IFERROR(__xludf.DUMMYFUNCTION("GOOGLETRANSLATE(D287, ""en"", ""hi"")"),"बी) जीतने से पहले खिलाड़ी ए को रानी को पॉकेट में डालना होगा।")</f>
        <v>बी) जीतने से पहले खिलाड़ी ए को रानी को पॉकेट में डालना होगा।</v>
      </c>
    </row>
    <row r="288" ht="22.5" customHeight="1">
      <c r="A288" s="2">
        <v>287.0</v>
      </c>
      <c r="B288" s="3" t="s">
        <v>8770</v>
      </c>
      <c r="C288" s="3" t="s">
        <v>8771</v>
      </c>
      <c r="D288" s="3" t="s">
        <v>8505</v>
      </c>
      <c r="F288" s="5" t="str">
        <f>IFERROR(__xludf.DUMMYFUNCTION("GOOGLETRANSLATE(A288, ""en"", ""hi"")"),"287")</f>
        <v>287</v>
      </c>
      <c r="G288" s="5" t="str">
        <f>IFERROR(__xludf.DUMMYFUNCTION("GOOGLETRANSLATE(B288,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288" s="5" t="str">
        <f>IFERROR(__xludf.DUMMYFUNCTION("GOOGLETRANSLATE(C288, ""en"", ""hi"")"),"A) खिलाड़ी B खेल जीत जाता है। , B) खिलाड़ी B रानी खो देता है। , C) खिलाड़ी B को दो अंक का दंड दिया जाता है। , D) खिलाड़ी B को स्ट्राइकर की जगह लेनी होगी।")</f>
        <v>A) खिलाड़ी B खेल जीत जाता है। , B) खिलाड़ी B रानी खो देता है। , C) खिलाड़ी B को दो अंक का दंड दिया जाता है। , D) खिलाड़ी B को स्ट्राइकर की जगह लेनी होगी।</v>
      </c>
      <c r="I288" s="5" t="str">
        <f>IFERROR(__xludf.DUMMYFUNCTION("GOOGLETRANSLATE(D288, ""en"", ""hi"")"),"B) खिलाड़ी B रानी खो देता है।")</f>
        <v>B) खिलाड़ी B रानी खो देता है।</v>
      </c>
    </row>
    <row r="289" ht="22.5" customHeight="1">
      <c r="A289" s="2">
        <v>288.0</v>
      </c>
      <c r="B289" s="3" t="s">
        <v>8786</v>
      </c>
      <c r="C289" s="3" t="s">
        <v>8787</v>
      </c>
      <c r="D289" s="3" t="s">
        <v>8519</v>
      </c>
      <c r="F289" s="5" t="str">
        <f>IFERROR(__xludf.DUMMYFUNCTION("GOOGLETRANSLATE(A289, ""en"", ""hi"")"),"288")</f>
        <v>288</v>
      </c>
      <c r="G289" s="5" t="str">
        <f>IFERROR(__xludf.DUMMYFUNCTION("GOOGLETRANSLATE(B289, ""en"", ""hi"")"),"खिलाड़ी A रानी और फिर खिलाड़ी B का मोहरा पॉकेट में डालता है। क्या होता है?")</f>
        <v>खिलाड़ी A रानी और फिर खिलाड़ी B का मोहरा पॉकेट में डालता है। क्या होता है?</v>
      </c>
      <c r="H289" s="5" t="str">
        <f>IFERROR(__xludf.DUMMYFUNCTION("GOOGLETRANSLATE(C289, ""en"", ""hi"")"),"A) खिलाड़ी A खेल जीत जाता है। , B) खिलाड़ी A रानी खो देता है। , C) खिलाड़ी B का मोहरा वापस कर दिया जाता है। , D) खिलाड़ी A खेलना जारी रखता है।")</f>
        <v>A) खिलाड़ी A खेल जीत जाता है। , B) खिलाड़ी A रानी खो देता है। , C) खिलाड़ी B का मोहरा वापस कर दिया जाता है। , D) खिलाड़ी A खेलना जारी रखता है।</v>
      </c>
      <c r="I289" s="5" t="str">
        <f>IFERROR(__xludf.DUMMYFUNCTION("GOOGLETRANSLATE(D289, ""en"", ""hi"")"),"बी) खिलाड़ी ए रानी खो देता है।")</f>
        <v>बी) खिलाड़ी ए रानी खो देता है।</v>
      </c>
    </row>
    <row r="290" ht="22.5" customHeight="1">
      <c r="A290" s="2">
        <v>289.0</v>
      </c>
      <c r="B290" s="3" t="s">
        <v>8788</v>
      </c>
      <c r="C290" s="3" t="s">
        <v>8789</v>
      </c>
      <c r="D290" s="3" t="s">
        <v>8702</v>
      </c>
      <c r="F290" s="5" t="str">
        <f>IFERROR(__xludf.DUMMYFUNCTION("GOOGLETRANSLATE(A290, ""en"", ""hi"")"),"289")</f>
        <v>289</v>
      </c>
      <c r="G290" s="5" t="str">
        <f>IFERROR(__xludf.DUMMYFUNCTION("GOOGLETRANSLATE(B290, ""en"", ""hi"")"),"खिलाड़ी B अपनी आखिरी गोटी तो पॉकेट में डाल लेता है, लेकिन रानी को कवर नहीं कर पाता। नतीजा क्या होता है?")</f>
        <v>खिलाड़ी B अपनी आखिरी गोटी तो पॉकेट में डाल लेता है, लेकिन रानी को कवर नहीं कर पाता। नतीजा क्या होता है?</v>
      </c>
      <c r="H290" s="5" t="str">
        <f>IFERROR(__xludf.DUMMYFUNCTION("GOOGLETRANSLATE(C290, ""en"", ""hi"")"),"A) खिलाड़ी B खेल जीत जाता है। , B) खिलाड़ी B को जीतने से पहले रानी को पॉकेट में डालना होगा। , C) खिलाड़ी B को एक अंक का दंड दिया जाता है। , D) खिलाड़ी B अपनी बारी खो देता है।")</f>
        <v>A) खिलाड़ी B खेल जीत जाता है। , B) खिलाड़ी B को जीतने से पहले रानी को पॉकेट में डालना होगा। , C) खिलाड़ी B को एक अंक का दंड दिया जाता है। , D) खिलाड़ी B अपनी बारी खो देता है।</v>
      </c>
      <c r="I290" s="5" t="str">
        <f>IFERROR(__xludf.DUMMYFUNCTION("GOOGLETRANSLATE(D290, ""en"", ""hi"")"),"बी) खिलाड़ी बी को जीतने से पहले रानी को पॉकेट में डालना होगा।")</f>
        <v>बी) खिलाड़ी बी को जीतने से पहले रानी को पॉकेट में डालना होगा।</v>
      </c>
    </row>
    <row r="291" ht="22.5" customHeight="1">
      <c r="A291" s="2">
        <v>290.0</v>
      </c>
      <c r="B291" s="3" t="s">
        <v>8790</v>
      </c>
      <c r="C291" s="3" t="s">
        <v>8791</v>
      </c>
      <c r="D291" s="3" t="s">
        <v>8519</v>
      </c>
      <c r="F291" s="5" t="str">
        <f>IFERROR(__xludf.DUMMYFUNCTION("GOOGLETRANSLATE(A291, ""en"", ""hi"")"),"290")</f>
        <v>290</v>
      </c>
      <c r="G291" s="5" t="str">
        <f>IFERROR(__xludf.DUMMYFUNCTION("GOOGLETRANSLATE(B291, ""en"", ""hi"")"),"खिलाड़ी A रानी को पॉकेट में डालता है, लेकिन स्ट्राइकर को भी पॉकेट में डालता है। नियम क्या है?")</f>
        <v>खिलाड़ी A रानी को पॉकेट में डालता है, लेकिन स्ट्राइकर को भी पॉकेट में डालता है। नियम क्या है?</v>
      </c>
      <c r="H291" s="5" t="str">
        <f>IFERROR(__xludf.DUMMYFUNCTION("GOOGLETRANSLATE(C291,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291" s="5" t="str">
        <f>IFERROR(__xludf.DUMMYFUNCTION("GOOGLETRANSLATE(D291, ""en"", ""hi"")"),"बी) खिलाड़ी ए रानी खो देता है।")</f>
        <v>बी) खिलाड़ी ए रानी खो देता है।</v>
      </c>
    </row>
    <row r="292" ht="22.5" customHeight="1">
      <c r="A292" s="2">
        <v>291.0</v>
      </c>
      <c r="B292" s="3" t="s">
        <v>8792</v>
      </c>
      <c r="C292" s="3" t="s">
        <v>8793</v>
      </c>
      <c r="D292" s="3" t="s">
        <v>8505</v>
      </c>
      <c r="F292" s="5" t="str">
        <f>IFERROR(__xludf.DUMMYFUNCTION("GOOGLETRANSLATE(A292, ""en"", ""hi"")"),"291")</f>
        <v>291</v>
      </c>
      <c r="G292" s="5" t="str">
        <f>IFERROR(__xludf.DUMMYFUNCTION("GOOGLETRANSLATE(B292, ""en"", ""hi"")"),"खिलाड़ी B रानी को कवर करता है, लेकिन उसके तुरंत बाद गलती से अपनी ही गोटी पॉकेट में डाल देता है। क्या होता है?")</f>
        <v>खिलाड़ी B रानी को कवर करता है, लेकिन उसके तुरंत बाद गलती से अपनी ही गोटी पॉकेट में डाल देता है। क्या होता है?</v>
      </c>
      <c r="H292" s="5" t="str">
        <f>IFERROR(__xludf.DUMMYFUNCTION("GOOGLETRANSLATE(C292, ""en"", ""hi"")"),"A) खिलाड़ी B खेल जीत जाता है। , B) खिलाड़ी B रानी खो देता है। , C) खिलाड़ी B को दो अंक का दंड दिया जाता है। , D) खिलाड़ी B को बोर्ड पर एक मोहरा वापस करना होगा।")</f>
        <v>A) खिलाड़ी B खेल जीत जाता है। , B) खिलाड़ी B रानी खो देता है। , C) खिलाड़ी B को दो अंक का दंड दिया जाता है। , D) खिलाड़ी B को बोर्ड पर एक मोहरा वापस करना होगा।</v>
      </c>
      <c r="I292" s="5" t="str">
        <f>IFERROR(__xludf.DUMMYFUNCTION("GOOGLETRANSLATE(D292, ""en"", ""hi"")"),"B) खिलाड़ी B रानी खो देता है।")</f>
        <v>B) खिलाड़ी B रानी खो देता है।</v>
      </c>
    </row>
    <row r="293" ht="22.5" customHeight="1">
      <c r="A293" s="2">
        <v>292.0</v>
      </c>
      <c r="B293" s="3" t="s">
        <v>8794</v>
      </c>
      <c r="C293" s="3" t="s">
        <v>8795</v>
      </c>
      <c r="D293" s="3" t="s">
        <v>8707</v>
      </c>
      <c r="F293" s="5" t="str">
        <f>IFERROR(__xludf.DUMMYFUNCTION("GOOGLETRANSLATE(A293, ""en"", ""hi"")"),"292")</f>
        <v>292</v>
      </c>
      <c r="G293" s="5" t="str">
        <f>IFERROR(__xludf.DUMMYFUNCTION("GOOGLETRANSLATE(B293, ""en"", ""hi"")"),"खिलाड़ी A अपनी सभी गोटियाँ पॉकेट में डाल देता है, लेकिन रानी को कवर नहीं कर पाता। नतीजा क्या होता है?")</f>
        <v>खिलाड़ी A अपनी सभी गोटियाँ पॉकेट में डाल देता है, लेकिन रानी को कवर नहीं कर पाता। नतीजा क्या होता है?</v>
      </c>
      <c r="H293" s="5" t="str">
        <f>IFERROR(__xludf.DUMMYFUNCTION("GOOGLETRANSLATE(C293,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293" s="5" t="str">
        <f>IFERROR(__xludf.DUMMYFUNCTION("GOOGLETRANSLATE(D293, ""en"", ""hi"")"),"बी) जीतने से पहले खिलाड़ी ए को रानी को पॉकेट में डालना होगा।")</f>
        <v>बी) जीतने से पहले खिलाड़ी ए को रानी को पॉकेट में डालना होगा।</v>
      </c>
    </row>
    <row r="294" ht="22.5" customHeight="1">
      <c r="A294" s="2">
        <v>293.0</v>
      </c>
      <c r="B294" s="3" t="s">
        <v>8796</v>
      </c>
      <c r="C294" s="3" t="s">
        <v>8797</v>
      </c>
      <c r="D294" s="3" t="s">
        <v>8505</v>
      </c>
      <c r="F294" s="5" t="str">
        <f>IFERROR(__xludf.DUMMYFUNCTION("GOOGLETRANSLATE(A294, ""en"", ""hi"")"),"293")</f>
        <v>293</v>
      </c>
      <c r="G294" s="5" t="str">
        <f>IFERROR(__xludf.DUMMYFUNCTION("GOOGLETRANSLATE(B294, ""en"", ""hi"")"),"खिलाड़ी B रानी को कवर करता है और फिर प्रतिद्वंद्वी के मोहरे को पॉकेट में डाल देता है। नियम क्या है?")</f>
        <v>खिलाड़ी B रानी को कवर करता है और फिर प्रतिद्वंद्वी के मोहरे को पॉकेट में डाल देता है। नियम क्या है?</v>
      </c>
      <c r="H294" s="5" t="str">
        <f>IFERROR(__xludf.DUMMYFUNCTION("GOOGLETRANSLATE(C294, ""en"", ""hi"")"),"A) खिलाड़ी B खेल जीत जाता है। , B) खिलाड़ी B रानी खो देता है। , C) खिलाड़ी B को एक मोहरा वापस करना होगा। , D) खिलाड़ी B खेलना जारी रखता है।")</f>
        <v>A) खिलाड़ी B खेल जीत जाता है। , B) खिलाड़ी B रानी खो देता है। , C) खिलाड़ी B को एक मोहरा वापस करना होगा। , D) खिलाड़ी B खेलना जारी रखता है।</v>
      </c>
      <c r="I294" s="5" t="str">
        <f>IFERROR(__xludf.DUMMYFUNCTION("GOOGLETRANSLATE(D294, ""en"", ""hi"")"),"B) खिलाड़ी B रानी खो देता है।")</f>
        <v>B) खिलाड़ी B रानी खो देता है।</v>
      </c>
    </row>
    <row r="295" ht="22.5" customHeight="1">
      <c r="A295" s="2">
        <v>294.0</v>
      </c>
      <c r="B295" s="3" t="s">
        <v>8798</v>
      </c>
      <c r="C295" s="3" t="s">
        <v>8799</v>
      </c>
      <c r="D295" s="3" t="s">
        <v>8707</v>
      </c>
      <c r="F295" s="5" t="str">
        <f>IFERROR(__xludf.DUMMYFUNCTION("GOOGLETRANSLATE(A295, ""en"", ""hi"")"),"294")</f>
        <v>294</v>
      </c>
      <c r="G295" s="5" t="str">
        <f>IFERROR(__xludf.DUMMYFUNCTION("GOOGLETRANSLATE(B295, ""en"", ""hi"")"),"खिलाड़ी A अलग-अलग बारी में रानी और अपने सभी मोहरों को पॉकेट में डाल देता है, लेकिन रानी को कवर नहीं कर पाता। क्या होता है?")</f>
        <v>खिलाड़ी A अलग-अलग बारी में रानी और अपने सभी मोहरों को पॉकेट में डाल देता है, लेकिन रानी को कवर नहीं कर पाता। क्या होता है?</v>
      </c>
      <c r="H295" s="5" t="str">
        <f>IFERROR(__xludf.DUMMYFUNCTION("GOOGLETRANSLATE(C295, ""en"", ""hi"")"),"ए) खिलाड़ी ए खेल जीतता है। , बी) खिलाड़ी ए को जीतने से पहले रानी को पॉकेट में डालना होगा। , सी) खिलाड़ी ए को एक अंक का दंड दिया जाता है। , डी) खिलाड़ी ए को एक मोहरा वापस करना होगा।")</f>
        <v>ए) खिलाड़ी ए खेल जीतता है। , बी) खिलाड़ी ए को जीतने से पहले रानी को पॉकेट में डालना होगा। , सी) खिलाड़ी ए को एक अंक का दंड दिया जाता है। , डी) खिलाड़ी ए को एक मोहरा वापस करना होगा।</v>
      </c>
      <c r="I295" s="5" t="str">
        <f>IFERROR(__xludf.DUMMYFUNCTION("GOOGLETRANSLATE(D295, ""en"", ""hi"")"),"बी) जीतने से पहले खिलाड़ी ए को रानी को पॉकेट में डालना होगा।")</f>
        <v>बी) जीतने से पहले खिलाड़ी ए को रानी को पॉकेट में डालना होगा।</v>
      </c>
    </row>
    <row r="296" ht="22.5" customHeight="1">
      <c r="A296" s="2">
        <v>295.0</v>
      </c>
      <c r="B296" s="3" t="s">
        <v>8800</v>
      </c>
      <c r="C296" s="3" t="s">
        <v>8801</v>
      </c>
      <c r="D296" s="3" t="s">
        <v>8413</v>
      </c>
      <c r="F296" s="5" t="str">
        <f>IFERROR(__xludf.DUMMYFUNCTION("GOOGLETRANSLATE(A296, ""en"", ""hi"")"),"295")</f>
        <v>295</v>
      </c>
      <c r="G296" s="5" t="str">
        <f>IFERROR(__xludf.DUMMYFUNCTION("GOOGLETRANSLATE(B296, ""en"", ""hi"")"),"खिलाड़ी B अपनी आखिरी गोटी और रानी को एक ही बार में जेब में डाल लेता है। नियम क्या है?")</f>
        <v>खिलाड़ी B अपनी आखिरी गोटी और रानी को एक ही बार में जेब में डाल लेता है। नियम क्या है?</v>
      </c>
      <c r="H296" s="5" t="str">
        <f>IFERROR(__xludf.DUMMYFUNCTION("GOOGLETRANSLATE(C296, ""en"", ""hi"")"),"ए) खिलाड़ी बी खेल जीतता है।, बी) खिलाड़ी बी को एक मोहरा वापस करना होगा।, सी) खिलाड़ी बी को दो अंक का दंड दिया जाता है।, डी) खिलाड़ी बी को शॉट फिर से खेलना होगा।")</f>
        <v>ए) खिलाड़ी बी खेल जीतता है।, बी) खिलाड़ी बी को एक मोहरा वापस करना होगा।, सी) खिलाड़ी बी को दो अंक का दंड दिया जाता है।, डी) खिलाड़ी बी को शॉट फिर से खेलना होगा।</v>
      </c>
      <c r="I296" s="5" t="str">
        <f>IFERROR(__xludf.DUMMYFUNCTION("GOOGLETRANSLATE(D296, ""en"", ""hi"")"),"A) खिलाड़ी B खेल जीतता है।")</f>
        <v>A) खिलाड़ी B खेल जीतता है।</v>
      </c>
    </row>
    <row r="297" ht="22.5" customHeight="1">
      <c r="A297" s="2">
        <v>296.0</v>
      </c>
      <c r="B297" s="3" t="s">
        <v>8802</v>
      </c>
      <c r="C297" s="3" t="s">
        <v>8803</v>
      </c>
      <c r="D297" s="3" t="s">
        <v>8519</v>
      </c>
      <c r="F297" s="5" t="str">
        <f>IFERROR(__xludf.DUMMYFUNCTION("GOOGLETRANSLATE(A297, ""en"", ""hi"")"),"296")</f>
        <v>296</v>
      </c>
      <c r="G297" s="5" t="str">
        <f>IFERROR(__xludf.DUMMYFUNCTION("GOOGLETRANSLATE(B297, ""en"", ""hi"")"),"खिलाड़ी A रानी को सफलतापूर्वक कवर करता है, लेकिन गलती से स्ट्राइकर को पॉकेट में डाल देता है। क्या होता है?")</f>
        <v>खिलाड़ी A रानी को सफलतापूर्वक कवर करता है, लेकिन गलती से स्ट्राइकर को पॉकेट में डाल देता है। क्या होता है?</v>
      </c>
      <c r="H297" s="5" t="str">
        <f>IFERROR(__xludf.DUMMYFUNCTION("GOOGLETRANSLATE(C297,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297" s="5" t="str">
        <f>IFERROR(__xludf.DUMMYFUNCTION("GOOGLETRANSLATE(D297, ""en"", ""hi"")"),"बी) खिलाड़ी ए रानी खो देता है।")</f>
        <v>बी) खिलाड़ी ए रानी खो देता है।</v>
      </c>
    </row>
    <row r="298" ht="22.5" customHeight="1">
      <c r="A298" s="2">
        <v>297.0</v>
      </c>
      <c r="B298" s="3" t="s">
        <v>8748</v>
      </c>
      <c r="C298" s="3" t="s">
        <v>8804</v>
      </c>
      <c r="D298" s="3" t="s">
        <v>8643</v>
      </c>
      <c r="F298" s="5" t="str">
        <f>IFERROR(__xludf.DUMMYFUNCTION("GOOGLETRANSLATE(A298, ""en"", ""hi"")"),"297")</f>
        <v>297</v>
      </c>
      <c r="G298" s="5" t="str">
        <f>IFERROR(__xludf.DUMMYFUNCTION("GOOGLETRANSLATE(B298, ""en"", ""hi"")"),"खिलाड़ी B रानी को पॉकेट में डालता है, लेकिन उसे कवर करने से चूक जाता है। नियम क्या है?")</f>
        <v>खिलाड़ी B रानी को पॉकेट में डालता है, लेकिन उसे कवर करने से चूक जाता है। नियम क्या है?</v>
      </c>
      <c r="H298" s="5" t="str">
        <f>IFERROR(__xludf.DUMMYFUNCTION("GOOGLETRANSLATE(C298,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298" s="5" t="str">
        <f>IFERROR(__xludf.DUMMYFUNCTION("GOOGLETRANSLATE(D298, ""en"", ""hi"")"),"बी) रानी को केंद्र में वापस लाया जाता है।")</f>
        <v>बी) रानी को केंद्र में वापस लाया जाता है।</v>
      </c>
    </row>
    <row r="299" ht="22.5" customHeight="1">
      <c r="A299" s="2">
        <v>298.0</v>
      </c>
      <c r="B299" s="3" t="s">
        <v>8805</v>
      </c>
      <c r="C299" s="3" t="s">
        <v>8766</v>
      </c>
      <c r="D299" s="3" t="s">
        <v>8707</v>
      </c>
      <c r="F299" s="5" t="str">
        <f>IFERROR(__xludf.DUMMYFUNCTION("GOOGLETRANSLATE(A299, ""en"", ""hi"")"),"298")</f>
        <v>298</v>
      </c>
      <c r="G299" s="5" t="str">
        <f>IFERROR(__xludf.DUMMYFUNCTION("GOOGLETRANSLATE(B299, ""en"", ""hi"")"),"खिलाड़ी A अपनी आखिरी गोटी जेब में डाल लेता है, लेकिन रानी जेब में नहीं जाती। नियम क्या है?")</f>
        <v>खिलाड़ी A अपनी आखिरी गोटी जेब में डाल लेता है, लेकिन रानी जेब में नहीं जाती। नियम क्या है?</v>
      </c>
      <c r="H299" s="5" t="str">
        <f>IFERROR(__xludf.DUMMYFUNCTION("GOOGLETRANSLATE(C299,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299" s="5" t="str">
        <f>IFERROR(__xludf.DUMMYFUNCTION("GOOGLETRANSLATE(D299, ""en"", ""hi"")"),"बी) जीतने से पहले खिलाड़ी ए को रानी को पॉकेट में डालना होगा।")</f>
        <v>बी) जीतने से पहले खिलाड़ी ए को रानी को पॉकेट में डालना होगा।</v>
      </c>
    </row>
    <row r="300" ht="22.5" customHeight="1">
      <c r="A300" s="2">
        <v>299.0</v>
      </c>
      <c r="B300" s="3" t="s">
        <v>8770</v>
      </c>
      <c r="C300" s="3" t="s">
        <v>8806</v>
      </c>
      <c r="D300" s="3" t="s">
        <v>8505</v>
      </c>
      <c r="F300" s="5" t="str">
        <f>IFERROR(__xludf.DUMMYFUNCTION("GOOGLETRANSLATE(A300, ""en"", ""hi"")"),"299")</f>
        <v>299</v>
      </c>
      <c r="G300" s="5" t="str">
        <f>IFERROR(__xludf.DUMMYFUNCTION("GOOGLETRANSLATE(B300,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300" s="5" t="str">
        <f>IFERROR(__xludf.DUMMYFUNCTION("GOOGLETRANSLATE(C300, ""en"", ""hi"")"),"ए) खिलाड़ी बी खेल जीतता है।, बी) खिलाड़ी बी रानी खो देता है।, सी) खिलाड़ी बी को स्ट्राइकर को वापस करना होगा।, डी) खिलाड़ी बी को एक अंक का दंड दिया जाता है।")</f>
        <v>ए) खिलाड़ी बी खेल जीतता है।, बी) खिलाड़ी बी रानी खो देता है।, सी) खिलाड़ी बी को स्ट्राइकर को वापस करना होगा।, डी) खिलाड़ी बी को एक अंक का दंड दिया जाता है।</v>
      </c>
      <c r="I300" s="5" t="str">
        <f>IFERROR(__xludf.DUMMYFUNCTION("GOOGLETRANSLATE(D300, ""en"", ""hi"")"),"B) खिलाड़ी B रानी खो देता है।")</f>
        <v>B) खिलाड़ी B रानी खो देता है।</v>
      </c>
    </row>
    <row r="301" ht="22.5" customHeight="1">
      <c r="A301" s="2">
        <v>300.0</v>
      </c>
      <c r="B301" s="3" t="s">
        <v>8807</v>
      </c>
      <c r="C301" s="3" t="s">
        <v>8795</v>
      </c>
      <c r="D301" s="3" t="s">
        <v>8707</v>
      </c>
      <c r="F301" s="5" t="str">
        <f>IFERROR(__xludf.DUMMYFUNCTION("GOOGLETRANSLATE(A301, ""en"", ""hi"")"),"300")</f>
        <v>300</v>
      </c>
      <c r="G301" s="5" t="str">
        <f>IFERROR(__xludf.DUMMYFUNCTION("GOOGLETRANSLATE(B301, ""en"", ""hi"")"),"खिलाड़ी A रानी और उसके सभी मोहरों को पॉकेट में डाल देता है, लेकिन रानी को कवर नहीं करता। नतीजा क्या होता है?")</f>
        <v>खिलाड़ी A रानी और उसके सभी मोहरों को पॉकेट में डाल देता है, लेकिन रानी को कवर नहीं करता। नतीजा क्या होता है?</v>
      </c>
      <c r="H301" s="5" t="str">
        <f>IFERROR(__xludf.DUMMYFUNCTION("GOOGLETRANSLATE(C301,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01" s="5" t="str">
        <f>IFERROR(__xludf.DUMMYFUNCTION("GOOGLETRANSLATE(D301, ""en"", ""hi"")"),"बी) जीतने से पहले खिलाड़ी ए को रानी को पॉकेट में डालना होगा।")</f>
        <v>बी) जीतने से पहले खिलाड़ी ए को रानी को पॉकेट में डालना होगा।</v>
      </c>
    </row>
    <row r="302" ht="22.5" customHeight="1">
      <c r="A302" s="2">
        <v>301.0</v>
      </c>
      <c r="B302" s="3" t="s">
        <v>8808</v>
      </c>
      <c r="C302" s="3" t="s">
        <v>8809</v>
      </c>
      <c r="D302" s="3" t="s">
        <v>8413</v>
      </c>
      <c r="F302" s="5" t="str">
        <f>IFERROR(__xludf.DUMMYFUNCTION("GOOGLETRANSLATE(A302, ""en"", ""hi"")"),"301")</f>
        <v>301</v>
      </c>
      <c r="G302" s="5" t="str">
        <f>IFERROR(__xludf.DUMMYFUNCTION("GOOGLETRANSLATE(B302, ""en"", ""hi"")"),"खिलाड़ी B अपनी आखिरी गोटी सफलतापूर्वक पॉकेट में डाल देता है और रानी को कवर कर लेता है। अब क्या होता है?")</f>
        <v>खिलाड़ी B अपनी आखिरी गोटी सफलतापूर्वक पॉकेट में डाल देता है और रानी को कवर कर लेता है। अब क्या होता है?</v>
      </c>
      <c r="H302" s="5" t="str">
        <f>IFERROR(__xludf.DUMMYFUNCTION("GOOGLETRANSLATE(C302, ""en"", ""hi"")"),"A) खिलाड़ी B खेल जीत जाता है। , B) खिलाड़ी B को एक मोहरा वापस करना होगा। , C) खिलाड़ी B को एक अंक का दंड दिया जाता है। , D) खिलाड़ी B खेलना जारी रखता है।")</f>
        <v>A) खिलाड़ी B खेल जीत जाता है। , B) खिलाड़ी B को एक मोहरा वापस करना होगा। , C) खिलाड़ी B को एक अंक का दंड दिया जाता है। , D) खिलाड़ी B खेलना जारी रखता है।</v>
      </c>
      <c r="I302" s="5" t="str">
        <f>IFERROR(__xludf.DUMMYFUNCTION("GOOGLETRANSLATE(D302, ""en"", ""hi"")"),"A) खिलाड़ी B खेल जीतता है।")</f>
        <v>A) खिलाड़ी B खेल जीतता है।</v>
      </c>
    </row>
    <row r="303" ht="22.5" customHeight="1">
      <c r="A303" s="2">
        <v>302.0</v>
      </c>
      <c r="B303" s="3" t="s">
        <v>8810</v>
      </c>
      <c r="C303" s="3" t="s">
        <v>8811</v>
      </c>
      <c r="D303" s="3" t="s">
        <v>8519</v>
      </c>
      <c r="F303" s="5" t="str">
        <f>IFERROR(__xludf.DUMMYFUNCTION("GOOGLETRANSLATE(A303, ""en"", ""hi"")"),"302")</f>
        <v>302</v>
      </c>
      <c r="G303" s="5" t="str">
        <f>IFERROR(__xludf.DUMMYFUNCTION("GOOGLETRANSLATE(B303, ""en"", ""hi"")"),"खिलाड़ी A एक मोहरा और फिर रानी को पॉकेट में डालता है। परिणाम क्या होता है?")</f>
        <v>खिलाड़ी A एक मोहरा और फिर रानी को पॉकेट में डालता है। परिणाम क्या होता है?</v>
      </c>
      <c r="H303" s="5" t="str">
        <f>IFERROR(__xludf.DUMMYFUNCTION("GOOGLETRANSLATE(C303, ""en"", ""hi"")"),"A) खिलाड़ी A खेल जीतता है। , B) खिलाड़ी A रानी खो देता है। , C) खिलाड़ी A को रानी वापस करनी होगी। , D) खिलाड़ी A खेलना जारी रखता है।")</f>
        <v>A) खिलाड़ी A खेल जीतता है। , B) खिलाड़ी A रानी खो देता है। , C) खिलाड़ी A को रानी वापस करनी होगी। , D) खिलाड़ी A खेलना जारी रखता है।</v>
      </c>
      <c r="I303" s="5" t="str">
        <f>IFERROR(__xludf.DUMMYFUNCTION("GOOGLETRANSLATE(D303, ""en"", ""hi"")"),"बी) खिलाड़ी ए रानी खो देता है।")</f>
        <v>बी) खिलाड़ी ए रानी खो देता है।</v>
      </c>
    </row>
    <row r="304" ht="22.5" customHeight="1">
      <c r="A304" s="2">
        <v>303.0</v>
      </c>
      <c r="B304" s="3" t="s">
        <v>8812</v>
      </c>
      <c r="C304" s="3" t="s">
        <v>8813</v>
      </c>
      <c r="D304" s="3" t="s">
        <v>8505</v>
      </c>
      <c r="F304" s="5" t="str">
        <f>IFERROR(__xludf.DUMMYFUNCTION("GOOGLETRANSLATE(A304, ""en"", ""hi"")"),"303")</f>
        <v>303</v>
      </c>
      <c r="G304" s="5" t="str">
        <f>IFERROR(__xludf.DUMMYFUNCTION("GOOGLETRANSLATE(B304, ""en"", ""hi"")"),"खिलाड़ी B रानी को ढकता है और फिर अपनी एक गोटी पॉकेट में डाल देता है। क्या होता है?")</f>
        <v>खिलाड़ी B रानी को ढकता है और फिर अपनी एक गोटी पॉकेट में डाल देता है। क्या होता है?</v>
      </c>
      <c r="H304" s="5" t="str">
        <f>IFERROR(__xludf.DUMMYFUNCTION("GOOGLETRANSLATE(C304, ""en"", ""hi"")"),"A) खिलाड़ी B खेल जीत जाता है। , B) खिलाड़ी B रानी खो देता है। , C) खिलाड़ी B खेलना जारी रखता है। , D) खिलाड़ी B को एक अंक का दंड दिया जाता है।")</f>
        <v>A) खिलाड़ी B खेल जीत जाता है। , B) खिलाड़ी B रानी खो देता है। , C) खिलाड़ी B खेलना जारी रखता है। , D) खिलाड़ी B को एक अंक का दंड दिया जाता है।</v>
      </c>
      <c r="I304" s="5" t="str">
        <f>IFERROR(__xludf.DUMMYFUNCTION("GOOGLETRANSLATE(D304, ""en"", ""hi"")"),"B) खिलाड़ी B रानी खो देता है।")</f>
        <v>B) खिलाड़ी B रानी खो देता है।</v>
      </c>
    </row>
    <row r="305" ht="22.5" customHeight="1">
      <c r="A305" s="2">
        <v>304.0</v>
      </c>
      <c r="B305" s="3" t="s">
        <v>8814</v>
      </c>
      <c r="C305" s="3" t="s">
        <v>8815</v>
      </c>
      <c r="D305" s="3" t="s">
        <v>7785</v>
      </c>
      <c r="F305" s="5" t="str">
        <f>IFERROR(__xludf.DUMMYFUNCTION("GOOGLETRANSLATE(A305, ""en"", ""hi"")"),"304")</f>
        <v>304</v>
      </c>
      <c r="G305" s="5" t="str">
        <f>IFERROR(__xludf.DUMMYFUNCTION("GOOGLETRANSLATE(B305, ""en"", ""hi"")"),"खिलाड़ी A अपनी सभी गोटियाँ पॉकेट में डाल देता है और फिर रानी को कवर कर देता है। नतीजा क्या होता है?")</f>
        <v>खिलाड़ी A अपनी सभी गोटियाँ पॉकेट में डाल देता है और फिर रानी को कवर कर देता है। नतीजा क्या होता है?</v>
      </c>
      <c r="H305" s="5" t="str">
        <f>IFERROR(__xludf.DUMMYFUNCTION("GOOGLETRANSLATE(C305, ""en"", ""hi"")"),"A) खिलाड़ी A खेल जीतता है। , B) खिलाड़ी A को एक मोहरा वापस करना होगा। , C) खिलाड़ी A रानी खो देता है। , D) खिलाड़ी A को बारी फिर से खेलनी होगी।")</f>
        <v>A) खिलाड़ी A खेल जीतता है। , B) खिलाड़ी A को एक मोहरा वापस करना होगा। , C) खिलाड़ी A रानी खो देता है। , D) खिलाड़ी A को बारी फिर से खेलनी होगी।</v>
      </c>
      <c r="I305" s="5" t="str">
        <f>IFERROR(__xludf.DUMMYFUNCTION("GOOGLETRANSLATE(D305, ""en"", ""hi"")"),"A) खिलाड़ी A खेल जीतता है।")</f>
        <v>A) खिलाड़ी A खेल जीतता है।</v>
      </c>
    </row>
    <row r="306" ht="22.5" customHeight="1">
      <c r="A306" s="2">
        <v>305.0</v>
      </c>
      <c r="B306" s="3" t="s">
        <v>8784</v>
      </c>
      <c r="C306" s="3" t="s">
        <v>8816</v>
      </c>
      <c r="D306" s="3" t="s">
        <v>8702</v>
      </c>
      <c r="F306" s="5" t="str">
        <f>IFERROR(__xludf.DUMMYFUNCTION("GOOGLETRANSLATE(A306, ""en"", ""hi"")"),"305")</f>
        <v>305</v>
      </c>
      <c r="G306" s="5" t="str">
        <f>IFERROR(__xludf.DUMMYFUNCTION("GOOGLETRANSLATE(B306, ""en"", ""hi"")"),"खिलाड़ी B अपना आखिरी मोहरा पॉकेट में डाल देता है, लेकिन रानी को कवर नहीं कर पाता। नियम क्या है?")</f>
        <v>खिलाड़ी B अपना आखिरी मोहरा पॉकेट में डाल देता है, लेकिन रानी को कवर नहीं कर पाता। नियम क्या है?</v>
      </c>
      <c r="H306" s="5" t="str">
        <f>IFERROR(__xludf.DUMMYFUNCTION("GOOGLETRANSLATE(C306, ""en"", ""hi"")"),"A) खिलाड़ी B खेल जीत जाता है। , B) खिलाड़ी B को जीतने से पहले रानी को पॉकेट में डालना होगा। , C) खिलाड़ी B को एक अंक का दंड दिया जाता है। , D) खेल ड्रॉ हो जाता है।")</f>
        <v>A) खिलाड़ी B खेल जीत जाता है। , B) खिलाड़ी B को जीतने से पहले रानी को पॉकेट में डालना होगा। , C) खिलाड़ी B को एक अंक का दंड दिया जाता है। , D) खेल ड्रॉ हो जाता है।</v>
      </c>
      <c r="I306" s="5" t="str">
        <f>IFERROR(__xludf.DUMMYFUNCTION("GOOGLETRANSLATE(D306, ""en"", ""hi"")"),"बी) खिलाड़ी बी को जीतने से पहले रानी को पॉकेट में डालना होगा।")</f>
        <v>बी) खिलाड़ी बी को जीतने से पहले रानी को पॉकेट में डालना होगा।</v>
      </c>
    </row>
    <row r="307" ht="22.5" customHeight="1">
      <c r="A307" s="2">
        <v>306.0</v>
      </c>
      <c r="B307" s="3" t="s">
        <v>8817</v>
      </c>
      <c r="C307" s="3" t="s">
        <v>8818</v>
      </c>
      <c r="D307" s="3" t="s">
        <v>8519</v>
      </c>
      <c r="F307" s="5" t="str">
        <f>IFERROR(__xludf.DUMMYFUNCTION("GOOGLETRANSLATE(A307, ""en"", ""hi"")"),"306")</f>
        <v>306</v>
      </c>
      <c r="G307" s="5" t="str">
        <f>IFERROR(__xludf.DUMMYFUNCTION("GOOGLETRANSLATE(B307, ""en"", ""hi"")"),"खिलाड़ी A क्वीन को कवर करता है, लेकिन फिर गलती से स्ट्राइकर को पॉकेट में डाल देता है। क्या होता है?")</f>
        <v>खिलाड़ी A क्वीन को कवर करता है, लेकिन फिर गलती से स्ट्राइकर को पॉकेट में डाल देता है। क्या होता है?</v>
      </c>
      <c r="H307" s="5" t="str">
        <f>IFERROR(__xludf.DUMMYFUNCTION("GOOGLETRANSLATE(C307, ""en"", ""hi"")"),"A) खिलाड़ी A खेल जीत जाता है। , B) खिलाड़ी A रानी खो देता है। , C) खिलाड़ी A को दो अंक का दंड दिया जाता है। , D) खिलाड़ी A को एक मोहरा वापस करना होगा।")</f>
        <v>A) खिलाड़ी A खेल जीत जाता है। , B) खिलाड़ी A रानी खो देता है। , C) खिलाड़ी A को दो अंक का दंड दिया जाता है। , D) खिलाड़ी A को एक मोहरा वापस करना होगा।</v>
      </c>
      <c r="I307" s="5" t="str">
        <f>IFERROR(__xludf.DUMMYFUNCTION("GOOGLETRANSLATE(D307, ""en"", ""hi"")"),"बी) खिलाड़ी ए रानी खो देता है।")</f>
        <v>बी) खिलाड़ी ए रानी खो देता है।</v>
      </c>
    </row>
    <row r="308" ht="22.5" customHeight="1">
      <c r="A308" s="2">
        <v>307.0</v>
      </c>
      <c r="B308" s="3" t="s">
        <v>8819</v>
      </c>
      <c r="C308" s="3" t="s">
        <v>8820</v>
      </c>
      <c r="D308" s="3" t="s">
        <v>8710</v>
      </c>
      <c r="F308" s="5" t="str">
        <f>IFERROR(__xludf.DUMMYFUNCTION("GOOGLETRANSLATE(A308, ""en"", ""hi"")"),"307")</f>
        <v>307</v>
      </c>
      <c r="G308" s="5" t="str">
        <f>IFERROR(__xludf.DUMMYFUNCTION("GOOGLETRANSLATE(B308, ""en"", ""hi"")"),"खिलाड़ी B रानी को पॉकेट में डालता है, लेकिन फिर रानी गलती से बोर्ड से गिर जाती है। नतीजा क्या होता है?")</f>
        <v>खिलाड़ी B रानी को पॉकेट में डालता है, लेकिन फिर रानी गलती से बोर्ड से गिर जाती है। नतीजा क्या होता है?</v>
      </c>
      <c r="H308" s="5" t="str">
        <f>IFERROR(__xludf.DUMMYFUNCTION("GOOGLETRANSLATE(C308, ""en"", ""hi"")"),"A) खिलाड़ी B खेल जीत जाता है। , B) रानी को केंद्र में वापस कर दिया जाता है। , C) खिलाड़ी B रानी खो देता है। , D) खिलाड़ी B को एक अंक का दंड दिया जाता है।")</f>
        <v>A) खिलाड़ी B खेल जीत जाता है। , B) रानी को केंद्र में वापस कर दिया जाता है। , C) खिलाड़ी B रानी खो देता है। , D) खिलाड़ी B को एक अंक का दंड दिया जाता है।</v>
      </c>
      <c r="I308" s="5" t="str">
        <f>IFERROR(__xludf.DUMMYFUNCTION("GOOGLETRANSLATE(D308, ""en"", ""hi"")"),"C) खिलाड़ी B रानी खो देता है।")</f>
        <v>C) खिलाड़ी B रानी खो देता है।</v>
      </c>
    </row>
    <row r="309" ht="22.5" customHeight="1">
      <c r="A309" s="2">
        <v>308.0</v>
      </c>
      <c r="B309" s="3" t="s">
        <v>8821</v>
      </c>
      <c r="C309" s="3" t="s">
        <v>8822</v>
      </c>
      <c r="D309" s="3" t="s">
        <v>8823</v>
      </c>
      <c r="F309" s="5" t="str">
        <f>IFERROR(__xludf.DUMMYFUNCTION("GOOGLETRANSLATE(A309, ""en"", ""hi"")"),"308")</f>
        <v>308</v>
      </c>
      <c r="G309" s="5" t="str">
        <f>IFERROR(__xludf.DUMMYFUNCTION("GOOGLETRANSLATE(B309, ""en"", ""hi"")"),"खिलाड़ी A रानी को सफलतापूर्वक पॉकेट में डाल देता है, लेकिन अगली बारी में उसे कवर नहीं कर पाता। क्या होता है?")</f>
        <v>खिलाड़ी A रानी को सफलतापूर्वक पॉकेट में डाल देता है, लेकिन अगली बारी में उसे कवर नहीं कर पाता। क्या होता है?</v>
      </c>
      <c r="H309" s="5" t="str">
        <f>IFERROR(__xludf.DUMMYFUNCTION("GOOGLETRANSLATE(C309,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09" s="5" t="str">
        <f>IFERROR(__xludf.DUMMYFUNCTION("GOOGLETRANSLATE(D309, ""en"", ""hi"")"),"C) खिलाड़ी A रानी खो देता है।")</f>
        <v>C) खिलाड़ी A रानी खो देता है।</v>
      </c>
    </row>
    <row r="310" ht="22.5" customHeight="1">
      <c r="A310" s="2">
        <v>309.0</v>
      </c>
      <c r="B310" s="3" t="s">
        <v>8824</v>
      </c>
      <c r="C310" s="3" t="s">
        <v>8825</v>
      </c>
      <c r="D310" s="3" t="s">
        <v>8413</v>
      </c>
      <c r="F310" s="5" t="str">
        <f>IFERROR(__xludf.DUMMYFUNCTION("GOOGLETRANSLATE(A310, ""en"", ""hi"")"),"309")</f>
        <v>309</v>
      </c>
      <c r="G310" s="5" t="str">
        <f>IFERROR(__xludf.DUMMYFUNCTION("GOOGLETRANSLATE(B310, ""en"", ""hi"")"),"खिलाड़ी B एक ही बार में अपनी सभी गोटियाँ और रानी पॉकेट में डाल देता है। नियम क्या है?")</f>
        <v>खिलाड़ी B एक ही बार में अपनी सभी गोटियाँ और रानी पॉकेट में डाल देता है। नियम क्या है?</v>
      </c>
      <c r="H310" s="5" t="str">
        <f>IFERROR(__xludf.DUMMYFUNCTION("GOOGLETRANSLATE(C310, ""en"", ""hi"")"),"A) खिलाड़ी B खेल जीतता है। , B) खिलाड़ी B को एक मोहरा वापस करना होगा। , C) खिलाड़ी B रानी खो देता है। , D) खिलाड़ी B को बारी फिर से खेलनी होगी।")</f>
        <v>A) खिलाड़ी B खेल जीतता है। , B) खिलाड़ी B को एक मोहरा वापस करना होगा। , C) खिलाड़ी B रानी खो देता है। , D) खिलाड़ी B को बारी फिर से खेलनी होगी।</v>
      </c>
      <c r="I310" s="5" t="str">
        <f>IFERROR(__xludf.DUMMYFUNCTION("GOOGLETRANSLATE(D310, ""en"", ""hi"")"),"A) खिलाड़ी B खेल जीतता है।")</f>
        <v>A) खिलाड़ी B खेल जीतता है।</v>
      </c>
    </row>
    <row r="311" ht="22.5" customHeight="1">
      <c r="A311" s="2">
        <v>310.0</v>
      </c>
      <c r="B311" s="3" t="s">
        <v>8826</v>
      </c>
      <c r="C311" s="3" t="s">
        <v>8779</v>
      </c>
      <c r="D311" s="3" t="s">
        <v>8519</v>
      </c>
      <c r="F311" s="5" t="str">
        <f>IFERROR(__xludf.DUMMYFUNCTION("GOOGLETRANSLATE(A311, ""en"", ""hi"")"),"310")</f>
        <v>310</v>
      </c>
      <c r="G311" s="5" t="str">
        <f>IFERROR(__xludf.DUMMYFUNCTION("GOOGLETRANSLATE(B311, ""en"", ""hi"")"),"खिलाड़ी A ने पहले क्वीन और फिर स्ट्राइकर को पॉकेट में डाला। नतीजा क्या हुआ?")</f>
        <v>खिलाड़ी A ने पहले क्वीन और फिर स्ट्राइकर को पॉकेट में डाला। नतीजा क्या हुआ?</v>
      </c>
      <c r="H311" s="5" t="str">
        <f>IFERROR(__xludf.DUMMYFUNCTION("GOOGLETRANSLATE(C311, ""en"", ""hi"")"),"A) खिलाड़ी A खेल जीतता है। , B) खिलाड़ी A रानी खो देता है। , C) खिलाड़ी A को स्ट्राइकर की जगह लेनी होगी। , D) खिलाड़ी A खेलना जारी रखता है।")</f>
        <v>A) खिलाड़ी A खेल जीतता है। , B) खिलाड़ी A रानी खो देता है। , C) खिलाड़ी A को स्ट्राइकर की जगह लेनी होगी। , D) खिलाड़ी A खेलना जारी रखता है।</v>
      </c>
      <c r="I311" s="5" t="str">
        <f>IFERROR(__xludf.DUMMYFUNCTION("GOOGLETRANSLATE(D311, ""en"", ""hi"")"),"बी) खिलाड़ी ए रानी खो देता है।")</f>
        <v>बी) खिलाड़ी ए रानी खो देता है।</v>
      </c>
    </row>
    <row r="312" ht="22.5" customHeight="1">
      <c r="A312" s="2">
        <v>311.0</v>
      </c>
      <c r="B312" s="3" t="s">
        <v>8827</v>
      </c>
      <c r="C312" s="3" t="s">
        <v>8768</v>
      </c>
      <c r="D312" s="3" t="s">
        <v>8505</v>
      </c>
      <c r="F312" s="5" t="str">
        <f>IFERROR(__xludf.DUMMYFUNCTION("GOOGLETRANSLATE(A312, ""en"", ""hi"")"),"311")</f>
        <v>311</v>
      </c>
      <c r="G312" s="5" t="str">
        <f>IFERROR(__xludf.DUMMYFUNCTION("GOOGLETRANSLATE(B312, ""en"", ""hi"")"),"खिलाड़ी B रानी को कवर करता है, लेकिन उसके तुरंत बाद गलती से अपनी ही एक गोटी पॉकेट में चली जाती है। क्या होता है?")</f>
        <v>खिलाड़ी B रानी को कवर करता है, लेकिन उसके तुरंत बाद गलती से अपनी ही एक गोटी पॉकेट में चली जाती है। क्या होता है?</v>
      </c>
      <c r="H312" s="5" t="str">
        <f>IFERROR(__xludf.DUMMYFUNCTION("GOOGLETRANSLATE(C312, ""en"", ""hi"")"),"A) खिलाड़ी B खेल जीत जाता है। , B) खिलाड़ी B रानी खो देता है। , C) खिलाड़ी B को दो अंक का दंड दिया जाता है। , D) खिलाड़ी B खेलना जारी रखता है।")</f>
        <v>A) खिलाड़ी B खेल जीत जाता है। , B) खिलाड़ी B रानी खो देता है। , C) खिलाड़ी B को दो अंक का दंड दिया जाता है। , D) खिलाड़ी B खेलना जारी रखता है।</v>
      </c>
      <c r="I312" s="5" t="str">
        <f>IFERROR(__xludf.DUMMYFUNCTION("GOOGLETRANSLATE(D312, ""en"", ""hi"")"),"B) खिलाड़ी B रानी खो देता है।")</f>
        <v>B) खिलाड़ी B रानी खो देता है।</v>
      </c>
    </row>
    <row r="313" ht="22.5" customHeight="1">
      <c r="A313" s="2">
        <v>312.0</v>
      </c>
      <c r="B313" s="3" t="s">
        <v>8828</v>
      </c>
      <c r="C313" s="3" t="s">
        <v>8787</v>
      </c>
      <c r="D313" s="3" t="s">
        <v>8519</v>
      </c>
      <c r="F313" s="5" t="str">
        <f>IFERROR(__xludf.DUMMYFUNCTION("GOOGLETRANSLATE(A313, ""en"", ""hi"")"),"312")</f>
        <v>312</v>
      </c>
      <c r="G313" s="5" t="str">
        <f>IFERROR(__xludf.DUMMYFUNCTION("GOOGLETRANSLATE(B313, ""en"", ""hi"")"),"खिलाड़ी A रानी को पॉकेट में डालता है, लेकिन फिर अपने प्रतिद्वंद्वी के मोहरे को पॉकेट में डालता है। नियम क्या है?")</f>
        <v>खिलाड़ी A रानी को पॉकेट में डालता है, लेकिन फिर अपने प्रतिद्वंद्वी के मोहरे को पॉकेट में डालता है। नियम क्या है?</v>
      </c>
      <c r="H313" s="5" t="str">
        <f>IFERROR(__xludf.DUMMYFUNCTION("GOOGLETRANSLATE(C313, ""en"", ""hi"")"),"A) खिलाड़ी A खेल जीत जाता है। , B) खिलाड़ी A रानी खो देता है। , C) खिलाड़ी B का मोहरा वापस कर दिया जाता है। , D) खिलाड़ी A खेलना जारी रखता है।")</f>
        <v>A) खिलाड़ी A खेल जीत जाता है। , B) खिलाड़ी A रानी खो देता है। , C) खिलाड़ी B का मोहरा वापस कर दिया जाता है। , D) खिलाड़ी A खेलना जारी रखता है।</v>
      </c>
      <c r="I313" s="5" t="str">
        <f>IFERROR(__xludf.DUMMYFUNCTION("GOOGLETRANSLATE(D313, ""en"", ""hi"")"),"बी) खिलाड़ी ए रानी खो देता है।")</f>
        <v>बी) खिलाड़ी ए रानी खो देता है।</v>
      </c>
    </row>
    <row r="314" ht="22.5" customHeight="1">
      <c r="A314" s="2">
        <v>313.0</v>
      </c>
      <c r="B314" s="3" t="s">
        <v>8829</v>
      </c>
      <c r="C314" s="3" t="s">
        <v>8789</v>
      </c>
      <c r="D314" s="3" t="s">
        <v>8702</v>
      </c>
      <c r="F314" s="5" t="str">
        <f>IFERROR(__xludf.DUMMYFUNCTION("GOOGLETRANSLATE(A314, ""en"", ""hi"")"),"313")</f>
        <v>313</v>
      </c>
      <c r="G314" s="5" t="str">
        <f>IFERROR(__xludf.DUMMYFUNCTION("GOOGLETRANSLATE(B314, ""en"", ""hi"")"),"खिलाड़ी B अपनी आखिरी गोटी पॉकेट में डाल देता है, लेकिन रानी को कवर नहीं कर पाता। क्या होता है?")</f>
        <v>खिलाड़ी B अपनी आखिरी गोटी पॉकेट में डाल देता है, लेकिन रानी को कवर नहीं कर पाता। क्या होता है?</v>
      </c>
      <c r="H314" s="5" t="str">
        <f>IFERROR(__xludf.DUMMYFUNCTION("GOOGLETRANSLATE(C314, ""en"", ""hi"")"),"A) खिलाड़ी B खेल जीत जाता है। , B) खिलाड़ी B को जीतने से पहले रानी को पॉकेट में डालना होगा। , C) खिलाड़ी B को एक अंक का दंड दिया जाता है। , D) खिलाड़ी B अपनी बारी खो देता है।")</f>
        <v>A) खिलाड़ी B खेल जीत जाता है। , B) खिलाड़ी B को जीतने से पहले रानी को पॉकेट में डालना होगा। , C) खिलाड़ी B को एक अंक का दंड दिया जाता है। , D) खिलाड़ी B अपनी बारी खो देता है।</v>
      </c>
      <c r="I314" s="5" t="str">
        <f>IFERROR(__xludf.DUMMYFUNCTION("GOOGLETRANSLATE(D314, ""en"", ""hi"")"),"बी) खिलाड़ी बी को जीतने से पहले रानी को पॉकेट में डालना होगा।")</f>
        <v>बी) खिलाड़ी बी को जीतने से पहले रानी को पॉकेट में डालना होगा।</v>
      </c>
    </row>
    <row r="315" ht="22.5" customHeight="1">
      <c r="A315" s="2">
        <v>314.0</v>
      </c>
      <c r="B315" s="3" t="s">
        <v>8830</v>
      </c>
      <c r="C315" s="3" t="s">
        <v>8766</v>
      </c>
      <c r="D315" s="3" t="s">
        <v>8707</v>
      </c>
      <c r="F315" s="5" t="str">
        <f>IFERROR(__xludf.DUMMYFUNCTION("GOOGLETRANSLATE(A315, ""en"", ""hi"")"),"314")</f>
        <v>314</v>
      </c>
      <c r="G315" s="5" t="str">
        <f>IFERROR(__xludf.DUMMYFUNCTION("GOOGLETRANSLATE(B315, ""en"", ""hi"")"),"खिलाड़ी A रानी और उसके सभी मोहरों को पॉकेट में डाल देता है, लेकिन रानी को कवर नहीं कर पाता। नतीजा क्या होता है?")</f>
        <v>खिलाड़ी A रानी और उसके सभी मोहरों को पॉकेट में डाल देता है, लेकिन रानी को कवर नहीं कर पाता। नतीजा क्या होता है?</v>
      </c>
      <c r="H315" s="5" t="str">
        <f>IFERROR(__xludf.DUMMYFUNCTION("GOOGLETRANSLATE(C315,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315" s="5" t="str">
        <f>IFERROR(__xludf.DUMMYFUNCTION("GOOGLETRANSLATE(D315, ""en"", ""hi"")"),"बी) जीतने से पहले खिलाड़ी ए को रानी को पॉकेट में डालना होगा।")</f>
        <v>बी) जीतने से पहले खिलाड़ी ए को रानी को पॉकेट में डालना होगा।</v>
      </c>
    </row>
    <row r="316" ht="22.5" customHeight="1">
      <c r="A316" s="2">
        <v>315.0</v>
      </c>
      <c r="B316" s="3" t="s">
        <v>8831</v>
      </c>
      <c r="C316" s="3" t="s">
        <v>8832</v>
      </c>
      <c r="D316" s="3" t="s">
        <v>8505</v>
      </c>
      <c r="F316" s="5" t="str">
        <f>IFERROR(__xludf.DUMMYFUNCTION("GOOGLETRANSLATE(A316, ""en"", ""hi"")"),"315")</f>
        <v>315</v>
      </c>
      <c r="G316" s="5" t="str">
        <f>IFERROR(__xludf.DUMMYFUNCTION("GOOGLETRANSLATE(B316, ""en"", ""hi"")"),"खिलाड़ी B रानी को सफलतापूर्वक कवर करता है, लेकिन फिर स्ट्राइकर को पॉकेट में डाल देता है। क्या होता है?")</f>
        <v>खिलाड़ी B रानी को सफलतापूर्वक कवर करता है, लेकिन फिर स्ट्राइकर को पॉकेट में डाल देता है। क्या होता है?</v>
      </c>
      <c r="H316" s="5" t="str">
        <f>IFERROR(__xludf.DUMMYFUNCTION("GOOGLETRANSLATE(C316, ""en"", ""hi"")"),"A) खिलाड़ी B खेल जीतता है। , B) खिलाड़ी B रानी खो देता है। , C) खिलाड़ी B को स्ट्राइकर को वापस करना होगा। , D) खिलाड़ी B खेलना जारी रखता है।")</f>
        <v>A) खिलाड़ी B खेल जीतता है। , B) खिलाड़ी B रानी खो देता है। , C) खिलाड़ी B को स्ट्राइकर को वापस करना होगा। , D) खिलाड़ी B खेलना जारी रखता है।</v>
      </c>
      <c r="I316" s="5" t="str">
        <f>IFERROR(__xludf.DUMMYFUNCTION("GOOGLETRANSLATE(D316, ""en"", ""hi"")"),"B) खिलाड़ी B रानी खो देता है।")</f>
        <v>B) खिलाड़ी B रानी खो देता है।</v>
      </c>
    </row>
    <row r="317" ht="22.5" customHeight="1">
      <c r="A317" s="2">
        <v>316.0</v>
      </c>
      <c r="B317" s="3" t="s">
        <v>8833</v>
      </c>
      <c r="C317" s="3" t="s">
        <v>8787</v>
      </c>
      <c r="D317" s="3" t="s">
        <v>8519</v>
      </c>
      <c r="F317" s="5" t="str">
        <f>IFERROR(__xludf.DUMMYFUNCTION("GOOGLETRANSLATE(A317, ""en"", ""hi"")"),"316")</f>
        <v>316</v>
      </c>
      <c r="G317" s="5" t="str">
        <f>IFERROR(__xludf.DUMMYFUNCTION("GOOGLETRANSLATE(B317, ""en"", ""hi"")"),"खिलाड़ी A पहले रानी और फिर खिलाड़ी B का मोहरा पॉकेट में डालता है। नियम क्या है?")</f>
        <v>खिलाड़ी A पहले रानी और फिर खिलाड़ी B का मोहरा पॉकेट में डालता है। नियम क्या है?</v>
      </c>
      <c r="H317" s="5" t="str">
        <f>IFERROR(__xludf.DUMMYFUNCTION("GOOGLETRANSLATE(C317, ""en"", ""hi"")"),"A) खिलाड़ी A खेल जीत जाता है। , B) खिलाड़ी A रानी खो देता है। , C) खिलाड़ी B का मोहरा वापस कर दिया जाता है। , D) खिलाड़ी A खेलना जारी रखता है।")</f>
        <v>A) खिलाड़ी A खेल जीत जाता है। , B) खिलाड़ी A रानी खो देता है। , C) खिलाड़ी B का मोहरा वापस कर दिया जाता है। , D) खिलाड़ी A खेलना जारी रखता है।</v>
      </c>
      <c r="I317" s="5" t="str">
        <f>IFERROR(__xludf.DUMMYFUNCTION("GOOGLETRANSLATE(D317, ""en"", ""hi"")"),"बी) खिलाड़ी ए रानी खो देता है।")</f>
        <v>बी) खिलाड़ी ए रानी खो देता है।</v>
      </c>
    </row>
    <row r="318" ht="22.5" customHeight="1">
      <c r="A318" s="2">
        <v>317.0</v>
      </c>
      <c r="B318" s="3" t="s">
        <v>8834</v>
      </c>
      <c r="C318" s="3" t="s">
        <v>8801</v>
      </c>
      <c r="D318" s="3" t="s">
        <v>8413</v>
      </c>
      <c r="F318" s="5" t="str">
        <f>IFERROR(__xludf.DUMMYFUNCTION("GOOGLETRANSLATE(A318, ""en"", ""hi"")"),"317")</f>
        <v>317</v>
      </c>
      <c r="G318" s="5" t="str">
        <f>IFERROR(__xludf.DUMMYFUNCTION("GOOGLETRANSLATE(B318, ""en"", ""hi"")"),"खिलाड़ी B अपनी आखिरी गोटी और रानी को एक ही बार में जेब में डाल लेता है। क्या होता है?")</f>
        <v>खिलाड़ी B अपनी आखिरी गोटी और रानी को एक ही बार में जेब में डाल लेता है। क्या होता है?</v>
      </c>
      <c r="H318" s="5" t="str">
        <f>IFERROR(__xludf.DUMMYFUNCTION("GOOGLETRANSLATE(C318, ""en"", ""hi"")"),"ए) खिलाड़ी बी खेल जीतता है।, बी) खिलाड़ी बी को एक मोहरा वापस करना होगा।, सी) खिलाड़ी बी को दो अंक का दंड दिया जाता है।, डी) खिलाड़ी बी को शॉट फिर से खेलना होगा।")</f>
        <v>ए) खिलाड़ी बी खेल जीतता है।, बी) खिलाड़ी बी को एक मोहरा वापस करना होगा।, सी) खिलाड़ी बी को दो अंक का दंड दिया जाता है।, डी) खिलाड़ी बी को शॉट फिर से खेलना होगा।</v>
      </c>
      <c r="I318" s="5" t="str">
        <f>IFERROR(__xludf.DUMMYFUNCTION("GOOGLETRANSLATE(D318, ""en"", ""hi"")"),"A) खिलाड़ी B खेल जीतता है।")</f>
        <v>A) खिलाड़ी B खेल जीतता है।</v>
      </c>
    </row>
    <row r="319" ht="22.5" customHeight="1">
      <c r="A319" s="2">
        <v>318.0</v>
      </c>
      <c r="B319" s="3" t="s">
        <v>8835</v>
      </c>
      <c r="C319" s="3" t="s">
        <v>8803</v>
      </c>
      <c r="D319" s="3" t="s">
        <v>8519</v>
      </c>
      <c r="F319" s="5" t="str">
        <f>IFERROR(__xludf.DUMMYFUNCTION("GOOGLETRANSLATE(A319, ""en"", ""hi"")"),"318")</f>
        <v>318</v>
      </c>
      <c r="G319" s="5" t="str">
        <f>IFERROR(__xludf.DUMMYFUNCTION("GOOGLETRANSLATE(B319, ""en"", ""hi"")"),"खिलाड़ी A ने क्वीन को सफलतापूर्वक कवर कर लिया, लेकिन गलती से स्ट्राइकर को पॉकेट में डाल दिया। नतीजा क्या हुआ?")</f>
        <v>खिलाड़ी A ने क्वीन को सफलतापूर्वक कवर कर लिया, लेकिन गलती से स्ट्राइकर को पॉकेट में डाल दिया। नतीजा क्या हुआ?</v>
      </c>
      <c r="H319" s="5" t="str">
        <f>IFERROR(__xludf.DUMMYFUNCTION("GOOGLETRANSLATE(C319,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319" s="5" t="str">
        <f>IFERROR(__xludf.DUMMYFUNCTION("GOOGLETRANSLATE(D319, ""en"", ""hi"")"),"बी) खिलाड़ी ए रानी खो देता है।")</f>
        <v>बी) खिलाड़ी ए रानी खो देता है।</v>
      </c>
    </row>
    <row r="320" ht="22.5" customHeight="1">
      <c r="A320" s="2">
        <v>319.0</v>
      </c>
      <c r="B320" s="3" t="s">
        <v>8748</v>
      </c>
      <c r="C320" s="3" t="s">
        <v>8804</v>
      </c>
      <c r="D320" s="3" t="s">
        <v>8643</v>
      </c>
      <c r="F320" s="5" t="str">
        <f>IFERROR(__xludf.DUMMYFUNCTION("GOOGLETRANSLATE(A320, ""en"", ""hi"")"),"319")</f>
        <v>319</v>
      </c>
      <c r="G320" s="5" t="str">
        <f>IFERROR(__xludf.DUMMYFUNCTION("GOOGLETRANSLATE(B320, ""en"", ""hi"")"),"खिलाड़ी B रानी को पॉकेट में डालता है, लेकिन उसे कवर करने से चूक जाता है। नियम क्या है?")</f>
        <v>खिलाड़ी B रानी को पॉकेट में डालता है, लेकिन उसे कवर करने से चूक जाता है। नियम क्या है?</v>
      </c>
      <c r="H320" s="5" t="str">
        <f>IFERROR(__xludf.DUMMYFUNCTION("GOOGLETRANSLATE(C320,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320" s="5" t="str">
        <f>IFERROR(__xludf.DUMMYFUNCTION("GOOGLETRANSLATE(D320, ""en"", ""hi"")"),"बी) रानी को केंद्र में वापस लाया जाता है।")</f>
        <v>बी) रानी को केंद्र में वापस लाया जाता है।</v>
      </c>
    </row>
    <row r="321" ht="22.5" customHeight="1">
      <c r="A321" s="2">
        <v>320.0</v>
      </c>
      <c r="B321" s="3" t="s">
        <v>8805</v>
      </c>
      <c r="C321" s="3" t="s">
        <v>8766</v>
      </c>
      <c r="D321" s="3" t="s">
        <v>8707</v>
      </c>
      <c r="F321" s="5" t="str">
        <f>IFERROR(__xludf.DUMMYFUNCTION("GOOGLETRANSLATE(A321, ""en"", ""hi"")"),"320")</f>
        <v>320</v>
      </c>
      <c r="G321" s="5" t="str">
        <f>IFERROR(__xludf.DUMMYFUNCTION("GOOGLETRANSLATE(B321, ""en"", ""hi"")"),"खिलाड़ी A अपनी आखिरी गोटी जेब में डाल लेता है, लेकिन रानी जेब में नहीं जाती। नियम क्या है?")</f>
        <v>खिलाड़ी A अपनी आखिरी गोटी जेब में डाल लेता है, लेकिन रानी जेब में नहीं जाती। नियम क्या है?</v>
      </c>
      <c r="H321" s="5" t="str">
        <f>IFERROR(__xludf.DUMMYFUNCTION("GOOGLETRANSLATE(C321,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321" s="5" t="str">
        <f>IFERROR(__xludf.DUMMYFUNCTION("GOOGLETRANSLATE(D321, ""en"", ""hi"")"),"बी) जीतने से पहले खिलाड़ी ए को रानी को पॉकेट में डालना होगा।")</f>
        <v>बी) जीतने से पहले खिलाड़ी ए को रानी को पॉकेट में डालना होगा।</v>
      </c>
    </row>
    <row r="322" ht="22.5" customHeight="1">
      <c r="A322" s="2">
        <v>321.0</v>
      </c>
      <c r="B322" s="3" t="s">
        <v>8770</v>
      </c>
      <c r="C322" s="3" t="s">
        <v>8836</v>
      </c>
      <c r="D322" s="3" t="s">
        <v>8505</v>
      </c>
      <c r="F322" s="5" t="str">
        <f>IFERROR(__xludf.DUMMYFUNCTION("GOOGLETRANSLATE(A322, ""en"", ""hi"")"),"321")</f>
        <v>321</v>
      </c>
      <c r="G322" s="5" t="str">
        <f>IFERROR(__xludf.DUMMYFUNCTION("GOOGLETRANSLATE(B322,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322" s="5" t="str">
        <f>IFERROR(__xludf.DUMMYFUNCTION("GOOGLETRANSLATE(C322,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322" s="5" t="str">
        <f>IFERROR(__xludf.DUMMYFUNCTION("GOOGLETRANSLATE(D322, ""en"", ""hi"")"),"B) खिलाड़ी B रानी खो देता है।")</f>
        <v>B) खिलाड़ी B रानी खो देता है।</v>
      </c>
    </row>
    <row r="323" ht="22.5" customHeight="1">
      <c r="A323" s="2">
        <v>322.0</v>
      </c>
      <c r="B323" s="3" t="s">
        <v>8837</v>
      </c>
      <c r="C323" s="3" t="s">
        <v>8795</v>
      </c>
      <c r="D323" s="3" t="s">
        <v>8707</v>
      </c>
      <c r="F323" s="5" t="str">
        <f>IFERROR(__xludf.DUMMYFUNCTION("GOOGLETRANSLATE(A323, ""en"", ""hi"")"),"322")</f>
        <v>322</v>
      </c>
      <c r="G323" s="5" t="str">
        <f>IFERROR(__xludf.DUMMYFUNCTION("GOOGLETRANSLATE(B323, ""en"", ""hi"")"),"खिलाड़ी A रानी और उसके सभी मोहरों को पॉकेट में डाल देता है, लेकिन रानी को कवर नहीं कर पाता। नतीजा क्या होता है?")</f>
        <v>खिलाड़ी A रानी और उसके सभी मोहरों को पॉकेट में डाल देता है, लेकिन रानी को कवर नहीं कर पाता। नतीजा क्या होता है?</v>
      </c>
      <c r="H323" s="5" t="str">
        <f>IFERROR(__xludf.DUMMYFUNCTION("GOOGLETRANSLATE(C323,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23" s="5" t="str">
        <f>IFERROR(__xludf.DUMMYFUNCTION("GOOGLETRANSLATE(D323, ""en"", ""hi"")"),"बी) जीतने से पहले खिलाड़ी ए को रानी को पॉकेट में डालना होगा।")</f>
        <v>बी) जीतने से पहले खिलाड़ी ए को रानी को पॉकेट में डालना होगा।</v>
      </c>
    </row>
    <row r="324" ht="22.5" customHeight="1">
      <c r="A324" s="2">
        <v>323.0</v>
      </c>
      <c r="B324" s="3" t="s">
        <v>8808</v>
      </c>
      <c r="C324" s="3" t="s">
        <v>8809</v>
      </c>
      <c r="D324" s="3" t="s">
        <v>8413</v>
      </c>
      <c r="F324" s="5" t="str">
        <f>IFERROR(__xludf.DUMMYFUNCTION("GOOGLETRANSLATE(A324, ""en"", ""hi"")"),"323")</f>
        <v>323</v>
      </c>
      <c r="G324" s="5" t="str">
        <f>IFERROR(__xludf.DUMMYFUNCTION("GOOGLETRANSLATE(B324, ""en"", ""hi"")"),"खिलाड़ी B अपनी आखिरी गोटी सफलतापूर्वक पॉकेट में डाल देता है और रानी को कवर कर लेता है। अब क्या होता है?")</f>
        <v>खिलाड़ी B अपनी आखिरी गोटी सफलतापूर्वक पॉकेट में डाल देता है और रानी को कवर कर लेता है। अब क्या होता है?</v>
      </c>
      <c r="H324" s="5" t="str">
        <f>IFERROR(__xludf.DUMMYFUNCTION("GOOGLETRANSLATE(C324, ""en"", ""hi"")"),"A) खिलाड़ी B खेल जीत जाता है। , B) खिलाड़ी B को एक मोहरा वापस करना होगा। , C) खिलाड़ी B को एक अंक का दंड दिया जाता है। , D) खिलाड़ी B खेलना जारी रखता है।")</f>
        <v>A) खिलाड़ी B खेल जीत जाता है। , B) खिलाड़ी B को एक मोहरा वापस करना होगा। , C) खिलाड़ी B को एक अंक का दंड दिया जाता है। , D) खिलाड़ी B खेलना जारी रखता है।</v>
      </c>
      <c r="I324" s="5" t="str">
        <f>IFERROR(__xludf.DUMMYFUNCTION("GOOGLETRANSLATE(D324, ""en"", ""hi"")"),"A) खिलाड़ी B खेल जीतता है।")</f>
        <v>A) खिलाड़ी B खेल जीतता है।</v>
      </c>
    </row>
    <row r="325" ht="22.5" customHeight="1">
      <c r="A325" s="2">
        <v>324.0</v>
      </c>
      <c r="B325" s="3" t="s">
        <v>8838</v>
      </c>
      <c r="C325" s="3" t="s">
        <v>8822</v>
      </c>
      <c r="D325" s="3" t="s">
        <v>8823</v>
      </c>
      <c r="F325" s="5" t="str">
        <f>IFERROR(__xludf.DUMMYFUNCTION("GOOGLETRANSLATE(A325, ""en"", ""hi"")"),"324")</f>
        <v>324</v>
      </c>
      <c r="G325" s="5" t="str">
        <f>IFERROR(__xludf.DUMMYFUNCTION("GOOGLETRANSLATE(B325, ""en"", ""hi"")"),"खिलाड़ी A एक मोहरा और फिर रानी को पॉकेट में डालता है, लेकिन अगली बारी में उसे कवर नहीं कर पाता। नियम क्या है?")</f>
        <v>खिलाड़ी A एक मोहरा और फिर रानी को पॉकेट में डालता है, लेकिन अगली बारी में उसे कवर नहीं कर पाता। नियम क्या है?</v>
      </c>
      <c r="H325" s="5" t="str">
        <f>IFERROR(__xludf.DUMMYFUNCTION("GOOGLETRANSLATE(C325,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25" s="5" t="str">
        <f>IFERROR(__xludf.DUMMYFUNCTION("GOOGLETRANSLATE(D325, ""en"", ""hi"")"),"C) खिलाड़ी A रानी खो देता है।")</f>
        <v>C) खिलाड़ी A रानी खो देता है।</v>
      </c>
    </row>
    <row r="326" ht="22.5" customHeight="1">
      <c r="A326" s="2">
        <v>325.0</v>
      </c>
      <c r="B326" s="3" t="s">
        <v>8839</v>
      </c>
      <c r="C326" s="3" t="s">
        <v>8840</v>
      </c>
      <c r="D326" s="3" t="s">
        <v>8505</v>
      </c>
      <c r="F326" s="5" t="str">
        <f>IFERROR(__xludf.DUMMYFUNCTION("GOOGLETRANSLATE(A326, ""en"", ""hi"")"),"325")</f>
        <v>325</v>
      </c>
      <c r="G326" s="5" t="str">
        <f>IFERROR(__xludf.DUMMYFUNCTION("GOOGLETRANSLATE(B326, ""en"", ""hi"")"),"खिलाड़ी B अपनी आखिरी गोटी पॉकेट में डाल देता है, लेकिन गलती से उसी बारी में रानी भी पॉकेट में डाल देता है। नतीजा क्या होता है?")</f>
        <v>खिलाड़ी B अपनी आखिरी गोटी पॉकेट में डाल देता है, लेकिन गलती से उसी बारी में रानी भी पॉकेट में डाल देता है। नतीजा क्या होता है?</v>
      </c>
      <c r="H326" s="5" t="str">
        <f>IFERROR(__xludf.DUMMYFUNCTION("GOOGLETRANSLATE(C326, ""en"", ""hi"")"),"A) खिलाड़ी B खेल जीत जाता है। , B) खिलाड़ी B रानी खो देता है। , C) खिलाड़ी B को एक मोहरा वापस करना होगा। , D) खिलाड़ी B को दो अंक का दंड दिया जाता है।")</f>
        <v>A) खिलाड़ी B खेल जीत जाता है। , B) खिलाड़ी B रानी खो देता है। , C) खिलाड़ी B को एक मोहरा वापस करना होगा। , D) खिलाड़ी B को दो अंक का दंड दिया जाता है।</v>
      </c>
      <c r="I326" s="5" t="str">
        <f>IFERROR(__xludf.DUMMYFUNCTION("GOOGLETRANSLATE(D326, ""en"", ""hi"")"),"B) खिलाड़ी B रानी खो देता है।")</f>
        <v>B) खिलाड़ी B रानी खो देता है।</v>
      </c>
    </row>
    <row r="327" ht="22.5" customHeight="1">
      <c r="A327" s="2">
        <v>326.0</v>
      </c>
      <c r="B327" s="3" t="s">
        <v>8841</v>
      </c>
      <c r="C327" s="3" t="s">
        <v>8822</v>
      </c>
      <c r="D327" s="3" t="s">
        <v>8823</v>
      </c>
      <c r="F327" s="5" t="str">
        <f>IFERROR(__xludf.DUMMYFUNCTION("GOOGLETRANSLATE(A327, ""en"", ""hi"")"),"326")</f>
        <v>326</v>
      </c>
      <c r="G327" s="5" t="str">
        <f>IFERROR(__xludf.DUMMYFUNCTION("GOOGLETRANSLATE(B327, ""en"", ""hi"")"),"खिलाड़ी A रानी को पॉकेट में डालता है, लेकिन उसे कवर करने से चूक जाता है। नियम क्या है?")</f>
        <v>खिलाड़ी A रानी को पॉकेट में डालता है, लेकिन उसे कवर करने से चूक जाता है। नियम क्या है?</v>
      </c>
      <c r="H327" s="5" t="str">
        <f>IFERROR(__xludf.DUMMYFUNCTION("GOOGLETRANSLATE(C327,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27" s="5" t="str">
        <f>IFERROR(__xludf.DUMMYFUNCTION("GOOGLETRANSLATE(D327, ""en"", ""hi"")"),"C) खिलाड़ी A रानी खो देता है।")</f>
        <v>C) खिलाड़ी A रानी खो देता है।</v>
      </c>
    </row>
    <row r="328" ht="22.5" customHeight="1">
      <c r="A328" s="2">
        <v>327.0</v>
      </c>
      <c r="B328" s="3" t="s">
        <v>8842</v>
      </c>
      <c r="C328" s="3" t="s">
        <v>8789</v>
      </c>
      <c r="D328" s="3" t="s">
        <v>8702</v>
      </c>
      <c r="F328" s="5" t="str">
        <f>IFERROR(__xludf.DUMMYFUNCTION("GOOGLETRANSLATE(A328, ""en"", ""hi"")"),"327")</f>
        <v>327</v>
      </c>
      <c r="G328" s="5" t="str">
        <f>IFERROR(__xludf.DUMMYFUNCTION("GOOGLETRANSLATE(B328, ""en"", ""hi"")"),"खिलाड़ी B अपने सभी मोहरे पॉकेट में डाल देता है, लेकिन रानी को कवर नहीं कर पाता। नियम क्या है?")</f>
        <v>खिलाड़ी B अपने सभी मोहरे पॉकेट में डाल देता है, लेकिन रानी को कवर नहीं कर पाता। नियम क्या है?</v>
      </c>
      <c r="H328" s="5" t="str">
        <f>IFERROR(__xludf.DUMMYFUNCTION("GOOGLETRANSLATE(C328, ""en"", ""hi"")"),"A) खिलाड़ी B खेल जीत जाता है। , B) खिलाड़ी B को जीतने से पहले रानी को पॉकेट में डालना होगा। , C) खिलाड़ी B को एक अंक का दंड दिया जाता है। , D) खिलाड़ी B अपनी बारी खो देता है।")</f>
        <v>A) खिलाड़ी B खेल जीत जाता है। , B) खिलाड़ी B को जीतने से पहले रानी को पॉकेट में डालना होगा। , C) खिलाड़ी B को एक अंक का दंड दिया जाता है। , D) खिलाड़ी B अपनी बारी खो देता है।</v>
      </c>
      <c r="I328" s="5" t="str">
        <f>IFERROR(__xludf.DUMMYFUNCTION("GOOGLETRANSLATE(D328, ""en"", ""hi"")"),"बी) खिलाड़ी बी को जीतने से पहले रानी को पॉकेट में डालना होगा।")</f>
        <v>बी) खिलाड़ी बी को जीतने से पहले रानी को पॉकेट में डालना होगा।</v>
      </c>
    </row>
    <row r="329" ht="22.5" customHeight="1">
      <c r="A329" s="2">
        <v>328.0</v>
      </c>
      <c r="B329" s="3" t="s">
        <v>8843</v>
      </c>
      <c r="C329" s="3" t="s">
        <v>8803</v>
      </c>
      <c r="D329" s="3" t="s">
        <v>8519</v>
      </c>
      <c r="F329" s="5" t="str">
        <f>IFERROR(__xludf.DUMMYFUNCTION("GOOGLETRANSLATE(A329, ""en"", ""hi"")"),"328")</f>
        <v>328</v>
      </c>
      <c r="G329" s="5" t="str">
        <f>IFERROR(__xludf.DUMMYFUNCTION("GOOGLETRANSLATE(B329, ""en"", ""hi"")"),"खिलाड़ी A रानी को सफलतापूर्वक कवर करता है, लेकिन फिर गलती से स्ट्राइकर को पॉकेट में डाल देता है। क्या होता है?")</f>
        <v>खिलाड़ी A रानी को सफलतापूर्वक कवर करता है, लेकिन फिर गलती से स्ट्राइकर को पॉकेट में डाल देता है। क्या होता है?</v>
      </c>
      <c r="H329" s="5" t="str">
        <f>IFERROR(__xludf.DUMMYFUNCTION("GOOGLETRANSLATE(C329,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329" s="5" t="str">
        <f>IFERROR(__xludf.DUMMYFUNCTION("GOOGLETRANSLATE(D329, ""en"", ""hi"")"),"बी) खिलाड़ी ए रानी खो देता है।")</f>
        <v>बी) खिलाड़ी ए रानी खो देता है।</v>
      </c>
    </row>
    <row r="330" ht="22.5" customHeight="1">
      <c r="A330" s="2">
        <v>329.0</v>
      </c>
      <c r="B330" s="3" t="s">
        <v>8844</v>
      </c>
      <c r="C330" s="3" t="s">
        <v>8845</v>
      </c>
      <c r="D330" s="3" t="s">
        <v>8505</v>
      </c>
      <c r="F330" s="5" t="str">
        <f>IFERROR(__xludf.DUMMYFUNCTION("GOOGLETRANSLATE(A330, ""en"", ""hi"")"),"329")</f>
        <v>329</v>
      </c>
      <c r="G330" s="5" t="str">
        <f>IFERROR(__xludf.DUMMYFUNCTION("GOOGLETRANSLATE(B330, ""en"", ""hi"")"),"खिलाड़ी B रानी को कवर करता है और फिर प्रतिद्वंद्वी के मोहरे को पॉकेट में डाल देता है। परिणाम क्या होता है?")</f>
        <v>खिलाड़ी B रानी को कवर करता है और फिर प्रतिद्वंद्वी के मोहरे को पॉकेट में डाल देता है। परिणाम क्या होता है?</v>
      </c>
      <c r="H330" s="5" t="str">
        <f>IFERROR(__xludf.DUMMYFUNCTION("GOOGLETRANSLATE(C330, ""en"", ""hi"")"),"A) खिलाड़ी B खेल जीतता है। , B) खिलाड़ी B रानी खो देता है। , C) खिलाड़ी B को प्रतिद्वंद्वी का मोहरा वापस करना होगा। , D) खिलाड़ी B खेलना जारी रखता है।")</f>
        <v>A) खिलाड़ी B खेल जीतता है। , B) खिलाड़ी B रानी खो देता है। , C) खिलाड़ी B को प्रतिद्वंद्वी का मोहरा वापस करना होगा। , D) खिलाड़ी B खेलना जारी रखता है।</v>
      </c>
      <c r="I330" s="5" t="str">
        <f>IFERROR(__xludf.DUMMYFUNCTION("GOOGLETRANSLATE(D330, ""en"", ""hi"")"),"B) खिलाड़ी B रानी खो देता है।")</f>
        <v>B) खिलाड़ी B रानी खो देता है।</v>
      </c>
    </row>
    <row r="331" ht="22.5" customHeight="1">
      <c r="A331" s="2">
        <v>330.0</v>
      </c>
      <c r="B331" s="3" t="s">
        <v>8846</v>
      </c>
      <c r="C331" s="3" t="s">
        <v>8847</v>
      </c>
      <c r="D331" s="3" t="s">
        <v>7785</v>
      </c>
      <c r="F331" s="5" t="str">
        <f>IFERROR(__xludf.DUMMYFUNCTION("GOOGLETRANSLATE(A331, ""en"", ""hi"")"),"330")</f>
        <v>330</v>
      </c>
      <c r="G331" s="5" t="str">
        <f>IFERROR(__xludf.DUMMYFUNCTION("GOOGLETRANSLATE(B331, ""en"", ""hi"")"),"खिलाड़ी A अपनी रानी और आखिरी मोहरे को एक ही बार में पॉकेट में डाल देता है। इसका नियम क्या है?")</f>
        <v>खिलाड़ी A अपनी रानी और आखिरी मोहरे को एक ही बार में पॉकेट में डाल देता है। इसका नियम क्या है?</v>
      </c>
      <c r="H331" s="5" t="str">
        <f>IFERROR(__xludf.DUMMYFUNCTION("GOOGLETRANSLATE(C331, ""en"", ""hi"")"),"A) खिलाड़ी A खेल जीत जाता है। , B) खिलाड़ी A को एक मोहरा वापस करना होगा। , C) खिलाड़ी A को दो अंक का दण्ड दिया जाता है। , D) खिलाड़ी A को अपनी बारी पुनः खेलनी होगी।")</f>
        <v>A) खिलाड़ी A खेल जीत जाता है। , B) खिलाड़ी A को एक मोहरा वापस करना होगा। , C) खिलाड़ी A को दो अंक का दण्ड दिया जाता है। , D) खिलाड़ी A को अपनी बारी पुनः खेलनी होगी।</v>
      </c>
      <c r="I331" s="5" t="str">
        <f>IFERROR(__xludf.DUMMYFUNCTION("GOOGLETRANSLATE(D331, ""en"", ""hi"")"),"A) खिलाड़ी A खेल जीतता है।")</f>
        <v>A) खिलाड़ी A खेल जीतता है।</v>
      </c>
    </row>
    <row r="332" ht="22.5" customHeight="1">
      <c r="A332" s="2">
        <v>331.0</v>
      </c>
      <c r="B332" s="3" t="s">
        <v>8848</v>
      </c>
      <c r="C332" s="3" t="s">
        <v>8816</v>
      </c>
      <c r="D332" s="3" t="s">
        <v>8702</v>
      </c>
      <c r="F332" s="5" t="str">
        <f>IFERROR(__xludf.DUMMYFUNCTION("GOOGLETRANSLATE(A332, ""en"", ""hi"")"),"331")</f>
        <v>331</v>
      </c>
      <c r="G332" s="5" t="str">
        <f>IFERROR(__xludf.DUMMYFUNCTION("GOOGLETRANSLATE(B332, ""en"", ""hi"")"),"खिलाड़ी B अपनी आखिरी गोटी जेब में डाल लेता है, लेकिन रानी जेब में नहीं जाती। नतीजा क्या होता है?")</f>
        <v>खिलाड़ी B अपनी आखिरी गोटी जेब में डाल लेता है, लेकिन रानी जेब में नहीं जाती। नतीजा क्या होता है?</v>
      </c>
      <c r="H332" s="5" t="str">
        <f>IFERROR(__xludf.DUMMYFUNCTION("GOOGLETRANSLATE(C332, ""en"", ""hi"")"),"A) खिलाड़ी B खेल जीत जाता है। , B) खिलाड़ी B को जीतने से पहले रानी को पॉकेट में डालना होगा। , C) खिलाड़ी B को एक अंक का दंड दिया जाता है। , D) खेल ड्रॉ हो जाता है।")</f>
        <v>A) खिलाड़ी B खेल जीत जाता है। , B) खिलाड़ी B को जीतने से पहले रानी को पॉकेट में डालना होगा। , C) खिलाड़ी B को एक अंक का दंड दिया जाता है। , D) खेल ड्रॉ हो जाता है।</v>
      </c>
      <c r="I332" s="5" t="str">
        <f>IFERROR(__xludf.DUMMYFUNCTION("GOOGLETRANSLATE(D332, ""en"", ""hi"")"),"बी) खिलाड़ी बी को जीतने से पहले रानी को पॉकेट में डालना होगा।")</f>
        <v>बी) खिलाड़ी बी को जीतने से पहले रानी को पॉकेट में डालना होगा।</v>
      </c>
    </row>
    <row r="333" ht="22.5" customHeight="1">
      <c r="A333" s="2">
        <v>332.0</v>
      </c>
      <c r="B333" s="3" t="s">
        <v>8849</v>
      </c>
      <c r="C333" s="3" t="s">
        <v>8791</v>
      </c>
      <c r="D333" s="3" t="s">
        <v>8519</v>
      </c>
      <c r="F333" s="5" t="str">
        <f>IFERROR(__xludf.DUMMYFUNCTION("GOOGLETRANSLATE(A333, ""en"", ""hi"")"),"332")</f>
        <v>332</v>
      </c>
      <c r="G333" s="5" t="str">
        <f>IFERROR(__xludf.DUMMYFUNCTION("GOOGLETRANSLATE(B333, ""en"", ""hi"")"),"खिलाड़ी A क्वीन को कवर करता है लेकिन फिर स्ट्राइकर को पॉकेट में डाल देता है। नियम क्या है?")</f>
        <v>खिलाड़ी A क्वीन को कवर करता है लेकिन फिर स्ट्राइकर को पॉकेट में डाल देता है। नियम क्या है?</v>
      </c>
      <c r="H333" s="5" t="str">
        <f>IFERROR(__xludf.DUMMYFUNCTION("GOOGLETRANSLATE(C333,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333" s="5" t="str">
        <f>IFERROR(__xludf.DUMMYFUNCTION("GOOGLETRANSLATE(D333, ""en"", ""hi"")"),"बी) खिलाड़ी ए रानी खो देता है।")</f>
        <v>बी) खिलाड़ी ए रानी खो देता है।</v>
      </c>
    </row>
    <row r="334" ht="22.5" customHeight="1">
      <c r="A334" s="2">
        <v>333.0</v>
      </c>
      <c r="B334" s="3" t="s">
        <v>8748</v>
      </c>
      <c r="C334" s="3" t="s">
        <v>8804</v>
      </c>
      <c r="D334" s="3" t="s">
        <v>8643</v>
      </c>
      <c r="F334" s="5" t="str">
        <f>IFERROR(__xludf.DUMMYFUNCTION("GOOGLETRANSLATE(A334, ""en"", ""hi"")"),"333")</f>
        <v>333</v>
      </c>
      <c r="G334" s="5" t="str">
        <f>IFERROR(__xludf.DUMMYFUNCTION("GOOGLETRANSLATE(B334, ""en"", ""hi"")"),"खिलाड़ी B रानी को पॉकेट में डालता है, लेकिन उसे कवर करने से चूक जाता है। नियम क्या है?")</f>
        <v>खिलाड़ी B रानी को पॉकेट में डालता है, लेकिन उसे कवर करने से चूक जाता है। नियम क्या है?</v>
      </c>
      <c r="H334" s="5" t="str">
        <f>IFERROR(__xludf.DUMMYFUNCTION("GOOGLETRANSLATE(C334,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334" s="5" t="str">
        <f>IFERROR(__xludf.DUMMYFUNCTION("GOOGLETRANSLATE(D334, ""en"", ""hi"")"),"बी) रानी को केंद्र में वापस लाया जाता है।")</f>
        <v>बी) रानी को केंद्र में वापस लाया जाता है।</v>
      </c>
    </row>
    <row r="335" ht="22.5" customHeight="1">
      <c r="A335" s="2">
        <v>334.0</v>
      </c>
      <c r="B335" s="3" t="s">
        <v>8850</v>
      </c>
      <c r="C335" s="3" t="s">
        <v>8766</v>
      </c>
      <c r="D335" s="3" t="s">
        <v>8707</v>
      </c>
      <c r="F335" s="5" t="str">
        <f>IFERROR(__xludf.DUMMYFUNCTION("GOOGLETRANSLATE(A335, ""en"", ""hi"")"),"334")</f>
        <v>334</v>
      </c>
      <c r="G335" s="5" t="str">
        <f>IFERROR(__xludf.DUMMYFUNCTION("GOOGLETRANSLATE(B335, ""en"", ""hi"")"),"खिलाड़ी A अपनी आखिरी गोटी जेब में डाल लेता है, लेकिन रानी जेब में नहीं जाती। नतीजा क्या होता है?")</f>
        <v>खिलाड़ी A अपनी आखिरी गोटी जेब में डाल लेता है, लेकिन रानी जेब में नहीं जाती। नतीजा क्या होता है?</v>
      </c>
      <c r="H335" s="5" t="str">
        <f>IFERROR(__xludf.DUMMYFUNCTION("GOOGLETRANSLATE(C335,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335" s="5" t="str">
        <f>IFERROR(__xludf.DUMMYFUNCTION("GOOGLETRANSLATE(D335, ""en"", ""hi"")"),"बी) जीतने से पहले खिलाड़ी ए को रानी को पॉकेट में डालना होगा।")</f>
        <v>बी) जीतने से पहले खिलाड़ी ए को रानी को पॉकेट में डालना होगा।</v>
      </c>
    </row>
    <row r="336" ht="22.5" customHeight="1">
      <c r="A336" s="2">
        <v>335.0</v>
      </c>
      <c r="B336" s="3" t="s">
        <v>8851</v>
      </c>
      <c r="C336" s="3" t="s">
        <v>8797</v>
      </c>
      <c r="D336" s="3" t="s">
        <v>8505</v>
      </c>
      <c r="F336" s="5" t="str">
        <f>IFERROR(__xludf.DUMMYFUNCTION("GOOGLETRANSLATE(A336, ""en"", ""hi"")"),"335")</f>
        <v>335</v>
      </c>
      <c r="G336" s="5" t="str">
        <f>IFERROR(__xludf.DUMMYFUNCTION("GOOGLETRANSLATE(B336, ""en"", ""hi"")"),"खिलाड़ी B रानी को कवर करता है, लेकिन फिर अपनी एक गोटी पॉकेट में डाल देता है। इसके बाद क्या होता है?")</f>
        <v>खिलाड़ी B रानी को कवर करता है, लेकिन फिर अपनी एक गोटी पॉकेट में डाल देता है। इसके बाद क्या होता है?</v>
      </c>
      <c r="H336" s="5" t="str">
        <f>IFERROR(__xludf.DUMMYFUNCTION("GOOGLETRANSLATE(C336, ""en"", ""hi"")"),"A) खिलाड़ी B खेल जीत जाता है। , B) खिलाड़ी B रानी खो देता है। , C) खिलाड़ी B को एक मोहरा वापस करना होगा। , D) खिलाड़ी B खेलना जारी रखता है।")</f>
        <v>A) खिलाड़ी B खेल जीत जाता है। , B) खिलाड़ी B रानी खो देता है। , C) खिलाड़ी B को एक मोहरा वापस करना होगा। , D) खिलाड़ी B खेलना जारी रखता है।</v>
      </c>
      <c r="I336" s="5" t="str">
        <f>IFERROR(__xludf.DUMMYFUNCTION("GOOGLETRANSLATE(D336, ""en"", ""hi"")"),"B) खिलाड़ी B रानी खो देता है।")</f>
        <v>B) खिलाड़ी B रानी खो देता है।</v>
      </c>
    </row>
    <row r="337" ht="22.5" customHeight="1">
      <c r="A337" s="2">
        <v>336.0</v>
      </c>
      <c r="B337" s="3" t="s">
        <v>8852</v>
      </c>
      <c r="C337" s="3" t="s">
        <v>8795</v>
      </c>
      <c r="D337" s="3" t="s">
        <v>8707</v>
      </c>
      <c r="F337" s="5" t="str">
        <f>IFERROR(__xludf.DUMMYFUNCTION("GOOGLETRANSLATE(A337, ""en"", ""hi"")"),"336")</f>
        <v>336</v>
      </c>
      <c r="G337" s="5" t="str">
        <f>IFERROR(__xludf.DUMMYFUNCTION("GOOGLETRANSLATE(B337, ""en"", ""hi"")"),"खिलाड़ी A अलग-अलग बारी में अपनी सभी गोटियाँ और रानी को पॉकेट में डाल देता है, लेकिन रानी को कवर नहीं कर पाता। नतीजा क्या होता है?")</f>
        <v>खिलाड़ी A अलग-अलग बारी में अपनी सभी गोटियाँ और रानी को पॉकेट में डाल देता है, लेकिन रानी को कवर नहीं कर पाता। नतीजा क्या होता है?</v>
      </c>
      <c r="H337" s="5" t="str">
        <f>IFERROR(__xludf.DUMMYFUNCTION("GOOGLETRANSLATE(C337,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37" s="5" t="str">
        <f>IFERROR(__xludf.DUMMYFUNCTION("GOOGLETRANSLATE(D337, ""en"", ""hi"")"),"बी) जीतने से पहले खिलाड़ी ए को रानी को पॉकेट में डालना होगा।")</f>
        <v>बी) जीतने से पहले खिलाड़ी ए को रानी को पॉकेट में डालना होगा।</v>
      </c>
    </row>
    <row r="338" ht="22.5" customHeight="1">
      <c r="A338" s="2">
        <v>337.0</v>
      </c>
      <c r="B338" s="3" t="s">
        <v>8853</v>
      </c>
      <c r="C338" s="3" t="s">
        <v>8854</v>
      </c>
      <c r="D338" s="3" t="s">
        <v>8413</v>
      </c>
      <c r="F338" s="5" t="str">
        <f>IFERROR(__xludf.DUMMYFUNCTION("GOOGLETRANSLATE(A338, ""en"", ""hi"")"),"337")</f>
        <v>337</v>
      </c>
      <c r="G338" s="5" t="str">
        <f>IFERROR(__xludf.DUMMYFUNCTION("GOOGLETRANSLATE(B338, ""en"", ""hi"")"),"खिलाड़ी B अपनी आखिरी गोटी और फिर उसी बारी में रानी को भी जेब में डाल लेता है। क्या होता है?")</f>
        <v>खिलाड़ी B अपनी आखिरी गोटी और फिर उसी बारी में रानी को भी जेब में डाल लेता है। क्या होता है?</v>
      </c>
      <c r="H338" s="5" t="str">
        <f>IFERROR(__xludf.DUMMYFUNCTION("GOOGLETRANSLATE(C338, ""en"", ""hi"")"),"A) खिलाड़ी B खेल जीत जाता है। , B) खिलाड़ी B को एक मोहरा वापस करना होगा। , C) खिलाड़ी B को दो अंक का दंड दिया जाता है। , D) खिलाड़ी B को अपनी बारी पुनः खेलनी होगी।")</f>
        <v>A) खिलाड़ी B खेल जीत जाता है। , B) खिलाड़ी B को एक मोहरा वापस करना होगा। , C) खिलाड़ी B को दो अंक का दंड दिया जाता है। , D) खिलाड़ी B को अपनी बारी पुनः खेलनी होगी।</v>
      </c>
      <c r="I338" s="5" t="str">
        <f>IFERROR(__xludf.DUMMYFUNCTION("GOOGLETRANSLATE(D338, ""en"", ""hi"")"),"A) खिलाड़ी B खेल जीतता है।")</f>
        <v>A) खिलाड़ी B खेल जीतता है।</v>
      </c>
    </row>
    <row r="339" ht="22.5" customHeight="1">
      <c r="A339" s="2">
        <v>338.0</v>
      </c>
      <c r="B339" s="3" t="s">
        <v>8855</v>
      </c>
      <c r="C339" s="3" t="s">
        <v>8791</v>
      </c>
      <c r="D339" s="3" t="s">
        <v>8519</v>
      </c>
      <c r="F339" s="5" t="str">
        <f>IFERROR(__xludf.DUMMYFUNCTION("GOOGLETRANSLATE(A339, ""en"", ""hi"")"),"338")</f>
        <v>338</v>
      </c>
      <c r="G339" s="5" t="str">
        <f>IFERROR(__xludf.DUMMYFUNCTION("GOOGLETRANSLATE(B339, ""en"", ""hi"")"),"खिलाड़ी A क्वीन को कवर करता है लेकिन गलती से स्ट्राइकर को पॉकेट में डाल देता है। नतीजा क्या होता है?")</f>
        <v>खिलाड़ी A क्वीन को कवर करता है लेकिन गलती से स्ट्राइकर को पॉकेट में डाल देता है। नतीजा क्या होता है?</v>
      </c>
      <c r="H339" s="5" t="str">
        <f>IFERROR(__xludf.DUMMYFUNCTION("GOOGLETRANSLATE(C339,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339" s="5" t="str">
        <f>IFERROR(__xludf.DUMMYFUNCTION("GOOGLETRANSLATE(D339, ""en"", ""hi"")"),"बी) खिलाड़ी ए रानी खो देता है।")</f>
        <v>बी) खिलाड़ी ए रानी खो देता है।</v>
      </c>
    </row>
    <row r="340" ht="22.5" customHeight="1">
      <c r="A340" s="2">
        <v>339.0</v>
      </c>
      <c r="B340" s="3" t="s">
        <v>8856</v>
      </c>
      <c r="C340" s="3" t="s">
        <v>8804</v>
      </c>
      <c r="D340" s="3" t="s">
        <v>8643</v>
      </c>
      <c r="F340" s="5" t="str">
        <f>IFERROR(__xludf.DUMMYFUNCTION("GOOGLETRANSLATE(A340, ""en"", ""hi"")"),"339")</f>
        <v>339</v>
      </c>
      <c r="G340" s="5" t="str">
        <f>IFERROR(__xludf.DUMMYFUNCTION("GOOGLETRANSLATE(B340, ""en"", ""hi"")"),"खिलाड़ी B रानी को पॉकेट में डालता है, लेकिन उसे कवर नहीं कर पाता। नियम क्या है?")</f>
        <v>खिलाड़ी B रानी को पॉकेट में डालता है, लेकिन उसे कवर नहीं कर पाता। नियम क्या है?</v>
      </c>
      <c r="H340" s="5" t="str">
        <f>IFERROR(__xludf.DUMMYFUNCTION("GOOGLETRANSLATE(C340,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340" s="5" t="str">
        <f>IFERROR(__xludf.DUMMYFUNCTION("GOOGLETRANSLATE(D340, ""en"", ""hi"")"),"बी) रानी को केंद्र में वापस लाया जाता है।")</f>
        <v>बी) रानी को केंद्र में वापस लाया जाता है।</v>
      </c>
    </row>
    <row r="341" ht="22.5" customHeight="1">
      <c r="A341" s="2">
        <v>340.0</v>
      </c>
      <c r="B341" s="3" t="s">
        <v>8805</v>
      </c>
      <c r="C341" s="3" t="s">
        <v>8766</v>
      </c>
      <c r="D341" s="3" t="s">
        <v>8707</v>
      </c>
      <c r="F341" s="5" t="str">
        <f>IFERROR(__xludf.DUMMYFUNCTION("GOOGLETRANSLATE(A341, ""en"", ""hi"")"),"340")</f>
        <v>340</v>
      </c>
      <c r="G341" s="5" t="str">
        <f>IFERROR(__xludf.DUMMYFUNCTION("GOOGLETRANSLATE(B341, ""en"", ""hi"")"),"खिलाड़ी A अपनी आखिरी गोटी जेब में डाल लेता है, लेकिन रानी जेब में नहीं जाती। नियम क्या है?")</f>
        <v>खिलाड़ी A अपनी आखिरी गोटी जेब में डाल लेता है, लेकिन रानी जेब में नहीं जाती। नियम क्या है?</v>
      </c>
      <c r="H341" s="5" t="str">
        <f>IFERROR(__xludf.DUMMYFUNCTION("GOOGLETRANSLATE(C341,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341" s="5" t="str">
        <f>IFERROR(__xludf.DUMMYFUNCTION("GOOGLETRANSLATE(D341, ""en"", ""hi"")"),"बी) जीतने से पहले खिलाड़ी ए को रानी को पॉकेट में डालना होगा।")</f>
        <v>बी) जीतने से पहले खिलाड़ी ए को रानी को पॉकेट में डालना होगा।</v>
      </c>
    </row>
    <row r="342" ht="22.5" customHeight="1">
      <c r="A342" s="2">
        <v>341.0</v>
      </c>
      <c r="B342" s="3" t="s">
        <v>8770</v>
      </c>
      <c r="C342" s="3" t="s">
        <v>8836</v>
      </c>
      <c r="D342" s="3" t="s">
        <v>8505</v>
      </c>
      <c r="F342" s="5" t="str">
        <f>IFERROR(__xludf.DUMMYFUNCTION("GOOGLETRANSLATE(A342, ""en"", ""hi"")"),"341")</f>
        <v>341</v>
      </c>
      <c r="G342" s="5" t="str">
        <f>IFERROR(__xludf.DUMMYFUNCTION("GOOGLETRANSLATE(B342,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342" s="5" t="str">
        <f>IFERROR(__xludf.DUMMYFUNCTION("GOOGLETRANSLATE(C342,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342" s="5" t="str">
        <f>IFERROR(__xludf.DUMMYFUNCTION("GOOGLETRANSLATE(D342, ""en"", ""hi"")"),"B) खिलाड़ी B रानी खो देता है।")</f>
        <v>B) खिलाड़ी B रानी खो देता है।</v>
      </c>
    </row>
    <row r="343" ht="22.5" customHeight="1">
      <c r="A343" s="2">
        <v>342.0</v>
      </c>
      <c r="B343" s="3" t="s">
        <v>8837</v>
      </c>
      <c r="C343" s="3" t="s">
        <v>8795</v>
      </c>
      <c r="D343" s="3" t="s">
        <v>8707</v>
      </c>
      <c r="F343" s="5" t="str">
        <f>IFERROR(__xludf.DUMMYFUNCTION("GOOGLETRANSLATE(A343, ""en"", ""hi"")"),"342")</f>
        <v>342</v>
      </c>
      <c r="G343" s="5" t="str">
        <f>IFERROR(__xludf.DUMMYFUNCTION("GOOGLETRANSLATE(B343, ""en"", ""hi"")"),"खिलाड़ी A रानी और उसके सभी मोहरों को पॉकेट में डाल देता है, लेकिन रानी को कवर नहीं कर पाता। नतीजा क्या होता है?")</f>
        <v>खिलाड़ी A रानी और उसके सभी मोहरों को पॉकेट में डाल देता है, लेकिन रानी को कवर नहीं कर पाता। नतीजा क्या होता है?</v>
      </c>
      <c r="H343" s="5" t="str">
        <f>IFERROR(__xludf.DUMMYFUNCTION("GOOGLETRANSLATE(C343,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43" s="5" t="str">
        <f>IFERROR(__xludf.DUMMYFUNCTION("GOOGLETRANSLATE(D343, ""en"", ""hi"")"),"बी) जीतने से पहले खिलाड़ी ए को रानी को पॉकेट में डालना होगा।")</f>
        <v>बी) जीतने से पहले खिलाड़ी ए को रानी को पॉकेट में डालना होगा।</v>
      </c>
    </row>
    <row r="344" ht="22.5" customHeight="1">
      <c r="A344" s="2">
        <v>343.0</v>
      </c>
      <c r="B344" s="3" t="s">
        <v>8808</v>
      </c>
      <c r="C344" s="3" t="s">
        <v>8809</v>
      </c>
      <c r="D344" s="3" t="s">
        <v>8413</v>
      </c>
      <c r="F344" s="5" t="str">
        <f>IFERROR(__xludf.DUMMYFUNCTION("GOOGLETRANSLATE(A344, ""en"", ""hi"")"),"343")</f>
        <v>343</v>
      </c>
      <c r="G344" s="5" t="str">
        <f>IFERROR(__xludf.DUMMYFUNCTION("GOOGLETRANSLATE(B344, ""en"", ""hi"")"),"खिलाड़ी B अपनी आखिरी गोटी सफलतापूर्वक पॉकेट में डाल देता है और रानी को कवर कर लेता है। अब क्या होता है?")</f>
        <v>खिलाड़ी B अपनी आखिरी गोटी सफलतापूर्वक पॉकेट में डाल देता है और रानी को कवर कर लेता है। अब क्या होता है?</v>
      </c>
      <c r="H344" s="5" t="str">
        <f>IFERROR(__xludf.DUMMYFUNCTION("GOOGLETRANSLATE(C344, ""en"", ""hi"")"),"A) खिलाड़ी B खेल जीत जाता है। , B) खिलाड़ी B को एक मोहरा वापस करना होगा। , C) खिलाड़ी B को एक अंक का दंड दिया जाता है। , D) खिलाड़ी B खेलना जारी रखता है।")</f>
        <v>A) खिलाड़ी B खेल जीत जाता है। , B) खिलाड़ी B को एक मोहरा वापस करना होगा। , C) खिलाड़ी B को एक अंक का दंड दिया जाता है। , D) खिलाड़ी B खेलना जारी रखता है।</v>
      </c>
      <c r="I344" s="5" t="str">
        <f>IFERROR(__xludf.DUMMYFUNCTION("GOOGLETRANSLATE(D344, ""en"", ""hi"")"),"A) खिलाड़ी B खेल जीतता है।")</f>
        <v>A) खिलाड़ी B खेल जीतता है।</v>
      </c>
    </row>
    <row r="345" ht="22.5" customHeight="1">
      <c r="A345" s="2">
        <v>344.0</v>
      </c>
      <c r="B345" s="3" t="s">
        <v>8857</v>
      </c>
      <c r="C345" s="3" t="s">
        <v>8822</v>
      </c>
      <c r="D345" s="3" t="s">
        <v>8823</v>
      </c>
      <c r="F345" s="5" t="str">
        <f>IFERROR(__xludf.DUMMYFUNCTION("GOOGLETRANSLATE(A345, ""en"", ""hi"")"),"344")</f>
        <v>344</v>
      </c>
      <c r="G345" s="5" t="str">
        <f>IFERROR(__xludf.DUMMYFUNCTION("GOOGLETRANSLATE(B345, ""en"", ""hi"")"),"खिलाड़ी A एक मोहरा और फिर रानी को पॉकेट में डालता है, लेकिन अगली बारी में रानी को कवर नहीं कर पाता। नियम क्या है?")</f>
        <v>खिलाड़ी A एक मोहरा और फिर रानी को पॉकेट में डालता है, लेकिन अगली बारी में रानी को कवर नहीं कर पाता। नियम क्या है?</v>
      </c>
      <c r="H345" s="5" t="str">
        <f>IFERROR(__xludf.DUMMYFUNCTION("GOOGLETRANSLATE(C345,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45" s="5" t="str">
        <f>IFERROR(__xludf.DUMMYFUNCTION("GOOGLETRANSLATE(D345, ""en"", ""hi"")"),"C) खिलाड़ी A रानी खो देता है।")</f>
        <v>C) खिलाड़ी A रानी खो देता है।</v>
      </c>
    </row>
    <row r="346" ht="22.5" customHeight="1">
      <c r="A346" s="2">
        <v>345.0</v>
      </c>
      <c r="B346" s="3" t="s">
        <v>8839</v>
      </c>
      <c r="C346" s="3" t="s">
        <v>8840</v>
      </c>
      <c r="D346" s="3" t="s">
        <v>8505</v>
      </c>
      <c r="F346" s="5" t="str">
        <f>IFERROR(__xludf.DUMMYFUNCTION("GOOGLETRANSLATE(A346, ""en"", ""hi"")"),"345")</f>
        <v>345</v>
      </c>
      <c r="G346" s="5" t="str">
        <f>IFERROR(__xludf.DUMMYFUNCTION("GOOGLETRANSLATE(B346, ""en"", ""hi"")"),"खिलाड़ी B अपनी आखिरी गोटी पॉकेट में डाल देता है, लेकिन गलती से उसी बारी में रानी भी पॉकेट में डाल देता है। नतीजा क्या होता है?")</f>
        <v>खिलाड़ी B अपनी आखिरी गोटी पॉकेट में डाल देता है, लेकिन गलती से उसी बारी में रानी भी पॉकेट में डाल देता है। नतीजा क्या होता है?</v>
      </c>
      <c r="H346" s="5" t="str">
        <f>IFERROR(__xludf.DUMMYFUNCTION("GOOGLETRANSLATE(C346, ""en"", ""hi"")"),"A) खिलाड़ी B खेल जीत जाता है। , B) खिलाड़ी B रानी खो देता है। , C) खिलाड़ी B को एक मोहरा वापस करना होगा। , D) खिलाड़ी B को दो अंक का दंड दिया जाता है।")</f>
        <v>A) खिलाड़ी B खेल जीत जाता है। , B) खिलाड़ी B रानी खो देता है। , C) खिलाड़ी B को एक मोहरा वापस करना होगा। , D) खिलाड़ी B को दो अंक का दंड दिया जाता है।</v>
      </c>
      <c r="I346" s="5" t="str">
        <f>IFERROR(__xludf.DUMMYFUNCTION("GOOGLETRANSLATE(D346, ""en"", ""hi"")"),"B) खिलाड़ी B रानी खो देता है।")</f>
        <v>B) खिलाड़ी B रानी खो देता है।</v>
      </c>
    </row>
    <row r="347" ht="22.5" customHeight="1">
      <c r="A347" s="2">
        <v>346.0</v>
      </c>
      <c r="B347" s="3" t="s">
        <v>8841</v>
      </c>
      <c r="C347" s="3" t="s">
        <v>8822</v>
      </c>
      <c r="D347" s="3" t="s">
        <v>8823</v>
      </c>
      <c r="F347" s="5" t="str">
        <f>IFERROR(__xludf.DUMMYFUNCTION("GOOGLETRANSLATE(A347, ""en"", ""hi"")"),"346")</f>
        <v>346</v>
      </c>
      <c r="G347" s="5" t="str">
        <f>IFERROR(__xludf.DUMMYFUNCTION("GOOGLETRANSLATE(B347, ""en"", ""hi"")"),"खिलाड़ी A रानी को पॉकेट में डालता है, लेकिन उसे कवर करने से चूक जाता है। नियम क्या है?")</f>
        <v>खिलाड़ी A रानी को पॉकेट में डालता है, लेकिन उसे कवर करने से चूक जाता है। नियम क्या है?</v>
      </c>
      <c r="H347" s="5" t="str">
        <f>IFERROR(__xludf.DUMMYFUNCTION("GOOGLETRANSLATE(C347,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47" s="5" t="str">
        <f>IFERROR(__xludf.DUMMYFUNCTION("GOOGLETRANSLATE(D347, ""en"", ""hi"")"),"C) खिलाड़ी A रानी खो देता है।")</f>
        <v>C) खिलाड़ी A रानी खो देता है।</v>
      </c>
    </row>
    <row r="348" ht="22.5" customHeight="1">
      <c r="A348" s="2">
        <v>347.0</v>
      </c>
      <c r="B348" s="3" t="s">
        <v>8842</v>
      </c>
      <c r="C348" s="3" t="s">
        <v>8789</v>
      </c>
      <c r="D348" s="3" t="s">
        <v>8702</v>
      </c>
      <c r="F348" s="5" t="str">
        <f>IFERROR(__xludf.DUMMYFUNCTION("GOOGLETRANSLATE(A348, ""en"", ""hi"")"),"347")</f>
        <v>347</v>
      </c>
      <c r="G348" s="5" t="str">
        <f>IFERROR(__xludf.DUMMYFUNCTION("GOOGLETRANSLATE(B348, ""en"", ""hi"")"),"खिलाड़ी B अपने सभी मोहरे पॉकेट में डाल देता है, लेकिन रानी को कवर नहीं कर पाता। नियम क्या है?")</f>
        <v>खिलाड़ी B अपने सभी मोहरे पॉकेट में डाल देता है, लेकिन रानी को कवर नहीं कर पाता। नियम क्या है?</v>
      </c>
      <c r="H348" s="5" t="str">
        <f>IFERROR(__xludf.DUMMYFUNCTION("GOOGLETRANSLATE(C348, ""en"", ""hi"")"),"A) खिलाड़ी B खेल जीत जाता है। , B) खिलाड़ी B को जीतने से पहले रानी को पॉकेट में डालना होगा। , C) खिलाड़ी B को एक अंक का दंड दिया जाता है। , D) खिलाड़ी B अपनी बारी खो देता है।")</f>
        <v>A) खिलाड़ी B खेल जीत जाता है। , B) खिलाड़ी B को जीतने से पहले रानी को पॉकेट में डालना होगा। , C) खिलाड़ी B को एक अंक का दंड दिया जाता है। , D) खिलाड़ी B अपनी बारी खो देता है।</v>
      </c>
      <c r="I348" s="5" t="str">
        <f>IFERROR(__xludf.DUMMYFUNCTION("GOOGLETRANSLATE(D348, ""en"", ""hi"")"),"बी) खिलाड़ी बी को जीतने से पहले रानी को पॉकेट में डालना होगा।")</f>
        <v>बी) खिलाड़ी बी को जीतने से पहले रानी को पॉकेट में डालना होगा।</v>
      </c>
    </row>
    <row r="349" ht="22.5" customHeight="1">
      <c r="A349" s="2">
        <v>348.0</v>
      </c>
      <c r="B349" s="3" t="s">
        <v>8843</v>
      </c>
      <c r="C349" s="3" t="s">
        <v>8803</v>
      </c>
      <c r="D349" s="3" t="s">
        <v>8519</v>
      </c>
      <c r="F349" s="5" t="str">
        <f>IFERROR(__xludf.DUMMYFUNCTION("GOOGLETRANSLATE(A349, ""en"", ""hi"")"),"348")</f>
        <v>348</v>
      </c>
      <c r="G349" s="5" t="str">
        <f>IFERROR(__xludf.DUMMYFUNCTION("GOOGLETRANSLATE(B349, ""en"", ""hi"")"),"खिलाड़ी A रानी को सफलतापूर्वक कवर करता है, लेकिन फिर गलती से स्ट्राइकर को पॉकेट में डाल देता है। क्या होता है?")</f>
        <v>खिलाड़ी A रानी को सफलतापूर्वक कवर करता है, लेकिन फिर गलती से स्ट्राइकर को पॉकेट में डाल देता है। क्या होता है?</v>
      </c>
      <c r="H349" s="5" t="str">
        <f>IFERROR(__xludf.DUMMYFUNCTION("GOOGLETRANSLATE(C349,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349" s="5" t="str">
        <f>IFERROR(__xludf.DUMMYFUNCTION("GOOGLETRANSLATE(D349, ""en"", ""hi"")"),"बी) खिलाड़ी ए रानी खो देता है।")</f>
        <v>बी) खिलाड़ी ए रानी खो देता है।</v>
      </c>
    </row>
    <row r="350" ht="22.5" customHeight="1">
      <c r="A350" s="2">
        <v>349.0</v>
      </c>
      <c r="B350" s="3" t="s">
        <v>8844</v>
      </c>
      <c r="C350" s="3" t="s">
        <v>8845</v>
      </c>
      <c r="D350" s="3" t="s">
        <v>8505</v>
      </c>
      <c r="F350" s="5" t="str">
        <f>IFERROR(__xludf.DUMMYFUNCTION("GOOGLETRANSLATE(A350, ""en"", ""hi"")"),"349")</f>
        <v>349</v>
      </c>
      <c r="G350" s="5" t="str">
        <f>IFERROR(__xludf.DUMMYFUNCTION("GOOGLETRANSLATE(B350, ""en"", ""hi"")"),"खिलाड़ी B रानी को कवर करता है और फिर प्रतिद्वंद्वी के मोहरे को पॉकेट में डाल देता है। परिणाम क्या होता है?")</f>
        <v>खिलाड़ी B रानी को कवर करता है और फिर प्रतिद्वंद्वी के मोहरे को पॉकेट में डाल देता है। परिणाम क्या होता है?</v>
      </c>
      <c r="H350" s="5" t="str">
        <f>IFERROR(__xludf.DUMMYFUNCTION("GOOGLETRANSLATE(C350, ""en"", ""hi"")"),"A) खिलाड़ी B खेल जीतता है। , B) खिलाड़ी B रानी खो देता है। , C) खिलाड़ी B को प्रतिद्वंद्वी का मोहरा वापस करना होगा। , D) खिलाड़ी B खेलना जारी रखता है।")</f>
        <v>A) खिलाड़ी B खेल जीतता है। , B) खिलाड़ी B रानी खो देता है। , C) खिलाड़ी B को प्रतिद्वंद्वी का मोहरा वापस करना होगा। , D) खिलाड़ी B खेलना जारी रखता है।</v>
      </c>
      <c r="I350" s="5" t="str">
        <f>IFERROR(__xludf.DUMMYFUNCTION("GOOGLETRANSLATE(D350, ""en"", ""hi"")"),"B) खिलाड़ी B रानी खो देता है।")</f>
        <v>B) खिलाड़ी B रानी खो देता है।</v>
      </c>
    </row>
    <row r="351" ht="22.5" customHeight="1">
      <c r="A351" s="2">
        <v>350.0</v>
      </c>
      <c r="B351" s="3" t="s">
        <v>8852</v>
      </c>
      <c r="C351" s="3" t="s">
        <v>8795</v>
      </c>
      <c r="D351" s="3" t="s">
        <v>8707</v>
      </c>
      <c r="F351" s="5" t="str">
        <f>IFERROR(__xludf.DUMMYFUNCTION("GOOGLETRANSLATE(A351, ""en"", ""hi"")"),"350")</f>
        <v>350</v>
      </c>
      <c r="G351" s="5" t="str">
        <f>IFERROR(__xludf.DUMMYFUNCTION("GOOGLETRANSLATE(B351, ""en"", ""hi"")"),"खिलाड़ी A अलग-अलग बारी में अपनी सभी गोटियाँ और रानी को पॉकेट में डाल देता है, लेकिन रानी को कवर नहीं कर पाता। नतीजा क्या होता है?")</f>
        <v>खिलाड़ी A अलग-अलग बारी में अपनी सभी गोटियाँ और रानी को पॉकेट में डाल देता है, लेकिन रानी को कवर नहीं कर पाता। नतीजा क्या होता है?</v>
      </c>
      <c r="H351" s="5" t="str">
        <f>IFERROR(__xludf.DUMMYFUNCTION("GOOGLETRANSLATE(C351,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51" s="5" t="str">
        <f>IFERROR(__xludf.DUMMYFUNCTION("GOOGLETRANSLATE(D351, ""en"", ""hi"")"),"बी) जीतने से पहले खिलाड़ी ए को रानी को पॉकेट में डालना होगा।")</f>
        <v>बी) जीतने से पहले खिलाड़ी ए को रानी को पॉकेट में डालना होगा।</v>
      </c>
    </row>
    <row r="352" ht="22.5" customHeight="1">
      <c r="A352" s="2">
        <v>351.0</v>
      </c>
      <c r="B352" s="3" t="s">
        <v>8853</v>
      </c>
      <c r="C352" s="3" t="s">
        <v>8854</v>
      </c>
      <c r="D352" s="3" t="s">
        <v>8413</v>
      </c>
      <c r="F352" s="5" t="str">
        <f>IFERROR(__xludf.DUMMYFUNCTION("GOOGLETRANSLATE(A352, ""en"", ""hi"")"),"351")</f>
        <v>351</v>
      </c>
      <c r="G352" s="5" t="str">
        <f>IFERROR(__xludf.DUMMYFUNCTION("GOOGLETRANSLATE(B352, ""en"", ""hi"")"),"खिलाड़ी B अपनी आखिरी गोटी और फिर उसी बारी में रानी को भी जेब में डाल लेता है। क्या होता है?")</f>
        <v>खिलाड़ी B अपनी आखिरी गोटी और फिर उसी बारी में रानी को भी जेब में डाल लेता है। क्या होता है?</v>
      </c>
      <c r="H352" s="5" t="str">
        <f>IFERROR(__xludf.DUMMYFUNCTION("GOOGLETRANSLATE(C352, ""en"", ""hi"")"),"A) खिलाड़ी B खेल जीत जाता है। , B) खिलाड़ी B को एक मोहरा वापस करना होगा। , C) खिलाड़ी B को दो अंक का दंड दिया जाता है। , D) खिलाड़ी B को अपनी बारी पुनः खेलनी होगी।")</f>
        <v>A) खिलाड़ी B खेल जीत जाता है। , B) खिलाड़ी B को एक मोहरा वापस करना होगा। , C) खिलाड़ी B को दो अंक का दंड दिया जाता है। , D) खिलाड़ी B को अपनी बारी पुनः खेलनी होगी।</v>
      </c>
      <c r="I352" s="5" t="str">
        <f>IFERROR(__xludf.DUMMYFUNCTION("GOOGLETRANSLATE(D352, ""en"", ""hi"")"),"A) खिलाड़ी B खेल जीतता है।")</f>
        <v>A) खिलाड़ी B खेल जीतता है।</v>
      </c>
    </row>
    <row r="353" ht="22.5" customHeight="1">
      <c r="A353" s="2">
        <v>352.0</v>
      </c>
      <c r="B353" s="3" t="s">
        <v>8855</v>
      </c>
      <c r="C353" s="3" t="s">
        <v>8791</v>
      </c>
      <c r="D353" s="3" t="s">
        <v>8519</v>
      </c>
      <c r="F353" s="5" t="str">
        <f>IFERROR(__xludf.DUMMYFUNCTION("GOOGLETRANSLATE(A353, ""en"", ""hi"")"),"352")</f>
        <v>352</v>
      </c>
      <c r="G353" s="5" t="str">
        <f>IFERROR(__xludf.DUMMYFUNCTION("GOOGLETRANSLATE(B353, ""en"", ""hi"")"),"खिलाड़ी A क्वीन को कवर करता है लेकिन गलती से स्ट्राइकर को पॉकेट में डाल देता है। नतीजा क्या होता है?")</f>
        <v>खिलाड़ी A क्वीन को कवर करता है लेकिन गलती से स्ट्राइकर को पॉकेट में डाल देता है। नतीजा क्या होता है?</v>
      </c>
      <c r="H353" s="5" t="str">
        <f>IFERROR(__xludf.DUMMYFUNCTION("GOOGLETRANSLATE(C353,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353" s="5" t="str">
        <f>IFERROR(__xludf.DUMMYFUNCTION("GOOGLETRANSLATE(D353, ""en"", ""hi"")"),"बी) खिलाड़ी ए रानी खो देता है।")</f>
        <v>बी) खिलाड़ी ए रानी खो देता है।</v>
      </c>
    </row>
    <row r="354" ht="22.5" customHeight="1">
      <c r="A354" s="2">
        <v>353.0</v>
      </c>
      <c r="B354" s="3" t="s">
        <v>8856</v>
      </c>
      <c r="C354" s="3" t="s">
        <v>8804</v>
      </c>
      <c r="D354" s="3" t="s">
        <v>8643</v>
      </c>
      <c r="F354" s="5" t="str">
        <f>IFERROR(__xludf.DUMMYFUNCTION("GOOGLETRANSLATE(A354, ""en"", ""hi"")"),"353")</f>
        <v>353</v>
      </c>
      <c r="G354" s="5" t="str">
        <f>IFERROR(__xludf.DUMMYFUNCTION("GOOGLETRANSLATE(B354, ""en"", ""hi"")"),"खिलाड़ी B रानी को पॉकेट में डालता है, लेकिन उसे कवर नहीं कर पाता। नियम क्या है?")</f>
        <v>खिलाड़ी B रानी को पॉकेट में डालता है, लेकिन उसे कवर नहीं कर पाता। नियम क्या है?</v>
      </c>
      <c r="H354" s="5" t="str">
        <f>IFERROR(__xludf.DUMMYFUNCTION("GOOGLETRANSLATE(C354,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354" s="5" t="str">
        <f>IFERROR(__xludf.DUMMYFUNCTION("GOOGLETRANSLATE(D354, ""en"", ""hi"")"),"बी) रानी को केंद्र में वापस लाया जाता है।")</f>
        <v>बी) रानी को केंद्र में वापस लाया जाता है।</v>
      </c>
    </row>
    <row r="355" ht="22.5" customHeight="1">
      <c r="A355" s="2">
        <v>354.0</v>
      </c>
      <c r="B355" s="3" t="s">
        <v>8850</v>
      </c>
      <c r="C355" s="3" t="s">
        <v>8766</v>
      </c>
      <c r="D355" s="3" t="s">
        <v>8707</v>
      </c>
      <c r="F355" s="5" t="str">
        <f>IFERROR(__xludf.DUMMYFUNCTION("GOOGLETRANSLATE(A355, ""en"", ""hi"")"),"354")</f>
        <v>354</v>
      </c>
      <c r="G355" s="5" t="str">
        <f>IFERROR(__xludf.DUMMYFUNCTION("GOOGLETRANSLATE(B355, ""en"", ""hi"")"),"खिलाड़ी A अपनी आखिरी गोटी जेब में डाल लेता है, लेकिन रानी जेब में नहीं जाती। नतीजा क्या होता है?")</f>
        <v>खिलाड़ी A अपनी आखिरी गोटी जेब में डाल लेता है, लेकिन रानी जेब में नहीं जाती। नतीजा क्या होता है?</v>
      </c>
      <c r="H355" s="5" t="str">
        <f>IFERROR(__xludf.DUMMYFUNCTION("GOOGLETRANSLATE(C355,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355" s="5" t="str">
        <f>IFERROR(__xludf.DUMMYFUNCTION("GOOGLETRANSLATE(D355, ""en"", ""hi"")"),"बी) जीतने से पहले खिलाड़ी ए को रानी को पॉकेट में डालना होगा।")</f>
        <v>बी) जीतने से पहले खिलाड़ी ए को रानी को पॉकेट में डालना होगा।</v>
      </c>
    </row>
    <row r="356" ht="22.5" customHeight="1">
      <c r="A356" s="2">
        <v>355.0</v>
      </c>
      <c r="B356" s="3" t="s">
        <v>8770</v>
      </c>
      <c r="C356" s="3" t="s">
        <v>8836</v>
      </c>
      <c r="D356" s="3" t="s">
        <v>8505</v>
      </c>
      <c r="F356" s="5" t="str">
        <f>IFERROR(__xludf.DUMMYFUNCTION("GOOGLETRANSLATE(A356, ""en"", ""hi"")"),"355")</f>
        <v>355</v>
      </c>
      <c r="G356" s="5" t="str">
        <f>IFERROR(__xludf.DUMMYFUNCTION("GOOGLETRANSLATE(B356,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356" s="5" t="str">
        <f>IFERROR(__xludf.DUMMYFUNCTION("GOOGLETRANSLATE(C356,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356" s="5" t="str">
        <f>IFERROR(__xludf.DUMMYFUNCTION("GOOGLETRANSLATE(D356, ""en"", ""hi"")"),"B) खिलाड़ी B रानी खो देता है।")</f>
        <v>B) खिलाड़ी B रानी खो देता है।</v>
      </c>
    </row>
    <row r="357" ht="22.5" customHeight="1">
      <c r="A357" s="2">
        <v>356.0</v>
      </c>
      <c r="B357" s="3" t="s">
        <v>8837</v>
      </c>
      <c r="C357" s="3" t="s">
        <v>8795</v>
      </c>
      <c r="D357" s="3" t="s">
        <v>8707</v>
      </c>
      <c r="F357" s="5" t="str">
        <f>IFERROR(__xludf.DUMMYFUNCTION("GOOGLETRANSLATE(A357, ""en"", ""hi"")"),"356")</f>
        <v>356</v>
      </c>
      <c r="G357" s="5" t="str">
        <f>IFERROR(__xludf.DUMMYFUNCTION("GOOGLETRANSLATE(B357, ""en"", ""hi"")"),"खिलाड़ी A रानी और उसके सभी मोहरों को पॉकेट में डाल देता है, लेकिन रानी को कवर नहीं कर पाता। नतीजा क्या होता है?")</f>
        <v>खिलाड़ी A रानी और उसके सभी मोहरों को पॉकेट में डाल देता है, लेकिन रानी को कवर नहीं कर पाता। नतीजा क्या होता है?</v>
      </c>
      <c r="H357" s="5" t="str">
        <f>IFERROR(__xludf.DUMMYFUNCTION("GOOGLETRANSLATE(C357,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57" s="5" t="str">
        <f>IFERROR(__xludf.DUMMYFUNCTION("GOOGLETRANSLATE(D357, ""en"", ""hi"")"),"बी) जीतने से पहले खिलाड़ी ए को रानी को पॉकेट में डालना होगा।")</f>
        <v>बी) जीतने से पहले खिलाड़ी ए को रानी को पॉकेट में डालना होगा।</v>
      </c>
    </row>
    <row r="358" ht="22.5" customHeight="1">
      <c r="A358" s="2">
        <v>357.0</v>
      </c>
      <c r="B358" s="3" t="s">
        <v>8808</v>
      </c>
      <c r="C358" s="3" t="s">
        <v>8809</v>
      </c>
      <c r="D358" s="3" t="s">
        <v>8413</v>
      </c>
      <c r="F358" s="5" t="str">
        <f>IFERROR(__xludf.DUMMYFUNCTION("GOOGLETRANSLATE(A358, ""en"", ""hi"")"),"357")</f>
        <v>357</v>
      </c>
      <c r="G358" s="5" t="str">
        <f>IFERROR(__xludf.DUMMYFUNCTION("GOOGLETRANSLATE(B358, ""en"", ""hi"")"),"खिलाड़ी B अपनी आखिरी गोटी सफलतापूर्वक पॉकेट में डाल देता है और रानी को कवर कर लेता है। अब क्या होता है?")</f>
        <v>खिलाड़ी B अपनी आखिरी गोटी सफलतापूर्वक पॉकेट में डाल देता है और रानी को कवर कर लेता है। अब क्या होता है?</v>
      </c>
      <c r="H358" s="5" t="str">
        <f>IFERROR(__xludf.DUMMYFUNCTION("GOOGLETRANSLATE(C358, ""en"", ""hi"")"),"A) खिलाड़ी B खेल जीत जाता है। , B) खिलाड़ी B को एक मोहरा वापस करना होगा। , C) खिलाड़ी B को एक अंक का दंड दिया जाता है। , D) खिलाड़ी B खेलना जारी रखता है।")</f>
        <v>A) खिलाड़ी B खेल जीत जाता है। , B) खिलाड़ी B को एक मोहरा वापस करना होगा। , C) खिलाड़ी B को एक अंक का दंड दिया जाता है। , D) खिलाड़ी B खेलना जारी रखता है।</v>
      </c>
      <c r="I358" s="5" t="str">
        <f>IFERROR(__xludf.DUMMYFUNCTION("GOOGLETRANSLATE(D358, ""en"", ""hi"")"),"A) खिलाड़ी B खेल जीतता है।")</f>
        <v>A) खिलाड़ी B खेल जीतता है।</v>
      </c>
    </row>
    <row r="359" ht="22.5" customHeight="1">
      <c r="A359" s="2">
        <v>358.0</v>
      </c>
      <c r="B359" s="3" t="s">
        <v>8857</v>
      </c>
      <c r="C359" s="3" t="s">
        <v>8822</v>
      </c>
      <c r="D359" s="3" t="s">
        <v>8823</v>
      </c>
      <c r="F359" s="5" t="str">
        <f>IFERROR(__xludf.DUMMYFUNCTION("GOOGLETRANSLATE(A359, ""en"", ""hi"")"),"358")</f>
        <v>358</v>
      </c>
      <c r="G359" s="5" t="str">
        <f>IFERROR(__xludf.DUMMYFUNCTION("GOOGLETRANSLATE(B359, ""en"", ""hi"")"),"खिलाड़ी A एक मोहरा और फिर रानी को पॉकेट में डालता है, लेकिन अगली बारी में रानी को कवर नहीं कर पाता। नियम क्या है?")</f>
        <v>खिलाड़ी A एक मोहरा और फिर रानी को पॉकेट में डालता है, लेकिन अगली बारी में रानी को कवर नहीं कर पाता। नियम क्या है?</v>
      </c>
      <c r="H359" s="5" t="str">
        <f>IFERROR(__xludf.DUMMYFUNCTION("GOOGLETRANSLATE(C359,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59" s="5" t="str">
        <f>IFERROR(__xludf.DUMMYFUNCTION("GOOGLETRANSLATE(D359, ""en"", ""hi"")"),"C) खिलाड़ी A रानी खो देता है।")</f>
        <v>C) खिलाड़ी A रानी खो देता है।</v>
      </c>
    </row>
    <row r="360" ht="22.5" customHeight="1">
      <c r="A360" s="2">
        <v>359.0</v>
      </c>
      <c r="B360" s="3" t="s">
        <v>8839</v>
      </c>
      <c r="C360" s="3" t="s">
        <v>8840</v>
      </c>
      <c r="D360" s="3" t="s">
        <v>8505</v>
      </c>
      <c r="F360" s="5" t="str">
        <f>IFERROR(__xludf.DUMMYFUNCTION("GOOGLETRANSLATE(A360, ""en"", ""hi"")"),"359")</f>
        <v>359</v>
      </c>
      <c r="G360" s="5" t="str">
        <f>IFERROR(__xludf.DUMMYFUNCTION("GOOGLETRANSLATE(B360, ""en"", ""hi"")"),"खिलाड़ी B अपनी आखिरी गोटी पॉकेट में डाल देता है, लेकिन गलती से उसी बारी में रानी भी पॉकेट में डाल देता है। नतीजा क्या होता है?")</f>
        <v>खिलाड़ी B अपनी आखिरी गोटी पॉकेट में डाल देता है, लेकिन गलती से उसी बारी में रानी भी पॉकेट में डाल देता है। नतीजा क्या होता है?</v>
      </c>
      <c r="H360" s="5" t="str">
        <f>IFERROR(__xludf.DUMMYFUNCTION("GOOGLETRANSLATE(C360, ""en"", ""hi"")"),"A) खिलाड़ी B खेल जीत जाता है। , B) खिलाड़ी B रानी खो देता है। , C) खिलाड़ी B को एक मोहरा वापस करना होगा। , D) खिलाड़ी B को दो अंक का दंड दिया जाता है।")</f>
        <v>A) खिलाड़ी B खेल जीत जाता है। , B) खिलाड़ी B रानी खो देता है। , C) खिलाड़ी B को एक मोहरा वापस करना होगा। , D) खिलाड़ी B को दो अंक का दंड दिया जाता है।</v>
      </c>
      <c r="I360" s="5" t="str">
        <f>IFERROR(__xludf.DUMMYFUNCTION("GOOGLETRANSLATE(D360, ""en"", ""hi"")"),"B) खिलाड़ी B रानी खो देता है।")</f>
        <v>B) खिलाड़ी B रानी खो देता है।</v>
      </c>
    </row>
    <row r="361" ht="22.5" customHeight="1">
      <c r="A361" s="2">
        <v>360.0</v>
      </c>
      <c r="B361" s="3" t="s">
        <v>8841</v>
      </c>
      <c r="C361" s="3" t="s">
        <v>8822</v>
      </c>
      <c r="D361" s="3" t="s">
        <v>8823</v>
      </c>
      <c r="F361" s="5" t="str">
        <f>IFERROR(__xludf.DUMMYFUNCTION("GOOGLETRANSLATE(A361, ""en"", ""hi"")"),"360")</f>
        <v>360</v>
      </c>
      <c r="G361" s="5" t="str">
        <f>IFERROR(__xludf.DUMMYFUNCTION("GOOGLETRANSLATE(B361, ""en"", ""hi"")"),"खिलाड़ी A रानी को पॉकेट में डालता है, लेकिन उसे कवर करने से चूक जाता है। नियम क्या है?")</f>
        <v>खिलाड़ी A रानी को पॉकेट में डालता है, लेकिन उसे कवर करने से चूक जाता है। नियम क्या है?</v>
      </c>
      <c r="H361" s="5" t="str">
        <f>IFERROR(__xludf.DUMMYFUNCTION("GOOGLETRANSLATE(C361,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61" s="5" t="str">
        <f>IFERROR(__xludf.DUMMYFUNCTION("GOOGLETRANSLATE(D361, ""en"", ""hi"")"),"C) खिलाड़ी A रानी खो देता है।")</f>
        <v>C) खिलाड़ी A रानी खो देता है।</v>
      </c>
    </row>
    <row r="362" ht="22.5" customHeight="1">
      <c r="A362" s="2">
        <v>361.0</v>
      </c>
      <c r="B362" s="3" t="s">
        <v>8842</v>
      </c>
      <c r="C362" s="3" t="s">
        <v>8789</v>
      </c>
      <c r="D362" s="3" t="s">
        <v>8702</v>
      </c>
      <c r="F362" s="5" t="str">
        <f>IFERROR(__xludf.DUMMYFUNCTION("GOOGLETRANSLATE(A362, ""en"", ""hi"")"),"361")</f>
        <v>361</v>
      </c>
      <c r="G362" s="5" t="str">
        <f>IFERROR(__xludf.DUMMYFUNCTION("GOOGLETRANSLATE(B362, ""en"", ""hi"")"),"खिलाड़ी B अपने सभी मोहरे पॉकेट में डाल देता है, लेकिन रानी को कवर नहीं कर पाता। नियम क्या है?")</f>
        <v>खिलाड़ी B अपने सभी मोहरे पॉकेट में डाल देता है, लेकिन रानी को कवर नहीं कर पाता। नियम क्या है?</v>
      </c>
      <c r="H362" s="5" t="str">
        <f>IFERROR(__xludf.DUMMYFUNCTION("GOOGLETRANSLATE(C362, ""en"", ""hi"")"),"A) खिलाड़ी B खेल जीत जाता है। , B) खिलाड़ी B को जीतने से पहले रानी को पॉकेट में डालना होगा। , C) खिलाड़ी B को एक अंक का दंड दिया जाता है। , D) खिलाड़ी B अपनी बारी खो देता है।")</f>
        <v>A) खिलाड़ी B खेल जीत जाता है। , B) खिलाड़ी B को जीतने से पहले रानी को पॉकेट में डालना होगा। , C) खिलाड़ी B को एक अंक का दंड दिया जाता है। , D) खिलाड़ी B अपनी बारी खो देता है।</v>
      </c>
      <c r="I362" s="5" t="str">
        <f>IFERROR(__xludf.DUMMYFUNCTION("GOOGLETRANSLATE(D362, ""en"", ""hi"")"),"बी) खिलाड़ी बी को जीतने से पहले रानी को पॉकेट में डालना होगा।")</f>
        <v>बी) खिलाड़ी बी को जीतने से पहले रानी को पॉकेट में डालना होगा।</v>
      </c>
    </row>
    <row r="363" ht="22.5" customHeight="1">
      <c r="A363" s="2">
        <v>362.0</v>
      </c>
      <c r="B363" s="3" t="s">
        <v>8843</v>
      </c>
      <c r="C363" s="3" t="s">
        <v>8803</v>
      </c>
      <c r="D363" s="3" t="s">
        <v>8519</v>
      </c>
      <c r="F363" s="5" t="str">
        <f>IFERROR(__xludf.DUMMYFUNCTION("GOOGLETRANSLATE(A363, ""en"", ""hi"")"),"362")</f>
        <v>362</v>
      </c>
      <c r="G363" s="5" t="str">
        <f>IFERROR(__xludf.DUMMYFUNCTION("GOOGLETRANSLATE(B363, ""en"", ""hi"")"),"खिलाड़ी A रानी को सफलतापूर्वक कवर करता है, लेकिन फिर गलती से स्ट्राइकर को पॉकेट में डाल देता है। क्या होता है?")</f>
        <v>खिलाड़ी A रानी को सफलतापूर्वक कवर करता है, लेकिन फिर गलती से स्ट्राइकर को पॉकेट में डाल देता है। क्या होता है?</v>
      </c>
      <c r="H363" s="5" t="str">
        <f>IFERROR(__xludf.DUMMYFUNCTION("GOOGLETRANSLATE(C363,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363" s="5" t="str">
        <f>IFERROR(__xludf.DUMMYFUNCTION("GOOGLETRANSLATE(D363, ""en"", ""hi"")"),"बी) खिलाड़ी ए रानी खो देता है।")</f>
        <v>बी) खिलाड़ी ए रानी खो देता है।</v>
      </c>
    </row>
    <row r="364" ht="22.5" customHeight="1">
      <c r="A364" s="2">
        <v>363.0</v>
      </c>
      <c r="B364" s="3" t="s">
        <v>8844</v>
      </c>
      <c r="C364" s="3" t="s">
        <v>8845</v>
      </c>
      <c r="D364" s="3" t="s">
        <v>8505</v>
      </c>
      <c r="F364" s="5" t="str">
        <f>IFERROR(__xludf.DUMMYFUNCTION("GOOGLETRANSLATE(A364, ""en"", ""hi"")"),"363")</f>
        <v>363</v>
      </c>
      <c r="G364" s="5" t="str">
        <f>IFERROR(__xludf.DUMMYFUNCTION("GOOGLETRANSLATE(B364, ""en"", ""hi"")"),"खिलाड़ी B रानी को कवर करता है और फिर प्रतिद्वंद्वी के मोहरे को पॉकेट में डाल देता है। परिणाम क्या होता है?")</f>
        <v>खिलाड़ी B रानी को कवर करता है और फिर प्रतिद्वंद्वी के मोहरे को पॉकेट में डाल देता है। परिणाम क्या होता है?</v>
      </c>
      <c r="H364" s="5" t="str">
        <f>IFERROR(__xludf.DUMMYFUNCTION("GOOGLETRANSLATE(C364, ""en"", ""hi"")"),"A) खिलाड़ी B खेल जीतता है। , B) खिलाड़ी B रानी खो देता है। , C) खिलाड़ी B को प्रतिद्वंद्वी का मोहरा वापस करना होगा। , D) खिलाड़ी B खेलना जारी रखता है।")</f>
        <v>A) खिलाड़ी B खेल जीतता है। , B) खिलाड़ी B रानी खो देता है। , C) खिलाड़ी B को प्रतिद्वंद्वी का मोहरा वापस करना होगा। , D) खिलाड़ी B खेलना जारी रखता है।</v>
      </c>
      <c r="I364" s="5" t="str">
        <f>IFERROR(__xludf.DUMMYFUNCTION("GOOGLETRANSLATE(D364, ""en"", ""hi"")"),"B) खिलाड़ी B रानी खो देता है।")</f>
        <v>B) खिलाड़ी B रानी खो देता है।</v>
      </c>
    </row>
    <row r="365" ht="22.5" customHeight="1">
      <c r="A365" s="2">
        <v>364.0</v>
      </c>
      <c r="B365" s="3" t="s">
        <v>8852</v>
      </c>
      <c r="C365" s="3" t="s">
        <v>8795</v>
      </c>
      <c r="D365" s="3" t="s">
        <v>8707</v>
      </c>
      <c r="F365" s="5" t="str">
        <f>IFERROR(__xludf.DUMMYFUNCTION("GOOGLETRANSLATE(A365, ""en"", ""hi"")"),"364")</f>
        <v>364</v>
      </c>
      <c r="G365" s="5" t="str">
        <f>IFERROR(__xludf.DUMMYFUNCTION("GOOGLETRANSLATE(B365, ""en"", ""hi"")"),"खिलाड़ी A अलग-अलग बारी में अपनी सभी गोटियाँ और रानी को पॉकेट में डाल देता है, लेकिन रानी को कवर नहीं कर पाता। नतीजा क्या होता है?")</f>
        <v>खिलाड़ी A अलग-अलग बारी में अपनी सभी गोटियाँ और रानी को पॉकेट में डाल देता है, लेकिन रानी को कवर नहीं कर पाता। नतीजा क्या होता है?</v>
      </c>
      <c r="H365" s="5" t="str">
        <f>IFERROR(__xludf.DUMMYFUNCTION("GOOGLETRANSLATE(C365,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65" s="5" t="str">
        <f>IFERROR(__xludf.DUMMYFUNCTION("GOOGLETRANSLATE(D365, ""en"", ""hi"")"),"बी) जीतने से पहले खिलाड़ी ए को रानी को पॉकेट में डालना होगा।")</f>
        <v>बी) जीतने से पहले खिलाड़ी ए को रानी को पॉकेट में डालना होगा।</v>
      </c>
    </row>
    <row r="366" ht="22.5" customHeight="1">
      <c r="A366" s="2">
        <v>365.0</v>
      </c>
      <c r="B366" s="3" t="s">
        <v>8853</v>
      </c>
      <c r="C366" s="3" t="s">
        <v>8854</v>
      </c>
      <c r="D366" s="3" t="s">
        <v>8413</v>
      </c>
      <c r="F366" s="5" t="str">
        <f>IFERROR(__xludf.DUMMYFUNCTION("GOOGLETRANSLATE(A366, ""en"", ""hi"")"),"365")</f>
        <v>365</v>
      </c>
      <c r="G366" s="5" t="str">
        <f>IFERROR(__xludf.DUMMYFUNCTION("GOOGLETRANSLATE(B366, ""en"", ""hi"")"),"खिलाड़ी B अपनी आखिरी गोटी और फिर उसी बारी में रानी को भी जेब में डाल लेता है। क्या होता है?")</f>
        <v>खिलाड़ी B अपनी आखिरी गोटी और फिर उसी बारी में रानी को भी जेब में डाल लेता है। क्या होता है?</v>
      </c>
      <c r="H366" s="5" t="str">
        <f>IFERROR(__xludf.DUMMYFUNCTION("GOOGLETRANSLATE(C366, ""en"", ""hi"")"),"A) खिलाड़ी B खेल जीत जाता है। , B) खिलाड़ी B को एक मोहरा वापस करना होगा। , C) खिलाड़ी B को दो अंक का दंड दिया जाता है। , D) खिलाड़ी B को अपनी बारी पुनः खेलनी होगी।")</f>
        <v>A) खिलाड़ी B खेल जीत जाता है। , B) खिलाड़ी B को एक मोहरा वापस करना होगा। , C) खिलाड़ी B को दो अंक का दंड दिया जाता है। , D) खिलाड़ी B को अपनी बारी पुनः खेलनी होगी।</v>
      </c>
      <c r="I366" s="5" t="str">
        <f>IFERROR(__xludf.DUMMYFUNCTION("GOOGLETRANSLATE(D366, ""en"", ""hi"")"),"A) खिलाड़ी B खेल जीतता है।")</f>
        <v>A) खिलाड़ी B खेल जीतता है।</v>
      </c>
    </row>
    <row r="367" ht="22.5" customHeight="1">
      <c r="A367" s="2">
        <v>366.0</v>
      </c>
      <c r="B367" s="3" t="s">
        <v>8855</v>
      </c>
      <c r="C367" s="3" t="s">
        <v>8791</v>
      </c>
      <c r="D367" s="3" t="s">
        <v>8519</v>
      </c>
      <c r="F367" s="5" t="str">
        <f>IFERROR(__xludf.DUMMYFUNCTION("GOOGLETRANSLATE(A367, ""en"", ""hi"")"),"366")</f>
        <v>366</v>
      </c>
      <c r="G367" s="5" t="str">
        <f>IFERROR(__xludf.DUMMYFUNCTION("GOOGLETRANSLATE(B367, ""en"", ""hi"")"),"खिलाड़ी A क्वीन को कवर करता है लेकिन गलती से स्ट्राइकर को पॉकेट में डाल देता है। नतीजा क्या होता है?")</f>
        <v>खिलाड़ी A क्वीन को कवर करता है लेकिन गलती से स्ट्राइकर को पॉकेट में डाल देता है। नतीजा क्या होता है?</v>
      </c>
      <c r="H367" s="5" t="str">
        <f>IFERROR(__xludf.DUMMYFUNCTION("GOOGLETRANSLATE(C367,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367" s="5" t="str">
        <f>IFERROR(__xludf.DUMMYFUNCTION("GOOGLETRANSLATE(D367, ""en"", ""hi"")"),"बी) खिलाड़ी ए रानी खो देता है।")</f>
        <v>बी) खिलाड़ी ए रानी खो देता है।</v>
      </c>
    </row>
    <row r="368" ht="22.5" customHeight="1">
      <c r="A368" s="2">
        <v>367.0</v>
      </c>
      <c r="B368" s="3" t="s">
        <v>8856</v>
      </c>
      <c r="C368" s="3" t="s">
        <v>8804</v>
      </c>
      <c r="D368" s="3" t="s">
        <v>8643</v>
      </c>
      <c r="F368" s="5" t="str">
        <f>IFERROR(__xludf.DUMMYFUNCTION("GOOGLETRANSLATE(A368, ""en"", ""hi"")"),"367")</f>
        <v>367</v>
      </c>
      <c r="G368" s="5" t="str">
        <f>IFERROR(__xludf.DUMMYFUNCTION("GOOGLETRANSLATE(B368, ""en"", ""hi"")"),"खिलाड़ी B रानी को पॉकेट में डालता है, लेकिन उसे कवर नहीं कर पाता। नियम क्या है?")</f>
        <v>खिलाड़ी B रानी को पॉकेट में डालता है, लेकिन उसे कवर नहीं कर पाता। नियम क्या है?</v>
      </c>
      <c r="H368" s="5" t="str">
        <f>IFERROR(__xludf.DUMMYFUNCTION("GOOGLETRANSLATE(C368,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368" s="5" t="str">
        <f>IFERROR(__xludf.DUMMYFUNCTION("GOOGLETRANSLATE(D368, ""en"", ""hi"")"),"बी) रानी को केंद्र में वापस लाया जाता है।")</f>
        <v>बी) रानी को केंद्र में वापस लाया जाता है।</v>
      </c>
    </row>
    <row r="369" ht="22.5" customHeight="1">
      <c r="A369" s="2">
        <v>368.0</v>
      </c>
      <c r="B369" s="3" t="s">
        <v>8850</v>
      </c>
      <c r="C369" s="3" t="s">
        <v>8766</v>
      </c>
      <c r="D369" s="3" t="s">
        <v>8707</v>
      </c>
      <c r="F369" s="5" t="str">
        <f>IFERROR(__xludf.DUMMYFUNCTION("GOOGLETRANSLATE(A369, ""en"", ""hi"")"),"368")</f>
        <v>368</v>
      </c>
      <c r="G369" s="5" t="str">
        <f>IFERROR(__xludf.DUMMYFUNCTION("GOOGLETRANSLATE(B369, ""en"", ""hi"")"),"खिलाड़ी A अपनी आखिरी गोटी जेब में डाल लेता है, लेकिन रानी जेब में नहीं जाती। नतीजा क्या होता है?")</f>
        <v>खिलाड़ी A अपनी आखिरी गोटी जेब में डाल लेता है, लेकिन रानी जेब में नहीं जाती। नतीजा क्या होता है?</v>
      </c>
      <c r="H369" s="5" t="str">
        <f>IFERROR(__xludf.DUMMYFUNCTION("GOOGLETRANSLATE(C369, ""en"", ""hi"")"),"A) खिलाड़ी A खेल जीत जाता है। , B) खिलाड़ी A को जीतने से पहले रानी को पॉकेट में डालना होगा। , C) खिलाड़ी A को एक अंक का दंड दिया जाता है। , D) खिलाड़ी A अपनी बारी खो देता है।")</f>
        <v>A) खिलाड़ी A खेल जीत जाता है। , B) खिलाड़ी A को जीतने से पहले रानी को पॉकेट में डालना होगा। , C) खिलाड़ी A को एक अंक का दंड दिया जाता है। , D) खिलाड़ी A अपनी बारी खो देता है।</v>
      </c>
      <c r="I369" s="5" t="str">
        <f>IFERROR(__xludf.DUMMYFUNCTION("GOOGLETRANSLATE(D369, ""en"", ""hi"")"),"बी) जीतने से पहले खिलाड़ी ए को रानी को पॉकेट में डालना होगा।")</f>
        <v>बी) जीतने से पहले खिलाड़ी ए को रानी को पॉकेट में डालना होगा।</v>
      </c>
    </row>
    <row r="370" ht="22.5" customHeight="1">
      <c r="A370" s="2">
        <v>369.0</v>
      </c>
      <c r="B370" s="3" t="s">
        <v>8770</v>
      </c>
      <c r="C370" s="3" t="s">
        <v>8836</v>
      </c>
      <c r="D370" s="3" t="s">
        <v>8505</v>
      </c>
      <c r="F370" s="5" t="str">
        <f>IFERROR(__xludf.DUMMYFUNCTION("GOOGLETRANSLATE(A370, ""en"", ""hi"")"),"369")</f>
        <v>369</v>
      </c>
      <c r="G370" s="5" t="str">
        <f>IFERROR(__xludf.DUMMYFUNCTION("GOOGLETRANSLATE(B370,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370" s="5" t="str">
        <f>IFERROR(__xludf.DUMMYFUNCTION("GOOGLETRANSLATE(C370,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370" s="5" t="str">
        <f>IFERROR(__xludf.DUMMYFUNCTION("GOOGLETRANSLATE(D370, ""en"", ""hi"")"),"B) खिलाड़ी B रानी खो देता है।")</f>
        <v>B) खिलाड़ी B रानी खो देता है।</v>
      </c>
    </row>
    <row r="371" ht="22.5" customHeight="1">
      <c r="A371" s="2">
        <v>370.0</v>
      </c>
      <c r="B371" s="3" t="s">
        <v>8837</v>
      </c>
      <c r="C371" s="3" t="s">
        <v>8795</v>
      </c>
      <c r="D371" s="3" t="s">
        <v>8707</v>
      </c>
      <c r="F371" s="5" t="str">
        <f>IFERROR(__xludf.DUMMYFUNCTION("GOOGLETRANSLATE(A371, ""en"", ""hi"")"),"370")</f>
        <v>370</v>
      </c>
      <c r="G371" s="5" t="str">
        <f>IFERROR(__xludf.DUMMYFUNCTION("GOOGLETRANSLATE(B371, ""en"", ""hi"")"),"खिलाड़ी A रानी और उसके सभी मोहरों को पॉकेट में डाल देता है, लेकिन रानी को कवर नहीं कर पाता। नतीजा क्या होता है?")</f>
        <v>खिलाड़ी A रानी और उसके सभी मोहरों को पॉकेट में डाल देता है, लेकिन रानी को कवर नहीं कर पाता। नतीजा क्या होता है?</v>
      </c>
      <c r="H371" s="5" t="str">
        <f>IFERROR(__xludf.DUMMYFUNCTION("GOOGLETRANSLATE(C371, ""en"", ""hi"")"),"ए) खिलाड़ी ए खेल जीतता है। , बी) खिलाड़ी ए को जीतने से पहले रानी को पॉकेट में डालना होगा। , सी) खिलाड़ी ए को एक अंक का दंड दिया जाता है। , डी) खिलाड़ी ए को बारी फिर से खेलनी होगी।")</f>
        <v>ए) खिलाड़ी ए खेल जीतता है। , बी) खिलाड़ी ए को जीतने से पहले रानी को पॉकेट में डालना होगा। , सी) खिलाड़ी ए को एक अंक का दंड दिया जाता है। , डी) खिलाड़ी ए को बारी फिर से खेलनी होगी।</v>
      </c>
      <c r="I371" s="5" t="str">
        <f>IFERROR(__xludf.DUMMYFUNCTION("GOOGLETRANSLATE(D371, ""en"", ""hi"")"),"बी) जीतने से पहले खिलाड़ी ए को रानी को पॉकेट में डालना होगा।")</f>
        <v>बी) जीतने से पहले खिलाड़ी ए को रानी को पॉकेट में डालना होगा।</v>
      </c>
    </row>
    <row r="372" ht="22.5" customHeight="1">
      <c r="A372" s="2">
        <v>371.0</v>
      </c>
      <c r="B372" s="3" t="s">
        <v>8808</v>
      </c>
      <c r="C372" s="3" t="s">
        <v>8809</v>
      </c>
      <c r="D372" s="3" t="s">
        <v>8413</v>
      </c>
      <c r="F372" s="5" t="str">
        <f>IFERROR(__xludf.DUMMYFUNCTION("GOOGLETRANSLATE(A372, ""en"", ""hi"")"),"371")</f>
        <v>371</v>
      </c>
      <c r="G372" s="5" t="str">
        <f>IFERROR(__xludf.DUMMYFUNCTION("GOOGLETRANSLATE(B372, ""en"", ""hi"")"),"खिलाड़ी B अपनी आखिरी गोटी सफलतापूर्वक पॉकेट में डाल देता है और रानी को कवर कर लेता है। अब क्या होता है?")</f>
        <v>खिलाड़ी B अपनी आखिरी गोटी सफलतापूर्वक पॉकेट में डाल देता है और रानी को कवर कर लेता है। अब क्या होता है?</v>
      </c>
      <c r="H372" s="5" t="str">
        <f>IFERROR(__xludf.DUMMYFUNCTION("GOOGLETRANSLATE(C372, ""en"", ""hi"")"),"A) खिलाड़ी B खेल जीत जाता है। , B) खिलाड़ी B को एक मोहरा वापस करना होगा। , C) खिलाड़ी B को एक अंक का दंड दिया जाता है। , D) खिलाड़ी B खेलना जारी रखता है।")</f>
        <v>A) खिलाड़ी B खेल जीत जाता है। , B) खिलाड़ी B को एक मोहरा वापस करना होगा। , C) खिलाड़ी B को एक अंक का दंड दिया जाता है। , D) खिलाड़ी B खेलना जारी रखता है।</v>
      </c>
      <c r="I372" s="5" t="str">
        <f>IFERROR(__xludf.DUMMYFUNCTION("GOOGLETRANSLATE(D372, ""en"", ""hi"")"),"A) खिलाड़ी B खेल जीतता है।")</f>
        <v>A) खिलाड़ी B खेल जीतता है।</v>
      </c>
    </row>
    <row r="373" ht="22.5" customHeight="1">
      <c r="A373" s="2">
        <v>372.0</v>
      </c>
      <c r="B373" s="3" t="s">
        <v>8857</v>
      </c>
      <c r="C373" s="3" t="s">
        <v>8822</v>
      </c>
      <c r="D373" s="3" t="s">
        <v>8823</v>
      </c>
      <c r="F373" s="5" t="str">
        <f>IFERROR(__xludf.DUMMYFUNCTION("GOOGLETRANSLATE(A373, ""en"", ""hi"")"),"372")</f>
        <v>372</v>
      </c>
      <c r="G373" s="5" t="str">
        <f>IFERROR(__xludf.DUMMYFUNCTION("GOOGLETRANSLATE(B373, ""en"", ""hi"")"),"खिलाड़ी A एक मोहरा और फिर रानी को पॉकेट में डालता है, लेकिन अगली बारी में रानी को कवर नहीं कर पाता। नियम क्या है?")</f>
        <v>खिलाड़ी A एक मोहरा और फिर रानी को पॉकेट में डालता है, लेकिन अगली बारी में रानी को कवर नहीं कर पाता। नियम क्या है?</v>
      </c>
      <c r="H373" s="5" t="str">
        <f>IFERROR(__xludf.DUMMYFUNCTION("GOOGLETRANSLATE(C373,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73" s="5" t="str">
        <f>IFERROR(__xludf.DUMMYFUNCTION("GOOGLETRANSLATE(D373, ""en"", ""hi"")"),"C) खिलाड़ी A रानी खो देता है।")</f>
        <v>C) खिलाड़ी A रानी खो देता है।</v>
      </c>
    </row>
    <row r="374" ht="22.5" customHeight="1">
      <c r="A374" s="2">
        <v>373.0</v>
      </c>
      <c r="B374" s="3" t="s">
        <v>8839</v>
      </c>
      <c r="C374" s="3" t="s">
        <v>8840</v>
      </c>
      <c r="D374" s="3" t="s">
        <v>8505</v>
      </c>
      <c r="F374" s="5" t="str">
        <f>IFERROR(__xludf.DUMMYFUNCTION("GOOGLETRANSLATE(A374, ""en"", ""hi"")"),"373")</f>
        <v>373</v>
      </c>
      <c r="G374" s="5" t="str">
        <f>IFERROR(__xludf.DUMMYFUNCTION("GOOGLETRANSLATE(B374, ""en"", ""hi"")"),"खिलाड़ी B अपनी आखिरी गोटी पॉकेट में डाल देता है, लेकिन गलती से उसी बारी में रानी भी पॉकेट में डाल देता है। नतीजा क्या होता है?")</f>
        <v>खिलाड़ी B अपनी आखिरी गोटी पॉकेट में डाल देता है, लेकिन गलती से उसी बारी में रानी भी पॉकेट में डाल देता है। नतीजा क्या होता है?</v>
      </c>
      <c r="H374" s="5" t="str">
        <f>IFERROR(__xludf.DUMMYFUNCTION("GOOGLETRANSLATE(C374, ""en"", ""hi"")"),"A) खिलाड़ी B खेल जीत जाता है। , B) खिलाड़ी B रानी खो देता है। , C) खिलाड़ी B को एक मोहरा वापस करना होगा। , D) खिलाड़ी B को दो अंक का दंड दिया जाता है।")</f>
        <v>A) खिलाड़ी B खेल जीत जाता है। , B) खिलाड़ी B रानी खो देता है। , C) खिलाड़ी B को एक मोहरा वापस करना होगा। , D) खिलाड़ी B को दो अंक का दंड दिया जाता है।</v>
      </c>
      <c r="I374" s="5" t="str">
        <f>IFERROR(__xludf.DUMMYFUNCTION("GOOGLETRANSLATE(D374, ""en"", ""hi"")"),"B) खिलाड़ी B रानी खो देता है।")</f>
        <v>B) खिलाड़ी B रानी खो देता है।</v>
      </c>
    </row>
    <row r="375" ht="22.5" customHeight="1">
      <c r="A375" s="2">
        <v>374.0</v>
      </c>
      <c r="B375" s="3" t="s">
        <v>8858</v>
      </c>
      <c r="C375" s="3" t="s">
        <v>8859</v>
      </c>
      <c r="D375" s="3" t="s">
        <v>8519</v>
      </c>
      <c r="F375" s="5" t="str">
        <f>IFERROR(__xludf.DUMMYFUNCTION("GOOGLETRANSLATE(A375, ""en"", ""hi"")"),"374")</f>
        <v>374</v>
      </c>
      <c r="G375" s="5" t="str">
        <f>IFERROR(__xludf.DUMMYFUNCTION("GOOGLETRANSLATE(B375, ""en"", ""hi"")"),"खिलाड़ी A अपनी सभी गोटियाँ और रानी पॉकेट में डाल देता है, लेकिन गलती से उसी बारी में स्ट्राइकर पॉकेट में डाल देता है। नियम क्या है?")</f>
        <v>खिलाड़ी A अपनी सभी गोटियाँ और रानी पॉकेट में डाल देता है, लेकिन गलती से उसी बारी में स्ट्राइकर पॉकेट में डाल देता है। नियम क्या है?</v>
      </c>
      <c r="H375" s="5" t="str">
        <f>IFERROR(__xludf.DUMMYFUNCTION("GOOGLETRANSLATE(C375, ""en"", ""hi"")"),"A) खिलाड़ी A खेल जीत जाता है। , B) खिलाड़ी A रानी खो देता है। , C) खिलाड़ी A को एक अंक का दंड दिया जाता है। , D) खिलाड़ी A को अपनी बारी पुनः खेलनी होगी।")</f>
        <v>A) खिलाड़ी A खेल जीत जाता है। , B) खिलाड़ी A रानी खो देता है। , C) खिलाड़ी A को एक अंक का दंड दिया जाता है। , D) खिलाड़ी A को अपनी बारी पुनः खेलनी होगी।</v>
      </c>
      <c r="I375" s="5" t="str">
        <f>IFERROR(__xludf.DUMMYFUNCTION("GOOGLETRANSLATE(D375, ""en"", ""hi"")"),"बी) खिलाड़ी ए रानी खो देता है।")</f>
        <v>बी) खिलाड़ी ए रानी खो देता है।</v>
      </c>
    </row>
    <row r="376" ht="22.5" customHeight="1">
      <c r="A376" s="2">
        <v>375.0</v>
      </c>
      <c r="B376" s="3" t="s">
        <v>8860</v>
      </c>
      <c r="C376" s="3" t="s">
        <v>8861</v>
      </c>
      <c r="D376" s="3" t="s">
        <v>8862</v>
      </c>
      <c r="F376" s="5" t="str">
        <f>IFERROR(__xludf.DUMMYFUNCTION("GOOGLETRANSLATE(A376, ""en"", ""hi"")"),"375")</f>
        <v>375</v>
      </c>
      <c r="G376" s="5" t="str">
        <f>IFERROR(__xludf.DUMMYFUNCTION("GOOGLETRANSLATE(B376, ""en"", ""hi"")"),"खिलाड़ी B अपनी आखिरी गोटी पॉकेट में डाल देता है, लेकिन रानी को कवर करने से चूक जाता है। आगे क्या होता है?")</f>
        <v>खिलाड़ी B अपनी आखिरी गोटी पॉकेट में डाल देता है, लेकिन रानी को कवर करने से चूक जाता है। आगे क्या होता है?</v>
      </c>
      <c r="H376" s="5" t="str">
        <f>IFERROR(__xludf.DUMMYFUNCTION("GOOGLETRANSLATE(C376, ""en"", ""hi"")"),"A) खिलाड़ी B खेल जीत जाता है। , B) खिलाड़ी B को जीतने के लिए रानी को पॉकेट में डालना होगा। , C) खिलाड़ी B को एक अंक का दंड दिया जाता है। , D) खेल ड्रॉ हो जाता है।")</f>
        <v>A) खिलाड़ी B खेल जीत जाता है। , B) खिलाड़ी B को जीतने के लिए रानी को पॉकेट में डालना होगा। , C) खिलाड़ी B को एक अंक का दंड दिया जाता है। , D) खेल ड्रॉ हो जाता है।</v>
      </c>
      <c r="I376" s="5" t="str">
        <f>IFERROR(__xludf.DUMMYFUNCTION("GOOGLETRANSLATE(D376, ""en"", ""hi"")"),"बी) जीतने के लिए खिलाड़ी बी को रानी को पॉकेट में डालना होगा।")</f>
        <v>बी) जीतने के लिए खिलाड़ी बी को रानी को पॉकेट में डालना होगा।</v>
      </c>
    </row>
    <row r="377" ht="22.5" customHeight="1">
      <c r="A377" s="2">
        <v>376.0</v>
      </c>
      <c r="B377" s="3" t="s">
        <v>8830</v>
      </c>
      <c r="C377" s="3" t="s">
        <v>8863</v>
      </c>
      <c r="D377" s="3" t="s">
        <v>8864</v>
      </c>
      <c r="F377" s="5" t="str">
        <f>IFERROR(__xludf.DUMMYFUNCTION("GOOGLETRANSLATE(A377, ""en"", ""hi"")"),"376")</f>
        <v>376</v>
      </c>
      <c r="G377" s="5" t="str">
        <f>IFERROR(__xludf.DUMMYFUNCTION("GOOGLETRANSLATE(B377, ""en"", ""hi"")"),"खिलाड़ी A रानी और उसके सभी मोहरों को पॉकेट में डाल देता है, लेकिन रानी को कवर नहीं कर पाता। नतीजा क्या होता है?")</f>
        <v>खिलाड़ी A रानी और उसके सभी मोहरों को पॉकेट में डाल देता है, लेकिन रानी को कवर नहीं कर पाता। नतीजा क्या होता है?</v>
      </c>
      <c r="H377" s="5" t="str">
        <f>IFERROR(__xludf.DUMMYFUNCTION("GOOGLETRANSLATE(C377, ""en"", ""hi"")"),"A) खिलाड़ी A खेल जीत जाता है। , B) खिलाड़ी A को जीतने के लिए रानी को ढकना होगा। , C) खिलाड़ी A को दो अंक का दंड दिया जाता है। , D) खेल ड्रॉ हो जाता है।")</f>
        <v>A) खिलाड़ी A खेल जीत जाता है। , B) खिलाड़ी A को जीतने के लिए रानी को ढकना होगा। , C) खिलाड़ी A को दो अंक का दंड दिया जाता है। , D) खेल ड्रॉ हो जाता है।</v>
      </c>
      <c r="I377" s="5" t="str">
        <f>IFERROR(__xludf.DUMMYFUNCTION("GOOGLETRANSLATE(D377, ""en"", ""hi"")"),"बी) खिलाड़ी ए को जीतने के लिए रानी को कवर करना होगा।")</f>
        <v>बी) खिलाड़ी ए को जीतने के लिए रानी को कवर करना होगा।</v>
      </c>
    </row>
    <row r="378" ht="22.5" customHeight="1">
      <c r="A378" s="2">
        <v>377.0</v>
      </c>
      <c r="B378" s="3" t="s">
        <v>8865</v>
      </c>
      <c r="C378" s="3" t="s">
        <v>8845</v>
      </c>
      <c r="D378" s="3" t="s">
        <v>8505</v>
      </c>
      <c r="F378" s="5" t="str">
        <f>IFERROR(__xludf.DUMMYFUNCTION("GOOGLETRANSLATE(A378, ""en"", ""hi"")"),"377")</f>
        <v>377</v>
      </c>
      <c r="G378" s="5" t="str">
        <f>IFERROR(__xludf.DUMMYFUNCTION("GOOGLETRANSLATE(B378, ""en"", ""hi"")"),"खिलाड़ी B रानी को कवर करता है लेकिन फिर प्रतिद्वंद्वी के मोहरे को पॉकेट में डाल देता है। नियम क्या है?")</f>
        <v>खिलाड़ी B रानी को कवर करता है लेकिन फिर प्रतिद्वंद्वी के मोहरे को पॉकेट में डाल देता है। नियम क्या है?</v>
      </c>
      <c r="H378" s="5" t="str">
        <f>IFERROR(__xludf.DUMMYFUNCTION("GOOGLETRANSLATE(C378, ""en"", ""hi"")"),"A) खिलाड़ी B खेल जीतता है। , B) खिलाड़ी B रानी खो देता है। , C) खिलाड़ी B को प्रतिद्वंद्वी का मोहरा वापस करना होगा। , D) खिलाड़ी B खेलना जारी रखता है।")</f>
        <v>A) खिलाड़ी B खेल जीतता है। , B) खिलाड़ी B रानी खो देता है। , C) खिलाड़ी B को प्रतिद्वंद्वी का मोहरा वापस करना होगा। , D) खिलाड़ी B खेलना जारी रखता है।</v>
      </c>
      <c r="I378" s="5" t="str">
        <f>IFERROR(__xludf.DUMMYFUNCTION("GOOGLETRANSLATE(D378, ""en"", ""hi"")"),"B) खिलाड़ी B रानी खो देता है।")</f>
        <v>B) खिलाड़ी B रानी खो देता है।</v>
      </c>
    </row>
    <row r="379" ht="22.5" customHeight="1">
      <c r="A379" s="2">
        <v>378.0</v>
      </c>
      <c r="B379" s="3" t="s">
        <v>8866</v>
      </c>
      <c r="C379" s="3" t="s">
        <v>8867</v>
      </c>
      <c r="D379" s="3" t="s">
        <v>7785</v>
      </c>
      <c r="F379" s="5" t="str">
        <f>IFERROR(__xludf.DUMMYFUNCTION("GOOGLETRANSLATE(A379, ""en"", ""hi"")"),"378")</f>
        <v>378</v>
      </c>
      <c r="G379" s="5" t="str">
        <f>IFERROR(__xludf.DUMMYFUNCTION("GOOGLETRANSLATE(B379, ""en"", ""hi"")"),"खिलाड़ी A अपनी आखिरी गोटी और फिर उसी बारी में रानी को भी जेब में डाल लेता है। नतीजा क्या होता है?")</f>
        <v>खिलाड़ी A अपनी आखिरी गोटी और फिर उसी बारी में रानी को भी जेब में डाल लेता है। नतीजा क्या होता है?</v>
      </c>
      <c r="H379" s="5" t="str">
        <f>IFERROR(__xludf.DUMMYFUNCTION("GOOGLETRANSLATE(C379, ""en"", ""hi"")"),"A) खिलाड़ी A खेल जीत जाता है। , B) खिलाड़ी A को बारी फिर से खेलनी होगी। , C) खिलाड़ी A को एक अंक का दंड दिया जाता है। , D) खिलाड़ी A रानी खो देता है।")</f>
        <v>A) खिलाड़ी A खेल जीत जाता है। , B) खिलाड़ी A को बारी फिर से खेलनी होगी। , C) खिलाड़ी A को एक अंक का दंड दिया जाता है। , D) खिलाड़ी A रानी खो देता है।</v>
      </c>
      <c r="I379" s="5" t="str">
        <f>IFERROR(__xludf.DUMMYFUNCTION("GOOGLETRANSLATE(D379, ""en"", ""hi"")"),"A) खिलाड़ी A खेल जीतता है।")</f>
        <v>A) खिलाड़ी A खेल जीतता है।</v>
      </c>
    </row>
    <row r="380" ht="22.5" customHeight="1">
      <c r="A380" s="2">
        <v>379.0</v>
      </c>
      <c r="B380" s="3" t="s">
        <v>8868</v>
      </c>
      <c r="C380" s="3" t="s">
        <v>8869</v>
      </c>
      <c r="D380" s="3" t="s">
        <v>8870</v>
      </c>
      <c r="F380" s="5" t="str">
        <f>IFERROR(__xludf.DUMMYFUNCTION("GOOGLETRANSLATE(A380, ""en"", ""hi"")"),"379")</f>
        <v>379</v>
      </c>
      <c r="G380" s="5" t="str">
        <f>IFERROR(__xludf.DUMMYFUNCTION("GOOGLETRANSLATE(B380, ""en"", ""hi"")"),"खिलाड़ी B अपना आखिरी मोहरा पॉकेट में डालता है, लेकिन रानी को कवर नहीं करता। नियम क्या है?")</f>
        <v>खिलाड़ी B अपना आखिरी मोहरा पॉकेट में डालता है, लेकिन रानी को कवर नहीं करता। नियम क्या है?</v>
      </c>
      <c r="H380" s="5" t="str">
        <f>IFERROR(__xludf.DUMMYFUNCTION("GOOGLETRANSLATE(C380,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380" s="5" t="str">
        <f>IFERROR(__xludf.DUMMYFUNCTION("GOOGLETRANSLATE(D380, ""en"", ""hi"")"),"बी) खिलाड़ी बी को जीतने के लिए रानी को कवर करना होगा।")</f>
        <v>बी) खिलाड़ी बी को जीतने के लिए रानी को कवर करना होगा।</v>
      </c>
    </row>
    <row r="381" ht="22.5" customHeight="1">
      <c r="A381" s="2">
        <v>380.0</v>
      </c>
      <c r="B381" s="3" t="s">
        <v>8871</v>
      </c>
      <c r="C381" s="3" t="s">
        <v>8791</v>
      </c>
      <c r="D381" s="3" t="s">
        <v>8519</v>
      </c>
      <c r="F381" s="5" t="str">
        <f>IFERROR(__xludf.DUMMYFUNCTION("GOOGLETRANSLATE(A381, ""en"", ""hi"")"),"380")</f>
        <v>380</v>
      </c>
      <c r="G381" s="5" t="str">
        <f>IFERROR(__xludf.DUMMYFUNCTION("GOOGLETRANSLATE(B381, ""en"", ""hi"")"),"खिलाड़ी A क्वीन को कवर करता है लेकिन फिर स्ट्राइकर को पॉकेट में डाल देता है। नतीजा क्या होता है?")</f>
        <v>खिलाड़ी A क्वीन को कवर करता है लेकिन फिर स्ट्राइकर को पॉकेट में डाल देता है। नतीजा क्या होता है?</v>
      </c>
      <c r="H381" s="5" t="str">
        <f>IFERROR(__xludf.DUMMYFUNCTION("GOOGLETRANSLATE(C381,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381" s="5" t="str">
        <f>IFERROR(__xludf.DUMMYFUNCTION("GOOGLETRANSLATE(D381, ""en"", ""hi"")"),"बी) खिलाड़ी ए रानी खो देता है।")</f>
        <v>बी) खिलाड़ी ए रानी खो देता है।</v>
      </c>
    </row>
    <row r="382" ht="22.5" customHeight="1">
      <c r="A382" s="2">
        <v>381.0</v>
      </c>
      <c r="B382" s="3" t="s">
        <v>8748</v>
      </c>
      <c r="C382" s="3" t="s">
        <v>8804</v>
      </c>
      <c r="D382" s="3" t="s">
        <v>8643</v>
      </c>
      <c r="F382" s="5" t="str">
        <f>IFERROR(__xludf.DUMMYFUNCTION("GOOGLETRANSLATE(A382, ""en"", ""hi"")"),"381")</f>
        <v>381</v>
      </c>
      <c r="G382" s="5" t="str">
        <f>IFERROR(__xludf.DUMMYFUNCTION("GOOGLETRANSLATE(B382, ""en"", ""hi"")"),"खिलाड़ी B रानी को पॉकेट में डालता है, लेकिन उसे कवर करने से चूक जाता है। नियम क्या है?")</f>
        <v>खिलाड़ी B रानी को पॉकेट में डालता है, लेकिन उसे कवर करने से चूक जाता है। नियम क्या है?</v>
      </c>
      <c r="H382" s="5" t="str">
        <f>IFERROR(__xludf.DUMMYFUNCTION("GOOGLETRANSLATE(C382,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382" s="5" t="str">
        <f>IFERROR(__xludf.DUMMYFUNCTION("GOOGLETRANSLATE(D382, ""en"", ""hi"")"),"बी) रानी को केंद्र में वापस लाया जाता है।")</f>
        <v>बी) रानी को केंद्र में वापस लाया जाता है।</v>
      </c>
    </row>
    <row r="383" ht="22.5" customHeight="1">
      <c r="A383" s="2">
        <v>382.0</v>
      </c>
      <c r="B383" s="3" t="s">
        <v>8872</v>
      </c>
      <c r="C383" s="3" t="s">
        <v>8873</v>
      </c>
      <c r="D383" s="3" t="s">
        <v>8864</v>
      </c>
      <c r="F383" s="5" t="str">
        <f>IFERROR(__xludf.DUMMYFUNCTION("GOOGLETRANSLATE(A383, ""en"", ""hi"")"),"382")</f>
        <v>382</v>
      </c>
      <c r="G383" s="5" t="str">
        <f>IFERROR(__xludf.DUMMYFUNCTION("GOOGLETRANSLATE(B383, ""en"", ""hi"")"),"खिलाड़ी A अपनी सभी गोटियाँ और रानी पॉकेट में डाल देता है, लेकिन रानी को कवर नहीं करता। नियम क्या है?")</f>
        <v>खिलाड़ी A अपनी सभी गोटियाँ और रानी पॉकेट में डाल देता है, लेकिन रानी को कवर नहीं करता। नियम क्या है?</v>
      </c>
      <c r="H383" s="5" t="str">
        <f>IFERROR(__xludf.DUMMYFUNCTION("GOOGLETRANSLATE(C383,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383" s="5" t="str">
        <f>IFERROR(__xludf.DUMMYFUNCTION("GOOGLETRANSLATE(D383, ""en"", ""hi"")"),"बी) खिलाड़ी ए को जीतने के लिए रानी को कवर करना होगा।")</f>
        <v>बी) खिलाड़ी ए को जीतने के लिए रानी को कवर करना होगा।</v>
      </c>
    </row>
    <row r="384" ht="22.5" customHeight="1">
      <c r="A384" s="2">
        <v>383.0</v>
      </c>
      <c r="B384" s="3" t="s">
        <v>8874</v>
      </c>
      <c r="C384" s="3" t="s">
        <v>8854</v>
      </c>
      <c r="D384" s="3" t="s">
        <v>8413</v>
      </c>
      <c r="F384" s="5" t="str">
        <f>IFERROR(__xludf.DUMMYFUNCTION("GOOGLETRANSLATE(A384, ""en"", ""hi"")"),"383")</f>
        <v>383</v>
      </c>
      <c r="G384" s="5" t="str">
        <f>IFERROR(__xludf.DUMMYFUNCTION("GOOGLETRANSLATE(B384, ""en"", ""hi"")"),"खिलाड़ी B उसी बारी में रानी को सफलतापूर्वक कवर कर लेता है और अपनी आखिरी गोटी भी जेब में डाल लेता है। क्या होता है?")</f>
        <v>खिलाड़ी B उसी बारी में रानी को सफलतापूर्वक कवर कर लेता है और अपनी आखिरी गोटी भी जेब में डाल लेता है। क्या होता है?</v>
      </c>
      <c r="H384" s="5" t="str">
        <f>IFERROR(__xludf.DUMMYFUNCTION("GOOGLETRANSLATE(C384, ""en"", ""hi"")"),"A) खिलाड़ी B खेल जीत जाता है। , B) खिलाड़ी B को एक मोहरा वापस करना होगा। , C) खिलाड़ी B को दो अंक का दंड दिया जाता है। , D) खिलाड़ी B को अपनी बारी पुनः खेलनी होगी।")</f>
        <v>A) खिलाड़ी B खेल जीत जाता है। , B) खिलाड़ी B को एक मोहरा वापस करना होगा। , C) खिलाड़ी B को दो अंक का दंड दिया जाता है। , D) खिलाड़ी B को अपनी बारी पुनः खेलनी होगी।</v>
      </c>
      <c r="I384" s="5" t="str">
        <f>IFERROR(__xludf.DUMMYFUNCTION("GOOGLETRANSLATE(D384, ""en"", ""hi"")"),"A) खिलाड़ी B खेल जीतता है।")</f>
        <v>A) खिलाड़ी B खेल जीतता है।</v>
      </c>
    </row>
    <row r="385" ht="22.5" customHeight="1">
      <c r="A385" s="2">
        <v>384.0</v>
      </c>
      <c r="B385" s="3" t="s">
        <v>8875</v>
      </c>
      <c r="C385" s="3" t="s">
        <v>8876</v>
      </c>
      <c r="D385" s="3" t="s">
        <v>8519</v>
      </c>
      <c r="F385" s="5" t="str">
        <f>IFERROR(__xludf.DUMMYFUNCTION("GOOGLETRANSLATE(A385, ""en"", ""hi"")"),"384")</f>
        <v>384</v>
      </c>
      <c r="G385" s="5" t="str">
        <f>IFERROR(__xludf.DUMMYFUNCTION("GOOGLETRANSLATE(B385, ""en"", ""hi"")"),"खिलाड़ी A रानी को कवर करता है लेकिन फिर प्रतिद्वंद्वी के मोहरे को पॉकेट में डाल देता है। नियम क्या है?")</f>
        <v>खिलाड़ी A रानी को कवर करता है लेकिन फिर प्रतिद्वंद्वी के मोहरे को पॉकेट में डाल देता है। नियम क्या है?</v>
      </c>
      <c r="H385" s="5" t="str">
        <f>IFERROR(__xludf.DUMMYFUNCTION("GOOGLETRANSLATE(C385, ""en"", ""hi"")"),"A) खिलाड़ी A खेल जीतता है। , B) खिलाड़ी A रानी खो देता है। , C) खिलाड़ी A को प्रतिद्वंद्वी का मोहरा वापस करना होगा। , D) खिलाड़ी A खेलना जारी रखता है।")</f>
        <v>A) खिलाड़ी A खेल जीतता है। , B) खिलाड़ी A रानी खो देता है। , C) खिलाड़ी A को प्रतिद्वंद्वी का मोहरा वापस करना होगा। , D) खिलाड़ी A खेलना जारी रखता है।</v>
      </c>
      <c r="I385" s="5" t="str">
        <f>IFERROR(__xludf.DUMMYFUNCTION("GOOGLETRANSLATE(D385, ""en"", ""hi"")"),"बी) खिलाड़ी ए रानी खो देता है।")</f>
        <v>बी) खिलाड़ी ए रानी खो देता है।</v>
      </c>
    </row>
    <row r="386" ht="22.5" customHeight="1">
      <c r="A386" s="2">
        <v>385.0</v>
      </c>
      <c r="B386" s="3" t="s">
        <v>8877</v>
      </c>
      <c r="C386" s="3" t="s">
        <v>8869</v>
      </c>
      <c r="D386" s="3" t="s">
        <v>8870</v>
      </c>
      <c r="F386" s="5" t="str">
        <f>IFERROR(__xludf.DUMMYFUNCTION("GOOGLETRANSLATE(A386, ""en"", ""hi"")"),"385")</f>
        <v>385</v>
      </c>
      <c r="G386" s="5" t="str">
        <f>IFERROR(__xludf.DUMMYFUNCTION("GOOGLETRANSLATE(B386, ""en"", ""hi"")"),"खिलाड़ी B अपनी आखिरी गोटी पॉकेट में डाल देता है, लेकिन रानी को कवर नहीं कर पाता। क्या होता है?")</f>
        <v>खिलाड़ी B अपनी आखिरी गोटी पॉकेट में डाल देता है, लेकिन रानी को कवर नहीं कर पाता। क्या होता है?</v>
      </c>
      <c r="H386" s="5" t="str">
        <f>IFERROR(__xludf.DUMMYFUNCTION("GOOGLETRANSLATE(C386,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386" s="5" t="str">
        <f>IFERROR(__xludf.DUMMYFUNCTION("GOOGLETRANSLATE(D386, ""en"", ""hi"")"),"बी) खिलाड़ी बी को जीतने के लिए रानी को कवर करना होगा।")</f>
        <v>बी) खिलाड़ी बी को जीतने के लिए रानी को कवर करना होगा।</v>
      </c>
    </row>
    <row r="387" ht="22.5" customHeight="1">
      <c r="A387" s="2">
        <v>386.0</v>
      </c>
      <c r="B387" s="3" t="s">
        <v>8878</v>
      </c>
      <c r="C387" s="3" t="s">
        <v>8822</v>
      </c>
      <c r="D387" s="3" t="s">
        <v>8823</v>
      </c>
      <c r="F387" s="5" t="str">
        <f>IFERROR(__xludf.DUMMYFUNCTION("GOOGLETRANSLATE(A387, ""en"", ""hi"")"),"386")</f>
        <v>386</v>
      </c>
      <c r="G387" s="5" t="str">
        <f>IFERROR(__xludf.DUMMYFUNCTION("GOOGLETRANSLATE(B387, ""en"", ""hi"")"),"खिलाड़ी A रानी को पॉकेट में डाल देता है, लेकिन अगली बारी में उसे कवर नहीं करता। नियम क्या है?")</f>
        <v>खिलाड़ी A रानी को पॉकेट में डाल देता है, लेकिन अगली बारी में उसे कवर नहीं करता। नियम क्या है?</v>
      </c>
      <c r="H387" s="5" t="str">
        <f>IFERROR(__xludf.DUMMYFUNCTION("GOOGLETRANSLATE(C387,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87" s="5" t="str">
        <f>IFERROR(__xludf.DUMMYFUNCTION("GOOGLETRANSLATE(D387, ""en"", ""hi"")"),"C) खिलाड़ी A रानी खो देता है।")</f>
        <v>C) खिलाड़ी A रानी खो देता है।</v>
      </c>
    </row>
    <row r="388" ht="22.5" customHeight="1">
      <c r="A388" s="2">
        <v>387.0</v>
      </c>
      <c r="B388" s="3" t="s">
        <v>8879</v>
      </c>
      <c r="C388" s="3" t="s">
        <v>8869</v>
      </c>
      <c r="D388" s="3" t="s">
        <v>8870</v>
      </c>
      <c r="F388" s="5" t="str">
        <f>IFERROR(__xludf.DUMMYFUNCTION("GOOGLETRANSLATE(A388, ""en"", ""hi"")"),"387")</f>
        <v>387</v>
      </c>
      <c r="G388" s="5" t="str">
        <f>IFERROR(__xludf.DUMMYFUNCTION("GOOGLETRANSLATE(B388, ""en"", ""hi"")"),"खिलाड़ी B अपनी आखिरी गोटी और रानी को अलग-अलग बार पॉकेट में डालता है, लेकिन रानी को कवर नहीं करता। नतीजा क्या होता है?")</f>
        <v>खिलाड़ी B अपनी आखिरी गोटी और रानी को अलग-अलग बार पॉकेट में डालता है, लेकिन रानी को कवर नहीं करता। नतीजा क्या होता है?</v>
      </c>
      <c r="H388" s="5" t="str">
        <f>IFERROR(__xludf.DUMMYFUNCTION("GOOGLETRANSLATE(C388,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388" s="5" t="str">
        <f>IFERROR(__xludf.DUMMYFUNCTION("GOOGLETRANSLATE(D388, ""en"", ""hi"")"),"बी) खिलाड़ी बी को जीतने के लिए रानी को कवर करना होगा।")</f>
        <v>बी) खिलाड़ी बी को जीतने के लिए रानी को कवर करना होगा।</v>
      </c>
    </row>
    <row r="389" ht="22.5" customHeight="1">
      <c r="A389" s="2">
        <v>388.0</v>
      </c>
      <c r="B389" s="3" t="s">
        <v>8849</v>
      </c>
      <c r="C389" s="3" t="s">
        <v>8791</v>
      </c>
      <c r="D389" s="3" t="s">
        <v>8519</v>
      </c>
      <c r="F389" s="5" t="str">
        <f>IFERROR(__xludf.DUMMYFUNCTION("GOOGLETRANSLATE(A389, ""en"", ""hi"")"),"388")</f>
        <v>388</v>
      </c>
      <c r="G389" s="5" t="str">
        <f>IFERROR(__xludf.DUMMYFUNCTION("GOOGLETRANSLATE(B389, ""en"", ""hi"")"),"खिलाड़ी A क्वीन को कवर करता है लेकिन फिर स्ट्राइकर को पॉकेट में डाल देता है। नियम क्या है?")</f>
        <v>खिलाड़ी A क्वीन को कवर करता है लेकिन फिर स्ट्राइकर को पॉकेट में डाल देता है। नियम क्या है?</v>
      </c>
      <c r="H389" s="5" t="str">
        <f>IFERROR(__xludf.DUMMYFUNCTION("GOOGLETRANSLATE(C389,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389" s="5" t="str">
        <f>IFERROR(__xludf.DUMMYFUNCTION("GOOGLETRANSLATE(D389, ""en"", ""hi"")"),"बी) खिलाड़ी ए रानी खो देता है।")</f>
        <v>बी) खिलाड़ी ए रानी खो देता है।</v>
      </c>
    </row>
    <row r="390" ht="22.5" customHeight="1">
      <c r="A390" s="2">
        <v>389.0</v>
      </c>
      <c r="B390" s="3" t="s">
        <v>8748</v>
      </c>
      <c r="C390" s="3" t="s">
        <v>8804</v>
      </c>
      <c r="D390" s="3" t="s">
        <v>8643</v>
      </c>
      <c r="F390" s="5" t="str">
        <f>IFERROR(__xludf.DUMMYFUNCTION("GOOGLETRANSLATE(A390, ""en"", ""hi"")"),"389")</f>
        <v>389</v>
      </c>
      <c r="G390" s="5" t="str">
        <f>IFERROR(__xludf.DUMMYFUNCTION("GOOGLETRANSLATE(B390, ""en"", ""hi"")"),"खिलाड़ी B रानी को पॉकेट में डालता है, लेकिन उसे कवर करने से चूक जाता है। नियम क्या है?")</f>
        <v>खिलाड़ी B रानी को पॉकेट में डालता है, लेकिन उसे कवर करने से चूक जाता है। नियम क्या है?</v>
      </c>
      <c r="H390" s="5" t="str">
        <f>IFERROR(__xludf.DUMMYFUNCTION("GOOGLETRANSLATE(C390,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390" s="5" t="str">
        <f>IFERROR(__xludf.DUMMYFUNCTION("GOOGLETRANSLATE(D390, ""en"", ""hi"")"),"बी) रानी को केंद्र में वापस लाया जाता है।")</f>
        <v>बी) रानी को केंद्र में वापस लाया जाता है।</v>
      </c>
    </row>
    <row r="391" ht="22.5" customHeight="1">
      <c r="A391" s="2">
        <v>390.0</v>
      </c>
      <c r="B391" s="3" t="s">
        <v>8880</v>
      </c>
      <c r="C391" s="3" t="s">
        <v>8881</v>
      </c>
      <c r="D391" s="3" t="s">
        <v>8864</v>
      </c>
      <c r="F391" s="5" t="str">
        <f>IFERROR(__xludf.DUMMYFUNCTION("GOOGLETRANSLATE(A391, ""en"", ""hi"")"),"390")</f>
        <v>390</v>
      </c>
      <c r="G391" s="5" t="str">
        <f>IFERROR(__xludf.DUMMYFUNCTION("GOOGLETRANSLATE(B391, ""en"", ""hi"")"),"खिलाड़ी A अपनी आखिरी गोटी पॉकेट में डाल देता है, लेकिन रानी को कवर नहीं करता। नतीजा क्या होता है?")</f>
        <v>खिलाड़ी A अपनी आखिरी गोटी पॉकेट में डाल देता है, लेकिन रानी को कवर नहीं करता। नतीजा क्या होता है?</v>
      </c>
      <c r="H391" s="5" t="str">
        <f>IFERROR(__xludf.DUMMYFUNCTION("GOOGLETRANSLATE(C391, ""en"", ""hi"")"),"A) खिलाड़ी A खेल जीत जाता है। , B) खिलाड़ी A को जीतने के लिए रानी को ढकना होगा। , C) खिलाड़ी A को एक अंक का दंड दिया जाता है। , D) खिलाड़ी A अपनी बारी खो देता है।")</f>
        <v>A) खिलाड़ी A खेल जीत जाता है। , B) खिलाड़ी A को जीतने के लिए रानी को ढकना होगा। , C) खिलाड़ी A को एक अंक का दंड दिया जाता है। , D) खिलाड़ी A अपनी बारी खो देता है।</v>
      </c>
      <c r="I391" s="5" t="str">
        <f>IFERROR(__xludf.DUMMYFUNCTION("GOOGLETRANSLATE(D391, ""en"", ""hi"")"),"बी) खिलाड़ी ए को जीतने के लिए रानी को कवर करना होगा।")</f>
        <v>बी) खिलाड़ी ए को जीतने के लिए रानी को कवर करना होगा।</v>
      </c>
    </row>
    <row r="392" ht="22.5" customHeight="1">
      <c r="A392" s="2">
        <v>391.0</v>
      </c>
      <c r="B392" s="3" t="s">
        <v>8770</v>
      </c>
      <c r="C392" s="3" t="s">
        <v>8836</v>
      </c>
      <c r="D392" s="3" t="s">
        <v>8505</v>
      </c>
      <c r="F392" s="5" t="str">
        <f>IFERROR(__xludf.DUMMYFUNCTION("GOOGLETRANSLATE(A392, ""en"", ""hi"")"),"391")</f>
        <v>391</v>
      </c>
      <c r="G392" s="5" t="str">
        <f>IFERROR(__xludf.DUMMYFUNCTION("GOOGLETRANSLATE(B392, ""en"", ""hi"")"),"खिलाड़ी B क्वीन को कवर करता है लेकिन फिर स्ट्राइकर को पॉकेट में डाल देता है। नियम क्या है?")</f>
        <v>खिलाड़ी B क्वीन को कवर करता है लेकिन फिर स्ट्राइकर को पॉकेट में डाल देता है। नियम क्या है?</v>
      </c>
      <c r="H392" s="5" t="str">
        <f>IFERROR(__xludf.DUMMYFUNCTION("GOOGLETRANSLATE(C392,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392" s="5" t="str">
        <f>IFERROR(__xludf.DUMMYFUNCTION("GOOGLETRANSLATE(D392, ""en"", ""hi"")"),"B) खिलाड़ी B रानी खो देता है।")</f>
        <v>B) खिलाड़ी B रानी खो देता है।</v>
      </c>
    </row>
    <row r="393" ht="22.5" customHeight="1">
      <c r="A393" s="2">
        <v>392.0</v>
      </c>
      <c r="B393" s="3" t="s">
        <v>8882</v>
      </c>
      <c r="C393" s="3" t="s">
        <v>8873</v>
      </c>
      <c r="D393" s="3" t="s">
        <v>8864</v>
      </c>
      <c r="F393" s="5" t="str">
        <f>IFERROR(__xludf.DUMMYFUNCTION("GOOGLETRANSLATE(A393, ""en"", ""hi"")"),"392")</f>
        <v>392</v>
      </c>
      <c r="G393" s="5" t="str">
        <f>IFERROR(__xludf.DUMMYFUNCTION("GOOGLETRANSLATE(B393, ""en"", ""hi"")"),"खिलाड़ी A रानी और उसके सभी मोहरों को पॉकेट में डाल देता है, लेकिन रानी को कवर नहीं करता। नियम क्या है?")</f>
        <v>खिलाड़ी A रानी और उसके सभी मोहरों को पॉकेट में डाल देता है, लेकिन रानी को कवर नहीं करता। नियम क्या है?</v>
      </c>
      <c r="H393" s="5" t="str">
        <f>IFERROR(__xludf.DUMMYFUNCTION("GOOGLETRANSLATE(C393,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393" s="5" t="str">
        <f>IFERROR(__xludf.DUMMYFUNCTION("GOOGLETRANSLATE(D393, ""en"", ""hi"")"),"बी) खिलाड़ी ए को जीतने के लिए रानी को कवर करना होगा।")</f>
        <v>बी) खिलाड़ी ए को जीतने के लिए रानी को कवर करना होगा।</v>
      </c>
    </row>
    <row r="394" ht="22.5" customHeight="1">
      <c r="A394" s="2">
        <v>393.0</v>
      </c>
      <c r="B394" s="3" t="s">
        <v>8808</v>
      </c>
      <c r="C394" s="3" t="s">
        <v>8809</v>
      </c>
      <c r="D394" s="3" t="s">
        <v>8413</v>
      </c>
      <c r="F394" s="5" t="str">
        <f>IFERROR(__xludf.DUMMYFUNCTION("GOOGLETRANSLATE(A394, ""en"", ""hi"")"),"393")</f>
        <v>393</v>
      </c>
      <c r="G394" s="5" t="str">
        <f>IFERROR(__xludf.DUMMYFUNCTION("GOOGLETRANSLATE(B394, ""en"", ""hi"")"),"खिलाड़ी B अपनी आखिरी गोटी सफलतापूर्वक पॉकेट में डाल देता है और रानी को कवर कर लेता है। अब क्या होता है?")</f>
        <v>खिलाड़ी B अपनी आखिरी गोटी सफलतापूर्वक पॉकेट में डाल देता है और रानी को कवर कर लेता है। अब क्या होता है?</v>
      </c>
      <c r="H394" s="5" t="str">
        <f>IFERROR(__xludf.DUMMYFUNCTION("GOOGLETRANSLATE(C394, ""en"", ""hi"")"),"A) खिलाड़ी B खेल जीत जाता है। , B) खिलाड़ी B को एक मोहरा वापस करना होगा। , C) खिलाड़ी B को एक अंक का दंड दिया जाता है। , D) खिलाड़ी B खेलना जारी रखता है।")</f>
        <v>A) खिलाड़ी B खेल जीत जाता है। , B) खिलाड़ी B को एक मोहरा वापस करना होगा। , C) खिलाड़ी B को एक अंक का दंड दिया जाता है। , D) खिलाड़ी B खेलना जारी रखता है।</v>
      </c>
      <c r="I394" s="5" t="str">
        <f>IFERROR(__xludf.DUMMYFUNCTION("GOOGLETRANSLATE(D394, ""en"", ""hi"")"),"A) खिलाड़ी B खेल जीतता है।")</f>
        <v>A) खिलाड़ी B खेल जीतता है।</v>
      </c>
    </row>
    <row r="395" ht="22.5" customHeight="1">
      <c r="A395" s="2">
        <v>394.0</v>
      </c>
      <c r="B395" s="3" t="s">
        <v>8857</v>
      </c>
      <c r="C395" s="3" t="s">
        <v>8822</v>
      </c>
      <c r="D395" s="3" t="s">
        <v>8823</v>
      </c>
      <c r="F395" s="5" t="str">
        <f>IFERROR(__xludf.DUMMYFUNCTION("GOOGLETRANSLATE(A395, ""en"", ""hi"")"),"394")</f>
        <v>394</v>
      </c>
      <c r="G395" s="5" t="str">
        <f>IFERROR(__xludf.DUMMYFUNCTION("GOOGLETRANSLATE(B395, ""en"", ""hi"")"),"खिलाड़ी A एक मोहरा और फिर रानी को पॉकेट में डालता है, लेकिन अगली बारी में रानी को कवर नहीं कर पाता। नियम क्या है?")</f>
        <v>खिलाड़ी A एक मोहरा और फिर रानी को पॉकेट में डालता है, लेकिन अगली बारी में रानी को कवर नहीं कर पाता। नियम क्या है?</v>
      </c>
      <c r="H395" s="5" t="str">
        <f>IFERROR(__xludf.DUMMYFUNCTION("GOOGLETRANSLATE(C395,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95" s="5" t="str">
        <f>IFERROR(__xludf.DUMMYFUNCTION("GOOGLETRANSLATE(D395, ""en"", ""hi"")"),"C) खिलाड़ी A रानी खो देता है।")</f>
        <v>C) खिलाड़ी A रानी खो देता है।</v>
      </c>
    </row>
    <row r="396" ht="22.5" customHeight="1">
      <c r="A396" s="2">
        <v>395.0</v>
      </c>
      <c r="B396" s="3" t="s">
        <v>8839</v>
      </c>
      <c r="C396" s="3" t="s">
        <v>8840</v>
      </c>
      <c r="D396" s="3" t="s">
        <v>8505</v>
      </c>
      <c r="F396" s="5" t="str">
        <f>IFERROR(__xludf.DUMMYFUNCTION("GOOGLETRANSLATE(A396, ""en"", ""hi"")"),"395")</f>
        <v>395</v>
      </c>
      <c r="G396" s="5" t="str">
        <f>IFERROR(__xludf.DUMMYFUNCTION("GOOGLETRANSLATE(B396, ""en"", ""hi"")"),"खिलाड़ी B अपनी आखिरी गोटी पॉकेट में डाल देता है, लेकिन गलती से उसी बारी में रानी भी पॉकेट में डाल देता है। नतीजा क्या होता है?")</f>
        <v>खिलाड़ी B अपनी आखिरी गोटी पॉकेट में डाल देता है, लेकिन गलती से उसी बारी में रानी भी पॉकेट में डाल देता है। नतीजा क्या होता है?</v>
      </c>
      <c r="H396" s="5" t="str">
        <f>IFERROR(__xludf.DUMMYFUNCTION("GOOGLETRANSLATE(C396, ""en"", ""hi"")"),"A) खिलाड़ी B खेल जीत जाता है। , B) खिलाड़ी B रानी खो देता है। , C) खिलाड़ी B को एक मोहरा वापस करना होगा। , D) खिलाड़ी B को दो अंक का दंड दिया जाता है।")</f>
        <v>A) खिलाड़ी B खेल जीत जाता है। , B) खिलाड़ी B रानी खो देता है। , C) खिलाड़ी B को एक मोहरा वापस करना होगा। , D) खिलाड़ी B को दो अंक का दंड दिया जाता है।</v>
      </c>
      <c r="I396" s="5" t="str">
        <f>IFERROR(__xludf.DUMMYFUNCTION("GOOGLETRANSLATE(D396, ""en"", ""hi"")"),"B) खिलाड़ी B रानी खो देता है।")</f>
        <v>B) खिलाड़ी B रानी खो देता है।</v>
      </c>
    </row>
    <row r="397" ht="22.5" customHeight="1">
      <c r="A397" s="2">
        <v>396.0</v>
      </c>
      <c r="B397" s="3" t="s">
        <v>8883</v>
      </c>
      <c r="C397" s="3" t="s">
        <v>8822</v>
      </c>
      <c r="D397" s="3" t="s">
        <v>8823</v>
      </c>
      <c r="F397" s="5" t="str">
        <f>IFERROR(__xludf.DUMMYFUNCTION("GOOGLETRANSLATE(A397, ""en"", ""hi"")"),"396")</f>
        <v>396</v>
      </c>
      <c r="G397" s="5" t="str">
        <f>IFERROR(__xludf.DUMMYFUNCTION("GOOGLETRANSLATE(B397, ""en"", ""hi"")"),"खिलाड़ी A रानी को पॉकेट में डालता है, लेकिन उसे कवर नहीं करता। नियम क्या है?")</f>
        <v>खिलाड़ी A रानी को पॉकेट में डालता है, लेकिन उसे कवर नहीं करता। नियम क्या है?</v>
      </c>
      <c r="H397" s="5" t="str">
        <f>IFERROR(__xludf.DUMMYFUNCTION("GOOGLETRANSLATE(C397,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397" s="5" t="str">
        <f>IFERROR(__xludf.DUMMYFUNCTION("GOOGLETRANSLATE(D397, ""en"", ""hi"")"),"C) खिलाड़ी A रानी खो देता है।")</f>
        <v>C) खिलाड़ी A रानी खो देता है।</v>
      </c>
    </row>
    <row r="398" ht="22.5" customHeight="1">
      <c r="A398" s="2">
        <v>397.0</v>
      </c>
      <c r="B398" s="3" t="s">
        <v>8842</v>
      </c>
      <c r="C398" s="3" t="s">
        <v>8884</v>
      </c>
      <c r="D398" s="3" t="s">
        <v>8870</v>
      </c>
      <c r="F398" s="5" t="str">
        <f>IFERROR(__xludf.DUMMYFUNCTION("GOOGLETRANSLATE(A398, ""en"", ""hi"")"),"397")</f>
        <v>397</v>
      </c>
      <c r="G398" s="5" t="str">
        <f>IFERROR(__xludf.DUMMYFUNCTION("GOOGLETRANSLATE(B398, ""en"", ""hi"")"),"खिलाड़ी B अपने सभी मोहरे पॉकेट में डाल देता है, लेकिन रानी को कवर नहीं कर पाता। नियम क्या है?")</f>
        <v>खिलाड़ी B अपने सभी मोहरे पॉकेट में डाल देता है, लेकिन रानी को कवर नहीं कर पाता। नियम क्या है?</v>
      </c>
      <c r="H398" s="5" t="str">
        <f>IFERROR(__xludf.DUMMYFUNCTION("GOOGLETRANSLATE(C398, ""en"", ""hi"")"),"A) खिलाड़ी B खेल जीत जाता है। , B) खिलाड़ी B को जीतने के लिए रानी को ढकना होगा। , C) खिलाड़ी B को एक अंक का दंड दिया जाता है। , D) खिलाड़ी B अपनी बारी खो देता है।")</f>
        <v>A) खिलाड़ी B खेल जीत जाता है। , B) खिलाड़ी B को जीतने के लिए रानी को ढकना होगा। , C) खिलाड़ी B को एक अंक का दंड दिया जाता है। , D) खिलाड़ी B अपनी बारी खो देता है।</v>
      </c>
      <c r="I398" s="5" t="str">
        <f>IFERROR(__xludf.DUMMYFUNCTION("GOOGLETRANSLATE(D398, ""en"", ""hi"")"),"बी) खिलाड़ी बी को जीतने के लिए रानी को कवर करना होगा।")</f>
        <v>बी) खिलाड़ी बी को जीतने के लिए रानी को कवर करना होगा।</v>
      </c>
    </row>
    <row r="399" ht="22.5" customHeight="1">
      <c r="A399" s="2">
        <v>398.0</v>
      </c>
      <c r="B399" s="3" t="s">
        <v>8843</v>
      </c>
      <c r="C399" s="3" t="s">
        <v>8803</v>
      </c>
      <c r="D399" s="3" t="s">
        <v>8519</v>
      </c>
      <c r="F399" s="5" t="str">
        <f>IFERROR(__xludf.DUMMYFUNCTION("GOOGLETRANSLATE(A399, ""en"", ""hi"")"),"398")</f>
        <v>398</v>
      </c>
      <c r="G399" s="5" t="str">
        <f>IFERROR(__xludf.DUMMYFUNCTION("GOOGLETRANSLATE(B399, ""en"", ""hi"")"),"खिलाड़ी A रानी को सफलतापूर्वक कवर करता है, लेकिन फिर गलती से स्ट्राइकर को पॉकेट में डाल देता है। क्या होता है?")</f>
        <v>खिलाड़ी A रानी को सफलतापूर्वक कवर करता है, लेकिन फिर गलती से स्ट्राइकर को पॉकेट में डाल देता है। क्या होता है?</v>
      </c>
      <c r="H399" s="5" t="str">
        <f>IFERROR(__xludf.DUMMYFUNCTION("GOOGLETRANSLATE(C399,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399" s="5" t="str">
        <f>IFERROR(__xludf.DUMMYFUNCTION("GOOGLETRANSLATE(D399, ""en"", ""hi"")"),"बी) खिलाड़ी ए रानी खो देता है।")</f>
        <v>बी) खिलाड़ी ए रानी खो देता है।</v>
      </c>
    </row>
    <row r="400" ht="22.5" customHeight="1">
      <c r="A400" s="2">
        <v>399.0</v>
      </c>
      <c r="B400" s="3" t="s">
        <v>8844</v>
      </c>
      <c r="C400" s="3" t="s">
        <v>8845</v>
      </c>
      <c r="D400" s="3" t="s">
        <v>8505</v>
      </c>
      <c r="F400" s="5" t="str">
        <f>IFERROR(__xludf.DUMMYFUNCTION("GOOGLETRANSLATE(A400, ""en"", ""hi"")"),"399")</f>
        <v>399</v>
      </c>
      <c r="G400" s="5" t="str">
        <f>IFERROR(__xludf.DUMMYFUNCTION("GOOGLETRANSLATE(B400, ""en"", ""hi"")"),"खिलाड़ी B रानी को कवर करता है और फिर प्रतिद्वंद्वी के मोहरे को पॉकेट में डाल देता है। परिणाम क्या होता है?")</f>
        <v>खिलाड़ी B रानी को कवर करता है और फिर प्रतिद्वंद्वी के मोहरे को पॉकेट में डाल देता है। परिणाम क्या होता है?</v>
      </c>
      <c r="H400" s="5" t="str">
        <f>IFERROR(__xludf.DUMMYFUNCTION("GOOGLETRANSLATE(C400, ""en"", ""hi"")"),"A) खिलाड़ी B खेल जीतता है। , B) खिलाड़ी B रानी खो देता है। , C) खिलाड़ी B को प्रतिद्वंद्वी का मोहरा वापस करना होगा। , D) खिलाड़ी B खेलना जारी रखता है।")</f>
        <v>A) खिलाड़ी B खेल जीतता है। , B) खिलाड़ी B रानी खो देता है। , C) खिलाड़ी B को प्रतिद्वंद्वी का मोहरा वापस करना होगा। , D) खिलाड़ी B खेलना जारी रखता है।</v>
      </c>
      <c r="I400" s="5" t="str">
        <f>IFERROR(__xludf.DUMMYFUNCTION("GOOGLETRANSLATE(D400, ""en"", ""hi"")"),"B) खिलाड़ी B रानी खो देता है।")</f>
        <v>B) खिलाड़ी B रानी खो देता है।</v>
      </c>
    </row>
    <row r="401" ht="22.5" customHeight="1">
      <c r="A401" s="2">
        <v>400.0</v>
      </c>
      <c r="B401" s="3" t="s">
        <v>8885</v>
      </c>
      <c r="C401" s="3" t="s">
        <v>8873</v>
      </c>
      <c r="D401" s="3" t="s">
        <v>8864</v>
      </c>
      <c r="F401" s="5" t="str">
        <f>IFERROR(__xludf.DUMMYFUNCTION("GOOGLETRANSLATE(A401, ""en"", ""hi"")"),"400")</f>
        <v>400</v>
      </c>
      <c r="G401" s="5" t="str">
        <f>IFERROR(__xludf.DUMMYFUNCTION("GOOGLETRANSLATE(B401, ""en"", ""hi"")"),"खिलाड़ी A अपनी सभी गोटियाँ और रानी पॉकेट में डाल देता है, लेकिन रानी को कवर नहीं कर पाता। नतीजा क्या होता है?")</f>
        <v>खिलाड़ी A अपनी सभी गोटियाँ और रानी पॉकेट में डाल देता है, लेकिन रानी को कवर नहीं कर पाता। नतीजा क्या होता है?</v>
      </c>
      <c r="H401" s="5" t="str">
        <f>IFERROR(__xludf.DUMMYFUNCTION("GOOGLETRANSLATE(C401,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01" s="5" t="str">
        <f>IFERROR(__xludf.DUMMYFUNCTION("GOOGLETRANSLATE(D401, ""en"", ""hi"")"),"बी) खिलाड़ी ए को जीतने के लिए रानी को कवर करना होगा।")</f>
        <v>बी) खिलाड़ी ए को जीतने के लिए रानी को कवर करना होगा।</v>
      </c>
    </row>
    <row r="402" ht="22.5" customHeight="1">
      <c r="A402" s="2">
        <v>401.0</v>
      </c>
      <c r="B402" s="3" t="s">
        <v>8886</v>
      </c>
      <c r="C402" s="3" t="s">
        <v>8887</v>
      </c>
      <c r="D402" s="3" t="s">
        <v>8870</v>
      </c>
      <c r="F402" s="5" t="str">
        <f>IFERROR(__xludf.DUMMYFUNCTION("GOOGLETRANSLATE(A402, ""en"", ""hi"")"),"401")</f>
        <v>401</v>
      </c>
      <c r="G402" s="5" t="str">
        <f>IFERROR(__xludf.DUMMYFUNCTION("GOOGLETRANSLATE(B402, ""en"", ""hi"")"),"खिलाड़ी B एक ही बारी में अपनी आखिरी गोटी और रानी को पॉकेट में डाल देता है, लेकिन रानी को कवर नहीं करता। क्या होता है?")</f>
        <v>खिलाड़ी B एक ही बारी में अपनी आखिरी गोटी और रानी को पॉकेट में डाल देता है, लेकिन रानी को कवर नहीं करता। क्या होता है?</v>
      </c>
      <c r="H402" s="5" t="str">
        <f>IFERROR(__xludf.DUMMYFUNCTION("GOOGLETRANSLATE(C402, ""en"", ""hi"")"),"ए) खिलाड़ी बी खेल जीतता है। , बी) खिलाड़ी बी को जीतने के लिए रानी को कवर करना होगा। , सी) खिलाड़ी बी को एक अंक का दंड दिया जाता है। , डी) खिलाड़ी बी को बारी फिर से खेलनी होगी।")</f>
        <v>ए) खिलाड़ी बी खेल जीतता है। , बी) खिलाड़ी बी को जीतने के लिए रानी को कवर करना होगा। , सी) खिलाड़ी बी को एक अंक का दंड दिया जाता है। , डी) खिलाड़ी बी को बारी फिर से खेलनी होगी।</v>
      </c>
      <c r="I402" s="5" t="str">
        <f>IFERROR(__xludf.DUMMYFUNCTION("GOOGLETRANSLATE(D402, ""en"", ""hi"")"),"बी) खिलाड़ी बी को जीतने के लिए रानी को कवर करना होगा।")</f>
        <v>बी) खिलाड़ी बी को जीतने के लिए रानी को कवर करना होगा।</v>
      </c>
    </row>
    <row r="403" ht="22.5" customHeight="1">
      <c r="A403" s="2">
        <v>402.0</v>
      </c>
      <c r="B403" s="3" t="s">
        <v>8888</v>
      </c>
      <c r="C403" s="3" t="s">
        <v>8822</v>
      </c>
      <c r="D403" s="3" t="s">
        <v>8823</v>
      </c>
      <c r="F403" s="5" t="str">
        <f>IFERROR(__xludf.DUMMYFUNCTION("GOOGLETRANSLATE(A403, ""en"", ""hi"")"),"402")</f>
        <v>402</v>
      </c>
      <c r="G403" s="5" t="str">
        <f>IFERROR(__xludf.DUMMYFUNCTION("GOOGLETRANSLATE(B403, ""en"", ""hi"")"),"खिलाड़ी A रानी और अपनी आखिरी गोटी पॉकेट में डाल देता है, लेकिन रानी को कवर नहीं करता। नियम क्या है?")</f>
        <v>खिलाड़ी A रानी और अपनी आखिरी गोटी पॉकेट में डाल देता है, लेकिन रानी को कवर नहीं करता। नियम क्या है?</v>
      </c>
      <c r="H403" s="5" t="str">
        <f>IFERROR(__xludf.DUMMYFUNCTION("GOOGLETRANSLATE(C403,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403" s="5" t="str">
        <f>IFERROR(__xludf.DUMMYFUNCTION("GOOGLETRANSLATE(D403, ""en"", ""hi"")"),"C) खिलाड़ी A रानी खो देता है।")</f>
        <v>C) खिलाड़ी A रानी खो देता है।</v>
      </c>
    </row>
    <row r="404" ht="22.5" customHeight="1">
      <c r="A404" s="2">
        <v>403.0</v>
      </c>
      <c r="B404" s="3" t="s">
        <v>8831</v>
      </c>
      <c r="C404" s="3" t="s">
        <v>8836</v>
      </c>
      <c r="D404" s="3" t="s">
        <v>8505</v>
      </c>
      <c r="F404" s="5" t="str">
        <f>IFERROR(__xludf.DUMMYFUNCTION("GOOGLETRANSLATE(A404, ""en"", ""hi"")"),"403")</f>
        <v>403</v>
      </c>
      <c r="G404" s="5" t="str">
        <f>IFERROR(__xludf.DUMMYFUNCTION("GOOGLETRANSLATE(B404, ""en"", ""hi"")"),"खिलाड़ी B रानी को सफलतापूर्वक कवर करता है, लेकिन फिर स्ट्राइकर को पॉकेट में डाल देता है। क्या होता है?")</f>
        <v>खिलाड़ी B रानी को सफलतापूर्वक कवर करता है, लेकिन फिर स्ट्राइकर को पॉकेट में डाल देता है। क्या होता है?</v>
      </c>
      <c r="H404" s="5" t="str">
        <f>IFERROR(__xludf.DUMMYFUNCTION("GOOGLETRANSLATE(C404,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404" s="5" t="str">
        <f>IFERROR(__xludf.DUMMYFUNCTION("GOOGLETRANSLATE(D404, ""en"", ""hi"")"),"B) खिलाड़ी B रानी खो देता है।")</f>
        <v>B) खिलाड़ी B रानी खो देता है।</v>
      </c>
    </row>
    <row r="405" ht="22.5" customHeight="1">
      <c r="A405" s="2">
        <v>404.0</v>
      </c>
      <c r="B405" s="3" t="s">
        <v>8889</v>
      </c>
      <c r="C405" s="3" t="s">
        <v>8873</v>
      </c>
      <c r="D405" s="3" t="s">
        <v>8864</v>
      </c>
      <c r="F405" s="5" t="str">
        <f>IFERROR(__xludf.DUMMYFUNCTION("GOOGLETRANSLATE(A405, ""en"", ""hi"")"),"404")</f>
        <v>404</v>
      </c>
      <c r="G405" s="5" t="str">
        <f>IFERROR(__xludf.DUMMYFUNCTION("GOOGLETRANSLATE(B405, ""en"", ""hi"")"),"खिलाड़ी A अपनी सभी गोटियाँ और रानी पॉकेट में डाल देता है, लेकिन रानी को कवर नहीं कर पाता। नियम क्या है?")</f>
        <v>खिलाड़ी A अपनी सभी गोटियाँ और रानी पॉकेट में डाल देता है, लेकिन रानी को कवर नहीं कर पाता। नियम क्या है?</v>
      </c>
      <c r="H405" s="5" t="str">
        <f>IFERROR(__xludf.DUMMYFUNCTION("GOOGLETRANSLATE(C405,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05" s="5" t="str">
        <f>IFERROR(__xludf.DUMMYFUNCTION("GOOGLETRANSLATE(D405, ""en"", ""hi"")"),"बी) खिलाड़ी ए को जीतने के लिए रानी को कवर करना होगा।")</f>
        <v>बी) खिलाड़ी ए को जीतने के लिए रानी को कवर करना होगा।</v>
      </c>
    </row>
    <row r="406" ht="22.5" customHeight="1">
      <c r="A406" s="2">
        <v>405.0</v>
      </c>
      <c r="B406" s="3" t="s">
        <v>8777</v>
      </c>
      <c r="C406" s="3" t="s">
        <v>8845</v>
      </c>
      <c r="D406" s="3" t="s">
        <v>8505</v>
      </c>
      <c r="F406" s="5" t="str">
        <f>IFERROR(__xludf.DUMMYFUNCTION("GOOGLETRANSLATE(A406, ""en"", ""hi"")"),"405")</f>
        <v>405</v>
      </c>
      <c r="G406" s="5" t="str">
        <f>IFERROR(__xludf.DUMMYFUNCTION("GOOGLETRANSLATE(B406, ""en"", ""hi"")"),"खिलाड़ी B रानी को कवर करता है लेकिन फिर प्रतिद्वंद्वी के मोहरे को पॉकेट में डाल देता है। नतीजा क्या होता है?")</f>
        <v>खिलाड़ी B रानी को कवर करता है लेकिन फिर प्रतिद्वंद्वी के मोहरे को पॉकेट में डाल देता है। नतीजा क्या होता है?</v>
      </c>
      <c r="H406" s="5" t="str">
        <f>IFERROR(__xludf.DUMMYFUNCTION("GOOGLETRANSLATE(C406, ""en"", ""hi"")"),"A) खिलाड़ी B खेल जीतता है। , B) खिलाड़ी B रानी खो देता है। , C) खिलाड़ी B को प्रतिद्वंद्वी का मोहरा वापस करना होगा। , D) खिलाड़ी B खेलना जारी रखता है।")</f>
        <v>A) खिलाड़ी B खेल जीतता है। , B) खिलाड़ी B रानी खो देता है। , C) खिलाड़ी B को प्रतिद्वंद्वी का मोहरा वापस करना होगा। , D) खिलाड़ी B खेलना जारी रखता है।</v>
      </c>
      <c r="I406" s="5" t="str">
        <f>IFERROR(__xludf.DUMMYFUNCTION("GOOGLETRANSLATE(D406, ""en"", ""hi"")"),"B) खिलाड़ी B रानी खो देता है।")</f>
        <v>B) खिलाड़ी B रानी खो देता है।</v>
      </c>
    </row>
    <row r="407" ht="22.5" customHeight="1">
      <c r="A407" s="2">
        <v>406.0</v>
      </c>
      <c r="B407" s="3" t="s">
        <v>8890</v>
      </c>
      <c r="C407" s="3" t="s">
        <v>8873</v>
      </c>
      <c r="D407" s="3" t="s">
        <v>8864</v>
      </c>
      <c r="F407" s="5" t="str">
        <f>IFERROR(__xludf.DUMMYFUNCTION("GOOGLETRANSLATE(A407, ""en"", ""hi"")"),"406")</f>
        <v>406</v>
      </c>
      <c r="G407" s="5" t="str">
        <f>IFERROR(__xludf.DUMMYFUNCTION("GOOGLETRANSLATE(B407, ""en"", ""hi"")"),"खिलाड़ी A रानी और अपनी आखिरी गोटी पॉकेट में डाल देता है, लेकिन रानी को कवर नहीं कर पाता। क्या होता है?")</f>
        <v>खिलाड़ी A रानी और अपनी आखिरी गोटी पॉकेट में डाल देता है, लेकिन रानी को कवर नहीं कर पाता। क्या होता है?</v>
      </c>
      <c r="H407" s="5" t="str">
        <f>IFERROR(__xludf.DUMMYFUNCTION("GOOGLETRANSLATE(C407,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07" s="5" t="str">
        <f>IFERROR(__xludf.DUMMYFUNCTION("GOOGLETRANSLATE(D407, ""en"", ""hi"")"),"बी) खिलाड़ी ए को जीतने के लिए रानी को कवर करना होगा।")</f>
        <v>बी) खिलाड़ी ए को जीतने के लिए रानी को कवर करना होगा।</v>
      </c>
    </row>
    <row r="408" ht="22.5" customHeight="1">
      <c r="A408" s="2">
        <v>407.0</v>
      </c>
      <c r="B408" s="3" t="s">
        <v>8891</v>
      </c>
      <c r="C408" s="3" t="s">
        <v>8804</v>
      </c>
      <c r="D408" s="3" t="s">
        <v>8643</v>
      </c>
      <c r="F408" s="5" t="str">
        <f>IFERROR(__xludf.DUMMYFUNCTION("GOOGLETRANSLATE(A408, ""en"", ""hi"")"),"407")</f>
        <v>407</v>
      </c>
      <c r="G408" s="5" t="str">
        <f>IFERROR(__xludf.DUMMYFUNCTION("GOOGLETRANSLATE(B408, ""en"", ""hi"")"),"खिलाड़ी B रानी को पॉकेट में डालता है, लेकिन उसे कवर नहीं करता। नियम क्या है?")</f>
        <v>खिलाड़ी B रानी को पॉकेट में डालता है, लेकिन उसे कवर नहीं करता। नियम क्या है?</v>
      </c>
      <c r="H408" s="5" t="str">
        <f>IFERROR(__xludf.DUMMYFUNCTION("GOOGLETRANSLATE(C408,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408" s="5" t="str">
        <f>IFERROR(__xludf.DUMMYFUNCTION("GOOGLETRANSLATE(D408, ""en"", ""hi"")"),"बी) रानी को केंद्र में वापस लाया जाता है।")</f>
        <v>बी) रानी को केंद्र में वापस लाया जाता है।</v>
      </c>
    </row>
    <row r="409" ht="22.5" customHeight="1">
      <c r="A409" s="2">
        <v>408.0</v>
      </c>
      <c r="B409" s="3" t="s">
        <v>8892</v>
      </c>
      <c r="C409" s="3" t="s">
        <v>8876</v>
      </c>
      <c r="D409" s="3" t="s">
        <v>8519</v>
      </c>
      <c r="F409" s="5" t="str">
        <f>IFERROR(__xludf.DUMMYFUNCTION("GOOGLETRANSLATE(A409, ""en"", ""hi"")"),"408")</f>
        <v>408</v>
      </c>
      <c r="G409" s="5" t="str">
        <f>IFERROR(__xludf.DUMMYFUNCTION("GOOGLETRANSLATE(B409, ""en"", ""hi"")"),"खिलाड़ी A रानी को कवर करता है लेकिन फिर प्रतिद्वंद्वी के मोहरे को पॉकेट में डाल देता है। नतीजा क्या होता है?")</f>
        <v>खिलाड़ी A रानी को कवर करता है लेकिन फिर प्रतिद्वंद्वी के मोहरे को पॉकेट में डाल देता है। नतीजा क्या होता है?</v>
      </c>
      <c r="H409" s="5" t="str">
        <f>IFERROR(__xludf.DUMMYFUNCTION("GOOGLETRANSLATE(C409, ""en"", ""hi"")"),"A) खिलाड़ी A खेल जीतता है। , B) खिलाड़ी A रानी खो देता है। , C) खिलाड़ी A को प्रतिद्वंद्वी का मोहरा वापस करना होगा। , D) खिलाड़ी A खेलना जारी रखता है।")</f>
        <v>A) खिलाड़ी A खेल जीतता है। , B) खिलाड़ी A रानी खो देता है। , C) खिलाड़ी A को प्रतिद्वंद्वी का मोहरा वापस करना होगा। , D) खिलाड़ी A खेलना जारी रखता है।</v>
      </c>
      <c r="I409" s="5" t="str">
        <f>IFERROR(__xludf.DUMMYFUNCTION("GOOGLETRANSLATE(D409, ""en"", ""hi"")"),"बी) खिलाड़ी ए रानी खो देता है।")</f>
        <v>बी) खिलाड़ी ए रानी खो देता है।</v>
      </c>
    </row>
    <row r="410" ht="22.5" customHeight="1">
      <c r="A410" s="2">
        <v>409.0</v>
      </c>
      <c r="B410" s="3" t="s">
        <v>8784</v>
      </c>
      <c r="C410" s="3" t="s">
        <v>8869</v>
      </c>
      <c r="D410" s="3" t="s">
        <v>8870</v>
      </c>
      <c r="F410" s="5" t="str">
        <f>IFERROR(__xludf.DUMMYFUNCTION("GOOGLETRANSLATE(A410, ""en"", ""hi"")"),"409")</f>
        <v>409</v>
      </c>
      <c r="G410" s="5" t="str">
        <f>IFERROR(__xludf.DUMMYFUNCTION("GOOGLETRANSLATE(B410, ""en"", ""hi"")"),"खिलाड़ी B अपना आखिरी मोहरा पॉकेट में डाल देता है, लेकिन रानी को कवर नहीं कर पाता। नियम क्या है?")</f>
        <v>खिलाड़ी B अपना आखिरी मोहरा पॉकेट में डाल देता है, लेकिन रानी को कवर नहीं कर पाता। नियम क्या है?</v>
      </c>
      <c r="H410" s="5" t="str">
        <f>IFERROR(__xludf.DUMMYFUNCTION("GOOGLETRANSLATE(C410,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10" s="5" t="str">
        <f>IFERROR(__xludf.DUMMYFUNCTION("GOOGLETRANSLATE(D410, ""en"", ""hi"")"),"बी) खिलाड़ी बी को जीतने के लिए रानी को कवर करना होगा।")</f>
        <v>बी) खिलाड़ी बी को जीतने के लिए रानी को कवर करना होगा।</v>
      </c>
    </row>
    <row r="411" ht="22.5" customHeight="1">
      <c r="A411" s="2">
        <v>410.0</v>
      </c>
      <c r="B411" s="3" t="s">
        <v>8893</v>
      </c>
      <c r="C411" s="3" t="s">
        <v>8822</v>
      </c>
      <c r="D411" s="3" t="s">
        <v>8823</v>
      </c>
      <c r="F411" s="5" t="str">
        <f>IFERROR(__xludf.DUMMYFUNCTION("GOOGLETRANSLATE(A411, ""en"", ""hi"")"),"410")</f>
        <v>410</v>
      </c>
      <c r="G411" s="5" t="str">
        <f>IFERROR(__xludf.DUMMYFUNCTION("GOOGLETRANSLATE(B411, ""en"", ""hi"")"),"खिलाड़ी A रानी को पॉकेट में डाल देता है, लेकिन अगली बारी में उसे कवर नहीं करता। नतीजा क्या होता है?")</f>
        <v>खिलाड़ी A रानी को पॉकेट में डाल देता है, लेकिन अगली बारी में उसे कवर नहीं करता। नतीजा क्या होता है?</v>
      </c>
      <c r="H411" s="5" t="str">
        <f>IFERROR(__xludf.DUMMYFUNCTION("GOOGLETRANSLATE(C411,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411" s="5" t="str">
        <f>IFERROR(__xludf.DUMMYFUNCTION("GOOGLETRANSLATE(D411, ""en"", ""hi"")"),"C) खिलाड़ी A रानी खो देता है।")</f>
        <v>C) खिलाड़ी A रानी खो देता है।</v>
      </c>
    </row>
    <row r="412" ht="22.5" customHeight="1">
      <c r="A412" s="2">
        <v>411.0</v>
      </c>
      <c r="B412" s="3" t="s">
        <v>8894</v>
      </c>
      <c r="C412" s="3" t="s">
        <v>8887</v>
      </c>
      <c r="D412" s="3" t="s">
        <v>8870</v>
      </c>
      <c r="F412" s="5" t="str">
        <f>IFERROR(__xludf.DUMMYFUNCTION("GOOGLETRANSLATE(A412, ""en"", ""hi"")"),"411")</f>
        <v>411</v>
      </c>
      <c r="G412" s="5" t="str">
        <f>IFERROR(__xludf.DUMMYFUNCTION("GOOGLETRANSLATE(B412, ""en"", ""hi"")"),"खिलाड़ी B एक ही बारी में अपनी आखिरी गोटी और रानी को पॉकेट में डाल देता है, लेकिन रानी को कवर नहीं कर पाता। आगे क्या होता है?")</f>
        <v>खिलाड़ी B एक ही बारी में अपनी आखिरी गोटी और रानी को पॉकेट में डाल देता है, लेकिन रानी को कवर नहीं कर पाता। आगे क्या होता है?</v>
      </c>
      <c r="H412" s="5" t="str">
        <f>IFERROR(__xludf.DUMMYFUNCTION("GOOGLETRANSLATE(C412, ""en"", ""hi"")"),"ए) खिलाड़ी बी खेल जीतता है। , बी) खिलाड़ी बी को जीतने के लिए रानी को कवर करना होगा। , सी) खिलाड़ी बी को एक अंक का दंड दिया जाता है। , डी) खिलाड़ी बी को बारी फिर से खेलनी होगी।")</f>
        <v>ए) खिलाड़ी बी खेल जीतता है। , बी) खिलाड़ी बी को जीतने के लिए रानी को कवर करना होगा। , सी) खिलाड़ी बी को एक अंक का दंड दिया जाता है। , डी) खिलाड़ी बी को बारी फिर से खेलनी होगी।</v>
      </c>
      <c r="I412" s="5" t="str">
        <f>IFERROR(__xludf.DUMMYFUNCTION("GOOGLETRANSLATE(D412, ""en"", ""hi"")"),"बी) खिलाड़ी बी को जीतने के लिए रानी को कवर करना होगा।")</f>
        <v>बी) खिलाड़ी बी को जीतने के लिए रानी को कवर करना होगा।</v>
      </c>
    </row>
    <row r="413" ht="22.5" customHeight="1">
      <c r="A413" s="2">
        <v>412.0</v>
      </c>
      <c r="B413" s="3" t="s">
        <v>8895</v>
      </c>
      <c r="C413" s="3" t="s">
        <v>8822</v>
      </c>
      <c r="D413" s="3" t="s">
        <v>8823</v>
      </c>
      <c r="F413" s="5" t="str">
        <f>IFERROR(__xludf.DUMMYFUNCTION("GOOGLETRANSLATE(A413, ""en"", ""hi"")"),"412")</f>
        <v>412</v>
      </c>
      <c r="G413" s="5" t="str">
        <f>IFERROR(__xludf.DUMMYFUNCTION("GOOGLETRANSLATE(B413, ""en"", ""hi"")"),"खिलाड़ी A अपनी आखिरी गोटी और फिर रानी को अलग-अलग बारी में पॉकेट में डालता है, लेकिन रानी को कवर नहीं करता। नियम क्या है?")</f>
        <v>खिलाड़ी A अपनी आखिरी गोटी और फिर रानी को अलग-अलग बारी में पॉकेट में डालता है, लेकिन रानी को कवर नहीं करता। नियम क्या है?</v>
      </c>
      <c r="H413" s="5" t="str">
        <f>IFERROR(__xludf.DUMMYFUNCTION("GOOGLETRANSLATE(C413,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413" s="5" t="str">
        <f>IFERROR(__xludf.DUMMYFUNCTION("GOOGLETRANSLATE(D413, ""en"", ""hi"")"),"C) खिलाड़ी A रानी खो देता है।")</f>
        <v>C) खिलाड़ी A रानी खो देता है।</v>
      </c>
    </row>
    <row r="414" ht="22.5" customHeight="1">
      <c r="A414" s="2">
        <v>413.0</v>
      </c>
      <c r="B414" s="3" t="s">
        <v>8831</v>
      </c>
      <c r="C414" s="3" t="s">
        <v>8836</v>
      </c>
      <c r="D414" s="3" t="s">
        <v>8505</v>
      </c>
      <c r="F414" s="5" t="str">
        <f>IFERROR(__xludf.DUMMYFUNCTION("GOOGLETRANSLATE(A414, ""en"", ""hi"")"),"413")</f>
        <v>413</v>
      </c>
      <c r="G414" s="5" t="str">
        <f>IFERROR(__xludf.DUMMYFUNCTION("GOOGLETRANSLATE(B414, ""en"", ""hi"")"),"खिलाड़ी B रानी को सफलतापूर्वक कवर करता है, लेकिन फिर स्ट्राइकर को पॉकेट में डाल देता है। क्या होता है?")</f>
        <v>खिलाड़ी B रानी को सफलतापूर्वक कवर करता है, लेकिन फिर स्ट्राइकर को पॉकेट में डाल देता है। क्या होता है?</v>
      </c>
      <c r="H414" s="5" t="str">
        <f>IFERROR(__xludf.DUMMYFUNCTION("GOOGLETRANSLATE(C414,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414" s="5" t="str">
        <f>IFERROR(__xludf.DUMMYFUNCTION("GOOGLETRANSLATE(D414, ""en"", ""hi"")"),"B) खिलाड़ी B रानी खो देता है।")</f>
        <v>B) खिलाड़ी B रानी खो देता है।</v>
      </c>
    </row>
    <row r="415" ht="22.5" customHeight="1">
      <c r="A415" s="2">
        <v>414.0</v>
      </c>
      <c r="B415" s="3" t="s">
        <v>8882</v>
      </c>
      <c r="C415" s="3" t="s">
        <v>8873</v>
      </c>
      <c r="D415" s="3" t="s">
        <v>8864</v>
      </c>
      <c r="F415" s="5" t="str">
        <f>IFERROR(__xludf.DUMMYFUNCTION("GOOGLETRANSLATE(A415, ""en"", ""hi"")"),"414")</f>
        <v>414</v>
      </c>
      <c r="G415" s="5" t="str">
        <f>IFERROR(__xludf.DUMMYFUNCTION("GOOGLETRANSLATE(B415, ""en"", ""hi"")"),"खिलाड़ी A रानी और उसके सभी मोहरों को पॉकेट में डाल देता है, लेकिन रानी को कवर नहीं करता। नियम क्या है?")</f>
        <v>खिलाड़ी A रानी और उसके सभी मोहरों को पॉकेट में डाल देता है, लेकिन रानी को कवर नहीं करता। नियम क्या है?</v>
      </c>
      <c r="H415" s="5" t="str">
        <f>IFERROR(__xludf.DUMMYFUNCTION("GOOGLETRANSLATE(C415,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15" s="5" t="str">
        <f>IFERROR(__xludf.DUMMYFUNCTION("GOOGLETRANSLATE(D415, ""en"", ""hi"")"),"बी) खिलाड़ी ए को जीतने के लिए रानी को कवर करना होगा।")</f>
        <v>बी) खिलाड़ी ए को जीतने के लिए रानी को कवर करना होगा।</v>
      </c>
    </row>
    <row r="416" ht="22.5" customHeight="1">
      <c r="A416" s="2">
        <v>415.0</v>
      </c>
      <c r="B416" s="3" t="s">
        <v>8896</v>
      </c>
      <c r="C416" s="3" t="s">
        <v>8869</v>
      </c>
      <c r="D416" s="3" t="s">
        <v>8870</v>
      </c>
      <c r="F416" s="5" t="str">
        <f>IFERROR(__xludf.DUMMYFUNCTION("GOOGLETRANSLATE(A416, ""en"", ""hi"")"),"415")</f>
        <v>415</v>
      </c>
      <c r="G416" s="5" t="str">
        <f>IFERROR(__xludf.DUMMYFUNCTION("GOOGLETRANSLATE(B416, ""en"", ""hi"")"),"खिलाड़ी B अपनी आखिरी गोटी पॉकेट में डाल देता है, लेकिन रानी को कवर नहीं करता। नतीजा क्या होता है?")</f>
        <v>खिलाड़ी B अपनी आखिरी गोटी पॉकेट में डाल देता है, लेकिन रानी को कवर नहीं करता। नतीजा क्या होता है?</v>
      </c>
      <c r="H416" s="5" t="str">
        <f>IFERROR(__xludf.DUMMYFUNCTION("GOOGLETRANSLATE(C416,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16" s="5" t="str">
        <f>IFERROR(__xludf.DUMMYFUNCTION("GOOGLETRANSLATE(D416, ""en"", ""hi"")"),"बी) खिलाड़ी बी को जीतने के लिए रानी को कवर करना होगा।")</f>
        <v>बी) खिलाड़ी बी को जीतने के लिए रानी को कवर करना होगा।</v>
      </c>
    </row>
    <row r="417" ht="22.5" customHeight="1">
      <c r="A417" s="2">
        <v>416.0</v>
      </c>
      <c r="B417" s="3" t="s">
        <v>8875</v>
      </c>
      <c r="C417" s="3" t="s">
        <v>8876</v>
      </c>
      <c r="D417" s="3" t="s">
        <v>8519</v>
      </c>
      <c r="F417" s="5" t="str">
        <f>IFERROR(__xludf.DUMMYFUNCTION("GOOGLETRANSLATE(A417, ""en"", ""hi"")"),"416")</f>
        <v>416</v>
      </c>
      <c r="G417" s="5" t="str">
        <f>IFERROR(__xludf.DUMMYFUNCTION("GOOGLETRANSLATE(B417, ""en"", ""hi"")"),"खिलाड़ी A रानी को कवर करता है लेकिन फिर प्रतिद्वंद्वी के मोहरे को पॉकेट में डाल देता है। नियम क्या है?")</f>
        <v>खिलाड़ी A रानी को कवर करता है लेकिन फिर प्रतिद्वंद्वी के मोहरे को पॉकेट में डाल देता है। नियम क्या है?</v>
      </c>
      <c r="H417" s="5" t="str">
        <f>IFERROR(__xludf.DUMMYFUNCTION("GOOGLETRANSLATE(C417, ""en"", ""hi"")"),"A) खिलाड़ी A खेल जीतता है। , B) खिलाड़ी A रानी खो देता है। , C) खिलाड़ी A को प्रतिद्वंद्वी का मोहरा वापस करना होगा। , D) खिलाड़ी A खेलना जारी रखता है।")</f>
        <v>A) खिलाड़ी A खेल जीतता है। , B) खिलाड़ी A रानी खो देता है। , C) खिलाड़ी A को प्रतिद्वंद्वी का मोहरा वापस करना होगा। , D) खिलाड़ी A खेलना जारी रखता है।</v>
      </c>
      <c r="I417" s="5" t="str">
        <f>IFERROR(__xludf.DUMMYFUNCTION("GOOGLETRANSLATE(D417, ""en"", ""hi"")"),"बी) खिलाड़ी ए रानी खो देता है।")</f>
        <v>बी) खिलाड़ी ए रानी खो देता है।</v>
      </c>
    </row>
    <row r="418" ht="22.5" customHeight="1">
      <c r="A418" s="2">
        <v>417.0</v>
      </c>
      <c r="B418" s="3" t="s">
        <v>8897</v>
      </c>
      <c r="C418" s="3" t="s">
        <v>8804</v>
      </c>
      <c r="D418" s="3" t="s">
        <v>8643</v>
      </c>
      <c r="F418" s="5" t="str">
        <f>IFERROR(__xludf.DUMMYFUNCTION("GOOGLETRANSLATE(A418, ""en"", ""hi"")"),"417")</f>
        <v>417</v>
      </c>
      <c r="G418" s="5" t="str">
        <f>IFERROR(__xludf.DUMMYFUNCTION("GOOGLETRANSLATE(B418, ""en"", ""hi"")"),"खिलाड़ी B रानी को पॉकेट में डाल देता है, लेकिन अगली बारी में उसे कवर नहीं करता। नियम क्या है?")</f>
        <v>खिलाड़ी B रानी को पॉकेट में डाल देता है, लेकिन अगली बारी में उसे कवर नहीं करता। नियम क्या है?</v>
      </c>
      <c r="H418" s="5" t="str">
        <f>IFERROR(__xludf.DUMMYFUNCTION("GOOGLETRANSLATE(C418,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418" s="5" t="str">
        <f>IFERROR(__xludf.DUMMYFUNCTION("GOOGLETRANSLATE(D418, ""en"", ""hi"")"),"बी) रानी को केंद्र में वापस लाया जाता है।")</f>
        <v>बी) रानी को केंद्र में वापस लाया जाता है।</v>
      </c>
    </row>
    <row r="419" ht="22.5" customHeight="1">
      <c r="A419" s="2">
        <v>418.0</v>
      </c>
      <c r="B419" s="3" t="s">
        <v>8898</v>
      </c>
      <c r="C419" s="3" t="s">
        <v>8881</v>
      </c>
      <c r="D419" s="3" t="s">
        <v>8864</v>
      </c>
      <c r="F419" s="5" t="str">
        <f>IFERROR(__xludf.DUMMYFUNCTION("GOOGLETRANSLATE(A419, ""en"", ""hi"")"),"418")</f>
        <v>418</v>
      </c>
      <c r="G419" s="5" t="str">
        <f>IFERROR(__xludf.DUMMYFUNCTION("GOOGLETRANSLATE(B419, ""en"", ""hi"")"),"खिलाड़ी A अपनी आखिरी गोटी और रानी को पॉकेट में डाल देता है, लेकिन रानी को कवर नहीं करता। इसके बाद क्या होता है?")</f>
        <v>खिलाड़ी A अपनी आखिरी गोटी और रानी को पॉकेट में डाल देता है, लेकिन रानी को कवर नहीं करता। इसके बाद क्या होता है?</v>
      </c>
      <c r="H419" s="5" t="str">
        <f>IFERROR(__xludf.DUMMYFUNCTION("GOOGLETRANSLATE(C419, ""en"", ""hi"")"),"A) खिलाड़ी A खेल जीत जाता है। , B) खिलाड़ी A को जीतने के लिए रानी को ढकना होगा। , C) खिलाड़ी A को एक अंक का दंड दिया जाता है। , D) खिलाड़ी A अपनी बारी खो देता है।")</f>
        <v>A) खिलाड़ी A खेल जीत जाता है। , B) खिलाड़ी A को जीतने के लिए रानी को ढकना होगा। , C) खिलाड़ी A को एक अंक का दंड दिया जाता है। , D) खिलाड़ी A अपनी बारी खो देता है।</v>
      </c>
      <c r="I419" s="5" t="str">
        <f>IFERROR(__xludf.DUMMYFUNCTION("GOOGLETRANSLATE(D419, ""en"", ""hi"")"),"बी) खिलाड़ी ए को जीतने के लिए रानी को कवर करना होगा।")</f>
        <v>बी) खिलाड़ी ए को जीतने के लिए रानी को कवर करना होगा।</v>
      </c>
    </row>
    <row r="420" ht="22.5" customHeight="1">
      <c r="A420" s="2">
        <v>419.0</v>
      </c>
      <c r="B420" s="3" t="s">
        <v>8899</v>
      </c>
      <c r="C420" s="3" t="s">
        <v>8836</v>
      </c>
      <c r="D420" s="3" t="s">
        <v>8505</v>
      </c>
      <c r="F420" s="5" t="str">
        <f>IFERROR(__xludf.DUMMYFUNCTION("GOOGLETRANSLATE(A420, ""en"", ""hi"")"),"419")</f>
        <v>419</v>
      </c>
      <c r="G420" s="5" t="str">
        <f>IFERROR(__xludf.DUMMYFUNCTION("GOOGLETRANSLATE(B420, ""en"", ""hi"")"),"खिलाड़ी B क्वीन को पॉकेट में डालता है, लेकिन फिर स्ट्राइकर को भी पॉकेट में डाल देता है। नियम क्या है?")</f>
        <v>खिलाड़ी B क्वीन को पॉकेट में डालता है, लेकिन फिर स्ट्राइकर को भी पॉकेट में डाल देता है। नियम क्या है?</v>
      </c>
      <c r="H420" s="5" t="str">
        <f>IFERROR(__xludf.DUMMYFUNCTION("GOOGLETRANSLATE(C420,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420" s="5" t="str">
        <f>IFERROR(__xludf.DUMMYFUNCTION("GOOGLETRANSLATE(D420, ""en"", ""hi"")"),"B) खिलाड़ी B रानी खो देता है।")</f>
        <v>B) खिलाड़ी B रानी खो देता है।</v>
      </c>
    </row>
    <row r="421" ht="22.5" customHeight="1">
      <c r="A421" s="2">
        <v>420.0</v>
      </c>
      <c r="B421" s="3" t="s">
        <v>8889</v>
      </c>
      <c r="C421" s="3" t="s">
        <v>8873</v>
      </c>
      <c r="D421" s="3" t="s">
        <v>8864</v>
      </c>
      <c r="F421" s="5" t="str">
        <f>IFERROR(__xludf.DUMMYFUNCTION("GOOGLETRANSLATE(A421, ""en"", ""hi"")"),"420")</f>
        <v>420</v>
      </c>
      <c r="G421" s="5" t="str">
        <f>IFERROR(__xludf.DUMMYFUNCTION("GOOGLETRANSLATE(B421, ""en"", ""hi"")"),"खिलाड़ी A अपनी सभी गोटियाँ और रानी पॉकेट में डाल देता है, लेकिन रानी को कवर नहीं कर पाता। नियम क्या है?")</f>
        <v>खिलाड़ी A अपनी सभी गोटियाँ और रानी पॉकेट में डाल देता है, लेकिन रानी को कवर नहीं कर पाता। नियम क्या है?</v>
      </c>
      <c r="H421" s="5" t="str">
        <f>IFERROR(__xludf.DUMMYFUNCTION("GOOGLETRANSLATE(C421,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21" s="5" t="str">
        <f>IFERROR(__xludf.DUMMYFUNCTION("GOOGLETRANSLATE(D421, ""en"", ""hi"")"),"बी) खिलाड़ी ए को जीतने के लिए रानी को कवर करना होगा।")</f>
        <v>बी) खिलाड़ी ए को जीतने के लिए रानी को कवर करना होगा।</v>
      </c>
    </row>
    <row r="422" ht="22.5" customHeight="1">
      <c r="A422" s="2">
        <v>421.0</v>
      </c>
      <c r="B422" s="3" t="s">
        <v>8900</v>
      </c>
      <c r="C422" s="3" t="s">
        <v>8887</v>
      </c>
      <c r="D422" s="3" t="s">
        <v>8870</v>
      </c>
      <c r="F422" s="5" t="str">
        <f>IFERROR(__xludf.DUMMYFUNCTION("GOOGLETRANSLATE(A422, ""en"", ""hi"")"),"421")</f>
        <v>421</v>
      </c>
      <c r="G422" s="5" t="str">
        <f>IFERROR(__xludf.DUMMYFUNCTION("GOOGLETRANSLATE(B422, ""en"", ""hi"")"),"खिलाड़ी B अपनी आखिरी गोटी और रानी को पॉकेट में डाल देता है, लेकिन रानी को कवर नहीं कर पाता। नियम क्या है?")</f>
        <v>खिलाड़ी B अपनी आखिरी गोटी और रानी को पॉकेट में डाल देता है, लेकिन रानी को कवर नहीं कर पाता। नियम क्या है?</v>
      </c>
      <c r="H422" s="5" t="str">
        <f>IFERROR(__xludf.DUMMYFUNCTION("GOOGLETRANSLATE(C422, ""en"", ""hi"")"),"ए) खिलाड़ी बी खेल जीतता है। , बी) खिलाड़ी बी को जीतने के लिए रानी को कवर करना होगा। , सी) खिलाड़ी बी को एक अंक का दंड दिया जाता है। , डी) खिलाड़ी बी को बारी फिर से खेलनी होगी।")</f>
        <v>ए) खिलाड़ी बी खेल जीतता है। , बी) खिलाड़ी बी को जीतने के लिए रानी को कवर करना होगा। , सी) खिलाड़ी बी को एक अंक का दंड दिया जाता है। , डी) खिलाड़ी बी को बारी फिर से खेलनी होगी।</v>
      </c>
      <c r="I422" s="5" t="str">
        <f>IFERROR(__xludf.DUMMYFUNCTION("GOOGLETRANSLATE(D422, ""en"", ""hi"")"),"बी) खिलाड़ी बी को जीतने के लिए रानी को कवर करना होगा।")</f>
        <v>बी) खिलाड़ी बी को जीतने के लिए रानी को कवर करना होगा।</v>
      </c>
    </row>
    <row r="423" ht="22.5" customHeight="1">
      <c r="A423" s="2">
        <v>422.0</v>
      </c>
      <c r="B423" s="3" t="s">
        <v>8901</v>
      </c>
      <c r="C423" s="3" t="s">
        <v>8791</v>
      </c>
      <c r="D423" s="3" t="s">
        <v>8519</v>
      </c>
      <c r="F423" s="5" t="str">
        <f>IFERROR(__xludf.DUMMYFUNCTION("GOOGLETRANSLATE(A423, ""en"", ""hi"")"),"422")</f>
        <v>422</v>
      </c>
      <c r="G423" s="5" t="str">
        <f>IFERROR(__xludf.DUMMYFUNCTION("GOOGLETRANSLATE(B423, ""en"", ""hi"")"),"खिलाड़ी A ने रानी को सफलतापूर्वक कवर किया, लेकिन फिर स्ट्राइकर को पॉकेट में डाल दिया। क्या हुआ?")</f>
        <v>खिलाड़ी A ने रानी को सफलतापूर्वक कवर किया, लेकिन फिर स्ट्राइकर को पॉकेट में डाल दिया। क्या हुआ?</v>
      </c>
      <c r="H423" s="5" t="str">
        <f>IFERROR(__xludf.DUMMYFUNCTION("GOOGLETRANSLATE(C423,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23" s="5" t="str">
        <f>IFERROR(__xludf.DUMMYFUNCTION("GOOGLETRANSLATE(D423, ""en"", ""hi"")"),"बी) खिलाड़ी ए रानी खो देता है।")</f>
        <v>बी) खिलाड़ी ए रानी खो देता है।</v>
      </c>
    </row>
    <row r="424" ht="22.5" customHeight="1">
      <c r="A424" s="2">
        <v>423.0</v>
      </c>
      <c r="B424" s="3" t="s">
        <v>8868</v>
      </c>
      <c r="C424" s="3" t="s">
        <v>8869</v>
      </c>
      <c r="D424" s="3" t="s">
        <v>8870</v>
      </c>
      <c r="F424" s="5" t="str">
        <f>IFERROR(__xludf.DUMMYFUNCTION("GOOGLETRANSLATE(A424, ""en"", ""hi"")"),"423")</f>
        <v>423</v>
      </c>
      <c r="G424" s="5" t="str">
        <f>IFERROR(__xludf.DUMMYFUNCTION("GOOGLETRANSLATE(B424, ""en"", ""hi"")"),"खिलाड़ी B अपना आखिरी मोहरा पॉकेट में डालता है, लेकिन रानी को कवर नहीं करता। नियम क्या है?")</f>
        <v>खिलाड़ी B अपना आखिरी मोहरा पॉकेट में डालता है, लेकिन रानी को कवर नहीं करता। नियम क्या है?</v>
      </c>
      <c r="H424" s="5" t="str">
        <f>IFERROR(__xludf.DUMMYFUNCTION("GOOGLETRANSLATE(C424,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24" s="5" t="str">
        <f>IFERROR(__xludf.DUMMYFUNCTION("GOOGLETRANSLATE(D424, ""en"", ""hi"")"),"बी) खिलाड़ी बी को जीतने के लिए रानी को कवर करना होगा।")</f>
        <v>बी) खिलाड़ी बी को जीतने के लिए रानी को कवर करना होगा।</v>
      </c>
    </row>
    <row r="425" ht="22.5" customHeight="1">
      <c r="A425" s="2">
        <v>424.0</v>
      </c>
      <c r="B425" s="3" t="s">
        <v>8902</v>
      </c>
      <c r="C425" s="3" t="s">
        <v>8873</v>
      </c>
      <c r="D425" s="3" t="s">
        <v>8864</v>
      </c>
      <c r="F425" s="5" t="str">
        <f>IFERROR(__xludf.DUMMYFUNCTION("GOOGLETRANSLATE(A425, ""en"", ""hi"")"),"424")</f>
        <v>424</v>
      </c>
      <c r="G425" s="5" t="str">
        <f>IFERROR(__xludf.DUMMYFUNCTION("GOOGLETRANSLATE(B425, ""en"", ""hi"")"),"खिलाड़ी A रानी और उसके सभी मोहरों को पॉकेट में डाल देता है, लेकिन रानी को कवर नहीं करता। क्या होता है?")</f>
        <v>खिलाड़ी A रानी और उसके सभी मोहरों को पॉकेट में डाल देता है, लेकिन रानी को कवर नहीं करता। क्या होता है?</v>
      </c>
      <c r="H425" s="5" t="str">
        <f>IFERROR(__xludf.DUMMYFUNCTION("GOOGLETRANSLATE(C425,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25" s="5" t="str">
        <f>IFERROR(__xludf.DUMMYFUNCTION("GOOGLETRANSLATE(D425, ""en"", ""hi"")"),"बी) खिलाड़ी ए को जीतने के लिए रानी को कवर करना होगा।")</f>
        <v>बी) खिलाड़ी ए को जीतने के लिए रानी को कवर करना होगा।</v>
      </c>
    </row>
    <row r="426" ht="22.5" customHeight="1">
      <c r="A426" s="2">
        <v>425.0</v>
      </c>
      <c r="B426" s="3" t="s">
        <v>8868</v>
      </c>
      <c r="C426" s="3" t="s">
        <v>8869</v>
      </c>
      <c r="D426" s="3" t="s">
        <v>8870</v>
      </c>
      <c r="F426" s="5" t="str">
        <f>IFERROR(__xludf.DUMMYFUNCTION("GOOGLETRANSLATE(A426, ""en"", ""hi"")"),"425")</f>
        <v>425</v>
      </c>
      <c r="G426" s="5" t="str">
        <f>IFERROR(__xludf.DUMMYFUNCTION("GOOGLETRANSLATE(B426, ""en"", ""hi"")"),"खिलाड़ी B अपना आखिरी मोहरा पॉकेट में डालता है, लेकिन रानी को कवर नहीं करता। नियम क्या है?")</f>
        <v>खिलाड़ी B अपना आखिरी मोहरा पॉकेट में डालता है, लेकिन रानी को कवर नहीं करता। नियम क्या है?</v>
      </c>
      <c r="H426" s="5" t="str">
        <f>IFERROR(__xludf.DUMMYFUNCTION("GOOGLETRANSLATE(C426,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26" s="5" t="str">
        <f>IFERROR(__xludf.DUMMYFUNCTION("GOOGLETRANSLATE(D426, ""en"", ""hi"")"),"बी) खिलाड़ी बी को जीतने के लिए रानी को कवर करना होगा।")</f>
        <v>बी) खिलाड़ी बी को जीतने के लिए रानी को कवर करना होगा।</v>
      </c>
    </row>
    <row r="427" ht="22.5" customHeight="1">
      <c r="A427" s="2">
        <v>426.0</v>
      </c>
      <c r="B427" s="3" t="s">
        <v>8903</v>
      </c>
      <c r="C427" s="3" t="s">
        <v>8791</v>
      </c>
      <c r="D427" s="3" t="s">
        <v>8519</v>
      </c>
      <c r="F427" s="5" t="str">
        <f>IFERROR(__xludf.DUMMYFUNCTION("GOOGLETRANSLATE(A427, ""en"", ""hi"")"),"426")</f>
        <v>426</v>
      </c>
      <c r="G427" s="5" t="str">
        <f>IFERROR(__xludf.DUMMYFUNCTION("GOOGLETRANSLATE(B427, ""en"", ""hi"")"),"खिलाड़ी A ने क्वीन को सफलतापूर्वक कवर किया, लेकिन फिर स्ट्राइकर को पॉकेट में डाल दिया। परिणाम क्या हुआ?")</f>
        <v>खिलाड़ी A ने क्वीन को सफलतापूर्वक कवर किया, लेकिन फिर स्ट्राइकर को पॉकेट में डाल दिया। परिणाम क्या हुआ?</v>
      </c>
      <c r="H427" s="5" t="str">
        <f>IFERROR(__xludf.DUMMYFUNCTION("GOOGLETRANSLATE(C427,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27" s="5" t="str">
        <f>IFERROR(__xludf.DUMMYFUNCTION("GOOGLETRANSLATE(D427, ""en"", ""hi"")"),"बी) खिलाड़ी ए रानी खो देता है।")</f>
        <v>बी) खिलाड़ी ए रानी खो देता है।</v>
      </c>
    </row>
    <row r="428" ht="22.5" customHeight="1">
      <c r="A428" s="2">
        <v>427.0</v>
      </c>
      <c r="B428" s="3" t="s">
        <v>8904</v>
      </c>
      <c r="C428" s="3" t="s">
        <v>8869</v>
      </c>
      <c r="D428" s="3" t="s">
        <v>8870</v>
      </c>
      <c r="F428" s="5" t="str">
        <f>IFERROR(__xludf.DUMMYFUNCTION("GOOGLETRANSLATE(A428, ""en"", ""hi"")"),"427")</f>
        <v>427</v>
      </c>
      <c r="G428" s="5" t="str">
        <f>IFERROR(__xludf.DUMMYFUNCTION("GOOGLETRANSLATE(B428, ""en"", ""hi"")"),"खिलाड़ी B अपनी आखिरी गोटी पॉकेट में डाल देता है, लेकिन रानी को कवर नहीं कर पाता। आगे क्या होता है?")</f>
        <v>खिलाड़ी B अपनी आखिरी गोटी पॉकेट में डाल देता है, लेकिन रानी को कवर नहीं कर पाता। आगे क्या होता है?</v>
      </c>
      <c r="H428" s="5" t="str">
        <f>IFERROR(__xludf.DUMMYFUNCTION("GOOGLETRANSLATE(C428,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28" s="5" t="str">
        <f>IFERROR(__xludf.DUMMYFUNCTION("GOOGLETRANSLATE(D428, ""en"", ""hi"")"),"बी) खिलाड़ी बी को जीतने के लिए रानी को कवर करना होगा।")</f>
        <v>बी) खिलाड़ी बी को जीतने के लिए रानी को कवर करना होगा।</v>
      </c>
    </row>
    <row r="429" ht="22.5" customHeight="1">
      <c r="A429" s="2">
        <v>428.0</v>
      </c>
      <c r="B429" s="3" t="s">
        <v>8872</v>
      </c>
      <c r="C429" s="3" t="s">
        <v>8873</v>
      </c>
      <c r="D429" s="3" t="s">
        <v>8864</v>
      </c>
      <c r="F429" s="5" t="str">
        <f>IFERROR(__xludf.DUMMYFUNCTION("GOOGLETRANSLATE(A429, ""en"", ""hi"")"),"428")</f>
        <v>428</v>
      </c>
      <c r="G429" s="5" t="str">
        <f>IFERROR(__xludf.DUMMYFUNCTION("GOOGLETRANSLATE(B429, ""en"", ""hi"")"),"खिलाड़ी A अपनी सभी गोटियाँ और रानी पॉकेट में डाल देता है, लेकिन रानी को कवर नहीं करता। नियम क्या है?")</f>
        <v>खिलाड़ी A अपनी सभी गोटियाँ और रानी पॉकेट में डाल देता है, लेकिन रानी को कवर नहीं करता। नियम क्या है?</v>
      </c>
      <c r="H429" s="5" t="str">
        <f>IFERROR(__xludf.DUMMYFUNCTION("GOOGLETRANSLATE(C429,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29" s="5" t="str">
        <f>IFERROR(__xludf.DUMMYFUNCTION("GOOGLETRANSLATE(D429, ""en"", ""hi"")"),"बी) खिलाड़ी ए को जीतने के लिए रानी को कवर करना होगा।")</f>
        <v>बी) खिलाड़ी ए को जीतने के लिए रानी को कवर करना होगा।</v>
      </c>
    </row>
    <row r="430" ht="22.5" customHeight="1">
      <c r="A430" s="2">
        <v>429.0</v>
      </c>
      <c r="B430" s="3" t="s">
        <v>8905</v>
      </c>
      <c r="C430" s="3" t="s">
        <v>8887</v>
      </c>
      <c r="D430" s="3" t="s">
        <v>8870</v>
      </c>
      <c r="F430" s="5" t="str">
        <f>IFERROR(__xludf.DUMMYFUNCTION("GOOGLETRANSLATE(A430, ""en"", ""hi"")"),"429")</f>
        <v>429</v>
      </c>
      <c r="G430" s="5" t="str">
        <f>IFERROR(__xludf.DUMMYFUNCTION("GOOGLETRANSLATE(B430, ""en"", ""hi"")"),"खिलाड़ी B अपनी आखिरी गोटी और रानी को पॉकेट में डाल देता है, लेकिन रानी को कवर नहीं कर पाता। नतीजा क्या होता है?")</f>
        <v>खिलाड़ी B अपनी आखिरी गोटी और रानी को पॉकेट में डाल देता है, लेकिन रानी को कवर नहीं कर पाता। नतीजा क्या होता है?</v>
      </c>
      <c r="H430" s="5" t="str">
        <f>IFERROR(__xludf.DUMMYFUNCTION("GOOGLETRANSLATE(C430, ""en"", ""hi"")"),"ए) खिलाड़ी बी खेल जीतता है। , बी) खिलाड़ी बी को जीतने के लिए रानी को कवर करना होगा। , सी) खिलाड़ी बी को एक अंक का दंड दिया जाता है। , डी) खिलाड़ी बी को बारी फिर से खेलनी होगी।")</f>
        <v>ए) खिलाड़ी बी खेल जीतता है। , बी) खिलाड़ी बी को जीतने के लिए रानी को कवर करना होगा। , सी) खिलाड़ी बी को एक अंक का दंड दिया जाता है। , डी) खिलाड़ी बी को बारी फिर से खेलनी होगी।</v>
      </c>
      <c r="I430" s="5" t="str">
        <f>IFERROR(__xludf.DUMMYFUNCTION("GOOGLETRANSLATE(D430, ""en"", ""hi"")"),"बी) खिलाड़ी बी को जीतने के लिए रानी को कवर करना होगा।")</f>
        <v>बी) खिलाड़ी बी को जीतने के लिए रानी को कवर करना होगा।</v>
      </c>
    </row>
    <row r="431" ht="22.5" customHeight="1">
      <c r="A431" s="2">
        <v>430.0</v>
      </c>
      <c r="B431" s="3" t="s">
        <v>8849</v>
      </c>
      <c r="C431" s="3" t="s">
        <v>8791</v>
      </c>
      <c r="D431" s="3" t="s">
        <v>8519</v>
      </c>
      <c r="F431" s="5" t="str">
        <f>IFERROR(__xludf.DUMMYFUNCTION("GOOGLETRANSLATE(A431, ""en"", ""hi"")"),"430")</f>
        <v>430</v>
      </c>
      <c r="G431" s="5" t="str">
        <f>IFERROR(__xludf.DUMMYFUNCTION("GOOGLETRANSLATE(B431, ""en"", ""hi"")"),"खिलाड़ी A क्वीन को कवर करता है लेकिन फिर स्ट्राइकर को पॉकेट में डाल देता है। नियम क्या है?")</f>
        <v>खिलाड़ी A क्वीन को कवर करता है लेकिन फिर स्ट्राइकर को पॉकेट में डाल देता है। नियम क्या है?</v>
      </c>
      <c r="H431" s="5" t="str">
        <f>IFERROR(__xludf.DUMMYFUNCTION("GOOGLETRANSLATE(C431,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31" s="5" t="str">
        <f>IFERROR(__xludf.DUMMYFUNCTION("GOOGLETRANSLATE(D431, ""en"", ""hi"")"),"बी) खिलाड़ी ए रानी खो देता है।")</f>
        <v>बी) खिलाड़ी ए रानी खो देता है।</v>
      </c>
    </row>
    <row r="432" ht="22.5" customHeight="1">
      <c r="A432" s="2">
        <v>431.0</v>
      </c>
      <c r="B432" s="3" t="s">
        <v>8868</v>
      </c>
      <c r="C432" s="3" t="s">
        <v>8869</v>
      </c>
      <c r="D432" s="3" t="s">
        <v>8870</v>
      </c>
      <c r="F432" s="5" t="str">
        <f>IFERROR(__xludf.DUMMYFUNCTION("GOOGLETRANSLATE(A432, ""en"", ""hi"")"),"431")</f>
        <v>431</v>
      </c>
      <c r="G432" s="5" t="str">
        <f>IFERROR(__xludf.DUMMYFUNCTION("GOOGLETRANSLATE(B432, ""en"", ""hi"")"),"खिलाड़ी B अपना आखिरी मोहरा पॉकेट में डालता है, लेकिन रानी को कवर नहीं करता। नियम क्या है?")</f>
        <v>खिलाड़ी B अपना आखिरी मोहरा पॉकेट में डालता है, लेकिन रानी को कवर नहीं करता। नियम क्या है?</v>
      </c>
      <c r="H432" s="5" t="str">
        <f>IFERROR(__xludf.DUMMYFUNCTION("GOOGLETRANSLATE(C432,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32" s="5" t="str">
        <f>IFERROR(__xludf.DUMMYFUNCTION("GOOGLETRANSLATE(D432, ""en"", ""hi"")"),"बी) खिलाड़ी बी को जीतने के लिए रानी को कवर करना होगा।")</f>
        <v>बी) खिलाड़ी बी को जीतने के लिए रानी को कवर करना होगा।</v>
      </c>
    </row>
    <row r="433" ht="22.5" customHeight="1">
      <c r="A433" s="2">
        <v>432.0</v>
      </c>
      <c r="B433" s="3" t="s">
        <v>8902</v>
      </c>
      <c r="C433" s="3" t="s">
        <v>8873</v>
      </c>
      <c r="D433" s="3" t="s">
        <v>8864</v>
      </c>
      <c r="F433" s="5" t="str">
        <f>IFERROR(__xludf.DUMMYFUNCTION("GOOGLETRANSLATE(A433, ""en"", ""hi"")"),"432")</f>
        <v>432</v>
      </c>
      <c r="G433" s="5" t="str">
        <f>IFERROR(__xludf.DUMMYFUNCTION("GOOGLETRANSLATE(B433, ""en"", ""hi"")"),"खिलाड़ी A रानी और उसके सभी मोहरों को पॉकेट में डाल देता है, लेकिन रानी को कवर नहीं करता। क्या होता है?")</f>
        <v>खिलाड़ी A रानी और उसके सभी मोहरों को पॉकेट में डाल देता है, लेकिन रानी को कवर नहीं करता। क्या होता है?</v>
      </c>
      <c r="H433" s="5" t="str">
        <f>IFERROR(__xludf.DUMMYFUNCTION("GOOGLETRANSLATE(C433,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33" s="5" t="str">
        <f>IFERROR(__xludf.DUMMYFUNCTION("GOOGLETRANSLATE(D433, ""en"", ""hi"")"),"बी) खिलाड़ी ए को जीतने के लिए रानी को कवर करना होगा।")</f>
        <v>बी) खिलाड़ी ए को जीतने के लिए रानी को कवर करना होगा।</v>
      </c>
    </row>
    <row r="434" ht="22.5" customHeight="1">
      <c r="A434" s="2">
        <v>433.0</v>
      </c>
      <c r="B434" s="3" t="s">
        <v>8868</v>
      </c>
      <c r="C434" s="3" t="s">
        <v>8869</v>
      </c>
      <c r="D434" s="3" t="s">
        <v>8870</v>
      </c>
      <c r="F434" s="5" t="str">
        <f>IFERROR(__xludf.DUMMYFUNCTION("GOOGLETRANSLATE(A434, ""en"", ""hi"")"),"433")</f>
        <v>433</v>
      </c>
      <c r="G434" s="5" t="str">
        <f>IFERROR(__xludf.DUMMYFUNCTION("GOOGLETRANSLATE(B434, ""en"", ""hi"")"),"खिलाड़ी B अपना आखिरी मोहरा पॉकेट में डालता है, लेकिन रानी को कवर नहीं करता। नियम क्या है?")</f>
        <v>खिलाड़ी B अपना आखिरी मोहरा पॉकेट में डालता है, लेकिन रानी को कवर नहीं करता। नियम क्या है?</v>
      </c>
      <c r="H434" s="5" t="str">
        <f>IFERROR(__xludf.DUMMYFUNCTION("GOOGLETRANSLATE(C434,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34" s="5" t="str">
        <f>IFERROR(__xludf.DUMMYFUNCTION("GOOGLETRANSLATE(D434, ""en"", ""hi"")"),"बी) खिलाड़ी बी को जीतने के लिए रानी को कवर करना होगा।")</f>
        <v>बी) खिलाड़ी बी को जीतने के लिए रानी को कवर करना होगा।</v>
      </c>
    </row>
    <row r="435" ht="22.5" customHeight="1">
      <c r="A435" s="2">
        <v>434.0</v>
      </c>
      <c r="B435" s="3" t="s">
        <v>8906</v>
      </c>
      <c r="C435" s="3" t="s">
        <v>8791</v>
      </c>
      <c r="D435" s="3" t="s">
        <v>8519</v>
      </c>
      <c r="F435" s="5" t="str">
        <f>IFERROR(__xludf.DUMMYFUNCTION("GOOGLETRANSLATE(A435, ""en"", ""hi"")"),"434")</f>
        <v>434</v>
      </c>
      <c r="G435" s="5" t="str">
        <f>IFERROR(__xludf.DUMMYFUNCTION("GOOGLETRANSLATE(B435, ""en"", ""hi"")"),"खिलाड़ी A ने रानी को सफलतापूर्वक कवर किया, लेकिन फिर स्ट्राइकर को पॉकेट में डाल दिया। नियम क्या है?")</f>
        <v>खिलाड़ी A ने रानी को सफलतापूर्वक कवर किया, लेकिन फिर स्ट्राइकर को पॉकेट में डाल दिया। नियम क्या है?</v>
      </c>
      <c r="H435" s="5" t="str">
        <f>IFERROR(__xludf.DUMMYFUNCTION("GOOGLETRANSLATE(C435,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35" s="5" t="str">
        <f>IFERROR(__xludf.DUMMYFUNCTION("GOOGLETRANSLATE(D435, ""en"", ""hi"")"),"बी) खिलाड़ी ए रानी खो देता है।")</f>
        <v>बी) खिलाड़ी ए रानी खो देता है।</v>
      </c>
    </row>
    <row r="436" ht="22.5" customHeight="1">
      <c r="A436" s="2">
        <v>435.0</v>
      </c>
      <c r="B436" s="3" t="s">
        <v>8907</v>
      </c>
      <c r="C436" s="3" t="s">
        <v>8869</v>
      </c>
      <c r="D436" s="3" t="s">
        <v>8870</v>
      </c>
      <c r="F436" s="5" t="str">
        <f>IFERROR(__xludf.DUMMYFUNCTION("GOOGLETRANSLATE(A436, ""en"", ""hi"")"),"435")</f>
        <v>435</v>
      </c>
      <c r="G436" s="5" t="str">
        <f>IFERROR(__xludf.DUMMYFUNCTION("GOOGLETRANSLATE(B436, ""en"", ""hi"")"),"खिलाड़ी B अपनी आखिरी गोटी और रानी को पॉकेट में डाल देता है, लेकिन रानी को कवर नहीं कर पाता। नियम क्या है?")</f>
        <v>खिलाड़ी B अपनी आखिरी गोटी और रानी को पॉकेट में डाल देता है, लेकिन रानी को कवर नहीं कर पाता। नियम क्या है?</v>
      </c>
      <c r="H436" s="5" t="str">
        <f>IFERROR(__xludf.DUMMYFUNCTION("GOOGLETRANSLATE(C436,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36" s="5" t="str">
        <f>IFERROR(__xludf.DUMMYFUNCTION("GOOGLETRANSLATE(D436, ""en"", ""hi"")"),"बी) खिलाड़ी बी को जीतने के लिए रानी को कवर करना होगा।")</f>
        <v>बी) खिलाड़ी बी को जीतने के लिए रानी को कवर करना होगा।</v>
      </c>
    </row>
    <row r="437" ht="22.5" customHeight="1">
      <c r="A437" s="2">
        <v>436.0</v>
      </c>
      <c r="B437" s="3" t="s">
        <v>8908</v>
      </c>
      <c r="C437" s="3" t="s">
        <v>8803</v>
      </c>
      <c r="D437" s="3" t="s">
        <v>8519</v>
      </c>
      <c r="F437" s="5" t="str">
        <f>IFERROR(__xludf.DUMMYFUNCTION("GOOGLETRANSLATE(A437, ""en"", ""hi"")"),"436")</f>
        <v>436</v>
      </c>
      <c r="G437" s="5" t="str">
        <f>IFERROR(__xludf.DUMMYFUNCTION("GOOGLETRANSLATE(B437, ""en"", ""hi"")"),"खिलाड़ी A अपनी सभी गोटियाँ और रानी पॉकेट में डाल देता है, लेकिन गलती से स्ट्राइकर पॉकेट में डाल देता है। क्या होता है?")</f>
        <v>खिलाड़ी A अपनी सभी गोटियाँ और रानी पॉकेट में डाल देता है, लेकिन गलती से स्ट्राइकर पॉकेट में डाल देता है। क्या होता है?</v>
      </c>
      <c r="H437" s="5" t="str">
        <f>IFERROR(__xludf.DUMMYFUNCTION("GOOGLETRANSLATE(C437,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437" s="5" t="str">
        <f>IFERROR(__xludf.DUMMYFUNCTION("GOOGLETRANSLATE(D437, ""en"", ""hi"")"),"बी) खिलाड़ी ए रानी खो देता है।")</f>
        <v>बी) खिलाड़ी ए रानी खो देता है।</v>
      </c>
    </row>
    <row r="438" ht="22.5" customHeight="1">
      <c r="A438" s="2">
        <v>437.0</v>
      </c>
      <c r="B438" s="3" t="s">
        <v>8909</v>
      </c>
      <c r="C438" s="3" t="s">
        <v>8910</v>
      </c>
      <c r="D438" s="3" t="s">
        <v>8413</v>
      </c>
      <c r="F438" s="5" t="str">
        <f>IFERROR(__xludf.DUMMYFUNCTION("GOOGLETRANSLATE(A438, ""en"", ""hi"")"),"437")</f>
        <v>437</v>
      </c>
      <c r="G438" s="5" t="str">
        <f>IFERROR(__xludf.DUMMYFUNCTION("GOOGLETRANSLATE(B438, ""en"", ""hi"")"),"खिलाड़ी B एक ही बारी में रानी को कवर करता है और अपने सभी मोहरों को पॉकेट में डाल देता है। नियम क्या है?")</f>
        <v>खिलाड़ी B एक ही बारी में रानी को कवर करता है और अपने सभी मोहरों को पॉकेट में डाल देता है। नियम क्या है?</v>
      </c>
      <c r="H438" s="5" t="str">
        <f>IFERROR(__xludf.DUMMYFUNCTION("GOOGLETRANSLATE(C438, ""en"", ""hi"")"),"A) खिलाड़ी B खेल जीत जाता है। , B) खिलाड़ी B को रानी को फिर से ढकना होगा। , C) खिलाड़ी B को एक अंक का दंड दिया जाता है। , D) खिलाड़ी B अपनी बारी खो देता है।")</f>
        <v>A) खिलाड़ी B खेल जीत जाता है। , B) खिलाड़ी B को रानी को फिर से ढकना होगा। , C) खिलाड़ी B को एक अंक का दंड दिया जाता है। , D) खिलाड़ी B अपनी बारी खो देता है।</v>
      </c>
      <c r="I438" s="5" t="str">
        <f>IFERROR(__xludf.DUMMYFUNCTION("GOOGLETRANSLATE(D438, ""en"", ""hi"")"),"A) खिलाड़ी B खेल जीतता है।")</f>
        <v>A) खिलाड़ी B खेल जीतता है।</v>
      </c>
    </row>
    <row r="439" ht="22.5" customHeight="1">
      <c r="A439" s="2">
        <v>438.0</v>
      </c>
      <c r="B439" s="3" t="s">
        <v>8911</v>
      </c>
      <c r="C439" s="3" t="s">
        <v>8912</v>
      </c>
      <c r="D439" s="3" t="s">
        <v>8864</v>
      </c>
      <c r="F439" s="5" t="str">
        <f>IFERROR(__xludf.DUMMYFUNCTION("GOOGLETRANSLATE(A439, ""en"", ""hi"")"),"438")</f>
        <v>438</v>
      </c>
      <c r="G439" s="5" t="str">
        <f>IFERROR(__xludf.DUMMYFUNCTION("GOOGLETRANSLATE(B439, ""en"", ""hi"")"),"खिलाड़ी A एक ही बारी में रानी और अपनी आखिरी गोटी पॉकेट में डाल देता है, लेकिन रानी को कवर नहीं कर पाता। क्या होता है?")</f>
        <v>खिलाड़ी A एक ही बारी में रानी और अपनी आखिरी गोटी पॉकेट में डाल देता है, लेकिन रानी को कवर नहीं कर पाता। क्या होता है?</v>
      </c>
      <c r="H439" s="5" t="str">
        <f>IFERROR(__xludf.DUMMYFUNCTION("GOOGLETRANSLATE(C439,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439" s="5" t="str">
        <f>IFERROR(__xludf.DUMMYFUNCTION("GOOGLETRANSLATE(D439, ""en"", ""hi"")"),"बी) खिलाड़ी ए को जीतने के लिए रानी को कवर करना होगा।")</f>
        <v>बी) खिलाड़ी ए को जीतने के लिए रानी को कवर करना होगा।</v>
      </c>
    </row>
    <row r="440" ht="22.5" customHeight="1">
      <c r="A440" s="2">
        <v>439.0</v>
      </c>
      <c r="B440" s="3" t="s">
        <v>8913</v>
      </c>
      <c r="C440" s="3" t="s">
        <v>8869</v>
      </c>
      <c r="D440" s="3" t="s">
        <v>8870</v>
      </c>
      <c r="F440" s="5" t="str">
        <f>IFERROR(__xludf.DUMMYFUNCTION("GOOGLETRANSLATE(A440, ""en"", ""hi"")"),"439")</f>
        <v>439</v>
      </c>
      <c r="G440" s="5" t="str">
        <f>IFERROR(__xludf.DUMMYFUNCTION("GOOGLETRANSLATE(B440,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440" s="5" t="str">
        <f>IFERROR(__xludf.DUMMYFUNCTION("GOOGLETRANSLATE(C440,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40" s="5" t="str">
        <f>IFERROR(__xludf.DUMMYFUNCTION("GOOGLETRANSLATE(D440, ""en"", ""hi"")"),"बी) खिलाड़ी बी को जीतने के लिए रानी को कवर करना होगा।")</f>
        <v>बी) खिलाड़ी बी को जीतने के लिए रानी को कवर करना होगा।</v>
      </c>
    </row>
    <row r="441" ht="22.5" customHeight="1">
      <c r="A441" s="2">
        <v>440.0</v>
      </c>
      <c r="B441" s="3" t="s">
        <v>8914</v>
      </c>
      <c r="C441" s="3" t="s">
        <v>8803</v>
      </c>
      <c r="D441" s="3" t="s">
        <v>8519</v>
      </c>
      <c r="F441" s="5" t="str">
        <f>IFERROR(__xludf.DUMMYFUNCTION("GOOGLETRANSLATE(A441, ""en"", ""hi"")"),"440")</f>
        <v>440</v>
      </c>
      <c r="G441" s="5" t="str">
        <f>IFERROR(__xludf.DUMMYFUNCTION("GOOGLETRANSLATE(B441, ""en"", ""hi"")"),"खिलाड़ी A रानी को पॉकेट में डालता है, लेकिन अगली बारी में स्ट्राइकर को भी पॉकेट में डाल देता है। क्या होता है?")</f>
        <v>खिलाड़ी A रानी को पॉकेट में डालता है, लेकिन अगली बारी में स्ट्राइकर को भी पॉकेट में डाल देता है। क्या होता है?</v>
      </c>
      <c r="H441" s="5" t="str">
        <f>IFERROR(__xludf.DUMMYFUNCTION("GOOGLETRANSLATE(C441,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441" s="5" t="str">
        <f>IFERROR(__xludf.DUMMYFUNCTION("GOOGLETRANSLATE(D441, ""en"", ""hi"")"),"बी) खिलाड़ी ए रानी खो देता है।")</f>
        <v>बी) खिलाड़ी ए रानी खो देता है।</v>
      </c>
    </row>
    <row r="442" ht="22.5" customHeight="1">
      <c r="A442" s="2">
        <v>441.0</v>
      </c>
      <c r="B442" s="3" t="s">
        <v>8915</v>
      </c>
      <c r="C442" s="3" t="s">
        <v>8884</v>
      </c>
      <c r="D442" s="3" t="s">
        <v>8870</v>
      </c>
      <c r="F442" s="5" t="str">
        <f>IFERROR(__xludf.DUMMYFUNCTION("GOOGLETRANSLATE(A442, ""en"", ""hi"")"),"441")</f>
        <v>441</v>
      </c>
      <c r="G442" s="5" t="str">
        <f>IFERROR(__xludf.DUMMYFUNCTION("GOOGLETRANSLATE(B442, ""en"", ""hi"")"),"खिलाड़ी B रानी और उसके सभी मोहरों को पॉकेट में डाल देता है, लेकिन रानी को कवर नहीं कर पाता। नियम क्या है?")</f>
        <v>खिलाड़ी B रानी और उसके सभी मोहरों को पॉकेट में डाल देता है, लेकिन रानी को कवर नहीं कर पाता। नियम क्या है?</v>
      </c>
      <c r="H442" s="5" t="str">
        <f>IFERROR(__xludf.DUMMYFUNCTION("GOOGLETRANSLATE(C442, ""en"", ""hi"")"),"A) खिलाड़ी B खेल जीत जाता है। , B) खिलाड़ी B को जीतने के लिए रानी को ढकना होगा। , C) खिलाड़ी B को एक अंक का दंड दिया जाता है। , D) खिलाड़ी B अपनी बारी खो देता है।")</f>
        <v>A) खिलाड़ी B खेल जीत जाता है। , B) खिलाड़ी B को जीतने के लिए रानी को ढकना होगा। , C) खिलाड़ी B को एक अंक का दंड दिया जाता है। , D) खिलाड़ी B अपनी बारी खो देता है।</v>
      </c>
      <c r="I442" s="5" t="str">
        <f>IFERROR(__xludf.DUMMYFUNCTION("GOOGLETRANSLATE(D442, ""en"", ""hi"")"),"बी) खिलाड़ी बी को जीतने के लिए रानी को कवर करना होगा।")</f>
        <v>बी) खिलाड़ी बी को जीतने के लिए रानी को कवर करना होगा।</v>
      </c>
    </row>
    <row r="443" ht="22.5" customHeight="1">
      <c r="A443" s="2">
        <v>442.0</v>
      </c>
      <c r="B443" s="3" t="s">
        <v>8916</v>
      </c>
      <c r="C443" s="3" t="s">
        <v>8876</v>
      </c>
      <c r="D443" s="3" t="s">
        <v>8519</v>
      </c>
      <c r="F443" s="5" t="str">
        <f>IFERROR(__xludf.DUMMYFUNCTION("GOOGLETRANSLATE(A443, ""en"", ""hi"")"),"442")</f>
        <v>442</v>
      </c>
      <c r="G443" s="5" t="str">
        <f>IFERROR(__xludf.DUMMYFUNCTION("GOOGLETRANSLATE(B443, ""en"", ""hi"")"),"खिलाड़ी A रानी को सफलतापूर्वक कवर करता है, लेकिन फिर प्रतिद्वंद्वी के मोहरे को पॉकेट में डाल देता है। क्या होता है?")</f>
        <v>खिलाड़ी A रानी को सफलतापूर्वक कवर करता है, लेकिन फिर प्रतिद्वंद्वी के मोहरे को पॉकेट में डाल देता है। क्या होता है?</v>
      </c>
      <c r="H443" s="5" t="str">
        <f>IFERROR(__xludf.DUMMYFUNCTION("GOOGLETRANSLATE(C443, ""en"", ""hi"")"),"A) खिलाड़ी A खेल जीतता है। , B) खिलाड़ी A रानी खो देता है। , C) खिलाड़ी A को प्रतिद्वंद्वी का मोहरा वापस करना होगा। , D) खिलाड़ी A खेलना जारी रखता है।")</f>
        <v>A) खिलाड़ी A खेल जीतता है। , B) खिलाड़ी A रानी खो देता है। , C) खिलाड़ी A को प्रतिद्वंद्वी का मोहरा वापस करना होगा। , D) खिलाड़ी A खेलना जारी रखता है।</v>
      </c>
      <c r="I443" s="5" t="str">
        <f>IFERROR(__xludf.DUMMYFUNCTION("GOOGLETRANSLATE(D443, ""en"", ""hi"")"),"बी) खिलाड़ी ए रानी खो देता है।")</f>
        <v>बी) खिलाड़ी ए रानी खो देता है।</v>
      </c>
    </row>
    <row r="444" ht="22.5" customHeight="1">
      <c r="A444" s="2">
        <v>443.0</v>
      </c>
      <c r="B444" s="3" t="s">
        <v>8899</v>
      </c>
      <c r="C444" s="3" t="s">
        <v>8836</v>
      </c>
      <c r="D444" s="3" t="s">
        <v>8505</v>
      </c>
      <c r="F444" s="5" t="str">
        <f>IFERROR(__xludf.DUMMYFUNCTION("GOOGLETRANSLATE(A444, ""en"", ""hi"")"),"443")</f>
        <v>443</v>
      </c>
      <c r="G444" s="5" t="str">
        <f>IFERROR(__xludf.DUMMYFUNCTION("GOOGLETRANSLATE(B444, ""en"", ""hi"")"),"खिलाड़ी B क्वीन को पॉकेट में डालता है, लेकिन फिर स्ट्राइकर को भी पॉकेट में डाल देता है। नियम क्या है?")</f>
        <v>खिलाड़ी B क्वीन को पॉकेट में डालता है, लेकिन फिर स्ट्राइकर को भी पॉकेट में डाल देता है। नियम क्या है?</v>
      </c>
      <c r="H444" s="5" t="str">
        <f>IFERROR(__xludf.DUMMYFUNCTION("GOOGLETRANSLATE(C444,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444" s="5" t="str">
        <f>IFERROR(__xludf.DUMMYFUNCTION("GOOGLETRANSLATE(D444, ""en"", ""hi"")"),"B) खिलाड़ी B रानी खो देता है।")</f>
        <v>B) खिलाड़ी B रानी खो देता है।</v>
      </c>
    </row>
    <row r="445" ht="22.5" customHeight="1">
      <c r="A445" s="2">
        <v>444.0</v>
      </c>
      <c r="B445" s="3" t="s">
        <v>8917</v>
      </c>
      <c r="C445" s="3" t="s">
        <v>8912</v>
      </c>
      <c r="D445" s="3" t="s">
        <v>8864</v>
      </c>
      <c r="F445" s="5" t="str">
        <f>IFERROR(__xludf.DUMMYFUNCTION("GOOGLETRANSLATE(A445, ""en"", ""hi"")"),"444")</f>
        <v>444</v>
      </c>
      <c r="G445" s="5" t="str">
        <f>IFERROR(__xludf.DUMMYFUNCTION("GOOGLETRANSLATE(B445,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445" s="5" t="str">
        <f>IFERROR(__xludf.DUMMYFUNCTION("GOOGLETRANSLATE(C445,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445" s="5" t="str">
        <f>IFERROR(__xludf.DUMMYFUNCTION("GOOGLETRANSLATE(D445, ""en"", ""hi"")"),"बी) खिलाड़ी ए को जीतने के लिए रानी को कवर करना होगा।")</f>
        <v>बी) खिलाड़ी ए को जीतने के लिए रानी को कवर करना होगा।</v>
      </c>
    </row>
    <row r="446" ht="22.5" customHeight="1">
      <c r="A446" s="2">
        <v>445.0</v>
      </c>
      <c r="B446" s="3" t="s">
        <v>8918</v>
      </c>
      <c r="C446" s="3" t="s">
        <v>8887</v>
      </c>
      <c r="D446" s="3" t="s">
        <v>8870</v>
      </c>
      <c r="F446" s="5" t="str">
        <f>IFERROR(__xludf.DUMMYFUNCTION("GOOGLETRANSLATE(A446, ""en"", ""hi"")"),"445")</f>
        <v>445</v>
      </c>
      <c r="G446" s="5" t="str">
        <f>IFERROR(__xludf.DUMMYFUNCTION("GOOGLETRANSLATE(B446, ""en"", ""hi"")"),"खिलाड़ी B एक ही बारी में रानी और अपनी आखिरी गोटी पॉकेट में डाल देता है, लेकिन रानी को कवर नहीं करता। नतीजा क्या होता है?")</f>
        <v>खिलाड़ी B एक ही बारी में रानी और अपनी आखिरी गोटी पॉकेट में डाल देता है, लेकिन रानी को कवर नहीं करता। नतीजा क्या होता है?</v>
      </c>
      <c r="H446" s="5" t="str">
        <f>IFERROR(__xludf.DUMMYFUNCTION("GOOGLETRANSLATE(C446, ""en"", ""hi"")"),"ए) खिलाड़ी बी खेल जीतता है। , बी) खिलाड़ी बी को जीतने के लिए रानी को कवर करना होगा। , सी) खिलाड़ी बी को एक अंक का दंड दिया जाता है। , डी) खिलाड़ी बी को बारी फिर से खेलनी होगी।")</f>
        <v>ए) खिलाड़ी बी खेल जीतता है। , बी) खिलाड़ी बी को जीतने के लिए रानी को कवर करना होगा। , सी) खिलाड़ी बी को एक अंक का दंड दिया जाता है। , डी) खिलाड़ी बी को बारी फिर से खेलनी होगी।</v>
      </c>
      <c r="I446" s="5" t="str">
        <f>IFERROR(__xludf.DUMMYFUNCTION("GOOGLETRANSLATE(D446, ""en"", ""hi"")"),"बी) खिलाड़ी बी को जीतने के लिए रानी को कवर करना होगा।")</f>
        <v>बी) खिलाड़ी बी को जीतने के लिए रानी को कवर करना होगा।</v>
      </c>
    </row>
    <row r="447" ht="22.5" customHeight="1">
      <c r="A447" s="2">
        <v>446.0</v>
      </c>
      <c r="B447" s="3" t="s">
        <v>8849</v>
      </c>
      <c r="C447" s="3" t="s">
        <v>8791</v>
      </c>
      <c r="D447" s="3" t="s">
        <v>8519</v>
      </c>
      <c r="F447" s="5" t="str">
        <f>IFERROR(__xludf.DUMMYFUNCTION("GOOGLETRANSLATE(A447, ""en"", ""hi"")"),"446")</f>
        <v>446</v>
      </c>
      <c r="G447" s="5" t="str">
        <f>IFERROR(__xludf.DUMMYFUNCTION("GOOGLETRANSLATE(B447, ""en"", ""hi"")"),"खिलाड़ी A क्वीन को कवर करता है लेकिन फिर स्ट्राइकर को पॉकेट में डाल देता है। नियम क्या है?")</f>
        <v>खिलाड़ी A क्वीन को कवर करता है लेकिन फिर स्ट्राइकर को पॉकेट में डाल देता है। नियम क्या है?</v>
      </c>
      <c r="H447" s="5" t="str">
        <f>IFERROR(__xludf.DUMMYFUNCTION("GOOGLETRANSLATE(C447,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47" s="5" t="str">
        <f>IFERROR(__xludf.DUMMYFUNCTION("GOOGLETRANSLATE(D447, ""en"", ""hi"")"),"बी) खिलाड़ी ए रानी खो देता है।")</f>
        <v>बी) खिलाड़ी ए रानी खो देता है।</v>
      </c>
    </row>
    <row r="448" ht="22.5" customHeight="1">
      <c r="A448" s="2">
        <v>447.0</v>
      </c>
      <c r="B448" s="3" t="s">
        <v>8919</v>
      </c>
      <c r="C448" s="3" t="s">
        <v>8869</v>
      </c>
      <c r="D448" s="3" t="s">
        <v>8870</v>
      </c>
      <c r="F448" s="5" t="str">
        <f>IFERROR(__xludf.DUMMYFUNCTION("GOOGLETRANSLATE(A448, ""en"", ""hi"")"),"447")</f>
        <v>447</v>
      </c>
      <c r="G448" s="5" t="str">
        <f>IFERROR(__xludf.DUMMYFUNCTION("GOOGLETRANSLATE(B448,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448" s="5" t="str">
        <f>IFERROR(__xludf.DUMMYFUNCTION("GOOGLETRANSLATE(C448,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48" s="5" t="str">
        <f>IFERROR(__xludf.DUMMYFUNCTION("GOOGLETRANSLATE(D448, ""en"", ""hi"")"),"बी) खिलाड़ी बी को जीतने के लिए रानी को कवर करना होगा।")</f>
        <v>बी) खिलाड़ी बी को जीतने के लिए रानी को कवर करना होगा।</v>
      </c>
    </row>
    <row r="449" ht="22.5" customHeight="1">
      <c r="A449" s="2">
        <v>448.0</v>
      </c>
      <c r="B449" s="3" t="s">
        <v>8917</v>
      </c>
      <c r="C449" s="3" t="s">
        <v>8873</v>
      </c>
      <c r="D449" s="3" t="s">
        <v>8864</v>
      </c>
      <c r="F449" s="5" t="str">
        <f>IFERROR(__xludf.DUMMYFUNCTION("GOOGLETRANSLATE(A449, ""en"", ""hi"")"),"448")</f>
        <v>448</v>
      </c>
      <c r="G449" s="5" t="str">
        <f>IFERROR(__xludf.DUMMYFUNCTION("GOOGLETRANSLATE(B449,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449" s="5" t="str">
        <f>IFERROR(__xludf.DUMMYFUNCTION("GOOGLETRANSLATE(C449,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49" s="5" t="str">
        <f>IFERROR(__xludf.DUMMYFUNCTION("GOOGLETRANSLATE(D449, ""en"", ""hi"")"),"बी) खिलाड़ी ए को जीतने के लिए रानी को कवर करना होगा।")</f>
        <v>बी) खिलाड़ी ए को जीतने के लिए रानी को कवर करना होगा।</v>
      </c>
    </row>
    <row r="450" ht="22.5" customHeight="1">
      <c r="A450" s="2">
        <v>449.0</v>
      </c>
      <c r="B450" s="3" t="s">
        <v>8868</v>
      </c>
      <c r="C450" s="3" t="s">
        <v>8869</v>
      </c>
      <c r="D450" s="3" t="s">
        <v>8870</v>
      </c>
      <c r="F450" s="5" t="str">
        <f>IFERROR(__xludf.DUMMYFUNCTION("GOOGLETRANSLATE(A450, ""en"", ""hi"")"),"449")</f>
        <v>449</v>
      </c>
      <c r="G450" s="5" t="str">
        <f>IFERROR(__xludf.DUMMYFUNCTION("GOOGLETRANSLATE(B450, ""en"", ""hi"")"),"खिलाड़ी B अपना आखिरी मोहरा पॉकेट में डालता है, लेकिन रानी को कवर नहीं करता। नियम क्या है?")</f>
        <v>खिलाड़ी B अपना आखिरी मोहरा पॉकेट में डालता है, लेकिन रानी को कवर नहीं करता। नियम क्या है?</v>
      </c>
      <c r="H450" s="5" t="str">
        <f>IFERROR(__xludf.DUMMYFUNCTION("GOOGLETRANSLATE(C450,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50" s="5" t="str">
        <f>IFERROR(__xludf.DUMMYFUNCTION("GOOGLETRANSLATE(D450, ""en"", ""hi"")"),"बी) खिलाड़ी बी को जीतने के लिए रानी को कवर करना होगा।")</f>
        <v>बी) खिलाड़ी बी को जीतने के लिए रानी को कवर करना होगा।</v>
      </c>
    </row>
    <row r="451" ht="22.5" customHeight="1">
      <c r="A451" s="2">
        <v>450.0</v>
      </c>
      <c r="B451" s="3" t="s">
        <v>8920</v>
      </c>
      <c r="C451" s="3" t="s">
        <v>8921</v>
      </c>
      <c r="D451" s="3" t="s">
        <v>8643</v>
      </c>
      <c r="F451" s="5" t="str">
        <f>IFERROR(__xludf.DUMMYFUNCTION("GOOGLETRANSLATE(A451, ""en"", ""hi"")"),"450")</f>
        <v>450</v>
      </c>
      <c r="G451" s="5" t="str">
        <f>IFERROR(__xludf.DUMMYFUNCTION("GOOGLETRANSLATE(B451, ""en"", ""hi"")"),"खिलाड़ी A रानी को पॉकेट में डाल देता है, लेकिन अगली बारी में उसे कवर नहीं करता। क्या होता है?")</f>
        <v>खिलाड़ी A रानी को पॉकेट में डाल देता है, लेकिन अगली बारी में उसे कवर नहीं करता। क्या होता है?</v>
      </c>
      <c r="H451" s="5" t="str">
        <f>IFERROR(__xludf.DUMMYFUNCTION("GOOGLETRANSLATE(C451, ""en"", ""hi"")"),"ए) खिलाड़ी ए खेल जीत जाता है।, बी) रानी को केंद्र में वापस कर दिया जाता है।, सी) खिलाड़ी ए को एक अंक का दंड दिया जाता है।, डी) खिलाड़ी ए को बारी फिर से खेलनी होगी।")</f>
        <v>ए) खिलाड़ी ए खेल जीत जाता है।, बी) रानी को केंद्र में वापस कर दिया जाता है।, सी) खिलाड़ी ए को एक अंक का दंड दिया जाता है।, डी) खिलाड़ी ए को बारी फिर से खेलनी होगी।</v>
      </c>
      <c r="I451" s="5" t="str">
        <f>IFERROR(__xludf.DUMMYFUNCTION("GOOGLETRANSLATE(D451, ""en"", ""hi"")"),"बी) रानी को केंद्र में वापस लाया जाता है।")</f>
        <v>बी) रानी को केंद्र में वापस लाया जाता है।</v>
      </c>
    </row>
    <row r="452" ht="22.5" customHeight="1">
      <c r="A452" s="2">
        <v>451.0</v>
      </c>
      <c r="B452" s="3" t="s">
        <v>8922</v>
      </c>
      <c r="C452" s="3" t="s">
        <v>8836</v>
      </c>
      <c r="D452" s="3" t="s">
        <v>8505</v>
      </c>
      <c r="F452" s="5" t="str">
        <f>IFERROR(__xludf.DUMMYFUNCTION("GOOGLETRANSLATE(A452, ""en"", ""hi"")"),"451")</f>
        <v>451</v>
      </c>
      <c r="G452" s="5" t="str">
        <f>IFERROR(__xludf.DUMMYFUNCTION("GOOGLETRANSLATE(B452, ""en"", ""hi"")"),"खिलाड़ी B ने क्वीन को सफलतापूर्वक कवर किया, लेकिन फिर स्ट्राइकर को पॉकेट में डाल दिया। नतीजा क्या हुआ?")</f>
        <v>खिलाड़ी B ने क्वीन को सफलतापूर्वक कवर किया, लेकिन फिर स्ट्राइकर को पॉकेट में डाल दिया। नतीजा क्या हुआ?</v>
      </c>
      <c r="H452" s="5" t="str">
        <f>IFERROR(__xludf.DUMMYFUNCTION("GOOGLETRANSLATE(C452,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452" s="5" t="str">
        <f>IFERROR(__xludf.DUMMYFUNCTION("GOOGLETRANSLATE(D452, ""en"", ""hi"")"),"B) खिलाड़ी B रानी खो देता है।")</f>
        <v>B) खिलाड़ी B रानी खो देता है।</v>
      </c>
    </row>
    <row r="453" ht="22.5" customHeight="1">
      <c r="A453" s="2">
        <v>452.0</v>
      </c>
      <c r="B453" s="3" t="s">
        <v>8923</v>
      </c>
      <c r="C453" s="3" t="s">
        <v>8822</v>
      </c>
      <c r="D453" s="3" t="s">
        <v>8823</v>
      </c>
      <c r="F453" s="5" t="str">
        <f>IFERROR(__xludf.DUMMYFUNCTION("GOOGLETRANSLATE(A453, ""en"", ""hi"")"),"452")</f>
        <v>452</v>
      </c>
      <c r="G453" s="5" t="str">
        <f>IFERROR(__xludf.DUMMYFUNCTION("GOOGLETRANSLATE(B453, ""en"", ""hi"")"),"खिलाड़ी A अपनी आखिरी गोटी और फिर रानी को अलग-अलग बारी में पॉकेट में डालता है, लेकिन रानी को कवर नहीं करता। नियम क्या है?")</f>
        <v>खिलाड़ी A अपनी आखिरी गोटी और फिर रानी को अलग-अलग बारी में पॉकेट में डालता है, लेकिन रानी को कवर नहीं करता। नियम क्या है?</v>
      </c>
      <c r="H453" s="5" t="str">
        <f>IFERROR(__xludf.DUMMYFUNCTION("GOOGLETRANSLATE(C453, ""en"", ""hi"")"),"A) खिलाड़ी A खेल जीत जाता है। , B) रानी को केंद्र में वापस कर दिया जाता है। , C) खिलाड़ी A रानी खो देता है। , D) खिलाड़ी A को एक अंक का दंड दिया जाता है।")</f>
        <v>A) खिलाड़ी A खेल जीत जाता है। , B) रानी को केंद्र में वापस कर दिया जाता है। , C) खिलाड़ी A रानी खो देता है। , D) खिलाड़ी A को एक अंक का दंड दिया जाता है।</v>
      </c>
      <c r="I453" s="5" t="str">
        <f>IFERROR(__xludf.DUMMYFUNCTION("GOOGLETRANSLATE(D453, ""en"", ""hi"")"),"C) खिलाड़ी A रानी खो देता है।")</f>
        <v>C) खिलाड़ी A रानी खो देता है।</v>
      </c>
    </row>
    <row r="454" ht="22.5" customHeight="1">
      <c r="A454" s="2">
        <v>453.0</v>
      </c>
      <c r="B454" s="3" t="s">
        <v>8924</v>
      </c>
      <c r="C454" s="3" t="s">
        <v>8869</v>
      </c>
      <c r="D454" s="3" t="s">
        <v>8870</v>
      </c>
      <c r="F454" s="5" t="str">
        <f>IFERROR(__xludf.DUMMYFUNCTION("GOOGLETRANSLATE(A454, ""en"", ""hi"")"),"453")</f>
        <v>453</v>
      </c>
      <c r="G454" s="5" t="str">
        <f>IFERROR(__xludf.DUMMYFUNCTION("GOOGLETRANSLATE(B454, ""en"", ""hi"")"),"खिलाड़ी B रानी और अपनी आखिरी गोटी पॉकेट में डाल देता है, लेकिन रानी को कवर नहीं करता। क्या होता है?")</f>
        <v>खिलाड़ी B रानी और अपनी आखिरी गोटी पॉकेट में डाल देता है, लेकिन रानी को कवर नहीं करता। क्या होता है?</v>
      </c>
      <c r="H454" s="5" t="str">
        <f>IFERROR(__xludf.DUMMYFUNCTION("GOOGLETRANSLATE(C454,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54" s="5" t="str">
        <f>IFERROR(__xludf.DUMMYFUNCTION("GOOGLETRANSLATE(D454, ""en"", ""hi"")"),"बी) खिलाड़ी बी को जीतने के लिए रानी को कवर करना होगा।")</f>
        <v>बी) खिलाड़ी बी को जीतने के लिए रानी को कवर करना होगा।</v>
      </c>
    </row>
    <row r="455" ht="22.5" customHeight="1">
      <c r="A455" s="2">
        <v>454.0</v>
      </c>
      <c r="B455" s="3" t="s">
        <v>8893</v>
      </c>
      <c r="C455" s="3" t="s">
        <v>8921</v>
      </c>
      <c r="D455" s="3" t="s">
        <v>8643</v>
      </c>
      <c r="F455" s="5" t="str">
        <f>IFERROR(__xludf.DUMMYFUNCTION("GOOGLETRANSLATE(A455, ""en"", ""hi"")"),"454")</f>
        <v>454</v>
      </c>
      <c r="G455" s="5" t="str">
        <f>IFERROR(__xludf.DUMMYFUNCTION("GOOGLETRANSLATE(B455, ""en"", ""hi"")"),"खिलाड़ी A रानी को पॉकेट में डाल देता है, लेकिन अगली बारी में उसे कवर नहीं करता। नतीजा क्या होता है?")</f>
        <v>खिलाड़ी A रानी को पॉकेट में डाल देता है, लेकिन अगली बारी में उसे कवर नहीं करता। नतीजा क्या होता है?</v>
      </c>
      <c r="H455" s="5" t="str">
        <f>IFERROR(__xludf.DUMMYFUNCTION("GOOGLETRANSLATE(C455, ""en"", ""hi"")"),"ए) खिलाड़ी ए खेल जीत जाता है।, बी) रानी को केंद्र में वापस कर दिया जाता है।, सी) खिलाड़ी ए को एक अंक का दंड दिया जाता है।, डी) खिलाड़ी ए को बारी फिर से खेलनी होगी।")</f>
        <v>ए) खिलाड़ी ए खेल जीत जाता है।, बी) रानी को केंद्र में वापस कर दिया जाता है।, सी) खिलाड़ी ए को एक अंक का दंड दिया जाता है।, डी) खिलाड़ी ए को बारी फिर से खेलनी होगी।</v>
      </c>
      <c r="I455" s="5" t="str">
        <f>IFERROR(__xludf.DUMMYFUNCTION("GOOGLETRANSLATE(D455, ""en"", ""hi"")"),"बी) रानी को केंद्र में वापस लाया जाता है।")</f>
        <v>बी) रानी को केंद्र में वापस लाया जाता है।</v>
      </c>
    </row>
    <row r="456" ht="22.5" customHeight="1">
      <c r="A456" s="2">
        <v>455.0</v>
      </c>
      <c r="B456" s="3" t="s">
        <v>8913</v>
      </c>
      <c r="C456" s="3" t="s">
        <v>8887</v>
      </c>
      <c r="D456" s="3" t="s">
        <v>8870</v>
      </c>
      <c r="F456" s="5" t="str">
        <f>IFERROR(__xludf.DUMMYFUNCTION("GOOGLETRANSLATE(A456, ""en"", ""hi"")"),"455")</f>
        <v>455</v>
      </c>
      <c r="G456" s="5" t="str">
        <f>IFERROR(__xludf.DUMMYFUNCTION("GOOGLETRANSLATE(B456,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456" s="5" t="str">
        <f>IFERROR(__xludf.DUMMYFUNCTION("GOOGLETRANSLATE(C456, ""en"", ""hi"")"),"ए) खिलाड़ी बी खेल जीतता है। , बी) खिलाड़ी बी को जीतने के लिए रानी को कवर करना होगा। , सी) खिलाड़ी बी को एक अंक का दंड दिया जाता है। , डी) खिलाड़ी बी को बारी फिर से खेलनी होगी।")</f>
        <v>ए) खिलाड़ी बी खेल जीतता है। , बी) खिलाड़ी बी को जीतने के लिए रानी को कवर करना होगा। , सी) खिलाड़ी बी को एक अंक का दंड दिया जाता है। , डी) खिलाड़ी बी को बारी फिर से खेलनी होगी।</v>
      </c>
      <c r="I456" s="5" t="str">
        <f>IFERROR(__xludf.DUMMYFUNCTION("GOOGLETRANSLATE(D456, ""en"", ""hi"")"),"बी) खिलाड़ी बी को जीतने के लिए रानी को कवर करना होगा।")</f>
        <v>बी) खिलाड़ी बी को जीतने के लिए रानी को कवर करना होगा।</v>
      </c>
    </row>
    <row r="457" ht="22.5" customHeight="1">
      <c r="A457" s="2">
        <v>456.0</v>
      </c>
      <c r="B457" s="3" t="s">
        <v>8917</v>
      </c>
      <c r="C457" s="3" t="s">
        <v>8873</v>
      </c>
      <c r="D457" s="3" t="s">
        <v>8864</v>
      </c>
      <c r="F457" s="5" t="str">
        <f>IFERROR(__xludf.DUMMYFUNCTION("GOOGLETRANSLATE(A457, ""en"", ""hi"")"),"456")</f>
        <v>456</v>
      </c>
      <c r="G457" s="5" t="str">
        <f>IFERROR(__xludf.DUMMYFUNCTION("GOOGLETRANSLATE(B457,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457" s="5" t="str">
        <f>IFERROR(__xludf.DUMMYFUNCTION("GOOGLETRANSLATE(C457,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57" s="5" t="str">
        <f>IFERROR(__xludf.DUMMYFUNCTION("GOOGLETRANSLATE(D457, ""en"", ""hi"")"),"बी) खिलाड़ी ए को जीतने के लिए रानी को कवर करना होगा।")</f>
        <v>बी) खिलाड़ी ए को जीतने के लिए रानी को कवर करना होगा।</v>
      </c>
    </row>
    <row r="458" ht="22.5" customHeight="1">
      <c r="A458" s="2">
        <v>457.0</v>
      </c>
      <c r="B458" s="3" t="s">
        <v>8913</v>
      </c>
      <c r="C458" s="3" t="s">
        <v>8869</v>
      </c>
      <c r="D458" s="3" t="s">
        <v>8870</v>
      </c>
      <c r="F458" s="5" t="str">
        <f>IFERROR(__xludf.DUMMYFUNCTION("GOOGLETRANSLATE(A458, ""en"", ""hi"")"),"457")</f>
        <v>457</v>
      </c>
      <c r="G458" s="5" t="str">
        <f>IFERROR(__xludf.DUMMYFUNCTION("GOOGLETRANSLATE(B458,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458" s="5" t="str">
        <f>IFERROR(__xludf.DUMMYFUNCTION("GOOGLETRANSLATE(C458,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58" s="5" t="str">
        <f>IFERROR(__xludf.DUMMYFUNCTION("GOOGLETRANSLATE(D458, ""en"", ""hi"")"),"बी) खिलाड़ी बी को जीतने के लिए रानी को कवर करना होगा।")</f>
        <v>बी) खिलाड़ी बी को जीतने के लिए रानी को कवर करना होगा।</v>
      </c>
    </row>
    <row r="459" ht="22.5" customHeight="1">
      <c r="A459" s="2">
        <v>458.0</v>
      </c>
      <c r="B459" s="3" t="s">
        <v>8925</v>
      </c>
      <c r="C459" s="3" t="s">
        <v>8791</v>
      </c>
      <c r="D459" s="3" t="s">
        <v>8519</v>
      </c>
      <c r="F459" s="5" t="str">
        <f>IFERROR(__xludf.DUMMYFUNCTION("GOOGLETRANSLATE(A459, ""en"", ""hi"")"),"458")</f>
        <v>458</v>
      </c>
      <c r="G459" s="5" t="str">
        <f>IFERROR(__xludf.DUMMYFUNCTION("GOOGLETRANSLATE(B459, ""en"", ""hi"")"),"खिलाड़ी A क्वीन को कवर करता है लेकिन फिर स्ट्राइकर को पॉकेट में डाल देता है। क्या होता है?")</f>
        <v>खिलाड़ी A क्वीन को कवर करता है लेकिन फिर स्ट्राइकर को पॉकेट में डाल देता है। क्या होता है?</v>
      </c>
      <c r="H459" s="5" t="str">
        <f>IFERROR(__xludf.DUMMYFUNCTION("GOOGLETRANSLATE(C459,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59" s="5" t="str">
        <f>IFERROR(__xludf.DUMMYFUNCTION("GOOGLETRANSLATE(D459, ""en"", ""hi"")"),"बी) खिलाड़ी ए रानी खो देता है।")</f>
        <v>बी) खिलाड़ी ए रानी खो देता है।</v>
      </c>
    </row>
    <row r="460" ht="22.5" customHeight="1">
      <c r="A460" s="2">
        <v>459.0</v>
      </c>
      <c r="B460" s="3" t="s">
        <v>8926</v>
      </c>
      <c r="C460" s="3" t="s">
        <v>8869</v>
      </c>
      <c r="D460" s="3" t="s">
        <v>8870</v>
      </c>
      <c r="F460" s="5" t="str">
        <f>IFERROR(__xludf.DUMMYFUNCTION("GOOGLETRANSLATE(A460, ""en"", ""hi"")"),"459")</f>
        <v>459</v>
      </c>
      <c r="G460" s="5" t="str">
        <f>IFERROR(__xludf.DUMMYFUNCTION("GOOGLETRANSLATE(B460,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460" s="5" t="str">
        <f>IFERROR(__xludf.DUMMYFUNCTION("GOOGLETRANSLATE(C460,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60" s="5" t="str">
        <f>IFERROR(__xludf.DUMMYFUNCTION("GOOGLETRANSLATE(D460, ""en"", ""hi"")"),"बी) खिलाड़ी बी को जीतने के लिए रानी को कवर करना होगा।")</f>
        <v>बी) खिलाड़ी बी को जीतने के लिए रानी को कवर करना होगा।</v>
      </c>
    </row>
    <row r="461" ht="22.5" customHeight="1">
      <c r="A461" s="2">
        <v>460.0</v>
      </c>
      <c r="B461" s="3" t="s">
        <v>8889</v>
      </c>
      <c r="C461" s="3" t="s">
        <v>8873</v>
      </c>
      <c r="D461" s="3" t="s">
        <v>8864</v>
      </c>
      <c r="F461" s="5" t="str">
        <f>IFERROR(__xludf.DUMMYFUNCTION("GOOGLETRANSLATE(A461, ""en"", ""hi"")"),"460")</f>
        <v>460</v>
      </c>
      <c r="G461" s="5" t="str">
        <f>IFERROR(__xludf.DUMMYFUNCTION("GOOGLETRANSLATE(B461, ""en"", ""hi"")"),"खिलाड़ी A अपनी सभी गोटियाँ और रानी पॉकेट में डाल देता है, लेकिन रानी को कवर नहीं कर पाता। नियम क्या है?")</f>
        <v>खिलाड़ी A अपनी सभी गोटियाँ और रानी पॉकेट में डाल देता है, लेकिन रानी को कवर नहीं कर पाता। नियम क्या है?</v>
      </c>
      <c r="H461" s="5" t="str">
        <f>IFERROR(__xludf.DUMMYFUNCTION("GOOGLETRANSLATE(C461,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61" s="5" t="str">
        <f>IFERROR(__xludf.DUMMYFUNCTION("GOOGLETRANSLATE(D461, ""en"", ""hi"")"),"बी) खिलाड़ी ए को जीतने के लिए रानी को कवर करना होगा।")</f>
        <v>बी) खिलाड़ी ए को जीतने के लिए रानी को कवर करना होगा।</v>
      </c>
    </row>
    <row r="462" ht="22.5" customHeight="1">
      <c r="A462" s="2">
        <v>461.0</v>
      </c>
      <c r="B462" s="3" t="s">
        <v>8913</v>
      </c>
      <c r="C462" s="3" t="s">
        <v>8869</v>
      </c>
      <c r="D462" s="3" t="s">
        <v>8870</v>
      </c>
      <c r="F462" s="5" t="str">
        <f>IFERROR(__xludf.DUMMYFUNCTION("GOOGLETRANSLATE(A462, ""en"", ""hi"")"),"461")</f>
        <v>461</v>
      </c>
      <c r="G462" s="5" t="str">
        <f>IFERROR(__xludf.DUMMYFUNCTION("GOOGLETRANSLATE(B462,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462" s="5" t="str">
        <f>IFERROR(__xludf.DUMMYFUNCTION("GOOGLETRANSLATE(C462,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62" s="5" t="str">
        <f>IFERROR(__xludf.DUMMYFUNCTION("GOOGLETRANSLATE(D462, ""en"", ""hi"")"),"बी) खिलाड़ी बी को जीतने के लिए रानी को कवर करना होगा।")</f>
        <v>बी) खिलाड़ी बी को जीतने के लिए रानी को कवर करना होगा।</v>
      </c>
    </row>
    <row r="463" ht="22.5" customHeight="1">
      <c r="A463" s="2">
        <v>462.0</v>
      </c>
      <c r="B463" s="3" t="s">
        <v>8906</v>
      </c>
      <c r="C463" s="3" t="s">
        <v>8791</v>
      </c>
      <c r="D463" s="3" t="s">
        <v>8519</v>
      </c>
      <c r="F463" s="5" t="str">
        <f>IFERROR(__xludf.DUMMYFUNCTION("GOOGLETRANSLATE(A463, ""en"", ""hi"")"),"462")</f>
        <v>462</v>
      </c>
      <c r="G463" s="5" t="str">
        <f>IFERROR(__xludf.DUMMYFUNCTION("GOOGLETRANSLATE(B463, ""en"", ""hi"")"),"खिलाड़ी A ने रानी को सफलतापूर्वक कवर किया, लेकिन फिर स्ट्राइकर को पॉकेट में डाल दिया। नियम क्या है?")</f>
        <v>खिलाड़ी A ने रानी को सफलतापूर्वक कवर किया, लेकिन फिर स्ट्राइकर को पॉकेट में डाल दिया। नियम क्या है?</v>
      </c>
      <c r="H463" s="5" t="str">
        <f>IFERROR(__xludf.DUMMYFUNCTION("GOOGLETRANSLATE(C463,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63" s="5" t="str">
        <f>IFERROR(__xludf.DUMMYFUNCTION("GOOGLETRANSLATE(D463, ""en"", ""hi"")"),"बी) खिलाड़ी ए रानी खो देता है।")</f>
        <v>बी) खिलाड़ी ए रानी खो देता है।</v>
      </c>
    </row>
    <row r="464" ht="22.5" customHeight="1">
      <c r="A464" s="2">
        <v>463.0</v>
      </c>
      <c r="B464" s="3" t="s">
        <v>8927</v>
      </c>
      <c r="C464" s="3" t="s">
        <v>8869</v>
      </c>
      <c r="D464" s="3" t="s">
        <v>8870</v>
      </c>
      <c r="F464" s="5" t="str">
        <f>IFERROR(__xludf.DUMMYFUNCTION("GOOGLETRANSLATE(A464, ""en"", ""hi"")"),"463")</f>
        <v>463</v>
      </c>
      <c r="G464" s="5" t="str">
        <f>IFERROR(__xludf.DUMMYFUNCTION("GOOGLETRANSLATE(B464, ""en"", ""hi"")"),"खिलाड़ी B अपनी आखिरी गोटी पॉकेट में डाल देता है, लेकिन रानी को कवर नहीं कर पाता। क्या होता है?")</f>
        <v>खिलाड़ी B अपनी आखिरी गोटी पॉकेट में डाल देता है, लेकिन रानी को कवर नहीं कर पाता। क्या होता है?</v>
      </c>
      <c r="H464" s="5" t="str">
        <f>IFERROR(__xludf.DUMMYFUNCTION("GOOGLETRANSLATE(C464,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64" s="5" t="str">
        <f>IFERROR(__xludf.DUMMYFUNCTION("GOOGLETRANSLATE(D464, ""en"", ""hi"")"),"बी) खिलाड़ी बी को जीतने के लिए रानी को कवर करना होगा।")</f>
        <v>बी) खिलाड़ी बी को जीतने के लिए रानी को कवर करना होगा।</v>
      </c>
    </row>
    <row r="465" ht="22.5" customHeight="1">
      <c r="A465" s="2">
        <v>464.0</v>
      </c>
      <c r="B465" s="3" t="s">
        <v>8888</v>
      </c>
      <c r="C465" s="3" t="s">
        <v>8912</v>
      </c>
      <c r="D465" s="3" t="s">
        <v>8864</v>
      </c>
      <c r="F465" s="5" t="str">
        <f>IFERROR(__xludf.DUMMYFUNCTION("GOOGLETRANSLATE(A465, ""en"", ""hi"")"),"464")</f>
        <v>464</v>
      </c>
      <c r="G465" s="5" t="str">
        <f>IFERROR(__xludf.DUMMYFUNCTION("GOOGLETRANSLATE(B465, ""en"", ""hi"")"),"खिलाड़ी A रानी और अपनी आखिरी गोटी पॉकेट में डाल देता है, लेकिन रानी को कवर नहीं करता। नियम क्या है?")</f>
        <v>खिलाड़ी A रानी और अपनी आखिरी गोटी पॉकेट में डाल देता है, लेकिन रानी को कवर नहीं करता। नियम क्या है?</v>
      </c>
      <c r="H465" s="5" t="str">
        <f>IFERROR(__xludf.DUMMYFUNCTION("GOOGLETRANSLATE(C465,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465" s="5" t="str">
        <f>IFERROR(__xludf.DUMMYFUNCTION("GOOGLETRANSLATE(D465, ""en"", ""hi"")"),"बी) खिलाड़ी ए को जीतने के लिए रानी को कवर करना होगा।")</f>
        <v>बी) खिलाड़ी ए को जीतने के लिए रानी को कवर करना होगा।</v>
      </c>
    </row>
    <row r="466" ht="22.5" customHeight="1">
      <c r="A466" s="2">
        <v>465.0</v>
      </c>
      <c r="B466" s="3" t="s">
        <v>8928</v>
      </c>
      <c r="C466" s="3" t="s">
        <v>8869</v>
      </c>
      <c r="D466" s="3" t="s">
        <v>8870</v>
      </c>
      <c r="F466" s="5" t="str">
        <f>IFERROR(__xludf.DUMMYFUNCTION("GOOGLETRANSLATE(A466, ""en"", ""hi"")"),"465")</f>
        <v>465</v>
      </c>
      <c r="G466" s="5" t="str">
        <f>IFERROR(__xludf.DUMMYFUNCTION("GOOGLETRANSLATE(B466, ""en"", ""hi"")"),"खिलाड़ी B अपनी आखिरी गोटी पॉकेट में डाल देता है, लेकिन रानी को कवर नहीं कर पाता। आगे क्या होता है?")</f>
        <v>खिलाड़ी B अपनी आखिरी गोटी पॉकेट में डाल देता है, लेकिन रानी को कवर नहीं कर पाता। आगे क्या होता है?</v>
      </c>
      <c r="H466" s="5" t="str">
        <f>IFERROR(__xludf.DUMMYFUNCTION("GOOGLETRANSLATE(C466,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66" s="5" t="str">
        <f>IFERROR(__xludf.DUMMYFUNCTION("GOOGLETRANSLATE(D466, ""en"", ""hi"")"),"बी) खिलाड़ी बी को जीतने के लिए रानी को कवर करना होगा।")</f>
        <v>बी) खिलाड़ी बी को जीतने के लिए रानी को कवर करना होगा।</v>
      </c>
    </row>
    <row r="467" ht="22.5" customHeight="1">
      <c r="A467" s="2">
        <v>466.0</v>
      </c>
      <c r="B467" s="3" t="s">
        <v>8903</v>
      </c>
      <c r="C467" s="3" t="s">
        <v>8791</v>
      </c>
      <c r="D467" s="3" t="s">
        <v>8519</v>
      </c>
      <c r="F467" s="5" t="str">
        <f>IFERROR(__xludf.DUMMYFUNCTION("GOOGLETRANSLATE(A467, ""en"", ""hi"")"),"466")</f>
        <v>466</v>
      </c>
      <c r="G467" s="5" t="str">
        <f>IFERROR(__xludf.DUMMYFUNCTION("GOOGLETRANSLATE(B467, ""en"", ""hi"")"),"खिलाड़ी A ने क्वीन को सफलतापूर्वक कवर किया, लेकिन फिर स्ट्राइकर को पॉकेट में डाल दिया। परिणाम क्या हुआ?")</f>
        <v>खिलाड़ी A ने क्वीन को सफलतापूर्वक कवर किया, लेकिन फिर स्ट्राइकर को पॉकेट में डाल दिया। परिणाम क्या हुआ?</v>
      </c>
      <c r="H467" s="5" t="str">
        <f>IFERROR(__xludf.DUMMYFUNCTION("GOOGLETRANSLATE(C467,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67" s="5" t="str">
        <f>IFERROR(__xludf.DUMMYFUNCTION("GOOGLETRANSLATE(D467, ""en"", ""hi"")"),"बी) खिलाड़ी ए रानी खो देता है।")</f>
        <v>बी) खिलाड़ी ए रानी खो देता है।</v>
      </c>
    </row>
    <row r="468" ht="22.5" customHeight="1">
      <c r="A468" s="2">
        <v>467.0</v>
      </c>
      <c r="B468" s="3" t="s">
        <v>8926</v>
      </c>
      <c r="C468" s="3" t="s">
        <v>8869</v>
      </c>
      <c r="D468" s="3" t="s">
        <v>8870</v>
      </c>
      <c r="F468" s="5" t="str">
        <f>IFERROR(__xludf.DUMMYFUNCTION("GOOGLETRANSLATE(A468, ""en"", ""hi"")"),"467")</f>
        <v>467</v>
      </c>
      <c r="G468" s="5" t="str">
        <f>IFERROR(__xludf.DUMMYFUNCTION("GOOGLETRANSLATE(B468,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468" s="5" t="str">
        <f>IFERROR(__xludf.DUMMYFUNCTION("GOOGLETRANSLATE(C468,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68" s="5" t="str">
        <f>IFERROR(__xludf.DUMMYFUNCTION("GOOGLETRANSLATE(D468, ""en"", ""hi"")"),"बी) खिलाड़ी बी को जीतने के लिए रानी को कवर करना होगा।")</f>
        <v>बी) खिलाड़ी बी को जीतने के लिए रानी को कवर करना होगा।</v>
      </c>
    </row>
    <row r="469" ht="22.5" customHeight="1">
      <c r="A469" s="2">
        <v>468.0</v>
      </c>
      <c r="B469" s="3" t="s">
        <v>8929</v>
      </c>
      <c r="C469" s="3" t="s">
        <v>8873</v>
      </c>
      <c r="D469" s="3" t="s">
        <v>8864</v>
      </c>
      <c r="F469" s="5" t="str">
        <f>IFERROR(__xludf.DUMMYFUNCTION("GOOGLETRANSLATE(A469, ""en"", ""hi"")"),"468")</f>
        <v>468</v>
      </c>
      <c r="G469" s="5" t="str">
        <f>IFERROR(__xludf.DUMMYFUNCTION("GOOGLETRANSLATE(B469, ""en"", ""hi"")"),"खिलाड़ी A अपनी सभी गोटियाँ और रानी को पॉकेट में डाल देता है, लेकिन रानी को कवर नहीं करता। क्या होता है?")</f>
        <v>खिलाड़ी A अपनी सभी गोटियाँ और रानी को पॉकेट में डाल देता है, लेकिन रानी को कवर नहीं करता। क्या होता है?</v>
      </c>
      <c r="H469" s="5" t="str">
        <f>IFERROR(__xludf.DUMMYFUNCTION("GOOGLETRANSLATE(C469,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69" s="5" t="str">
        <f>IFERROR(__xludf.DUMMYFUNCTION("GOOGLETRANSLATE(D469, ""en"", ""hi"")"),"बी) खिलाड़ी ए को जीतने के लिए रानी को कवर करना होगा।")</f>
        <v>बी) खिलाड़ी ए को जीतने के लिए रानी को कवर करना होगा।</v>
      </c>
    </row>
    <row r="470" ht="22.5" customHeight="1">
      <c r="A470" s="2">
        <v>469.0</v>
      </c>
      <c r="B470" s="3" t="s">
        <v>8900</v>
      </c>
      <c r="C470" s="3" t="s">
        <v>8869</v>
      </c>
      <c r="D470" s="3" t="s">
        <v>8870</v>
      </c>
      <c r="F470" s="5" t="str">
        <f>IFERROR(__xludf.DUMMYFUNCTION("GOOGLETRANSLATE(A470, ""en"", ""hi"")"),"469")</f>
        <v>469</v>
      </c>
      <c r="G470" s="5" t="str">
        <f>IFERROR(__xludf.DUMMYFUNCTION("GOOGLETRANSLATE(B470, ""en"", ""hi"")"),"खिलाड़ी B अपनी आखिरी गोटी और रानी को पॉकेट में डाल देता है, लेकिन रानी को कवर नहीं कर पाता। नियम क्या है?")</f>
        <v>खिलाड़ी B अपनी आखिरी गोटी और रानी को पॉकेट में डाल देता है, लेकिन रानी को कवर नहीं कर पाता। नियम क्या है?</v>
      </c>
      <c r="H470" s="5" t="str">
        <f>IFERROR(__xludf.DUMMYFUNCTION("GOOGLETRANSLATE(C470,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70" s="5" t="str">
        <f>IFERROR(__xludf.DUMMYFUNCTION("GOOGLETRANSLATE(D470, ""en"", ""hi"")"),"बी) खिलाड़ी बी को जीतने के लिए रानी को कवर करना होगा।")</f>
        <v>बी) खिलाड़ी बी को जीतने के लिए रानी को कवर करना होगा।</v>
      </c>
    </row>
    <row r="471" ht="22.5" customHeight="1">
      <c r="A471" s="2">
        <v>470.0</v>
      </c>
      <c r="B471" s="3" t="s">
        <v>8849</v>
      </c>
      <c r="C471" s="3" t="s">
        <v>8791</v>
      </c>
      <c r="D471" s="3" t="s">
        <v>8519</v>
      </c>
      <c r="F471" s="5" t="str">
        <f>IFERROR(__xludf.DUMMYFUNCTION("GOOGLETRANSLATE(A471, ""en"", ""hi"")"),"470")</f>
        <v>470</v>
      </c>
      <c r="G471" s="5" t="str">
        <f>IFERROR(__xludf.DUMMYFUNCTION("GOOGLETRANSLATE(B471, ""en"", ""hi"")"),"खिलाड़ी A क्वीन को कवर करता है लेकिन फिर स्ट्राइकर को पॉकेट में डाल देता है। नियम क्या है?")</f>
        <v>खिलाड़ी A क्वीन को कवर करता है लेकिन फिर स्ट्राइकर को पॉकेट में डाल देता है। नियम क्या है?</v>
      </c>
      <c r="H471" s="5" t="str">
        <f>IFERROR(__xludf.DUMMYFUNCTION("GOOGLETRANSLATE(C471,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71" s="5" t="str">
        <f>IFERROR(__xludf.DUMMYFUNCTION("GOOGLETRANSLATE(D471, ""en"", ""hi"")"),"बी) खिलाड़ी ए रानी खो देता है।")</f>
        <v>बी) खिलाड़ी ए रानी खो देता है।</v>
      </c>
    </row>
    <row r="472" ht="22.5" customHeight="1">
      <c r="A472" s="2">
        <v>471.0</v>
      </c>
      <c r="B472" s="3" t="s">
        <v>8930</v>
      </c>
      <c r="C472" s="3" t="s">
        <v>8869</v>
      </c>
      <c r="D472" s="3" t="s">
        <v>8870</v>
      </c>
      <c r="F472" s="5" t="str">
        <f>IFERROR(__xludf.DUMMYFUNCTION("GOOGLETRANSLATE(A472, ""en"", ""hi"")"),"471")</f>
        <v>471</v>
      </c>
      <c r="G472" s="5" t="str">
        <f>IFERROR(__xludf.DUMMYFUNCTION("GOOGLETRANSLATE(B472, ""en"", ""hi"")"),"खिलाड़ी B अपनी आखिरी गोटी और रानी को पॉकेट में डाल देता है, लेकिन रानी को कवर नहीं करता। आगे क्या होता है?")</f>
        <v>खिलाड़ी B अपनी आखिरी गोटी और रानी को पॉकेट में डाल देता है, लेकिन रानी को कवर नहीं करता। आगे क्या होता है?</v>
      </c>
      <c r="H472" s="5" t="str">
        <f>IFERROR(__xludf.DUMMYFUNCTION("GOOGLETRANSLATE(C472,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72" s="5" t="str">
        <f>IFERROR(__xludf.DUMMYFUNCTION("GOOGLETRANSLATE(D472, ""en"", ""hi"")"),"बी) खिलाड़ी बी को जीतने के लिए रानी को कवर करना होगा।")</f>
        <v>बी) खिलाड़ी बी को जीतने के लिए रानी को कवर करना होगा।</v>
      </c>
    </row>
    <row r="473" ht="22.5" customHeight="1">
      <c r="A473" s="2">
        <v>472.0</v>
      </c>
      <c r="B473" s="3" t="s">
        <v>8931</v>
      </c>
      <c r="C473" s="3" t="s">
        <v>8912</v>
      </c>
      <c r="D473" s="3" t="s">
        <v>8864</v>
      </c>
      <c r="F473" s="5" t="str">
        <f>IFERROR(__xludf.DUMMYFUNCTION("GOOGLETRANSLATE(A473, ""en"", ""hi"")"),"472")</f>
        <v>472</v>
      </c>
      <c r="G473" s="5" t="str">
        <f>IFERROR(__xludf.DUMMYFUNCTION("GOOGLETRANSLATE(B473, ""en"", ""hi"")"),"खिलाड़ी A अपनी सभी गोटियाँ और रानी पॉकेट में डाल देता है, लेकिन रानी को कवर नहीं करता। नतीजा क्या होता है?")</f>
        <v>खिलाड़ी A अपनी सभी गोटियाँ और रानी पॉकेट में डाल देता है, लेकिन रानी को कवर नहीं करता। नतीजा क्या होता है?</v>
      </c>
      <c r="H473" s="5" t="str">
        <f>IFERROR(__xludf.DUMMYFUNCTION("GOOGLETRANSLATE(C473,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473" s="5" t="str">
        <f>IFERROR(__xludf.DUMMYFUNCTION("GOOGLETRANSLATE(D473, ""en"", ""hi"")"),"बी) खिलाड़ी ए को जीतने के लिए रानी को कवर करना होगा।")</f>
        <v>बी) खिलाड़ी ए को जीतने के लिए रानी को कवर करना होगा।</v>
      </c>
    </row>
    <row r="474" ht="22.5" customHeight="1">
      <c r="A474" s="2">
        <v>473.0</v>
      </c>
      <c r="B474" s="3" t="s">
        <v>8868</v>
      </c>
      <c r="C474" s="3" t="s">
        <v>8869</v>
      </c>
      <c r="D474" s="3" t="s">
        <v>8870</v>
      </c>
      <c r="F474" s="5" t="str">
        <f>IFERROR(__xludf.DUMMYFUNCTION("GOOGLETRANSLATE(A474, ""en"", ""hi"")"),"473")</f>
        <v>473</v>
      </c>
      <c r="G474" s="5" t="str">
        <f>IFERROR(__xludf.DUMMYFUNCTION("GOOGLETRANSLATE(B474, ""en"", ""hi"")"),"खिलाड़ी B अपना आखिरी मोहरा पॉकेट में डालता है, लेकिन रानी को कवर नहीं करता। नियम क्या है?")</f>
        <v>खिलाड़ी B अपना आखिरी मोहरा पॉकेट में डालता है, लेकिन रानी को कवर नहीं करता। नियम क्या है?</v>
      </c>
      <c r="H474" s="5" t="str">
        <f>IFERROR(__xludf.DUMMYFUNCTION("GOOGLETRANSLATE(C474,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74" s="5" t="str">
        <f>IFERROR(__xludf.DUMMYFUNCTION("GOOGLETRANSLATE(D474, ""en"", ""hi"")"),"बी) खिलाड़ी बी को जीतने के लिए रानी को कवर करना होगा।")</f>
        <v>बी) खिलाड़ी बी को जीतने के लिए रानी को कवर करना होगा।</v>
      </c>
    </row>
    <row r="475" ht="22.5" customHeight="1">
      <c r="A475" s="2">
        <v>474.0</v>
      </c>
      <c r="B475" s="3" t="s">
        <v>8906</v>
      </c>
      <c r="C475" s="3" t="s">
        <v>8791</v>
      </c>
      <c r="D475" s="3" t="s">
        <v>8519</v>
      </c>
      <c r="F475" s="5" t="str">
        <f>IFERROR(__xludf.DUMMYFUNCTION("GOOGLETRANSLATE(A475, ""en"", ""hi"")"),"474")</f>
        <v>474</v>
      </c>
      <c r="G475" s="5" t="str">
        <f>IFERROR(__xludf.DUMMYFUNCTION("GOOGLETRANSLATE(B475, ""en"", ""hi"")"),"खिलाड़ी A ने रानी को सफलतापूर्वक कवर किया, लेकिन फिर स्ट्राइकर को पॉकेट में डाल दिया। नियम क्या है?")</f>
        <v>खिलाड़ी A ने रानी को सफलतापूर्वक कवर किया, लेकिन फिर स्ट्राइकर को पॉकेट में डाल दिया। नियम क्या है?</v>
      </c>
      <c r="H475" s="5" t="str">
        <f>IFERROR(__xludf.DUMMYFUNCTION("GOOGLETRANSLATE(C475,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75" s="5" t="str">
        <f>IFERROR(__xludf.DUMMYFUNCTION("GOOGLETRANSLATE(D475, ""en"", ""hi"")"),"बी) खिलाड़ी ए रानी खो देता है।")</f>
        <v>बी) खिलाड़ी ए रानी खो देता है।</v>
      </c>
    </row>
    <row r="476" ht="22.5" customHeight="1">
      <c r="A476" s="2">
        <v>475.0</v>
      </c>
      <c r="B476" s="3" t="s">
        <v>8932</v>
      </c>
      <c r="C476" s="3" t="s">
        <v>8869</v>
      </c>
      <c r="D476" s="3" t="s">
        <v>8870</v>
      </c>
      <c r="F476" s="5" t="str">
        <f>IFERROR(__xludf.DUMMYFUNCTION("GOOGLETRANSLATE(A476, ""en"", ""hi"")"),"475")</f>
        <v>475</v>
      </c>
      <c r="G476" s="5" t="str">
        <f>IFERROR(__xludf.DUMMYFUNCTION("GOOGLETRANSLATE(B476, ""en"", ""hi"")"),"खिलाड़ी B अपनी आखिरी गोटी पॉकेट में डाल देता है, लेकिन रानी को कवर नहीं कर पाता। नियम क्या है?")</f>
        <v>खिलाड़ी B अपनी आखिरी गोटी पॉकेट में डाल देता है, लेकिन रानी को कवर नहीं कर पाता। नियम क्या है?</v>
      </c>
      <c r="H476" s="5" t="str">
        <f>IFERROR(__xludf.DUMMYFUNCTION("GOOGLETRANSLATE(C476,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76" s="5" t="str">
        <f>IFERROR(__xludf.DUMMYFUNCTION("GOOGLETRANSLATE(D476, ""en"", ""hi"")"),"बी) खिलाड़ी बी को जीतने के लिए रानी को कवर करना होगा।")</f>
        <v>बी) खिलाड़ी बी को जीतने के लिए रानी को कवर करना होगा।</v>
      </c>
    </row>
    <row r="477" ht="22.5" customHeight="1">
      <c r="A477" s="2">
        <v>476.0</v>
      </c>
      <c r="B477" s="3" t="s">
        <v>8929</v>
      </c>
      <c r="C477" s="3" t="s">
        <v>8873</v>
      </c>
      <c r="D477" s="3" t="s">
        <v>8864</v>
      </c>
      <c r="F477" s="5" t="str">
        <f>IFERROR(__xludf.DUMMYFUNCTION("GOOGLETRANSLATE(A477, ""en"", ""hi"")"),"476")</f>
        <v>476</v>
      </c>
      <c r="G477" s="5" t="str">
        <f>IFERROR(__xludf.DUMMYFUNCTION("GOOGLETRANSLATE(B477, ""en"", ""hi"")"),"खिलाड़ी A अपनी सभी गोटियाँ और रानी को पॉकेट में डाल देता है, लेकिन रानी को कवर नहीं करता। क्या होता है?")</f>
        <v>खिलाड़ी A अपनी सभी गोटियाँ और रानी को पॉकेट में डाल देता है, लेकिन रानी को कवर नहीं करता। क्या होता है?</v>
      </c>
      <c r="H477" s="5" t="str">
        <f>IFERROR(__xludf.DUMMYFUNCTION("GOOGLETRANSLATE(C477,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77" s="5" t="str">
        <f>IFERROR(__xludf.DUMMYFUNCTION("GOOGLETRANSLATE(D477, ""en"", ""hi"")"),"बी) खिलाड़ी ए को जीतने के लिए रानी को कवर करना होगा।")</f>
        <v>बी) खिलाड़ी ए को जीतने के लिए रानी को कवर करना होगा।</v>
      </c>
    </row>
    <row r="478" ht="22.5" customHeight="1">
      <c r="A478" s="2">
        <v>477.0</v>
      </c>
      <c r="B478" s="3" t="s">
        <v>8913</v>
      </c>
      <c r="C478" s="3" t="s">
        <v>8869</v>
      </c>
      <c r="D478" s="3" t="s">
        <v>8870</v>
      </c>
      <c r="F478" s="5" t="str">
        <f>IFERROR(__xludf.DUMMYFUNCTION("GOOGLETRANSLATE(A478, ""en"", ""hi"")"),"477")</f>
        <v>477</v>
      </c>
      <c r="G478" s="5" t="str">
        <f>IFERROR(__xludf.DUMMYFUNCTION("GOOGLETRANSLATE(B478,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478" s="5" t="str">
        <f>IFERROR(__xludf.DUMMYFUNCTION("GOOGLETRANSLATE(C478,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78" s="5" t="str">
        <f>IFERROR(__xludf.DUMMYFUNCTION("GOOGLETRANSLATE(D478, ""en"", ""hi"")"),"बी) खिलाड़ी बी को जीतने के लिए रानी को कवर करना होगा।")</f>
        <v>बी) खिलाड़ी बी को जीतने के लिए रानी को कवर करना होगा।</v>
      </c>
    </row>
    <row r="479" ht="22.5" customHeight="1">
      <c r="A479" s="2">
        <v>478.0</v>
      </c>
      <c r="B479" s="3" t="s">
        <v>8871</v>
      </c>
      <c r="C479" s="3" t="s">
        <v>8791</v>
      </c>
      <c r="D479" s="3" t="s">
        <v>8519</v>
      </c>
      <c r="F479" s="5" t="str">
        <f>IFERROR(__xludf.DUMMYFUNCTION("GOOGLETRANSLATE(A479, ""en"", ""hi"")"),"478")</f>
        <v>478</v>
      </c>
      <c r="G479" s="5" t="str">
        <f>IFERROR(__xludf.DUMMYFUNCTION("GOOGLETRANSLATE(B479, ""en"", ""hi"")"),"खिलाड़ी A क्वीन को कवर करता है लेकिन फिर स्ट्राइकर को पॉकेट में डाल देता है। नतीजा क्या होता है?")</f>
        <v>खिलाड़ी A क्वीन को कवर करता है लेकिन फिर स्ट्राइकर को पॉकेट में डाल देता है। नतीजा क्या होता है?</v>
      </c>
      <c r="H479" s="5" t="str">
        <f>IFERROR(__xludf.DUMMYFUNCTION("GOOGLETRANSLATE(C479,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79" s="5" t="str">
        <f>IFERROR(__xludf.DUMMYFUNCTION("GOOGLETRANSLATE(D479, ""en"", ""hi"")"),"बी) खिलाड़ी ए रानी खो देता है।")</f>
        <v>बी) खिलाड़ी ए रानी खो देता है।</v>
      </c>
    </row>
    <row r="480" ht="22.5" customHeight="1">
      <c r="A480" s="2">
        <v>479.0</v>
      </c>
      <c r="B480" s="3" t="s">
        <v>8932</v>
      </c>
      <c r="C480" s="3" t="s">
        <v>8869</v>
      </c>
      <c r="D480" s="3" t="s">
        <v>8870</v>
      </c>
      <c r="F480" s="5" t="str">
        <f>IFERROR(__xludf.DUMMYFUNCTION("GOOGLETRANSLATE(A480, ""en"", ""hi"")"),"479")</f>
        <v>479</v>
      </c>
      <c r="G480" s="5" t="str">
        <f>IFERROR(__xludf.DUMMYFUNCTION("GOOGLETRANSLATE(B480, ""en"", ""hi"")"),"खिलाड़ी B अपनी आखिरी गोटी पॉकेट में डाल देता है, लेकिन रानी को कवर नहीं कर पाता। नियम क्या है?")</f>
        <v>खिलाड़ी B अपनी आखिरी गोटी पॉकेट में डाल देता है, लेकिन रानी को कवर नहीं कर पाता। नियम क्या है?</v>
      </c>
      <c r="H480" s="5" t="str">
        <f>IFERROR(__xludf.DUMMYFUNCTION("GOOGLETRANSLATE(C480,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80" s="5" t="str">
        <f>IFERROR(__xludf.DUMMYFUNCTION("GOOGLETRANSLATE(D480, ""en"", ""hi"")"),"बी) खिलाड़ी बी को जीतने के लिए रानी को कवर करना होगा।")</f>
        <v>बी) खिलाड़ी बी को जीतने के लिए रानी को कवर करना होगा।</v>
      </c>
    </row>
    <row r="481" ht="22.5" customHeight="1">
      <c r="A481" s="2">
        <v>480.0</v>
      </c>
      <c r="B481" s="3" t="s">
        <v>8933</v>
      </c>
      <c r="C481" s="3" t="s">
        <v>8934</v>
      </c>
      <c r="D481" s="3" t="s">
        <v>8430</v>
      </c>
      <c r="F481" s="5" t="str">
        <f>IFERROR(__xludf.DUMMYFUNCTION("GOOGLETRANSLATE(A481, ""en"", ""hi"")"),"480")</f>
        <v>480</v>
      </c>
      <c r="G481" s="5" t="str">
        <f>IFERROR(__xludf.DUMMYFUNCTION("GOOGLETRANSLATE(B481, ""en"", ""hi"")"),"खिलाड़ी A अपना मोहरा पॉकेट में डालने की कोशिश में गलती से अपने प्रतिद्वंद्वी का मोहरा पॉकेट में डाल देता है। इसका नियम क्या है?")</f>
        <v>खिलाड़ी A अपना मोहरा पॉकेट में डालने की कोशिश में गलती से अपने प्रतिद्वंद्वी का मोहरा पॉकेट में डाल देता है। इसका नियम क्या है?</v>
      </c>
      <c r="H481" s="5" t="str">
        <f>IFERROR(__xludf.DUMMYFUNCTION("GOOGLETRANSLATE(C481, ""en"", ""hi"")"),"A) खिलाड़ी A अपनी बारी खो देता है। , B) खिलाड़ी A को एक अंक का दंड दिया जाता है। , C) खिलाड़ी A के प्रतिद्वंद्वी को मोहरा वापस मिल जाता है। , D) खिलाड़ी A खेल जीत जाता है।")</f>
        <v>A) खिलाड़ी A अपनी बारी खो देता है। , B) खिलाड़ी A को एक अंक का दंड दिया जाता है। , C) खिलाड़ी A के प्रतिद्वंद्वी को मोहरा वापस मिल जाता है। , D) खिलाड़ी A खेल जीत जाता है।</v>
      </c>
      <c r="I481" s="5" t="str">
        <f>IFERROR(__xludf.DUMMYFUNCTION("GOOGLETRANSLATE(D481, ""en"", ""hi"")"),"A) खिलाड़ी A अपनी बारी खो देता है।")</f>
        <v>A) खिलाड़ी A अपनी बारी खो देता है।</v>
      </c>
    </row>
    <row r="482" ht="22.5" customHeight="1">
      <c r="A482" s="2">
        <v>481.0</v>
      </c>
      <c r="B482" s="3" t="s">
        <v>8935</v>
      </c>
      <c r="C482" s="3" t="s">
        <v>8936</v>
      </c>
      <c r="D482" s="3" t="s">
        <v>8505</v>
      </c>
      <c r="F482" s="5" t="str">
        <f>IFERROR(__xludf.DUMMYFUNCTION("GOOGLETRANSLATE(A482, ""en"", ""hi"")"),"481")</f>
        <v>481</v>
      </c>
      <c r="G482" s="5" t="str">
        <f>IFERROR(__xludf.DUMMYFUNCTION("GOOGLETRANSLATE(B482, ""en"", ""hi"")"),"खिलाड़ी B अपनी रानी और आखिरी मोहरे को पॉकेट में डाल देता है, लेकिन अगली बारी में स्ट्राइकर को पॉकेट में डाल देता है। नतीजा क्या होता है?")</f>
        <v>खिलाड़ी B अपनी रानी और आखिरी मोहरे को पॉकेट में डाल देता है, लेकिन अगली बारी में स्ट्राइकर को पॉकेट में डाल देता है। नतीजा क्या होता है?</v>
      </c>
      <c r="H482" s="5" t="str">
        <f>IFERROR(__xludf.DUMMYFUNCTION("GOOGLETRANSLATE(C482, ""en"", ""hi"")"),"A) खिलाड़ी B खेल जीत जाता है। , B) खिलाड़ी B रानी खो देता है। , C) खिलाड़ी B को जीतने के लिए रानी को ढकना होगा। , D) खिलाड़ी B को एक अंक का दंड दिया जाता है।")</f>
        <v>A) खिलाड़ी B खेल जीत जाता है। , B) खिलाड़ी B रानी खो देता है। , C) खिलाड़ी B को जीतने के लिए रानी को ढकना होगा। , D) खिलाड़ी B को एक अंक का दंड दिया जाता है।</v>
      </c>
      <c r="I482" s="5" t="str">
        <f>IFERROR(__xludf.DUMMYFUNCTION("GOOGLETRANSLATE(D482, ""en"", ""hi"")"),"B) खिलाड़ी B रानी खो देता है।")</f>
        <v>B) खिलाड़ी B रानी खो देता है।</v>
      </c>
    </row>
    <row r="483" ht="22.5" customHeight="1">
      <c r="A483" s="2">
        <v>482.0</v>
      </c>
      <c r="B483" s="3" t="s">
        <v>8937</v>
      </c>
      <c r="C483" s="3" t="s">
        <v>8803</v>
      </c>
      <c r="D483" s="3" t="s">
        <v>8519</v>
      </c>
      <c r="F483" s="5" t="str">
        <f>IFERROR(__xludf.DUMMYFUNCTION("GOOGLETRANSLATE(A483, ""en"", ""hi"")"),"482")</f>
        <v>482</v>
      </c>
      <c r="G483" s="5" t="str">
        <f>IFERROR(__xludf.DUMMYFUNCTION("GOOGLETRANSLATE(B483, ""en"", ""hi"")"),"खिलाड़ी A रानी को पॉकेट में डालता है, लेकिन स्ट्राइकर उसी बारी में पॉकेट में चला जाता है। क्या होता है?")</f>
        <v>खिलाड़ी A रानी को पॉकेट में डालता है, लेकिन स्ट्राइकर उसी बारी में पॉकेट में चला जाता है। क्या होता है?</v>
      </c>
      <c r="H483" s="5" t="str">
        <f>IFERROR(__xludf.DUMMYFUNCTION("GOOGLETRANSLATE(C483,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483" s="5" t="str">
        <f>IFERROR(__xludf.DUMMYFUNCTION("GOOGLETRANSLATE(D483, ""en"", ""hi"")"),"बी) खिलाड़ी ए रानी खो देता है।")</f>
        <v>बी) खिलाड़ी ए रानी खो देता है।</v>
      </c>
    </row>
    <row r="484" ht="22.5" customHeight="1">
      <c r="A484" s="2">
        <v>483.0</v>
      </c>
      <c r="B484" s="3" t="s">
        <v>8938</v>
      </c>
      <c r="C484" s="3" t="s">
        <v>8804</v>
      </c>
      <c r="D484" s="3" t="s">
        <v>8643</v>
      </c>
      <c r="F484" s="5" t="str">
        <f>IFERROR(__xludf.DUMMYFUNCTION("GOOGLETRANSLATE(A484, ""en"", ""hi"")"),"483")</f>
        <v>483</v>
      </c>
      <c r="G484" s="5" t="str">
        <f>IFERROR(__xludf.DUMMYFUNCTION("GOOGLETRANSLATE(B484, ""en"", ""hi"")"),"खिलाड़ी B अपनी रानी को ढककर अपनी आखिरी गोटी जेब में डाल लेता है, लेकिन अगली बारी में रानी को ढक नहीं पाता। नियम क्या है?")</f>
        <v>खिलाड़ी B अपनी रानी को ढककर अपनी आखिरी गोटी जेब में डाल लेता है, लेकिन अगली बारी में रानी को ढक नहीं पाता। नियम क्या है?</v>
      </c>
      <c r="H484" s="5" t="str">
        <f>IFERROR(__xludf.DUMMYFUNCTION("GOOGLETRANSLATE(C484, ""en"", ""hi"")"),"ए) खिलाड़ी बी खेल जीत जाता है।, बी) रानी को केंद्र में वापस कर दिया जाता है।, सी) खिलाड़ी बी को एक अंक का दंड दिया जाता है।, डी) खिलाड़ी बी को बारी फिर से खेलनी होगी।")</f>
        <v>ए) खिलाड़ी बी खेल जीत जाता है।, बी) रानी को केंद्र में वापस कर दिया जाता है।, सी) खिलाड़ी बी को एक अंक का दंड दिया जाता है।, डी) खिलाड़ी बी को बारी फिर से खेलनी होगी।</v>
      </c>
      <c r="I484" s="5" t="str">
        <f>IFERROR(__xludf.DUMMYFUNCTION("GOOGLETRANSLATE(D484, ""en"", ""hi"")"),"बी) रानी को केंद्र में वापस लाया जाता है।")</f>
        <v>बी) रानी को केंद्र में वापस लाया जाता है।</v>
      </c>
    </row>
    <row r="485" ht="22.5" customHeight="1">
      <c r="A485" s="2">
        <v>484.0</v>
      </c>
      <c r="B485" s="3" t="s">
        <v>8939</v>
      </c>
      <c r="C485" s="3" t="s">
        <v>8912</v>
      </c>
      <c r="D485" s="3" t="s">
        <v>8864</v>
      </c>
      <c r="F485" s="5" t="str">
        <f>IFERROR(__xludf.DUMMYFUNCTION("GOOGLETRANSLATE(A485, ""en"", ""hi"")"),"484")</f>
        <v>484</v>
      </c>
      <c r="G485" s="5" t="str">
        <f>IFERROR(__xludf.DUMMYFUNCTION("GOOGLETRANSLATE(B485, ""en"", ""hi"")"),"खिलाड़ी A अलग-अलग बारी में रानी और उसके सभी मोहरों को पॉकेट में डालता है, लेकिन रानी को कवर नहीं करता। क्या होता है?")</f>
        <v>खिलाड़ी A अलग-अलग बारी में रानी और उसके सभी मोहरों को पॉकेट में डालता है, लेकिन रानी को कवर नहीं करता। क्या होता है?</v>
      </c>
      <c r="H485" s="5" t="str">
        <f>IFERROR(__xludf.DUMMYFUNCTION("GOOGLETRANSLATE(C485,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485" s="5" t="str">
        <f>IFERROR(__xludf.DUMMYFUNCTION("GOOGLETRANSLATE(D485, ""en"", ""hi"")"),"बी) खिलाड़ी ए को जीतने के लिए रानी को कवर करना होगा।")</f>
        <v>बी) खिलाड़ी ए को जीतने के लिए रानी को कवर करना होगा।</v>
      </c>
    </row>
    <row r="486" ht="22.5" customHeight="1">
      <c r="A486" s="2">
        <v>485.0</v>
      </c>
      <c r="B486" s="3" t="s">
        <v>8784</v>
      </c>
      <c r="C486" s="3" t="s">
        <v>8940</v>
      </c>
      <c r="D486" s="3" t="s">
        <v>8870</v>
      </c>
      <c r="F486" s="5" t="str">
        <f>IFERROR(__xludf.DUMMYFUNCTION("GOOGLETRANSLATE(A486, ""en"", ""hi"")"),"485")</f>
        <v>485</v>
      </c>
      <c r="G486" s="5" t="str">
        <f>IFERROR(__xludf.DUMMYFUNCTION("GOOGLETRANSLATE(B486, ""en"", ""hi"")"),"खिलाड़ी B अपना आखिरी मोहरा पॉकेट में डाल देता है, लेकिन रानी को कवर नहीं कर पाता। नियम क्या है?")</f>
        <v>खिलाड़ी B अपना आखिरी मोहरा पॉकेट में डाल देता है, लेकिन रानी को कवर नहीं कर पाता। नियम क्या है?</v>
      </c>
      <c r="H486" s="5" t="str">
        <f>IFERROR(__xludf.DUMMYFUNCTION("GOOGLETRANSLATE(C486, ""en"", ""hi"")"),"A) खिलाड़ी B खेल जीत जाता है। , B) खिलाड़ी B को जीतने के लिए रानी को ढकना होगा। , C) खिलाड़ी B अपनी बारी खो देता है। , D) खेल ड्रॉ हो जाता है।")</f>
        <v>A) खिलाड़ी B खेल जीत जाता है। , B) खिलाड़ी B को जीतने के लिए रानी को ढकना होगा। , C) खिलाड़ी B अपनी बारी खो देता है। , D) खेल ड्रॉ हो जाता है।</v>
      </c>
      <c r="I486" s="5" t="str">
        <f>IFERROR(__xludf.DUMMYFUNCTION("GOOGLETRANSLATE(D486, ""en"", ""hi"")"),"बी) खिलाड़ी बी को जीतने के लिए रानी को कवर करना होगा।")</f>
        <v>बी) खिलाड़ी बी को जीतने के लिए रानी को कवर करना होगा।</v>
      </c>
    </row>
    <row r="487" ht="22.5" customHeight="1">
      <c r="A487" s="2">
        <v>486.0</v>
      </c>
      <c r="B487" s="3" t="s">
        <v>8914</v>
      </c>
      <c r="C487" s="3" t="s">
        <v>8803</v>
      </c>
      <c r="D487" s="3" t="s">
        <v>8519</v>
      </c>
      <c r="F487" s="5" t="str">
        <f>IFERROR(__xludf.DUMMYFUNCTION("GOOGLETRANSLATE(A487, ""en"", ""hi"")"),"486")</f>
        <v>486</v>
      </c>
      <c r="G487" s="5" t="str">
        <f>IFERROR(__xludf.DUMMYFUNCTION("GOOGLETRANSLATE(B487, ""en"", ""hi"")"),"खिलाड़ी A रानी को पॉकेट में डालता है, लेकिन अगली बारी में स्ट्राइकर को भी पॉकेट में डाल देता है। क्या होता है?")</f>
        <v>खिलाड़ी A रानी को पॉकेट में डालता है, लेकिन अगली बारी में स्ट्राइकर को भी पॉकेट में डाल देता है। क्या होता है?</v>
      </c>
      <c r="H487" s="5" t="str">
        <f>IFERROR(__xludf.DUMMYFUNCTION("GOOGLETRANSLATE(C487,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487" s="5" t="str">
        <f>IFERROR(__xludf.DUMMYFUNCTION("GOOGLETRANSLATE(D487, ""en"", ""hi"")"),"बी) खिलाड़ी ए रानी खो देता है।")</f>
        <v>बी) खिलाड़ी ए रानी खो देता है।</v>
      </c>
    </row>
    <row r="488" ht="22.5" customHeight="1">
      <c r="A488" s="2">
        <v>487.0</v>
      </c>
      <c r="B488" s="3" t="s">
        <v>8941</v>
      </c>
      <c r="C488" s="3" t="s">
        <v>8869</v>
      </c>
      <c r="D488" s="3" t="s">
        <v>8870</v>
      </c>
      <c r="F488" s="5" t="str">
        <f>IFERROR(__xludf.DUMMYFUNCTION("GOOGLETRANSLATE(A488, ""en"", ""hi"")"),"487")</f>
        <v>487</v>
      </c>
      <c r="G488" s="5" t="str">
        <f>IFERROR(__xludf.DUMMYFUNCTION("GOOGLETRANSLATE(B488, ""en"", ""hi"")"),"खिलाड़ी B अपनी सभी गोटियाँ और रानी पॉकेट में डाल देता है, लेकिन रानी को कवर नहीं करता। नतीजा क्या होता है?")</f>
        <v>खिलाड़ी B अपनी सभी गोटियाँ और रानी पॉकेट में डाल देता है, लेकिन रानी को कवर नहीं करता। नतीजा क्या होता है?</v>
      </c>
      <c r="H488" s="5" t="str">
        <f>IFERROR(__xludf.DUMMYFUNCTION("GOOGLETRANSLATE(C488,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88" s="5" t="str">
        <f>IFERROR(__xludf.DUMMYFUNCTION("GOOGLETRANSLATE(D488, ""en"", ""hi"")"),"बी) खिलाड़ी बी को जीतने के लिए रानी को कवर करना होगा।")</f>
        <v>बी) खिलाड़ी बी को जीतने के लिए रानी को कवर करना होगा।</v>
      </c>
    </row>
    <row r="489" ht="22.5" customHeight="1">
      <c r="A489" s="2">
        <v>488.0</v>
      </c>
      <c r="B489" s="3" t="s">
        <v>8942</v>
      </c>
      <c r="C489" s="3" t="s">
        <v>8943</v>
      </c>
      <c r="D489" s="3" t="s">
        <v>8519</v>
      </c>
      <c r="F489" s="5" t="str">
        <f>IFERROR(__xludf.DUMMYFUNCTION("GOOGLETRANSLATE(A489, ""en"", ""hi"")"),"488")</f>
        <v>488</v>
      </c>
      <c r="G489" s="5" t="str">
        <f>IFERROR(__xludf.DUMMYFUNCTION("GOOGLETRANSLATE(B489, ""en"", ""hi"")"),"खिलाड़ी A रानी को पॉकेट में डालता है, लेकिन उसी पारी में उसके प्रतिद्वंद्वी का मोहरा पॉकेट में चला जाता है। क्या होता है?")</f>
        <v>खिलाड़ी A रानी को पॉकेट में डालता है, लेकिन उसी पारी में उसके प्रतिद्वंद्वी का मोहरा पॉकेट में चला जाता है। क्या होता है?</v>
      </c>
      <c r="H489" s="5" t="str">
        <f>IFERROR(__xludf.DUMMYFUNCTION("GOOGLETRANSLATE(C489, ""en"", ""hi"")"),"A) खिलाड़ी A खेल जीत जाता है। , B) खिलाड़ी A रानी खो देता है। , C) खिलाड़ी A को प्रतिद्वंद्वी का मोहरा वापस करना होगा। , D) खिलाड़ी A को एक अंक का दंड दिया जाता है।")</f>
        <v>A) खिलाड़ी A खेल जीत जाता है। , B) खिलाड़ी A रानी खो देता है। , C) खिलाड़ी A को प्रतिद्वंद्वी का मोहरा वापस करना होगा। , D) खिलाड़ी A को एक अंक का दंड दिया जाता है।</v>
      </c>
      <c r="I489" s="5" t="str">
        <f>IFERROR(__xludf.DUMMYFUNCTION("GOOGLETRANSLATE(D489, ""en"", ""hi"")"),"बी) खिलाड़ी ए रानी खो देता है।")</f>
        <v>बी) खिलाड़ी ए रानी खो देता है।</v>
      </c>
    </row>
    <row r="490" ht="22.5" customHeight="1">
      <c r="A490" s="2">
        <v>489.0</v>
      </c>
      <c r="B490" s="3" t="s">
        <v>8944</v>
      </c>
      <c r="C490" s="3" t="s">
        <v>8869</v>
      </c>
      <c r="D490" s="3" t="s">
        <v>8413</v>
      </c>
      <c r="F490" s="5" t="str">
        <f>IFERROR(__xludf.DUMMYFUNCTION("GOOGLETRANSLATE(A490, ""en"", ""hi"")"),"489")</f>
        <v>489</v>
      </c>
      <c r="G490" s="5" t="str">
        <f>IFERROR(__xludf.DUMMYFUNCTION("GOOGLETRANSLATE(B490, ""en"", ""hi"")"),"खिलाड़ी B उसी बारी में रानी को कवर करता है और अपना आखिरी मोहरा जेब में डालता है। नियम क्या है?")</f>
        <v>खिलाड़ी B उसी बारी में रानी को कवर करता है और अपना आखिरी मोहरा जेब में डालता है। नियम क्या है?</v>
      </c>
      <c r="H490" s="5" t="str">
        <f>IFERROR(__xludf.DUMMYFUNCTION("GOOGLETRANSLATE(C490,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90" s="5" t="str">
        <f>IFERROR(__xludf.DUMMYFUNCTION("GOOGLETRANSLATE(D490, ""en"", ""hi"")"),"A) खिलाड़ी B खेल जीतता है।")</f>
        <v>A) खिलाड़ी B खेल जीतता है।</v>
      </c>
    </row>
    <row r="491" ht="22.5" customHeight="1">
      <c r="A491" s="2">
        <v>490.0</v>
      </c>
      <c r="B491" s="3" t="s">
        <v>8945</v>
      </c>
      <c r="C491" s="3" t="s">
        <v>8873</v>
      </c>
      <c r="D491" s="3" t="s">
        <v>8864</v>
      </c>
      <c r="F491" s="5" t="str">
        <f>IFERROR(__xludf.DUMMYFUNCTION("GOOGLETRANSLATE(A491, ""en"", ""hi"")"),"490")</f>
        <v>490</v>
      </c>
      <c r="G491" s="5" t="str">
        <f>IFERROR(__xludf.DUMMYFUNCTION("GOOGLETRANSLATE(B491, ""en"", ""hi"")"),"खिलाड़ी A अपनी आखिरी गोटी और रानी को पॉकेट में डाल देता है, लेकिन रानी को कवर नहीं कर पाता। नियम क्या है?")</f>
        <v>खिलाड़ी A अपनी आखिरी गोटी और रानी को पॉकेट में डाल देता है, लेकिन रानी को कवर नहीं कर पाता। नियम क्या है?</v>
      </c>
      <c r="H491" s="5" t="str">
        <f>IFERROR(__xludf.DUMMYFUNCTION("GOOGLETRANSLATE(C491,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91" s="5" t="str">
        <f>IFERROR(__xludf.DUMMYFUNCTION("GOOGLETRANSLATE(D491, ""en"", ""hi"")"),"बी) खिलाड़ी ए को जीतने के लिए रानी को कवर करना होगा।")</f>
        <v>बी) खिलाड़ी ए को जीतने के लिए रानी को कवर करना होगा।</v>
      </c>
    </row>
    <row r="492" ht="22.5" customHeight="1">
      <c r="A492" s="2">
        <v>491.0</v>
      </c>
      <c r="B492" s="3" t="s">
        <v>8946</v>
      </c>
      <c r="C492" s="3" t="s">
        <v>8836</v>
      </c>
      <c r="D492" s="3" t="s">
        <v>8505</v>
      </c>
      <c r="F492" s="5" t="str">
        <f>IFERROR(__xludf.DUMMYFUNCTION("GOOGLETRANSLATE(A492, ""en"", ""hi"")"),"491")</f>
        <v>491</v>
      </c>
      <c r="G492" s="5" t="str">
        <f>IFERROR(__xludf.DUMMYFUNCTION("GOOGLETRANSLATE(B492, ""en"", ""hi"")"),"खिलाड़ी B रानी को कवर करता है, लेकिन उसी बारी में स्ट्राइकर को पॉकेट में डाल देता है। क्या होता है?")</f>
        <v>खिलाड़ी B रानी को कवर करता है, लेकिन उसी बारी में स्ट्राइकर को पॉकेट में डाल देता है। क्या होता है?</v>
      </c>
      <c r="H492" s="5" t="str">
        <f>IFERROR(__xludf.DUMMYFUNCTION("GOOGLETRANSLATE(C492, ""en"", ""hi"")"),"A) खिलाड़ी B खेल जीत जाता है। , B) खिलाड़ी B रानी खो देता है। , C) खिलाड़ी B को स्ट्राइकर की जगह लेनी होगी। , D) खिलाड़ी B को एक अंक का दंड दिया जाता है।")</f>
        <v>A) खिलाड़ी B खेल जीत जाता है। , B) खिलाड़ी B रानी खो देता है। , C) खिलाड़ी B को स्ट्राइकर की जगह लेनी होगी। , D) खिलाड़ी B को एक अंक का दंड दिया जाता है।</v>
      </c>
      <c r="I492" s="5" t="str">
        <f>IFERROR(__xludf.DUMMYFUNCTION("GOOGLETRANSLATE(D492, ""en"", ""hi"")"),"B) खिलाड़ी B रानी खो देता है।")</f>
        <v>B) खिलाड़ी B रानी खो देता है।</v>
      </c>
    </row>
    <row r="493" ht="22.5" customHeight="1">
      <c r="A493" s="2">
        <v>492.0</v>
      </c>
      <c r="B493" s="3" t="s">
        <v>8885</v>
      </c>
      <c r="C493" s="3" t="s">
        <v>8912</v>
      </c>
      <c r="D493" s="3" t="s">
        <v>8864</v>
      </c>
      <c r="F493" s="5" t="str">
        <f>IFERROR(__xludf.DUMMYFUNCTION("GOOGLETRANSLATE(A493, ""en"", ""hi"")"),"492")</f>
        <v>492</v>
      </c>
      <c r="G493" s="5" t="str">
        <f>IFERROR(__xludf.DUMMYFUNCTION("GOOGLETRANSLATE(B493, ""en"", ""hi"")"),"खिलाड़ी A अपनी सभी गोटियाँ और रानी पॉकेट में डाल देता है, लेकिन रानी को कवर नहीं कर पाता। नतीजा क्या होता है?")</f>
        <v>खिलाड़ी A अपनी सभी गोटियाँ और रानी पॉकेट में डाल देता है, लेकिन रानी को कवर नहीं कर पाता। नतीजा क्या होता है?</v>
      </c>
      <c r="H493" s="5" t="str">
        <f>IFERROR(__xludf.DUMMYFUNCTION("GOOGLETRANSLATE(C493,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493" s="5" t="str">
        <f>IFERROR(__xludf.DUMMYFUNCTION("GOOGLETRANSLATE(D493, ""en"", ""hi"")"),"बी) खिलाड़ी ए को जीतने के लिए रानी को कवर करना होगा।")</f>
        <v>बी) खिलाड़ी ए को जीतने के लिए रानी को कवर करना होगा।</v>
      </c>
    </row>
    <row r="494" ht="22.5" customHeight="1">
      <c r="A494" s="2">
        <v>493.0</v>
      </c>
      <c r="B494" s="3" t="s">
        <v>8947</v>
      </c>
      <c r="C494" s="3" t="s">
        <v>8869</v>
      </c>
      <c r="D494" s="3" t="s">
        <v>8870</v>
      </c>
      <c r="F494" s="5" t="str">
        <f>IFERROR(__xludf.DUMMYFUNCTION("GOOGLETRANSLATE(A494, ""en"", ""hi"")"),"493")</f>
        <v>493</v>
      </c>
      <c r="G494" s="5" t="str">
        <f>IFERROR(__xludf.DUMMYFUNCTION("GOOGLETRANSLATE(B494, ""en"", ""hi"")"),"खिलाड़ी B अपनी आखिरी गोटी और रानी को पॉकेट में डाल देता है, लेकिन रानी को कवर नहीं करता। क्या होता है?")</f>
        <v>खिलाड़ी B अपनी आखिरी गोटी और रानी को पॉकेट में डाल देता है, लेकिन रानी को कवर नहीं करता। क्या होता है?</v>
      </c>
      <c r="H494" s="5" t="str">
        <f>IFERROR(__xludf.DUMMYFUNCTION("GOOGLETRANSLATE(C494,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94" s="5" t="str">
        <f>IFERROR(__xludf.DUMMYFUNCTION("GOOGLETRANSLATE(D494, ""en"", ""hi"")"),"बी) खिलाड़ी बी को जीतने के लिए रानी को कवर करना होगा।")</f>
        <v>बी) खिलाड़ी बी को जीतने के लिए रानी को कवर करना होगा।</v>
      </c>
    </row>
    <row r="495" ht="22.5" customHeight="1">
      <c r="A495" s="2">
        <v>494.0</v>
      </c>
      <c r="B495" s="3" t="s">
        <v>8948</v>
      </c>
      <c r="C495" s="3" t="s">
        <v>8803</v>
      </c>
      <c r="D495" s="3" t="s">
        <v>8519</v>
      </c>
      <c r="F495" s="5" t="str">
        <f>IFERROR(__xludf.DUMMYFUNCTION("GOOGLETRANSLATE(A495, ""en"", ""hi"")"),"494")</f>
        <v>494</v>
      </c>
      <c r="G495" s="5" t="str">
        <f>IFERROR(__xludf.DUMMYFUNCTION("GOOGLETRANSLATE(B495, ""en"", ""hi"")"),"खिलाड़ी A रानी को पॉकेट में डालता है, लेकिन अगली बारी में स्ट्राइकर को भी पॉकेट में डाल देता है। नियम क्या है?")</f>
        <v>खिलाड़ी A रानी को पॉकेट में डालता है, लेकिन अगली बारी में स्ट्राइकर को भी पॉकेट में डाल देता है। नियम क्या है?</v>
      </c>
      <c r="H495" s="5" t="str">
        <f>IFERROR(__xludf.DUMMYFUNCTION("GOOGLETRANSLATE(C495, ""en"", ""hi"")"),"A) खिलाड़ी A खेल जीतता है। , B) खिलाड़ी A रानी खो देता है। , C) खिलाड़ी A को एक अंक का दंड दिया जाता है। , D) खिलाड़ी A को स्ट्राइकर की जगह लेनी होगी।")</f>
        <v>A) खिलाड़ी A खेल जीतता है। , B) खिलाड़ी A रानी खो देता है। , C) खिलाड़ी A को एक अंक का दंड दिया जाता है। , D) खिलाड़ी A को स्ट्राइकर की जगह लेनी होगी।</v>
      </c>
      <c r="I495" s="5" t="str">
        <f>IFERROR(__xludf.DUMMYFUNCTION("GOOGLETRANSLATE(D495, ""en"", ""hi"")"),"बी) खिलाड़ी ए रानी खो देता है।")</f>
        <v>बी) खिलाड़ी ए रानी खो देता है।</v>
      </c>
    </row>
    <row r="496" ht="22.5" customHeight="1">
      <c r="A496" s="2">
        <v>495.0</v>
      </c>
      <c r="B496" s="3" t="s">
        <v>8949</v>
      </c>
      <c r="C496" s="3" t="s">
        <v>8940</v>
      </c>
      <c r="D496" s="3" t="s">
        <v>8870</v>
      </c>
      <c r="F496" s="5" t="str">
        <f>IFERROR(__xludf.DUMMYFUNCTION("GOOGLETRANSLATE(A496, ""en"", ""hi"")"),"495")</f>
        <v>495</v>
      </c>
      <c r="G496" s="5" t="str">
        <f>IFERROR(__xludf.DUMMYFUNCTION("GOOGLETRANSLATE(B496, ""en"", ""hi"")"),"खिलाड़ी B अपनी आखिरी गोटी पॉकेट में डाल देता है, लेकिन रानी को कवर नहीं कर पाता। नतीजा क्या होता है?")</f>
        <v>खिलाड़ी B अपनी आखिरी गोटी पॉकेट में डाल देता है, लेकिन रानी को कवर नहीं कर पाता। नतीजा क्या होता है?</v>
      </c>
      <c r="H496" s="5" t="str">
        <f>IFERROR(__xludf.DUMMYFUNCTION("GOOGLETRANSLATE(C496, ""en"", ""hi"")"),"A) खिलाड़ी B खेल जीत जाता है। , B) खिलाड़ी B को जीतने के लिए रानी को ढकना होगा। , C) खिलाड़ी B अपनी बारी खो देता है। , D) खेल ड्रॉ हो जाता है।")</f>
        <v>A) खिलाड़ी B खेल जीत जाता है। , B) खिलाड़ी B को जीतने के लिए रानी को ढकना होगा। , C) खिलाड़ी B अपनी बारी खो देता है। , D) खेल ड्रॉ हो जाता है।</v>
      </c>
      <c r="I496" s="5" t="str">
        <f>IFERROR(__xludf.DUMMYFUNCTION("GOOGLETRANSLATE(D496, ""en"", ""hi"")"),"बी) खिलाड़ी बी को जीतने के लिए रानी को कवर करना होगा।")</f>
        <v>बी) खिलाड़ी बी को जीतने के लिए रानी को कवर करना होगा।</v>
      </c>
    </row>
    <row r="497" ht="22.5" customHeight="1">
      <c r="A497" s="2">
        <v>496.0</v>
      </c>
      <c r="B497" s="3" t="s">
        <v>8902</v>
      </c>
      <c r="C497" s="3" t="s">
        <v>8873</v>
      </c>
      <c r="D497" s="3" t="s">
        <v>8864</v>
      </c>
      <c r="F497" s="5" t="str">
        <f>IFERROR(__xludf.DUMMYFUNCTION("GOOGLETRANSLATE(A497, ""en"", ""hi"")"),"496")</f>
        <v>496</v>
      </c>
      <c r="G497" s="5" t="str">
        <f>IFERROR(__xludf.DUMMYFUNCTION("GOOGLETRANSLATE(B497, ""en"", ""hi"")"),"खिलाड़ी A रानी और उसके सभी मोहरों को पॉकेट में डाल देता है, लेकिन रानी को कवर नहीं करता। क्या होता है?")</f>
        <v>खिलाड़ी A रानी और उसके सभी मोहरों को पॉकेट में डाल देता है, लेकिन रानी को कवर नहीं करता। क्या होता है?</v>
      </c>
      <c r="H497" s="5" t="str">
        <f>IFERROR(__xludf.DUMMYFUNCTION("GOOGLETRANSLATE(C497, ""en"", ""hi"")"),"ए) खिलाड़ी ए खेल जीतता है।, बी) खिलाड़ी ए को जीतने के लिए रानी को कवर करना होगा।, सी) खिलाड़ी ए को एक अंक का दंड दिया जाता है।, डी) खिलाड़ी ए को बारी फिर से खेलनी होगी।")</f>
        <v>ए) खिलाड़ी ए खेल जीतता है।, बी) खिलाड़ी ए को जीतने के लिए रानी को कवर करना होगा।, सी) खिलाड़ी ए को एक अंक का दंड दिया जाता है।, डी) खिलाड़ी ए को बारी फिर से खेलनी होगी।</v>
      </c>
      <c r="I497" s="5" t="str">
        <f>IFERROR(__xludf.DUMMYFUNCTION("GOOGLETRANSLATE(D497, ""en"", ""hi"")"),"बी) खिलाड़ी ए को जीतने के लिए रानी को कवर करना होगा।")</f>
        <v>बी) खिलाड़ी ए को जीतने के लिए रानी को कवर करना होगा।</v>
      </c>
    </row>
    <row r="498" ht="22.5" customHeight="1">
      <c r="A498" s="2">
        <v>497.0</v>
      </c>
      <c r="B498" s="3" t="s">
        <v>8900</v>
      </c>
      <c r="C498" s="3" t="s">
        <v>8869</v>
      </c>
      <c r="D498" s="3" t="s">
        <v>8870</v>
      </c>
      <c r="F498" s="5" t="str">
        <f>IFERROR(__xludf.DUMMYFUNCTION("GOOGLETRANSLATE(A498, ""en"", ""hi"")"),"497")</f>
        <v>497</v>
      </c>
      <c r="G498" s="5" t="str">
        <f>IFERROR(__xludf.DUMMYFUNCTION("GOOGLETRANSLATE(B498, ""en"", ""hi"")"),"खिलाड़ी B अपनी आखिरी गोटी और रानी को पॉकेट में डाल देता है, लेकिन रानी को कवर नहीं कर पाता। नियम क्या है?")</f>
        <v>खिलाड़ी B अपनी आखिरी गोटी और रानी को पॉकेट में डाल देता है, लेकिन रानी को कवर नहीं कर पाता। नियम क्या है?</v>
      </c>
      <c r="H498" s="5" t="str">
        <f>IFERROR(__xludf.DUMMYFUNCTION("GOOGLETRANSLATE(C498,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498" s="5" t="str">
        <f>IFERROR(__xludf.DUMMYFUNCTION("GOOGLETRANSLATE(D498, ""en"", ""hi"")"),"बी) खिलाड़ी बी को जीतने के लिए रानी को कवर करना होगा।")</f>
        <v>बी) खिलाड़ी बी को जीतने के लिए रानी को कवर करना होगा।</v>
      </c>
    </row>
    <row r="499" ht="22.5" customHeight="1">
      <c r="A499" s="2">
        <v>498.0</v>
      </c>
      <c r="B499" s="3" t="s">
        <v>8901</v>
      </c>
      <c r="C499" s="3" t="s">
        <v>8791</v>
      </c>
      <c r="D499" s="3" t="s">
        <v>8519</v>
      </c>
      <c r="F499" s="5" t="str">
        <f>IFERROR(__xludf.DUMMYFUNCTION("GOOGLETRANSLATE(A499, ""en"", ""hi"")"),"498")</f>
        <v>498</v>
      </c>
      <c r="G499" s="5" t="str">
        <f>IFERROR(__xludf.DUMMYFUNCTION("GOOGLETRANSLATE(B499, ""en"", ""hi"")"),"खिलाड़ी A ने रानी को सफलतापूर्वक कवर किया, लेकिन फिर स्ट्राइकर को पॉकेट में डाल दिया। क्या हुआ?")</f>
        <v>खिलाड़ी A ने रानी को सफलतापूर्वक कवर किया, लेकिन फिर स्ट्राइकर को पॉकेट में डाल दिया। क्या हुआ?</v>
      </c>
      <c r="H499" s="5" t="str">
        <f>IFERROR(__xludf.DUMMYFUNCTION("GOOGLETRANSLATE(C499,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499" s="5" t="str">
        <f>IFERROR(__xludf.DUMMYFUNCTION("GOOGLETRANSLATE(D499, ""en"", ""hi"")"),"बी) खिलाड़ी ए रानी खो देता है।")</f>
        <v>बी) खिलाड़ी ए रानी खो देता है।</v>
      </c>
    </row>
    <row r="500" ht="22.5" customHeight="1">
      <c r="A500" s="2">
        <v>499.0</v>
      </c>
      <c r="B500" s="3" t="s">
        <v>8926</v>
      </c>
      <c r="C500" s="3" t="s">
        <v>8869</v>
      </c>
      <c r="D500" s="3" t="s">
        <v>8870</v>
      </c>
      <c r="F500" s="5" t="str">
        <f>IFERROR(__xludf.DUMMYFUNCTION("GOOGLETRANSLATE(A500, ""en"", ""hi"")"),"499")</f>
        <v>499</v>
      </c>
      <c r="G500" s="5" t="str">
        <f>IFERROR(__xludf.DUMMYFUNCTION("GOOGLETRANSLATE(B500,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00" s="5" t="str">
        <f>IFERROR(__xludf.DUMMYFUNCTION("GOOGLETRANSLATE(C500,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00" s="5" t="str">
        <f>IFERROR(__xludf.DUMMYFUNCTION("GOOGLETRANSLATE(D500, ""en"", ""hi"")"),"बी) खिलाड़ी बी को जीतने के लिए रानी को कवर करना होगा।")</f>
        <v>बी) खिलाड़ी बी को जीतने के लिए रानी को कवर करना होगा।</v>
      </c>
    </row>
    <row r="501" ht="22.5" customHeight="1">
      <c r="A501" s="2">
        <v>500.0</v>
      </c>
      <c r="B501" s="3" t="s">
        <v>8931</v>
      </c>
      <c r="C501" s="3" t="s">
        <v>8912</v>
      </c>
      <c r="D501" s="3" t="s">
        <v>8864</v>
      </c>
      <c r="F501" s="5" t="str">
        <f>IFERROR(__xludf.DUMMYFUNCTION("GOOGLETRANSLATE(A501, ""en"", ""hi"")"),"500")</f>
        <v>500</v>
      </c>
      <c r="G501" s="5" t="str">
        <f>IFERROR(__xludf.DUMMYFUNCTION("GOOGLETRANSLATE(B501, ""en"", ""hi"")"),"खिलाड़ी A अपनी सभी गोटियाँ और रानी पॉकेट में डाल देता है, लेकिन रानी को कवर नहीं करता। नतीजा क्या होता है?")</f>
        <v>खिलाड़ी A अपनी सभी गोटियाँ और रानी पॉकेट में डाल देता है, लेकिन रानी को कवर नहीं करता। नतीजा क्या होता है?</v>
      </c>
      <c r="H501" s="5" t="str">
        <f>IFERROR(__xludf.DUMMYFUNCTION("GOOGLETRANSLATE(C501,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501" s="5" t="str">
        <f>IFERROR(__xludf.DUMMYFUNCTION("GOOGLETRANSLATE(D501, ""en"", ""hi"")"),"बी) खिलाड़ी ए को जीतने के लिए रानी को कवर करना होगा।")</f>
        <v>बी) खिलाड़ी ए को जीतने के लिए रानी को कवर करना होगा।</v>
      </c>
    </row>
    <row r="502" ht="22.5" customHeight="1">
      <c r="A502" s="2">
        <v>501.0</v>
      </c>
      <c r="B502" s="3" t="s">
        <v>8900</v>
      </c>
      <c r="C502" s="3" t="s">
        <v>8869</v>
      </c>
      <c r="D502" s="3" t="s">
        <v>8870</v>
      </c>
      <c r="F502" s="5" t="str">
        <f>IFERROR(__xludf.DUMMYFUNCTION("GOOGLETRANSLATE(A502, ""en"", ""hi"")"),"501")</f>
        <v>501</v>
      </c>
      <c r="G502" s="5" t="str">
        <f>IFERROR(__xludf.DUMMYFUNCTION("GOOGLETRANSLATE(B502, ""en"", ""hi"")"),"खिलाड़ी B अपनी आखिरी गोटी और रानी को पॉकेट में डाल देता है, लेकिन रानी को कवर नहीं कर पाता। नियम क्या है?")</f>
        <v>खिलाड़ी B अपनी आखिरी गोटी और रानी को पॉकेट में डाल देता है, लेकिन रानी को कवर नहीं कर पाता। नियम क्या है?</v>
      </c>
      <c r="H502" s="5" t="str">
        <f>IFERROR(__xludf.DUMMYFUNCTION("GOOGLETRANSLATE(C502,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02" s="5" t="str">
        <f>IFERROR(__xludf.DUMMYFUNCTION("GOOGLETRANSLATE(D502, ""en"", ""hi"")"),"बी) खिलाड़ी बी को जीतने के लिए रानी को कवर करना होगा।")</f>
        <v>बी) खिलाड़ी बी को जीतने के लिए रानी को कवर करना होगा।</v>
      </c>
    </row>
    <row r="503" ht="22.5" customHeight="1">
      <c r="A503" s="2">
        <v>502.0</v>
      </c>
      <c r="B503" s="3" t="s">
        <v>8925</v>
      </c>
      <c r="C503" s="3" t="s">
        <v>8791</v>
      </c>
      <c r="D503" s="3" t="s">
        <v>8519</v>
      </c>
      <c r="F503" s="5" t="str">
        <f>IFERROR(__xludf.DUMMYFUNCTION("GOOGLETRANSLATE(A503, ""en"", ""hi"")"),"502")</f>
        <v>502</v>
      </c>
      <c r="G503" s="5" t="str">
        <f>IFERROR(__xludf.DUMMYFUNCTION("GOOGLETRANSLATE(B503, ""en"", ""hi"")"),"खिलाड़ी A क्वीन को कवर करता है लेकिन फिर स्ट्राइकर को पॉकेट में डाल देता है। क्या होता है?")</f>
        <v>खिलाड़ी A क्वीन को कवर करता है लेकिन फिर स्ट्राइकर को पॉकेट में डाल देता है। क्या होता है?</v>
      </c>
      <c r="H503" s="5" t="str">
        <f>IFERROR(__xludf.DUMMYFUNCTION("GOOGLETRANSLATE(C503,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03" s="5" t="str">
        <f>IFERROR(__xludf.DUMMYFUNCTION("GOOGLETRANSLATE(D503, ""en"", ""hi"")"),"बी) खिलाड़ी ए रानी खो देता है।")</f>
        <v>बी) खिलाड़ी ए रानी खो देता है।</v>
      </c>
    </row>
    <row r="504" ht="22.5" customHeight="1">
      <c r="A504" s="2">
        <v>503.0</v>
      </c>
      <c r="B504" s="3" t="s">
        <v>8926</v>
      </c>
      <c r="C504" s="3" t="s">
        <v>8869</v>
      </c>
      <c r="D504" s="3" t="s">
        <v>8870</v>
      </c>
      <c r="F504" s="5" t="str">
        <f>IFERROR(__xludf.DUMMYFUNCTION("GOOGLETRANSLATE(A504, ""en"", ""hi"")"),"503")</f>
        <v>503</v>
      </c>
      <c r="G504" s="5" t="str">
        <f>IFERROR(__xludf.DUMMYFUNCTION("GOOGLETRANSLATE(B504,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04" s="5" t="str">
        <f>IFERROR(__xludf.DUMMYFUNCTION("GOOGLETRANSLATE(C504,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04" s="5" t="str">
        <f>IFERROR(__xludf.DUMMYFUNCTION("GOOGLETRANSLATE(D504, ""en"", ""hi"")"),"बी) खिलाड़ी बी को जीतने के लिए रानी को कवर करना होगा।")</f>
        <v>बी) खिलाड़ी बी को जीतने के लिए रानी को कवर करना होगा।</v>
      </c>
    </row>
    <row r="505" ht="22.5" customHeight="1">
      <c r="A505" s="2">
        <v>504.0</v>
      </c>
      <c r="B505" s="3" t="s">
        <v>8917</v>
      </c>
      <c r="C505" s="3" t="s">
        <v>8912</v>
      </c>
      <c r="D505" s="3" t="s">
        <v>8864</v>
      </c>
      <c r="F505" s="5" t="str">
        <f>IFERROR(__xludf.DUMMYFUNCTION("GOOGLETRANSLATE(A505, ""en"", ""hi"")"),"504")</f>
        <v>504</v>
      </c>
      <c r="G505" s="5" t="str">
        <f>IFERROR(__xludf.DUMMYFUNCTION("GOOGLETRANSLATE(B505,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505" s="5" t="str">
        <f>IFERROR(__xludf.DUMMYFUNCTION("GOOGLETRANSLATE(C505,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505" s="5" t="str">
        <f>IFERROR(__xludf.DUMMYFUNCTION("GOOGLETRANSLATE(D505, ""en"", ""hi"")"),"बी) खिलाड़ी ए को जीतने के लिए रानी को कवर करना होगा।")</f>
        <v>बी) खिलाड़ी ए को जीतने के लिए रानी को कवर करना होगा।</v>
      </c>
    </row>
    <row r="506" ht="22.5" customHeight="1">
      <c r="A506" s="2">
        <v>505.0</v>
      </c>
      <c r="B506" s="3" t="s">
        <v>8900</v>
      </c>
      <c r="C506" s="3" t="s">
        <v>8869</v>
      </c>
      <c r="D506" s="3" t="s">
        <v>8870</v>
      </c>
      <c r="F506" s="5" t="str">
        <f>IFERROR(__xludf.DUMMYFUNCTION("GOOGLETRANSLATE(A506, ""en"", ""hi"")"),"505")</f>
        <v>505</v>
      </c>
      <c r="G506" s="5" t="str">
        <f>IFERROR(__xludf.DUMMYFUNCTION("GOOGLETRANSLATE(B506, ""en"", ""hi"")"),"खिलाड़ी B अपनी आखिरी गोटी और रानी को पॉकेट में डाल देता है, लेकिन रानी को कवर नहीं कर पाता। नियम क्या है?")</f>
        <v>खिलाड़ी B अपनी आखिरी गोटी और रानी को पॉकेट में डाल देता है, लेकिन रानी को कवर नहीं कर पाता। नियम क्या है?</v>
      </c>
      <c r="H506" s="5" t="str">
        <f>IFERROR(__xludf.DUMMYFUNCTION("GOOGLETRANSLATE(C506,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06" s="5" t="str">
        <f>IFERROR(__xludf.DUMMYFUNCTION("GOOGLETRANSLATE(D506, ""en"", ""hi"")"),"बी) खिलाड़ी बी को जीतने के लिए रानी को कवर करना होगा।")</f>
        <v>बी) खिलाड़ी बी को जीतने के लिए रानी को कवर करना होगा।</v>
      </c>
    </row>
    <row r="507" ht="22.5" customHeight="1">
      <c r="A507" s="2">
        <v>506.0</v>
      </c>
      <c r="B507" s="3" t="s">
        <v>8903</v>
      </c>
      <c r="C507" s="3" t="s">
        <v>8791</v>
      </c>
      <c r="D507" s="3" t="s">
        <v>8519</v>
      </c>
      <c r="F507" s="5" t="str">
        <f>IFERROR(__xludf.DUMMYFUNCTION("GOOGLETRANSLATE(A507, ""en"", ""hi"")"),"506")</f>
        <v>506</v>
      </c>
      <c r="G507" s="5" t="str">
        <f>IFERROR(__xludf.DUMMYFUNCTION("GOOGLETRANSLATE(B507, ""en"", ""hi"")"),"खिलाड़ी A ने क्वीन को सफलतापूर्वक कवर किया, लेकिन फिर स्ट्राइकर को पॉकेट में डाल दिया। परिणाम क्या हुआ?")</f>
        <v>खिलाड़ी A ने क्वीन को सफलतापूर्वक कवर किया, लेकिन फिर स्ट्राइकर को पॉकेट में डाल दिया। परिणाम क्या हुआ?</v>
      </c>
      <c r="H507" s="5" t="str">
        <f>IFERROR(__xludf.DUMMYFUNCTION("GOOGLETRANSLATE(C507,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07" s="5" t="str">
        <f>IFERROR(__xludf.DUMMYFUNCTION("GOOGLETRANSLATE(D507, ""en"", ""hi"")"),"बी) खिलाड़ी ए रानी खो देता है।")</f>
        <v>बी) खिलाड़ी ए रानी खो देता है।</v>
      </c>
    </row>
    <row r="508" ht="22.5" customHeight="1">
      <c r="A508" s="2">
        <v>507.0</v>
      </c>
      <c r="B508" s="3" t="s">
        <v>8932</v>
      </c>
      <c r="C508" s="3" t="s">
        <v>8869</v>
      </c>
      <c r="D508" s="3" t="s">
        <v>8870</v>
      </c>
      <c r="F508" s="5" t="str">
        <f>IFERROR(__xludf.DUMMYFUNCTION("GOOGLETRANSLATE(A508, ""en"", ""hi"")"),"507")</f>
        <v>507</v>
      </c>
      <c r="G508" s="5" t="str">
        <f>IFERROR(__xludf.DUMMYFUNCTION("GOOGLETRANSLATE(B508, ""en"", ""hi"")"),"खिलाड़ी B अपनी आखिरी गोटी पॉकेट में डाल देता है, लेकिन रानी को कवर नहीं कर पाता। नियम क्या है?")</f>
        <v>खिलाड़ी B अपनी आखिरी गोटी पॉकेट में डाल देता है, लेकिन रानी को कवर नहीं कर पाता। नियम क्या है?</v>
      </c>
      <c r="H508" s="5" t="str">
        <f>IFERROR(__xludf.DUMMYFUNCTION("GOOGLETRANSLATE(C508,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08" s="5" t="str">
        <f>IFERROR(__xludf.DUMMYFUNCTION("GOOGLETRANSLATE(D508, ""en"", ""hi"")"),"बी) खिलाड़ी बी को जीतने के लिए रानी को कवर करना होगा।")</f>
        <v>बी) खिलाड़ी बी को जीतने के लिए रानी को कवर करना होगा।</v>
      </c>
    </row>
    <row r="509" ht="22.5" customHeight="1">
      <c r="A509" s="2">
        <v>508.0</v>
      </c>
      <c r="B509" s="3" t="s">
        <v>8872</v>
      </c>
      <c r="C509" s="3" t="s">
        <v>8912</v>
      </c>
      <c r="D509" s="3" t="s">
        <v>8864</v>
      </c>
      <c r="F509" s="5" t="str">
        <f>IFERROR(__xludf.DUMMYFUNCTION("GOOGLETRANSLATE(A509, ""en"", ""hi"")"),"508")</f>
        <v>508</v>
      </c>
      <c r="G509" s="5" t="str">
        <f>IFERROR(__xludf.DUMMYFUNCTION("GOOGLETRANSLATE(B509, ""en"", ""hi"")"),"खिलाड़ी A अपनी सभी गोटियाँ और रानी पॉकेट में डाल देता है, लेकिन रानी को कवर नहीं करता। नियम क्या है?")</f>
        <v>खिलाड़ी A अपनी सभी गोटियाँ और रानी पॉकेट में डाल देता है, लेकिन रानी को कवर नहीं करता। नियम क्या है?</v>
      </c>
      <c r="H509" s="5" t="str">
        <f>IFERROR(__xludf.DUMMYFUNCTION("GOOGLETRANSLATE(C509,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509" s="5" t="str">
        <f>IFERROR(__xludf.DUMMYFUNCTION("GOOGLETRANSLATE(D509, ""en"", ""hi"")"),"बी) खिलाड़ी ए को जीतने के लिए रानी को कवर करना होगा।")</f>
        <v>बी) खिलाड़ी ए को जीतने के लिए रानी को कवर करना होगा।</v>
      </c>
    </row>
    <row r="510" ht="22.5" customHeight="1">
      <c r="A510" s="2">
        <v>509.0</v>
      </c>
      <c r="B510" s="3" t="s">
        <v>8905</v>
      </c>
      <c r="C510" s="3" t="s">
        <v>8940</v>
      </c>
      <c r="D510" s="3" t="s">
        <v>8870</v>
      </c>
      <c r="F510" s="5" t="str">
        <f>IFERROR(__xludf.DUMMYFUNCTION("GOOGLETRANSLATE(A510, ""en"", ""hi"")"),"509")</f>
        <v>509</v>
      </c>
      <c r="G510" s="5" t="str">
        <f>IFERROR(__xludf.DUMMYFUNCTION("GOOGLETRANSLATE(B510, ""en"", ""hi"")"),"खिलाड़ी B अपनी आखिरी गोटी और रानी को पॉकेट में डाल देता है, लेकिन रानी को कवर नहीं कर पाता। नतीजा क्या होता है?")</f>
        <v>खिलाड़ी B अपनी आखिरी गोटी और रानी को पॉकेट में डाल देता है, लेकिन रानी को कवर नहीं कर पाता। नतीजा क्या होता है?</v>
      </c>
      <c r="H510" s="5" t="str">
        <f>IFERROR(__xludf.DUMMYFUNCTION("GOOGLETRANSLATE(C510, ""en"", ""hi"")"),"A) खिलाड़ी B खेल जीत जाता है। , B) खिलाड़ी B को जीतने के लिए रानी को ढकना होगा। , C) खिलाड़ी B अपनी बारी खो देता है। , D) खेल ड्रॉ हो जाता है।")</f>
        <v>A) खिलाड़ी B खेल जीत जाता है। , B) खिलाड़ी B को जीतने के लिए रानी को ढकना होगा। , C) खिलाड़ी B अपनी बारी खो देता है। , D) खेल ड्रॉ हो जाता है।</v>
      </c>
      <c r="I510" s="5" t="str">
        <f>IFERROR(__xludf.DUMMYFUNCTION("GOOGLETRANSLATE(D510, ""en"", ""hi"")"),"बी) खिलाड़ी बी को जीतने के लिए रानी को कवर करना होगा।")</f>
        <v>बी) खिलाड़ी बी को जीतने के लिए रानी को कवर करना होगा।</v>
      </c>
    </row>
    <row r="511" ht="22.5" customHeight="1">
      <c r="A511" s="2">
        <v>510.0</v>
      </c>
      <c r="B511" s="3" t="s">
        <v>8925</v>
      </c>
      <c r="C511" s="3" t="s">
        <v>8791</v>
      </c>
      <c r="D511" s="3" t="s">
        <v>8519</v>
      </c>
      <c r="F511" s="5" t="str">
        <f>IFERROR(__xludf.DUMMYFUNCTION("GOOGLETRANSLATE(A511, ""en"", ""hi"")"),"510")</f>
        <v>510</v>
      </c>
      <c r="G511" s="5" t="str">
        <f>IFERROR(__xludf.DUMMYFUNCTION("GOOGLETRANSLATE(B511, ""en"", ""hi"")"),"खिलाड़ी A क्वीन को कवर करता है लेकिन फिर स्ट्राइकर को पॉकेट में डाल देता है। क्या होता है?")</f>
        <v>खिलाड़ी A क्वीन को कवर करता है लेकिन फिर स्ट्राइकर को पॉकेट में डाल देता है। क्या होता है?</v>
      </c>
      <c r="H511" s="5" t="str">
        <f>IFERROR(__xludf.DUMMYFUNCTION("GOOGLETRANSLATE(C511,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11" s="5" t="str">
        <f>IFERROR(__xludf.DUMMYFUNCTION("GOOGLETRANSLATE(D511, ""en"", ""hi"")"),"बी) खिलाड़ी ए रानी खो देता है।")</f>
        <v>बी) खिलाड़ी ए रानी खो देता है।</v>
      </c>
    </row>
    <row r="512" ht="22.5" customHeight="1">
      <c r="A512" s="2">
        <v>511.0</v>
      </c>
      <c r="B512" s="3" t="s">
        <v>8926</v>
      </c>
      <c r="C512" s="3" t="s">
        <v>8869</v>
      </c>
      <c r="D512" s="3" t="s">
        <v>8870</v>
      </c>
      <c r="F512" s="5" t="str">
        <f>IFERROR(__xludf.DUMMYFUNCTION("GOOGLETRANSLATE(A512, ""en"", ""hi"")"),"511")</f>
        <v>511</v>
      </c>
      <c r="G512" s="5" t="str">
        <f>IFERROR(__xludf.DUMMYFUNCTION("GOOGLETRANSLATE(B512,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12" s="5" t="str">
        <f>IFERROR(__xludf.DUMMYFUNCTION("GOOGLETRANSLATE(C512,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12" s="5" t="str">
        <f>IFERROR(__xludf.DUMMYFUNCTION("GOOGLETRANSLATE(D512, ""en"", ""hi"")"),"बी) खिलाड़ी बी को जीतने के लिए रानी को कवर करना होगा।")</f>
        <v>बी) खिलाड़ी बी को जीतने के लिए रानी को कवर करना होगा।</v>
      </c>
    </row>
    <row r="513" ht="22.5" customHeight="1">
      <c r="A513" s="2">
        <v>512.0</v>
      </c>
      <c r="B513" s="3" t="s">
        <v>8885</v>
      </c>
      <c r="C513" s="3" t="s">
        <v>8912</v>
      </c>
      <c r="D513" s="3" t="s">
        <v>8864</v>
      </c>
      <c r="F513" s="5" t="str">
        <f>IFERROR(__xludf.DUMMYFUNCTION("GOOGLETRANSLATE(A513, ""en"", ""hi"")"),"512")</f>
        <v>512</v>
      </c>
      <c r="G513" s="5" t="str">
        <f>IFERROR(__xludf.DUMMYFUNCTION("GOOGLETRANSLATE(B513, ""en"", ""hi"")"),"खिलाड़ी A अपनी सभी गोटियाँ और रानी पॉकेट में डाल देता है, लेकिन रानी को कवर नहीं कर पाता। नतीजा क्या होता है?")</f>
        <v>खिलाड़ी A अपनी सभी गोटियाँ और रानी पॉकेट में डाल देता है, लेकिन रानी को कवर नहीं कर पाता। नतीजा क्या होता है?</v>
      </c>
      <c r="H513" s="5" t="str">
        <f>IFERROR(__xludf.DUMMYFUNCTION("GOOGLETRANSLATE(C513, ""en"", ""hi"")"),"A) खिलाड़ी A खेल जीत जाता है। , B) खिलाड़ी A को जीतने के लिए रानी को ढकना होगा। , C) खिलाड़ी A अपनी बारी खो देता है। , D) खिलाड़ी A को एक अंक का दंड दिया जाता है।")</f>
        <v>A) खिलाड़ी A खेल जीत जाता है। , B) खिलाड़ी A को जीतने के लिए रानी को ढकना होगा। , C) खिलाड़ी A अपनी बारी खो देता है। , D) खिलाड़ी A को एक अंक का दंड दिया जाता है।</v>
      </c>
      <c r="I513" s="5" t="str">
        <f>IFERROR(__xludf.DUMMYFUNCTION("GOOGLETRANSLATE(D513, ""en"", ""hi"")"),"बी) खिलाड़ी ए को जीतने के लिए रानी को कवर करना होगा।")</f>
        <v>बी) खिलाड़ी ए को जीतने के लिए रानी को कवर करना होगा।</v>
      </c>
    </row>
    <row r="514" ht="22.5" customHeight="1">
      <c r="A514" s="2">
        <v>513.0</v>
      </c>
      <c r="B514" s="3" t="s">
        <v>8913</v>
      </c>
      <c r="C514" s="3" t="s">
        <v>8869</v>
      </c>
      <c r="D514" s="3" t="s">
        <v>8870</v>
      </c>
      <c r="F514" s="5" t="str">
        <f>IFERROR(__xludf.DUMMYFUNCTION("GOOGLETRANSLATE(A514, ""en"", ""hi"")"),"513")</f>
        <v>513</v>
      </c>
      <c r="G514" s="5" t="str">
        <f>IFERROR(__xludf.DUMMYFUNCTION("GOOGLETRANSLATE(B514,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514" s="5" t="str">
        <f>IFERROR(__xludf.DUMMYFUNCTION("GOOGLETRANSLATE(C514,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14" s="5" t="str">
        <f>IFERROR(__xludf.DUMMYFUNCTION("GOOGLETRANSLATE(D514, ""en"", ""hi"")"),"बी) खिलाड़ी बी को जीतने के लिए रानी को कवर करना होगा।")</f>
        <v>बी) खिलाड़ी बी को जीतने के लिए रानी को कवर करना होगा।</v>
      </c>
    </row>
    <row r="515" ht="22.5" customHeight="1">
      <c r="A515" s="2">
        <v>514.0</v>
      </c>
      <c r="B515" s="3" t="s">
        <v>8901</v>
      </c>
      <c r="C515" s="3" t="s">
        <v>8791</v>
      </c>
      <c r="D515" s="3" t="s">
        <v>8519</v>
      </c>
      <c r="F515" s="5" t="str">
        <f>IFERROR(__xludf.DUMMYFUNCTION("GOOGLETRANSLATE(A515, ""en"", ""hi"")"),"514")</f>
        <v>514</v>
      </c>
      <c r="G515" s="5" t="str">
        <f>IFERROR(__xludf.DUMMYFUNCTION("GOOGLETRANSLATE(B515, ""en"", ""hi"")"),"खिलाड़ी A ने रानी को सफलतापूर्वक कवर किया, लेकिन फिर स्ट्राइकर को पॉकेट में डाल दिया। क्या हुआ?")</f>
        <v>खिलाड़ी A ने रानी को सफलतापूर्वक कवर किया, लेकिन फिर स्ट्राइकर को पॉकेट में डाल दिया। क्या हुआ?</v>
      </c>
      <c r="H515" s="5" t="str">
        <f>IFERROR(__xludf.DUMMYFUNCTION("GOOGLETRANSLATE(C515,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15" s="5" t="str">
        <f>IFERROR(__xludf.DUMMYFUNCTION("GOOGLETRANSLATE(D515, ""en"", ""hi"")"),"बी) खिलाड़ी ए रानी खो देता है।")</f>
        <v>बी) खिलाड़ी ए रानी खो देता है।</v>
      </c>
    </row>
    <row r="516" ht="22.5" customHeight="1">
      <c r="A516" s="2">
        <v>515.0</v>
      </c>
      <c r="B516" s="3" t="s">
        <v>8926</v>
      </c>
      <c r="C516" s="3" t="s">
        <v>8869</v>
      </c>
      <c r="D516" s="3" t="s">
        <v>8870</v>
      </c>
      <c r="F516" s="5" t="str">
        <f>IFERROR(__xludf.DUMMYFUNCTION("GOOGLETRANSLATE(A516, ""en"", ""hi"")"),"515")</f>
        <v>515</v>
      </c>
      <c r="G516" s="5" t="str">
        <f>IFERROR(__xludf.DUMMYFUNCTION("GOOGLETRANSLATE(B516,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16" s="5" t="str">
        <f>IFERROR(__xludf.DUMMYFUNCTION("GOOGLETRANSLATE(C516,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16" s="5" t="str">
        <f>IFERROR(__xludf.DUMMYFUNCTION("GOOGLETRANSLATE(D516, ""en"", ""hi"")"),"बी) खिलाड़ी बी को जीतने के लिए रानी को कवर करना होगा।")</f>
        <v>बी) खिलाड़ी बी को जीतने के लिए रानी को कवर करना होगा।</v>
      </c>
    </row>
    <row r="517" ht="22.5" customHeight="1">
      <c r="A517" s="2">
        <v>516.0</v>
      </c>
      <c r="B517" s="3" t="s">
        <v>8950</v>
      </c>
      <c r="C517" s="3" t="s">
        <v>8951</v>
      </c>
      <c r="D517" s="3" t="s">
        <v>8519</v>
      </c>
      <c r="F517" s="5" t="str">
        <f>IFERROR(__xludf.DUMMYFUNCTION("GOOGLETRANSLATE(A517, ""en"", ""hi"")"),"516")</f>
        <v>516</v>
      </c>
      <c r="G517" s="5" t="str">
        <f>IFERROR(__xludf.DUMMYFUNCTION("GOOGLETRANSLATE(B517, ""en"", ""hi"")"),"खिलाड़ी A अपनी पहली बारी में रानी को पॉकेट में डालता है, लेकिन अगली बार स्ट्राइकर को पॉकेट में डालता है। नतीजा क्या होता है?")</f>
        <v>खिलाड़ी A अपनी पहली बारी में रानी को पॉकेट में डालता है, लेकिन अगली बार स्ट्राइकर को पॉकेट में डालता है। नतीजा क्या होता है?</v>
      </c>
      <c r="H517" s="5" t="str">
        <f>IFERROR(__xludf.DUMMYFUNCTION("GOOGLETRANSLATE(C517, ""en"", ""hi"")"),"A) खिलाड़ी A खेल जीत जाता है। , B) खिलाड़ी A रानी खो देता है। , C) खिलाड़ी A को एक अंक का दंड दिया जाता है। , D) खिलाड़ी A को अपनी बारी फिर से खेलनी होगी।")</f>
        <v>A) खिलाड़ी A खेल जीत जाता है। , B) खिलाड़ी A रानी खो देता है। , C) खिलाड़ी A को एक अंक का दंड दिया जाता है। , D) खिलाड़ी A को अपनी बारी फिर से खेलनी होगी।</v>
      </c>
      <c r="I517" s="5" t="str">
        <f>IFERROR(__xludf.DUMMYFUNCTION("GOOGLETRANSLATE(D517, ""en"", ""hi"")"),"बी) खिलाड़ी ए रानी खो देता है।")</f>
        <v>बी) खिलाड़ी ए रानी खो देता है।</v>
      </c>
    </row>
    <row r="518" ht="22.5" customHeight="1">
      <c r="A518" s="2">
        <v>517.0</v>
      </c>
      <c r="B518" s="3" t="s">
        <v>8952</v>
      </c>
      <c r="C518" s="3" t="s">
        <v>8953</v>
      </c>
      <c r="D518" s="3" t="s">
        <v>8954</v>
      </c>
      <c r="F518" s="5" t="str">
        <f>IFERROR(__xludf.DUMMYFUNCTION("GOOGLETRANSLATE(A518, ""en"", ""hi"")"),"517")</f>
        <v>517</v>
      </c>
      <c r="G518" s="5" t="str">
        <f>IFERROR(__xludf.DUMMYFUNCTION("GOOGLETRANSLATE(B518, ""en"", ""hi"")"),"खिलाड़ी B के पास सिर्फ़ रानी और आखिरी मोहरा बचा है। वे रानी को पॉकेट में डाल देते हैं, लेकिन स्ट्राइकर पॉकेट में चला जाता है। क्या होता है?")</f>
        <v>खिलाड़ी B के पास सिर्फ़ रानी और आखिरी मोहरा बचा है। वे रानी को पॉकेट में डाल देते हैं, लेकिन स्ट्राइकर पॉकेट में चला जाता है। क्या होता है?</v>
      </c>
      <c r="H518" s="5" t="str">
        <f>IFERROR(__xludf.DUMMYFUNCTION("GOOGLETRANSLATE(C518, ""en"", ""hi"")"),"A) खिलाड़ी B खेल जीत जाता है। , B) खिलाड़ी B रानी और खेल दोनों खो देता है। , C) खिलाड़ी B को एक अंक का दंड दिया जाता है। , D) खिलाड़ी B को जीतने के लिए रानी को ढकना होगा।")</f>
        <v>A) खिलाड़ी B खेल जीत जाता है। , B) खिलाड़ी B रानी और खेल दोनों खो देता है। , C) खिलाड़ी B को एक अंक का दंड दिया जाता है। , D) खिलाड़ी B को जीतने के लिए रानी को ढकना होगा।</v>
      </c>
      <c r="I518" s="5" t="str">
        <f>IFERROR(__xludf.DUMMYFUNCTION("GOOGLETRANSLATE(D518, ""en"", ""hi"")"),"B) खिलाड़ी B रानी और खेल दोनों हार जाता है।")</f>
        <v>B) खिलाड़ी B रानी और खेल दोनों हार जाता है।</v>
      </c>
    </row>
    <row r="519" ht="22.5" customHeight="1">
      <c r="A519" s="2">
        <v>518.0</v>
      </c>
      <c r="B519" s="3" t="s">
        <v>8955</v>
      </c>
      <c r="C519" s="3" t="s">
        <v>8956</v>
      </c>
      <c r="D519" s="3" t="s">
        <v>8864</v>
      </c>
      <c r="F519" s="5" t="str">
        <f>IFERROR(__xludf.DUMMYFUNCTION("GOOGLETRANSLATE(A519, ""en"", ""hi"")"),"518")</f>
        <v>518</v>
      </c>
      <c r="G519" s="5" t="str">
        <f>IFERROR(__xludf.DUMMYFUNCTION("GOOGLETRANSLATE(B519, ""en"", ""hi"")"),"खिलाड़ी A रानी को पॉकेट में डालता है, लेकिन अपनी आखिरी गोटी को पॉकेट में डालने से पहले उसे कवर नहीं कर पाता। नियम क्या है?")</f>
        <v>खिलाड़ी A रानी को पॉकेट में डालता है, लेकिन अपनी आखिरी गोटी को पॉकेट में डालने से पहले उसे कवर नहीं कर पाता। नियम क्या है?</v>
      </c>
      <c r="H519" s="5" t="str">
        <f>IFERROR(__xludf.DUMMYFUNCTION("GOOGLETRANSLATE(C519, ""en"", ""hi"")"),"A) खिलाड़ी A खेल जीत जाता है। , B) खिलाड़ी A को जीतने के लिए रानी को ढकना होगा। , C) खिलाड़ी A रानी और अपनी बारी खो देता है। , D) खिलाड़ी A को एक अंक का दंड दिया जाता है।")</f>
        <v>A) खिलाड़ी A खेल जीत जाता है। , B) खिलाड़ी A को जीतने के लिए रानी को ढकना होगा। , C) खिलाड़ी A रानी और अपनी बारी खो देता है। , D) खिलाड़ी A को एक अंक का दंड दिया जाता है।</v>
      </c>
      <c r="I519" s="5" t="str">
        <f>IFERROR(__xludf.DUMMYFUNCTION("GOOGLETRANSLATE(D519, ""en"", ""hi"")"),"बी) खिलाड़ी ए को जीतने के लिए रानी को कवर करना होगा।")</f>
        <v>बी) खिलाड़ी ए को जीतने के लिए रानी को कवर करना होगा।</v>
      </c>
    </row>
    <row r="520" ht="22.5" customHeight="1">
      <c r="A520" s="2">
        <v>519.0</v>
      </c>
      <c r="B520" s="3" t="s">
        <v>8957</v>
      </c>
      <c r="C520" s="3" t="s">
        <v>8869</v>
      </c>
      <c r="D520" s="3" t="s">
        <v>8870</v>
      </c>
      <c r="F520" s="5" t="str">
        <f>IFERROR(__xludf.DUMMYFUNCTION("GOOGLETRANSLATE(A520, ""en"", ""hi"")"),"519")</f>
        <v>519</v>
      </c>
      <c r="G520" s="5" t="str">
        <f>IFERROR(__xludf.DUMMYFUNCTION("GOOGLETRANSLATE(B520, ""en"", ""hi"")"),"खिलाड़ी B अपनी आखिरी गोटी और रानी को पॉकेट में डाल देता है, लेकिन रानी कवर नहीं होती। नतीजा क्या होता है?")</f>
        <v>खिलाड़ी B अपनी आखिरी गोटी और रानी को पॉकेट में डाल देता है, लेकिन रानी कवर नहीं होती। नतीजा क्या होता है?</v>
      </c>
      <c r="H520" s="5" t="str">
        <f>IFERROR(__xludf.DUMMYFUNCTION("GOOGLETRANSLATE(C520,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20" s="5" t="str">
        <f>IFERROR(__xludf.DUMMYFUNCTION("GOOGLETRANSLATE(D520, ""en"", ""hi"")"),"बी) खिलाड़ी बी को जीतने के लिए रानी को कवर करना होगा।")</f>
        <v>बी) खिलाड़ी बी को जीतने के लिए रानी को कवर करना होगा।</v>
      </c>
    </row>
    <row r="521" ht="22.5" customHeight="1">
      <c r="A521" s="2">
        <v>520.0</v>
      </c>
      <c r="B521" s="3" t="s">
        <v>8958</v>
      </c>
      <c r="C521" s="3" t="s">
        <v>8791</v>
      </c>
      <c r="D521" s="3" t="s">
        <v>8519</v>
      </c>
      <c r="F521" s="5" t="str">
        <f>IFERROR(__xludf.DUMMYFUNCTION("GOOGLETRANSLATE(A521, ""en"", ""hi"")"),"520")</f>
        <v>520</v>
      </c>
      <c r="G521" s="5" t="str">
        <f>IFERROR(__xludf.DUMMYFUNCTION("GOOGLETRANSLATE(B521, ""en"", ""hi"")"),"खिलाड़ी A अपनी अगली बारी में रानी को पॉकेट में डाल देता है, लेकिन फिर स्ट्राइकर को भी पॉकेट में डाल देता है। क्या होता है?")</f>
        <v>खिलाड़ी A अपनी अगली बारी में रानी को पॉकेट में डाल देता है, लेकिन फिर स्ट्राइकर को भी पॉकेट में डाल देता है। क्या होता है?</v>
      </c>
      <c r="H521" s="5" t="str">
        <f>IFERROR(__xludf.DUMMYFUNCTION("GOOGLETRANSLATE(C521,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21" s="5" t="str">
        <f>IFERROR(__xludf.DUMMYFUNCTION("GOOGLETRANSLATE(D521, ""en"", ""hi"")"),"बी) खिलाड़ी ए रानी खो देता है।")</f>
        <v>बी) खिलाड़ी ए रानी खो देता है।</v>
      </c>
    </row>
    <row r="522" ht="22.5" customHeight="1">
      <c r="A522" s="2">
        <v>521.0</v>
      </c>
      <c r="B522" s="3" t="s">
        <v>8959</v>
      </c>
      <c r="C522" s="3" t="s">
        <v>8869</v>
      </c>
      <c r="D522" s="3" t="s">
        <v>8870</v>
      </c>
      <c r="F522" s="5" t="str">
        <f>IFERROR(__xludf.DUMMYFUNCTION("GOOGLETRANSLATE(A522, ""en"", ""hi"")"),"521")</f>
        <v>521</v>
      </c>
      <c r="G522" s="5" t="str">
        <f>IFERROR(__xludf.DUMMYFUNCTION("GOOGLETRANSLATE(B522, ""en"", ""hi"")"),"खिलाड़ी B अपने सभी मोहरे और रानी को पॉकेट में डाल देता है, लेकिन रानी को कवर नहीं करता। नियम क्या है?")</f>
        <v>खिलाड़ी B अपने सभी मोहरे और रानी को पॉकेट में डाल देता है, लेकिन रानी को कवर नहीं करता। नियम क्या है?</v>
      </c>
      <c r="H522" s="5" t="str">
        <f>IFERROR(__xludf.DUMMYFUNCTION("GOOGLETRANSLATE(C522,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22" s="5" t="str">
        <f>IFERROR(__xludf.DUMMYFUNCTION("GOOGLETRANSLATE(D522, ""en"", ""hi"")"),"बी) खिलाड़ी बी को जीतने के लिए रानी को कवर करना होगा।")</f>
        <v>बी) खिलाड़ी बी को जीतने के लिए रानी को कवर करना होगा।</v>
      </c>
    </row>
    <row r="523" ht="22.5" customHeight="1">
      <c r="A523" s="2">
        <v>522.0</v>
      </c>
      <c r="B523" s="3" t="s">
        <v>8960</v>
      </c>
      <c r="C523" s="3" t="s">
        <v>8791</v>
      </c>
      <c r="D523" s="3" t="s">
        <v>8519</v>
      </c>
      <c r="F523" s="5" t="str">
        <f>IFERROR(__xludf.DUMMYFUNCTION("GOOGLETRANSLATE(A523, ""en"", ""hi"")"),"522")</f>
        <v>522</v>
      </c>
      <c r="G523" s="5" t="str">
        <f>IFERROR(__xludf.DUMMYFUNCTION("GOOGLETRANSLATE(B523, ""en"", ""hi"")"),"खिलाड़ी A रानी और उसके सभी मोहरों को पॉकेट में डाल देता है, लेकिन फिर स्ट्राइकर को भी पॉकेट में डाल देता है। नतीजा क्या होता है?")</f>
        <v>खिलाड़ी A रानी और उसके सभी मोहरों को पॉकेट में डाल देता है, लेकिन फिर स्ट्राइकर को भी पॉकेट में डाल देता है। नतीजा क्या होता है?</v>
      </c>
      <c r="H523" s="5" t="str">
        <f>IFERROR(__xludf.DUMMYFUNCTION("GOOGLETRANSLATE(C523,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23" s="5" t="str">
        <f>IFERROR(__xludf.DUMMYFUNCTION("GOOGLETRANSLATE(D523, ""en"", ""hi"")"),"बी) खिलाड़ी ए रानी खो देता है।")</f>
        <v>बी) खिलाड़ी ए रानी खो देता है।</v>
      </c>
    </row>
    <row r="524" ht="22.5" customHeight="1">
      <c r="A524" s="2">
        <v>523.0</v>
      </c>
      <c r="B524" s="3" t="s">
        <v>8961</v>
      </c>
      <c r="C524" s="3" t="s">
        <v>8962</v>
      </c>
      <c r="D524" s="3" t="s">
        <v>8413</v>
      </c>
      <c r="F524" s="5" t="str">
        <f>IFERROR(__xludf.DUMMYFUNCTION("GOOGLETRANSLATE(A524, ""en"", ""hi"")"),"523")</f>
        <v>523</v>
      </c>
      <c r="G524" s="5" t="str">
        <f>IFERROR(__xludf.DUMMYFUNCTION("GOOGLETRANSLATE(B524, ""en"", ""hi"")"),"खिलाड़ी B रानी को ढककर अपनी आखिरी गोटी जेब में रखता है। नियम क्या है?")</f>
        <v>खिलाड़ी B रानी को ढककर अपनी आखिरी गोटी जेब में रखता है। नियम क्या है?</v>
      </c>
      <c r="H524" s="5" t="str">
        <f>IFERROR(__xludf.DUMMYFUNCTION("GOOGLETRANSLATE(C524, ""en"", ""hi"")"),"ए) खिलाड़ी बी खेल जीतता है। , बी) खिलाड़ी बी को जीतने के लिए रानी को कवर करना होगा। , सी) खिलाड़ी बी को एक अंक का दंड दिया जाता है। , डी) खिलाड़ी बी को अपनी बारी फिर से खेलनी होगी।")</f>
        <v>ए) खिलाड़ी बी खेल जीतता है। , बी) खिलाड़ी बी को जीतने के लिए रानी को कवर करना होगा। , सी) खिलाड़ी बी को एक अंक का दंड दिया जाता है। , डी) खिलाड़ी बी को अपनी बारी फिर से खेलनी होगी।</v>
      </c>
      <c r="I524" s="5" t="str">
        <f>IFERROR(__xludf.DUMMYFUNCTION("GOOGLETRANSLATE(D524, ""en"", ""hi"")"),"A) खिलाड़ी B खेल जीतता है।")</f>
        <v>A) खिलाड़ी B खेल जीतता है।</v>
      </c>
    </row>
    <row r="525" ht="22.5" customHeight="1">
      <c r="A525" s="2">
        <v>524.0</v>
      </c>
      <c r="B525" s="3" t="s">
        <v>8917</v>
      </c>
      <c r="C525" s="3" t="s">
        <v>8963</v>
      </c>
      <c r="D525" s="3" t="s">
        <v>8864</v>
      </c>
      <c r="F525" s="5" t="str">
        <f>IFERROR(__xludf.DUMMYFUNCTION("GOOGLETRANSLATE(A525, ""en"", ""hi"")"),"524")</f>
        <v>524</v>
      </c>
      <c r="G525" s="5" t="str">
        <f>IFERROR(__xludf.DUMMYFUNCTION("GOOGLETRANSLATE(B525,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525" s="5" t="str">
        <f>IFERROR(__xludf.DUMMYFUNCTION("GOOGLETRANSLATE(C525,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25" s="5" t="str">
        <f>IFERROR(__xludf.DUMMYFUNCTION("GOOGLETRANSLATE(D525, ""en"", ""hi"")"),"बी) खिलाड़ी ए को जीतने के लिए रानी को कवर करना होगा।")</f>
        <v>बी) खिलाड़ी ए को जीतने के लिए रानी को कवर करना होगा।</v>
      </c>
    </row>
    <row r="526" ht="22.5" customHeight="1">
      <c r="A526" s="2">
        <v>525.0</v>
      </c>
      <c r="B526" s="3" t="s">
        <v>8964</v>
      </c>
      <c r="C526" s="3" t="s">
        <v>8869</v>
      </c>
      <c r="D526" s="3" t="s">
        <v>8870</v>
      </c>
      <c r="F526" s="5" t="str">
        <f>IFERROR(__xludf.DUMMYFUNCTION("GOOGLETRANSLATE(A526, ""en"", ""hi"")"),"525")</f>
        <v>525</v>
      </c>
      <c r="G526" s="5" t="str">
        <f>IFERROR(__xludf.DUMMYFUNCTION("GOOGLETRANSLATE(B526, ""en"", ""hi"")"),"खिलाड़ी B रानी और अपनी आखिरी गोटी पॉकेट में डाल देता है, लेकिन रानी को कवर नहीं कर पाता। नियम क्या है?")</f>
        <v>खिलाड़ी B रानी और अपनी आखिरी गोटी पॉकेट में डाल देता है, लेकिन रानी को कवर नहीं कर पाता। नियम क्या है?</v>
      </c>
      <c r="H526" s="5" t="str">
        <f>IFERROR(__xludf.DUMMYFUNCTION("GOOGLETRANSLATE(C526,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26" s="5" t="str">
        <f>IFERROR(__xludf.DUMMYFUNCTION("GOOGLETRANSLATE(D526, ""en"", ""hi"")"),"बी) खिलाड़ी बी को जीतने के लिए रानी को कवर करना होगा।")</f>
        <v>बी) खिलाड़ी बी को जीतने के लिए रानी को कवर करना होगा।</v>
      </c>
    </row>
    <row r="527" ht="22.5" customHeight="1">
      <c r="A527" s="2">
        <v>526.0</v>
      </c>
      <c r="B527" s="3" t="s">
        <v>8965</v>
      </c>
      <c r="C527" s="3" t="s">
        <v>8791</v>
      </c>
      <c r="D527" s="3" t="s">
        <v>8519</v>
      </c>
      <c r="F527" s="5" t="str">
        <f>IFERROR(__xludf.DUMMYFUNCTION("GOOGLETRANSLATE(A527, ""en"", ""hi"")"),"526")</f>
        <v>526</v>
      </c>
      <c r="G527" s="5" t="str">
        <f>IFERROR(__xludf.DUMMYFUNCTION("GOOGLETRANSLATE(B527, ""en"", ""hi"")"),"खिलाड़ी A रानी को कवर करता है लेकिन अगली बारी में स्ट्राइकर को पॉकेट में डाल देता है। नतीजा क्या होता है?")</f>
        <v>खिलाड़ी A रानी को कवर करता है लेकिन अगली बारी में स्ट्राइकर को पॉकेट में डाल देता है। नतीजा क्या होता है?</v>
      </c>
      <c r="H527" s="5" t="str">
        <f>IFERROR(__xludf.DUMMYFUNCTION("GOOGLETRANSLATE(C527,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27" s="5" t="str">
        <f>IFERROR(__xludf.DUMMYFUNCTION("GOOGLETRANSLATE(D527, ""en"", ""hi"")"),"बी) खिलाड़ी ए रानी खो देता है।")</f>
        <v>बी) खिलाड़ी ए रानी खो देता है।</v>
      </c>
    </row>
    <row r="528" ht="22.5" customHeight="1">
      <c r="A528" s="2">
        <v>527.0</v>
      </c>
      <c r="B528" s="3" t="s">
        <v>8907</v>
      </c>
      <c r="C528" s="3" t="s">
        <v>8869</v>
      </c>
      <c r="D528" s="3" t="s">
        <v>8870</v>
      </c>
      <c r="F528" s="5" t="str">
        <f>IFERROR(__xludf.DUMMYFUNCTION("GOOGLETRANSLATE(A528, ""en"", ""hi"")"),"527")</f>
        <v>527</v>
      </c>
      <c r="G528" s="5" t="str">
        <f>IFERROR(__xludf.DUMMYFUNCTION("GOOGLETRANSLATE(B528, ""en"", ""hi"")"),"खिलाड़ी B अपनी आखिरी गोटी और रानी को पॉकेट में डाल देता है, लेकिन रानी को कवर नहीं कर पाता। नियम क्या है?")</f>
        <v>खिलाड़ी B अपनी आखिरी गोटी और रानी को पॉकेट में डाल देता है, लेकिन रानी को कवर नहीं कर पाता। नियम क्या है?</v>
      </c>
      <c r="H528" s="5" t="str">
        <f>IFERROR(__xludf.DUMMYFUNCTION("GOOGLETRANSLATE(C528,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28" s="5" t="str">
        <f>IFERROR(__xludf.DUMMYFUNCTION("GOOGLETRANSLATE(D528, ""en"", ""hi"")"),"बी) खिलाड़ी बी को जीतने के लिए रानी को कवर करना होगा।")</f>
        <v>बी) खिलाड़ी बी को जीतने के लिए रानी को कवर करना होगा।</v>
      </c>
    </row>
    <row r="529" ht="22.5" customHeight="1">
      <c r="A529" s="2">
        <v>528.0</v>
      </c>
      <c r="B529" s="3" t="s">
        <v>8966</v>
      </c>
      <c r="C529" s="3" t="s">
        <v>8791</v>
      </c>
      <c r="D529" s="3" t="s">
        <v>8519</v>
      </c>
      <c r="F529" s="5" t="str">
        <f>IFERROR(__xludf.DUMMYFUNCTION("GOOGLETRANSLATE(A529, ""en"", ""hi"")"),"528")</f>
        <v>528</v>
      </c>
      <c r="G529" s="5" t="str">
        <f>IFERROR(__xludf.DUMMYFUNCTION("GOOGLETRANSLATE(B529, ""en"", ""hi"")"),"खिलाड़ी A रानी को पॉकेट में डालता है, लेकिन उसी बारी में स्ट्राइकर को भी पॉकेट में डाल देता है। क्या होता है?")</f>
        <v>खिलाड़ी A रानी को पॉकेट में डालता है, लेकिन उसी बारी में स्ट्राइकर को भी पॉकेट में डाल देता है। क्या होता है?</v>
      </c>
      <c r="H529" s="5" t="str">
        <f>IFERROR(__xludf.DUMMYFUNCTION("GOOGLETRANSLATE(C529,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29" s="5" t="str">
        <f>IFERROR(__xludf.DUMMYFUNCTION("GOOGLETRANSLATE(D529, ""en"", ""hi"")"),"बी) खिलाड़ी ए रानी खो देता है।")</f>
        <v>बी) खिलाड़ी ए रानी खो देता है।</v>
      </c>
    </row>
    <row r="530" ht="22.5" customHeight="1">
      <c r="A530" s="2">
        <v>529.0</v>
      </c>
      <c r="B530" s="3" t="s">
        <v>8941</v>
      </c>
      <c r="C530" s="3" t="s">
        <v>8869</v>
      </c>
      <c r="D530" s="3" t="s">
        <v>8870</v>
      </c>
      <c r="F530" s="5" t="str">
        <f>IFERROR(__xludf.DUMMYFUNCTION("GOOGLETRANSLATE(A530, ""en"", ""hi"")"),"529")</f>
        <v>529</v>
      </c>
      <c r="G530" s="5" t="str">
        <f>IFERROR(__xludf.DUMMYFUNCTION("GOOGLETRANSLATE(B530, ""en"", ""hi"")"),"खिलाड़ी B अपनी सभी गोटियाँ और रानी पॉकेट में डाल देता है, लेकिन रानी को कवर नहीं करता। नतीजा क्या होता है?")</f>
        <v>खिलाड़ी B अपनी सभी गोटियाँ और रानी पॉकेट में डाल देता है, लेकिन रानी को कवर नहीं करता। नतीजा क्या होता है?</v>
      </c>
      <c r="H530" s="5" t="str">
        <f>IFERROR(__xludf.DUMMYFUNCTION("GOOGLETRANSLATE(C530,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30" s="5" t="str">
        <f>IFERROR(__xludf.DUMMYFUNCTION("GOOGLETRANSLATE(D530, ""en"", ""hi"")"),"बी) खिलाड़ी बी को जीतने के लिए रानी को कवर करना होगा।")</f>
        <v>बी) खिलाड़ी बी को जीतने के लिए रानी को कवर करना होगा।</v>
      </c>
    </row>
    <row r="531" ht="22.5" customHeight="1">
      <c r="A531" s="2">
        <v>530.0</v>
      </c>
      <c r="B531" s="3" t="s">
        <v>8945</v>
      </c>
      <c r="C531" s="3" t="s">
        <v>8963</v>
      </c>
      <c r="D531" s="3" t="s">
        <v>8864</v>
      </c>
      <c r="F531" s="5" t="str">
        <f>IFERROR(__xludf.DUMMYFUNCTION("GOOGLETRANSLATE(A531, ""en"", ""hi"")"),"530")</f>
        <v>530</v>
      </c>
      <c r="G531" s="5" t="str">
        <f>IFERROR(__xludf.DUMMYFUNCTION("GOOGLETRANSLATE(B531, ""en"", ""hi"")"),"खिलाड़ी A अपनी आखिरी गोटी और रानी को पॉकेट में डाल देता है, लेकिन रानी को कवर नहीं कर पाता। नियम क्या है?")</f>
        <v>खिलाड़ी A अपनी आखिरी गोटी और रानी को पॉकेट में डाल देता है, लेकिन रानी को कवर नहीं कर पाता। नियम क्या है?</v>
      </c>
      <c r="H531" s="5" t="str">
        <f>IFERROR(__xludf.DUMMYFUNCTION("GOOGLETRANSLATE(C531,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31" s="5" t="str">
        <f>IFERROR(__xludf.DUMMYFUNCTION("GOOGLETRANSLATE(D531, ""en"", ""hi"")"),"बी) खिलाड़ी ए को जीतने के लिए रानी को कवर करना होगा।")</f>
        <v>बी) खिलाड़ी ए को जीतने के लिए रानी को कवर करना होगा।</v>
      </c>
    </row>
    <row r="532" ht="22.5" customHeight="1">
      <c r="A532" s="2">
        <v>531.0</v>
      </c>
      <c r="B532" s="3" t="s">
        <v>8947</v>
      </c>
      <c r="C532" s="3" t="s">
        <v>8940</v>
      </c>
      <c r="D532" s="3" t="s">
        <v>8870</v>
      </c>
      <c r="F532" s="5" t="str">
        <f>IFERROR(__xludf.DUMMYFUNCTION("GOOGLETRANSLATE(A532, ""en"", ""hi"")"),"531")</f>
        <v>531</v>
      </c>
      <c r="G532" s="5" t="str">
        <f>IFERROR(__xludf.DUMMYFUNCTION("GOOGLETRANSLATE(B532, ""en"", ""hi"")"),"खिलाड़ी B अपनी आखिरी गोटी और रानी को पॉकेट में डाल देता है, लेकिन रानी को कवर नहीं करता। क्या होता है?")</f>
        <v>खिलाड़ी B अपनी आखिरी गोटी और रानी को पॉकेट में डाल देता है, लेकिन रानी को कवर नहीं करता। क्या होता है?</v>
      </c>
      <c r="H532" s="5" t="str">
        <f>IFERROR(__xludf.DUMMYFUNCTION("GOOGLETRANSLATE(C532, ""en"", ""hi"")"),"A) खिलाड़ी B खेल जीत जाता है। , B) खिलाड़ी B को जीतने के लिए रानी को ढकना होगा। , C) खिलाड़ी B अपनी बारी खो देता है। , D) खेल ड्रॉ हो जाता है।")</f>
        <v>A) खिलाड़ी B खेल जीत जाता है। , B) खिलाड़ी B को जीतने के लिए रानी को ढकना होगा। , C) खिलाड़ी B अपनी बारी खो देता है। , D) खेल ड्रॉ हो जाता है।</v>
      </c>
      <c r="I532" s="5" t="str">
        <f>IFERROR(__xludf.DUMMYFUNCTION("GOOGLETRANSLATE(D532, ""en"", ""hi"")"),"बी) खिलाड़ी बी को जीतने के लिए रानी को कवर करना होगा।")</f>
        <v>बी) खिलाड़ी बी को जीतने के लिए रानी को कवर करना होगा।</v>
      </c>
    </row>
    <row r="533" ht="22.5" customHeight="1">
      <c r="A533" s="2">
        <v>532.0</v>
      </c>
      <c r="B533" s="3" t="s">
        <v>8967</v>
      </c>
      <c r="C533" s="3" t="s">
        <v>8791</v>
      </c>
      <c r="D533" s="3" t="s">
        <v>8519</v>
      </c>
      <c r="F533" s="5" t="str">
        <f>IFERROR(__xludf.DUMMYFUNCTION("GOOGLETRANSLATE(A533, ""en"", ""hi"")"),"532")</f>
        <v>532</v>
      </c>
      <c r="G533" s="5" t="str">
        <f>IFERROR(__xludf.DUMMYFUNCTION("GOOGLETRANSLATE(B533, ""en"", ""hi"")"),"खिलाड़ी A ने क्वीन को सफलतापूर्वक कवर किया, लेकिन स्ट्राइकर को पॉकेट में डाल दिया। परिणाम क्या हुआ?")</f>
        <v>खिलाड़ी A ने क्वीन को सफलतापूर्वक कवर किया, लेकिन स्ट्राइकर को पॉकेट में डाल दिया। परिणाम क्या हुआ?</v>
      </c>
      <c r="H533" s="5" t="str">
        <f>IFERROR(__xludf.DUMMYFUNCTION("GOOGLETRANSLATE(C533,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33" s="5" t="str">
        <f>IFERROR(__xludf.DUMMYFUNCTION("GOOGLETRANSLATE(D533, ""en"", ""hi"")"),"बी) खिलाड़ी ए रानी खो देता है।")</f>
        <v>बी) खिलाड़ी ए रानी खो देता है।</v>
      </c>
    </row>
    <row r="534" ht="22.5" customHeight="1">
      <c r="A534" s="2">
        <v>533.0</v>
      </c>
      <c r="B534" s="3" t="s">
        <v>8919</v>
      </c>
      <c r="C534" s="3" t="s">
        <v>8869</v>
      </c>
      <c r="D534" s="3" t="s">
        <v>8870</v>
      </c>
      <c r="F534" s="5" t="str">
        <f>IFERROR(__xludf.DUMMYFUNCTION("GOOGLETRANSLATE(A534, ""en"", ""hi"")"),"533")</f>
        <v>533</v>
      </c>
      <c r="G534" s="5" t="str">
        <f>IFERROR(__xludf.DUMMYFUNCTION("GOOGLETRANSLATE(B534,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534" s="5" t="str">
        <f>IFERROR(__xludf.DUMMYFUNCTION("GOOGLETRANSLATE(C534,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34" s="5" t="str">
        <f>IFERROR(__xludf.DUMMYFUNCTION("GOOGLETRANSLATE(D534, ""en"", ""hi"")"),"बी) खिलाड़ी बी को जीतने के लिए रानी को कवर करना होगा।")</f>
        <v>बी) खिलाड़ी बी को जीतने के लिए रानी को कवर करना होगा।</v>
      </c>
    </row>
    <row r="535" ht="22.5" customHeight="1">
      <c r="A535" s="2">
        <v>534.0</v>
      </c>
      <c r="B535" s="3" t="s">
        <v>8917</v>
      </c>
      <c r="C535" s="3" t="s">
        <v>8963</v>
      </c>
      <c r="D535" s="3" t="s">
        <v>8864</v>
      </c>
      <c r="F535" s="5" t="str">
        <f>IFERROR(__xludf.DUMMYFUNCTION("GOOGLETRANSLATE(A535, ""en"", ""hi"")"),"534")</f>
        <v>534</v>
      </c>
      <c r="G535" s="5" t="str">
        <f>IFERROR(__xludf.DUMMYFUNCTION("GOOGLETRANSLATE(B535,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535" s="5" t="str">
        <f>IFERROR(__xludf.DUMMYFUNCTION("GOOGLETRANSLATE(C535,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35" s="5" t="str">
        <f>IFERROR(__xludf.DUMMYFUNCTION("GOOGLETRANSLATE(D535, ""en"", ""hi"")"),"बी) खिलाड़ी ए को जीतने के लिए रानी को कवर करना होगा।")</f>
        <v>बी) खिलाड़ी ए को जीतने के लिए रानी को कवर करना होगा।</v>
      </c>
    </row>
    <row r="536" ht="22.5" customHeight="1">
      <c r="A536" s="2">
        <v>535.0</v>
      </c>
      <c r="B536" s="3" t="s">
        <v>8913</v>
      </c>
      <c r="C536" s="3" t="s">
        <v>8869</v>
      </c>
      <c r="D536" s="3" t="s">
        <v>8870</v>
      </c>
      <c r="F536" s="5" t="str">
        <f>IFERROR(__xludf.DUMMYFUNCTION("GOOGLETRANSLATE(A536, ""en"", ""hi"")"),"535")</f>
        <v>535</v>
      </c>
      <c r="G536" s="5" t="str">
        <f>IFERROR(__xludf.DUMMYFUNCTION("GOOGLETRANSLATE(B536,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536" s="5" t="str">
        <f>IFERROR(__xludf.DUMMYFUNCTION("GOOGLETRANSLATE(C536,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36" s="5" t="str">
        <f>IFERROR(__xludf.DUMMYFUNCTION("GOOGLETRANSLATE(D536, ""en"", ""hi"")"),"बी) खिलाड़ी बी को जीतने के लिए रानी को कवर करना होगा।")</f>
        <v>बी) खिलाड़ी बी को जीतने के लिए रानी को कवर करना होगा।</v>
      </c>
    </row>
    <row r="537" ht="22.5" customHeight="1">
      <c r="A537" s="2">
        <v>536.0</v>
      </c>
      <c r="B537" s="3" t="s">
        <v>8903</v>
      </c>
      <c r="C537" s="3" t="s">
        <v>8791</v>
      </c>
      <c r="D537" s="3" t="s">
        <v>8519</v>
      </c>
      <c r="F537" s="5" t="str">
        <f>IFERROR(__xludf.DUMMYFUNCTION("GOOGLETRANSLATE(A537, ""en"", ""hi"")"),"536")</f>
        <v>536</v>
      </c>
      <c r="G537" s="5" t="str">
        <f>IFERROR(__xludf.DUMMYFUNCTION("GOOGLETRANSLATE(B537, ""en"", ""hi"")"),"खिलाड़ी A ने क्वीन को सफलतापूर्वक कवर किया, लेकिन फिर स्ट्राइकर को पॉकेट में डाल दिया। परिणाम क्या हुआ?")</f>
        <v>खिलाड़ी A ने क्वीन को सफलतापूर्वक कवर किया, लेकिन फिर स्ट्राइकर को पॉकेट में डाल दिया। परिणाम क्या हुआ?</v>
      </c>
      <c r="H537" s="5" t="str">
        <f>IFERROR(__xludf.DUMMYFUNCTION("GOOGLETRANSLATE(C537,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37" s="5" t="str">
        <f>IFERROR(__xludf.DUMMYFUNCTION("GOOGLETRANSLATE(D537, ""en"", ""hi"")"),"बी) खिलाड़ी ए रानी खो देता है।")</f>
        <v>बी) खिलाड़ी ए रानी खो देता है।</v>
      </c>
    </row>
    <row r="538" ht="22.5" customHeight="1">
      <c r="A538" s="2">
        <v>537.0</v>
      </c>
      <c r="B538" s="3" t="s">
        <v>8926</v>
      </c>
      <c r="C538" s="3" t="s">
        <v>8869</v>
      </c>
      <c r="D538" s="3" t="s">
        <v>8870</v>
      </c>
      <c r="F538" s="5" t="str">
        <f>IFERROR(__xludf.DUMMYFUNCTION("GOOGLETRANSLATE(A538, ""en"", ""hi"")"),"537")</f>
        <v>537</v>
      </c>
      <c r="G538" s="5" t="str">
        <f>IFERROR(__xludf.DUMMYFUNCTION("GOOGLETRANSLATE(B538,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38" s="5" t="str">
        <f>IFERROR(__xludf.DUMMYFUNCTION("GOOGLETRANSLATE(C538,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38" s="5" t="str">
        <f>IFERROR(__xludf.DUMMYFUNCTION("GOOGLETRANSLATE(D538, ""en"", ""hi"")"),"बी) खिलाड़ी बी को जीतने के लिए रानी को कवर करना होगा।")</f>
        <v>बी) खिलाड़ी बी को जीतने के लिए रानी को कवर करना होगा।</v>
      </c>
    </row>
    <row r="539" ht="22.5" customHeight="1">
      <c r="A539" s="2">
        <v>538.0</v>
      </c>
      <c r="B539" s="3" t="s">
        <v>8885</v>
      </c>
      <c r="C539" s="3" t="s">
        <v>8963</v>
      </c>
      <c r="D539" s="3" t="s">
        <v>8864</v>
      </c>
      <c r="F539" s="5" t="str">
        <f>IFERROR(__xludf.DUMMYFUNCTION("GOOGLETRANSLATE(A539, ""en"", ""hi"")"),"538")</f>
        <v>538</v>
      </c>
      <c r="G539" s="5" t="str">
        <f>IFERROR(__xludf.DUMMYFUNCTION("GOOGLETRANSLATE(B539, ""en"", ""hi"")"),"खिलाड़ी A अपनी सभी गोटियाँ और रानी पॉकेट में डाल देता है, लेकिन रानी को कवर नहीं कर पाता। नतीजा क्या होता है?")</f>
        <v>खिलाड़ी A अपनी सभी गोटियाँ और रानी पॉकेट में डाल देता है, लेकिन रानी को कवर नहीं कर पाता। नतीजा क्या होता है?</v>
      </c>
      <c r="H539" s="5" t="str">
        <f>IFERROR(__xludf.DUMMYFUNCTION("GOOGLETRANSLATE(C539,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39" s="5" t="str">
        <f>IFERROR(__xludf.DUMMYFUNCTION("GOOGLETRANSLATE(D539, ""en"", ""hi"")"),"बी) खिलाड़ी ए को जीतने के लिए रानी को कवर करना होगा।")</f>
        <v>बी) खिलाड़ी ए को जीतने के लिए रानी को कवर करना होगा।</v>
      </c>
    </row>
    <row r="540" ht="22.5" customHeight="1">
      <c r="A540" s="2">
        <v>539.0</v>
      </c>
      <c r="B540" s="3" t="s">
        <v>8913</v>
      </c>
      <c r="C540" s="3" t="s">
        <v>8869</v>
      </c>
      <c r="D540" s="3" t="s">
        <v>8870</v>
      </c>
      <c r="F540" s="5" t="str">
        <f>IFERROR(__xludf.DUMMYFUNCTION("GOOGLETRANSLATE(A540, ""en"", ""hi"")"),"539")</f>
        <v>539</v>
      </c>
      <c r="G540" s="5" t="str">
        <f>IFERROR(__xludf.DUMMYFUNCTION("GOOGLETRANSLATE(B540,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540" s="5" t="str">
        <f>IFERROR(__xludf.DUMMYFUNCTION("GOOGLETRANSLATE(C540,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40" s="5" t="str">
        <f>IFERROR(__xludf.DUMMYFUNCTION("GOOGLETRANSLATE(D540, ""en"", ""hi"")"),"बी) खिलाड़ी बी को जीतने के लिए रानी को कवर करना होगा।")</f>
        <v>बी) खिलाड़ी बी को जीतने के लिए रानी को कवर करना होगा।</v>
      </c>
    </row>
    <row r="541" ht="22.5" customHeight="1">
      <c r="A541" s="2">
        <v>540.0</v>
      </c>
      <c r="B541" s="3" t="s">
        <v>8901</v>
      </c>
      <c r="C541" s="3" t="s">
        <v>8791</v>
      </c>
      <c r="D541" s="3" t="s">
        <v>8519</v>
      </c>
      <c r="F541" s="5" t="str">
        <f>IFERROR(__xludf.DUMMYFUNCTION("GOOGLETRANSLATE(A541, ""en"", ""hi"")"),"540")</f>
        <v>540</v>
      </c>
      <c r="G541" s="5" t="str">
        <f>IFERROR(__xludf.DUMMYFUNCTION("GOOGLETRANSLATE(B541, ""en"", ""hi"")"),"खिलाड़ी A ने रानी को सफलतापूर्वक कवर किया, लेकिन फिर स्ट्राइकर को पॉकेट में डाल दिया। क्या हुआ?")</f>
        <v>खिलाड़ी A ने रानी को सफलतापूर्वक कवर किया, लेकिन फिर स्ट्राइकर को पॉकेट में डाल दिया। क्या हुआ?</v>
      </c>
      <c r="H541" s="5" t="str">
        <f>IFERROR(__xludf.DUMMYFUNCTION("GOOGLETRANSLATE(C541,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41" s="5" t="str">
        <f>IFERROR(__xludf.DUMMYFUNCTION("GOOGLETRANSLATE(D541, ""en"", ""hi"")"),"बी) खिलाड़ी ए रानी खो देता है।")</f>
        <v>बी) खिलाड़ी ए रानी खो देता है।</v>
      </c>
    </row>
    <row r="542" ht="22.5" customHeight="1">
      <c r="A542" s="2">
        <v>541.0</v>
      </c>
      <c r="B542" s="3" t="s">
        <v>8926</v>
      </c>
      <c r="C542" s="3" t="s">
        <v>8869</v>
      </c>
      <c r="D542" s="3" t="s">
        <v>8870</v>
      </c>
      <c r="F542" s="5" t="str">
        <f>IFERROR(__xludf.DUMMYFUNCTION("GOOGLETRANSLATE(A542, ""en"", ""hi"")"),"541")</f>
        <v>541</v>
      </c>
      <c r="G542" s="5" t="str">
        <f>IFERROR(__xludf.DUMMYFUNCTION("GOOGLETRANSLATE(B542,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42" s="5" t="str">
        <f>IFERROR(__xludf.DUMMYFUNCTION("GOOGLETRANSLATE(C542,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42" s="5" t="str">
        <f>IFERROR(__xludf.DUMMYFUNCTION("GOOGLETRANSLATE(D542, ""en"", ""hi"")"),"बी) खिलाड़ी बी को जीतने के लिए रानी को कवर करना होगा।")</f>
        <v>बी) खिलाड़ी बी को जीतने के लिए रानी को कवर करना होगा।</v>
      </c>
    </row>
    <row r="543" ht="22.5" customHeight="1">
      <c r="A543" s="2">
        <v>542.0</v>
      </c>
      <c r="B543" s="3" t="s">
        <v>8889</v>
      </c>
      <c r="C543" s="3" t="s">
        <v>8963</v>
      </c>
      <c r="D543" s="3" t="s">
        <v>8864</v>
      </c>
      <c r="F543" s="5" t="str">
        <f>IFERROR(__xludf.DUMMYFUNCTION("GOOGLETRANSLATE(A543, ""en"", ""hi"")"),"542")</f>
        <v>542</v>
      </c>
      <c r="G543" s="5" t="str">
        <f>IFERROR(__xludf.DUMMYFUNCTION("GOOGLETRANSLATE(B543, ""en"", ""hi"")"),"खिलाड़ी A अपनी सभी गोटियाँ और रानी पॉकेट में डाल देता है, लेकिन रानी को कवर नहीं कर पाता। नियम क्या है?")</f>
        <v>खिलाड़ी A अपनी सभी गोटियाँ और रानी पॉकेट में डाल देता है, लेकिन रानी को कवर नहीं कर पाता। नियम क्या है?</v>
      </c>
      <c r="H543" s="5" t="str">
        <f>IFERROR(__xludf.DUMMYFUNCTION("GOOGLETRANSLATE(C543,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43" s="5" t="str">
        <f>IFERROR(__xludf.DUMMYFUNCTION("GOOGLETRANSLATE(D543, ""en"", ""hi"")"),"बी) खिलाड़ी ए को जीतने के लिए रानी को कवर करना होगा।")</f>
        <v>बी) खिलाड़ी ए को जीतने के लिए रानी को कवर करना होगा।</v>
      </c>
    </row>
    <row r="544" ht="22.5" customHeight="1">
      <c r="A544" s="2">
        <v>543.0</v>
      </c>
      <c r="B544" s="3" t="s">
        <v>8947</v>
      </c>
      <c r="C544" s="3" t="s">
        <v>8940</v>
      </c>
      <c r="D544" s="3" t="s">
        <v>8870</v>
      </c>
      <c r="F544" s="5" t="str">
        <f>IFERROR(__xludf.DUMMYFUNCTION("GOOGLETRANSLATE(A544, ""en"", ""hi"")"),"543")</f>
        <v>543</v>
      </c>
      <c r="G544" s="5" t="str">
        <f>IFERROR(__xludf.DUMMYFUNCTION("GOOGLETRANSLATE(B544, ""en"", ""hi"")"),"खिलाड़ी B अपनी आखिरी गोटी और रानी को पॉकेट में डाल देता है, लेकिन रानी को कवर नहीं करता। क्या होता है?")</f>
        <v>खिलाड़ी B अपनी आखिरी गोटी और रानी को पॉकेट में डाल देता है, लेकिन रानी को कवर नहीं करता। क्या होता है?</v>
      </c>
      <c r="H544" s="5" t="str">
        <f>IFERROR(__xludf.DUMMYFUNCTION("GOOGLETRANSLATE(C544, ""en"", ""hi"")"),"A) खिलाड़ी B खेल जीत जाता है। , B) खिलाड़ी B को जीतने के लिए रानी को ढकना होगा। , C) खिलाड़ी B अपनी बारी खो देता है। , D) खेल ड्रॉ हो जाता है।")</f>
        <v>A) खिलाड़ी B खेल जीत जाता है। , B) खिलाड़ी B को जीतने के लिए रानी को ढकना होगा। , C) खिलाड़ी B अपनी बारी खो देता है। , D) खेल ड्रॉ हो जाता है।</v>
      </c>
      <c r="I544" s="5" t="str">
        <f>IFERROR(__xludf.DUMMYFUNCTION("GOOGLETRANSLATE(D544, ""en"", ""hi"")"),"बी) खिलाड़ी बी को जीतने के लिए रानी को कवर करना होगा।")</f>
        <v>बी) खिलाड़ी बी को जीतने के लिए रानी को कवर करना होगा।</v>
      </c>
    </row>
    <row r="545" ht="22.5" customHeight="1">
      <c r="A545" s="2">
        <v>544.0</v>
      </c>
      <c r="B545" s="3" t="s">
        <v>8871</v>
      </c>
      <c r="C545" s="3" t="s">
        <v>8791</v>
      </c>
      <c r="D545" s="3" t="s">
        <v>8519</v>
      </c>
      <c r="F545" s="5" t="str">
        <f>IFERROR(__xludf.DUMMYFUNCTION("GOOGLETRANSLATE(A545, ""en"", ""hi"")"),"544")</f>
        <v>544</v>
      </c>
      <c r="G545" s="5" t="str">
        <f>IFERROR(__xludf.DUMMYFUNCTION("GOOGLETRANSLATE(B545, ""en"", ""hi"")"),"खिलाड़ी A क्वीन को कवर करता है लेकिन फिर स्ट्राइकर को पॉकेट में डाल देता है। नतीजा क्या होता है?")</f>
        <v>खिलाड़ी A क्वीन को कवर करता है लेकिन फिर स्ट्राइकर को पॉकेट में डाल देता है। नतीजा क्या होता है?</v>
      </c>
      <c r="H545" s="5" t="str">
        <f>IFERROR(__xludf.DUMMYFUNCTION("GOOGLETRANSLATE(C545,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45" s="5" t="str">
        <f>IFERROR(__xludf.DUMMYFUNCTION("GOOGLETRANSLATE(D545, ""en"", ""hi"")"),"बी) खिलाड़ी ए रानी खो देता है।")</f>
        <v>बी) खिलाड़ी ए रानी खो देता है।</v>
      </c>
    </row>
    <row r="546" ht="22.5" customHeight="1">
      <c r="A546" s="2">
        <v>545.0</v>
      </c>
      <c r="B546" s="3" t="s">
        <v>8926</v>
      </c>
      <c r="C546" s="3" t="s">
        <v>8869</v>
      </c>
      <c r="D546" s="3" t="s">
        <v>8870</v>
      </c>
      <c r="F546" s="5" t="str">
        <f>IFERROR(__xludf.DUMMYFUNCTION("GOOGLETRANSLATE(A546, ""en"", ""hi"")"),"545")</f>
        <v>545</v>
      </c>
      <c r="G546" s="5" t="str">
        <f>IFERROR(__xludf.DUMMYFUNCTION("GOOGLETRANSLATE(B546,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46" s="5" t="str">
        <f>IFERROR(__xludf.DUMMYFUNCTION("GOOGLETRANSLATE(C546,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46" s="5" t="str">
        <f>IFERROR(__xludf.DUMMYFUNCTION("GOOGLETRANSLATE(D546, ""en"", ""hi"")"),"बी) खिलाड़ी बी को जीतने के लिए रानी को कवर करना होगा।")</f>
        <v>बी) खिलाड़ी बी को जीतने के लिए रानी को कवर करना होगा।</v>
      </c>
    </row>
    <row r="547" ht="22.5" customHeight="1">
      <c r="A547" s="2">
        <v>546.0</v>
      </c>
      <c r="B547" s="3" t="s">
        <v>8889</v>
      </c>
      <c r="C547" s="3" t="s">
        <v>8963</v>
      </c>
      <c r="D547" s="3" t="s">
        <v>8864</v>
      </c>
      <c r="F547" s="5" t="str">
        <f>IFERROR(__xludf.DUMMYFUNCTION("GOOGLETRANSLATE(A547, ""en"", ""hi"")"),"546")</f>
        <v>546</v>
      </c>
      <c r="G547" s="5" t="str">
        <f>IFERROR(__xludf.DUMMYFUNCTION("GOOGLETRANSLATE(B547, ""en"", ""hi"")"),"खिलाड़ी A अपनी सभी गोटियाँ और रानी पॉकेट में डाल देता है, लेकिन रानी को कवर नहीं कर पाता। नियम क्या है?")</f>
        <v>खिलाड़ी A अपनी सभी गोटियाँ और रानी पॉकेट में डाल देता है, लेकिन रानी को कवर नहीं कर पाता। नियम क्या है?</v>
      </c>
      <c r="H547" s="5" t="str">
        <f>IFERROR(__xludf.DUMMYFUNCTION("GOOGLETRANSLATE(C547,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47" s="5" t="str">
        <f>IFERROR(__xludf.DUMMYFUNCTION("GOOGLETRANSLATE(D547, ""en"", ""hi"")"),"बी) खिलाड़ी ए को जीतने के लिए रानी को कवर करना होगा।")</f>
        <v>बी) खिलाड़ी ए को जीतने के लिए रानी को कवर करना होगा।</v>
      </c>
    </row>
    <row r="548" ht="22.5" customHeight="1">
      <c r="A548" s="2">
        <v>547.0</v>
      </c>
      <c r="B548" s="3" t="s">
        <v>8947</v>
      </c>
      <c r="C548" s="3" t="s">
        <v>8940</v>
      </c>
      <c r="D548" s="3" t="s">
        <v>8870</v>
      </c>
      <c r="F548" s="5" t="str">
        <f>IFERROR(__xludf.DUMMYFUNCTION("GOOGLETRANSLATE(A548, ""en"", ""hi"")"),"547")</f>
        <v>547</v>
      </c>
      <c r="G548" s="5" t="str">
        <f>IFERROR(__xludf.DUMMYFUNCTION("GOOGLETRANSLATE(B548, ""en"", ""hi"")"),"खिलाड़ी B अपनी आखिरी गोटी और रानी को पॉकेट में डाल देता है, लेकिन रानी को कवर नहीं करता। क्या होता है?")</f>
        <v>खिलाड़ी B अपनी आखिरी गोटी और रानी को पॉकेट में डाल देता है, लेकिन रानी को कवर नहीं करता। क्या होता है?</v>
      </c>
      <c r="H548" s="5" t="str">
        <f>IFERROR(__xludf.DUMMYFUNCTION("GOOGLETRANSLATE(C548, ""en"", ""hi"")"),"A) खिलाड़ी B खेल जीत जाता है। , B) खिलाड़ी B को जीतने के लिए रानी को ढकना होगा। , C) खिलाड़ी B अपनी बारी खो देता है। , D) खेल ड्रॉ हो जाता है।")</f>
        <v>A) खिलाड़ी B खेल जीत जाता है। , B) खिलाड़ी B को जीतने के लिए रानी को ढकना होगा। , C) खिलाड़ी B अपनी बारी खो देता है। , D) खेल ड्रॉ हो जाता है।</v>
      </c>
      <c r="I548" s="5" t="str">
        <f>IFERROR(__xludf.DUMMYFUNCTION("GOOGLETRANSLATE(D548, ""en"", ""hi"")"),"बी) खिलाड़ी बी को जीतने के लिए रानी को कवर करना होगा।")</f>
        <v>बी) खिलाड़ी बी को जीतने के लिए रानी को कवर करना होगा।</v>
      </c>
    </row>
    <row r="549" ht="22.5" customHeight="1">
      <c r="A549" s="2">
        <v>548.0</v>
      </c>
      <c r="B549" s="3" t="s">
        <v>8871</v>
      </c>
      <c r="C549" s="3" t="s">
        <v>8791</v>
      </c>
      <c r="D549" s="3" t="s">
        <v>8519</v>
      </c>
      <c r="F549" s="5" t="str">
        <f>IFERROR(__xludf.DUMMYFUNCTION("GOOGLETRANSLATE(A549, ""en"", ""hi"")"),"548")</f>
        <v>548</v>
      </c>
      <c r="G549" s="5" t="str">
        <f>IFERROR(__xludf.DUMMYFUNCTION("GOOGLETRANSLATE(B549, ""en"", ""hi"")"),"खिलाड़ी A क्वीन को कवर करता है लेकिन फिर स्ट्राइकर को पॉकेट में डाल देता है। नतीजा क्या होता है?")</f>
        <v>खिलाड़ी A क्वीन को कवर करता है लेकिन फिर स्ट्राइकर को पॉकेट में डाल देता है। नतीजा क्या होता है?</v>
      </c>
      <c r="H549" s="5" t="str">
        <f>IFERROR(__xludf.DUMMYFUNCTION("GOOGLETRANSLATE(C549,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49" s="5" t="str">
        <f>IFERROR(__xludf.DUMMYFUNCTION("GOOGLETRANSLATE(D549, ""en"", ""hi"")"),"बी) खिलाड़ी ए रानी खो देता है।")</f>
        <v>बी) खिलाड़ी ए रानी खो देता है।</v>
      </c>
    </row>
    <row r="550" ht="22.5" customHeight="1">
      <c r="A550" s="2">
        <v>549.0</v>
      </c>
      <c r="B550" s="3" t="s">
        <v>8926</v>
      </c>
      <c r="C550" s="3" t="s">
        <v>8869</v>
      </c>
      <c r="D550" s="3" t="s">
        <v>8870</v>
      </c>
      <c r="F550" s="5" t="str">
        <f>IFERROR(__xludf.DUMMYFUNCTION("GOOGLETRANSLATE(A550, ""en"", ""hi"")"),"549")</f>
        <v>549</v>
      </c>
      <c r="G550" s="5" t="str">
        <f>IFERROR(__xludf.DUMMYFUNCTION("GOOGLETRANSLATE(B550,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50" s="5" t="str">
        <f>IFERROR(__xludf.DUMMYFUNCTION("GOOGLETRANSLATE(C550,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50" s="5" t="str">
        <f>IFERROR(__xludf.DUMMYFUNCTION("GOOGLETRANSLATE(D550, ""en"", ""hi"")"),"बी) खिलाड़ी बी को जीतने के लिए रानी को कवर करना होगा।")</f>
        <v>बी) खिलाड़ी बी को जीतने के लिए रानी को कवर करना होगा।</v>
      </c>
    </row>
    <row r="551" ht="22.5" customHeight="1">
      <c r="A551" s="2">
        <v>550.0</v>
      </c>
      <c r="B551" s="3" t="s">
        <v>8917</v>
      </c>
      <c r="C551" s="3" t="s">
        <v>8963</v>
      </c>
      <c r="D551" s="3" t="s">
        <v>8864</v>
      </c>
      <c r="F551" s="5" t="str">
        <f>IFERROR(__xludf.DUMMYFUNCTION("GOOGLETRANSLATE(A551, ""en"", ""hi"")"),"550")</f>
        <v>550</v>
      </c>
      <c r="G551" s="5" t="str">
        <f>IFERROR(__xludf.DUMMYFUNCTION("GOOGLETRANSLATE(B551,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551" s="5" t="str">
        <f>IFERROR(__xludf.DUMMYFUNCTION("GOOGLETRANSLATE(C551,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51" s="5" t="str">
        <f>IFERROR(__xludf.DUMMYFUNCTION("GOOGLETRANSLATE(D551, ""en"", ""hi"")"),"बी) खिलाड़ी ए को जीतने के लिए रानी को कवर करना होगा।")</f>
        <v>बी) खिलाड़ी ए को जीतने के लिए रानी को कवर करना होगा।</v>
      </c>
    </row>
    <row r="552" ht="22.5" customHeight="1">
      <c r="A552" s="2">
        <v>551.0</v>
      </c>
      <c r="B552" s="3" t="s">
        <v>8913</v>
      </c>
      <c r="C552" s="3" t="s">
        <v>8869</v>
      </c>
      <c r="D552" s="3" t="s">
        <v>8870</v>
      </c>
      <c r="F552" s="5" t="str">
        <f>IFERROR(__xludf.DUMMYFUNCTION("GOOGLETRANSLATE(A552, ""en"", ""hi"")"),"551")</f>
        <v>551</v>
      </c>
      <c r="G552" s="5" t="str">
        <f>IFERROR(__xludf.DUMMYFUNCTION("GOOGLETRANSLATE(B552,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552" s="5" t="str">
        <f>IFERROR(__xludf.DUMMYFUNCTION("GOOGLETRANSLATE(C552,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52" s="5" t="str">
        <f>IFERROR(__xludf.DUMMYFUNCTION("GOOGLETRANSLATE(D552, ""en"", ""hi"")"),"बी) खिलाड़ी बी को जीतने के लिए रानी को कवर करना होगा।")</f>
        <v>बी) खिलाड़ी बी को जीतने के लिए रानी को कवर करना होगा।</v>
      </c>
    </row>
    <row r="553" ht="22.5" customHeight="1">
      <c r="A553" s="2">
        <v>552.0</v>
      </c>
      <c r="B553" s="3" t="s">
        <v>8871</v>
      </c>
      <c r="C553" s="3" t="s">
        <v>8791</v>
      </c>
      <c r="D553" s="3" t="s">
        <v>8519</v>
      </c>
      <c r="F553" s="5" t="str">
        <f>IFERROR(__xludf.DUMMYFUNCTION("GOOGLETRANSLATE(A553, ""en"", ""hi"")"),"552")</f>
        <v>552</v>
      </c>
      <c r="G553" s="5" t="str">
        <f>IFERROR(__xludf.DUMMYFUNCTION("GOOGLETRANSLATE(B553, ""en"", ""hi"")"),"खिलाड़ी A क्वीन को कवर करता है लेकिन फिर स्ट्राइकर को पॉकेट में डाल देता है। नतीजा क्या होता है?")</f>
        <v>खिलाड़ी A क्वीन को कवर करता है लेकिन फिर स्ट्राइकर को पॉकेट में डाल देता है। नतीजा क्या होता है?</v>
      </c>
      <c r="H553" s="5" t="str">
        <f>IFERROR(__xludf.DUMMYFUNCTION("GOOGLETRANSLATE(C553,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53" s="5" t="str">
        <f>IFERROR(__xludf.DUMMYFUNCTION("GOOGLETRANSLATE(D553, ""en"", ""hi"")"),"बी) खिलाड़ी ए रानी खो देता है।")</f>
        <v>बी) खिलाड़ी ए रानी खो देता है।</v>
      </c>
    </row>
    <row r="554" ht="22.5" customHeight="1">
      <c r="A554" s="2">
        <v>553.0</v>
      </c>
      <c r="B554" s="3" t="s">
        <v>8926</v>
      </c>
      <c r="C554" s="3" t="s">
        <v>8869</v>
      </c>
      <c r="D554" s="3" t="s">
        <v>8870</v>
      </c>
      <c r="F554" s="5" t="str">
        <f>IFERROR(__xludf.DUMMYFUNCTION("GOOGLETRANSLATE(A554, ""en"", ""hi"")"),"553")</f>
        <v>553</v>
      </c>
      <c r="G554" s="5" t="str">
        <f>IFERROR(__xludf.DUMMYFUNCTION("GOOGLETRANSLATE(B554,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54" s="5" t="str">
        <f>IFERROR(__xludf.DUMMYFUNCTION("GOOGLETRANSLATE(C554,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54" s="5" t="str">
        <f>IFERROR(__xludf.DUMMYFUNCTION("GOOGLETRANSLATE(D554, ""en"", ""hi"")"),"बी) खिलाड़ी बी को जीतने के लिए रानी को कवर करना होगा।")</f>
        <v>बी) खिलाड़ी बी को जीतने के लिए रानी को कवर करना होगा।</v>
      </c>
    </row>
    <row r="555" ht="22.5" customHeight="1">
      <c r="A555" s="2">
        <v>554.0</v>
      </c>
      <c r="B555" s="3" t="s">
        <v>8917</v>
      </c>
      <c r="C555" s="3" t="s">
        <v>8963</v>
      </c>
      <c r="D555" s="3" t="s">
        <v>8864</v>
      </c>
      <c r="F555" s="5" t="str">
        <f>IFERROR(__xludf.DUMMYFUNCTION("GOOGLETRANSLATE(A555, ""en"", ""hi"")"),"554")</f>
        <v>554</v>
      </c>
      <c r="G555" s="5" t="str">
        <f>IFERROR(__xludf.DUMMYFUNCTION("GOOGLETRANSLATE(B555,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555" s="5" t="str">
        <f>IFERROR(__xludf.DUMMYFUNCTION("GOOGLETRANSLATE(C555,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55" s="5" t="str">
        <f>IFERROR(__xludf.DUMMYFUNCTION("GOOGLETRANSLATE(D555, ""en"", ""hi"")"),"बी) खिलाड़ी ए को जीतने के लिए रानी को कवर करना होगा।")</f>
        <v>बी) खिलाड़ी ए को जीतने के लिए रानी को कवर करना होगा।</v>
      </c>
    </row>
    <row r="556" ht="22.5" customHeight="1">
      <c r="A556" s="2">
        <v>555.0</v>
      </c>
      <c r="B556" s="3" t="s">
        <v>8913</v>
      </c>
      <c r="C556" s="3" t="s">
        <v>8869</v>
      </c>
      <c r="D556" s="3" t="s">
        <v>8870</v>
      </c>
      <c r="F556" s="5" t="str">
        <f>IFERROR(__xludf.DUMMYFUNCTION("GOOGLETRANSLATE(A556, ""en"", ""hi"")"),"555")</f>
        <v>555</v>
      </c>
      <c r="G556" s="5" t="str">
        <f>IFERROR(__xludf.DUMMYFUNCTION("GOOGLETRANSLATE(B556,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556" s="5" t="str">
        <f>IFERROR(__xludf.DUMMYFUNCTION("GOOGLETRANSLATE(C556,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56" s="5" t="str">
        <f>IFERROR(__xludf.DUMMYFUNCTION("GOOGLETRANSLATE(D556, ""en"", ""hi"")"),"बी) खिलाड़ी बी को जीतने के लिए रानी को कवर करना होगा।")</f>
        <v>बी) खिलाड़ी बी को जीतने के लिए रानी को कवर करना होगा।</v>
      </c>
    </row>
    <row r="557" ht="22.5" customHeight="1">
      <c r="A557" s="2">
        <v>556.0</v>
      </c>
      <c r="B557" s="3" t="s">
        <v>8871</v>
      </c>
      <c r="C557" s="3" t="s">
        <v>8791</v>
      </c>
      <c r="D557" s="3" t="s">
        <v>8519</v>
      </c>
      <c r="F557" s="5" t="str">
        <f>IFERROR(__xludf.DUMMYFUNCTION("GOOGLETRANSLATE(A557, ""en"", ""hi"")"),"556")</f>
        <v>556</v>
      </c>
      <c r="G557" s="5" t="str">
        <f>IFERROR(__xludf.DUMMYFUNCTION("GOOGLETRANSLATE(B557, ""en"", ""hi"")"),"खिलाड़ी A क्वीन को कवर करता है लेकिन फिर स्ट्राइकर को पॉकेट में डाल देता है। नतीजा क्या होता है?")</f>
        <v>खिलाड़ी A क्वीन को कवर करता है लेकिन फिर स्ट्राइकर को पॉकेट में डाल देता है। नतीजा क्या होता है?</v>
      </c>
      <c r="H557" s="5" t="str">
        <f>IFERROR(__xludf.DUMMYFUNCTION("GOOGLETRANSLATE(C557,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57" s="5" t="str">
        <f>IFERROR(__xludf.DUMMYFUNCTION("GOOGLETRANSLATE(D557, ""en"", ""hi"")"),"बी) खिलाड़ी ए रानी खो देता है।")</f>
        <v>बी) खिलाड़ी ए रानी खो देता है।</v>
      </c>
    </row>
    <row r="558" ht="22.5" customHeight="1">
      <c r="A558" s="2">
        <v>557.0</v>
      </c>
      <c r="B558" s="3" t="s">
        <v>8926</v>
      </c>
      <c r="C558" s="3" t="s">
        <v>8869</v>
      </c>
      <c r="D558" s="3" t="s">
        <v>8870</v>
      </c>
      <c r="F558" s="5" t="str">
        <f>IFERROR(__xludf.DUMMYFUNCTION("GOOGLETRANSLATE(A558, ""en"", ""hi"")"),"557")</f>
        <v>557</v>
      </c>
      <c r="G558" s="5" t="str">
        <f>IFERROR(__xludf.DUMMYFUNCTION("GOOGLETRANSLATE(B558,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58" s="5" t="str">
        <f>IFERROR(__xludf.DUMMYFUNCTION("GOOGLETRANSLATE(C558,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58" s="5" t="str">
        <f>IFERROR(__xludf.DUMMYFUNCTION("GOOGLETRANSLATE(D558, ""en"", ""hi"")"),"बी) खिलाड़ी बी को जीतने के लिए रानी को कवर करना होगा।")</f>
        <v>बी) खिलाड़ी बी को जीतने के लिए रानी को कवर करना होगा।</v>
      </c>
    </row>
    <row r="559" ht="22.5" customHeight="1">
      <c r="A559" s="2">
        <v>558.0</v>
      </c>
      <c r="B559" s="3" t="s">
        <v>8917</v>
      </c>
      <c r="C559" s="3" t="s">
        <v>8963</v>
      </c>
      <c r="D559" s="3" t="s">
        <v>8864</v>
      </c>
      <c r="F559" s="5" t="str">
        <f>IFERROR(__xludf.DUMMYFUNCTION("GOOGLETRANSLATE(A559, ""en"", ""hi"")"),"558")</f>
        <v>558</v>
      </c>
      <c r="G559" s="5" t="str">
        <f>IFERROR(__xludf.DUMMYFUNCTION("GOOGLETRANSLATE(B559, ""en"", ""hi"")"),"खिलाड़ी A अपनी सभी गोटियाँ और रानी पॉकेट में डाल देता है, लेकिन रानी को कवर नहीं कर पाता। क्या होता है?")</f>
        <v>खिलाड़ी A अपनी सभी गोटियाँ और रानी पॉकेट में डाल देता है, लेकिन रानी को कवर नहीं कर पाता। क्या होता है?</v>
      </c>
      <c r="H559" s="5" t="str">
        <f>IFERROR(__xludf.DUMMYFUNCTION("GOOGLETRANSLATE(C559, ""en"", ""hi"")"),"A) खिलाड़ी A खेल जीत जाता है। , B) खिलाड़ी A को जीतने के लिए रानी को ढकना होगा। , C) खिलाड़ी A को एक अंक का दंड दिया जाता है। , D) खेल ड्रॉ हो जाता है।")</f>
        <v>A) खिलाड़ी A खेल जीत जाता है। , B) खिलाड़ी A को जीतने के लिए रानी को ढकना होगा। , C) खिलाड़ी A को एक अंक का दंड दिया जाता है। , D) खेल ड्रॉ हो जाता है।</v>
      </c>
      <c r="I559" s="5" t="str">
        <f>IFERROR(__xludf.DUMMYFUNCTION("GOOGLETRANSLATE(D559, ""en"", ""hi"")"),"बी) खिलाड़ी ए को जीतने के लिए रानी को कवर करना होगा।")</f>
        <v>बी) खिलाड़ी ए को जीतने के लिए रानी को कवर करना होगा।</v>
      </c>
    </row>
    <row r="560" ht="22.5" customHeight="1">
      <c r="A560" s="2">
        <v>559.0</v>
      </c>
      <c r="B560" s="3" t="s">
        <v>8913</v>
      </c>
      <c r="C560" s="3" t="s">
        <v>8869</v>
      </c>
      <c r="D560" s="3" t="s">
        <v>8870</v>
      </c>
      <c r="F560" s="5" t="str">
        <f>IFERROR(__xludf.DUMMYFUNCTION("GOOGLETRANSLATE(A560, ""en"", ""hi"")"),"559")</f>
        <v>559</v>
      </c>
      <c r="G560" s="5" t="str">
        <f>IFERROR(__xludf.DUMMYFUNCTION("GOOGLETRANSLATE(B560, ""en"", ""hi"")"),"खिलाड़ी B अपनी आखिरी गोटी और रानी को पॉकेट में डाल देता है, लेकिन रानी को कवर नहीं करता। नियम क्या है?")</f>
        <v>खिलाड़ी B अपनी आखिरी गोटी और रानी को पॉकेट में डाल देता है, लेकिन रानी को कवर नहीं करता। नियम क्या है?</v>
      </c>
      <c r="H560" s="5" t="str">
        <f>IFERROR(__xludf.DUMMYFUNCTION("GOOGLETRANSLATE(C560,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60" s="5" t="str">
        <f>IFERROR(__xludf.DUMMYFUNCTION("GOOGLETRANSLATE(D560, ""en"", ""hi"")"),"बी) खिलाड़ी बी को जीतने के लिए रानी को कवर करना होगा।")</f>
        <v>बी) खिलाड़ी बी को जीतने के लिए रानी को कवर करना होगा।</v>
      </c>
    </row>
    <row r="561" ht="22.5" customHeight="1">
      <c r="A561" s="2">
        <v>560.0</v>
      </c>
      <c r="B561" s="3" t="s">
        <v>8901</v>
      </c>
      <c r="C561" s="3" t="s">
        <v>8791</v>
      </c>
      <c r="D561" s="3" t="s">
        <v>8519</v>
      </c>
      <c r="F561" s="5" t="str">
        <f>IFERROR(__xludf.DUMMYFUNCTION("GOOGLETRANSLATE(A561, ""en"", ""hi"")"),"560")</f>
        <v>560</v>
      </c>
      <c r="G561" s="5" t="str">
        <f>IFERROR(__xludf.DUMMYFUNCTION("GOOGLETRANSLATE(B561, ""en"", ""hi"")"),"खिलाड़ी A ने रानी को सफलतापूर्वक कवर किया, लेकिन फिर स्ट्राइकर को पॉकेट में डाल दिया। क्या हुआ?")</f>
        <v>खिलाड़ी A ने रानी को सफलतापूर्वक कवर किया, लेकिन फिर स्ट्राइकर को पॉकेट में डाल दिया। क्या हुआ?</v>
      </c>
      <c r="H561" s="5" t="str">
        <f>IFERROR(__xludf.DUMMYFUNCTION("GOOGLETRANSLATE(C561, ""en"", ""hi"")"),"A) खिलाड़ी A खेल जीत जाता है। , B) खिलाड़ी A रानी खो देता है। , C) खिलाड़ी A को स्ट्राइकर की जगह लेनी होगी। , D) खिलाड़ी A को एक अंक का दंड दिया जाता है।")</f>
        <v>A) खिलाड़ी A खेल जीत जाता है। , B) खिलाड़ी A रानी खो देता है। , C) खिलाड़ी A को स्ट्राइकर की जगह लेनी होगी। , D) खिलाड़ी A को एक अंक का दंड दिया जाता है।</v>
      </c>
      <c r="I561" s="5" t="str">
        <f>IFERROR(__xludf.DUMMYFUNCTION("GOOGLETRANSLATE(D561, ""en"", ""hi"")"),"बी) खिलाड़ी ए रानी खो देता है।")</f>
        <v>बी) खिलाड़ी ए रानी खो देता है।</v>
      </c>
    </row>
    <row r="562" ht="22.5" customHeight="1">
      <c r="A562" s="2">
        <v>561.0</v>
      </c>
      <c r="B562" s="3" t="s">
        <v>8926</v>
      </c>
      <c r="C562" s="3" t="s">
        <v>8869</v>
      </c>
      <c r="D562" s="3" t="s">
        <v>8870</v>
      </c>
      <c r="F562" s="5" t="str">
        <f>IFERROR(__xludf.DUMMYFUNCTION("GOOGLETRANSLATE(A562, ""en"", ""hi"")"),"561")</f>
        <v>561</v>
      </c>
      <c r="G562" s="5" t="str">
        <f>IFERROR(__xludf.DUMMYFUNCTION("GOOGLETRANSLATE(B562, ""en"", ""hi"")"),"खिलाड़ी B अपना आखिरी मोहरा पॉकेट में डाल देता है, लेकिन रानी को कवर नहीं करता। नियम क्या है?")</f>
        <v>खिलाड़ी B अपना आखिरी मोहरा पॉकेट में डाल देता है, लेकिन रानी को कवर नहीं करता। नियम क्या है?</v>
      </c>
      <c r="H562" s="5" t="str">
        <f>IFERROR(__xludf.DUMMYFUNCTION("GOOGLETRANSLATE(C562, ""en"", ""hi"")"),"A) खिलाड़ी B खेल जीत जाता है। , B) खिलाड़ी B को जीतने के लिए रानी को ढकना होगा। , C) खिलाड़ी B को एक अंक का दंड दिया जाता है। , D) खेल ड्रॉ हो जाता है।")</f>
        <v>A) खिलाड़ी B खेल जीत जाता है। , B) खिलाड़ी B को जीतने के लिए रानी को ढकना होगा। , C) खिलाड़ी B को एक अंक का दंड दिया जाता है। , D) खेल ड्रॉ हो जाता है।</v>
      </c>
      <c r="I562" s="5" t="str">
        <f>IFERROR(__xludf.DUMMYFUNCTION("GOOGLETRANSLATE(D562, ""en"", ""hi"")"),"बी) खिलाड़ी बी को जीतने के लिए रानी को कवर करना होगा।")</f>
        <v>बी) खिलाड़ी बी को जीतने के लिए रानी को कवर करना होगा।</v>
      </c>
    </row>
    <row r="563" ht="22.5" customHeight="1">
      <c r="A563" s="2">
        <v>562.0</v>
      </c>
      <c r="B563" s="3" t="s">
        <v>8968</v>
      </c>
      <c r="C563" s="3" t="s">
        <v>8969</v>
      </c>
      <c r="D563" s="3" t="s">
        <v>8970</v>
      </c>
      <c r="F563" s="5" t="str">
        <f>IFERROR(__xludf.DUMMYFUNCTION("GOOGLETRANSLATE(A563, ""en"", ""hi"")"),"562")</f>
        <v>562</v>
      </c>
      <c r="G563" s="5" t="str">
        <f>IFERROR(__xludf.DUMMYFUNCTION("GOOGLETRANSLATE(B563, ""en"", ""hi"")"),"खिलाड़ी A, खिलाड़ी B की रानी और एक मोहरे को एक ही बार में जेब में डाल देता है। नियम क्या है?")</f>
        <v>खिलाड़ी A, खिलाड़ी B की रानी और एक मोहरे को एक ही बार में जेब में डाल देता है। नियम क्या है?</v>
      </c>
      <c r="H563" s="5" t="str">
        <f>IFERROR(__xludf.DUMMYFUNCTION("GOOGLETRANSLATE(C563, ""en"", ""hi"")"),"A) खिलाड़ी A रानी और एक अंक अर्जित करता है, B) खिलाड़ी A को दोनों मोहरों को केंद्र में वापस लाना होगा, C) खिलाड़ी B एक अंक अर्जित करता है, D) खिलाड़ी A को एक अंक का दंड दिया जाता है")</f>
        <v>A) खिलाड़ी A रानी और एक अंक अर्जित करता है, B) खिलाड़ी A को दोनों मोहरों को केंद्र में वापस लाना होगा, C) खिलाड़ी B एक अंक अर्जित करता है, D) खिलाड़ी A को एक अंक का दंड दिया जाता है</v>
      </c>
      <c r="I563" s="5" t="str">
        <f>IFERROR(__xludf.DUMMYFUNCTION("GOOGLETRANSLATE(D563, ""en"", ""hi"")"),"C) खिलाड़ी B एक अंक अर्जित करता है")</f>
        <v>C) खिलाड़ी B एक अंक अर्जित करता है</v>
      </c>
    </row>
    <row r="564" ht="22.5" customHeight="1">
      <c r="A564" s="2">
        <v>563.0</v>
      </c>
      <c r="B564" s="3" t="s">
        <v>8971</v>
      </c>
      <c r="C564" s="3" t="s">
        <v>8972</v>
      </c>
      <c r="D564" s="3" t="s">
        <v>8973</v>
      </c>
      <c r="F564" s="5" t="str">
        <f>IFERROR(__xludf.DUMMYFUNCTION("GOOGLETRANSLATE(A564, ""en"", ""hi"")"),"563")</f>
        <v>563</v>
      </c>
      <c r="G564" s="5" t="str">
        <f>IFERROR(__xludf.DUMMYFUNCTION("GOOGLETRANSLATE(B564, ""en"", ""hi"")"),"खिलाड़ी B स्ट्राइकर को बोर्ड से बाहर कर देता है। इसके बाद क्या होता है?")</f>
        <v>खिलाड़ी B स्ट्राइकर को बोर्ड से बाहर कर देता है। इसके बाद क्या होता है?</v>
      </c>
      <c r="H564" s="5" t="str">
        <f>IFERROR(__xludf.DUMMYFUNCTION("GOOGLETRANSLATE(C564, ""en"", ""hi"")"),"A) खिलाड़ी B अपनी बारी खो देता है, B) खिलाड़ी B को एक अंक का दंड दिया जाता है, C) खिलाड़ी B को फिर से खेलना होगा, D) खिलाड़ी B पुनः स्ट्राइक कर सकता है")</f>
        <v>A) खिलाड़ी B अपनी बारी खो देता है, B) खिलाड़ी B को एक अंक का दंड दिया जाता है, C) खिलाड़ी B को फिर से खेलना होगा, D) खिलाड़ी B पुनः स्ट्राइक कर सकता है</v>
      </c>
      <c r="I564" s="5" t="str">
        <f>IFERROR(__xludf.DUMMYFUNCTION("GOOGLETRANSLATE(D564, ""en"", ""hi"")"),"A) खिलाड़ी B अपनी बारी खो देता है")</f>
        <v>A) खिलाड़ी B अपनी बारी खो देता है</v>
      </c>
    </row>
    <row r="565" ht="22.5" customHeight="1">
      <c r="A565" s="2">
        <v>564.0</v>
      </c>
      <c r="B565" s="3" t="s">
        <v>8974</v>
      </c>
      <c r="C565" s="3" t="s">
        <v>8975</v>
      </c>
      <c r="D565" s="3" t="s">
        <v>8976</v>
      </c>
      <c r="F565" s="5" t="str">
        <f>IFERROR(__xludf.DUMMYFUNCTION("GOOGLETRANSLATE(A565, ""en"", ""hi"")"),"564")</f>
        <v>564</v>
      </c>
      <c r="G565" s="5" t="str">
        <f>IFERROR(__xludf.DUMMYFUNCTION("GOOGLETRANSLATE(B565, ""en"", ""hi"")"),"खिलाड़ी A अपने सभी मोहरे पॉकेट में डाल देता है, लेकिन आखिरी वार में रानी को नहीं पकड़ पाता। क्या होता है?")</f>
        <v>खिलाड़ी A अपने सभी मोहरे पॉकेट में डाल देता है, लेकिन आखिरी वार में रानी को नहीं पकड़ पाता। क्या होता है?</v>
      </c>
      <c r="H565" s="5" t="str">
        <f>IFERROR(__xludf.DUMMYFUNCTION("GOOGLETRANSLATE(C565, ""en"", ""hi"")"),"A) खिलाड़ी A जीतता है, B) खिलाड़ी A को जीत का दावा करने के लिए अगले दौर तक इंतजार करना होगा, C) खिलाड़ी B को एक अतिरिक्त बारी मिलती है, D) खिलाड़ी A को जीतने के लिए रानी को पॉकेट में डालना होगा")</f>
        <v>A) खिलाड़ी A जीतता है, B) खिलाड़ी A को जीत का दावा करने के लिए अगले दौर तक इंतजार करना होगा, C) खिलाड़ी B को एक अतिरिक्त बारी मिलती है, D) खिलाड़ी A को जीतने के लिए रानी को पॉकेट में डालना होगा</v>
      </c>
      <c r="I565" s="5" t="str">
        <f>IFERROR(__xludf.DUMMYFUNCTION("GOOGLETRANSLATE(D565, ""en"", ""hi"")"),"D) खिलाड़ी A को जीतने के लिए रानी को पॉकेट में डालना होगा")</f>
        <v>D) खिलाड़ी A को जीतने के लिए रानी को पॉकेट में डालना होगा</v>
      </c>
    </row>
    <row r="566" ht="22.5" customHeight="1">
      <c r="A566" s="2">
        <v>565.0</v>
      </c>
      <c r="B566" s="3" t="s">
        <v>8977</v>
      </c>
      <c r="C566" s="3" t="s">
        <v>8978</v>
      </c>
      <c r="D566" s="3" t="s">
        <v>8979</v>
      </c>
      <c r="F566" s="5" t="str">
        <f>IFERROR(__xludf.DUMMYFUNCTION("GOOGLETRANSLATE(A566, ""en"", ""hi"")"),"565")</f>
        <v>565</v>
      </c>
      <c r="G566" s="5" t="str">
        <f>IFERROR(__xludf.DUMMYFUNCTION("GOOGLETRANSLATE(B566, ""en"", ""hi"")"),"खिलाड़ी B किसी भी अन्य मोहरे को पॉकेट में डालने से पहले ही रानी को पॉकेट में डाल देता है। क्या होता है?")</f>
        <v>खिलाड़ी B किसी भी अन्य मोहरे को पॉकेट में डालने से पहले ही रानी को पॉकेट में डाल देता है। क्या होता है?</v>
      </c>
      <c r="H566" s="5" t="str">
        <f>IFERROR(__xludf.DUMMYFUNCTION("GOOGLETRANSLATE(C566, ""en"", ""hi"")"),"A) खिलाड़ी B को रानी को केंद्र में वापस करना होगा, B) खिलाड़ी B अपनी बारी खो देगा, C) खिलाड़ी B को रानी रखने का मौका मिलेगा, D) खिलाड़ी A को एक अतिरिक्त बारी मिलेगी")</f>
        <v>A) खिलाड़ी B को रानी को केंद्र में वापस करना होगा, B) खिलाड़ी B अपनी बारी खो देगा, C) खिलाड़ी B को रानी रखने का मौका मिलेगा, D) खिलाड़ी A को एक अतिरिक्त बारी मिलेगी</v>
      </c>
      <c r="I566" s="5" t="str">
        <f>IFERROR(__xludf.DUMMYFUNCTION("GOOGLETRANSLATE(D566, ""en"", ""hi"")"),"A) खिलाड़ी B को रानी को केंद्र में वापस लाना होगा")</f>
        <v>A) खिलाड़ी B को रानी को केंद्र में वापस लाना होगा</v>
      </c>
    </row>
    <row r="567" ht="22.5" customHeight="1">
      <c r="A567" s="2">
        <v>566.0</v>
      </c>
      <c r="B567" s="3" t="s">
        <v>8980</v>
      </c>
      <c r="C567" s="3" t="s">
        <v>8981</v>
      </c>
      <c r="D567" s="3" t="s">
        <v>8982</v>
      </c>
      <c r="F567" s="5" t="str">
        <f>IFERROR(__xludf.DUMMYFUNCTION("GOOGLETRANSLATE(A567, ""en"", ""hi"")"),"566")</f>
        <v>566</v>
      </c>
      <c r="G567" s="5" t="str">
        <f>IFERROR(__xludf.DUMMYFUNCTION("GOOGLETRANSLATE(B567, ""en"", ""hi"")"),"खिलाड़ी A स्ट्राइकर पर गेंद मारता है, लेकिन बोर्ड पर मौजूद सभी मोहरे छूट जाते हैं। इसका परिणाम क्या होगा?")</f>
        <v>खिलाड़ी A स्ट्राइकर पर गेंद मारता है, लेकिन बोर्ड पर मौजूद सभी मोहरे छूट जाते हैं। इसका परिणाम क्या होगा?</v>
      </c>
      <c r="H567" s="5" t="str">
        <f>IFERROR(__xludf.DUMMYFUNCTION("GOOGLETRANSLATE(C567, ""en"", ""hi"")"),"A) खिलाड़ी A को एक अंक गँवाना होगा, B) खिलाड़ी A अपनी बारी खो देगा, C) खिलाड़ी A पुनः स्ट्राइक कर सकता है, D) खिलाड़ी A को स्ट्राइकर को पुनः स्थान देना होगा")</f>
        <v>A) खिलाड़ी A को एक अंक गँवाना होगा, B) खिलाड़ी A अपनी बारी खो देगा, C) खिलाड़ी A पुनः स्ट्राइक कर सकता है, D) खिलाड़ी A को स्ट्राइकर को पुनः स्थान देना होगा</v>
      </c>
      <c r="I567" s="5" t="str">
        <f>IFERROR(__xludf.DUMMYFUNCTION("GOOGLETRANSLATE(D567, ""en"", ""hi"")"),"B) खिलाड़ी A अपनी बारी खो देता है")</f>
        <v>B) खिलाड़ी A अपनी बारी खो देता है</v>
      </c>
    </row>
    <row r="568" ht="22.5" customHeight="1">
      <c r="A568" s="2">
        <v>567.0</v>
      </c>
      <c r="B568" s="3" t="s">
        <v>8983</v>
      </c>
      <c r="C568" s="3" t="s">
        <v>8984</v>
      </c>
      <c r="D568" s="3" t="s">
        <v>8985</v>
      </c>
      <c r="F568" s="5" t="str">
        <f>IFERROR(__xludf.DUMMYFUNCTION("GOOGLETRANSLATE(A568, ""en"", ""hi"")"),"567")</f>
        <v>567</v>
      </c>
      <c r="G568" s="5" t="str">
        <f>IFERROR(__xludf.DUMMYFUNCTION("GOOGLETRANSLATE(B568, ""en"", ""hi"")"),"खिलाड़ी B दो मोहरे जेब में डालता है, लेकिन गलती से रानी प्रतिद्वंद्वी की जेब में चली जाती है। क्या होता है?")</f>
        <v>खिलाड़ी B दो मोहरे जेब में डालता है, लेकिन गलती से रानी प्रतिद्वंद्वी की जेब में चली जाती है। क्या होता है?</v>
      </c>
      <c r="H568" s="5" t="str">
        <f>IFERROR(__xludf.DUMMYFUNCTION("GOOGLETRANSLATE(C568, ""en"", ""hi"")"),"A) खिलाड़ी B रानी जीतता है, B) खिलाड़ी A रानी जीतता है, C) खिलाड़ी B को रानी को केंद्र में वापस करना होगा, D) खेल रीसेट हो जाता है")</f>
        <v>A) खिलाड़ी B रानी जीतता है, B) खिलाड़ी A रानी जीतता है, C) खिलाड़ी B को रानी को केंद्र में वापस करना होगा, D) खेल रीसेट हो जाता है</v>
      </c>
      <c r="I568" s="5" t="str">
        <f>IFERROR(__xludf.DUMMYFUNCTION("GOOGLETRANSLATE(D568, ""en"", ""hi"")"),"B) खिलाड़ी A रानी जीतता है")</f>
        <v>B) खिलाड़ी A रानी जीतता है</v>
      </c>
    </row>
    <row r="569" ht="22.5" customHeight="1">
      <c r="A569" s="2">
        <v>568.0</v>
      </c>
      <c r="B569" s="3" t="s">
        <v>8986</v>
      </c>
      <c r="C569" s="3" t="s">
        <v>8987</v>
      </c>
      <c r="D569" s="3" t="s">
        <v>8988</v>
      </c>
      <c r="F569" s="5" t="str">
        <f>IFERROR(__xludf.DUMMYFUNCTION("GOOGLETRANSLATE(A569, ""en"", ""hi"")"),"568")</f>
        <v>568</v>
      </c>
      <c r="G569" s="5" t="str">
        <f>IFERROR(__xludf.DUMMYFUNCTION("GOOGLETRANSLATE(B569, ""en"", ""hi"")"),"स्ट्राइकर सीधे क्वीन के ऊपर गिरता है, लेकिन पॉकेट में नहीं जाता। नियम क्या है?")</f>
        <v>स्ट्राइकर सीधे क्वीन के ऊपर गिरता है, लेकिन पॉकेट में नहीं जाता। नियम क्या है?</v>
      </c>
      <c r="H569" s="5" t="str">
        <f>IFERROR(__xludf.DUMMYFUNCTION("GOOGLETRANSLATE(C569, ""en"", ""hi"")"),"A) खिलाड़ी अपनी बारी जारी रखता है, B) खिलाड़ी को एक अंक का दंड दिया जाता है, C) रानी को वापस केंद्र में ले जाया जाता है, D) खिलाड़ी अपनी बारी खो देता है")</f>
        <v>A) खिलाड़ी अपनी बारी जारी रखता है, B) खिलाड़ी को एक अंक का दंड दिया जाता है, C) रानी को वापस केंद्र में ले जाया जाता है, D) खिलाड़ी अपनी बारी खो देता है</v>
      </c>
      <c r="I569" s="5" t="str">
        <f>IFERROR(__xludf.DUMMYFUNCTION("GOOGLETRANSLATE(D569, ""en"", ""hi"")"),"A) खिलाड़ी अपनी बारी जारी रखता है")</f>
        <v>A) खिलाड़ी अपनी बारी जारी रखता है</v>
      </c>
    </row>
    <row r="570" ht="22.5" customHeight="1">
      <c r="A570" s="2">
        <v>569.0</v>
      </c>
      <c r="B570" s="3" t="s">
        <v>8989</v>
      </c>
      <c r="C570" s="3" t="s">
        <v>8990</v>
      </c>
      <c r="D570" s="3" t="s">
        <v>8991</v>
      </c>
      <c r="F570" s="5" t="str">
        <f>IFERROR(__xludf.DUMMYFUNCTION("GOOGLETRANSLATE(A570, ""en"", ""hi"")"),"569")</f>
        <v>569</v>
      </c>
      <c r="G570" s="5" t="str">
        <f>IFERROR(__xludf.DUMMYFUNCTION("GOOGLETRANSLATE(B570, ""en"", ""hi"")"),"खिलाड़ी A एक मोहरे पर वार करता है जो उछलकर रानी को जेब में डाल देता है। क्या रानी वैध है?")</f>
        <v>खिलाड़ी A एक मोहरे पर वार करता है जो उछलकर रानी को जेब में डाल देता है। क्या रानी वैध है?</v>
      </c>
      <c r="H570" s="5" t="str">
        <f>IFERROR(__xludf.DUMMYFUNCTION("GOOGLETRANSLATE(C570, ""en"", ""hi"")"),"A) हाँ, खिलाड़ी A रानी को अपने पास रखता है, B) नहीं, रानी को केंद्र में वापस कर दिया जाता है, C) खिलाड़ी A को दंडित किया जाता है, D) खिलाड़ी A अपनी अगली बारी खो देता है")</f>
        <v>A) हाँ, खिलाड़ी A रानी को अपने पास रखता है, B) नहीं, रानी को केंद्र में वापस कर दिया जाता है, C) खिलाड़ी A को दंडित किया जाता है, D) खिलाड़ी A अपनी अगली बारी खो देता है</v>
      </c>
      <c r="I570" s="5" t="str">
        <f>IFERROR(__xludf.DUMMYFUNCTION("GOOGLETRANSLATE(D570, ""en"", ""hi"")"),"B) नहीं, रानी को केंद्र में वापस लाया जाता है")</f>
        <v>B) नहीं, रानी को केंद्र में वापस लाया जाता है</v>
      </c>
    </row>
    <row r="571" ht="22.5" customHeight="1">
      <c r="A571" s="2">
        <v>570.0</v>
      </c>
      <c r="B571" s="3" t="s">
        <v>8992</v>
      </c>
      <c r="C571" s="3" t="s">
        <v>8993</v>
      </c>
      <c r="D571" s="3" t="s">
        <v>8994</v>
      </c>
      <c r="F571" s="5" t="str">
        <f>IFERROR(__xludf.DUMMYFUNCTION("GOOGLETRANSLATE(A571, ""en"", ""hi"")"),"570")</f>
        <v>570</v>
      </c>
      <c r="G571" s="5" t="str">
        <f>IFERROR(__xludf.DUMMYFUNCTION("GOOGLETRANSLATE(B571, ""en"", ""hi"")"),"खिलाड़ी B रानी को कवर करता है, लेकिन उसी बारी में प्रतिद्वंद्वी के मोहरे को पॉकेट में डाल देता है। नतीजा क्या होता है?")</f>
        <v>खिलाड़ी B रानी को कवर करता है, लेकिन उसी बारी में प्रतिद्वंद्वी के मोहरे को पॉकेट में डाल देता है। नतीजा क्या होता है?</v>
      </c>
      <c r="H571" s="5" t="str">
        <f>IFERROR(__xludf.DUMMYFUNCTION("GOOGLETRANSLATE(C571, ""en"", ""hi"")"),"A) खिलाड़ी B रानी को अपने पास रखता है, B) खिलाड़ी B रानी को खो देता है, C) खिलाड़ी A को एक अंक दिया जाता है, D) रानी को केंद्र में वापस कर दिया जाता है")</f>
        <v>A) खिलाड़ी B रानी को अपने पास रखता है, B) खिलाड़ी B रानी को खो देता है, C) खिलाड़ी A को एक अंक दिया जाता है, D) रानी को केंद्र में वापस कर दिया जाता है</v>
      </c>
      <c r="I571" s="5" t="str">
        <f>IFERROR(__xludf.DUMMYFUNCTION("GOOGLETRANSLATE(D571, ""en"", ""hi"")"),"B) खिलाड़ी B रानी खो देता है")</f>
        <v>B) खिलाड़ी B रानी खो देता है</v>
      </c>
    </row>
    <row r="572" ht="22.5" customHeight="1">
      <c r="A572" s="2">
        <v>571.0</v>
      </c>
      <c r="B572" s="3" t="s">
        <v>8995</v>
      </c>
      <c r="C572" s="3" t="s">
        <v>8996</v>
      </c>
      <c r="D572" s="3" t="s">
        <v>8997</v>
      </c>
      <c r="F572" s="5" t="str">
        <f>IFERROR(__xludf.DUMMYFUNCTION("GOOGLETRANSLATE(A572, ""en"", ""hi"")"),"571")</f>
        <v>571</v>
      </c>
      <c r="G572" s="5" t="str">
        <f>IFERROR(__xludf.DUMMYFUNCTION("GOOGLETRANSLATE(B572, ""en"", ""hi"")"),"खिलाड़ी A रानी को पॉकेट में डालने की कोशिश में प्रतिद्वंद्वी की गोटी पॉकेट में डाल देता है। इसके बाद क्या होता है?")</f>
        <v>खिलाड़ी A रानी को पॉकेट में डालने की कोशिश में प्रतिद्वंद्वी की गोटी पॉकेट में डाल देता है। इसके बाद क्या होता है?</v>
      </c>
      <c r="H572" s="5" t="str">
        <f>IFERROR(__xludf.DUMMYFUNCTION("GOOGLETRANSLATE(C572, ""en"", ""hi"")"),"A) खिलाड़ी A को एक अंक का दंड दिया जाता है, B) खिलाड़ी B को एक अंक मिलता है, C) खिलाड़ी A को दोनों मोहरे वापस करने होंगे, D) खिलाड़ी A अपनी बारी खो देता है")</f>
        <v>A) खिलाड़ी A को एक अंक का दंड दिया जाता है, B) खिलाड़ी B को एक अंक मिलता है, C) खिलाड़ी A को दोनों मोहरे वापस करने होंगे, D) खिलाड़ी A अपनी बारी खो देता है</v>
      </c>
      <c r="I572" s="5" t="str">
        <f>IFERROR(__xludf.DUMMYFUNCTION("GOOGLETRANSLATE(D572, ""en"", ""hi"")"),"D) खिलाड़ी A अपनी बारी खो देता है")</f>
        <v>D) खिलाड़ी A अपनी बारी खो देता है</v>
      </c>
    </row>
    <row r="573" ht="22.5" customHeight="1">
      <c r="A573" s="2">
        <v>572.0</v>
      </c>
      <c r="B573" s="3" t="s">
        <v>8998</v>
      </c>
      <c r="C573" s="3" t="s">
        <v>8999</v>
      </c>
      <c r="D573" s="3" t="s">
        <v>9000</v>
      </c>
      <c r="F573" s="5" t="str">
        <f>IFERROR(__xludf.DUMMYFUNCTION("GOOGLETRANSLATE(A573, ""en"", ""hi"")"),"572")</f>
        <v>572</v>
      </c>
      <c r="G573" s="5" t="str">
        <f>IFERROR(__xludf.DUMMYFUNCTION("GOOGLETRANSLATE(B573, ""en"", ""hi"")"),"खिलाड़ी B रानी को पॉकेट में डालता है, लेकिन उसी बारी में उसे कवर नहीं कर पाता। नियम क्या है?")</f>
        <v>खिलाड़ी B रानी को पॉकेट में डालता है, लेकिन उसी बारी में उसे कवर नहीं कर पाता। नियम क्या है?</v>
      </c>
      <c r="H573" s="5" t="str">
        <f>IFERROR(__xludf.DUMMYFUNCTION("GOOGLETRANSLATE(C573, ""en"", ""hi"")"),"A) खिलाड़ी B रानी को अपने पास रखता है, B) खिलाड़ी A को रानी मिलती है, C) रानी को केंद्र में वापस कर दिया जाता है, D) खिलाड़ी B को एक अंक का दंड दिया जाता है")</f>
        <v>A) खिलाड़ी B रानी को अपने पास रखता है, B) खिलाड़ी A को रानी मिलती है, C) रानी को केंद्र में वापस कर दिया जाता है, D) खिलाड़ी B को एक अंक का दंड दिया जाता है</v>
      </c>
      <c r="I573" s="5" t="str">
        <f>IFERROR(__xludf.DUMMYFUNCTION("GOOGLETRANSLATE(D573, ""en"", ""hi"")"),"C) रानी को केंद्र में वापस लाया जाता है")</f>
        <v>C) रानी को केंद्र में वापस लाया जाता है</v>
      </c>
    </row>
    <row r="574" ht="22.5" customHeight="1">
      <c r="A574" s="2">
        <v>573.0</v>
      </c>
      <c r="B574" s="3" t="s">
        <v>9001</v>
      </c>
      <c r="C574" s="3" t="s">
        <v>9002</v>
      </c>
      <c r="D574" s="3" t="s">
        <v>9003</v>
      </c>
      <c r="F574" s="5" t="str">
        <f>IFERROR(__xludf.DUMMYFUNCTION("GOOGLETRANSLATE(A574, ""en"", ""hi"")"),"573")</f>
        <v>573</v>
      </c>
      <c r="G574" s="5" t="str">
        <f>IFERROR(__xludf.DUMMYFUNCTION("GOOGLETRANSLATE(B574, ""en"", ""hi"")"),"खिलाड़ी A लगातार दो बार स्ट्राइकर को बोर्ड से बाहर कर देता है। क्या होता है?")</f>
        <v>खिलाड़ी A लगातार दो बार स्ट्राइकर को बोर्ड से बाहर कर देता है। क्या होता है?</v>
      </c>
      <c r="H574" s="5" t="str">
        <f>IFERROR(__xludf.DUMMYFUNCTION("GOOGLETRANSLATE(C574, ""en"", ""hi"")"),"A) खिलाड़ी A एक अंक खो देता है, B) खिलाड़ी A पर दो अंक का जुर्माना लगाया जाता है, C) खिलाड़ी A खेल जारी रखता है, D) खिलाड़ी A अपनी बारी खो देता है")</f>
        <v>A) खिलाड़ी A एक अंक खो देता है, B) खिलाड़ी A पर दो अंक का जुर्माना लगाया जाता है, C) खिलाड़ी A खेल जारी रखता है, D) खिलाड़ी A अपनी बारी खो देता है</v>
      </c>
      <c r="I574" s="5" t="str">
        <f>IFERROR(__xludf.DUMMYFUNCTION("GOOGLETRANSLATE(D574, ""en"", ""hi"")"),"B) खिलाड़ी A को दो अंक का दंड दिया जाता है")</f>
        <v>B) खिलाड़ी A को दो अंक का दंड दिया जाता है</v>
      </c>
    </row>
    <row r="575" ht="22.5" customHeight="1">
      <c r="A575" s="2">
        <v>574.0</v>
      </c>
      <c r="B575" s="3" t="s">
        <v>9004</v>
      </c>
      <c r="C575" s="3" t="s">
        <v>9005</v>
      </c>
      <c r="D575" s="3" t="s">
        <v>9006</v>
      </c>
      <c r="F575" s="5" t="str">
        <f>IFERROR(__xludf.DUMMYFUNCTION("GOOGLETRANSLATE(A575, ""en"", ""hi"")"),"574")</f>
        <v>574</v>
      </c>
      <c r="G575" s="5" t="str">
        <f>IFERROR(__xludf.DUMMYFUNCTION("GOOGLETRANSLATE(B575, ""en"", ""hi"")"),"खिलाड़ी B अपने सभी मोहरे पॉकेट में डाल देता है, लेकिन रानी को बोर्ड पर ही छोड़ देता है। खिलाड़ी B को जीतने के लिए क्या करना होगा?")</f>
        <v>खिलाड़ी B अपने सभी मोहरे पॉकेट में डाल देता है, लेकिन रानी को बोर्ड पर ही छोड़ देता है। खिलाड़ी B को जीतने के लिए क्या करना होगा?</v>
      </c>
      <c r="H575" s="5" t="str">
        <f>IFERROR(__xludf.DUMMYFUNCTION("GOOGLETRANSLATE(C575, ""en"", ""hi"")"),"A) खिलाड़ी B को रानी को पॉकेट में डालना होगा, B) खिलाड़ी B रानी को पॉकेट में डाले बिना जीतता है, C) खिलाड़ी B को अगले राउंड तक इंतजार करना होगा, D) जीतने के लिए रानी आवश्यक नहीं है")</f>
        <v>A) खिलाड़ी B को रानी को पॉकेट में डालना होगा, B) खिलाड़ी B रानी को पॉकेट में डाले बिना जीतता है, C) खिलाड़ी B को अगले राउंड तक इंतजार करना होगा, D) जीतने के लिए रानी आवश्यक नहीं है</v>
      </c>
      <c r="I575" s="5" t="str">
        <f>IFERROR(__xludf.DUMMYFUNCTION("GOOGLETRANSLATE(D575, ""en"", ""hi"")"),"A) खिलाड़ी B को रानी को पॉकेट में डालना होगा")</f>
        <v>A) खिलाड़ी B को रानी को पॉकेट में डालना होगा</v>
      </c>
    </row>
    <row r="576" ht="22.5" customHeight="1">
      <c r="A576" s="2">
        <v>575.0</v>
      </c>
      <c r="B576" s="3" t="s">
        <v>9007</v>
      </c>
      <c r="C576" s="3" t="s">
        <v>9008</v>
      </c>
      <c r="D576" s="3" t="s">
        <v>9009</v>
      </c>
      <c r="F576" s="5" t="str">
        <f>IFERROR(__xludf.DUMMYFUNCTION("GOOGLETRANSLATE(A576, ""en"", ""hi"")"),"575")</f>
        <v>575</v>
      </c>
      <c r="G576" s="5" t="str">
        <f>IFERROR(__xludf.DUMMYFUNCTION("GOOGLETRANSLATE(B576, ""en"", ""hi"")"),"खिलाड़ी A गलती से अपने मोहरे के साथ-साथ विरोधी टीम के स्ट्राइकर को भी पॉकेट में डाल देता है। इसका परिणाम क्या होगा?")</f>
        <v>खिलाड़ी A गलती से अपने मोहरे के साथ-साथ विरोधी टीम के स्ट्राइकर को भी पॉकेट में डाल देता है। इसका परिणाम क्या होगा?</v>
      </c>
      <c r="H576" s="5" t="str">
        <f>IFERROR(__xludf.DUMMYFUNCTION("GOOGLETRANSLATE(C576, ""en"", ""hi"")"),"A) खिलाड़ी A को अपना मोहरा छोड़ना होगा, B) खिलाड़ी A को दो अंक मिलेंगे, C) खिलाड़ी A अपनी बारी खो देगा, D) खिलाड़ी A अयोग्य घोषित कर दिया जाएगा")</f>
        <v>A) खिलाड़ी A को अपना मोहरा छोड़ना होगा, B) खिलाड़ी A को दो अंक मिलेंगे, C) खिलाड़ी A अपनी बारी खो देगा, D) खिलाड़ी A अयोग्य घोषित कर दिया जाएगा</v>
      </c>
      <c r="I576" s="5" t="str">
        <f>IFERROR(__xludf.DUMMYFUNCTION("GOOGLETRANSLATE(D576, ""en"", ""hi"")"),"C) खिलाड़ी A अपनी बारी खो देता है")</f>
        <v>C) खिलाड़ी A अपनी बारी खो देता है</v>
      </c>
    </row>
    <row r="577" ht="22.5" customHeight="1">
      <c r="A577" s="2">
        <v>576.0</v>
      </c>
      <c r="B577" s="3" t="s">
        <v>9010</v>
      </c>
      <c r="C577" s="3" t="s">
        <v>9011</v>
      </c>
      <c r="D577" s="3" t="s">
        <v>8994</v>
      </c>
      <c r="F577" s="5" t="str">
        <f>IFERROR(__xludf.DUMMYFUNCTION("GOOGLETRANSLATE(A577, ""en"", ""hi"")"),"576")</f>
        <v>576</v>
      </c>
      <c r="G577" s="5" t="str">
        <f>IFERROR(__xludf.DUMMYFUNCTION("GOOGLETRANSLATE(B577, ""en"", ""hi"")"),"खिलाड़ी B रानी को पॉकेट में डाल देता है, लेकिन उसके बाद कोई और मोहरा पॉकेट में नहीं डाल पाता। क्या होता है?")</f>
        <v>खिलाड़ी B रानी को पॉकेट में डाल देता है, लेकिन उसके बाद कोई और मोहरा पॉकेट में नहीं डाल पाता। क्या होता है?</v>
      </c>
      <c r="H577" s="5" t="str">
        <f>IFERROR(__xludf.DUMMYFUNCTION("GOOGLETRANSLATE(C577, ""en"", ""hi"")"),"A) खिलाड़ी B जीतता है, B) खिलाड़ी B रानी खो देता है, C) खिलाड़ी B को रानी को बदलना होगा, D) खिलाड़ी B को एक अंक का दंड दिया जाता है")</f>
        <v>A) खिलाड़ी B जीतता है, B) खिलाड़ी B रानी खो देता है, C) खिलाड़ी B को रानी को बदलना होगा, D) खिलाड़ी B को एक अंक का दंड दिया जाता है</v>
      </c>
      <c r="I577" s="5" t="str">
        <f>IFERROR(__xludf.DUMMYFUNCTION("GOOGLETRANSLATE(D577, ""en"", ""hi"")"),"B) खिलाड़ी B रानी खो देता है")</f>
        <v>B) खिलाड़ी B रानी खो देता है</v>
      </c>
    </row>
    <row r="578" ht="22.5" customHeight="1">
      <c r="A578" s="2">
        <v>577.0</v>
      </c>
      <c r="B578" s="3" t="s">
        <v>9012</v>
      </c>
      <c r="C578" s="3" t="s">
        <v>9013</v>
      </c>
      <c r="D578" s="3" t="s">
        <v>9014</v>
      </c>
      <c r="F578" s="5" t="str">
        <f>IFERROR(__xludf.DUMMYFUNCTION("GOOGLETRANSLATE(A578, ""en"", ""hi"")"),"577")</f>
        <v>577</v>
      </c>
      <c r="G578" s="5" t="str">
        <f>IFERROR(__xludf.DUMMYFUNCTION("GOOGLETRANSLATE(B578, ""en"", ""hi"")"),"रानी को पॉकेट में डाल दिया गया है, लेकिन खिलाड़ी A का आखिरी मोहरा बोर्ड पर ही रहता है। नियम क्या है?")</f>
        <v>रानी को पॉकेट में डाल दिया गया है, लेकिन खिलाड़ी A का आखिरी मोहरा बोर्ड पर ही रहता है। नियम क्या है?</v>
      </c>
      <c r="H578" s="5" t="str">
        <f>IFERROR(__xludf.DUMMYFUNCTION("GOOGLETRANSLATE(C578, ""en"", ""hi"")"),"A) खिलाड़ी A खेल जीतता है, B) खिलाड़ी A को अपना मोहरा पॉकेट में डालना होगा और रानी को कवर करना होगा, C) खिलाड़ी A को एक अंक का दंड दिया जाता है, D) रानी अमान्य हो जाती है")</f>
        <v>A) खिलाड़ी A खेल जीतता है, B) खिलाड़ी A को अपना मोहरा पॉकेट में डालना होगा और रानी को कवर करना होगा, C) खिलाड़ी A को एक अंक का दंड दिया जाता है, D) रानी अमान्य हो जाती है</v>
      </c>
      <c r="I578" s="5" t="str">
        <f>IFERROR(__xludf.DUMMYFUNCTION("GOOGLETRANSLATE(D578, ""en"", ""hi"")"),"बी) खिलाड़ी ए को अपना मोहरा पॉकेट में डालना होगा और रानी को कवर करना होगा")</f>
        <v>बी) खिलाड़ी ए को अपना मोहरा पॉकेट में डालना होगा और रानी को कवर करना होगा</v>
      </c>
    </row>
    <row r="579" ht="22.5" customHeight="1">
      <c r="A579" s="2">
        <v>578.0</v>
      </c>
      <c r="B579" s="3" t="s">
        <v>9015</v>
      </c>
      <c r="C579" s="3" t="s">
        <v>9016</v>
      </c>
      <c r="D579" s="3" t="s">
        <v>8982</v>
      </c>
      <c r="F579" s="5" t="str">
        <f>IFERROR(__xludf.DUMMYFUNCTION("GOOGLETRANSLATE(A579, ""en"", ""hi"")"),"578")</f>
        <v>578</v>
      </c>
      <c r="G579" s="5" t="str">
        <f>IFERROR(__xludf.DUMMYFUNCTION("GOOGLETRANSLATE(B579, ""en"", ""hi"")"),"खिलाड़ी A स्ट्राइकर पर वार करता है, लेकिन गेंद वापस उछलकर उसकी अपनी उंगली पर लग जाती है। क्या होता है?")</f>
        <v>खिलाड़ी A स्ट्राइकर पर वार करता है, लेकिन गेंद वापस उछलकर उसकी अपनी उंगली पर लग जाती है। क्या होता है?</v>
      </c>
      <c r="H579" s="5" t="str">
        <f>IFERROR(__xludf.DUMMYFUNCTION("GOOGLETRANSLATE(C579, ""en"", ""hi"")"),"A) खिलाड़ी A को फिर से खेलना होगा, B) खिलाड़ी A अपनी बारी खो देगा, C) खिलाड़ी A को एक अंक का दंड दिया जाएगा, D) खिलाड़ी A अपनी बारी जारी रखेगा")</f>
        <v>A) खिलाड़ी A को फिर से खेलना होगा, B) खिलाड़ी A अपनी बारी खो देगा, C) खिलाड़ी A को एक अंक का दंड दिया जाएगा, D) खिलाड़ी A अपनी बारी जारी रखेगा</v>
      </c>
      <c r="I579" s="5" t="str">
        <f>IFERROR(__xludf.DUMMYFUNCTION("GOOGLETRANSLATE(D579, ""en"", ""hi"")"),"B) खिलाड़ी A अपनी बारी खो देता है")</f>
        <v>B) खिलाड़ी A अपनी बारी खो देता है</v>
      </c>
    </row>
    <row r="580" ht="22.5" customHeight="1">
      <c r="A580" s="2">
        <v>579.0</v>
      </c>
      <c r="B580" s="3" t="s">
        <v>9017</v>
      </c>
      <c r="C580" s="3" t="s">
        <v>9018</v>
      </c>
      <c r="D580" s="3" t="s">
        <v>8994</v>
      </c>
      <c r="F580" s="5" t="str">
        <f>IFERROR(__xludf.DUMMYFUNCTION("GOOGLETRANSLATE(A580, ""en"", ""hi"")"),"579")</f>
        <v>579</v>
      </c>
      <c r="G580" s="5" t="str">
        <f>IFERROR(__xludf.DUMMYFUNCTION("GOOGLETRANSLATE(B580, ""en"", ""hi"")"),"खिलाड़ी B रानी को पॉकेट में डालता है, लेकिन अगली बारी में गलती से स्ट्राइकर को पॉकेट में डाल देता है। नियम क्या है?")</f>
        <v>खिलाड़ी B रानी को पॉकेट में डालता है, लेकिन अगली बारी में गलती से स्ट्राइकर को पॉकेट में डाल देता है। नियम क्या है?</v>
      </c>
      <c r="H580" s="5" t="str">
        <f>IFERROR(__xludf.DUMMYFUNCTION("GOOGLETRANSLATE(C580, ""en"", ""hi"")"),"A) खिलाड़ी B रानी रखता है, B) खिलाड़ी B रानी खो देता है, C) खिलाड़ी B को एक अंक का दंड दिया जाता है, D) खेल को रीसेट किया जाता है")</f>
        <v>A) खिलाड़ी B रानी रखता है, B) खिलाड़ी B रानी खो देता है, C) खिलाड़ी B को एक अंक का दंड दिया जाता है, D) खेल को रीसेट किया जाता है</v>
      </c>
      <c r="I580" s="5" t="str">
        <f>IFERROR(__xludf.DUMMYFUNCTION("GOOGLETRANSLATE(D580, ""en"", ""hi"")"),"B) खिलाड़ी B रानी खो देता है")</f>
        <v>B) खिलाड़ी B रानी खो देता है</v>
      </c>
    </row>
    <row r="581" ht="22.5" customHeight="1">
      <c r="A581" s="2">
        <v>580.0</v>
      </c>
      <c r="B581" s="3" t="s">
        <v>9019</v>
      </c>
      <c r="C581" s="3" t="s">
        <v>9020</v>
      </c>
      <c r="D581" s="3" t="s">
        <v>9021</v>
      </c>
      <c r="F581" s="5" t="str">
        <f>IFERROR(__xludf.DUMMYFUNCTION("GOOGLETRANSLATE(A581, ""en"", ""hi"")"),"580")</f>
        <v>580</v>
      </c>
      <c r="G581" s="5" t="str">
        <f>IFERROR(__xludf.DUMMYFUNCTION("GOOGLETRANSLATE(B581, ""en"", ""hi"")"),"एक ही गेम में स्ट्राइकर को खिलाड़ी A तीन बार पॉकेट में डालता है। क्या होता है?")</f>
        <v>एक ही गेम में स्ट्राइकर को खिलाड़ी A तीन बार पॉकेट में डालता है। क्या होता है?</v>
      </c>
      <c r="H581" s="5" t="str">
        <f>IFERROR(__xludf.DUMMYFUNCTION("GOOGLETRANSLATE(C581, ""en"", ""hi"")"),"A) खिलाड़ी A तीन अंक खो देता है, B) खिलाड़ी A खेल जारी रखता है, C) खिलाड़ी A खेल छोड़ देता है, D) खिलाड़ी A को केवल एक बार दंडित किया जाता है")</f>
        <v>A) खिलाड़ी A तीन अंक खो देता है, B) खिलाड़ी A खेल जारी रखता है, C) खिलाड़ी A खेल छोड़ देता है, D) खिलाड़ी A को केवल एक बार दंडित किया जाता है</v>
      </c>
      <c r="I581" s="5" t="str">
        <f>IFERROR(__xludf.DUMMYFUNCTION("GOOGLETRANSLATE(D581, ""en"", ""hi"")"),"A) खिलाड़ी A तीन अंक खो देता है")</f>
        <v>A) खिलाड़ी A तीन अंक खो देता है</v>
      </c>
    </row>
    <row r="582" ht="22.5" customHeight="1">
      <c r="A582" s="2">
        <v>581.0</v>
      </c>
      <c r="B582" s="3" t="s">
        <v>9022</v>
      </c>
      <c r="C582" s="3" t="s">
        <v>9023</v>
      </c>
      <c r="D582" s="3" t="s">
        <v>9024</v>
      </c>
      <c r="F582" s="5" t="str">
        <f>IFERROR(__xludf.DUMMYFUNCTION("GOOGLETRANSLATE(A582, ""en"", ""hi"")"),"581")</f>
        <v>581</v>
      </c>
      <c r="G582" s="5" t="str">
        <f>IFERROR(__xludf.DUMMYFUNCTION("GOOGLETRANSLATE(B582, ""en"", ""hi"")"),"बोर्ड पर एक मोहरा गलत जगह पर रखे जाने के कारण खिलाड़ी A की बारी बाधित हो जाती है। सही कार्रवाई क्या है?")</f>
        <v>बोर्ड पर एक मोहरा गलत जगह पर रखे जाने के कारण खिलाड़ी A की बारी बाधित हो जाती है। सही कार्रवाई क्या है?</v>
      </c>
      <c r="H582" s="5" t="str">
        <f>IFERROR(__xludf.DUMMYFUNCTION("GOOGLETRANSLATE(C582, ""en"", ""hi"")"),"A) खिलाड़ी A खेल जारी रखता है, B) मोहरे की स्थिति बदल दी जाती है और खिलाड़ी A फिर से खेलता है, C) खिलाड़ी B को एक अंक दिया जाता है, D) खेल पुनः शुरू होता है")</f>
        <v>A) खिलाड़ी A खेल जारी रखता है, B) मोहरे की स्थिति बदल दी जाती है और खिलाड़ी A फिर से खेलता है, C) खिलाड़ी B को एक अंक दिया जाता है, D) खेल पुनः शुरू होता है</v>
      </c>
      <c r="I582" s="5" t="str">
        <f>IFERROR(__xludf.DUMMYFUNCTION("GOOGLETRANSLATE(D582, ""en"", ""hi"")"),"बी) मोहरे को पुनः स्थान दिया जाता है और खिलाड़ी ए पुनः खेलता है")</f>
        <v>बी) मोहरे को पुनः स्थान दिया जाता है और खिलाड़ी ए पुनः खेलता है</v>
      </c>
    </row>
    <row r="583" ht="22.5" customHeight="1">
      <c r="A583" s="2">
        <v>582.0</v>
      </c>
      <c r="B583" s="3" t="s">
        <v>9025</v>
      </c>
      <c r="C583" s="3" t="s">
        <v>9026</v>
      </c>
      <c r="D583" s="3" t="s">
        <v>9027</v>
      </c>
      <c r="F583" s="5" t="str">
        <f>IFERROR(__xludf.DUMMYFUNCTION("GOOGLETRANSLATE(A583, ""en"", ""hi"")"),"582")</f>
        <v>582</v>
      </c>
      <c r="G583" s="5" t="str">
        <f>IFERROR(__xludf.DUMMYFUNCTION("GOOGLETRANSLATE(B583, ""en"", ""hi"")"),"खिलाड़ी B स्ट्राइक करता है, लेकिन स्ट्राइकर बोर्ड से बाहर घूमकर किसी वस्तु से टकरा जाता है। इसके बाद क्या होता है?")</f>
        <v>खिलाड़ी B स्ट्राइक करता है, लेकिन स्ट्राइकर बोर्ड से बाहर घूमकर किसी वस्तु से टकरा जाता है। इसके बाद क्या होता है?</v>
      </c>
      <c r="H583" s="5" t="str">
        <f>IFERROR(__xludf.DUMMYFUNCTION("GOOGLETRANSLATE(C583, ""en"", ""hi"")"),"A) खिलाड़ी B अपनी बारी जारी रखता है, B) खिलाड़ी B अपनी बारी खो देता है, C) खिलाड़ी B को एक अंक का दंड दिया जाता है, D) खिलाड़ी B को फिर से स्ट्राइक करने का मौका मिलता है")</f>
        <v>A) खिलाड़ी B अपनी बारी जारी रखता है, B) खिलाड़ी B अपनी बारी खो देता है, C) खिलाड़ी B को एक अंक का दंड दिया जाता है, D) खिलाड़ी B को फिर से स्ट्राइक करने का मौका मिलता है</v>
      </c>
      <c r="I583" s="5" t="str">
        <f>IFERROR(__xludf.DUMMYFUNCTION("GOOGLETRANSLATE(D583, ""en"", ""hi"")"),"B) खिलाड़ी B अपनी बारी खो देता है")</f>
        <v>B) खिलाड़ी B अपनी बारी खो देता है</v>
      </c>
    </row>
    <row r="584" ht="22.5" customHeight="1">
      <c r="A584" s="2">
        <v>583.0</v>
      </c>
      <c r="B584" s="3" t="s">
        <v>9028</v>
      </c>
      <c r="C584" s="3" t="s">
        <v>9029</v>
      </c>
      <c r="D584" s="3" t="s">
        <v>9030</v>
      </c>
      <c r="F584" s="5" t="str">
        <f>IFERROR(__xludf.DUMMYFUNCTION("GOOGLETRANSLATE(A584, ""en"", ""hi"")"),"583")</f>
        <v>583</v>
      </c>
      <c r="G584" s="5" t="str">
        <f>IFERROR(__xludf.DUMMYFUNCTION("GOOGLETRANSLATE(B584, ""en"", ""hi"")"),"खिलाड़ी A बोर्ड से एक मोहरा गिरा देता है। क्या होगा?")</f>
        <v>खिलाड़ी A बोर्ड से एक मोहरा गिरा देता है। क्या होगा?</v>
      </c>
      <c r="H584" s="5" t="str">
        <f>IFERROR(__xludf.DUMMYFUNCTION("GOOGLETRANSLATE(C584, ""en"", ""hi"")"),"A) मोहरे को केंद्र में वापस रख दिया जाता है, B) खिलाड़ी A अपनी बारी खो देता है, C) खिलाड़ी A पर दो अंक का जुर्माना लगाया जाता है, D) मोहरे को खेल से हटा दिया जाता है")</f>
        <v>A) मोहरे को केंद्र में वापस रख दिया जाता है, B) खिलाड़ी A अपनी बारी खो देता है, C) खिलाड़ी A पर दो अंक का जुर्माना लगाया जाता है, D) मोहरे को खेल से हटा दिया जाता है</v>
      </c>
      <c r="I584" s="5" t="str">
        <f>IFERROR(__xludf.DUMMYFUNCTION("GOOGLETRANSLATE(D584, ""en"", ""hi"")"),"A) टुकड़ा केंद्र में प्रतिस्थापित किया जाता है")</f>
        <v>A) टुकड़ा केंद्र में प्रतिस्थापित किया जाता है</v>
      </c>
    </row>
    <row r="585" ht="22.5" customHeight="1">
      <c r="A585" s="2">
        <v>584.0</v>
      </c>
      <c r="B585" s="3" t="s">
        <v>9031</v>
      </c>
      <c r="C585" s="3" t="s">
        <v>9032</v>
      </c>
      <c r="D585" s="3" t="s">
        <v>9033</v>
      </c>
      <c r="F585" s="5" t="str">
        <f>IFERROR(__xludf.DUMMYFUNCTION("GOOGLETRANSLATE(A585, ""en"", ""hi"")"),"584")</f>
        <v>584</v>
      </c>
      <c r="G585" s="5" t="str">
        <f>IFERROR(__xludf.DUMMYFUNCTION("GOOGLETRANSLATE(B585, ""en"", ""hi"")"),"खिलाड़ी B रानी को पॉकेट में डाल देता है, लेकिन उसका एक मोहरा बोर्ड पर रह जाता है। नतीजा क्या होता है?")</f>
        <v>खिलाड़ी B रानी को पॉकेट में डाल देता है, लेकिन उसका एक मोहरा बोर्ड पर रह जाता है। नतीजा क्या होता है?</v>
      </c>
      <c r="H585" s="5" t="str">
        <f>IFERROR(__xludf.DUMMYFUNCTION("GOOGLETRANSLATE(C585, ""en"", ""hi"")"),"A) खिलाड़ी B खेल जीतता है, B) खिलाड़ी B को शेष मोहरा जेब में डालना होगा, C) खिलाड़ी A को एक अंक दिया जाता है, D) रानी अमान्य हो जाती है")</f>
        <v>A) खिलाड़ी B खेल जीतता है, B) खिलाड़ी B को शेष मोहरा जेब में डालना होगा, C) खिलाड़ी A को एक अंक दिया जाता है, D) रानी अमान्य हो जाती है</v>
      </c>
      <c r="I585" s="5" t="str">
        <f>IFERROR(__xludf.DUMMYFUNCTION("GOOGLETRANSLATE(D585, ""en"", ""hi"")"),"B) खिलाड़ी B को शेष मोहरे को जेब में डालना होगा")</f>
        <v>B) खिलाड़ी B को शेष मोहरे को जेब में डालना होगा</v>
      </c>
    </row>
    <row r="586" ht="22.5" customHeight="1">
      <c r="A586" s="2">
        <v>585.0</v>
      </c>
      <c r="B586" s="3" t="s">
        <v>9034</v>
      </c>
      <c r="C586" s="3" t="s">
        <v>9035</v>
      </c>
      <c r="D586" s="3" t="s">
        <v>8982</v>
      </c>
      <c r="F586" s="5" t="str">
        <f>IFERROR(__xludf.DUMMYFUNCTION("GOOGLETRANSLATE(A586, ""en"", ""hi"")"),"585")</f>
        <v>585</v>
      </c>
      <c r="G586" s="5" t="str">
        <f>IFERROR(__xludf.DUMMYFUNCTION("GOOGLETRANSLATE(B586, ""en"", ""hi"")"),"खिलाड़ी A ने रानी पर गेंद मारी, लेकिन वह पॉकेट में नहीं गई। क्या हुआ?")</f>
        <v>खिलाड़ी A ने रानी पर गेंद मारी, लेकिन वह पॉकेट में नहीं गई। क्या हुआ?</v>
      </c>
      <c r="H586" s="5" t="str">
        <f>IFERROR(__xludf.DUMMYFUNCTION("GOOGLETRANSLATE(C586, ""en"", ""hi"")"),"A) खिलाड़ी A अपनी बारी जारी रखता है, B) खिलाड़ी A अपनी बारी खो देता है, C) रानी को पुनः स्थान दिया जाता है, D) खिलाड़ी A स्ट्राइकर को पुनः स्थान दे सकता है")</f>
        <v>A) खिलाड़ी A अपनी बारी जारी रखता है, B) खिलाड़ी A अपनी बारी खो देता है, C) रानी को पुनः स्थान दिया जाता है, D) खिलाड़ी A स्ट्राइकर को पुनः स्थान दे सकता है</v>
      </c>
      <c r="I586" s="5" t="str">
        <f>IFERROR(__xludf.DUMMYFUNCTION("GOOGLETRANSLATE(D586, ""en"", ""hi"")"),"B) खिलाड़ी A अपनी बारी खो देता है")</f>
        <v>B) खिलाड़ी A अपनी बारी खो देता है</v>
      </c>
    </row>
    <row r="587" ht="22.5" customHeight="1">
      <c r="A587" s="2">
        <v>586.0</v>
      </c>
      <c r="B587" s="3" t="s">
        <v>9036</v>
      </c>
      <c r="C587" s="3" t="s">
        <v>9037</v>
      </c>
      <c r="D587" s="3" t="s">
        <v>9038</v>
      </c>
      <c r="F587" s="5" t="str">
        <f>IFERROR(__xludf.DUMMYFUNCTION("GOOGLETRANSLATE(A587, ""en"", ""hi"")"),"586")</f>
        <v>586</v>
      </c>
      <c r="G587" s="5" t="str">
        <f>IFERROR(__xludf.DUMMYFUNCTION("GOOGLETRANSLATE(B587, ""en"", ""hi"")"),"खिलाड़ी B स्ट्राइकर से वार करता है और एक ही बार में रानी और अपनी आखिरी गोटी दोनों को पॉकेट में डाल देता है। क्या होता है?")</f>
        <v>खिलाड़ी B स्ट्राइकर से वार करता है और एक ही बार में रानी और अपनी आखिरी गोटी दोनों को पॉकेट में डाल देता है। क्या होता है?</v>
      </c>
      <c r="H587" s="5" t="str">
        <f>IFERROR(__xludf.DUMMYFUNCTION("GOOGLETRANSLATE(C587, ""en"", ""hi"")"),"A) खिलाड़ी B जीतता है, B) शॉट अमान्य है, C) खिलाड़ी B को शॉट दोबारा खेलना होगा, D) खिलाड़ी A को एक अंक दिया जाता है")</f>
        <v>A) खिलाड़ी B जीतता है, B) शॉट अमान्य है, C) खिलाड़ी B को शॉट दोबारा खेलना होगा, D) खिलाड़ी A को एक अंक दिया जाता है</v>
      </c>
      <c r="I587" s="5" t="str">
        <f>IFERROR(__xludf.DUMMYFUNCTION("GOOGLETRANSLATE(D587, ""en"", ""hi"")"),"A) खिलाड़ी B जीतता है")</f>
        <v>A) खिलाड़ी B जीतता है</v>
      </c>
    </row>
    <row r="588" ht="22.5" customHeight="1">
      <c r="A588" s="2">
        <v>587.0</v>
      </c>
      <c r="B588" s="3" t="s">
        <v>9039</v>
      </c>
      <c r="C588" s="3" t="s">
        <v>9040</v>
      </c>
      <c r="D588" s="3" t="s">
        <v>9041</v>
      </c>
      <c r="F588" s="5" t="str">
        <f>IFERROR(__xludf.DUMMYFUNCTION("GOOGLETRANSLATE(A588, ""en"", ""hi"")"),"587")</f>
        <v>587</v>
      </c>
      <c r="G588" s="5" t="str">
        <f>IFERROR(__xludf.DUMMYFUNCTION("GOOGLETRANSLATE(B588, ""en"", ""hi"")"),"खिलाड़ी A स्ट्राइक करता है और रानी बोर्ड से रिबाउंड हो जाती है। नियम क्या है?")</f>
        <v>खिलाड़ी A स्ट्राइक करता है और रानी बोर्ड से रिबाउंड हो जाती है। नियम क्या है?</v>
      </c>
      <c r="H588" s="5" t="str">
        <f>IFERROR(__xludf.DUMMYFUNCTION("GOOGLETRANSLATE(C588, ""en"", ""hi"")"),"A) रानी को केंद्र में वापस कर दिया जाता है, B) खिलाड़ी A एक अंक खो देता है, C) खिलाड़ी B एक अंक प्राप्त करता है, D) खिलाड़ी A को अपने स्ट्राइकर को पुनः स्थान पर रखना होगा")</f>
        <v>A) रानी को केंद्र में वापस कर दिया जाता है, B) खिलाड़ी A एक अंक खो देता है, C) खिलाड़ी B एक अंक प्राप्त करता है, D) खिलाड़ी A को अपने स्ट्राइकर को पुनः स्थान पर रखना होगा</v>
      </c>
      <c r="I588" s="5" t="str">
        <f>IFERROR(__xludf.DUMMYFUNCTION("GOOGLETRANSLATE(D588, ""en"", ""hi"")"),"A) रानी को केंद्र में वापस लाया जाता है")</f>
        <v>A) रानी को केंद्र में वापस लाया जाता है</v>
      </c>
    </row>
    <row r="589" ht="22.5" customHeight="1">
      <c r="A589" s="2">
        <v>588.0</v>
      </c>
      <c r="B589" s="3" t="s">
        <v>9042</v>
      </c>
      <c r="C589" s="3" t="s">
        <v>9043</v>
      </c>
      <c r="D589" s="3" t="s">
        <v>9044</v>
      </c>
      <c r="F589" s="5" t="str">
        <f>IFERROR(__xludf.DUMMYFUNCTION("GOOGLETRANSLATE(A589, ""en"", ""hi"")"),"588")</f>
        <v>588</v>
      </c>
      <c r="G589" s="5" t="str">
        <f>IFERROR(__xludf.DUMMYFUNCTION("GOOGLETRANSLATE(B589, ""en"", ""hi"")"),"खिलाड़ी B स्ट्राइक करता है, लेकिन स्ट्राइकर पॉकेट में गए बिना बोर्ड के किनारे पर गिर जाता है। नियम क्या है?")</f>
        <v>खिलाड़ी B स्ट्राइक करता है, लेकिन स्ट्राइकर पॉकेट में गए बिना बोर्ड के किनारे पर गिर जाता है। नियम क्या है?</v>
      </c>
      <c r="H589" s="5" t="str">
        <f>IFERROR(__xludf.DUMMYFUNCTION("GOOGLETRANSLATE(C589, ""en"", ""hi"")"),"A) खिलाड़ी B जारी रखता है, B) खिलाड़ी B को अपनी बारी फिर से खेलनी होगी, C) खिलाड़ी B अपनी बारी खो देता है, D) खिलाड़ी A को एक अंक दिया जाता है")</f>
        <v>A) खिलाड़ी B जारी रखता है, B) खिलाड़ी B को अपनी बारी फिर से खेलनी होगी, C) खिलाड़ी B अपनी बारी खो देता है, D) खिलाड़ी A को एक अंक दिया जाता है</v>
      </c>
      <c r="I589" s="5" t="str">
        <f>IFERROR(__xludf.DUMMYFUNCTION("GOOGLETRANSLATE(D589, ""en"", ""hi"")"),"C) खिलाड़ी B अपनी बारी खो देता है")</f>
        <v>C) खिलाड़ी B अपनी बारी खो देता है</v>
      </c>
    </row>
    <row r="590" ht="22.5" customHeight="1">
      <c r="A590" s="2">
        <v>589.0</v>
      </c>
      <c r="B590" s="3" t="s">
        <v>9045</v>
      </c>
      <c r="C590" s="3" t="s">
        <v>9046</v>
      </c>
      <c r="D590" s="3" t="s">
        <v>9047</v>
      </c>
      <c r="F590" s="5" t="str">
        <f>IFERROR(__xludf.DUMMYFUNCTION("GOOGLETRANSLATE(A590, ""en"", ""hi"")"),"589")</f>
        <v>589</v>
      </c>
      <c r="G590" s="5" t="str">
        <f>IFERROR(__xludf.DUMMYFUNCTION("GOOGLETRANSLATE(B590, ""en"", ""hi"")"),"खिलाड़ी A स्ट्राइकर पर वार करता है और गेंद उसके विरोधी पक्ष की गोटी को छूकर पॉकेट में जाती है। क्या होता है?")</f>
        <v>खिलाड़ी A स्ट्राइकर पर वार करता है और गेंद उसके विरोधी पक्ष की गोटी को छूकर पॉकेट में जाती है। क्या होता है?</v>
      </c>
      <c r="H590" s="5" t="str">
        <f>IFERROR(__xludf.DUMMYFUNCTION("GOOGLETRANSLATE(C590, ""en"", ""hi"")"),"A) खिलाड़ी A को एक अंक का दंड दिया जाता है, B) खिलाड़ी A अपनी बारी खो देता है, C) खिलाड़ी A का मोहरा खेल से हटा दिया जाता है, D) शॉट वैध है")</f>
        <v>A) खिलाड़ी A को एक अंक का दंड दिया जाता है, B) खिलाड़ी A अपनी बारी खो देता है, C) खिलाड़ी A का मोहरा खेल से हटा दिया जाता है, D) शॉट वैध है</v>
      </c>
      <c r="I590" s="5" t="str">
        <f>IFERROR(__xludf.DUMMYFUNCTION("GOOGLETRANSLATE(D590, ""en"", ""hi"")"),"D) शॉट वैध है")</f>
        <v>D) शॉट वैध है</v>
      </c>
    </row>
    <row r="591" ht="22.5" customHeight="1">
      <c r="A591" s="2">
        <v>590.0</v>
      </c>
      <c r="B591" s="3" t="s">
        <v>9048</v>
      </c>
      <c r="C591" s="3" t="s">
        <v>9049</v>
      </c>
      <c r="D591" s="3" t="s">
        <v>9050</v>
      </c>
      <c r="F591" s="5" t="str">
        <f>IFERROR(__xludf.DUMMYFUNCTION("GOOGLETRANSLATE(A591, ""en"", ""hi"")"),"590")</f>
        <v>590</v>
      </c>
      <c r="G591" s="5" t="str">
        <f>IFERROR(__xludf.DUMMYFUNCTION("GOOGLETRANSLATE(B591, ""en"", ""hi"")"),"एक महत्वपूर्ण मैच के दौरान, खिलाड़ी A रानी को पॉकेट में डाल देता है, लेकिन फिर गलती से प्रतिद्वंद्वी के मोहरे को पॉकेट में डाल देता है। क्या होता है?")</f>
        <v>एक महत्वपूर्ण मैच के दौरान, खिलाड़ी A रानी को पॉकेट में डाल देता है, लेकिन फिर गलती से प्रतिद्वंद्वी के मोहरे को पॉकेट में डाल देता है। क्या होता है?</v>
      </c>
      <c r="H591" s="5" t="str">
        <f>IFERROR(__xludf.DUMMYFUNCTION("GOOGLETRANSLATE(C591, ""en"", ""hi"")"),"A) खिलाड़ी A रानी को अपने पास रखता है, B) खिलाड़ी A रानी और एक अंक खो देता है, C) खिलाड़ी A रानी खो देता है लेकिन एक अंक प्राप्त करता है, D) रानी को केंद्र में वापस कर दिया जाता है")</f>
        <v>A) खिलाड़ी A रानी को अपने पास रखता है, B) खिलाड़ी A रानी और एक अंक खो देता है, C) खिलाड़ी A रानी खो देता है लेकिन एक अंक प्राप्त करता है, D) रानी को केंद्र में वापस कर दिया जाता है</v>
      </c>
      <c r="I591" s="5" t="str">
        <f>IFERROR(__xludf.DUMMYFUNCTION("GOOGLETRANSLATE(D591, ""en"", ""hi"")"),"B) खिलाड़ी A रानी और एक अंक खो देता है")</f>
        <v>B) खिलाड़ी A रानी और एक अंक खो देता है</v>
      </c>
    </row>
    <row r="592" ht="22.5" customHeight="1">
      <c r="A592" s="2">
        <v>591.0</v>
      </c>
      <c r="B592" s="3" t="s">
        <v>9051</v>
      </c>
      <c r="C592" s="3" t="s">
        <v>9052</v>
      </c>
      <c r="D592" s="3" t="s">
        <v>9053</v>
      </c>
      <c r="F592" s="5" t="str">
        <f>IFERROR(__xludf.DUMMYFUNCTION("GOOGLETRANSLATE(A592, ""en"", ""hi"")"),"591")</f>
        <v>591</v>
      </c>
      <c r="G592" s="5" t="str">
        <f>IFERROR(__xludf.DUMMYFUNCTION("GOOGLETRANSLATE(B592, ""en"", ""hi"")"),"खेल के बीच में, खिलाड़ी B बिना किसी मोहरे को छुए स्ट्राइकर को पॉकेट में डाल देता है। जुर्माना क्या है?")</f>
        <v>खेल के बीच में, खिलाड़ी B बिना किसी मोहरे को छुए स्ट्राइकर को पॉकेट में डाल देता है। जुर्माना क्या है?</v>
      </c>
      <c r="H592" s="5" t="str">
        <f>IFERROR(__xludf.DUMMYFUNCTION("GOOGLETRANSLATE(C592, ""en"", ""hi"")"),"A) खिलाड़ी B एक अंक खो देता है, B) खिलाड़ी B एक अंक और बारी खो देता है, C) कोई जुर्माना नहीं, D) खिलाड़ी B अपनी बारी जारी रखता है")</f>
        <v>A) खिलाड़ी B एक अंक खो देता है, B) खिलाड़ी B एक अंक और बारी खो देता है, C) कोई जुर्माना नहीं, D) खिलाड़ी B अपनी बारी जारी रखता है</v>
      </c>
      <c r="I592" s="5" t="str">
        <f>IFERROR(__xludf.DUMMYFUNCTION("GOOGLETRANSLATE(D592, ""en"", ""hi"")"),"B) खिलाड़ी B एक अंक और बारी खो देता है")</f>
        <v>B) खिलाड़ी B एक अंक और बारी खो देता है</v>
      </c>
    </row>
    <row r="593" ht="22.5" customHeight="1">
      <c r="A593" s="2">
        <v>592.0</v>
      </c>
      <c r="B593" s="3" t="s">
        <v>9054</v>
      </c>
      <c r="C593" s="3" t="s">
        <v>9055</v>
      </c>
      <c r="D593" s="3" t="s">
        <v>9056</v>
      </c>
      <c r="F593" s="5" t="str">
        <f>IFERROR(__xludf.DUMMYFUNCTION("GOOGLETRANSLATE(A593, ""en"", ""hi"")"),"592")</f>
        <v>592</v>
      </c>
      <c r="G593" s="5" t="str">
        <f>IFERROR(__xludf.DUMMYFUNCTION("GOOGLETRANSLATE(B593, ""en"", ""hi"")"),"खिलाड़ी A अपने सभी कैरम मैन को तो पॉकेट में डाल देता है, लेकिन क्वीन को पॉकेट में डालने में नाकाम रहता है। अब क्या होगा?")</f>
        <v>खिलाड़ी A अपने सभी कैरम मैन को तो पॉकेट में डाल देता है, लेकिन क्वीन को पॉकेट में डालने में नाकाम रहता है। अब क्या होगा?</v>
      </c>
      <c r="H593" s="5" t="str">
        <f>IFERROR(__xludf.DUMMYFUNCTION("GOOGLETRANSLATE(C593, ""en"", ""hi"")"),"A) खिलाड़ी A खेल जीतता है, B) खिलाड़ी A को अगले राउंड के लिए इंतजार करना होगा, C) खिलाड़ी A को जीतने के लिए रानी को पॉकेट में डालना होगा, D) खिलाड़ी B को एक अतिरिक्त बारी मिलती है")</f>
        <v>A) खिलाड़ी A खेल जीतता है, B) खिलाड़ी A को अगले राउंड के लिए इंतजार करना होगा, C) खिलाड़ी A को जीतने के लिए रानी को पॉकेट में डालना होगा, D) खिलाड़ी B को एक अतिरिक्त बारी मिलती है</v>
      </c>
      <c r="I593" s="5" t="str">
        <f>IFERROR(__xludf.DUMMYFUNCTION("GOOGLETRANSLATE(D593, ""en"", ""hi"")"),"C) खिलाड़ी A को जीतने के लिए रानी को पॉकेट में डालना होगा")</f>
        <v>C) खिलाड़ी A को जीतने के लिए रानी को पॉकेट में डालना होगा</v>
      </c>
    </row>
    <row r="594" ht="22.5" customHeight="1">
      <c r="A594" s="2">
        <v>593.0</v>
      </c>
      <c r="B594" s="3" t="s">
        <v>9057</v>
      </c>
      <c r="C594" s="3" t="s">
        <v>9058</v>
      </c>
      <c r="D594" s="3" t="s">
        <v>9059</v>
      </c>
      <c r="F594" s="5" t="str">
        <f>IFERROR(__xludf.DUMMYFUNCTION("GOOGLETRANSLATE(A594, ""en"", ""hi"")"),"593")</f>
        <v>593</v>
      </c>
      <c r="G594" s="5" t="str">
        <f>IFERROR(__xludf.DUMMYFUNCTION("GOOGLETRANSLATE(B594, ""en"", ""hi"")"),"एक टूर्नामेंट के दौरान, खिलाड़ी B एक ही शॉट में क्वीन और कैरम मैन को पॉकेट में डाल देता है, लेकिन फिर स्ट्राइकर को पॉकेट में डाल देता है। क्या होता है?")</f>
        <v>एक टूर्नामेंट के दौरान, खिलाड़ी B एक ही शॉट में क्वीन और कैरम मैन को पॉकेट में डाल देता है, लेकिन फिर स्ट्राइकर को पॉकेट में डाल देता है। क्या होता है?</v>
      </c>
      <c r="H594" s="5" t="str">
        <f>IFERROR(__xludf.DUMMYFUNCTION("GOOGLETRANSLATE(C594, ""en"", ""hi"")"),"A) खिलाड़ी B रानी खो देता है, B) खिलाड़ी B रानी प्राप्त करता है लेकिन एक अंक खो देता है, C) खिलाड़ी B रानी रखता है लेकिन उसे अपनी अगली बारी गँवानी पड़ती है, D) खिलाड़ी B रानी और अपनी बारी खो देता है")</f>
        <v>A) खिलाड़ी B रानी खो देता है, B) खिलाड़ी B रानी प्राप्त करता है लेकिन एक अंक खो देता है, C) खिलाड़ी B रानी रखता है लेकिन उसे अपनी अगली बारी गँवानी पड़ती है, D) खिलाड़ी B रानी और अपनी बारी खो देता है</v>
      </c>
      <c r="I594" s="5" t="str">
        <f>IFERROR(__xludf.DUMMYFUNCTION("GOOGLETRANSLATE(D594, ""en"", ""hi"")"),"D) खिलाड़ी B रानी और अपनी बारी खो देता है")</f>
        <v>D) खिलाड़ी B रानी और अपनी बारी खो देता है</v>
      </c>
    </row>
    <row r="595" ht="22.5" customHeight="1">
      <c r="A595" s="2">
        <v>594.0</v>
      </c>
      <c r="B595" s="3" t="s">
        <v>9060</v>
      </c>
      <c r="C595" s="3" t="s">
        <v>9061</v>
      </c>
      <c r="D595" s="3" t="s">
        <v>9062</v>
      </c>
      <c r="F595" s="5" t="str">
        <f>IFERROR(__xludf.DUMMYFUNCTION("GOOGLETRANSLATE(A595, ""en"", ""hi"")"),"594")</f>
        <v>594</v>
      </c>
      <c r="G595" s="5" t="str">
        <f>IFERROR(__xludf.DUMMYFUNCTION("GOOGLETRANSLATE(B595, ""en"", ""hi"")"),"खिलाड़ी A रानी को पॉकेट में डालता है, लेकिन बाकी सभी मोहरे चूक जाते हैं। अगला कदम क्या है?")</f>
        <v>खिलाड़ी A रानी को पॉकेट में डालता है, लेकिन बाकी सभी मोहरे चूक जाते हैं। अगला कदम क्या है?</v>
      </c>
      <c r="H595" s="5" t="str">
        <f>IFERROR(__xludf.DUMMYFUNCTION("GOOGLETRANSLATE(C595, ""en"", ""hi"")"),"A) खिलाड़ी A रानी को अपने पास रखता है, B) रानी को केंद्र में वापस कर दिया जाता है, C) खिलाड़ी A एक अंक खो देता है, D) खिलाड़ी A कैरम मैन को पॉकेट में डालने का पुनः प्रयास कर सकता है")</f>
        <v>A) खिलाड़ी A रानी को अपने पास रखता है, B) रानी को केंद्र में वापस कर दिया जाता है, C) खिलाड़ी A एक अंक खो देता है, D) खिलाड़ी A कैरम मैन को पॉकेट में डालने का पुनः प्रयास कर सकता है</v>
      </c>
      <c r="I595" s="5" t="str">
        <f>IFERROR(__xludf.DUMMYFUNCTION("GOOGLETRANSLATE(D595, ""en"", ""hi"")"),"B) रानी को केंद्र में वापस लाया जाता है")</f>
        <v>B) रानी को केंद्र में वापस लाया जाता है</v>
      </c>
    </row>
    <row r="596" ht="22.5" customHeight="1">
      <c r="A596" s="2">
        <v>595.0</v>
      </c>
      <c r="B596" s="3" t="s">
        <v>9063</v>
      </c>
      <c r="C596" s="3" t="s">
        <v>9064</v>
      </c>
      <c r="D596" s="3" t="s">
        <v>9065</v>
      </c>
      <c r="F596" s="5" t="str">
        <f>IFERROR(__xludf.DUMMYFUNCTION("GOOGLETRANSLATE(A596, ""en"", ""hi"")"),"595")</f>
        <v>595</v>
      </c>
      <c r="G596" s="5" t="str">
        <f>IFERROR(__xludf.DUMMYFUNCTION("GOOGLETRANSLATE(B596, ""en"", ""hi"")"),"खिलाड़ी B अपनी बारी के दौरान एक कैरम मैन को बोर्ड से नीचे गिरा देता है। दंड क्या है?")</f>
        <v>खिलाड़ी B अपनी बारी के दौरान एक कैरम मैन को बोर्ड से नीचे गिरा देता है। दंड क्या है?</v>
      </c>
      <c r="H596" s="5" t="str">
        <f>IFERROR(__xludf.DUMMYFUNCTION("GOOGLETRANSLATE(C596, ""en"", ""hi"")"),"A) कोई दंड नहीं, गोटी केंद्र में रखी जाती है, B) खिलाड़ी B एक अंक खो देता है, C) खिलाड़ी B अपनी बारी खो देता है, D) खिलाड़ी A को एक अंक मिलता है")</f>
        <v>A) कोई दंड नहीं, गोटी केंद्र में रखी जाती है, B) खिलाड़ी B एक अंक खो देता है, C) खिलाड़ी B अपनी बारी खो देता है, D) खिलाड़ी A को एक अंक मिलता है</v>
      </c>
      <c r="I596" s="5" t="str">
        <f>IFERROR(__xludf.DUMMYFUNCTION("GOOGLETRANSLATE(D596, ""en"", ""hi"")"),"A) कोई दंड नहीं, मोहरा केंद्र में रखा जाता है")</f>
        <v>A) कोई दंड नहीं, मोहरा केंद्र में रखा जाता है</v>
      </c>
    </row>
    <row r="597" ht="22.5" customHeight="1">
      <c r="A597" s="2">
        <v>596.0</v>
      </c>
      <c r="B597" s="3" t="s">
        <v>9066</v>
      </c>
      <c r="C597" s="3" t="s">
        <v>9067</v>
      </c>
      <c r="D597" s="3" t="s">
        <v>9068</v>
      </c>
      <c r="F597" s="5" t="str">
        <f>IFERROR(__xludf.DUMMYFUNCTION("GOOGLETRANSLATE(A597, ""en"", ""hi"")"),"596")</f>
        <v>596</v>
      </c>
      <c r="G597" s="5" t="str">
        <f>IFERROR(__xludf.DUMMYFUNCTION("GOOGLETRANSLATE(B597, ""en"", ""hi"")"),"खिलाड़ी A बिना कोई मोहरा बनाए स्ट्राइकर को पॉकेट में डालता है। इसके बाद क्या होता है?")</f>
        <v>खिलाड़ी A बिना कोई मोहरा बनाए स्ट्राइकर को पॉकेट में डालता है। इसके बाद क्या होता है?</v>
      </c>
      <c r="H597" s="5" t="str">
        <f>IFERROR(__xludf.DUMMYFUNCTION("GOOGLETRANSLATE(C597, ""en"", ""hi"")"),"A) खिलाड़ी A एक अंक खो देता है, B) खिलाड़ी A को एक अतिरिक्त बारी मिलती है, C) खिलाड़ी A एक अंक और एक बारी खो देता है, D) खिलाड़ी A को स्ट्राइकर को पुनः स्थान देना होगा")</f>
        <v>A) खिलाड़ी A एक अंक खो देता है, B) खिलाड़ी A को एक अतिरिक्त बारी मिलती है, C) खिलाड़ी A एक अंक और एक बारी खो देता है, D) खिलाड़ी A को स्ट्राइकर को पुनः स्थान देना होगा</v>
      </c>
      <c r="I597" s="5" t="str">
        <f>IFERROR(__xludf.DUMMYFUNCTION("GOOGLETRANSLATE(D597, ""en"", ""hi"")"),"C) खिलाड़ी A एक अंक और एक बारी खो देता है")</f>
        <v>C) खिलाड़ी A एक अंक और एक बारी खो देता है</v>
      </c>
    </row>
    <row r="598" ht="22.5" customHeight="1">
      <c r="A598" s="2">
        <v>597.0</v>
      </c>
      <c r="B598" s="3" t="s">
        <v>9069</v>
      </c>
      <c r="C598" s="3" t="s">
        <v>9070</v>
      </c>
      <c r="D598" s="3" t="s">
        <v>9071</v>
      </c>
      <c r="F598" s="5" t="str">
        <f>IFERROR(__xludf.DUMMYFUNCTION("GOOGLETRANSLATE(A598, ""en"", ""hi"")"),"597")</f>
        <v>597</v>
      </c>
      <c r="G598" s="5" t="str">
        <f>IFERROR(__xludf.DUMMYFUNCTION("GOOGLETRANSLATE(B598, ""en"", ""hi"")"),"एक बेहद अहम मुकाबले में, खिलाड़ी B एक ही शॉट में आखिरी कैरम मैन और क्वीन को पॉकेट में डाल देता है। नतीजा क्या होता है?")</f>
        <v>एक बेहद अहम मुकाबले में, खिलाड़ी B एक ही शॉट में आखिरी कैरम मैन और क्वीन को पॉकेट में डाल देता है। नतीजा क्या होता है?</v>
      </c>
      <c r="H598" s="5" t="str">
        <f>IFERROR(__xludf.DUMMYFUNCTION("GOOGLETRANSLATE(C598, ""en"", ""hi"")"),"A) खिलाड़ी B खेल जीतता है, B) शॉट अमान्य है, C) खिलाड़ी B को रानी को अलग से पॉकेट में डालना होगा, D) खिलाड़ी A को एक अतिरिक्त बारी मिलती है")</f>
        <v>A) खिलाड़ी B खेल जीतता है, B) शॉट अमान्य है, C) खिलाड़ी B को रानी को अलग से पॉकेट में डालना होगा, D) खिलाड़ी A को एक अतिरिक्त बारी मिलती है</v>
      </c>
      <c r="I598" s="5" t="str">
        <f>IFERROR(__xludf.DUMMYFUNCTION("GOOGLETRANSLATE(D598, ""en"", ""hi"")"),"A) खिलाड़ी B खेल जीतता है")</f>
        <v>A) खिलाड़ी B खेल जीतता है</v>
      </c>
    </row>
    <row r="599" ht="22.5" customHeight="1">
      <c r="A599" s="2">
        <v>598.0</v>
      </c>
      <c r="B599" s="3" t="s">
        <v>9072</v>
      </c>
      <c r="C599" s="3" t="s">
        <v>9073</v>
      </c>
      <c r="D599" s="3" t="s">
        <v>9074</v>
      </c>
      <c r="F599" s="5" t="str">
        <f>IFERROR(__xludf.DUMMYFUNCTION("GOOGLETRANSLATE(A599, ""en"", ""hi"")"),"598")</f>
        <v>598</v>
      </c>
      <c r="G599" s="5" t="str">
        <f>IFERROR(__xludf.DUMMYFUNCTION("GOOGLETRANSLATE(B599, ""en"", ""hi"")"),"खिलाड़ी A अपना कैरम मैन पॉकेट में डालने की कोशिश में विरोधी टीम का कैरम मैन पॉकेट में डाल देता है। इसका परिणाम क्या होगा?")</f>
        <v>खिलाड़ी A अपना कैरम मैन पॉकेट में डालने की कोशिश में विरोधी टीम का कैरम मैन पॉकेट में डाल देता है। इसका परिणाम क्या होगा?</v>
      </c>
      <c r="H599" s="5" t="str">
        <f>IFERROR(__xludf.DUMMYFUNCTION("GOOGLETRANSLATE(C599, ""en"", ""hi"")"),"A) खिलाड़ी A को एक अंक मिलता है, B) खिलाड़ी A को एक अंक का नुकसान होता है, C) खिलाड़ी A को अपनी बारी गंवानी पड़ती है, D) खिलाड़ी B को एक अंक मिलता है")</f>
        <v>A) खिलाड़ी A को एक अंक मिलता है, B) खिलाड़ी A को एक अंक का नुकसान होता है, C) खिलाड़ी A को अपनी बारी गंवानी पड़ती है, D) खिलाड़ी B को एक अंक मिलता है</v>
      </c>
      <c r="I599" s="5" t="str">
        <f>IFERROR(__xludf.DUMMYFUNCTION("GOOGLETRANSLATE(D599, ""en"", ""hi"")"),"C) खिलाड़ी A अपनी बारी गँवा देता है")</f>
        <v>C) खिलाड़ी A अपनी बारी गँवा देता है</v>
      </c>
    </row>
    <row r="600" ht="22.5" customHeight="1">
      <c r="A600" s="2">
        <v>599.0</v>
      </c>
      <c r="B600" s="3" t="s">
        <v>9075</v>
      </c>
      <c r="C600" s="3" t="s">
        <v>9076</v>
      </c>
      <c r="D600" s="3" t="s">
        <v>9077</v>
      </c>
      <c r="F600" s="5" t="str">
        <f>IFERROR(__xludf.DUMMYFUNCTION("GOOGLETRANSLATE(A600, ""en"", ""hi"")"),"599")</f>
        <v>599</v>
      </c>
      <c r="G600" s="5" t="str">
        <f>IFERROR(__xludf.DUMMYFUNCTION("GOOGLETRANSLATE(B600, ""en"", ""hi"")"),"एक डबल्स मैच में, खिलाड़ी A और खिलाड़ी B टीम के साथी हैं। खिलाड़ी A गलती से एक कैरम मैन को गलत पॉकेट में डाल देता है। क्या होता है?")</f>
        <v>एक डबल्स मैच में, खिलाड़ी A और खिलाड़ी B टीम के साथी हैं। खिलाड़ी A गलती से एक कैरम मैन को गलत पॉकेट में डाल देता है। क्या होता है?</v>
      </c>
      <c r="H600" s="5" t="str">
        <f>IFERROR(__xludf.DUMMYFUNCTION("GOOGLETRANSLATE(C600, ""en"", ""hi"")"),"A) खिलाड़ी A की टीम एक अंक खो देती है, B) खिलाड़ी A की बारी समाप्त हो जाती है, C) खिलाड़ी A का साथी अगली बारी लेता है, D) मोहरा वापस बोर्ड पर रख दिया जाता है")</f>
        <v>A) खिलाड़ी A की टीम एक अंक खो देती है, B) खिलाड़ी A की बारी समाप्त हो जाती है, C) खिलाड़ी A का साथी अगली बारी लेता है, D) मोहरा वापस बोर्ड पर रख दिया जाता है</v>
      </c>
      <c r="I600" s="5" t="str">
        <f>IFERROR(__xludf.DUMMYFUNCTION("GOOGLETRANSLATE(D600, ""en"", ""hi"")"),"B) खिलाड़ी A की बारी समाप्त हो गई है")</f>
        <v>B) खिलाड़ी A की बारी समाप्त हो गई है</v>
      </c>
    </row>
    <row r="601" ht="22.5" customHeight="1">
      <c r="A601" s="2">
        <v>600.0</v>
      </c>
      <c r="B601" s="3" t="s">
        <v>9078</v>
      </c>
      <c r="C601" s="3" t="s">
        <v>9079</v>
      </c>
      <c r="D601" s="3" t="s">
        <v>9080</v>
      </c>
      <c r="F601" s="5" t="str">
        <f>IFERROR(__xludf.DUMMYFUNCTION("GOOGLETRANSLATE(A601, ""en"", ""hi"")"),"600")</f>
        <v>600</v>
      </c>
      <c r="G601" s="5" t="str">
        <f>IFERROR(__xludf.DUMMYFUNCTION("GOOGLETRANSLATE(B601, ""en"", ""hi"")"),"खिलाड़ी B गलती से अपने प्रतिद्वंदी के आखिरी कैरम मैन को पॉकेट में डाल देता है, लेकिन क्वीन को पॉकेट में नहीं डालता। इसका नियम क्या है?")</f>
        <v>खिलाड़ी B गलती से अपने प्रतिद्वंदी के आखिरी कैरम मैन को पॉकेट में डाल देता है, लेकिन क्वीन को पॉकेट में नहीं डालता। इसका नियम क्या है?</v>
      </c>
      <c r="H601" s="5" t="str">
        <f>IFERROR(__xludf.DUMMYFUNCTION("GOOGLETRANSLATE(C601, ""en"", ""hi"")"),"A) खिलाड़ी B एक अंक खो देता है, B) खिलाड़ी B को प्रतिद्वंद्वी के कैरम मैन को केंद्र में वापस लाना होगा, C) खिलाड़ी A जीत जाता है, D) खिलाड़ी B अपनी अगली बारी खो देता है")</f>
        <v>A) खिलाड़ी B एक अंक खो देता है, B) खिलाड़ी B को प्रतिद्वंद्वी के कैरम मैन को केंद्र में वापस लाना होगा, C) खिलाड़ी A जीत जाता है, D) खिलाड़ी B अपनी अगली बारी खो देता है</v>
      </c>
      <c r="I601" s="5" t="str">
        <f>IFERROR(__xludf.DUMMYFUNCTION("GOOGLETRANSLATE(D601, ""en"", ""hi"")"),"बी) खिलाड़ी बी को प्रतिद्वंद्वी के कैरम मैन को केंद्र में वापस लाना होगा")</f>
        <v>बी) खिलाड़ी बी को प्रतिद्वंद्वी के कैरम मैन को केंद्र में वापस लाना होगा</v>
      </c>
    </row>
    <row r="602" ht="22.5" customHeight="1">
      <c r="A602" s="2">
        <v>601.0</v>
      </c>
      <c r="B602" s="3" t="s">
        <v>9081</v>
      </c>
      <c r="C602" s="3" t="s">
        <v>9082</v>
      </c>
      <c r="D602" s="3" t="s">
        <v>9062</v>
      </c>
      <c r="F602" s="5" t="str">
        <f>IFERROR(__xludf.DUMMYFUNCTION("GOOGLETRANSLATE(A602, ""en"", ""hi"")"),"601")</f>
        <v>601</v>
      </c>
      <c r="G602" s="5" t="str">
        <f>IFERROR(__xludf.DUMMYFUNCTION("GOOGLETRANSLATE(B602, ""en"", ""hi"")"),"एक महत्वपूर्ण क्षण में, खिलाड़ी A रानी को पॉकेट में डालने में सफल हो जाता है, लेकिन अगले शॉट में उसे कवर नहीं कर पाता। परिणाम क्या होता है?")</f>
        <v>एक महत्वपूर्ण क्षण में, खिलाड़ी A रानी को पॉकेट में डालने में सफल हो जाता है, लेकिन अगले शॉट में उसे कवर नहीं कर पाता। परिणाम क्या होता है?</v>
      </c>
      <c r="H602" s="5" t="str">
        <f>IFERROR(__xludf.DUMMYFUNCTION("GOOGLETRANSLATE(C602, ""en"", ""hi"")"),"A) खिलाड़ी A खेल जीतता है, B) रानी को केंद्र में वापस कर दिया जाता है, C) खिलाड़ी A को एक अतिरिक्त बारी मिलती है, D) खिलाड़ी A को एक अंक का दंड दिया जाता है")</f>
        <v>A) खिलाड़ी A खेल जीतता है, B) रानी को केंद्र में वापस कर दिया जाता है, C) खिलाड़ी A को एक अतिरिक्त बारी मिलती है, D) खिलाड़ी A को एक अंक का दंड दिया जाता है</v>
      </c>
      <c r="I602" s="5" t="str">
        <f>IFERROR(__xludf.DUMMYFUNCTION("GOOGLETRANSLATE(D602, ""en"", ""hi"")"),"B) रानी को केंद्र में वापस लाया जाता है")</f>
        <v>B) रानी को केंद्र में वापस लाया जाता है</v>
      </c>
    </row>
    <row r="603" ht="22.5" customHeight="1">
      <c r="A603" s="2">
        <v>602.0</v>
      </c>
      <c r="B603" s="3" t="s">
        <v>9083</v>
      </c>
      <c r="C603" s="3" t="s">
        <v>9084</v>
      </c>
      <c r="D603" s="3" t="s">
        <v>9085</v>
      </c>
      <c r="F603" s="5" t="str">
        <f>IFERROR(__xludf.DUMMYFUNCTION("GOOGLETRANSLATE(A603, ""en"", ""hi"")"),"602")</f>
        <v>602</v>
      </c>
      <c r="G603" s="5" t="str">
        <f>IFERROR(__xludf.DUMMYFUNCTION("GOOGLETRANSLATE(B603, ""en"", ""hi"")"),"खिलाड़ी B स्ट्राइक करता है, और उसका कैरम मैन बोर्ड के किनारे से उछलकर प्रतिद्वंद्वी के मोहरे को पॉकेट में डाल देता है। क्या होता है?")</f>
        <v>खिलाड़ी B स्ट्राइक करता है, और उसका कैरम मैन बोर्ड के किनारे से उछलकर प्रतिद्वंद्वी के मोहरे को पॉकेट में डाल देता है। क्या होता है?</v>
      </c>
      <c r="H603" s="5" t="str">
        <f>IFERROR(__xludf.DUMMYFUNCTION("GOOGLETRANSLATE(C603, ""en"", ""hi"")"),"A) खिलाड़ी B को एक अंक मिलता है, B) खिलाड़ी B को एक अंक का नुकसान होता है, C) खिलाड़ी A को एक अंक मिलता है, D) शॉट अमान्य है")</f>
        <v>A) खिलाड़ी B को एक अंक मिलता है, B) खिलाड़ी B को एक अंक का नुकसान होता है, C) खिलाड़ी A को एक अंक मिलता है, D) शॉट अमान्य है</v>
      </c>
      <c r="I603" s="5" t="str">
        <f>IFERROR(__xludf.DUMMYFUNCTION("GOOGLETRANSLATE(D603, ""en"", ""hi"")"),"C) खिलाड़ी A को एक अंक प्राप्त होता है")</f>
        <v>C) खिलाड़ी A को एक अंक प्राप्त होता है</v>
      </c>
    </row>
    <row r="604" ht="22.5" customHeight="1">
      <c r="A604" s="2">
        <v>603.0</v>
      </c>
      <c r="B604" s="3" t="s">
        <v>9086</v>
      </c>
      <c r="C604" s="3" t="s">
        <v>9087</v>
      </c>
      <c r="D604" s="3" t="s">
        <v>9088</v>
      </c>
      <c r="F604" s="5" t="str">
        <f>IFERROR(__xludf.DUMMYFUNCTION("GOOGLETRANSLATE(A604, ""en"", ""hi"")"),"603")</f>
        <v>603</v>
      </c>
      <c r="G604" s="5" t="str">
        <f>IFERROR(__xludf.DUMMYFUNCTION("GOOGLETRANSLATE(B604, ""en"", ""hi"")"),"खिलाड़ी A ने एक ही शॉट में स्ट्राइकर और कैरम मैन को पॉकेट में डाल दिया। नियम क्या है?")</f>
        <v>खिलाड़ी A ने एक ही शॉट में स्ट्राइकर और कैरम मैन को पॉकेट में डाल दिया। नियम क्या है?</v>
      </c>
      <c r="H604" s="5" t="str">
        <f>IFERROR(__xludf.DUMMYFUNCTION("GOOGLETRANSLATE(C604, ""en"", ""hi"")"),"A) खिलाड़ी A अपनी बारी और एक अंक खो देता है, B) खिलाड़ी A केवल अपनी बारी खो देता है, C) खिलाड़ी A एक अंक प्राप्त करता है, D) खिलाड़ी A शॉट को फिर से खेल सकता है")</f>
        <v>A) खिलाड़ी A अपनी बारी और एक अंक खो देता है, B) खिलाड़ी A केवल अपनी बारी खो देता है, C) खिलाड़ी A एक अंक प्राप्त करता है, D) खिलाड़ी A शॉट को फिर से खेल सकता है</v>
      </c>
      <c r="I604" s="5" t="str">
        <f>IFERROR(__xludf.DUMMYFUNCTION("GOOGLETRANSLATE(D604, ""en"", ""hi"")"),"A) खिलाड़ी A अपनी बारी और एक अंक खो देता है")</f>
        <v>A) खिलाड़ी A अपनी बारी और एक अंक खो देता है</v>
      </c>
    </row>
    <row r="605" ht="22.5" customHeight="1">
      <c r="A605" s="2">
        <v>604.0</v>
      </c>
      <c r="B605" s="3" t="s">
        <v>9089</v>
      </c>
      <c r="C605" s="3" t="s">
        <v>9090</v>
      </c>
      <c r="D605" s="3" t="s">
        <v>9091</v>
      </c>
      <c r="F605" s="5" t="str">
        <f>IFERROR(__xludf.DUMMYFUNCTION("GOOGLETRANSLATE(A605, ""en"", ""hi"")"),"604")</f>
        <v>604</v>
      </c>
      <c r="G605" s="5" t="str">
        <f>IFERROR(__xludf.DUMMYFUNCTION("GOOGLETRANSLATE(B605, ""en"", ""hi"")"),"चैंपियनशिप के अंतिम दौर में, खिलाड़ी B क्वीन पर स्ट्राइक करता है, लेकिन स्ट्राइकर पॉकेट में चला जाता है। क्या होता है?")</f>
        <v>चैंपियनशिप के अंतिम दौर में, खिलाड़ी B क्वीन पर स्ट्राइक करता है, लेकिन स्ट्राइकर पॉकेट में चला जाता है। क्या होता है?</v>
      </c>
      <c r="H605" s="5" t="str">
        <f>IFERROR(__xludf.DUMMYFUNCTION("GOOGLETRANSLATE(C605, ""en"", ""hi"")"),"A) खिलाड़ी B रानी खो देता है, B) खिलाड़ी B रानी रखता है लेकिन एक अंक खो देता है, C) खिलाड़ी B अपनी बारी खो देता है, D) खिलाड़ी A को एक अंक मिलता है")</f>
        <v>A) खिलाड़ी B रानी खो देता है, B) खिलाड़ी B रानी रखता है लेकिन एक अंक खो देता है, C) खिलाड़ी B अपनी बारी खो देता है, D) खिलाड़ी A को एक अंक मिलता है</v>
      </c>
      <c r="I605" s="5" t="str">
        <f>IFERROR(__xludf.DUMMYFUNCTION("GOOGLETRANSLATE(D605, ""en"", ""hi"")"),"A) खिलाड़ी B रानी खो देता है")</f>
        <v>A) खिलाड़ी B रानी खो देता है</v>
      </c>
    </row>
    <row r="606" ht="22.5" customHeight="1">
      <c r="A606" s="2">
        <v>605.0</v>
      </c>
      <c r="B606" s="3" t="s">
        <v>9092</v>
      </c>
      <c r="C606" s="3" t="s">
        <v>9093</v>
      </c>
      <c r="D606" s="3" t="s">
        <v>9094</v>
      </c>
      <c r="F606" s="5" t="str">
        <f>IFERROR(__xludf.DUMMYFUNCTION("GOOGLETRANSLATE(A606, ""en"", ""hi"")"),"605")</f>
        <v>605</v>
      </c>
      <c r="G606" s="5" t="str">
        <f>IFERROR(__xludf.DUMMYFUNCTION("GOOGLETRANSLATE(B606, ""en"", ""hi"")"),"खिलाड़ी A रानी को सफलतापूर्वक कवर करता है, लेकिन अगली बारी में गलती से स्ट्राइकर को पॉकेट में डाल देता है। क्या होता है?")</f>
        <v>खिलाड़ी A रानी को सफलतापूर्वक कवर करता है, लेकिन अगली बारी में गलती से स्ट्राइकर को पॉकेट में डाल देता है। क्या होता है?</v>
      </c>
      <c r="H606" s="5" t="str">
        <f>IFERROR(__xludf.DUMMYFUNCTION("GOOGLETRANSLATE(C606, ""en"", ""hi"")"),"A) खिलाड़ी A रानी को अपने पास रखता है लेकिन एक अंक खो देता है, B) खिलाड़ी A रानी को खो देता है, C) खिलाड़ी A को एक अंक मिलता है, D) खिलाड़ी A को बारी फिर से खेलनी होगी")</f>
        <v>A) खिलाड़ी A रानी को अपने पास रखता है लेकिन एक अंक खो देता है, B) खिलाड़ी A रानी को खो देता है, C) खिलाड़ी A को एक अंक मिलता है, D) खिलाड़ी A को बारी फिर से खेलनी होगी</v>
      </c>
      <c r="I606" s="5" t="str">
        <f>IFERROR(__xludf.DUMMYFUNCTION("GOOGLETRANSLATE(D606, ""en"", ""hi"")"),"B) खिलाड़ी A रानी खो देता है")</f>
        <v>B) खिलाड़ी A रानी खो देता है</v>
      </c>
    </row>
    <row r="607" ht="22.5" customHeight="1">
      <c r="A607" s="2">
        <v>606.0</v>
      </c>
      <c r="B607" s="3" t="s">
        <v>9095</v>
      </c>
      <c r="C607" s="3" t="s">
        <v>9096</v>
      </c>
      <c r="D607" s="3" t="s">
        <v>9062</v>
      </c>
      <c r="F607" s="5" t="str">
        <f>IFERROR(__xludf.DUMMYFUNCTION("GOOGLETRANSLATE(A607, ""en"", ""hi"")"),"606")</f>
        <v>606</v>
      </c>
      <c r="G607" s="5" t="str">
        <f>IFERROR(__xludf.DUMMYFUNCTION("GOOGLETRANSLATE(B607, ""en"", ""hi"")"),"खिलाड़ी B रानी को पॉकेट में डालता है, लेकिन उसी पारी में किसी अन्य कैरम खिलाड़ी को पॉकेट में डालने में विफल रहता है। परिणाम क्या होगा?")</f>
        <v>खिलाड़ी B रानी को पॉकेट में डालता है, लेकिन उसी पारी में किसी अन्य कैरम खिलाड़ी को पॉकेट में डालने में विफल रहता है। परिणाम क्या होगा?</v>
      </c>
      <c r="H607" s="5" t="str">
        <f>IFERROR(__xludf.DUMMYFUNCTION("GOOGLETRANSLATE(C607, ""en"", ""hi"")"),"A) खिलाड़ी B रानी को अपने पास रखता है, B) रानी को केंद्र में वापस कर दिया जाता है, C) खिलाड़ी A को एक अंक मिलता है, D) खिलाड़ी B को कैरम मैन को पॉकेट में डालने का एक और प्रयास मिलता है")</f>
        <v>A) खिलाड़ी B रानी को अपने पास रखता है, B) रानी को केंद्र में वापस कर दिया जाता है, C) खिलाड़ी A को एक अंक मिलता है, D) खिलाड़ी B को कैरम मैन को पॉकेट में डालने का एक और प्रयास मिलता है</v>
      </c>
      <c r="I607" s="5" t="str">
        <f>IFERROR(__xludf.DUMMYFUNCTION("GOOGLETRANSLATE(D607, ""en"", ""hi"")"),"B) रानी को केंद्र में वापस लाया जाता है")</f>
        <v>B) रानी को केंद्र में वापस लाया जाता है</v>
      </c>
    </row>
    <row r="608" ht="22.5" customHeight="1">
      <c r="A608" s="2">
        <v>607.0</v>
      </c>
      <c r="B608" s="3" t="s">
        <v>9097</v>
      </c>
      <c r="C608" s="3" t="s">
        <v>9098</v>
      </c>
      <c r="D608" s="3" t="s">
        <v>9062</v>
      </c>
      <c r="F608" s="5" t="str">
        <f>IFERROR(__xludf.DUMMYFUNCTION("GOOGLETRANSLATE(A608, ""en"", ""hi"")"),"607")</f>
        <v>607</v>
      </c>
      <c r="G608" s="5" t="str">
        <f>IFERROR(__xludf.DUMMYFUNCTION("GOOGLETRANSLATE(B608, ""en"", ""hi"")"),"खिलाड़ी A स्ट्राइक करता है और क्वीन को पॉकेट में डाल देता है, लेकिन फिर स्ट्राइकर को पॉकेट में डालकर फ़ाउल कर देता है। क्या होता है?")</f>
        <v>खिलाड़ी A स्ट्राइक करता है और क्वीन को पॉकेट में डाल देता है, लेकिन फिर स्ट्राइकर को पॉकेट में डालकर फ़ाउल कर देता है। क्या होता है?</v>
      </c>
      <c r="H608" s="5" t="str">
        <f>IFERROR(__xludf.DUMMYFUNCTION("GOOGLETRANSLATE(C608, ""en"", ""hi"")"),"A) खिलाड़ी A रानी को अपने पास रखता है, B) रानी को केंद्र में वापस कर दिया जाता है, C) खिलाड़ी A एक अंक खो देता है, D) खिलाड़ी B को एक अंक मिलता है")</f>
        <v>A) खिलाड़ी A रानी को अपने पास रखता है, B) रानी को केंद्र में वापस कर दिया जाता है, C) खिलाड़ी A एक अंक खो देता है, D) खिलाड़ी B को एक अंक मिलता है</v>
      </c>
      <c r="I608" s="5" t="str">
        <f>IFERROR(__xludf.DUMMYFUNCTION("GOOGLETRANSLATE(D608, ""en"", ""hi"")"),"B) रानी को केंद्र में वापस लाया जाता है")</f>
        <v>B) रानी को केंद्र में वापस लाया जाता है</v>
      </c>
    </row>
    <row r="609" ht="22.5" customHeight="1">
      <c r="A609" s="2">
        <v>608.0</v>
      </c>
      <c r="B609" s="3" t="s">
        <v>9099</v>
      </c>
      <c r="C609" s="3" t="s">
        <v>9100</v>
      </c>
      <c r="D609" s="3" t="s">
        <v>9085</v>
      </c>
      <c r="F609" s="5" t="str">
        <f>IFERROR(__xludf.DUMMYFUNCTION("GOOGLETRANSLATE(A609, ""en"", ""hi"")"),"608")</f>
        <v>608</v>
      </c>
      <c r="G609" s="5" t="str">
        <f>IFERROR(__xludf.DUMMYFUNCTION("GOOGLETRANSLATE(B609, ""en"", ""hi"")"),"खिलाड़ी B जीतने ही वाला है, लेकिन गलती से खिलाड़ी A के कैरम मैन में से एक पॉकेट में चला जाता है। नियम क्या है?")</f>
        <v>खिलाड़ी B जीतने ही वाला है, लेकिन गलती से खिलाड़ी A के कैरम मैन में से एक पॉकेट में चला जाता है। नियम क्या है?</v>
      </c>
      <c r="H609" s="5" t="str">
        <f>IFERROR(__xludf.DUMMYFUNCTION("GOOGLETRANSLATE(C609, ""en"", ""hi"")"),"A) खिलाड़ी B खेल छोड़ देता है, B) खिलाड़ी B एक अंक खो देता है, C) खिलाड़ी A एक अंक प्राप्त करता है, D) खिलाड़ी B खेलना जारी रखता है")</f>
        <v>A) खिलाड़ी B खेल छोड़ देता है, B) खिलाड़ी B एक अंक खो देता है, C) खिलाड़ी A एक अंक प्राप्त करता है, D) खिलाड़ी B खेलना जारी रखता है</v>
      </c>
      <c r="I609" s="5" t="str">
        <f>IFERROR(__xludf.DUMMYFUNCTION("GOOGLETRANSLATE(D609, ""en"", ""hi"")"),"C) खिलाड़ी A को एक अंक प्राप्त होता है")</f>
        <v>C) खिलाड़ी A को एक अंक प्राप्त होता है</v>
      </c>
    </row>
    <row r="610" ht="22.5" customHeight="1">
      <c r="A610" s="2">
        <v>609.0</v>
      </c>
      <c r="B610" s="3" t="s">
        <v>9101</v>
      </c>
      <c r="C610" s="3" t="s">
        <v>9102</v>
      </c>
      <c r="D610" s="3" t="s">
        <v>9103</v>
      </c>
      <c r="F610" s="5" t="str">
        <f>IFERROR(__xludf.DUMMYFUNCTION("GOOGLETRANSLATE(A610, ""en"", ""hi"")"),"609")</f>
        <v>609</v>
      </c>
      <c r="G610" s="5" t="str">
        <f>IFERROR(__xludf.DUMMYFUNCTION("GOOGLETRANSLATE(B610, ""en"", ""hi"")"),"एक तनावपूर्ण क्षण में, खिलाड़ी A गलती से अपने स्ट्राइकर को लगातार दो बार पॉकेट में डाल देता है। इसकी सज़ा क्या है?")</f>
        <v>एक तनावपूर्ण क्षण में, खिलाड़ी A गलती से अपने स्ट्राइकर को लगातार दो बार पॉकेट में डाल देता है। इसकी सज़ा क्या है?</v>
      </c>
      <c r="H610" s="5" t="str">
        <f>IFERROR(__xludf.DUMMYFUNCTION("GOOGLETRANSLATE(C610, ""en"", ""hi"")"),"A) खिलाड़ी A प्रत्येक फ़ाउल के लिए एक अंक खोता है, B) खिलाड़ी A खेल छोड़ देता है, C) खिलाड़ी A केवल एक बार अंक खोता है, D) खिलाड़ी A खेलना जारी रखता है")</f>
        <v>A) खिलाड़ी A प्रत्येक फ़ाउल के लिए एक अंक खोता है, B) खिलाड़ी A खेल छोड़ देता है, C) खिलाड़ी A केवल एक बार अंक खोता है, D) खिलाड़ी A खेलना जारी रखता है</v>
      </c>
      <c r="I610" s="5" t="str">
        <f>IFERROR(__xludf.DUMMYFUNCTION("GOOGLETRANSLATE(D610, ""en"", ""hi"")"),"A) खिलाड़ी A प्रत्येक फ़ाउल के लिए एक अंक खो देता है")</f>
        <v>A) खिलाड़ी A प्रत्येक फ़ाउल के लिए एक अंक खो देता है</v>
      </c>
    </row>
    <row r="611" ht="22.5" customHeight="1">
      <c r="A611" s="2">
        <v>610.0</v>
      </c>
      <c r="B611" s="3" t="s">
        <v>9104</v>
      </c>
      <c r="C611" s="3" t="s">
        <v>9105</v>
      </c>
      <c r="D611" s="3" t="s">
        <v>9062</v>
      </c>
      <c r="F611" s="5" t="str">
        <f>IFERROR(__xludf.DUMMYFUNCTION("GOOGLETRANSLATE(A611, ""en"", ""hi"")"),"610")</f>
        <v>610</v>
      </c>
      <c r="G611" s="5" t="str">
        <f>IFERROR(__xludf.DUMMYFUNCTION("GOOGLETRANSLATE(B611, ""en"", ""hi"")"),"खिलाड़ी B रानी को पॉकेट में डाल देता है, लेकिन उसके बाद कोई भी कैरम मैन पॉकेट में नहीं डाल पाता। क्या होता है?")</f>
        <v>खिलाड़ी B रानी को पॉकेट में डाल देता है, लेकिन उसके बाद कोई भी कैरम मैन पॉकेट में नहीं डाल पाता। क्या होता है?</v>
      </c>
      <c r="H611" s="5" t="str">
        <f>IFERROR(__xludf.DUMMYFUNCTION("GOOGLETRANSLATE(C611, ""en"", ""hi"")"),"A) खिलाड़ी B रानी को अपने पास रखता है, B) रानी को केंद्र में वापस कर दिया जाता है, C) खिलाड़ी B एक अंक खो देता है, D) खिलाड़ी A एक अंक प्राप्त करता है")</f>
        <v>A) खिलाड़ी B रानी को अपने पास रखता है, B) रानी को केंद्र में वापस कर दिया जाता है, C) खिलाड़ी B एक अंक खो देता है, D) खिलाड़ी A एक अंक प्राप्त करता है</v>
      </c>
      <c r="I611" s="5" t="str">
        <f>IFERROR(__xludf.DUMMYFUNCTION("GOOGLETRANSLATE(D611, ""en"", ""hi"")"),"B) रानी को केंद्र में वापस लाया जाता है")</f>
        <v>B) रानी को केंद्र में वापस लाया जाता है</v>
      </c>
    </row>
    <row r="612" ht="22.5" customHeight="1">
      <c r="A612" s="2">
        <v>611.0</v>
      </c>
      <c r="B612" s="3" t="s">
        <v>9106</v>
      </c>
      <c r="C612" s="3" t="s">
        <v>9107</v>
      </c>
      <c r="D612" s="3" t="s">
        <v>9108</v>
      </c>
      <c r="F612" s="5" t="str">
        <f>IFERROR(__xludf.DUMMYFUNCTION("GOOGLETRANSLATE(A612, ""en"", ""hi"")"),"611")</f>
        <v>611</v>
      </c>
      <c r="G612" s="5" t="str">
        <f>IFERROR(__xludf.DUMMYFUNCTION("GOOGLETRANSLATE(B612, ""en"", ""hi"")"),"एक डबल्स मैच के दौरान, खिलाड़ी A, आखिरी कैरम मैन को पॉकेट में डालता है, लेकिन क्वीन को नहीं। उनकी टीम की जीत के लिए क्या होना चाहिए?")</f>
        <v>एक डबल्स मैच के दौरान, खिलाड़ी A, आखिरी कैरम मैन को पॉकेट में डालता है, लेकिन क्वीन को नहीं। उनकी टीम की जीत के लिए क्या होना चाहिए?</v>
      </c>
      <c r="H612" s="5" t="str">
        <f>IFERROR(__xludf.DUMMYFUNCTION("GOOGLETRANSLATE(C612, ""en"", ""hi"")"),"A) खिलाड़ी A को अगली बारी में रानी को पॉकेट में डालना होगा, B) खिलाड़ी A खेल जीतता है, C) खिलाड़ी A के साथी को रानी को पॉकेट में डालना होगा, D) खिलाड़ी B को एक अतिरिक्त बारी मिलती है")</f>
        <v>A) खिलाड़ी A को अगली बारी में रानी को पॉकेट में डालना होगा, B) खिलाड़ी A खेल जीतता है, C) खिलाड़ी A के साथी को रानी को पॉकेट में डालना होगा, D) खिलाड़ी B को एक अतिरिक्त बारी मिलती है</v>
      </c>
      <c r="I612" s="5" t="str">
        <f>IFERROR(__xludf.DUMMYFUNCTION("GOOGLETRANSLATE(D612, ""en"", ""hi"")"),"A) खिलाड़ी A को अगली बारी में रानी को पॉकेट में डालना होगा")</f>
        <v>A) खिलाड़ी A को अगली बारी में रानी को पॉकेट में डालना होगा</v>
      </c>
    </row>
    <row r="613" ht="22.5" customHeight="1">
      <c r="A613" s="2">
        <v>612.0</v>
      </c>
      <c r="B613" s="3" t="s">
        <v>9109</v>
      </c>
      <c r="C613" s="3" t="s">
        <v>9110</v>
      </c>
      <c r="D613" s="3" t="s">
        <v>9111</v>
      </c>
      <c r="F613" s="5" t="str">
        <f>IFERROR(__xludf.DUMMYFUNCTION("GOOGLETRANSLATE(A613, ""en"", ""hi"")"),"612")</f>
        <v>612</v>
      </c>
      <c r="G613" s="5" t="str">
        <f>IFERROR(__xludf.DUMMYFUNCTION("GOOGLETRANSLATE(B613, ""en"", ""hi"")"),"खिलाड़ी B दो कैरम मैन पॉकेट में डालता है, लेकिन स्ट्राइकर भी पॉकेट में चला जाता है। नियम क्या है?")</f>
        <v>खिलाड़ी B दो कैरम मैन पॉकेट में डालता है, लेकिन स्ट्राइकर भी पॉकेट में चला जाता है। नियम क्या है?</v>
      </c>
      <c r="H613" s="5" t="str">
        <f>IFERROR(__xludf.DUMMYFUNCTION("GOOGLETRANSLATE(C613, ""en"", ""hi"")"),"A) खिलाड़ी B को दो अंक मिलते हैं, B) खिलाड़ी B को एक अंक का नुकसान होता है, C) खिलाड़ी B को दोनों अंक का नुकसान होता है, D) खिलाड़ी A को एक अंक का नुकसान होता है")</f>
        <v>A) खिलाड़ी B को दो अंक मिलते हैं, B) खिलाड़ी B को एक अंक का नुकसान होता है, C) खिलाड़ी B को दोनों अंक का नुकसान होता है, D) खिलाड़ी A को एक अंक का नुकसान होता है</v>
      </c>
      <c r="I613" s="5" t="str">
        <f>IFERROR(__xludf.DUMMYFUNCTION("GOOGLETRANSLATE(D613, ""en"", ""hi"")"),"B) खिलाड़ी B एक अंक खो देता है")</f>
        <v>B) खिलाड़ी B एक अंक खो देता है</v>
      </c>
    </row>
    <row r="614" ht="22.5" customHeight="1">
      <c r="A614" s="2">
        <v>613.0</v>
      </c>
      <c r="B614" s="3" t="s">
        <v>9112</v>
      </c>
      <c r="C614" s="3" t="s">
        <v>9113</v>
      </c>
      <c r="D614" s="3" t="s">
        <v>9114</v>
      </c>
      <c r="F614" s="5" t="str">
        <f>IFERROR(__xludf.DUMMYFUNCTION("GOOGLETRANSLATE(A614, ""en"", ""hi"")"),"613")</f>
        <v>613</v>
      </c>
      <c r="G614" s="5" t="str">
        <f>IFERROR(__xludf.DUMMYFUNCTION("GOOGLETRANSLATE(B614, ""en"", ""hi"")"),"आखिरी शॉट में, खिलाड़ी A एक ही बार में रानी और आखिरी कैरम मैन दोनों को पॉकेट में डाल देता है। नतीजा क्या होता है?")</f>
        <v>आखिरी शॉट में, खिलाड़ी A एक ही बार में रानी और आखिरी कैरम मैन दोनों को पॉकेट में डाल देता है। नतीजा क्या होता है?</v>
      </c>
      <c r="H614" s="5" t="str">
        <f>IFERROR(__xludf.DUMMYFUNCTION("GOOGLETRANSLATE(C614, ""en"", ""hi"")"),"A) खिलाड़ी A खेल जीतता है, B) शॉट अमान्य है, C) खिलाड़ी A को रानी को अलग से पॉकेट में डालना होगा, D) खिलाड़ी B को एक अतिरिक्त बारी मिलती है")</f>
        <v>A) खिलाड़ी A खेल जीतता है, B) शॉट अमान्य है, C) खिलाड़ी A को रानी को अलग से पॉकेट में डालना होगा, D) खिलाड़ी B को एक अतिरिक्त बारी मिलती है</v>
      </c>
      <c r="I614" s="5" t="str">
        <f>IFERROR(__xludf.DUMMYFUNCTION("GOOGLETRANSLATE(D614, ""en"", ""hi"")"),"A) खिलाड़ी A खेल जीतता है")</f>
        <v>A) खिलाड़ी A खेल जीतता है</v>
      </c>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1.88"/>
    <col customWidth="1" min="7" max="8" width="37.63"/>
    <col customWidth="1" min="9" max="9" width="21.5"/>
  </cols>
  <sheetData>
    <row r="1" ht="22.5" customHeight="1">
      <c r="A1" s="1" t="s">
        <v>0</v>
      </c>
      <c r="B1" s="1" t="s">
        <v>1</v>
      </c>
      <c r="C1" s="1" t="s">
        <v>2</v>
      </c>
      <c r="D1" s="1" t="s">
        <v>3</v>
      </c>
      <c r="F1" s="4" t="s">
        <v>4</v>
      </c>
      <c r="G1" s="4" t="s">
        <v>5</v>
      </c>
      <c r="H1" s="4" t="s">
        <v>6</v>
      </c>
      <c r="I1" s="4" t="s">
        <v>7</v>
      </c>
    </row>
    <row r="2" ht="22.5" customHeight="1">
      <c r="A2" s="2">
        <v>1.0</v>
      </c>
      <c r="B2" s="3" t="s">
        <v>9115</v>
      </c>
      <c r="C2" s="3" t="s">
        <v>9116</v>
      </c>
      <c r="D2" s="3" t="s">
        <v>9117</v>
      </c>
      <c r="F2" s="5" t="str">
        <f>IFERROR(__xludf.DUMMYFUNCTION("GOOGLETRANSLATE(A2, ""en"", ""hi"")"),"1")</f>
        <v>1</v>
      </c>
      <c r="G2" s="5" t="str">
        <f>IFERROR(__xludf.DUMMYFUNCTION("GOOGLETRANSLATE(B2, ""en"", ""hi"")"),"पारंपरिक भारतीय मार्शल आर्ट में सिलंबम मुख्य रूप से किस लिए जाना जाता है?")</f>
        <v>पारंपरिक भारतीय मार्शल आर्ट में सिलंबम मुख्य रूप से किस लिए जाना जाता है?</v>
      </c>
      <c r="H2" s="5" t="str">
        <f>IFERROR(__xludf.DUMMYFUNCTION("GOOGLETRANSLATE(C2, ""en"", ""hi"")"),"A) तलवारबाजी, B) लाठी लड़ाई, C) हाथ से हाथ का मुकाबला, D) तीरंदाजी")</f>
        <v>A) तलवारबाजी, B) लाठी लड़ाई, C) हाथ से हाथ का मुकाबला, D) तीरंदाजी</v>
      </c>
      <c r="I2" s="5" t="str">
        <f>IFERROR(__xludf.DUMMYFUNCTION("GOOGLETRANSLATE(D2, ""en"", ""hi"")"),"बी) छड़ी लड़ाई")</f>
        <v>बी) छड़ी लड़ाई</v>
      </c>
    </row>
    <row r="3" ht="22.5" customHeight="1">
      <c r="A3" s="2">
        <v>2.0</v>
      </c>
      <c r="B3" s="3" t="s">
        <v>9118</v>
      </c>
      <c r="C3" s="3" t="s">
        <v>9119</v>
      </c>
      <c r="D3" s="3" t="s">
        <v>9120</v>
      </c>
      <c r="F3" s="5" t="str">
        <f>IFERROR(__xludf.DUMMYFUNCTION("GOOGLETRANSLATE(A3, ""en"", ""hi"")"),"2")</f>
        <v>2</v>
      </c>
      <c r="G3" s="5" t="str">
        <f>IFERROR(__xludf.DUMMYFUNCTION("GOOGLETRANSLATE(B3, ""en"", ""hi"")"),"सिलंबम का उद्गम स्थल कौन सा क्षेत्र माना जाता है?")</f>
        <v>सिलंबम का उद्गम स्थल कौन सा क्षेत्र माना जाता है?</v>
      </c>
      <c r="H3" s="5" t="str">
        <f>IFERROR(__xludf.DUMMYFUNCTION("GOOGLETRANSLATE(C3, ""en"", ""hi"")"),"ए) केरल, बी) महाराष्ट्र, सी) तमिलनाडु, डी) कर्नाटक")</f>
        <v>ए) केरल, बी) महाराष्ट्र, सी) तमिलनाडु, डी) कर्नाटक</v>
      </c>
      <c r="I3" s="5" t="str">
        <f>IFERROR(__xludf.DUMMYFUNCTION("GOOGLETRANSLATE(D3, ""en"", ""hi"")"),"C) तमिलनाडु")</f>
        <v>C) तमिलनाडु</v>
      </c>
    </row>
    <row r="4" ht="22.5" customHeight="1">
      <c r="A4" s="2">
        <v>3.0</v>
      </c>
      <c r="B4" s="3" t="s">
        <v>9121</v>
      </c>
      <c r="C4" s="3" t="s">
        <v>9122</v>
      </c>
      <c r="D4" s="3" t="s">
        <v>9123</v>
      </c>
      <c r="F4" s="5" t="str">
        <f>IFERROR(__xludf.DUMMYFUNCTION("GOOGLETRANSLATE(A4, ""en"", ""hi"")"),"3")</f>
        <v>3</v>
      </c>
      <c r="G4" s="5" t="str">
        <f>IFERROR(__xludf.DUMMYFUNCTION("GOOGLETRANSLATE(B4, ""en"", ""hi"")"),"सिलंबम छड़ी की मानक लंबाई कितनी होती है?")</f>
        <v>सिलंबम छड़ी की मानक लंबाई कितनी होती है?</v>
      </c>
      <c r="H4" s="5" t="str">
        <f>IFERROR(__xludf.DUMMYFUNCTION("GOOGLETRANSLATE(C4, ""en"", ""hi"")"),"A) 3 फीट, B) 5 फीट, C) 7 फीट, D) 9 फीट")</f>
        <v>A) 3 फीट, B) 5 फीट, C) 7 फीट, D) 9 फीट</v>
      </c>
      <c r="I4" s="5" t="str">
        <f>IFERROR(__xludf.DUMMYFUNCTION("GOOGLETRANSLATE(D4, ""en"", ""hi"")"),"बी) 5 फीट")</f>
        <v>बी) 5 फीट</v>
      </c>
    </row>
    <row r="5" ht="22.5" customHeight="1">
      <c r="A5" s="2">
        <v>4.0</v>
      </c>
      <c r="B5" s="3" t="s">
        <v>9124</v>
      </c>
      <c r="C5" s="3" t="s">
        <v>9125</v>
      </c>
      <c r="D5" s="3" t="s">
        <v>9126</v>
      </c>
      <c r="F5" s="5" t="str">
        <f>IFERROR(__xludf.DUMMYFUNCTION("GOOGLETRANSLATE(A5, ""en"", ""hi"")"),"4")</f>
        <v>4</v>
      </c>
      <c r="G5" s="5" t="str">
        <f>IFERROR(__xludf.DUMMYFUNCTION("GOOGLETRANSLATE(B5, ""en"", ""hi"")"),"निम्नलिखित में से कौन सी सामग्री पारंपरिक रूप से सिलंबम छड़ें बनाने के लिए उपयोग की जाती है?")</f>
        <v>निम्नलिखित में से कौन सी सामग्री पारंपरिक रूप से सिलंबम छड़ें बनाने के लिए उपयोग की जाती है?</v>
      </c>
      <c r="H5" s="5" t="str">
        <f>IFERROR(__xludf.DUMMYFUNCTION("GOOGLETRANSLATE(C5, ""en"", ""hi"")"),"A) बांस, B) ओक, C) लोहा, D) सागौन")</f>
        <v>A) बांस, B) ओक, C) लोहा, D) सागौन</v>
      </c>
      <c r="I5" s="5" t="str">
        <f>IFERROR(__xludf.DUMMYFUNCTION("GOOGLETRANSLATE(D5, ""en"", ""hi"")"),"A) बांस")</f>
        <v>A) बांस</v>
      </c>
    </row>
    <row r="6" ht="22.5" customHeight="1">
      <c r="A6" s="2">
        <v>5.0</v>
      </c>
      <c r="B6" s="3" t="s">
        <v>9127</v>
      </c>
      <c r="C6" s="3" t="s">
        <v>9128</v>
      </c>
      <c r="D6" s="3" t="s">
        <v>9129</v>
      </c>
      <c r="F6" s="5" t="str">
        <f>IFERROR(__xludf.DUMMYFUNCTION("GOOGLETRANSLATE(A6, ""en"", ""hi"")"),"5")</f>
        <v>5</v>
      </c>
      <c r="G6" s="5" t="str">
        <f>IFERROR(__xludf.DUMMYFUNCTION("GOOGLETRANSLATE(B6, ""en"", ""hi"")"),"सिलंबम मुख्य रूप से मार्शल आर्ट के किस पहलू पर केंद्रित है?")</f>
        <v>सिलंबम मुख्य रूप से मार्शल आर्ट के किस पहलू पर केंद्रित है?</v>
      </c>
      <c r="H6" s="5" t="str">
        <f>IFERROR(__xludf.DUMMYFUNCTION("GOOGLETRANSLATE(C6, ""en"", ""hi"")"),"A) ग्रैपलिंग, B) स्ट्राइकिंग, C) रक्षात्मक चालें, D) लचीलापन")</f>
        <v>A) ग्रैपलिंग, B) स्ट्राइकिंग, C) रक्षात्मक चालें, D) लचीलापन</v>
      </c>
      <c r="I6" s="5" t="str">
        <f>IFERROR(__xludf.DUMMYFUNCTION("GOOGLETRANSLATE(D6, ""en"", ""hi"")"),"C) रक्षात्मक चालें")</f>
        <v>C) रक्षात्मक चालें</v>
      </c>
    </row>
    <row r="7" ht="22.5" customHeight="1">
      <c r="A7" s="2">
        <v>6.0</v>
      </c>
      <c r="B7" s="3" t="s">
        <v>9130</v>
      </c>
      <c r="C7" s="3" t="s">
        <v>9131</v>
      </c>
      <c r="D7" s="3" t="s">
        <v>9132</v>
      </c>
      <c r="F7" s="5" t="str">
        <f>IFERROR(__xludf.DUMMYFUNCTION("GOOGLETRANSLATE(A7, ""en"", ""hi"")"),"6")</f>
        <v>6</v>
      </c>
      <c r="G7" s="5" t="str">
        <f>IFERROR(__xludf.DUMMYFUNCTION("GOOGLETRANSLATE(B7, ""en"", ""hi"")"),"युद्ध के दौरान सिलंबम अभ्यासियों का मुख्य लक्ष्य क्या है?")</f>
        <v>युद्ध के दौरान सिलंबम अभ्यासियों का मुख्य लक्ष्य क्या है?</v>
      </c>
      <c r="H7" s="5" t="str">
        <f>IFERROR(__xludf.DUMMYFUNCTION("GOOGLETRANSLATE(C7, ""en"", ""hi"")"),"A) प्रतिद्वंद्वी को हराना, B) शक्ति प्रदर्शित करना, C) प्रतिद्वंद्वी को अक्षम करना, D) प्रतिद्वंद्वी को निहत्था करना")</f>
        <v>A) प्रतिद्वंद्वी को हराना, B) शक्ति प्रदर्शित करना, C) प्रतिद्वंद्वी को अक्षम करना, D) प्रतिद्वंद्वी को निहत्था करना</v>
      </c>
      <c r="I7" s="5" t="str">
        <f>IFERROR(__xludf.DUMMYFUNCTION("GOOGLETRANSLATE(D7, ""en"", ""hi"")"),"D) प्रतिद्वंद्वी को निहत्था करना")</f>
        <v>D) प्रतिद्वंद्वी को निहत्था करना</v>
      </c>
    </row>
    <row r="8" ht="22.5" customHeight="1">
      <c r="A8" s="2">
        <v>7.0</v>
      </c>
      <c r="B8" s="3" t="s">
        <v>9133</v>
      </c>
      <c r="C8" s="3" t="s">
        <v>9134</v>
      </c>
      <c r="D8" s="3" t="s">
        <v>9135</v>
      </c>
      <c r="F8" s="5" t="str">
        <f>IFERROR(__xludf.DUMMYFUNCTION("GOOGLETRANSLATE(A8, ""en"", ""hi"")"),"7")</f>
        <v>7</v>
      </c>
      <c r="G8" s="5" t="str">
        <f>IFERROR(__xludf.DUMMYFUNCTION("GOOGLETRANSLATE(B8, ""en"", ""hi"")"),"सिलंबम में, युद्ध के दौरान शरीर का कौन सा अंग सबसे अधिक सुरक्षित रहता है?")</f>
        <v>सिलंबम में, युद्ध के दौरान शरीर का कौन सा अंग सबसे अधिक सुरक्षित रहता है?</v>
      </c>
      <c r="H8" s="5" t="str">
        <f>IFERROR(__xludf.DUMMYFUNCTION("GOOGLETRANSLATE(C8, ""en"", ""hi"")"),"A) सिर, B) छाती, C) पैर, D) बाहें")</f>
        <v>A) सिर, B) छाती, C) पैर, D) बाहें</v>
      </c>
      <c r="I8" s="5" t="str">
        <f>IFERROR(__xludf.DUMMYFUNCTION("GOOGLETRANSLATE(D8, ""en"", ""hi"")"),"सी) पैर")</f>
        <v>सी) पैर</v>
      </c>
    </row>
    <row r="9" ht="22.5" customHeight="1">
      <c r="A9" s="2">
        <v>8.0</v>
      </c>
      <c r="B9" s="3" t="s">
        <v>9136</v>
      </c>
      <c r="C9" s="3" t="s">
        <v>9137</v>
      </c>
      <c r="D9" s="3" t="s">
        <v>9138</v>
      </c>
      <c r="F9" s="5" t="str">
        <f>IFERROR(__xludf.DUMMYFUNCTION("GOOGLETRANSLATE(A9, ""en"", ""hi"")"),"8")</f>
        <v>8</v>
      </c>
      <c r="G9" s="5" t="str">
        <f>IFERROR(__xludf.DUMMYFUNCTION("GOOGLETRANSLATE(B9, ""en"", ""hi"")"),"सिलंबम प्रथा के दौरान पहना जाने वाला पारंपरिक परिधान क्या है?")</f>
        <v>सिलंबम प्रथा के दौरान पहना जाने वाला पारंपरिक परिधान क्या है?</v>
      </c>
      <c r="H9" s="5" t="str">
        <f>IFERROR(__xludf.DUMMYFUNCTION("GOOGLETRANSLATE(C9, ""en"", ""hi"")"),"A) धोती, B) गी, C) लुंगी, D) ट्रैकसूट")</f>
        <v>A) धोती, B) गी, C) लुंगी, D) ट्रैकसूट</v>
      </c>
      <c r="I9" s="5" t="str">
        <f>IFERROR(__xludf.DUMMYFUNCTION("GOOGLETRANSLATE(D9, ""en"", ""hi"")"),"A) धोती")</f>
        <v>A) धोती</v>
      </c>
    </row>
    <row r="10" ht="22.5" customHeight="1">
      <c r="A10" s="2">
        <v>9.0</v>
      </c>
      <c r="B10" s="3" t="s">
        <v>9139</v>
      </c>
      <c r="C10" s="3" t="s">
        <v>9140</v>
      </c>
      <c r="D10" s="3" t="s">
        <v>5377</v>
      </c>
      <c r="F10" s="5" t="str">
        <f>IFERROR(__xludf.DUMMYFUNCTION("GOOGLETRANSLATE(A10, ""en"", ""hi"")"),"9")</f>
        <v>9</v>
      </c>
      <c r="G10" s="5" t="str">
        <f>IFERROR(__xludf.DUMMYFUNCTION("GOOGLETRANSLATE(B10, ""en"", ""hi"")"),"सिलंबम अपने प्रशिक्षण में निम्नलिखित में से किस तत्व को शामिल करता है?")</f>
        <v>सिलंबम अपने प्रशिक्षण में निम्नलिखित में से किस तत्व को शामिल करता है?</v>
      </c>
      <c r="H10" s="5" t="str">
        <f>IFERROR(__xludf.DUMMYFUNCTION("GOOGLETRANSLATE(C10, ""en"", ""hi"")"),"A) योग, B) ध्यान, C) नृत्य, D) उपरोक्त सभी")</f>
        <v>A) योग, B) ध्यान, C) नृत्य, D) उपरोक्त सभी</v>
      </c>
      <c r="I10" s="5" t="str">
        <f>IFERROR(__xludf.DUMMYFUNCTION("GOOGLETRANSLATE(D10, ""en"", ""hi"")"),"D। उपरोक्त सभी")</f>
        <v>D। उपरोक्त सभी</v>
      </c>
    </row>
    <row r="11" ht="22.5" customHeight="1">
      <c r="A11" s="2">
        <v>10.0</v>
      </c>
      <c r="B11" s="3" t="s">
        <v>9141</v>
      </c>
      <c r="C11" s="3" t="s">
        <v>9142</v>
      </c>
      <c r="D11" s="3" t="s">
        <v>9143</v>
      </c>
      <c r="F11" s="5" t="str">
        <f>IFERROR(__xludf.DUMMYFUNCTION("GOOGLETRANSLATE(A11, ""en"", ""hi"")"),"10")</f>
        <v>10</v>
      </c>
      <c r="G11" s="5" t="str">
        <f>IFERROR(__xludf.DUMMYFUNCTION("GOOGLETRANSLATE(B11, ""en"", ""hi"")"),"सिलंबम प्रशिक्षण में किस कौशल पर सबसे अधिक जोर दिया जाता है?")</f>
        <v>सिलंबम प्रशिक्षण में किस कौशल पर सबसे अधिक जोर दिया जाता है?</v>
      </c>
      <c r="H11" s="5" t="str">
        <f>IFERROR(__xludf.DUMMYFUNCTION("GOOGLETRANSLATE(C11, ""en"", ""hi"")"),"A) गति, B) शक्ति, C) संतुलन, D) धीरज")</f>
        <v>A) गति, B) शक्ति, C) संतुलन, D) धीरज</v>
      </c>
      <c r="I11" s="5" t="str">
        <f>IFERROR(__xludf.DUMMYFUNCTION("GOOGLETRANSLATE(D11, ""en"", ""hi"")"),"ए) गति")</f>
        <v>ए) गति</v>
      </c>
    </row>
    <row r="12" ht="22.5" customHeight="1">
      <c r="A12" s="2">
        <v>11.0</v>
      </c>
      <c r="B12" s="3" t="s">
        <v>9144</v>
      </c>
      <c r="C12" s="3" t="s">
        <v>9145</v>
      </c>
      <c r="D12" s="3" t="s">
        <v>9146</v>
      </c>
      <c r="F12" s="5" t="str">
        <f>IFERROR(__xludf.DUMMYFUNCTION("GOOGLETRANSLATE(A12, ""en"", ""hi"")"),"11")</f>
        <v>11</v>
      </c>
      <c r="G12" s="5" t="str">
        <f>IFERROR(__xludf.DUMMYFUNCTION("GOOGLETRANSLATE(B12, ""en"", ""hi"")"),"सिलंबम में प्रयुक्त होने वाला मुख्य हथियार क्या है?")</f>
        <v>सिलंबम में प्रयुक्त होने वाला मुख्य हथियार क्या है?</v>
      </c>
      <c r="H12" s="5" t="str">
        <f>IFERROR(__xludf.DUMMYFUNCTION("GOOGLETRANSLATE(C12, ""en"", ""hi"")"),"A) तलवार, B) भाला, C) लाठी, D) ढाल")</f>
        <v>A) तलवार, B) भाला, C) लाठी, D) ढाल</v>
      </c>
      <c r="I12" s="5" t="str">
        <f>IFERROR(__xludf.DUMMYFUNCTION("GOOGLETRANSLATE(D12, ""en"", ""hi"")"),"सी) कर्मचारी")</f>
        <v>सी) कर्मचारी</v>
      </c>
    </row>
    <row r="13" ht="22.5" customHeight="1">
      <c r="A13" s="2">
        <v>12.0</v>
      </c>
      <c r="B13" s="3" t="s">
        <v>9147</v>
      </c>
      <c r="C13" s="3" t="s">
        <v>9148</v>
      </c>
      <c r="D13" s="3" t="s">
        <v>9149</v>
      </c>
      <c r="F13" s="5" t="str">
        <f>IFERROR(__xludf.DUMMYFUNCTION("GOOGLETRANSLATE(A13, ""en"", ""hi"")"),"12")</f>
        <v>12</v>
      </c>
      <c r="G13" s="5" t="str">
        <f>IFERROR(__xludf.DUMMYFUNCTION("GOOGLETRANSLATE(B13, ""en"", ""hi"")"),"सिलंबम का प्रयोग प्रायः किस त्यौहार के दौरान पारंपरिक प्रदर्शन में किया जाता है?")</f>
        <v>सिलंबम का प्रयोग प्रायः किस त्यौहार के दौरान पारंपरिक प्रदर्शन में किया जाता है?</v>
      </c>
      <c r="H13" s="5" t="str">
        <f>IFERROR(__xludf.DUMMYFUNCTION("GOOGLETRANSLATE(C13, ""en"", ""hi"")"),"ए) पोंगल, बी) दिवाली, सी) होली, डी) ओणम")</f>
        <v>ए) पोंगल, बी) दिवाली, सी) होली, डी) ओणम</v>
      </c>
      <c r="I13" s="5" t="str">
        <f>IFERROR(__xludf.DUMMYFUNCTION("GOOGLETRANSLATE(D13, ""en"", ""hi"")"),"ए) पोंगल")</f>
        <v>ए) पोंगल</v>
      </c>
    </row>
    <row r="14" ht="22.5" customHeight="1">
      <c r="A14" s="2">
        <v>13.0</v>
      </c>
      <c r="B14" s="3" t="s">
        <v>9150</v>
      </c>
      <c r="C14" s="3" t="s">
        <v>9151</v>
      </c>
      <c r="D14" s="3" t="s">
        <v>9152</v>
      </c>
      <c r="F14" s="5" t="str">
        <f>IFERROR(__xludf.DUMMYFUNCTION("GOOGLETRANSLATE(A14, ""en"", ""hi"")"),"13")</f>
        <v>13</v>
      </c>
      <c r="G14" s="5" t="str">
        <f>IFERROR(__xludf.DUMMYFUNCTION("GOOGLETRANSLATE(B14, ""en"", ""hi"")"),"निम्नलिखित में से कौन सी सिलंबम की प्रमुख तकनीक है?")</f>
        <v>निम्नलिखित में से कौन सी सिलंबम की प्रमुख तकनीक है?</v>
      </c>
      <c r="H14" s="5" t="str">
        <f>IFERROR(__xludf.DUMMYFUNCTION("GOOGLETRANSLATE(C14, ""en"", ""hi"")"),"ए) वेट्टारु (काटना), बी) थडावु (घुमाना), सी) अदावु (कदम), डी) ए एंड बी")</f>
        <v>ए) वेट्टारु (काटना), बी) थडावु (घुमाना), सी) अदावु (कदम), डी) ए एंड बी</v>
      </c>
      <c r="I14" s="5" t="str">
        <f>IFERROR(__xludf.DUMMYFUNCTION("GOOGLETRANSLATE(D14, ""en"", ""hi"")"),"डी) ए और बी")</f>
        <v>डी) ए और बी</v>
      </c>
    </row>
    <row r="15" ht="22.5" customHeight="1">
      <c r="A15" s="2">
        <v>14.0</v>
      </c>
      <c r="B15" s="3" t="s">
        <v>9153</v>
      </c>
      <c r="C15" s="3" t="s">
        <v>9154</v>
      </c>
      <c r="D15" s="3" t="s">
        <v>5377</v>
      </c>
      <c r="F15" s="5" t="str">
        <f>IFERROR(__xludf.DUMMYFUNCTION("GOOGLETRANSLATE(A15, ""en"", ""hi"")"),"14")</f>
        <v>14</v>
      </c>
      <c r="G15" s="5" t="str">
        <f>IFERROR(__xludf.DUMMYFUNCTION("GOOGLETRANSLATE(B15, ""en"", ""hi"")"),"सिलंबम में आंदोलन निम्नलिखित में से किससे प्रेरित हैं?")</f>
        <v>सिलंबम में आंदोलन निम्नलिखित में से किससे प्रेरित हैं?</v>
      </c>
      <c r="H15" s="5" t="str">
        <f>IFERROR(__xludf.DUMMYFUNCTION("GOOGLETRANSLATE(C15, ""en"", ""hi"")"),"A) प्रकृति, B) जानवर, C) तत्व, D) उपरोक्त सभी")</f>
        <v>A) प्रकृति, B) जानवर, C) तत्व, D) उपरोक्त सभी</v>
      </c>
      <c r="I15" s="5" t="str">
        <f>IFERROR(__xludf.DUMMYFUNCTION("GOOGLETRANSLATE(D15, ""en"", ""hi"")"),"D। उपरोक्त सभी")</f>
        <v>D। उपरोक्त सभी</v>
      </c>
    </row>
    <row r="16" ht="22.5" customHeight="1">
      <c r="A16" s="2">
        <v>15.0</v>
      </c>
      <c r="B16" s="3" t="s">
        <v>9155</v>
      </c>
      <c r="C16" s="3" t="s">
        <v>9156</v>
      </c>
      <c r="D16" s="3" t="s">
        <v>5377</v>
      </c>
      <c r="F16" s="5" t="str">
        <f>IFERROR(__xludf.DUMMYFUNCTION("GOOGLETRANSLATE(A16, ""en"", ""hi"")"),"15")</f>
        <v>15</v>
      </c>
      <c r="G16" s="5" t="str">
        <f>IFERROR(__xludf.DUMMYFUNCTION("GOOGLETRANSLATE(B16, ""en"", ""hi"")"),"सिलंबम में किस प्रकार का हथियार प्रशिक्षण भी शामिल है?")</f>
        <v>सिलंबम में किस प्रकार का हथियार प्रशिक्षण भी शामिल है?</v>
      </c>
      <c r="H16" s="5" t="str">
        <f>IFERROR(__xludf.DUMMYFUNCTION("GOOGLETRANSLATE(C16, ""en"", ""hi"")"),"A) चाकू, B) जंजीर, C) भाला, D) उपरोक्त सभी")</f>
        <v>A) चाकू, B) जंजीर, C) भाला, D) उपरोक्त सभी</v>
      </c>
      <c r="I16" s="5" t="str">
        <f>IFERROR(__xludf.DUMMYFUNCTION("GOOGLETRANSLATE(D16, ""en"", ""hi"")"),"D। उपरोक्त सभी")</f>
        <v>D। उपरोक्त सभी</v>
      </c>
    </row>
    <row r="17" ht="22.5" customHeight="1">
      <c r="A17" s="2">
        <v>16.0</v>
      </c>
      <c r="B17" s="3" t="s">
        <v>9157</v>
      </c>
      <c r="C17" s="3" t="s">
        <v>9158</v>
      </c>
      <c r="D17" s="3" t="s">
        <v>9159</v>
      </c>
      <c r="F17" s="5" t="str">
        <f>IFERROR(__xludf.DUMMYFUNCTION("GOOGLETRANSLATE(A17, ""en"", ""hi"")"),"16")</f>
        <v>16</v>
      </c>
      <c r="G17" s="5" t="str">
        <f>IFERROR(__xludf.DUMMYFUNCTION("GOOGLETRANSLATE(B17, ""en"", ""hi"")"),"माना जाता है कि सिलंबम का इतिहास किस काल से जुड़ा है?")</f>
        <v>माना जाता है कि सिलंबम का इतिहास किस काल से जुड़ा है?</v>
      </c>
      <c r="H17" s="5" t="str">
        <f>IFERROR(__xludf.DUMMYFUNCTION("GOOGLETRANSLATE(C17, ""en"", ""hi"")"),"A) पहली शताब्दी ईसा पूर्व, B) तीसरी शताब्दी ईसा पूर्व, C) दूसरी शताब्दी ईस्वी, D) पांचवीं शताब्दी ईस्वी")</f>
        <v>A) पहली शताब्दी ईसा पूर्व, B) तीसरी शताब्दी ईसा पूर्व, C) दूसरी शताब्दी ईस्वी, D) पांचवीं शताब्दी ईस्वी</v>
      </c>
      <c r="I17" s="5" t="str">
        <f>IFERROR(__xludf.DUMMYFUNCTION("GOOGLETRANSLATE(D17, ""en"", ""hi"")"),"बी) तीसरी शताब्दी ईसा पूर्व")</f>
        <v>बी) तीसरी शताब्दी ईसा पूर्व</v>
      </c>
    </row>
    <row r="18" ht="22.5" customHeight="1">
      <c r="A18" s="2">
        <v>17.0</v>
      </c>
      <c r="B18" s="3" t="s">
        <v>9160</v>
      </c>
      <c r="C18" s="3" t="s">
        <v>9161</v>
      </c>
      <c r="D18" s="3" t="s">
        <v>5377</v>
      </c>
      <c r="F18" s="5" t="str">
        <f>IFERROR(__xludf.DUMMYFUNCTION("GOOGLETRANSLATE(A18, ""en"", ""hi"")"),"17")</f>
        <v>17</v>
      </c>
      <c r="G18" s="5" t="str">
        <f>IFERROR(__xludf.DUMMYFUNCTION("GOOGLETRANSLATE(B18, ""en"", ""hi"")"),"सिलंबम का कौन सा पहलू अभ्यासियों के लिए सबसे अधिक लाभकारी माना जाता है?")</f>
        <v>सिलंबम का कौन सा पहलू अभ्यासियों के लिए सबसे अधिक लाभकारी माना जाता है?</v>
      </c>
      <c r="H18" s="5" t="str">
        <f>IFERROR(__xludf.DUMMYFUNCTION("GOOGLETRANSLATE(C18, ""en"", ""hi"")"),"A) शारीरिक फिटनेस, B) मानसिक अनुशासन, C) लचीलापन, D) उपरोक्त सभी")</f>
        <v>A) शारीरिक फिटनेस, B) मानसिक अनुशासन, C) लचीलापन, D) उपरोक्त सभी</v>
      </c>
      <c r="I18" s="5" t="str">
        <f>IFERROR(__xludf.DUMMYFUNCTION("GOOGLETRANSLATE(D18, ""en"", ""hi"")"),"D। उपरोक्त सभी")</f>
        <v>D। उपरोक्त सभी</v>
      </c>
    </row>
    <row r="19" ht="22.5" customHeight="1">
      <c r="A19" s="2">
        <v>18.0</v>
      </c>
      <c r="B19" s="3" t="s">
        <v>9162</v>
      </c>
      <c r="C19" s="3" t="s">
        <v>9163</v>
      </c>
      <c r="D19" s="3" t="s">
        <v>9164</v>
      </c>
      <c r="F19" s="5" t="str">
        <f>IFERROR(__xludf.DUMMYFUNCTION("GOOGLETRANSLATE(A19, ""en"", ""hi"")"),"18")</f>
        <v>18</v>
      </c>
      <c r="G19" s="5" t="str">
        <f>IFERROR(__xludf.DUMMYFUNCTION("GOOGLETRANSLATE(B19, ""en"", ""hi"")"),"सिलंबम में 'वीटू' शब्द का क्या अर्थ है?")</f>
        <v>सिलंबम में 'वीटू' शब्द का क्या अर्थ है?</v>
      </c>
      <c r="H19" s="5" t="str">
        <f>IFERROR(__xludf.DUMMYFUNCTION("GOOGLETRANSLATE(C19, ""en"", ""hi"")"),"A) आक्रमण, B) रक्षा, C) रुख, D) अवरोध")</f>
        <v>A) आक्रमण, B) रक्षा, C) रुख, D) अवरोध</v>
      </c>
      <c r="I19" s="5" t="str">
        <f>IFERROR(__xludf.DUMMYFUNCTION("GOOGLETRANSLATE(D19, ""en"", ""hi"")"),"बी) रक्षा")</f>
        <v>बी) रक्षा</v>
      </c>
    </row>
    <row r="20" ht="22.5" customHeight="1">
      <c r="A20" s="2">
        <v>19.0</v>
      </c>
      <c r="B20" s="3" t="s">
        <v>9165</v>
      </c>
      <c r="C20" s="3" t="s">
        <v>9166</v>
      </c>
      <c r="D20" s="3" t="s">
        <v>9167</v>
      </c>
      <c r="F20" s="5" t="str">
        <f>IFERROR(__xludf.DUMMYFUNCTION("GOOGLETRANSLATE(A20, ""en"", ""hi"")"),"19")</f>
        <v>19</v>
      </c>
      <c r="G20" s="5" t="str">
        <f>IFERROR(__xludf.DUMMYFUNCTION("GOOGLETRANSLATE(B20, ""en"", ""hi"")"),"सिलंबम में फुटवर्क का क्या महत्व है?")</f>
        <v>सिलंबम में फुटवर्क का क्या महत्व है?</v>
      </c>
      <c r="H20" s="5" t="str">
        <f>IFERROR(__xludf.DUMMYFUNCTION("GOOGLETRANSLATE(C20, ""en"", ""hi"")"),"A) ताकत बढ़ाने के लिए, B) संतुलन बनाए रखने के लिए, C) प्रतिद्वंद्वी को भ्रमित करने के लिए, D) हमलों को चकमा देने के लिए")</f>
        <v>A) ताकत बढ़ाने के लिए, B) संतुलन बनाए रखने के लिए, C) प्रतिद्वंद्वी को भ्रमित करने के लिए, D) हमलों को चकमा देने के लिए</v>
      </c>
      <c r="I20" s="5" t="str">
        <f>IFERROR(__xludf.DUMMYFUNCTION("GOOGLETRANSLATE(D20, ""en"", ""hi"")"),"बी) संतुलन बनाए रखने के लिए")</f>
        <v>बी) संतुलन बनाए रखने के लिए</v>
      </c>
    </row>
    <row r="21" ht="22.5" customHeight="1">
      <c r="A21" s="2">
        <v>20.0</v>
      </c>
      <c r="B21" s="3" t="s">
        <v>9168</v>
      </c>
      <c r="C21" s="3" t="s">
        <v>9169</v>
      </c>
      <c r="D21" s="3" t="s">
        <v>9170</v>
      </c>
      <c r="F21" s="5" t="str">
        <f>IFERROR(__xludf.DUMMYFUNCTION("GOOGLETRANSLATE(A21, ""en"", ""hi"")"),"20")</f>
        <v>20</v>
      </c>
      <c r="G21" s="5" t="str">
        <f>IFERROR(__xludf.DUMMYFUNCTION("GOOGLETRANSLATE(B21, ""en"", ""hi"")"),"सिलंबम प्रथा से सामान्यतः कौन सा देवता जुड़ा हुआ है?")</f>
        <v>सिलंबम प्रथा से सामान्यतः कौन सा देवता जुड़ा हुआ है?</v>
      </c>
      <c r="H21" s="5" t="str">
        <f>IFERROR(__xludf.DUMMYFUNCTION("GOOGLETRANSLATE(C21, ""en"", ""hi"")"),"A) शिव, B) विष्णु, C) मुरुगन, D) गणेश")</f>
        <v>A) शिव, B) विष्णु, C) मुरुगन, D) गणेश</v>
      </c>
      <c r="I21" s="5" t="str">
        <f>IFERROR(__xludf.DUMMYFUNCTION("GOOGLETRANSLATE(D21, ""en"", ""hi"")"),"C) मुरुगन")</f>
        <v>C) मुरुगन</v>
      </c>
    </row>
    <row r="22" ht="22.5" customHeight="1">
      <c r="A22" s="2">
        <v>21.0</v>
      </c>
      <c r="B22" s="3" t="s">
        <v>9171</v>
      </c>
      <c r="C22" s="3" t="s">
        <v>9172</v>
      </c>
      <c r="D22" s="3" t="s">
        <v>9173</v>
      </c>
      <c r="F22" s="5" t="str">
        <f>IFERROR(__xludf.DUMMYFUNCTION("GOOGLETRANSLATE(A22, ""en"", ""hi"")"),"21")</f>
        <v>21</v>
      </c>
      <c r="G22" s="5" t="str">
        <f>IFERROR(__xludf.DUMMYFUNCTION("GOOGLETRANSLATE(B22, ""en"", ""hi"")"),"प्राचीन काल में सिलंबम कला का प्रयोग ऐतिहासिक रूप से किस समूह द्वारा किया जाता था?")</f>
        <v>प्राचीन काल में सिलंबम कला का प्रयोग ऐतिहासिक रूप से किस समूह द्वारा किया जाता था?</v>
      </c>
      <c r="H22" s="5" t="str">
        <f>IFERROR(__xludf.DUMMYFUNCTION("GOOGLETRANSLATE(C22, ""en"", ""hi"")"),"A) सैनिक, B) किसान, C) व्यापारी, D) पुजारी")</f>
        <v>A) सैनिक, B) किसान, C) व्यापारी, D) पुजारी</v>
      </c>
      <c r="I22" s="5" t="str">
        <f>IFERROR(__xludf.DUMMYFUNCTION("GOOGLETRANSLATE(D22, ""en"", ""hi"")"),"ए) सैनिक")</f>
        <v>ए) सैनिक</v>
      </c>
    </row>
    <row r="23" ht="22.5" customHeight="1">
      <c r="A23" s="2">
        <v>22.0</v>
      </c>
      <c r="B23" s="3" t="s">
        <v>9174</v>
      </c>
      <c r="C23" s="3" t="s">
        <v>9175</v>
      </c>
      <c r="D23" s="3" t="s">
        <v>5377</v>
      </c>
      <c r="F23" s="5" t="str">
        <f>IFERROR(__xludf.DUMMYFUNCTION("GOOGLETRANSLATE(A23, ""en"", ""hi"")"),"22")</f>
        <v>22</v>
      </c>
      <c r="G23" s="5" t="str">
        <f>IFERROR(__xludf.DUMMYFUNCTION("GOOGLETRANSLATE(B23, ""en"", ""hi"")"),"निम्नलिखित में से कौन-सा सिलंबम के प्रशिक्षण कार्यक्रम का हिस्सा है?")</f>
        <v>निम्नलिखित में से कौन-सा सिलंबम के प्रशिक्षण कार्यक्रम का हिस्सा है?</v>
      </c>
      <c r="H23" s="5" t="str">
        <f>IFERROR(__xludf.DUMMYFUNCTION("GOOGLETRANSLATE(C23, ""en"", ""hi"")"),"A) शक्ति प्रशिक्षण, B) लचीलापन व्यायाम, C) श्वास तकनीक, D) उपरोक्त सभी")</f>
        <v>A) शक्ति प्रशिक्षण, B) लचीलापन व्यायाम, C) श्वास तकनीक, D) उपरोक्त सभी</v>
      </c>
      <c r="I23" s="5" t="str">
        <f>IFERROR(__xludf.DUMMYFUNCTION("GOOGLETRANSLATE(D23, ""en"", ""hi"")"),"D। उपरोक्त सभी")</f>
        <v>D। उपरोक्त सभी</v>
      </c>
    </row>
    <row r="24" ht="22.5" customHeight="1">
      <c r="A24" s="2">
        <v>23.0</v>
      </c>
      <c r="B24" s="3" t="s">
        <v>9176</v>
      </c>
      <c r="C24" s="3" t="s">
        <v>9177</v>
      </c>
      <c r="D24" s="3" t="s">
        <v>9178</v>
      </c>
      <c r="F24" s="5" t="str">
        <f>IFERROR(__xludf.DUMMYFUNCTION("GOOGLETRANSLATE(A24, ""en"", ""hi"")"),"23")</f>
        <v>23</v>
      </c>
      <c r="G24" s="5" t="str">
        <f>IFERROR(__xludf.DUMMYFUNCTION("GOOGLETRANSLATE(B24, ""en"", ""hi"")"),"सिलंबम की 'आदिमुरै' का केंद्रबिंदु क्या है?")</f>
        <v>सिलंबम की 'आदिमुरै' का केंद्रबिंदु क्या है?</v>
      </c>
      <c r="H24" s="5" t="str">
        <f>IFERROR(__xludf.DUMMYFUNCTION("GOOGLETRANSLATE(C24, ""en"", ""hi"")"),"A) हाथ से हाथ का मुकाबला, B) हथियार प्रशिक्षण, C) ध्यान, D) उपचार तकनीक")</f>
        <v>A) हाथ से हाथ का मुकाबला, B) हथियार प्रशिक्षण, C) ध्यान, D) उपचार तकनीक</v>
      </c>
      <c r="I24" s="5" t="str">
        <f>IFERROR(__xludf.DUMMYFUNCTION("GOOGLETRANSLATE(D24, ""en"", ""hi"")"),"A) हाथ से हाथ का मुकाबला")</f>
        <v>A) हाथ से हाथ का मुकाबला</v>
      </c>
    </row>
    <row r="25" ht="22.5" customHeight="1">
      <c r="A25" s="2">
        <v>24.0</v>
      </c>
      <c r="B25" s="3" t="s">
        <v>9179</v>
      </c>
      <c r="C25" s="3" t="s">
        <v>9180</v>
      </c>
      <c r="D25" s="3" t="s">
        <v>5377</v>
      </c>
      <c r="F25" s="5" t="str">
        <f>IFERROR(__xludf.DUMMYFUNCTION("GOOGLETRANSLATE(A25, ""en"", ""hi"")"),"24")</f>
        <v>24</v>
      </c>
      <c r="G25" s="5" t="str">
        <f>IFERROR(__xludf.DUMMYFUNCTION("GOOGLETRANSLATE(B25, ""en"", ""hi"")"),"सिलंबम में किस द्वितीयक हथियार का उपयोग शामिल है?")</f>
        <v>सिलंबम में किस द्वितीयक हथियार का उपयोग शामिल है?</v>
      </c>
      <c r="H25" s="5" t="str">
        <f>IFERROR(__xludf.DUMMYFUNCTION("GOOGLETRANSLATE(C25, ""en"", ""hi"")"),"A) मारू, B) चाकू, C) ढाल, D) उपरोक्त सभी")</f>
        <v>A) मारू, B) चाकू, C) ढाल, D) उपरोक्त सभी</v>
      </c>
      <c r="I25" s="5" t="str">
        <f>IFERROR(__xludf.DUMMYFUNCTION("GOOGLETRANSLATE(D25, ""en"", ""hi"")"),"D। उपरोक्त सभी")</f>
        <v>D। उपरोक्त सभी</v>
      </c>
    </row>
    <row r="26" ht="22.5" customHeight="1">
      <c r="A26" s="2">
        <v>25.0</v>
      </c>
      <c r="B26" s="3" t="s">
        <v>9181</v>
      </c>
      <c r="C26" s="3" t="s">
        <v>9182</v>
      </c>
      <c r="D26" s="3" t="s">
        <v>9183</v>
      </c>
      <c r="F26" s="5" t="str">
        <f>IFERROR(__xludf.DUMMYFUNCTION("GOOGLETRANSLATE(A26, ""en"", ""hi"")"),"25")</f>
        <v>25</v>
      </c>
      <c r="G26" s="5" t="str">
        <f>IFERROR(__xludf.DUMMYFUNCTION("GOOGLETRANSLATE(B26, ""en"", ""hi"")"),"सिलंबम में 'ऊदीवर्मा' का उद्देश्य क्या है?")</f>
        <v>सिलंबम में 'ऊदीवर्मा' का उद्देश्य क्या है?</v>
      </c>
      <c r="H26" s="5" t="str">
        <f>IFERROR(__xludf.DUMMYFUNCTION("GOOGLETRANSLATE(C26, ""en"", ""hi"")"),"A) आक्रमण करना, B) अवरोध डालना, C) पीछे हटना, D) प्रतिद्वंद्वी को भ्रमित करना")</f>
        <v>A) आक्रमण करना, B) अवरोध डालना, C) पीछे हटना, D) प्रतिद्वंद्वी को भ्रमित करना</v>
      </c>
      <c r="I26" s="5" t="str">
        <f>IFERROR(__xludf.DUMMYFUNCTION("GOOGLETRANSLATE(D26, ""en"", ""hi"")"),"C) पीछे हटना")</f>
        <v>C) पीछे हटना</v>
      </c>
    </row>
    <row r="27" ht="22.5" customHeight="1">
      <c r="A27" s="2">
        <v>26.0</v>
      </c>
      <c r="B27" s="3" t="s">
        <v>9184</v>
      </c>
      <c r="C27" s="3" t="s">
        <v>9185</v>
      </c>
      <c r="D27" s="3" t="s">
        <v>9186</v>
      </c>
      <c r="F27" s="5" t="str">
        <f>IFERROR(__xludf.DUMMYFUNCTION("GOOGLETRANSLATE(A27, ""en"", ""hi"")"),"26")</f>
        <v>26</v>
      </c>
      <c r="G27" s="5" t="str">
        <f>IFERROR(__xludf.DUMMYFUNCTION("GOOGLETRANSLATE(B27, ""en"", ""hi"")"),"सिलंबम की लड़ाकू मुद्रा किस लिए जानी जाती है?")</f>
        <v>सिलंबम की लड़ाकू मुद्रा किस लिए जानी जाती है?</v>
      </c>
      <c r="H27" s="5" t="str">
        <f>IFERROR(__xludf.DUMMYFUNCTION("GOOGLETRANSLATE(C27, ""en"", ""hi"")"),"A) आक्रामक, B) रक्षात्मक, C) गतिशील, D) स्थिर")</f>
        <v>A) आक्रामक, B) रक्षात्मक, C) गतिशील, D) स्थिर</v>
      </c>
      <c r="I27" s="5" t="str">
        <f>IFERROR(__xludf.DUMMYFUNCTION("GOOGLETRANSLATE(D27, ""en"", ""hi"")"),"सी) गतिशील")</f>
        <v>सी) गतिशील</v>
      </c>
    </row>
    <row r="28" ht="22.5" customHeight="1">
      <c r="A28" s="2">
        <v>27.0</v>
      </c>
      <c r="B28" s="3" t="s">
        <v>9187</v>
      </c>
      <c r="C28" s="3" t="s">
        <v>9188</v>
      </c>
      <c r="D28" s="3" t="s">
        <v>9189</v>
      </c>
      <c r="F28" s="5" t="str">
        <f>IFERROR(__xludf.DUMMYFUNCTION("GOOGLETRANSLATE(A28, ""en"", ""hi"")"),"27")</f>
        <v>27</v>
      </c>
      <c r="G28" s="5" t="str">
        <f>IFERROR(__xludf.DUMMYFUNCTION("GOOGLETRANSLATE(B28, ""en"", ""hi"")"),"निम्नलिखित में से कौन सी सिलंबम की विशेषता है?")</f>
        <v>निम्नलिखित में से कौन सी सिलंबम की विशेषता है?</v>
      </c>
      <c r="H28" s="5" t="str">
        <f>IFERROR(__xludf.DUMMYFUNCTION("GOOGLETRANSLATE(C28, ""en"", ""hi"")"),"A) वृत्ताकार गतिविधियाँ, B) प्रत्यक्ष हमले, C) ज़मीनी लड़ाई, D) संयुक्त ताले")</f>
        <v>A) वृत्ताकार गतिविधियाँ, B) प्रत्यक्ष हमले, C) ज़मीनी लड़ाई, D) संयुक्त ताले</v>
      </c>
      <c r="I28" s="5" t="str">
        <f>IFERROR(__xludf.DUMMYFUNCTION("GOOGLETRANSLATE(D28, ""en"", ""hi"")"),"A) वृत्ताकार गतियाँ")</f>
        <v>A) वृत्ताकार गतियाँ</v>
      </c>
    </row>
    <row r="29" ht="22.5" customHeight="1">
      <c r="A29" s="2">
        <v>28.0</v>
      </c>
      <c r="B29" s="3" t="s">
        <v>9190</v>
      </c>
      <c r="C29" s="3" t="s">
        <v>9191</v>
      </c>
      <c r="D29" s="3" t="s">
        <v>9192</v>
      </c>
      <c r="F29" s="5" t="str">
        <f>IFERROR(__xludf.DUMMYFUNCTION("GOOGLETRANSLATE(A29, ""en"", ""hi"")"),"28")</f>
        <v>28</v>
      </c>
      <c r="G29" s="5" t="str">
        <f>IFERROR(__xludf.DUMMYFUNCTION("GOOGLETRANSLATE(B29, ""en"", ""hi"")"),"सिलंबम में 'सर्प नादई' शब्द का क्या अर्थ है?")</f>
        <v>सिलंबम में 'सर्प नादई' शब्द का क्या अर्थ है?</v>
      </c>
      <c r="H29" s="5" t="str">
        <f>IFERROR(__xludf.DUMMYFUNCTION("GOOGLETRANSLATE(C29, ""en"", ""hi"")"),"A) साँप की चाल, B) बाघ की मुद्रा, C) हाथी की तरह ब्लॉक, D) मयूर किक")</f>
        <v>A) साँप की चाल, B) बाघ की मुद्रा, C) हाथी की तरह ब्लॉक, D) मयूर किक</v>
      </c>
      <c r="I29" s="5" t="str">
        <f>IFERROR(__xludf.DUMMYFUNCTION("GOOGLETRANSLATE(D29, ""en"", ""hi"")"),"A) साँप की चाल")</f>
        <v>A) साँप की चाल</v>
      </c>
    </row>
    <row r="30" ht="22.5" customHeight="1">
      <c r="A30" s="2">
        <v>29.0</v>
      </c>
      <c r="B30" s="3" t="s">
        <v>9193</v>
      </c>
      <c r="C30" s="3" t="s">
        <v>9194</v>
      </c>
      <c r="D30" s="3" t="s">
        <v>5377</v>
      </c>
      <c r="F30" s="5" t="str">
        <f>IFERROR(__xludf.DUMMYFUNCTION("GOOGLETRANSLATE(A30, ""en"", ""hi"")"),"29")</f>
        <v>29</v>
      </c>
      <c r="G30" s="5" t="str">
        <f>IFERROR(__xludf.DUMMYFUNCTION("GOOGLETRANSLATE(B30, ""en"", ""hi"")"),"सिलंबम की छड़ी तकनीक को निम्नलिखित में से किसके लिए अनुकूलित किया जा सकता है?")</f>
        <v>सिलंबम की छड़ी तकनीक को निम्नलिखित में से किसके लिए अनुकूलित किया जा सकता है?</v>
      </c>
      <c r="H30" s="5" t="str">
        <f>IFERROR(__xludf.DUMMYFUNCTION("GOOGLETRANSLATE(C30, ""en"", ""hi"")"),"A) तलवारबाजी, B) भाला युद्ध, C) तीरंदाजी, D) उपरोक्त सभी")</f>
        <v>A) तलवारबाजी, B) भाला युद्ध, C) तीरंदाजी, D) उपरोक्त सभी</v>
      </c>
      <c r="I30" s="5" t="str">
        <f>IFERROR(__xludf.DUMMYFUNCTION("GOOGLETRANSLATE(D30, ""en"", ""hi"")"),"D। उपरोक्त सभी")</f>
        <v>D। उपरोक्त सभी</v>
      </c>
    </row>
    <row r="31" ht="22.5" customHeight="1">
      <c r="A31" s="2">
        <v>30.0</v>
      </c>
      <c r="B31" s="3" t="s">
        <v>9195</v>
      </c>
      <c r="C31" s="3" t="s">
        <v>9196</v>
      </c>
      <c r="D31" s="3" t="s">
        <v>9197</v>
      </c>
      <c r="F31" s="5" t="str">
        <f>IFERROR(__xludf.DUMMYFUNCTION("GOOGLETRANSLATE(A31, ""en"", ""hi"")"),"30")</f>
        <v>30</v>
      </c>
      <c r="G31" s="5" t="str">
        <f>IFERROR(__xludf.DUMMYFUNCTION("GOOGLETRANSLATE(B31, ""en"", ""hi"")"),"सिलंबम में 'मुथु मरमम' क्या लक्ष्य करता है?")</f>
        <v>सिलंबम में 'मुथु मरमम' क्या लक्ष्य करता है?</v>
      </c>
      <c r="H31" s="5" t="str">
        <f>IFERROR(__xludf.DUMMYFUNCTION("GOOGLETRANSLATE(C31, ""en"", ""hi"")"),"A) दबाव बिंदु, B) जोड़, C) तंत्रिकाएँ, D) मांसपेशियाँ")</f>
        <v>A) दबाव बिंदु, B) जोड़, C) तंत्रिकाएँ, D) मांसपेशियाँ</v>
      </c>
      <c r="I31" s="5" t="str">
        <f>IFERROR(__xludf.DUMMYFUNCTION("GOOGLETRANSLATE(D31, ""en"", ""hi"")"),"A) दबाव बिंदु")</f>
        <v>A) दबाव बिंदु</v>
      </c>
    </row>
    <row r="32" ht="22.5" customHeight="1">
      <c r="A32" s="2">
        <v>31.0</v>
      </c>
      <c r="B32" s="3" t="s">
        <v>9198</v>
      </c>
      <c r="C32" s="3" t="s">
        <v>9199</v>
      </c>
      <c r="D32" s="3" t="s">
        <v>5377</v>
      </c>
      <c r="F32" s="5" t="str">
        <f>IFERROR(__xludf.DUMMYFUNCTION("GOOGLETRANSLATE(A32, ""en"", ""hi"")"),"31")</f>
        <v>31</v>
      </c>
      <c r="G32" s="5" t="str">
        <f>IFERROR(__xludf.DUMMYFUNCTION("GOOGLETRANSLATE(B32, ""en"", ""hi"")"),"सिलंबम प्रशिक्षण में अक्सर निम्नलिखित में से क्या शामिल होता है?")</f>
        <v>सिलंबम प्रशिक्षण में अक्सर निम्नलिखित में से क्या शामिल होता है?</v>
      </c>
      <c r="H32" s="5" t="str">
        <f>IFERROR(__xludf.DUMMYFUNCTION("GOOGLETRANSLATE(C32, ""en"", ""hi"")"),"A) कलाबाजी गतिविधियाँ, B) श्वास तकनीकें, C) ध्यान, D) उपरोक्त सभी")</f>
        <v>A) कलाबाजी गतिविधियाँ, B) श्वास तकनीकें, C) ध्यान, D) उपरोक्त सभी</v>
      </c>
      <c r="I32" s="5" t="str">
        <f>IFERROR(__xludf.DUMMYFUNCTION("GOOGLETRANSLATE(D32, ""en"", ""hi"")"),"D। उपरोक्त सभी")</f>
        <v>D। उपरोक्त सभी</v>
      </c>
    </row>
    <row r="33" ht="22.5" customHeight="1">
      <c r="A33" s="2">
        <v>32.0</v>
      </c>
      <c r="B33" s="3" t="s">
        <v>9200</v>
      </c>
      <c r="C33" s="3" t="s">
        <v>9201</v>
      </c>
      <c r="D33" s="3" t="s">
        <v>9202</v>
      </c>
      <c r="F33" s="5" t="str">
        <f>IFERROR(__xludf.DUMMYFUNCTION("GOOGLETRANSLATE(A33, ""en"", ""hi"")"),"32")</f>
        <v>32</v>
      </c>
      <c r="G33" s="5" t="str">
        <f>IFERROR(__xludf.DUMMYFUNCTION("GOOGLETRANSLATE(B33, ""en"", ""hi"")"),"सिलंबम स्टिक पर पकड़ किसके लिए महत्वपूर्ण है?")</f>
        <v>सिलंबम स्टिक पर पकड़ किसके लिए महत्वपूर्ण है?</v>
      </c>
      <c r="H33" s="5" t="str">
        <f>IFERROR(__xludf.DUMMYFUNCTION("GOOGLETRANSLATE(C33, ""en"", ""hi"")"),"A) शक्ति, B) गति, C) नियंत्रण, D) लचीलापन")</f>
        <v>A) शक्ति, B) गति, C) नियंत्रण, D) लचीलापन</v>
      </c>
      <c r="I33" s="5" t="str">
        <f>IFERROR(__xludf.DUMMYFUNCTION("GOOGLETRANSLATE(D33, ""en"", ""hi"")"),"सी) नियंत्रण")</f>
        <v>सी) नियंत्रण</v>
      </c>
    </row>
    <row r="34" ht="22.5" customHeight="1">
      <c r="A34" s="2">
        <v>33.0</v>
      </c>
      <c r="B34" s="3" t="s">
        <v>9203</v>
      </c>
      <c r="C34" s="3" t="s">
        <v>9204</v>
      </c>
      <c r="D34" s="3" t="s">
        <v>9205</v>
      </c>
      <c r="F34" s="5" t="str">
        <f>IFERROR(__xludf.DUMMYFUNCTION("GOOGLETRANSLATE(A34, ""en"", ""hi"")"),"33")</f>
        <v>33</v>
      </c>
      <c r="G34" s="5" t="str">
        <f>IFERROR(__xludf.DUMMYFUNCTION("GOOGLETRANSLATE(B34, ""en"", ""hi"")"),"सिलंबम की युद्ध रणनीति में कौन सा सिद्धांत सबसे महत्वपूर्ण है?")</f>
        <v>सिलंबम की युद्ध रणनीति में कौन सा सिद्धांत सबसे महत्वपूर्ण है?</v>
      </c>
      <c r="H34" s="5" t="str">
        <f>IFERROR(__xludf.DUMMYFUNCTION("GOOGLETRANSLATE(C34, ""en"", ""hi"")"),"A) ताकत से अधिक गति, B) आक्रमण से पहले रक्षा, C) शक्ति से अधिक सटीकता, D) कठोरता से अधिक लचीलापन")</f>
        <v>A) ताकत से अधिक गति, B) आक्रमण से पहले रक्षा, C) शक्ति से अधिक सटीकता, D) कठोरता से अधिक लचीलापन</v>
      </c>
      <c r="I34" s="5" t="str">
        <f>IFERROR(__xludf.DUMMYFUNCTION("GOOGLETRANSLATE(D34, ""en"", ""hi"")"),"बी) आक्रमण से पहले बचाव")</f>
        <v>बी) आक्रमण से पहले बचाव</v>
      </c>
    </row>
    <row r="35" ht="22.5" customHeight="1">
      <c r="A35" s="2">
        <v>34.0</v>
      </c>
      <c r="B35" s="3" t="s">
        <v>9206</v>
      </c>
      <c r="C35" s="3" t="s">
        <v>9207</v>
      </c>
      <c r="D35" s="3" t="s">
        <v>9208</v>
      </c>
      <c r="F35" s="5" t="str">
        <f>IFERROR(__xludf.DUMMYFUNCTION("GOOGLETRANSLATE(A35, ""en"", ""hi"")"),"34")</f>
        <v>34</v>
      </c>
      <c r="G35" s="5" t="str">
        <f>IFERROR(__xludf.DUMMYFUNCTION("GOOGLETRANSLATE(B35, ""en"", ""hi"")"),"सिलंबम में किस प्रकार की गतिविधि पर सबसे कम जोर दिया जाता है?")</f>
        <v>सिलंबम में किस प्रकार की गतिविधि पर सबसे कम जोर दिया जाता है?</v>
      </c>
      <c r="H35" s="5" t="str">
        <f>IFERROR(__xludf.DUMMYFUNCTION("GOOGLETRANSLATE(C35, ""en"", ""hi"")"),"A) रैखिक, B) वृत्ताकार, C) विकर्ण, D) स्थिर")</f>
        <v>A) रैखिक, B) वृत्ताकार, C) विकर्ण, D) स्थिर</v>
      </c>
      <c r="I35" s="5" t="str">
        <f>IFERROR(__xludf.DUMMYFUNCTION("GOOGLETRANSLATE(D35, ""en"", ""hi"")"),"डी) स्थिर")</f>
        <v>डी) स्थिर</v>
      </c>
    </row>
    <row r="36" ht="22.5" customHeight="1">
      <c r="A36" s="2">
        <v>35.0</v>
      </c>
      <c r="B36" s="3" t="s">
        <v>9209</v>
      </c>
      <c r="C36" s="3" t="s">
        <v>9210</v>
      </c>
      <c r="D36" s="3" t="s">
        <v>9211</v>
      </c>
      <c r="F36" s="5" t="str">
        <f>IFERROR(__xludf.DUMMYFUNCTION("GOOGLETRANSLATE(A36, ""en"", ""hi"")"),"35")</f>
        <v>35</v>
      </c>
      <c r="G36" s="5" t="str">
        <f>IFERROR(__xludf.DUMMYFUNCTION("GOOGLETRANSLATE(B36, ""en"", ""hi"")"),"सिलंबम प्रदर्शन के दौरान, अभ्यासी विभिन्न कोणों से होने वाले कई हमलों को रोकने के लिए छड़ी को घुमाकर गति करता है। अभ्यासी संभवतः किस तकनीक का उपयोग कर रहा है?")</f>
        <v>सिलंबम प्रदर्शन के दौरान, अभ्यासी विभिन्न कोणों से होने वाले कई हमलों को रोकने के लिए छड़ी को घुमाकर गति करता है। अभ्यासी संभवतः किस तकनीक का उपयोग कर रहा है?</v>
      </c>
      <c r="H36" s="5" t="str">
        <f>IFERROR(__xludf.DUMMYFUNCTION("GOOGLETRANSLATE(C36, ""en"", ""hi"")"),"ए) सर्पा नादाई, बी) वेट्टू मुराई, सी) वीटू, डी) थडावु")</f>
        <v>ए) सर्पा नादाई, बी) वेट्टू मुराई, सी) वीटू, डी) थडावु</v>
      </c>
      <c r="I36" s="5" t="str">
        <f>IFERROR(__xludf.DUMMYFUNCTION("GOOGLETRANSLATE(D36, ""en"", ""hi"")"),"D) थडावु")</f>
        <v>D) थडावु</v>
      </c>
    </row>
    <row r="37" ht="22.5" customHeight="1">
      <c r="A37" s="2">
        <v>36.0</v>
      </c>
      <c r="B37" s="3" t="s">
        <v>9212</v>
      </c>
      <c r="C37" s="3" t="s">
        <v>9213</v>
      </c>
      <c r="D37" s="3" t="s">
        <v>9214</v>
      </c>
      <c r="F37" s="5" t="str">
        <f>IFERROR(__xludf.DUMMYFUNCTION("GOOGLETRANSLATE(A37, ""en"", ""hi"")"),"36")</f>
        <v>36</v>
      </c>
      <c r="G37" s="5" t="str">
        <f>IFERROR(__xludf.DUMMYFUNCTION("GOOGLETRANSLATE(B37, ""en"", ""hi"")"),"सिलंबम मुकाबले में, एक अभ्यासकर्ता तेज़ पैरों का इस्तेमाल करके प्रतिद्वंद्वी के चारों ओर घूमता है और तेज़ वार करता है। इससे क्या फ़ायदा होता है?")</f>
        <v>सिलंबम मुकाबले में, एक अभ्यासकर्ता तेज़ पैरों का इस्तेमाल करके प्रतिद्वंद्वी के चारों ओर घूमता है और तेज़ वार करता है। इससे क्या फ़ायदा होता है?</v>
      </c>
      <c r="H37" s="5" t="str">
        <f>IFERROR(__xludf.DUMMYFUNCTION("GOOGLETRANSLATE(C37, ""en"", ""hi"")"),"A) प्रहार शक्ति को बढ़ाता है, B) प्रतिद्वंद्वी को भ्रमित करता है, C) रक्षा में सुधार करता है, D) अभ्यासकर्ता को अधिक कुशल बनाता है")</f>
        <v>A) प्रहार शक्ति को बढ़ाता है, B) प्रतिद्वंद्वी को भ्रमित करता है, C) रक्षा में सुधार करता है, D) अभ्यासकर्ता को अधिक कुशल बनाता है</v>
      </c>
      <c r="I37" s="5" t="str">
        <f>IFERROR(__xludf.DUMMYFUNCTION("GOOGLETRANSLATE(D37, ""en"", ""hi"")"),"B) प्रतिद्वंद्वी को भ्रमित करता है")</f>
        <v>B) प्रतिद्वंद्वी को भ्रमित करता है</v>
      </c>
    </row>
    <row r="38" ht="22.5" customHeight="1">
      <c r="A38" s="2">
        <v>37.0</v>
      </c>
      <c r="B38" s="3" t="s">
        <v>9215</v>
      </c>
      <c r="C38" s="3" t="s">
        <v>9216</v>
      </c>
      <c r="D38" s="3" t="s">
        <v>9217</v>
      </c>
      <c r="F38" s="5" t="str">
        <f>IFERROR(__xludf.DUMMYFUNCTION("GOOGLETRANSLATE(A38, ""en"", ""hi"")"),"37")</f>
        <v>37</v>
      </c>
      <c r="G38" s="5" t="str">
        <f>IFERROR(__xludf.DUMMYFUNCTION("GOOGLETRANSLATE(B38, ""en"", ""hi"")"),"एक सिलंबम साधक कई विरोधियों से घिरा होता है। जवाबी हमले की तैयारी करते समय रक्षात्मक रुख बनाए रखने के लिए उन्हें किस तकनीक का उपयोग करना चाहिए?")</f>
        <v>एक सिलंबम साधक कई विरोधियों से घिरा होता है। जवाबी हमले की तैयारी करते समय रक्षात्मक रुख बनाए रखने के लिए उन्हें किस तकनीक का उपयोग करना चाहिए?</v>
      </c>
      <c r="H38" s="5" t="str">
        <f>IFERROR(__xludf.DUMMYFUNCTION("GOOGLETRANSLATE(C38, ""en"", ""hi"")"),"ए) ओडिवर्मा, बी) वेट्टारू, सी) कुथु वरिसाई, डी) सर्पा नादाई")</f>
        <v>ए) ओडिवर्मा, बी) वेट्टारू, सी) कुथु वरिसाई, डी) सर्पा नादाई</v>
      </c>
      <c r="I38" s="5" t="str">
        <f>IFERROR(__xludf.DUMMYFUNCTION("GOOGLETRANSLATE(D38, ""en"", ""hi"")"),"A) ऊदीवर्मा")</f>
        <v>A) ऊदीवर्मा</v>
      </c>
    </row>
    <row r="39" ht="22.5" customHeight="1">
      <c r="A39" s="2">
        <v>38.0</v>
      </c>
      <c r="B39" s="3" t="s">
        <v>9218</v>
      </c>
      <c r="C39" s="3" t="s">
        <v>9219</v>
      </c>
      <c r="D39" s="3" t="s">
        <v>9220</v>
      </c>
      <c r="F39" s="5" t="str">
        <f>IFERROR(__xludf.DUMMYFUNCTION("GOOGLETRANSLATE(A39, ""en"", ""hi"")"),"38")</f>
        <v>38</v>
      </c>
      <c r="G39" s="5" t="str">
        <f>IFERROR(__xludf.DUMMYFUNCTION("GOOGLETRANSLATE(B39, ""en"", ""hi"")"),"सिलंबम प्रदर्शन के दौरान, अभ्यासकर्ता छड़ी का उपयोग करके प्रतिद्वंद्वी के पैरों की ओर नीचे की ओर झुकता है। इस चाल का लक्ष्य क्या है?")</f>
        <v>सिलंबम प्रदर्शन के दौरान, अभ्यासकर्ता छड़ी का उपयोग करके प्रतिद्वंद्वी के पैरों की ओर नीचे की ओर झुकता है। इस चाल का लक्ष्य क्या है?</v>
      </c>
      <c r="H39" s="5" t="str">
        <f>IFERROR(__xludf.DUMMYFUNCTION("GOOGLETRANSLATE(C39, ""en"", ""hi"")"),"A) प्रतिद्वंद्वी का संतुलन बिगाड़ना, B) प्रतिद्वंद्वी के पैरों को घायल करना, C) प्रतिद्वंद्वी का ध्यान भटकाना, D) कौशल का प्रदर्शन करना")</f>
        <v>A) प्रतिद्वंद्वी का संतुलन बिगाड़ना, B) प्रतिद्वंद्वी के पैरों को घायल करना, C) प्रतिद्वंद्वी का ध्यान भटकाना, D) कौशल का प्रदर्शन करना</v>
      </c>
      <c r="I39" s="5" t="str">
        <f>IFERROR(__xludf.DUMMYFUNCTION("GOOGLETRANSLATE(D39, ""en"", ""hi"")"),"A) प्रतिद्वंद्वी का संतुलन बिगाड़ना")</f>
        <v>A) प्रतिद्वंद्वी का संतुलन बिगाड़ना</v>
      </c>
    </row>
    <row r="40" ht="22.5" customHeight="1">
      <c r="A40" s="2">
        <v>39.0</v>
      </c>
      <c r="B40" s="3" t="s">
        <v>9221</v>
      </c>
      <c r="C40" s="3" t="s">
        <v>9222</v>
      </c>
      <c r="D40" s="3" t="s">
        <v>9223</v>
      </c>
      <c r="F40" s="5" t="str">
        <f>IFERROR(__xludf.DUMMYFUNCTION("GOOGLETRANSLATE(A40, ""en"", ""hi"")"),"39")</f>
        <v>39</v>
      </c>
      <c r="G40" s="5" t="str">
        <f>IFERROR(__xludf.DUMMYFUNCTION("GOOGLETRANSLATE(B40, ""en"", ""hi"")"),"एक सिलंबम प्रशिक्षक अपने छात्रों को वार्म-अप रूटीन के हिस्से के रूप में 'तट्टादावु' का अभ्यास करने के लिए कहते हैं। वे किस पर ध्यान केंद्रित कर रहे हैं?")</f>
        <v>एक सिलंबम प्रशिक्षक अपने छात्रों को वार्म-अप रूटीन के हिस्से के रूप में 'तट्टादावु' का अभ्यास करने के लिए कहते हैं। वे किस पर ध्यान केंद्रित कर रहे हैं?</v>
      </c>
      <c r="H40" s="5" t="str">
        <f>IFERROR(__xludf.DUMMYFUNCTION("GOOGLETRANSLATE(C40, ""en"", ""hi"")"),"ए) आक्रामक चालें, बी) फुटवर्क, सी) ब्लॉकिंग तकनीकें, डी) रुख परिवर्तन")</f>
        <v>ए) आक्रामक चालें, बी) फुटवर्क, सी) ब्लॉकिंग तकनीकें, डी) रुख परिवर्तन</v>
      </c>
      <c r="I40" s="5" t="str">
        <f>IFERROR(__xludf.DUMMYFUNCTION("GOOGLETRANSLATE(D40, ""en"", ""hi"")"),"C) ब्लॉकिंग तकनीकें")</f>
        <v>C) ब्लॉकिंग तकनीकें</v>
      </c>
    </row>
    <row r="41" ht="22.5" customHeight="1">
      <c r="A41" s="2">
        <v>40.0</v>
      </c>
      <c r="B41" s="3" t="s">
        <v>9224</v>
      </c>
      <c r="C41" s="3" t="s">
        <v>9225</v>
      </c>
      <c r="D41" s="3" t="s">
        <v>9226</v>
      </c>
      <c r="F41" s="5" t="str">
        <f>IFERROR(__xludf.DUMMYFUNCTION("GOOGLETRANSLATE(A41, ""en"", ""hi"")"),"40")</f>
        <v>40</v>
      </c>
      <c r="G41" s="5" t="str">
        <f>IFERROR(__xludf.DUMMYFUNCTION("GOOGLETRANSLATE(B41, ""en"", ""hi"")"),"सिलंबम युद्ध की स्थिति में, एक अभ्यासी 'वीटू' तकनीक का उपयोग करता है। इस परिदृश्य में उनका प्राथमिक उद्देश्य क्या है?")</f>
        <v>सिलंबम युद्ध की स्थिति में, एक अभ्यासी 'वीटू' तकनीक का उपयोग करता है। इस परिदृश्य में उनका प्राथमिक उद्देश्य क्या है?</v>
      </c>
      <c r="H41" s="5" t="str">
        <f>IFERROR(__xludf.DUMMYFUNCTION("GOOGLETRANSLATE(C41, ""en"", ""hi"")"),"A) प्रतिद्वंद्वी पर प्रहार करना, B) प्रतिद्वंद्वी को निहत्था करना, C) हमले से बचाव करना, D) अपना कौशल प्रदर्शित करना")</f>
        <v>A) प्रतिद्वंद्वी पर प्रहार करना, B) प्रतिद्वंद्वी को निहत्था करना, C) हमले से बचाव करना, D) अपना कौशल प्रदर्शित करना</v>
      </c>
      <c r="I41" s="5" t="str">
        <f>IFERROR(__xludf.DUMMYFUNCTION("GOOGLETRANSLATE(D41, ""en"", ""hi"")"),"C) किसी हमले से बचाव के लिए")</f>
        <v>C) किसी हमले से बचाव के लिए</v>
      </c>
    </row>
    <row r="42" ht="22.5" customHeight="1">
      <c r="A42" s="2">
        <v>41.0</v>
      </c>
      <c r="B42" s="3" t="s">
        <v>9227</v>
      </c>
      <c r="C42" s="3" t="s">
        <v>9228</v>
      </c>
      <c r="D42" s="3" t="s">
        <v>9229</v>
      </c>
      <c r="F42" s="5" t="str">
        <f>IFERROR(__xludf.DUMMYFUNCTION("GOOGLETRANSLATE(A42, ""en"", ""hi"")"),"41")</f>
        <v>41</v>
      </c>
      <c r="G42" s="5" t="str">
        <f>IFERROR(__xludf.DUMMYFUNCTION("GOOGLETRANSLATE(B42, ""en"", ""hi"")"),"सिलंबम प्रतियोगिता के दौरान, एक प्रतियोगी अपने प्रतिद्वंद्वी के ऊपरी शरीर पर निशाना साधने के लिए एक तेज़ गति का प्रयोग करता है। इस गति का संभावित उद्देश्य क्या है?")</f>
        <v>सिलंबम प्रतियोगिता के दौरान, एक प्रतियोगी अपने प्रतिद्वंद्वी के ऊपरी शरीर पर निशाना साधने के लिए एक तेज़ गति का प्रयोग करता है। इस गति का संभावित उद्देश्य क्या है?</v>
      </c>
      <c r="H42" s="5" t="str">
        <f>IFERROR(__xludf.DUMMYFUNCTION("GOOGLETRANSLATE(C42, ""en"", ""hi"")"),"A) प्रतिद्वंद्वी का ध्यान भटकाने के लिए, B) प्रतिद्वंद्वी की रक्षा का परीक्षण करने के लिए, C) निचले हमले के लिए रास्ता बनाने के लिए, D) अंक अर्जित करने के लिए")</f>
        <v>A) प्रतिद्वंद्वी का ध्यान भटकाने के लिए, B) प्रतिद्वंद्वी की रक्षा का परीक्षण करने के लिए, C) निचले हमले के लिए रास्ता बनाने के लिए, D) अंक अर्जित करने के लिए</v>
      </c>
      <c r="I42" s="5" t="str">
        <f>IFERROR(__xludf.DUMMYFUNCTION("GOOGLETRANSLATE(D42, ""en"", ""hi"")"),"C) निचले हमले के लिए रास्ता बनाना")</f>
        <v>C) निचले हमले के लिए रास्ता बनाना</v>
      </c>
    </row>
    <row r="43" ht="22.5" customHeight="1">
      <c r="A43" s="2">
        <v>42.0</v>
      </c>
      <c r="B43" s="3" t="s">
        <v>9230</v>
      </c>
      <c r="C43" s="3" t="s">
        <v>9231</v>
      </c>
      <c r="D43" s="3" t="s">
        <v>9232</v>
      </c>
      <c r="F43" s="5" t="str">
        <f>IFERROR(__xludf.DUMMYFUNCTION("GOOGLETRANSLATE(A43, ""en"", ""hi"")"),"42")</f>
        <v>42</v>
      </c>
      <c r="G43" s="5" t="str">
        <f>IFERROR(__xludf.DUMMYFUNCTION("GOOGLETRANSLATE(B43, ""en"", ""hi"")"),"एक सिलंबम साधक का मुकाबला एक ऐसे प्रतिद्वंद्वी से है जो ढाल का उपयोग करता है। इस स्थिति में उनके लिए कौन सी तकनीक सबसे प्रभावी होगी?")</f>
        <v>एक सिलंबम साधक का मुकाबला एक ऐसे प्रतिद्वंद्वी से है जो ढाल का उपयोग करता है। इस स्थिति में उनके लिए कौन सी तकनीक सबसे प्रभावी होगी?</v>
      </c>
      <c r="H43" s="5" t="str">
        <f>IFERROR(__xludf.DUMMYFUNCTION("GOOGLETRANSLATE(C43, ""en"", ""hi"")"),"ए) सर्पा नादाई, बी) वेट्टू मुराई, सी) आदिमुराई, डी) वीटू")</f>
        <v>ए) सर्पा नादाई, बी) वेट्टू मुराई, सी) आदिमुराई, डी) वीटू</v>
      </c>
      <c r="I43" s="5" t="str">
        <f>IFERROR(__xludf.DUMMYFUNCTION("GOOGLETRANSLATE(D43, ""en"", ""hi"")"),"बी) वेट्टू मुराई")</f>
        <v>बी) वेट्टू मुराई</v>
      </c>
    </row>
    <row r="44" ht="22.5" customHeight="1">
      <c r="A44" s="2">
        <v>43.0</v>
      </c>
      <c r="B44" s="3" t="s">
        <v>9233</v>
      </c>
      <c r="C44" s="3" t="s">
        <v>9234</v>
      </c>
      <c r="D44" s="3" t="s">
        <v>9235</v>
      </c>
      <c r="F44" s="5" t="str">
        <f>IFERROR(__xludf.DUMMYFUNCTION("GOOGLETRANSLATE(A44, ""en"", ""hi"")"),"43")</f>
        <v>43</v>
      </c>
      <c r="G44" s="5" t="str">
        <f>IFERROR(__xludf.DUMMYFUNCTION("GOOGLETRANSLATE(B44, ""en"", ""hi"")"),"सिलंबम प्रशिक्षण सत्र में, अभ्यासकर्ता अलग-अलग लंबाई की दो छड़ियों से अभ्यास करता है। इस अभ्यास का मुख्य उद्देश्य क्या है?")</f>
        <v>सिलंबम प्रशिक्षण सत्र में, अभ्यासकर्ता अलग-अलग लंबाई की दो छड़ियों से अभ्यास करता है। इस अभ्यास का मुख्य उद्देश्य क्या है?</v>
      </c>
      <c r="H44" s="5" t="str">
        <f>IFERROR(__xludf.DUMMYFUNCTION("GOOGLETRANSLATE(C44, ""en"", ""hi"")"),"A) ताकत बढ़ाने के लिए, B) समन्वय में सुधार करने के लिए, C) लचीलापन बढ़ाने के लिए, D) कौशल दिखाने के लिए")</f>
        <v>A) ताकत बढ़ाने के लिए, B) समन्वय में सुधार करने के लिए, C) लचीलापन बढ़ाने के लिए, D) कौशल दिखाने के लिए</v>
      </c>
      <c r="I44" s="5" t="str">
        <f>IFERROR(__xludf.DUMMYFUNCTION("GOOGLETRANSLATE(D44, ""en"", ""hi"")"),"बी) समन्वय में सुधार करने के लिए")</f>
        <v>बी) समन्वय में सुधार करने के लिए</v>
      </c>
    </row>
    <row r="45" ht="22.5" customHeight="1">
      <c r="A45" s="2">
        <v>44.0</v>
      </c>
      <c r="B45" s="3" t="s">
        <v>9236</v>
      </c>
      <c r="C45" s="3" t="s">
        <v>9237</v>
      </c>
      <c r="D45" s="3" t="s">
        <v>9238</v>
      </c>
      <c r="F45" s="5" t="str">
        <f>IFERROR(__xludf.DUMMYFUNCTION("GOOGLETRANSLATE(A45, ""en"", ""hi"")"),"44")</f>
        <v>44</v>
      </c>
      <c r="G45" s="5" t="str">
        <f>IFERROR(__xludf.DUMMYFUNCTION("GOOGLETRANSLATE(B45, ""en"", ""hi"")"),"सिलंबम में एक साधक नीचे की ओर प्रहार के बाद तेज़ी से ऊपर की ओर गति करता है। इस संयोजन का उद्देश्य क्या है?")</f>
        <v>सिलंबम में एक साधक नीचे की ओर प्रहार के बाद तेज़ी से ऊपर की ओर गति करता है। इस संयोजन का उद्देश्य क्या है?</v>
      </c>
      <c r="H45" s="5" t="str">
        <f>IFERROR(__xludf.DUMMYFUNCTION("GOOGLETRANSLATE(C45, ""en"", ""hi"")"),"A) शक्ति बढ़ाने के लिए, B) प्रतिद्वंद्वी को भ्रमित करने के लिए, C) एक साथ बचाव और आक्रमण करने के लिए, D) दिखावा करने के लिए")</f>
        <v>A) शक्ति बढ़ाने के लिए, B) प्रतिद्वंद्वी को भ्रमित करने के लिए, C) एक साथ बचाव और आक्रमण करने के लिए, D) दिखावा करने के लिए</v>
      </c>
      <c r="I45" s="5" t="str">
        <f>IFERROR(__xludf.DUMMYFUNCTION("GOOGLETRANSLATE(D45, ""en"", ""hi"")"),"C) एक साथ बचाव और आक्रमण करना")</f>
        <v>C) एक साथ बचाव और आक्रमण करना</v>
      </c>
    </row>
    <row r="46" ht="22.5" customHeight="1">
      <c r="A46" s="2">
        <v>45.0</v>
      </c>
      <c r="B46" s="3" t="s">
        <v>9239</v>
      </c>
      <c r="C46" s="3" t="s">
        <v>9240</v>
      </c>
      <c r="D46" s="3" t="s">
        <v>9241</v>
      </c>
      <c r="F46" s="5" t="str">
        <f>IFERROR(__xludf.DUMMYFUNCTION("GOOGLETRANSLATE(A46, ""en"", ""hi"")"),"45")</f>
        <v>45</v>
      </c>
      <c r="G46" s="5" t="str">
        <f>IFERROR(__xludf.DUMMYFUNCTION("GOOGLETRANSLATE(B46, ""en"", ""hi"")"),"सिलंबम मैच में, अभ्यासकर्ता छड़ी से गोलाकार गतियों की एक श्रृंखला का उपयोग करता है। इस तकनीक का उपयोग करने का मुख्य कारण क्या है?")</f>
        <v>सिलंबम मैच में, अभ्यासकर्ता छड़ी से गोलाकार गतियों की एक श्रृंखला का उपयोग करता है। इस तकनीक का उपयोग करने का मुख्य कारण क्या है?</v>
      </c>
      <c r="H46" s="5" t="str">
        <f>IFERROR(__xludf.DUMMYFUNCTION("GOOGLETRANSLATE(C46, ""en"", ""hi"")"),"A) प्रतिद्वंद्वी को डराने के लिए, B) रक्षात्मक अवरोध बनाए रखने के लिए, C) प्रभावशाली दिखने के लिए, D) प्रतिद्वंद्वी को थका देने के लिए")</f>
        <v>A) प्रतिद्वंद्वी को डराने के लिए, B) रक्षात्मक अवरोध बनाए रखने के लिए, C) प्रभावशाली दिखने के लिए, D) प्रतिद्वंद्वी को थका देने के लिए</v>
      </c>
      <c r="I46" s="5" t="str">
        <f>IFERROR(__xludf.DUMMYFUNCTION("GOOGLETRANSLATE(D46, ""en"", ""hi"")"),"बी) रक्षात्मक अवरोध बनाए रखने के लिए")</f>
        <v>बी) रक्षात्मक अवरोध बनाए रखने के लिए</v>
      </c>
    </row>
    <row r="47" ht="22.5" customHeight="1">
      <c r="A47" s="2">
        <v>46.0</v>
      </c>
      <c r="B47" s="3" t="s">
        <v>9242</v>
      </c>
      <c r="C47" s="3" t="s">
        <v>9243</v>
      </c>
      <c r="D47" s="3" t="s">
        <v>9244</v>
      </c>
      <c r="F47" s="5" t="str">
        <f>IFERROR(__xludf.DUMMYFUNCTION("GOOGLETRANSLATE(A47, ""en"", ""hi"")"),"46")</f>
        <v>46</v>
      </c>
      <c r="G47" s="5" t="str">
        <f>IFERROR(__xludf.DUMMYFUNCTION("GOOGLETRANSLATE(B47, ""en"", ""hi"")"),"सिलंबम प्रदर्शन के दौरान, अभ्यासकर्ता छड़ी को निरंतर गतिमान रखते हुए जटिल पदचिह्नों की एक श्रृंखला का प्रदर्शन करता है। इस अभ्यास का उद्देश्य क्या सुधारना है?")</f>
        <v>सिलंबम प्रदर्शन के दौरान, अभ्यासकर्ता छड़ी को निरंतर गतिमान रखते हुए जटिल पदचिह्नों की एक श्रृंखला का प्रदर्शन करता है। इस अभ्यास का उद्देश्य क्या सुधारना है?</v>
      </c>
      <c r="H47" s="5" t="str">
        <f>IFERROR(__xludf.DUMMYFUNCTION("GOOGLETRANSLATE(C47, ""en"", ""hi"")"),"A) ताकत, B) लचीलापन, C) समन्वय, D) गति")</f>
        <v>A) ताकत, B) लचीलापन, C) समन्वय, D) गति</v>
      </c>
      <c r="I47" s="5" t="str">
        <f>IFERROR(__xludf.DUMMYFUNCTION("GOOGLETRANSLATE(D47, ""en"", ""hi"")"),"सी) समन्वय")</f>
        <v>सी) समन्वय</v>
      </c>
    </row>
    <row r="48" ht="22.5" customHeight="1">
      <c r="A48" s="2">
        <v>47.0</v>
      </c>
      <c r="B48" s="3" t="s">
        <v>9245</v>
      </c>
      <c r="C48" s="3" t="s">
        <v>9246</v>
      </c>
      <c r="D48" s="3" t="s">
        <v>9247</v>
      </c>
      <c r="F48" s="5" t="str">
        <f>IFERROR(__xludf.DUMMYFUNCTION("GOOGLETRANSLATE(A48, ""en"", ""hi"")"),"47")</f>
        <v>47</v>
      </c>
      <c r="G48" s="5" t="str">
        <f>IFERROR(__xludf.DUMMYFUNCTION("GOOGLETRANSLATE(B48, ""en"", ""hi"")"),"एक सिलंबम साधक को एक लंबे हथियार वाले प्रतिद्वंद्वी का सामना करना पड़ता है। इस नुकसान का मुकाबला करने के लिए उन्हें कौन सी रणनीति अपनानी चाहिए?")</f>
        <v>एक सिलंबम साधक को एक लंबे हथियार वाले प्रतिद्वंद्वी का सामना करना पड़ता है। इस नुकसान का मुकाबला करने के लिए उन्हें कौन सी रणनीति अपनानी चाहिए?</v>
      </c>
      <c r="H48" s="5" t="str">
        <f>IFERROR(__xludf.DUMMYFUNCTION("GOOGLETRANSLATE(C48, ""en"", ""hi"")"),"A) दूरी को जल्दी से कम करें, B) लंबे हमलों का उपयोग करें, C) बचाव पर ध्यान केंद्रित करें, D) पीछे हटें और अवसर की प्रतीक्षा करें")</f>
        <v>A) दूरी को जल्दी से कम करें, B) लंबे हमलों का उपयोग करें, C) बचाव पर ध्यान केंद्रित करें, D) पीछे हटें और अवसर की प्रतीक्षा करें</v>
      </c>
      <c r="I48" s="5" t="str">
        <f>IFERROR(__xludf.DUMMYFUNCTION("GOOGLETRANSLATE(D48, ""en"", ""hi"")"),"A) दूरी को जल्दी से कम करें")</f>
        <v>A) दूरी को जल्दी से कम करें</v>
      </c>
    </row>
    <row r="49" ht="22.5" customHeight="1">
      <c r="A49" s="2">
        <v>48.0</v>
      </c>
      <c r="B49" s="3" t="s">
        <v>9248</v>
      </c>
      <c r="C49" s="3" t="s">
        <v>9249</v>
      </c>
      <c r="D49" s="3" t="s">
        <v>9250</v>
      </c>
      <c r="F49" s="5" t="str">
        <f>IFERROR(__xludf.DUMMYFUNCTION("GOOGLETRANSLATE(A49, ""en"", ""hi"")"),"48")</f>
        <v>48</v>
      </c>
      <c r="G49" s="5" t="str">
        <f>IFERROR(__xludf.DUMMYFUNCTION("GOOGLETRANSLATE(B49, ""en"", ""hi"")"),"सिलंबम स्पैरिंग सत्र में, एक अभ्यासकर्ता प्रतिद्वंद्वी के प्रहारों को रोकने के लिए एक छोटी छड़ी का उपयोग करता है। इस तकनीक को क्या कहते हैं?")</f>
        <v>सिलंबम स्पैरिंग सत्र में, एक अभ्यासकर्ता प्रतिद्वंद्वी के प्रहारों को रोकने के लिए एक छोटी छड़ी का उपयोग करता है। इस तकनीक को क्या कहते हैं?</v>
      </c>
      <c r="H49" s="5" t="str">
        <f>IFERROR(__xludf.DUMMYFUNCTION("GOOGLETRANSLATE(C49, ""en"", ""hi"")"),"ए) थडावु, बी) वेट्टारू, सी) वीटू, डी) ओडिवर्मा")</f>
        <v>ए) थडावु, बी) वेट्टारू, सी) वीटू, डी) ओडिवर्मा</v>
      </c>
      <c r="I49" s="5" t="str">
        <f>IFERROR(__xludf.DUMMYFUNCTION("GOOGLETRANSLATE(D49, ""en"", ""hi"")"),"A) थडावु")</f>
        <v>A) थडावु</v>
      </c>
    </row>
    <row r="50" ht="22.5" customHeight="1">
      <c r="A50" s="2">
        <v>49.0</v>
      </c>
      <c r="B50" s="3" t="s">
        <v>9251</v>
      </c>
      <c r="C50" s="3" t="s">
        <v>9252</v>
      </c>
      <c r="D50" s="3" t="s">
        <v>9253</v>
      </c>
      <c r="F50" s="5" t="str">
        <f>IFERROR(__xludf.DUMMYFUNCTION("GOOGLETRANSLATE(A50, ""en"", ""hi"")"),"49")</f>
        <v>49</v>
      </c>
      <c r="G50" s="5" t="str">
        <f>IFERROR(__xludf.DUMMYFUNCTION("GOOGLETRANSLATE(B50, ""en"", ""hi"")"),"सिलंबम नृत्य के दौरान, साधक छड़ी से साँप की हरकतों की नकल करता है। इस पशु की हरकत को शामिल करने का उद्देश्य क्या है?")</f>
        <v>सिलंबम नृत्य के दौरान, साधक छड़ी से साँप की हरकतों की नकल करता है। इस पशु की हरकत को शामिल करने का उद्देश्य क्या है?</v>
      </c>
      <c r="H50" s="5" t="str">
        <f>IFERROR(__xludf.DUMMYFUNCTION("GOOGLETRANSLATE(C50, ""en"", ""hi"")"),"A) प्रतिद्वंद्वी को डराने के लिए, B) चपलता बढ़ाने के लिए, C) अप्रत्याशित गतिविधियाँ बनाने के लिए, D) कौशल दिखाने के लिए")</f>
        <v>A) प्रतिद्वंद्वी को डराने के लिए, B) चपलता बढ़ाने के लिए, C) अप्रत्याशित गतिविधियाँ बनाने के लिए, D) कौशल दिखाने के लिए</v>
      </c>
      <c r="I50" s="5" t="str">
        <f>IFERROR(__xludf.DUMMYFUNCTION("GOOGLETRANSLATE(D50, ""en"", ""hi"")"),"C) अप्रत्याशित गतिविधियाँ उत्पन्न करना")</f>
        <v>C) अप्रत्याशित गतिविधियाँ उत्पन्न करना</v>
      </c>
    </row>
    <row r="51" ht="22.5" customHeight="1">
      <c r="A51" s="2">
        <v>50.0</v>
      </c>
      <c r="B51" s="3" t="s">
        <v>9254</v>
      </c>
      <c r="C51" s="3" t="s">
        <v>9255</v>
      </c>
      <c r="D51" s="3" t="s">
        <v>9256</v>
      </c>
      <c r="F51" s="5" t="str">
        <f>IFERROR(__xludf.DUMMYFUNCTION("GOOGLETRANSLATE(A51, ""en"", ""hi"")"),"50")</f>
        <v>50</v>
      </c>
      <c r="G51" s="5" t="str">
        <f>IFERROR(__xludf.DUMMYFUNCTION("GOOGLETRANSLATE(B51, ""en"", ""hi"")"),"सिलंबम युद्ध परिदृश्य में, अभ्यासकर्ता प्रतिद्वंद्वी के हाथों पर निशाना साधते हुए तेज़ी से वार करता है। इस चाल का मुख्य उद्देश्य क्या है?")</f>
        <v>सिलंबम युद्ध परिदृश्य में, अभ्यासकर्ता प्रतिद्वंद्वी के हाथों पर निशाना साधते हुए तेज़ी से वार करता है। इस चाल का मुख्य उद्देश्य क्या है?</v>
      </c>
      <c r="H51" s="5" t="str">
        <f>IFERROR(__xludf.DUMMYFUNCTION("GOOGLETRANSLATE(C51, ""en"", ""hi"")"),"A) प्रतिद्वंद्वी को निहत्था करना, B) प्रतिद्वंद्वी को घायल करना, C) प्रतिद्वंद्वी का ध्यान भटकाना, D) कौशल प्रदर्शित करना")</f>
        <v>A) प्रतिद्वंद्वी को निहत्था करना, B) प्रतिद्वंद्वी को घायल करना, C) प्रतिद्वंद्वी का ध्यान भटकाना, D) कौशल प्रदर्शित करना</v>
      </c>
      <c r="I51" s="5" t="str">
        <f>IFERROR(__xludf.DUMMYFUNCTION("GOOGLETRANSLATE(D51, ""en"", ""hi"")"),"A) प्रतिद्वंद्वी को निहत्था करना")</f>
        <v>A) प्रतिद्वंद्वी को निहत्था करना</v>
      </c>
    </row>
    <row r="52" ht="22.5" customHeight="1">
      <c r="A52" s="2">
        <v>51.0</v>
      </c>
      <c r="B52" s="3" t="s">
        <v>9257</v>
      </c>
      <c r="C52" s="3" t="s">
        <v>9258</v>
      </c>
      <c r="D52" s="3" t="s">
        <v>9259</v>
      </c>
      <c r="F52" s="5" t="str">
        <f>IFERROR(__xludf.DUMMYFUNCTION("GOOGLETRANSLATE(A52, ""en"", ""hi"")"),"51")</f>
        <v>51</v>
      </c>
      <c r="G52" s="5" t="str">
        <f>IFERROR(__xludf.DUMMYFUNCTION("GOOGLETRANSLATE(B52, ""en"", ""hi"")"),"एक सिलंबम साधक प्रतिद्वंद्वी के पास पहुँचते ही तेज़ी से छड़ी घुमाता है। इससे क्या लाभ होता है?")</f>
        <v>एक सिलंबम साधक प्रतिद्वंद्वी के पास पहुँचते ही तेज़ी से छड़ी घुमाता है। इससे क्या लाभ होता है?</v>
      </c>
      <c r="H52" s="5" t="str">
        <f>IFERROR(__xludf.DUMMYFUNCTION("GOOGLETRANSLATE(C52, ""en"", ""hi"")"),"A) प्रतिद्वंद्वी को भ्रमित करता है, B) प्रहार शक्ति बढ़ाता है, C) रक्षा को बढ़ाता है, D) संतुलन में सुधार करता है")</f>
        <v>A) प्रतिद्वंद्वी को भ्रमित करता है, B) प्रहार शक्ति बढ़ाता है, C) रक्षा को बढ़ाता है, D) संतुलन में सुधार करता है</v>
      </c>
      <c r="I52" s="5" t="str">
        <f>IFERROR(__xludf.DUMMYFUNCTION("GOOGLETRANSLATE(D52, ""en"", ""hi"")"),"A) प्रतिद्वंद्वी को भ्रमित करता है")</f>
        <v>A) प्रतिद्वंद्वी को भ्रमित करता है</v>
      </c>
    </row>
    <row r="53" ht="22.5" customHeight="1">
      <c r="A53" s="2">
        <v>52.0</v>
      </c>
      <c r="B53" s="3" t="s">
        <v>9260</v>
      </c>
      <c r="C53" s="3" t="s">
        <v>9261</v>
      </c>
      <c r="D53" s="3" t="s">
        <v>9262</v>
      </c>
      <c r="F53" s="5" t="str">
        <f>IFERROR(__xludf.DUMMYFUNCTION("GOOGLETRANSLATE(A53, ""en"", ""hi"")"),"52")</f>
        <v>52</v>
      </c>
      <c r="G53" s="5" t="str">
        <f>IFERROR(__xludf.DUMMYFUNCTION("GOOGLETRANSLATE(B53, ""en"", ""hi"")"),"सिलंबम प्रशिक्षण अभ्यास के दौरान, छात्र विभिन्न कोणों और ऊँचाइयों पर प्रहार करने का अभ्यास करते हैं। इस अभ्यास का उद्देश्य क्या है?")</f>
        <v>सिलंबम प्रशिक्षण अभ्यास के दौरान, छात्र विभिन्न कोणों और ऊँचाइयों पर प्रहार करने का अभ्यास करते हैं। इस अभ्यास का उद्देश्य क्या है?</v>
      </c>
      <c r="H53" s="5" t="str">
        <f>IFERROR(__xludf.DUMMYFUNCTION("GOOGLETRANSLATE(C53, ""en"", ""hi"")"),"A) शक्ति विकसित करना, B) गति बढ़ाना, C) परिशुद्धता में सुधार करना, D) कौशल का प्रदर्शन करना")</f>
        <v>A) शक्ति विकसित करना, B) गति बढ़ाना, C) परिशुद्धता में सुधार करना, D) कौशल का प्रदर्शन करना</v>
      </c>
      <c r="I53" s="5" t="str">
        <f>IFERROR(__xludf.DUMMYFUNCTION("GOOGLETRANSLATE(D53, ""en"", ""hi"")"),"C) परिशुद्धता में सुधार करने के लिए")</f>
        <v>C) परिशुद्धता में सुधार करने के लिए</v>
      </c>
    </row>
    <row r="54" ht="22.5" customHeight="1">
      <c r="A54" s="2">
        <v>53.0</v>
      </c>
      <c r="B54" s="3" t="s">
        <v>9263</v>
      </c>
      <c r="C54" s="3" t="s">
        <v>9264</v>
      </c>
      <c r="D54" s="3" t="s">
        <v>9265</v>
      </c>
      <c r="F54" s="5" t="str">
        <f>IFERROR(__xludf.DUMMYFUNCTION("GOOGLETRANSLATE(A54, ""en"", ""hi"")"),"53")</f>
        <v>53</v>
      </c>
      <c r="G54" s="5" t="str">
        <f>IFERROR(__xludf.DUMMYFUNCTION("GOOGLETRANSLATE(B54, ""en"", ""hi"")"),"सिलंबम प्रदर्शन में, साधक आने वाले हमले से बचने के लिए एक घूमती हुई चाल का प्रदर्शन करता है। यह किस कौशल का प्रदर्शन करता है?")</f>
        <v>सिलंबम प्रदर्शन में, साधक आने वाले हमले से बचने के लिए एक घूमती हुई चाल का प्रदर्शन करता है। यह किस कौशल का प्रदर्शन करता है?</v>
      </c>
      <c r="H54" s="5" t="str">
        <f>IFERROR(__xludf.DUMMYFUNCTION("GOOGLETRANSLATE(C54, ""en"", ""hi"")"),"A) ताकत, B) गति, C) लचीलापन, D) टालमटोल")</f>
        <v>A) ताकत, B) गति, C) लचीलापन, D) टालमटोल</v>
      </c>
      <c r="I54" s="5" t="str">
        <f>IFERROR(__xludf.DUMMYFUNCTION("GOOGLETRANSLATE(D54, ""en"", ""hi"")"),"डी) चोरी")</f>
        <v>डी) चोरी</v>
      </c>
    </row>
    <row r="55" ht="22.5" customHeight="1">
      <c r="A55" s="2">
        <v>54.0</v>
      </c>
      <c r="B55" s="3" t="s">
        <v>9266</v>
      </c>
      <c r="C55" s="3" t="s">
        <v>9267</v>
      </c>
      <c r="D55" s="3" t="s">
        <v>9268</v>
      </c>
      <c r="F55" s="5" t="str">
        <f>IFERROR(__xludf.DUMMYFUNCTION("GOOGLETRANSLATE(A55, ""en"", ""hi"")"),"54")</f>
        <v>54</v>
      </c>
      <c r="G55" s="5" t="str">
        <f>IFERROR(__xludf.DUMMYFUNCTION("GOOGLETRANSLATE(B55, ""en"", ""hi"")"),"एक सिलंबम साधक को एक ऐसे प्रतिद्वंद्वी का सामना करना पड़ता है जो अप्रत्याशित गतिविधियों का उपयोग करता है। इस अप्रत्याशितता का मुकाबला करने के लिए उन्हें कौन सी तकनीक अपनानी चाहिए?")</f>
        <v>एक सिलंबम साधक को एक ऐसे प्रतिद्वंद्वी का सामना करना पड़ता है जो अप्रत्याशित गतिविधियों का उपयोग करता है। इस अप्रत्याशितता का मुकाबला करने के लिए उन्हें कौन सी तकनीक अपनानी चाहिए?</v>
      </c>
      <c r="H55" s="5" t="str">
        <f>IFERROR(__xludf.DUMMYFUNCTION("GOOGLETRANSLATE(C55, ""en"", ""hi"")"),"A) रक्षात्मक रहें, B) प्रतिद्वंद्वी की चालों से मेल खाएं, C) गोलाकार हमलों का उपयोग करें, D) छल का प्रयोग करें")</f>
        <v>A) रक्षात्मक रहें, B) प्रतिद्वंद्वी की चालों से मेल खाएं, C) गोलाकार हमलों का उपयोग करें, D) छल का प्रयोग करें</v>
      </c>
      <c r="I55" s="5" t="str">
        <f>IFERROR(__xludf.DUMMYFUNCTION("GOOGLETRANSLATE(D55, ""en"", ""hi"")"),"C) गोलाकार हमलों का उपयोग करें")</f>
        <v>C) गोलाकार हमलों का उपयोग करें</v>
      </c>
    </row>
    <row r="56" ht="22.5" customHeight="1">
      <c r="A56" s="2">
        <v>55.0</v>
      </c>
      <c r="B56" s="3" t="s">
        <v>9269</v>
      </c>
      <c r="C56" s="3" t="s">
        <v>9270</v>
      </c>
      <c r="D56" s="3" t="s">
        <v>9271</v>
      </c>
      <c r="F56" s="5" t="str">
        <f>IFERROR(__xludf.DUMMYFUNCTION("GOOGLETRANSLATE(A56, ""en"", ""hi"")"),"55")</f>
        <v>55</v>
      </c>
      <c r="G56" s="5" t="str">
        <f>IFERROR(__xludf.DUMMYFUNCTION("GOOGLETRANSLATE(B56, ""en"", ""hi"")"),"सिलंबम प्रतियोगिता के दौरान, एक अभ्यासकर्ता 'वेट्टु मुराई' तकनीक का उपयोग करता है। इस तकनीक का लक्ष्य क्या है?")</f>
        <v>सिलंबम प्रतियोगिता के दौरान, एक अभ्यासकर्ता 'वेट्टु मुराई' तकनीक का उपयोग करता है। इस तकनीक का लक्ष्य क्या है?</v>
      </c>
      <c r="H56" s="5" t="str">
        <f>IFERROR(__xludf.DUMMYFUNCTION("GOOGLETRANSLATE(C56, ""en"", ""hi"")"),"A) हमलों से बचाव के लिए, B) शक्तिशाली प्रहार करने के लिए, C) प्रतिद्वंद्वी को भ्रमित करने के लिए, D) प्रतिद्वंद्वी को निहत्था करने के लिए")</f>
        <v>A) हमलों से बचाव के लिए, B) शक्तिशाली प्रहार करने के लिए, C) प्रतिद्वंद्वी को भ्रमित करने के लिए, D) प्रतिद्वंद्वी को निहत्था करने के लिए</v>
      </c>
      <c r="I56" s="5" t="str">
        <f>IFERROR(__xludf.DUMMYFUNCTION("GOOGLETRANSLATE(D56, ""en"", ""hi"")"),"बी) एक शक्तिशाली प्रहार करने के लिए")</f>
        <v>बी) एक शक्तिशाली प्रहार करने के लिए</v>
      </c>
    </row>
    <row r="57" ht="22.5" customHeight="1">
      <c r="A57" s="2">
        <v>56.0</v>
      </c>
      <c r="B57" s="3" t="s">
        <v>9272</v>
      </c>
      <c r="C57" s="3" t="s">
        <v>9273</v>
      </c>
      <c r="D57" s="3" t="s">
        <v>9274</v>
      </c>
      <c r="F57" s="5" t="str">
        <f>IFERROR(__xludf.DUMMYFUNCTION("GOOGLETRANSLATE(A57, ""en"", ""hi"")"),"56")</f>
        <v>56</v>
      </c>
      <c r="G57" s="5" t="str">
        <f>IFERROR(__xludf.DUMMYFUNCTION("GOOGLETRANSLATE(B57, ""en"", ""hi"")"),"सिलंबम स्पैरिंग मुकाबले में, एक अभ्यासकर्ता बार-बार अपनी मुद्रा और स्थिति बदलता है, जबकि छड़ी गतिमान रहती है। इस रणनीति का उद्देश्य क्या है?")</f>
        <v>सिलंबम स्पैरिंग मुकाबले में, एक अभ्यासकर्ता बार-बार अपनी मुद्रा और स्थिति बदलता है, जबकि छड़ी गतिमान रहती है। इस रणनीति का उद्देश्य क्या है?</v>
      </c>
      <c r="H57" s="5" t="str">
        <f>IFERROR(__xludf.DUMMYFUNCTION("GOOGLETRANSLATE(C57, ""en"", ""hi"")"),"A) संतुलन बनाए रखने के लिए, B) प्रतिद्वंद्वी को भ्रमित करने के लिए, C) प्रहार शक्ति बढ़ाने के लिए, D) कौशल प्रदर्शित करने के लिए")</f>
        <v>A) संतुलन बनाए रखने के लिए, B) प्रतिद्वंद्वी को भ्रमित करने के लिए, C) प्रहार शक्ति बढ़ाने के लिए, D) कौशल प्रदर्शित करने के लिए</v>
      </c>
      <c r="I57" s="5" t="str">
        <f>IFERROR(__xludf.DUMMYFUNCTION("GOOGLETRANSLATE(D57, ""en"", ""hi"")"),"बी) प्रतिद्वंद्वी को भ्रमित करने के लिए")</f>
        <v>बी) प्रतिद्वंद्वी को भ्रमित करने के लिए</v>
      </c>
    </row>
    <row r="58" ht="22.5" customHeight="1">
      <c r="A58" s="2">
        <v>57.0</v>
      </c>
      <c r="B58" s="3" t="s">
        <v>9275</v>
      </c>
      <c r="C58" s="3" t="s">
        <v>9276</v>
      </c>
      <c r="D58" s="3" t="s">
        <v>9277</v>
      </c>
      <c r="F58" s="5" t="str">
        <f>IFERROR(__xludf.DUMMYFUNCTION("GOOGLETRANSLATE(A58, ""en"", ""hi"")"),"57")</f>
        <v>57</v>
      </c>
      <c r="G58" s="5" t="str">
        <f>IFERROR(__xludf.DUMMYFUNCTION("GOOGLETRANSLATE(B58, ""en"", ""hi"")"),"एक अभ्यासी सिलंबम का प्रदर्शन तीव्र, निम्न प्रहारों की एक श्रृंखला के साथ आक्रमण करके करता है। इस तकनीक में प्राथमिक लक्ष्य क्या है?")</f>
        <v>एक अभ्यासी सिलंबम का प्रदर्शन तीव्र, निम्न प्रहारों की एक श्रृंखला के साथ आक्रमण करके करता है। इस तकनीक में प्राथमिक लक्ष्य क्या है?</v>
      </c>
      <c r="H58" s="5" t="str">
        <f>IFERROR(__xludf.DUMMYFUNCTION("GOOGLETRANSLATE(C58, ""en"", ""hi"")"),"A) सिर, B) छाती, C) भुजाएँ, D) पैर")</f>
        <v>A) सिर, B) छाती, C) भुजाएँ, D) पैर</v>
      </c>
      <c r="I58" s="5" t="str">
        <f>IFERROR(__xludf.DUMMYFUNCTION("GOOGLETRANSLATE(D58, ""en"", ""hi"")"),"डी) पैर")</f>
        <v>डी) पैर</v>
      </c>
    </row>
    <row r="59" ht="22.5" customHeight="1">
      <c r="A59" s="2">
        <v>58.0</v>
      </c>
      <c r="B59" s="3" t="s">
        <v>9278</v>
      </c>
      <c r="C59" s="3" t="s">
        <v>9279</v>
      </c>
      <c r="D59" s="3" t="s">
        <v>9280</v>
      </c>
      <c r="F59" s="5" t="str">
        <f>IFERROR(__xludf.DUMMYFUNCTION("GOOGLETRANSLATE(A59, ""en"", ""hi"")"),"58")</f>
        <v>58</v>
      </c>
      <c r="G59" s="5" t="str">
        <f>IFERROR(__xludf.DUMMYFUNCTION("GOOGLETRANSLATE(B59, ""en"", ""hi"")"),"सिलंबम अभ्यास के दौरान, अभ्यासी एक ऐसी मुद्रा का प्रयोग करता है जिसमें ऊँची छलांग के बाद नीचे की ओर प्रहार होता है। इस मुद्रा का मुख्य उद्देश्य क्या है?")</f>
        <v>सिलंबम अभ्यास के दौरान, अभ्यासी एक ऐसी मुद्रा का प्रयोग करता है जिसमें ऊँची छलांग के बाद नीचे की ओर प्रहार होता है। इस मुद्रा का मुख्य उद्देश्य क्या है?</v>
      </c>
      <c r="H59" s="5" t="str">
        <f>IFERROR(__xludf.DUMMYFUNCTION("GOOGLETRANSLATE(C59, ""en"", ""hi"")"),"A) एथलेटिक क्षमता प्रदर्शित करना, B) प्रतिद्वंद्वी को आश्चर्यचकित करना, C) शक्ति बढ़ाना, D) अधिक दूरी तय करना")</f>
        <v>A) एथलेटिक क्षमता प्रदर्शित करना, B) प्रतिद्वंद्वी को आश्चर्यचकित करना, C) शक्ति बढ़ाना, D) अधिक दूरी तय करना</v>
      </c>
      <c r="I59" s="5" t="str">
        <f>IFERROR(__xludf.DUMMYFUNCTION("GOOGLETRANSLATE(D59, ""en"", ""hi"")"),"बी) प्रतिद्वंद्वी को आश्चर्यचकित करना")</f>
        <v>बी) प्रतिद्वंद्वी को आश्चर्यचकित करना</v>
      </c>
    </row>
    <row r="60" ht="22.5" customHeight="1">
      <c r="A60" s="2">
        <v>59.0</v>
      </c>
      <c r="B60" s="3" t="s">
        <v>9281</v>
      </c>
      <c r="C60" s="3" t="s">
        <v>9282</v>
      </c>
      <c r="D60" s="3" t="s">
        <v>9283</v>
      </c>
      <c r="F60" s="5" t="str">
        <f>IFERROR(__xludf.DUMMYFUNCTION("GOOGLETRANSLATE(A60, ""en"", ""hi"")"),"59")</f>
        <v>59</v>
      </c>
      <c r="G60" s="5" t="str">
        <f>IFERROR(__xludf.DUMMYFUNCTION("GOOGLETRANSLATE(B60, ""en"", ""hi"")"),"एक सिलंबम साधक रक्षात्मक मुद्रा में होता है जबकि प्रतिद्वंद्वी उसके चारों ओर चक्कर लगाता है। जवाबी हमले की तैयारी करते समय उसे अपनी सुरक्षा बनाए रखने के लिए किस तकनीक का उपयोग करना चाहिए?")</f>
        <v>एक सिलंबम साधक रक्षात्मक मुद्रा में होता है जबकि प्रतिद्वंद्वी उसके चारों ओर चक्कर लगाता है। जवाबी हमले की तैयारी करते समय उसे अपनी सुरक्षा बनाए रखने के लिए किस तकनीक का उपयोग करना चाहिए?</v>
      </c>
      <c r="H60" s="5" t="str">
        <f>IFERROR(__xludf.DUMMYFUNCTION("GOOGLETRANSLATE(C60, ""en"", ""hi"")"),"ए) थट्टादावु, बी) वेट्टारू, सी) वीटू, डी) सर्पा नादाई")</f>
        <v>ए) थट्टादावु, बी) वेट्टारू, सी) वीटू, डी) सर्पा नादाई</v>
      </c>
      <c r="I60" s="5" t="str">
        <f>IFERROR(__xludf.DUMMYFUNCTION("GOOGLETRANSLATE(D60, ""en"", ""hi"")"),"C) वीटू")</f>
        <v>C) वीटू</v>
      </c>
    </row>
    <row r="61" ht="22.5" customHeight="1">
      <c r="A61" s="2">
        <v>60.0</v>
      </c>
      <c r="B61" s="3" t="s">
        <v>9284</v>
      </c>
      <c r="C61" s="3" t="s">
        <v>9285</v>
      </c>
      <c r="D61" s="3" t="s">
        <v>9274</v>
      </c>
      <c r="F61" s="5" t="str">
        <f>IFERROR(__xludf.DUMMYFUNCTION("GOOGLETRANSLATE(A61, ""en"", ""hi"")"),"60")</f>
        <v>60</v>
      </c>
      <c r="G61" s="5" t="str">
        <f>IFERROR(__xludf.DUMMYFUNCTION("GOOGLETRANSLATE(B61, ""en"", ""hi"")"),"सिलंबम प्रदर्शन में, अभ्यासकर्ता प्रतिद्वंद्वी की ओर बढ़ते हुए छड़ी को तेज़ी से घुमाता है। इस तकनीक का अपेक्षित प्रभाव क्या है?")</f>
        <v>सिलंबम प्रदर्शन में, अभ्यासकर्ता प्रतिद्वंद्वी की ओर बढ़ते हुए छड़ी को तेज़ी से घुमाता है। इस तकनीक का अपेक्षित प्रभाव क्या है?</v>
      </c>
      <c r="H61" s="5" t="str">
        <f>IFERROR(__xludf.DUMMYFUNCTION("GOOGLETRANSLATE(C61, ""en"", ""hi"")"),"A) प्रतिद्वंद्वी को डराने के लिए, B) प्रतिद्वंद्वी को भ्रमित करने के लिए, C) हमलों से बचाव करने के लिए, D) कौशल दिखाने के लिए")</f>
        <v>A) प्रतिद्वंद्वी को डराने के लिए, B) प्रतिद्वंद्वी को भ्रमित करने के लिए, C) हमलों से बचाव करने के लिए, D) कौशल दिखाने के लिए</v>
      </c>
      <c r="I61" s="5" t="str">
        <f>IFERROR(__xludf.DUMMYFUNCTION("GOOGLETRANSLATE(D61, ""en"", ""hi"")"),"बी) प्रतिद्वंद्वी को भ्रमित करने के लिए")</f>
        <v>बी) प्रतिद्वंद्वी को भ्रमित करने के लिए</v>
      </c>
    </row>
    <row r="62" ht="22.5" customHeight="1">
      <c r="A62" s="2">
        <v>61.0</v>
      </c>
      <c r="B62" s="3" t="s">
        <v>9286</v>
      </c>
      <c r="C62" s="3" t="s">
        <v>9287</v>
      </c>
      <c r="D62" s="3" t="s">
        <v>9288</v>
      </c>
      <c r="F62" s="5" t="str">
        <f>IFERROR(__xludf.DUMMYFUNCTION("GOOGLETRANSLATE(A62, ""en"", ""hi"")"),"61")</f>
        <v>61</v>
      </c>
      <c r="G62" s="5" t="str">
        <f>IFERROR(__xludf.DUMMYFUNCTION("GOOGLETRANSLATE(B62, ""en"", ""hi"")"),"एक सिलंबम साधक 'ऊदीवर्मा' तकनीक का प्रदर्शन कर रहा है। इस तकनीक का प्राथमिक उद्देश्य क्या है?")</f>
        <v>एक सिलंबम साधक 'ऊदीवर्मा' तकनीक का प्रदर्शन कर रहा है। इस तकनीक का प्राथमिक उद्देश्य क्या है?</v>
      </c>
      <c r="H62" s="5" t="str">
        <f>IFERROR(__xludf.DUMMYFUNCTION("GOOGLETRANSLATE(C62, ""en"", ""hi"")"),"A) आक्रामक हमले, B) रक्षात्मक युद्धाभ्यास, C) हमलों से बचना, D) चपलता में सुधार")</f>
        <v>A) आक्रामक हमले, B) रक्षात्मक युद्धाभ्यास, C) हमलों से बचना, D) चपलता में सुधार</v>
      </c>
      <c r="I62" s="5" t="str">
        <f>IFERROR(__xludf.DUMMYFUNCTION("GOOGLETRANSLATE(D62, ""en"", ""hi"")"),"C) हमलों से बचना")</f>
        <v>C) हमलों से बचना</v>
      </c>
    </row>
    <row r="63" ht="22.5" customHeight="1">
      <c r="A63" s="2">
        <v>62.0</v>
      </c>
      <c r="B63" s="3" t="s">
        <v>9289</v>
      </c>
      <c r="C63" s="3" t="s">
        <v>9290</v>
      </c>
      <c r="D63" s="3" t="s">
        <v>9291</v>
      </c>
      <c r="F63" s="5" t="str">
        <f>IFERROR(__xludf.DUMMYFUNCTION("GOOGLETRANSLATE(A63, ""en"", ""hi"")"),"62")</f>
        <v>62</v>
      </c>
      <c r="G63" s="5" t="str">
        <f>IFERROR(__xludf.DUMMYFUNCTION("GOOGLETRANSLATE(B63, ""en"", ""hi"")"),"सिलंबम प्रशिक्षण सत्र में, छात्र 'थाडवु' तकनीक का अभ्यास करते हैं। वे किस कौशल पर ध्यान केंद्रित कर रहे हैं?")</f>
        <v>सिलंबम प्रशिक्षण सत्र में, छात्र 'थाडवु' तकनीक का अभ्यास करते हैं। वे किस कौशल पर ध्यान केंद्रित कर रहे हैं?</v>
      </c>
      <c r="H63" s="5" t="str">
        <f>IFERROR(__xludf.DUMMYFUNCTION("GOOGLETRANSLATE(C63, ""en"", ""hi"")"),"A) गति, B) शक्ति, C) लचीलापन, D) अवरोधन")</f>
        <v>A) गति, B) शक्ति, C) लचीलापन, D) अवरोधन</v>
      </c>
      <c r="I63" s="5" t="str">
        <f>IFERROR(__xludf.DUMMYFUNCTION("GOOGLETRANSLATE(D63, ""en"", ""hi"")"),"D) ब्लॉकिंग")</f>
        <v>D) ब्लॉकिंग</v>
      </c>
    </row>
    <row r="64" ht="22.5" customHeight="1">
      <c r="A64" s="2">
        <v>63.0</v>
      </c>
      <c r="B64" s="3" t="s">
        <v>9292</v>
      </c>
      <c r="C64" s="3" t="s">
        <v>9293</v>
      </c>
      <c r="D64" s="3" t="s">
        <v>9294</v>
      </c>
      <c r="F64" s="5" t="str">
        <f>IFERROR(__xludf.DUMMYFUNCTION("GOOGLETRANSLATE(A64, ""en"", ""hi"")"),"63")</f>
        <v>63</v>
      </c>
      <c r="G64" s="5" t="str">
        <f>IFERROR(__xludf.DUMMYFUNCTION("GOOGLETRANSLATE(B64, ""en"", ""hi"")"),"सिलंबम मैच के दौरान, एक अभ्यासी तीव्र प्रहारों की एक श्रृंखला के बाद रक्षात्मक रुख अपनाता है। इस क्रम का मुख्य लक्ष्य क्या है?")</f>
        <v>सिलंबम मैच के दौरान, एक अभ्यासी तीव्र प्रहारों की एक श्रृंखला के बाद रक्षात्मक रुख अपनाता है। इस क्रम का मुख्य लक्ष्य क्या है?</v>
      </c>
      <c r="H64" s="5" t="str">
        <f>IFERROR(__xludf.DUMMYFUNCTION("GOOGLETRANSLATE(C64, ""en"", ""hi"")"),"A) प्रतिद्वंद्वी को भ्रमित करने के लिए, B) प्रतिद्वंद्वी को थका देने के लिए, C) प्रतिद्वंद्वी की रक्षा का परीक्षण करने के लिए, D) कौशल का प्रदर्शन करने के लिए")</f>
        <v>A) प्रतिद्वंद्वी को भ्रमित करने के लिए, B) प्रतिद्वंद्वी को थका देने के लिए, C) प्रतिद्वंद्वी की रक्षा का परीक्षण करने के लिए, D) कौशल का प्रदर्शन करने के लिए</v>
      </c>
      <c r="I64" s="5" t="str">
        <f>IFERROR(__xludf.DUMMYFUNCTION("GOOGLETRANSLATE(D64, ""en"", ""hi"")"),"C) प्रतिद्वंद्वी की रक्षा का परीक्षण करने के लिए")</f>
        <v>C) प्रतिद्वंद्वी की रक्षा का परीक्षण करने के लिए</v>
      </c>
    </row>
    <row r="65" ht="22.5" customHeight="1">
      <c r="A65" s="2">
        <v>64.0</v>
      </c>
      <c r="B65" s="3" t="s">
        <v>9295</v>
      </c>
      <c r="C65" s="3" t="s">
        <v>9296</v>
      </c>
      <c r="D65" s="3" t="s">
        <v>9297</v>
      </c>
      <c r="F65" s="5" t="str">
        <f>IFERROR(__xludf.DUMMYFUNCTION("GOOGLETRANSLATE(A65, ""en"", ""hi"")"),"64")</f>
        <v>64</v>
      </c>
      <c r="G65" s="5" t="str">
        <f>IFERROR(__xludf.DUMMYFUNCTION("GOOGLETRANSLATE(B65, ""en"", ""hi"")"),"एक सिलंबम साधक को एक ऐसे प्रतिद्वंद्वी का सामना करना पड़ता है जो उससे लंबा है और जिसकी पहुँच ज़्यादा है। इस असुविधा से उबरने के लिए उन्हें कौन सी रणनीति अपनानी चाहिए?")</f>
        <v>एक सिलंबम साधक को एक ऐसे प्रतिद्वंद्वी का सामना करना पड़ता है जो उससे लंबा है और जिसकी पहुँच ज़्यादा है। इस असुविधा से उबरने के लिए उन्हें कौन सी रणनीति अपनानी चाहिए?</v>
      </c>
      <c r="H65" s="5" t="str">
        <f>IFERROR(__xludf.DUMMYFUNCTION("GOOGLETRANSLATE(C65, ""en"", ""hi"")"),"A) दूर से हमला करें, B) निचले हमलों पर ध्यान केंद्रित करें, C) अंतराल को जल्दी से कम करें, D) गोलाकार गति का उपयोग करें")</f>
        <v>A) दूर से हमला करें, B) निचले हमलों पर ध्यान केंद्रित करें, C) अंतराल को जल्दी से कम करें, D) गोलाकार गति का उपयोग करें</v>
      </c>
      <c r="I65" s="5" t="str">
        <f>IFERROR(__xludf.DUMMYFUNCTION("GOOGLETRANSLATE(D65, ""en"", ""hi"")"),"C) अंतराल को शीघ्रता से बंद करें")</f>
        <v>C) अंतराल को शीघ्रता से बंद करें</v>
      </c>
    </row>
    <row r="66" ht="22.5" customHeight="1">
      <c r="A66" s="2">
        <v>65.0</v>
      </c>
      <c r="B66" s="3" t="s">
        <v>9298</v>
      </c>
      <c r="C66" s="3" t="s">
        <v>9299</v>
      </c>
      <c r="D66" s="3" t="s">
        <v>9300</v>
      </c>
      <c r="F66" s="5" t="str">
        <f>IFERROR(__xludf.DUMMYFUNCTION("GOOGLETRANSLATE(A66, ""en"", ""hi"")"),"65")</f>
        <v>65</v>
      </c>
      <c r="G66" s="5" t="str">
        <f>IFERROR(__xludf.DUMMYFUNCTION("GOOGLETRANSLATE(B66, ""en"", ""hi"")"),"सिलंबम नृत्य में, साधक एक ऐसी तकनीक का प्रयोग करता है जो तरंगों की गति का अनुकरण करती है। इस गति को शामिल करने का मुख्य उद्देश्य क्या है?")</f>
        <v>सिलंबम नृत्य में, साधक एक ऐसी तकनीक का प्रयोग करता है जो तरंगों की गति का अनुकरण करती है। इस गति को शामिल करने का मुख्य उद्देश्य क्या है?</v>
      </c>
      <c r="H66" s="5" t="str">
        <f>IFERROR(__xludf.DUMMYFUNCTION("GOOGLETRANSLATE(C66, ""en"", ""hi"")"),"A) प्रभावशाली दिखने के लिए, B) चपलता बढ़ाने के लिए, C) तरल गति बनाने के लिए, D) प्रतिद्वंद्वी को भ्रमित करने के लिए")</f>
        <v>A) प्रभावशाली दिखने के लिए, B) चपलता बढ़ाने के लिए, C) तरल गति बनाने के लिए, D) प्रतिद्वंद्वी को भ्रमित करने के लिए</v>
      </c>
      <c r="I66" s="5" t="str">
        <f>IFERROR(__xludf.DUMMYFUNCTION("GOOGLETRANSLATE(D66, ""en"", ""hi"")"),"C) तरल गतियाँ बनाने के लिए")</f>
        <v>C) तरल गतियाँ बनाने के लिए</v>
      </c>
    </row>
    <row r="67" ht="22.5" customHeight="1">
      <c r="A67" s="2">
        <v>66.0</v>
      </c>
      <c r="B67" s="3" t="s">
        <v>9301</v>
      </c>
      <c r="C67" s="3" t="s">
        <v>9302</v>
      </c>
      <c r="D67" s="3" t="s">
        <v>9303</v>
      </c>
      <c r="F67" s="5" t="str">
        <f>IFERROR(__xludf.DUMMYFUNCTION("GOOGLETRANSLATE(A67, ""en"", ""hi"")"),"66")</f>
        <v>66</v>
      </c>
      <c r="G67" s="5" t="str">
        <f>IFERROR(__xludf.DUMMYFUNCTION("GOOGLETRANSLATE(B67, ""en"", ""hi"")"),"एक अभ्यासी सिलंबम मुद्रा का प्रदर्शन कर रहा है जिसमें एक के बाद एक कई बिंदुओं पर त्वरित प्रहार किया जाता है। इस तकनीक का मुख्य उद्देश्य क्या है?")</f>
        <v>एक अभ्यासी सिलंबम मुद्रा का प्रदर्शन कर रहा है जिसमें एक के बाद एक कई बिंदुओं पर त्वरित प्रहार किया जाता है। इस तकनीक का मुख्य उद्देश्य क्या है?</v>
      </c>
      <c r="H67" s="5" t="str">
        <f>IFERROR(__xludf.DUMMYFUNCTION("GOOGLETRANSLATE(C67, ""en"", ""hi"")"),"A) गति दिखाने के लिए, B) प्रतिद्वंद्वी पर हावी होने के लिए, C) हमलों से बचाव करने के लिए, D) कौशल प्रदर्शित करने के लिए")</f>
        <v>A) गति दिखाने के लिए, B) प्रतिद्वंद्वी पर हावी होने के लिए, C) हमलों से बचाव करने के लिए, D) कौशल प्रदर्शित करने के लिए</v>
      </c>
      <c r="I67" s="5" t="str">
        <f>IFERROR(__xludf.DUMMYFUNCTION("GOOGLETRANSLATE(D67, ""en"", ""hi"")"),"बी) प्रतिद्वंद्वी को परास्त करना")</f>
        <v>बी) प्रतिद्वंद्वी को परास्त करना</v>
      </c>
    </row>
    <row r="68" ht="22.5" customHeight="1">
      <c r="A68" s="2">
        <v>67.0</v>
      </c>
      <c r="B68" s="3" t="s">
        <v>9304</v>
      </c>
      <c r="C68" s="3" t="s">
        <v>9305</v>
      </c>
      <c r="D68" s="3" t="s">
        <v>9250</v>
      </c>
      <c r="F68" s="5" t="str">
        <f>IFERROR(__xludf.DUMMYFUNCTION("GOOGLETRANSLATE(A68, ""en"", ""hi"")"),"67")</f>
        <v>67</v>
      </c>
      <c r="G68" s="5" t="str">
        <f>IFERROR(__xludf.DUMMYFUNCTION("GOOGLETRANSLATE(B68, ""en"", ""hi"")"),"सिलंबम मैच के दौरान, एक खिलाड़ी प्रतिद्वंद्वी के प्रहारों के प्रभाव को झेलने के लिए एक रक्षात्मक तकनीक का उपयोग करता है। इस तकनीक को क्या कहते हैं?")</f>
        <v>सिलंबम मैच के दौरान, एक खिलाड़ी प्रतिद्वंद्वी के प्रहारों के प्रभाव को झेलने के लिए एक रक्षात्मक तकनीक का उपयोग करता है। इस तकनीक को क्या कहते हैं?</v>
      </c>
      <c r="H68" s="5" t="str">
        <f>IFERROR(__xludf.DUMMYFUNCTION("GOOGLETRANSLATE(C68, ""en"", ""hi"")"),"ए) थडावु, बी) वीटू, सी) ओडिवर्मा, डी) वेट्टारू")</f>
        <v>ए) थडावु, बी) वीटू, सी) ओडिवर्मा, डी) वेट्टारू</v>
      </c>
      <c r="I68" s="5" t="str">
        <f>IFERROR(__xludf.DUMMYFUNCTION("GOOGLETRANSLATE(D68, ""en"", ""hi"")"),"A) थडावु")</f>
        <v>A) थडावु</v>
      </c>
    </row>
    <row r="69" ht="22.5" customHeight="1">
      <c r="A69" s="2">
        <v>68.0</v>
      </c>
      <c r="B69" s="3" t="s">
        <v>9306</v>
      </c>
      <c r="C69" s="3" t="s">
        <v>9307</v>
      </c>
      <c r="D69" s="3" t="s">
        <v>9308</v>
      </c>
      <c r="F69" s="5" t="str">
        <f>IFERROR(__xludf.DUMMYFUNCTION("GOOGLETRANSLATE(A69, ""en"", ""hi"")"),"68")</f>
        <v>68</v>
      </c>
      <c r="G69" s="5" t="str">
        <f>IFERROR(__xludf.DUMMYFUNCTION("GOOGLETRANSLATE(B69, ""en"", ""hi"")"),"सिलंबम प्रशिक्षण सत्र में, छात्रों को 'सर्प नादई' गतिविधियों पर ध्यान केंद्रित करना सिखाया जाता है। इन गतिविधियों का प्राथमिक लक्ष्य क्या है?")</f>
        <v>सिलंबम प्रशिक्षण सत्र में, छात्रों को 'सर्प नादई' गतिविधियों पर ध्यान केंद्रित करना सिखाया जाता है। इन गतिविधियों का प्राथमिक लक्ष्य क्या है?</v>
      </c>
      <c r="H69" s="5" t="str">
        <f>IFERROR(__xludf.DUMMYFUNCTION("GOOGLETRANSLATE(C69, ""en"", ""hi"")"),"A) प्रतिद्वंद्वी को डराने के लिए, B) लचीलापन बढ़ाने के लिए, C) अप्रत्याशितता बढ़ाने के लिए, D) कौशल का प्रदर्शन करने के लिए")</f>
        <v>A) प्रतिद्वंद्वी को डराने के लिए, B) लचीलापन बढ़ाने के लिए, C) अप्रत्याशितता बढ़ाने के लिए, D) कौशल का प्रदर्शन करने के लिए</v>
      </c>
      <c r="I69" s="5" t="str">
        <f>IFERROR(__xludf.DUMMYFUNCTION("GOOGLETRANSLATE(D69, ""en"", ""hi"")"),"C) अप्रत्याशितता को बढ़ाने के लिए")</f>
        <v>C) अप्रत्याशितता को बढ़ाने के लिए</v>
      </c>
    </row>
    <row r="70" ht="22.5" customHeight="1">
      <c r="A70" s="2">
        <v>69.0</v>
      </c>
      <c r="B70" s="3" t="s">
        <v>9309</v>
      </c>
      <c r="C70" s="3" t="s">
        <v>9310</v>
      </c>
      <c r="D70" s="3" t="s">
        <v>9311</v>
      </c>
      <c r="F70" s="5" t="str">
        <f>IFERROR(__xludf.DUMMYFUNCTION("GOOGLETRANSLATE(A70, ""en"", ""hi"")"),"69")</f>
        <v>69</v>
      </c>
      <c r="G70" s="5" t="str">
        <f>IFERROR(__xludf.DUMMYFUNCTION("GOOGLETRANSLATE(B70, ""en"", ""hi"")"),"एक सिलंबम साधक द्वंद्वयुद्ध के दौरान प्रतिद्वंद्वी के पैरों को निशाना बनाने के लिए एक व्यापक गति का प्रयोग करता है। इस चाल के पीछे क्या उद्देश्य है?")</f>
        <v>एक सिलंबम साधक द्वंद्वयुद्ध के दौरान प्रतिद्वंद्वी के पैरों को निशाना बनाने के लिए एक व्यापक गति का प्रयोग करता है। इस चाल के पीछे क्या उद्देश्य है?</v>
      </c>
      <c r="H70" s="5" t="str">
        <f>IFERROR(__xludf.DUMMYFUNCTION("GOOGLETRANSLATE(C70, ""en"", ""hi"")"),"A) प्रतिद्वंद्वी को घायल करना, B) प्रतिद्वंद्वी का संतुलन बिगाड़ना, C) प्रतिद्वंद्वी का ध्यान भटकाना, D) कौशल प्रदर्शित करना")</f>
        <v>A) प्रतिद्वंद्वी को घायल करना, B) प्रतिद्वंद्वी का संतुलन बिगाड़ना, C) प्रतिद्वंद्वी का ध्यान भटकाना, D) कौशल प्रदर्शित करना</v>
      </c>
      <c r="I70" s="5" t="str">
        <f>IFERROR(__xludf.DUMMYFUNCTION("GOOGLETRANSLATE(D70, ""en"", ""hi"")"),"बी) प्रतिद्वंद्वी का संतुलन बिगाड़ना")</f>
        <v>बी) प्रतिद्वंद्वी का संतुलन बिगाड़ना</v>
      </c>
    </row>
    <row r="71" ht="22.5" customHeight="1">
      <c r="A71" s="2">
        <v>70.0</v>
      </c>
      <c r="B71" s="3" t="s">
        <v>9312</v>
      </c>
      <c r="C71" s="3" t="s">
        <v>9313</v>
      </c>
      <c r="D71" s="3" t="s">
        <v>9314</v>
      </c>
      <c r="F71" s="5" t="str">
        <f>IFERROR(__xludf.DUMMYFUNCTION("GOOGLETRANSLATE(A71, ""en"", ""hi"")"),"70")</f>
        <v>70</v>
      </c>
      <c r="G71" s="5" t="str">
        <f>IFERROR(__xludf.DUMMYFUNCTION("GOOGLETRANSLATE(B71, ""en"", ""hi"")"),"सिलंबम प्रदर्शन के दौरान, अभ्यासकर्ता छड़ी को ऊँची, घूमती हुई गति से घुमाता है। इस तकनीक का उद्देश्य क्या है?")</f>
        <v>सिलंबम प्रदर्शन के दौरान, अभ्यासकर्ता छड़ी को ऊँची, घूमती हुई गति से घुमाता है। इस तकनीक का उद्देश्य क्या है?</v>
      </c>
      <c r="H71" s="5" t="str">
        <f>IFERROR(__xludf.DUMMYFUNCTION("GOOGLETRANSLATE(C71, ""en"", ""hi"")"),"A) दिखावा करने के लिए, B) प्रतिद्वंद्वी को भ्रमित करने के लिए, C) उच्च हमलों से बचाव करने के लिए, D) प्रहार शक्ति बढ़ाने के लिए")</f>
        <v>A) दिखावा करने के लिए, B) प्रतिद्वंद्वी को भ्रमित करने के लिए, C) उच्च हमलों से बचाव करने के लिए, D) प्रहार शक्ति बढ़ाने के लिए</v>
      </c>
      <c r="I71" s="5" t="str">
        <f>IFERROR(__xludf.DUMMYFUNCTION("GOOGLETRANSLATE(D71, ""en"", ""hi"")"),"C) उच्च हमलों से बचाव के लिए")</f>
        <v>C) उच्च हमलों से बचाव के लिए</v>
      </c>
    </row>
    <row r="72" ht="22.5" customHeight="1">
      <c r="A72" s="2">
        <v>71.0</v>
      </c>
      <c r="B72" s="3" t="s">
        <v>9315</v>
      </c>
      <c r="C72" s="3" t="s">
        <v>9316</v>
      </c>
      <c r="D72" s="3" t="s">
        <v>9317</v>
      </c>
      <c r="F72" s="5" t="str">
        <f>IFERROR(__xludf.DUMMYFUNCTION("GOOGLETRANSLATE(A72, ""en"", ""hi"")"),"71")</f>
        <v>71</v>
      </c>
      <c r="G72" s="5" t="str">
        <f>IFERROR(__xludf.DUMMYFUNCTION("GOOGLETRANSLATE(B72, ""en"", ""hi"")"),"सिलंबम मैच में, अभ्यासकर्ता तेज़, निचले प्रहारों की एक श्रृंखला के बाद एक उच्च छल का प्रयोग करता है। इस क्रम का लक्ष्य क्या है?")</f>
        <v>सिलंबम मैच में, अभ्यासकर्ता तेज़, निचले प्रहारों की एक श्रृंखला के बाद एक उच्च छल का प्रयोग करता है। इस क्रम का लक्ष्य क्या है?</v>
      </c>
      <c r="H72" s="5" t="str">
        <f>IFERROR(__xludf.DUMMYFUNCTION("GOOGLETRANSLATE(C72, ""en"", ""hi"")"),"A) प्रतिद्वंद्वी का ध्यान भटकाने के लिए, B) शक्ति बढ़ाने के लिए, C) मुख्य हमले के लिए रास्ता बनाने के लिए, D) अंक अर्जित करने के लिए")</f>
        <v>A) प्रतिद्वंद्वी का ध्यान भटकाने के लिए, B) शक्ति बढ़ाने के लिए, C) मुख्य हमले के लिए रास्ता बनाने के लिए, D) अंक अर्जित करने के लिए</v>
      </c>
      <c r="I72" s="5" t="str">
        <f>IFERROR(__xludf.DUMMYFUNCTION("GOOGLETRANSLATE(D72, ""en"", ""hi"")"),"C) मुख्य हमले के लिए रास्ता बनाना")</f>
        <v>C) मुख्य हमले के लिए रास्ता बनाना</v>
      </c>
    </row>
    <row r="73" ht="22.5" customHeight="1">
      <c r="A73" s="2">
        <v>72.0</v>
      </c>
      <c r="B73" s="3" t="s">
        <v>9318</v>
      </c>
      <c r="C73" s="3" t="s">
        <v>9319</v>
      </c>
      <c r="D73" s="3" t="s">
        <v>9320</v>
      </c>
      <c r="F73" s="5" t="str">
        <f>IFERROR(__xludf.DUMMYFUNCTION("GOOGLETRANSLATE(A73, ""en"", ""hi"")"),"72")</f>
        <v>72</v>
      </c>
      <c r="G73" s="5" t="str">
        <f>IFERROR(__xludf.DUMMYFUNCTION("GOOGLETRANSLATE(B73, ""en"", ""hi"")"),"सिलंबम का अभ्यासी प्रतिद्वंद्वी के ऊपरी शरीर पर कई प्रहार करता है। इस तकनीक में मुख्य लक्ष्य क्या है?")</f>
        <v>सिलंबम का अभ्यासी प्रतिद्वंद्वी के ऊपरी शरीर पर कई प्रहार करता है। इस तकनीक में मुख्य लक्ष्य क्या है?</v>
      </c>
      <c r="H73" s="5" t="str">
        <f>IFERROR(__xludf.DUMMYFUNCTION("GOOGLETRANSLATE(C73, ""en"", ""hi"")"),"A) सिर, B) छाती, C) भुजाएँ, D) कंधे")</f>
        <v>A) सिर, B) छाती, C) भुजाएँ, D) कंधे</v>
      </c>
      <c r="I73" s="5" t="str">
        <f>IFERROR(__xludf.DUMMYFUNCTION("GOOGLETRANSLATE(D73, ""en"", ""hi"")"),"बी) छाती")</f>
        <v>बी) छाती</v>
      </c>
    </row>
    <row r="74" ht="22.5" customHeight="1">
      <c r="A74" s="2">
        <v>73.0</v>
      </c>
      <c r="B74" s="3" t="s">
        <v>9321</v>
      </c>
      <c r="C74" s="3" t="s">
        <v>9322</v>
      </c>
      <c r="D74" s="3" t="s">
        <v>9323</v>
      </c>
      <c r="F74" s="5" t="str">
        <f>IFERROR(__xludf.DUMMYFUNCTION("GOOGLETRANSLATE(A74, ""en"", ""hi"")"),"73")</f>
        <v>73</v>
      </c>
      <c r="G74" s="5" t="str">
        <f>IFERROR(__xludf.DUMMYFUNCTION("GOOGLETRANSLATE(B74, ""en"", ""hi"")"),"सिलंबम प्रदर्शन के दौरान, अभ्यासकर्ता उच्च और निम्न प्रहारों के संयोजन का प्रदर्शन करता है। इन स्तरों के बीच बारी-बारी से प्रदर्शन करने का उद्देश्य क्या है?")</f>
        <v>सिलंबम प्रदर्शन के दौरान, अभ्यासकर्ता उच्च और निम्न प्रहारों के संयोजन का प्रदर्शन करता है। इन स्तरों के बीच बारी-बारी से प्रदर्शन करने का उद्देश्य क्या है?</v>
      </c>
      <c r="H74" s="5" t="str">
        <f>IFERROR(__xludf.DUMMYFUNCTION("GOOGLETRANSLATE(C74, ""en"", ""hi"")"),"A) प्रतिद्वंद्वी को भ्रमित करने के लिए, B) प्रहार शक्ति बढ़ाने के लिए, C) कौशल दिखाने के लिए, D) संतुलन बनाए रखने के लिए")</f>
        <v>A) प्रतिद्वंद्वी को भ्रमित करने के लिए, B) प्रहार शक्ति बढ़ाने के लिए, C) कौशल दिखाने के लिए, D) संतुलन बनाए रखने के लिए</v>
      </c>
      <c r="I74" s="5" t="str">
        <f>IFERROR(__xludf.DUMMYFUNCTION("GOOGLETRANSLATE(D74, ""en"", ""hi"")"),"A) प्रतिद्वंद्वी को भ्रमित करने के लिए")</f>
        <v>A) प्रतिद्वंद्वी को भ्रमित करने के लिए</v>
      </c>
    </row>
    <row r="75" ht="22.5" customHeight="1">
      <c r="A75" s="2">
        <v>74.0</v>
      </c>
      <c r="B75" s="3" t="s">
        <v>9324</v>
      </c>
      <c r="C75" s="3" t="s">
        <v>9325</v>
      </c>
      <c r="D75" s="3" t="s">
        <v>9326</v>
      </c>
      <c r="F75" s="5" t="str">
        <f>IFERROR(__xludf.DUMMYFUNCTION("GOOGLETRANSLATE(A75, ""en"", ""hi"")"),"74")</f>
        <v>74</v>
      </c>
      <c r="G75" s="5" t="str">
        <f>IFERROR(__xludf.DUMMYFUNCTION("GOOGLETRANSLATE(B75, ""en"", ""hi"")"),"सिलंबम प्रशिक्षण सत्र में, छात्र 'वेत्तारु' तकनीक का अभ्यास करते हैं। इस तकनीक का मुख्य केंद्र क्या है?")</f>
        <v>सिलंबम प्रशिक्षण सत्र में, छात्र 'वेत्तारु' तकनीक का अभ्यास करते हैं। इस तकनीक का मुख्य केंद्र क्या है?</v>
      </c>
      <c r="H75" s="5" t="str">
        <f>IFERROR(__xludf.DUMMYFUNCTION("GOOGLETRANSLATE(C75, ""en"", ""hi"")"),"A) आक्रमण, B) रक्षा, C) परिहार, D) प्रहार शक्ति")</f>
        <v>A) आक्रमण, B) रक्षा, C) परिहार, D) प्रहार शक्ति</v>
      </c>
      <c r="I75" s="5" t="str">
        <f>IFERROR(__xludf.DUMMYFUNCTION("GOOGLETRANSLATE(D75, ""en"", ""hi"")"),"ए) अपराध")</f>
        <v>ए) अपराध</v>
      </c>
    </row>
    <row r="76" ht="22.5" customHeight="1">
      <c r="A76" s="2">
        <v>75.0</v>
      </c>
      <c r="B76" s="3" t="s">
        <v>9327</v>
      </c>
      <c r="C76" s="3" t="s">
        <v>9328</v>
      </c>
      <c r="D76" s="3" t="s">
        <v>9329</v>
      </c>
      <c r="F76" s="5" t="str">
        <f>IFERROR(__xludf.DUMMYFUNCTION("GOOGLETRANSLATE(A76, ""en"", ""hi"")"),"75")</f>
        <v>75</v>
      </c>
      <c r="G76" s="5" t="str">
        <f>IFERROR(__xludf.DUMMYFUNCTION("GOOGLETRANSLATE(B76, ""en"", ""hi"")"),"एक सिलंबम साधक का सामना ढाल लिए हुए एक प्रतिद्वंद्वी से है। उन्हें प्रभावी प्रहार करने के लिए कौन सी रणनीति अपनानी चाहिए?")</f>
        <v>एक सिलंबम साधक का सामना ढाल लिए हुए एक प्रतिद्वंद्वी से है। उन्हें प्रभावी प्रहार करने के लिए कौन सी रणनीति अपनानी चाहिए?</v>
      </c>
      <c r="H76" s="5" t="str">
        <f>IFERROR(__xludf.DUMMYFUNCTION("GOOGLETRANSLATE(C76, ""en"", ""hi"")"),"A) पैरों पर निशाना लगाना, B) छल का प्रयोग करना, C) ढाल पर सीधा प्रहार करना, D) प्रतिद्वंद्वी की ओर जाना")</f>
        <v>A) पैरों पर निशाना लगाना, B) छल का प्रयोग करना, C) ढाल पर सीधा प्रहार करना, D) प्रतिद्वंद्वी की ओर जाना</v>
      </c>
      <c r="I76" s="5" t="str">
        <f>IFERROR(__xludf.DUMMYFUNCTION("GOOGLETRANSLATE(D76, ""en"", ""hi"")"),"बी) छल का प्रयोग करें")</f>
        <v>बी) छल का प्रयोग करें</v>
      </c>
    </row>
    <row r="77" ht="22.5" customHeight="1">
      <c r="A77" s="2">
        <v>76.0</v>
      </c>
      <c r="B77" s="3" t="s">
        <v>9330</v>
      </c>
      <c r="C77" s="3" t="s">
        <v>9331</v>
      </c>
      <c r="D77" s="3" t="s">
        <v>9323</v>
      </c>
      <c r="F77" s="5" t="str">
        <f>IFERROR(__xludf.DUMMYFUNCTION("GOOGLETRANSLATE(A77, ""en"", ""hi"")"),"76")</f>
        <v>76</v>
      </c>
      <c r="G77" s="5" t="str">
        <f>IFERROR(__xludf.DUMMYFUNCTION("GOOGLETRANSLATE(B77, ""en"", ""hi"")"),"सिलंबम मैच के दौरान, एक अभ्यासी तेज़ी से घूमते हुए हमलों का इस्तेमाल करता है। इस रणनीति का मुख्य उद्देश्य क्या है?")</f>
        <v>सिलंबम मैच के दौरान, एक अभ्यासी तेज़ी से घूमते हुए हमलों का इस्तेमाल करता है। इस रणनीति का मुख्य उद्देश्य क्या है?</v>
      </c>
      <c r="H77" s="5" t="str">
        <f>IFERROR(__xludf.DUMMYFUNCTION("GOOGLETRANSLATE(C77, ""en"", ""hi"")"),"A) प्रतिद्वंद्वी को भ्रमित करने के लिए, B) कौशल का प्रदर्शन करने के लिए, C) शक्ति बढ़ाने के लिए, D) हमलों से बचाव करने के लिए")</f>
        <v>A) प्रतिद्वंद्वी को भ्रमित करने के लिए, B) कौशल का प्रदर्शन करने के लिए, C) शक्ति बढ़ाने के लिए, D) हमलों से बचाव करने के लिए</v>
      </c>
      <c r="I77" s="5" t="str">
        <f>IFERROR(__xludf.DUMMYFUNCTION("GOOGLETRANSLATE(D77, ""en"", ""hi"")"),"A) प्रतिद्वंद्वी को भ्रमित करने के लिए")</f>
        <v>A) प्रतिद्वंद्वी को भ्रमित करने के लिए</v>
      </c>
    </row>
    <row r="78" ht="22.5" customHeight="1">
      <c r="A78" s="2">
        <v>77.0</v>
      </c>
      <c r="B78" s="3" t="s">
        <v>9332</v>
      </c>
      <c r="C78" s="3" t="s">
        <v>9333</v>
      </c>
      <c r="D78" s="3" t="s">
        <v>9334</v>
      </c>
      <c r="F78" s="5" t="str">
        <f>IFERROR(__xludf.DUMMYFUNCTION("GOOGLETRANSLATE(A78, ""en"", ""hi"")"),"77")</f>
        <v>77</v>
      </c>
      <c r="G78" s="5" t="str">
        <f>IFERROR(__xludf.DUMMYFUNCTION("GOOGLETRANSLATE(B78, ""en"", ""hi"")"),"सिलंबम प्रदर्शन में, अभ्यासकर्ता एक ऐसी चाल का प्रयोग करता है जिसमें एक तेज़, ऊपर की ओर प्रहार शामिल होता है। इस चाल का इच्छित लक्ष्य क्या है?")</f>
        <v>सिलंबम प्रदर्शन में, अभ्यासकर्ता एक ऐसी चाल का प्रयोग करता है जिसमें एक तेज़, ऊपर की ओर प्रहार शामिल होता है। इस चाल का इच्छित लक्ष्य क्या है?</v>
      </c>
      <c r="H78" s="5" t="str">
        <f>IFERROR(__xludf.DUMMYFUNCTION("GOOGLETRANSLATE(C78, ""en"", ""hi"")"),"A) सिर, B) भुजाएँ, C) छाती, D) पैर")</f>
        <v>A) सिर, B) भुजाएँ, C) छाती, D) पैर</v>
      </c>
      <c r="I78" s="5" t="str">
        <f>IFERROR(__xludf.DUMMYFUNCTION("GOOGLETRANSLATE(D78, ""en"", ""hi"")"),"आगे")</f>
        <v>आगे</v>
      </c>
    </row>
    <row r="79" ht="22.5" customHeight="1">
      <c r="A79" s="2">
        <v>78.0</v>
      </c>
      <c r="B79" s="3" t="s">
        <v>9335</v>
      </c>
      <c r="C79" s="3" t="s">
        <v>9336</v>
      </c>
      <c r="D79" s="3" t="s">
        <v>9337</v>
      </c>
      <c r="F79" s="5" t="str">
        <f>IFERROR(__xludf.DUMMYFUNCTION("GOOGLETRANSLATE(A79, ""en"", ""hi"")"),"78")</f>
        <v>78</v>
      </c>
      <c r="G79" s="5" t="str">
        <f>IFERROR(__xludf.DUMMYFUNCTION("GOOGLETRANSLATE(B79, ""en"", ""hi"")"),"एक सिलंबम साधक को ऐसे प्रतिद्वंद्वी का सामना करना पड़ता है जो अनियमित गतिविधयाँ कर रहा है। अपनी रक्षात्मक स्थिति बनाए रखने के लिए उन्हें किस तकनीक का उपयोग करना चाहिए?")</f>
        <v>एक सिलंबम साधक को ऐसे प्रतिद्वंद्वी का सामना करना पड़ता है जो अनियमित गतिविधयाँ कर रहा है। अपनी रक्षात्मक स्थिति बनाए रखने के लिए उन्हें किस तकनीक का उपयोग करना चाहिए?</v>
      </c>
      <c r="H79" s="5" t="str">
        <f>IFERROR(__xludf.DUMMYFUNCTION("GOOGLETRANSLATE(C79, ""en"", ""hi"")"),"ए) सर्पा नादाई, बी) थट्टादावु, सी) ओडिवर्मा, डी) वेट्टारु")</f>
        <v>ए) सर्पा नादाई, बी) थट्टादावु, सी) ओडिवर्मा, डी) वेट्टारु</v>
      </c>
      <c r="I79" s="5" t="str">
        <f>IFERROR(__xludf.DUMMYFUNCTION("GOOGLETRANSLATE(D79, ""en"", ""hi"")"),"C) ऊदीवर्मा")</f>
        <v>C) ऊदीवर्मा</v>
      </c>
    </row>
    <row r="80" ht="22.5" customHeight="1">
      <c r="A80" s="2">
        <v>79.0</v>
      </c>
      <c r="B80" s="3" t="s">
        <v>9338</v>
      </c>
      <c r="C80" s="3" t="s">
        <v>9339</v>
      </c>
      <c r="D80" s="3" t="s">
        <v>9340</v>
      </c>
      <c r="F80" s="5" t="str">
        <f>IFERROR(__xludf.DUMMYFUNCTION("GOOGLETRANSLATE(A80, ""en"", ""hi"")"),"79")</f>
        <v>79</v>
      </c>
      <c r="G80" s="5" t="str">
        <f>IFERROR(__xludf.DUMMYFUNCTION("GOOGLETRANSLATE(B80, ""en"", ""hi"")"),"सिलंबम स्पैरिंग मैच के दौरान, एक अभ्यासकर्ता निम्न और मध्यम स्तर के प्रहारों के संयोजन का उपयोग करता है। इस संयोजन का उद्देश्य क्या है?")</f>
        <v>सिलंबम स्पैरिंग मैच के दौरान, एक अभ्यासकर्ता निम्न और मध्यम स्तर के प्रहारों के संयोजन का उपयोग करता है। इस संयोजन का उद्देश्य क्या है?</v>
      </c>
      <c r="H80" s="5" t="str">
        <f>IFERROR(__xludf.DUMMYFUNCTION("GOOGLETRANSLATE(C80, ""en"", ""hi"")"),"A) दिखावा करना, B) शक्ति बढ़ाना, C) प्रतिद्वंद्वी के बचाव में छेद बनाना, D) प्रतिद्वंद्वी को भ्रमित करना")</f>
        <v>A) दिखावा करना, B) शक्ति बढ़ाना, C) प्रतिद्वंद्वी के बचाव में छेद बनाना, D) प्रतिद्वंद्वी को भ्रमित करना</v>
      </c>
      <c r="I80" s="5" t="str">
        <f>IFERROR(__xludf.DUMMYFUNCTION("GOOGLETRANSLATE(D80, ""en"", ""hi"")"),"C) प्रतिद्वंद्वी के बचाव में अवसर पैदा करना")</f>
        <v>C) प्रतिद्वंद्वी के बचाव में अवसर पैदा करना</v>
      </c>
    </row>
    <row r="81" ht="22.5" customHeight="1">
      <c r="A81" s="2">
        <v>80.0</v>
      </c>
      <c r="B81" s="3" t="s">
        <v>9341</v>
      </c>
      <c r="C81" s="3" t="s">
        <v>9342</v>
      </c>
      <c r="D81" s="3" t="s">
        <v>9343</v>
      </c>
      <c r="F81" s="5" t="str">
        <f>IFERROR(__xludf.DUMMYFUNCTION("GOOGLETRANSLATE(A81, ""en"", ""hi"")"),"80")</f>
        <v>80</v>
      </c>
      <c r="G81" s="5" t="str">
        <f>IFERROR(__xludf.DUMMYFUNCTION("GOOGLETRANSLATE(B81, ""en"", ""hi"")"),"सिलंबम प्रशिक्षण सत्र में, छात्रों को 'वीटू' गतिविधियों का अभ्यास करने का निर्देश दिया जाता है। इस अभ्यास का प्राथमिक लक्ष्य क्या है?")</f>
        <v>सिलंबम प्रशिक्षण सत्र में, छात्रों को 'वीटू' गतिविधियों का अभ्यास करने का निर्देश दिया जाता है। इस अभ्यास का प्राथमिक लक्ष्य क्या है?</v>
      </c>
      <c r="H81" s="5" t="str">
        <f>IFERROR(__xludf.DUMMYFUNCTION("GOOGLETRANSLATE(C81, ""en"", ""hi"")"),"A) संतुलन सुधारने के लिए, B) आक्रामक कौशल विकसित करने के लिए, C) रक्षा बढ़ाने के लिए, D) गति बढ़ाने के लिए")</f>
        <v>A) संतुलन सुधारने के लिए, B) आक्रामक कौशल विकसित करने के लिए, C) रक्षा बढ़ाने के लिए, D) गति बढ़ाने के लिए</v>
      </c>
      <c r="I81" s="5" t="str">
        <f>IFERROR(__xludf.DUMMYFUNCTION("GOOGLETRANSLATE(D81, ""en"", ""hi"")"),"C) रक्षा बढ़ाने के लिए")</f>
        <v>C) रक्षा बढ़ाने के लिए</v>
      </c>
    </row>
    <row r="82" ht="22.5" customHeight="1">
      <c r="A82" s="2">
        <v>81.0</v>
      </c>
      <c r="B82" s="3" t="s">
        <v>9344</v>
      </c>
      <c r="C82" s="3" t="s">
        <v>9345</v>
      </c>
      <c r="D82" s="3" t="s">
        <v>9346</v>
      </c>
      <c r="F82" s="5" t="str">
        <f>IFERROR(__xludf.DUMMYFUNCTION("GOOGLETRANSLATE(A82, ""en"", ""hi"")"),"81")</f>
        <v>81</v>
      </c>
      <c r="G82" s="5" t="str">
        <f>IFERROR(__xludf.DUMMYFUNCTION("GOOGLETRANSLATE(B82, ""en"", ""hi"")"),"एक सिलंबम साधक को कई विरोधियों का सामना करना पड़ रहा है। विभिन्न दिशाओं से होने वाले हमलों से बचाव के लिए उन्हें किस तकनीक का उपयोग करना चाहिए?")</f>
        <v>एक सिलंबम साधक को कई विरोधियों का सामना करना पड़ रहा है। विभिन्न दिशाओं से होने वाले हमलों से बचाव के लिए उन्हें किस तकनीक का उपयोग करना चाहिए?</v>
      </c>
      <c r="H82" s="5" t="str">
        <f>IFERROR(__xludf.DUMMYFUNCTION("GOOGLETRANSLATE(C82, ""en"", ""hi"")"),"ए) थडावु, बी) ओडिवर्मा, सी) सर्पा नादाई, डी) वीटू")</f>
        <v>ए) थडावु, बी) ओडिवर्मा, सी) सर्पा नादाई, डी) वीटू</v>
      </c>
      <c r="I82" s="5" t="str">
        <f>IFERROR(__xludf.DUMMYFUNCTION("GOOGLETRANSLATE(D82, ""en"", ""hi"")"),"C) सर्प नादई")</f>
        <v>C) सर्प नादई</v>
      </c>
    </row>
    <row r="83" ht="22.5" customHeight="1">
      <c r="A83" s="2">
        <v>82.0</v>
      </c>
      <c r="B83" s="3" t="s">
        <v>9347</v>
      </c>
      <c r="C83" s="3" t="s">
        <v>9348</v>
      </c>
      <c r="D83" s="3" t="s">
        <v>9349</v>
      </c>
      <c r="F83" s="5" t="str">
        <f>IFERROR(__xludf.DUMMYFUNCTION("GOOGLETRANSLATE(A83, ""en"", ""hi"")"),"82")</f>
        <v>82</v>
      </c>
      <c r="G83" s="5" t="str">
        <f>IFERROR(__xludf.DUMMYFUNCTION("GOOGLETRANSLATE(B83, ""en"", ""hi"")"),"सिलंबम प्रदर्शन के दौरान, अभ्यासकर्ता एक ऐसी मुद्रा का प्रयोग करता है जिसमें कूदना और प्रहार करना एक साथ शामिल होता है। इस मुद्रा का मुख्य लक्ष्य क्या है?")</f>
        <v>सिलंबम प्रदर्शन के दौरान, अभ्यासकर्ता एक ऐसी मुद्रा का प्रयोग करता है जिसमें कूदना और प्रहार करना एक साथ शामिल होता है। इस मुद्रा का मुख्य लक्ष्य क्या है?</v>
      </c>
      <c r="H83" s="5" t="str">
        <f>IFERROR(__xludf.DUMMYFUNCTION("GOOGLETRANSLATE(C83, ""en"", ""hi"")"),"A) प्रतिद्वंद्वी को डराने के लिए, B) हमले की पहुंच बढ़ाने के लिए, C) प्रतिद्वंद्वी को भ्रमित करने के लिए, D) चपलता प्रदर्शित करने के लिए")</f>
        <v>A) प्रतिद्वंद्वी को डराने के लिए, B) हमले की पहुंच बढ़ाने के लिए, C) प्रतिद्वंद्वी को भ्रमित करने के लिए, D) चपलता प्रदर्शित करने के लिए</v>
      </c>
      <c r="I83" s="5" t="str">
        <f>IFERROR(__xludf.DUMMYFUNCTION("GOOGLETRANSLATE(D83, ""en"", ""hi"")"),"बी) हमले की पहुंच बढ़ाने के लिए")</f>
        <v>बी) हमले की पहुंच बढ़ाने के लिए</v>
      </c>
    </row>
    <row r="84" ht="22.5" customHeight="1">
      <c r="A84" s="2">
        <v>83.0</v>
      </c>
      <c r="B84" s="3" t="s">
        <v>9350</v>
      </c>
      <c r="C84" s="3" t="s">
        <v>9351</v>
      </c>
      <c r="D84" s="3" t="s">
        <v>9352</v>
      </c>
      <c r="F84" s="5" t="str">
        <f>IFERROR(__xludf.DUMMYFUNCTION("GOOGLETRANSLATE(A84, ""en"", ""hi"")"),"83")</f>
        <v>83</v>
      </c>
      <c r="G84" s="5" t="str">
        <f>IFERROR(__xludf.DUMMYFUNCTION("GOOGLETRANSLATE(B84, ""en"", ""hi"")"),"सिलंबम मुकाबले में, अभ्यासकर्ता प्रतिद्वंद्वी के पैरों को निशाना बनाने के लिए एक नीची, व्यापक गति का उपयोग करता है। इस तकनीक का संभावित परिणाम क्या है?")</f>
        <v>सिलंबम मुकाबले में, अभ्यासकर्ता प्रतिद्वंद्वी के पैरों को निशाना बनाने के लिए एक नीची, व्यापक गति का उपयोग करता है। इस तकनीक का संभावित परिणाम क्या है?</v>
      </c>
      <c r="H84" s="5" t="str">
        <f>IFERROR(__xludf.DUMMYFUNCTION("GOOGLETRANSLATE(C84, ""en"", ""hi"")"),"A) प्रतिद्वंद्वी का ध्यान भटकाने के लिए, B) प्रतिद्वंद्वी को गिराने के लिए, C) प्रहार शक्ति बढ़ाने के लिए, D) कौशल का प्रदर्शन करने के लिए")</f>
        <v>A) प्रतिद्वंद्वी का ध्यान भटकाने के लिए, B) प्रतिद्वंद्वी को गिराने के लिए, C) प्रहार शक्ति बढ़ाने के लिए, D) कौशल का प्रदर्शन करने के लिए</v>
      </c>
      <c r="I84" s="5" t="str">
        <f>IFERROR(__xludf.DUMMYFUNCTION("GOOGLETRANSLATE(D84, ""en"", ""hi"")"),"बी) प्रतिद्वंद्वी को गिराना")</f>
        <v>बी) प्रतिद्वंद्वी को गिराना</v>
      </c>
    </row>
    <row r="85" ht="22.5" customHeight="1">
      <c r="A85" s="2">
        <v>84.0</v>
      </c>
      <c r="B85" s="3" t="s">
        <v>9353</v>
      </c>
      <c r="C85" s="3" t="s">
        <v>9354</v>
      </c>
      <c r="D85" s="3" t="s">
        <v>9355</v>
      </c>
      <c r="F85" s="5" t="str">
        <f>IFERROR(__xludf.DUMMYFUNCTION("GOOGLETRANSLATE(A85, ""en"", ""hi"")"),"84")</f>
        <v>84</v>
      </c>
      <c r="G85" s="5" t="str">
        <f>IFERROR(__xludf.DUMMYFUNCTION("GOOGLETRANSLATE(B85, ""en"", ""hi"")"),"एक अभ्यासी अपने प्रतिद्वंद्वी की ओर बढ़ने के लिए 'वझिवु' तकनीक का उपयोग करता है। इस पद्धति का उद्देश्य क्या है?")</f>
        <v>एक अभ्यासी अपने प्रतिद्वंद्वी की ओर बढ़ने के लिए 'वझिवु' तकनीक का उपयोग करता है। इस पद्धति का उद्देश्य क्या है?</v>
      </c>
      <c r="H85" s="5" t="str">
        <f>IFERROR(__xludf.DUMMYFUNCTION("GOOGLETRANSLATE(C85, ""en"", ""hi"")"),"A) दूरी कम करना, B) सुरक्षित पीछे हटना, C) हमलों से बचाव करना, D) रास्ता बनाना")</f>
        <v>A) दूरी कम करना, B) सुरक्षित पीछे हटना, C) हमलों से बचाव करना, D) रास्ता बनाना</v>
      </c>
      <c r="I85" s="5" t="str">
        <f>IFERROR(__xludf.DUMMYFUNCTION("GOOGLETRANSLATE(D85, ""en"", ""hi"")"),"A) दूरी कम करने के लिए")</f>
        <v>A) दूरी कम करने के लिए</v>
      </c>
    </row>
    <row r="86" ht="22.5" customHeight="1">
      <c r="A86" s="2">
        <v>85.0</v>
      </c>
      <c r="B86" s="3" t="s">
        <v>9356</v>
      </c>
      <c r="C86" s="3" t="s">
        <v>9357</v>
      </c>
      <c r="D86" s="3" t="s">
        <v>9358</v>
      </c>
      <c r="F86" s="5" t="str">
        <f>IFERROR(__xludf.DUMMYFUNCTION("GOOGLETRANSLATE(A86, ""en"", ""hi"")"),"85")</f>
        <v>85</v>
      </c>
      <c r="G86" s="5" t="str">
        <f>IFERROR(__xludf.DUMMYFUNCTION("GOOGLETRANSLATE(B86, ""en"", ""hi"")"),"सिलंबम प्रशिक्षण सत्र के दौरान, छात्र त्वरित, ऊपर की ओर प्रहारों की एक श्रृंखला का अभ्यास करते हैं। इन प्रहारों का प्राथमिक लक्ष्य क्षेत्र क्या है?")</f>
        <v>सिलंबम प्रशिक्षण सत्र के दौरान, छात्र त्वरित, ऊपर की ओर प्रहारों की एक श्रृंखला का अभ्यास करते हैं। इन प्रहारों का प्राथमिक लक्ष्य क्षेत्र क्या है?</v>
      </c>
      <c r="H86" s="5" t="str">
        <f>IFERROR(__xludf.DUMMYFUNCTION("GOOGLETRANSLATE(C86, ""en"", ""hi"")"),"A) पैर, B) छाती, C) सिर, D) बाहें")</f>
        <v>A) पैर, B) छाती, C) सिर, D) बाहें</v>
      </c>
      <c r="I86" s="5" t="str">
        <f>IFERROR(__xludf.DUMMYFUNCTION("GOOGLETRANSLATE(D86, ""en"", ""hi"")"),"सी) सिर")</f>
        <v>सी) सिर</v>
      </c>
    </row>
    <row r="87" ht="22.5" customHeight="1">
      <c r="A87" s="2">
        <v>86.0</v>
      </c>
      <c r="B87" s="3" t="s">
        <v>9359</v>
      </c>
      <c r="C87" s="3" t="s">
        <v>9360</v>
      </c>
      <c r="D87" s="3" t="s">
        <v>9361</v>
      </c>
      <c r="F87" s="5" t="str">
        <f>IFERROR(__xludf.DUMMYFUNCTION("GOOGLETRANSLATE(A87, ""en"", ""hi"")"),"86")</f>
        <v>86</v>
      </c>
      <c r="G87" s="5" t="str">
        <f>IFERROR(__xludf.DUMMYFUNCTION("GOOGLETRANSLATE(B87, ""en"", ""hi"")"),"एक सिलंबम साधक 'कुथु वरिसाई' तकनीक का प्रदर्शन कर रहा है। वे मुख्यतः किस कौशल पर ध्यान केंद्रित कर रहे हैं?")</f>
        <v>एक सिलंबम साधक 'कुथु वरिसाई' तकनीक का प्रदर्शन कर रहा है। वे मुख्यतः किस कौशल पर ध्यान केंद्रित कर रहे हैं?</v>
      </c>
      <c r="H87" s="5" t="str">
        <f>IFERROR(__xludf.DUMMYFUNCTION("GOOGLETRANSLATE(C87, ""en"", ""hi"")"),"ए) लचीलापन, बी) आक्रामक संयोजन, सी) रक्षात्मक युद्धाभ्यास, डी) फुटवर्क")</f>
        <v>ए) लचीलापन, बी) आक्रामक संयोजन, सी) रक्षात्मक युद्धाभ्यास, डी) फुटवर्क</v>
      </c>
      <c r="I87" s="5" t="str">
        <f>IFERROR(__xludf.DUMMYFUNCTION("GOOGLETRANSLATE(D87, ""en"", ""hi"")"),"बी) आक्रामक संयोजन")</f>
        <v>बी) आक्रामक संयोजन</v>
      </c>
    </row>
    <row r="88" ht="22.5" customHeight="1">
      <c r="A88" s="2">
        <v>87.0</v>
      </c>
      <c r="B88" s="3" t="s">
        <v>9362</v>
      </c>
      <c r="C88" s="3" t="s">
        <v>9363</v>
      </c>
      <c r="D88" s="3" t="s">
        <v>9364</v>
      </c>
      <c r="F88" s="5" t="str">
        <f>IFERROR(__xludf.DUMMYFUNCTION("GOOGLETRANSLATE(A88, ""en"", ""hi"")"),"87")</f>
        <v>87</v>
      </c>
      <c r="G88" s="5" t="str">
        <f>IFERROR(__xludf.DUMMYFUNCTION("GOOGLETRANSLATE(B88, ""en"", ""hi"")"),"सिलंबम प्रदर्शन में, अभ्यासकर्ता हमलों से बचने के लिए छड़ी को गोलाकार गति में घुमाता है। इस तकनीक का मुख्य उद्देश्य क्या है?")</f>
        <v>सिलंबम प्रदर्शन में, अभ्यासकर्ता हमलों से बचने के लिए छड़ी को गोलाकार गति में घुमाता है। इस तकनीक का मुख्य उद्देश्य क्या है?</v>
      </c>
      <c r="H88" s="5" t="str">
        <f>IFERROR(__xludf.DUMMYFUNCTION("GOOGLETRANSLATE(C88, ""en"", ""hi"")"),"A) प्रतिद्वंद्वी को भ्रमित करने के लिए, B) कई वार रोकने के लिए, C) कौशल दिखाने के लिए, D) प्रहार शक्ति बढ़ाने के लिए")</f>
        <v>A) प्रतिद्वंद्वी को भ्रमित करने के लिए, B) कई वार रोकने के लिए, C) कौशल दिखाने के लिए, D) प्रहार शक्ति बढ़ाने के लिए</v>
      </c>
      <c r="I88" s="5" t="str">
        <f>IFERROR(__xludf.DUMMYFUNCTION("GOOGLETRANSLATE(D88, ""en"", ""hi"")"),"B) कई हमलों को रोकने के लिए")</f>
        <v>B) कई हमलों को रोकने के लिए</v>
      </c>
    </row>
    <row r="89" ht="22.5" customHeight="1">
      <c r="A89" s="2">
        <v>88.0</v>
      </c>
      <c r="B89" s="3" t="s">
        <v>9365</v>
      </c>
      <c r="C89" s="3" t="s">
        <v>9366</v>
      </c>
      <c r="D89" s="3" t="s">
        <v>9367</v>
      </c>
      <c r="F89" s="5" t="str">
        <f>IFERROR(__xludf.DUMMYFUNCTION("GOOGLETRANSLATE(A89, ""en"", ""hi"")"),"88")</f>
        <v>88</v>
      </c>
      <c r="G89" s="5" t="str">
        <f>IFERROR(__xludf.DUMMYFUNCTION("GOOGLETRANSLATE(B89, ""en"", ""hi"")"),"सिलंबम मैच के दौरान, अभ्यासी अचानक नीचे की ओर प्रहार करता है। इस चाल का इच्छित लक्ष्य क्या है?")</f>
        <v>सिलंबम मैच के दौरान, अभ्यासी अचानक नीचे की ओर प्रहार करता है। इस चाल का इच्छित लक्ष्य क्या है?</v>
      </c>
      <c r="H89" s="5" t="str">
        <f>IFERROR(__xludf.DUMMYFUNCTION("GOOGLETRANSLATE(C89, ""en"", ""hi"")"),"A) भुजाएँ, B) सिर, C) छाती, D) कंधे")</f>
        <v>A) भुजाएँ, B) सिर, C) छाती, D) कंधे</v>
      </c>
      <c r="I89" s="5" t="str">
        <f>IFERROR(__xludf.DUMMYFUNCTION("GOOGLETRANSLATE(D89, ""en"", ""hi"")"),"ए) हथियार")</f>
        <v>ए) हथियार</v>
      </c>
    </row>
    <row r="90" ht="22.5" customHeight="1">
      <c r="A90" s="2">
        <v>89.0</v>
      </c>
      <c r="B90" s="3" t="s">
        <v>9368</v>
      </c>
      <c r="C90" s="3" t="s">
        <v>9369</v>
      </c>
      <c r="D90" s="3" t="s">
        <v>9370</v>
      </c>
      <c r="F90" s="5" t="str">
        <f>IFERROR(__xludf.DUMMYFUNCTION("GOOGLETRANSLATE(A90, ""en"", ""hi"")"),"89")</f>
        <v>89</v>
      </c>
      <c r="G90" s="5" t="str">
        <f>IFERROR(__xludf.DUMMYFUNCTION("GOOGLETRANSLATE(B90, ""en"", ""hi"")"),"एक साधक अपने प्रतिद्वंद्वी की ओर बढ़ते समय 'नेदुवादि' तकनीक का प्रयोग करता है। इस तकनीक का उद्देश्य क्या है?")</f>
        <v>एक साधक अपने प्रतिद्वंद्वी की ओर बढ़ते समय 'नेदुवादि' तकनीक का प्रयोग करता है। इस तकनीक का उद्देश्य क्या है?</v>
      </c>
      <c r="H90" s="5" t="str">
        <f>IFERROR(__xludf.DUMMYFUNCTION("GOOGLETRANSLATE(C90, ""en"", ""hi"")"),"A) प्रतिद्वंद्वी को डराने के लिए, B) रक्षात्मक अवरोध बनाने के लिए, C) गति बढ़ाने के लिए, D) दूर से वार करने के लिए")</f>
        <v>A) प्रतिद्वंद्वी को डराने के लिए, B) रक्षात्मक अवरोध बनाने के लिए, C) गति बढ़ाने के लिए, D) दूर से वार करने के लिए</v>
      </c>
      <c r="I90" s="5" t="str">
        <f>IFERROR(__xludf.DUMMYFUNCTION("GOOGLETRANSLATE(D90, ""en"", ""hi"")"),"D) दूर से वार करना")</f>
        <v>D) दूर से वार करना</v>
      </c>
    </row>
    <row r="91" ht="22.5" customHeight="1">
      <c r="A91" s="2">
        <v>90.0</v>
      </c>
      <c r="B91" s="3" t="s">
        <v>9371</v>
      </c>
      <c r="C91" s="3" t="s">
        <v>9372</v>
      </c>
      <c r="D91" s="3" t="s">
        <v>9373</v>
      </c>
      <c r="F91" s="5" t="str">
        <f>IFERROR(__xludf.DUMMYFUNCTION("GOOGLETRANSLATE(A91, ""en"", ""hi"")"),"90")</f>
        <v>90</v>
      </c>
      <c r="G91" s="5" t="str">
        <f>IFERROR(__xludf.DUMMYFUNCTION("GOOGLETRANSLATE(B91, ""en"", ""hi"")"),"सिलंबम प्रदर्शन में, साधक एक ऐसी क्रिया करता है जिसमें छड़ी को अपने सिर के ऊपर घुमाना शामिल होता है। इस क्रिया का मुख्य उद्देश्य क्या है?")</f>
        <v>सिलंबम प्रदर्शन में, साधक एक ऐसी क्रिया करता है जिसमें छड़ी को अपने सिर के ऊपर घुमाना शामिल होता है। इस क्रिया का मुख्य उद्देश्य क्या है?</v>
      </c>
      <c r="H91" s="5" t="str">
        <f>IFERROR(__xludf.DUMMYFUNCTION("GOOGLETRANSLATE(C91, ""en"", ""hi"")"),"A) प्रतिद्वंद्वी को भ्रमित करने के लिए, B) रक्षात्मक कवच बनाने के लिए, C) कौशल दिखाने के लिए, D) हमले की तैयारी करने के लिए")</f>
        <v>A) प्रतिद्वंद्वी को भ्रमित करने के लिए, B) रक्षात्मक कवच बनाने के लिए, C) कौशल दिखाने के लिए, D) हमले की तैयारी करने के लिए</v>
      </c>
      <c r="I91" s="5" t="str">
        <f>IFERROR(__xludf.DUMMYFUNCTION("GOOGLETRANSLATE(D91, ""en"", ""hi"")"),"बी) रक्षात्मक ढाल बनाने के लिए")</f>
        <v>बी) रक्षात्मक ढाल बनाने के लिए</v>
      </c>
    </row>
    <row r="92" ht="22.5" customHeight="1">
      <c r="A92" s="2">
        <v>91.0</v>
      </c>
      <c r="B92" s="3" t="s">
        <v>9374</v>
      </c>
      <c r="C92" s="3" t="s">
        <v>9375</v>
      </c>
      <c r="D92" s="3" t="s">
        <v>9376</v>
      </c>
      <c r="F92" s="5" t="str">
        <f>IFERROR(__xludf.DUMMYFUNCTION("GOOGLETRANSLATE(A92, ""en"", ""hi"")"),"91")</f>
        <v>91</v>
      </c>
      <c r="G92" s="5" t="str">
        <f>IFERROR(__xludf.DUMMYFUNCTION("GOOGLETRANSLATE(B92, ""en"", ""hi"")"),"सिलंबम मैच के दौरान, एक अभ्यासी अपने प्रतिद्वंद्वी को गुमराह करने के लिए छल का प्रयोग करता है। इस रणनीति का अपेक्षित परिणाम क्या होता है?")</f>
        <v>सिलंबम मैच के दौरान, एक अभ्यासी अपने प्रतिद्वंद्वी को गुमराह करने के लिए छल का प्रयोग करता है। इस रणनीति का अपेक्षित परिणाम क्या होता है?</v>
      </c>
      <c r="H92" s="5" t="str">
        <f>IFERROR(__xludf.DUMMYFUNCTION("GOOGLETRANSLATE(C92, ""en"", ""hi"")"),"A) कौशल दिखाने के लिए, B) अवसर पैदा करने के लिए, C) आक्रमण से बचाव के लिए, D) प्रहार शक्ति बढ़ाने के लिए")</f>
        <v>A) कौशल दिखाने के लिए, B) अवसर पैदा करने के लिए, C) आक्रमण से बचाव के लिए, D) प्रहार शक्ति बढ़ाने के लिए</v>
      </c>
      <c r="I92" s="5" t="str">
        <f>IFERROR(__xludf.DUMMYFUNCTION("GOOGLETRANSLATE(D92, ""en"", ""hi"")"),"बी) एक उद्घाटन बनाने के लिए")</f>
        <v>बी) एक उद्घाटन बनाने के लिए</v>
      </c>
    </row>
    <row r="93" ht="22.5" customHeight="1">
      <c r="A93" s="2">
        <v>92.0</v>
      </c>
      <c r="B93" s="3" t="s">
        <v>9377</v>
      </c>
      <c r="C93" s="3" t="s">
        <v>9378</v>
      </c>
      <c r="D93" s="3" t="s">
        <v>9379</v>
      </c>
      <c r="F93" s="5" t="str">
        <f>IFERROR(__xludf.DUMMYFUNCTION("GOOGLETRANSLATE(A93, ""en"", ""hi"")"),"92")</f>
        <v>92</v>
      </c>
      <c r="G93" s="5" t="str">
        <f>IFERROR(__xludf.DUMMYFUNCTION("GOOGLETRANSLATE(B93, ""en"", ""hi"")"),"एक सिलंबम साधक को लंबे हथियार वाले प्रतिद्वंद्वी का सामना करना पड़ता है। इस नुकसान का मुकाबला करने के लिए उन्हें कौन सी रणनीति अपनानी चाहिए?")</f>
        <v>एक सिलंबम साधक को लंबे हथियार वाले प्रतिद्वंद्वी का सामना करना पड़ता है। इस नुकसान का मुकाबला करने के लिए उन्हें कौन सी रणनीति अपनानी चाहिए?</v>
      </c>
      <c r="H93" s="5" t="str">
        <f>IFERROR(__xludf.DUMMYFUNCTION("GOOGLETRANSLATE(C93, ""en"", ""hi"")"),"A) दूरी कम करें, B) छल का प्रयोग करें, C) दूर से हमला करें, D) बचाव पर ध्यान केंद्रित करें")</f>
        <v>A) दूरी कम करें, B) छल का प्रयोग करें, C) दूर से हमला करें, D) बचाव पर ध्यान केंद्रित करें</v>
      </c>
      <c r="I93" s="5" t="str">
        <f>IFERROR(__xludf.DUMMYFUNCTION("GOOGLETRANSLATE(D93, ""en"", ""hi"")"),"A) दूरी कम करें")</f>
        <v>A) दूरी कम करें</v>
      </c>
    </row>
    <row r="94" ht="22.5" customHeight="1">
      <c r="A94" s="2">
        <v>93.0</v>
      </c>
      <c r="B94" s="3" t="s">
        <v>9380</v>
      </c>
      <c r="C94" s="3" t="s">
        <v>9381</v>
      </c>
      <c r="D94" s="3" t="s">
        <v>9382</v>
      </c>
      <c r="F94" s="5" t="str">
        <f>IFERROR(__xludf.DUMMYFUNCTION("GOOGLETRANSLATE(A94, ""en"", ""hi"")"),"93")</f>
        <v>93</v>
      </c>
      <c r="G94" s="5" t="str">
        <f>IFERROR(__xludf.DUMMYFUNCTION("GOOGLETRANSLATE(B94, ""en"", ""hi"")"),"सिलंबम प्रशिक्षण सत्र में, छात्र ऐसी गतिविधियों का अभ्यास करते हैं जिनमें दिशा में त्वरित परिवर्तन शामिल होते हैं। इन अभ्यासों का प्राथमिक लक्ष्य क्या है?")</f>
        <v>सिलंबम प्रशिक्षण सत्र में, छात्र ऐसी गतिविधियों का अभ्यास करते हैं जिनमें दिशा में त्वरित परिवर्तन शामिल होते हैं। इन अभ्यासों का प्राथमिक लक्ष्य क्या है?</v>
      </c>
      <c r="H94" s="5" t="str">
        <f>IFERROR(__xludf.DUMMYFUNCTION("GOOGLETRANSLATE(C94, ""en"", ""hi"")"),"A) कौशल का प्रदर्शन करने के लिए, B) प्रतिद्वंद्वी को भ्रमित करने के लिए, C) चपलता बढ़ाने के लिए, D) रक्षा में सुधार करने के लिए")</f>
        <v>A) कौशल का प्रदर्शन करने के लिए, B) प्रतिद्वंद्वी को भ्रमित करने के लिए, C) चपलता बढ़ाने के लिए, D) रक्षा में सुधार करने के लिए</v>
      </c>
      <c r="I94" s="5" t="str">
        <f>IFERROR(__xludf.DUMMYFUNCTION("GOOGLETRANSLATE(D94, ""en"", ""hi"")"),"C) चपलता बढ़ाने के लिए")</f>
        <v>C) चपलता बढ़ाने के लिए</v>
      </c>
    </row>
    <row r="95" ht="22.5" customHeight="1">
      <c r="A95" s="2">
        <v>94.0</v>
      </c>
      <c r="B95" s="3" t="s">
        <v>9383</v>
      </c>
      <c r="C95" s="3" t="s">
        <v>9384</v>
      </c>
      <c r="D95" s="3" t="s">
        <v>9385</v>
      </c>
      <c r="F95" s="5" t="str">
        <f>IFERROR(__xludf.DUMMYFUNCTION("GOOGLETRANSLATE(A95, ""en"", ""hi"")"),"94")</f>
        <v>94</v>
      </c>
      <c r="G95" s="5" t="str">
        <f>IFERROR(__xludf.DUMMYFUNCTION("GOOGLETRANSLATE(B95, ""en"", ""hi"")"),"एक सिलंबम साधक मैच के दौरान 'मूल वीसी' तकनीक का उपयोग करता है। इस तकनीक का मुख्य उद्देश्य क्या है?")</f>
        <v>एक सिलंबम साधक मैच के दौरान 'मूल वीसी' तकनीक का उपयोग करता है। इस तकनीक का मुख्य उद्देश्य क्या है?</v>
      </c>
      <c r="H95" s="5" t="str">
        <f>IFERROR(__xludf.DUMMYFUNCTION("GOOGLETRANSLATE(C95, ""en"", ""hi"")"),"A) प्रतिद्वंद्वी को भ्रमित करने के लिए, B) हमलों से बचाव के लिए, C) ध्यान भटकाने के लिए, D) शक्ति बढ़ाने के लिए")</f>
        <v>A) प्रतिद्वंद्वी को भ्रमित करने के लिए, B) हमलों से बचाव के लिए, C) ध्यान भटकाने के लिए, D) शक्ति बढ़ाने के लिए</v>
      </c>
      <c r="I95" s="5" t="str">
        <f>IFERROR(__xludf.DUMMYFUNCTION("GOOGLETRANSLATE(D95, ""en"", ""hi"")"),"बी) हमलों से बचाव के लिए")</f>
        <v>बी) हमलों से बचाव के लिए</v>
      </c>
    </row>
    <row r="96" ht="22.5" customHeight="1">
      <c r="A96" s="2">
        <v>95.0</v>
      </c>
      <c r="B96" s="3" t="s">
        <v>9386</v>
      </c>
      <c r="C96" s="3" t="s">
        <v>9387</v>
      </c>
      <c r="D96" s="3" t="s">
        <v>9303</v>
      </c>
      <c r="F96" s="5" t="str">
        <f>IFERROR(__xludf.DUMMYFUNCTION("GOOGLETRANSLATE(A96, ""en"", ""hi"")"),"95")</f>
        <v>95</v>
      </c>
      <c r="G96" s="5" t="str">
        <f>IFERROR(__xludf.DUMMYFUNCTION("GOOGLETRANSLATE(B96, ""en"", ""hi"")"),"सिलंबम प्रदर्शन के दौरान, अभ्यासकर्ता तीव्र, एकांतर प्रहारों की एक श्रृंखला का उपयोग करता है। इस क्रम का अपेक्षित प्रभाव क्या है?")</f>
        <v>सिलंबम प्रदर्शन के दौरान, अभ्यासकर्ता तीव्र, एकांतर प्रहारों की एक श्रृंखला का उपयोग करता है। इस क्रम का अपेक्षित प्रभाव क्या है?</v>
      </c>
      <c r="H96" s="5" t="str">
        <f>IFERROR(__xludf.DUMMYFUNCTION("GOOGLETRANSLATE(C96, ""en"", ""hi"")"),"A) कौशल दिखाने के लिए, B) प्रतिद्वंद्वी को परास्त करने के लिए, C) शक्ति बढ़ाने के लिए, D) हमलों से बचाव के लिए")</f>
        <v>A) कौशल दिखाने के लिए, B) प्रतिद्वंद्वी को परास्त करने के लिए, C) शक्ति बढ़ाने के लिए, D) हमलों से बचाव के लिए</v>
      </c>
      <c r="I96" s="5" t="str">
        <f>IFERROR(__xludf.DUMMYFUNCTION("GOOGLETRANSLATE(D96, ""en"", ""hi"")"),"बी) प्रतिद्वंद्वी को परास्त करना")</f>
        <v>बी) प्रतिद्वंद्वी को परास्त करना</v>
      </c>
    </row>
    <row r="97" ht="22.5" customHeight="1">
      <c r="A97" s="2">
        <v>96.0</v>
      </c>
      <c r="B97" s="3" t="s">
        <v>9388</v>
      </c>
      <c r="C97" s="3" t="s">
        <v>9389</v>
      </c>
      <c r="D97" s="3" t="s">
        <v>9390</v>
      </c>
      <c r="F97" s="5" t="str">
        <f>IFERROR(__xludf.DUMMYFUNCTION("GOOGLETRANSLATE(A97, ""en"", ""hi"")"),"96")</f>
        <v>96</v>
      </c>
      <c r="G97" s="5" t="str">
        <f>IFERROR(__xludf.DUMMYFUNCTION("GOOGLETRANSLATE(B97, ""en"", ""hi"")"),"सिलंबम मुकाबले में, अभ्यासकर्ता आने वाले प्रहार को रोकने के लिए एक व्यापक गति का उपयोग करता है। इस तकनीक का मुख्य उद्देश्य क्या है?")</f>
        <v>सिलंबम मुकाबले में, अभ्यासकर्ता आने वाले प्रहार को रोकने के लिए एक व्यापक गति का उपयोग करता है। इस तकनीक का मुख्य उद्देश्य क्या है?</v>
      </c>
      <c r="H97" s="5" t="str">
        <f>IFERROR(__xludf.DUMMYFUNCTION("GOOGLETRANSLATE(C97, ""en"", ""hi"")"),"A) प्रतिद्वंद्वी को भ्रमित करने के लिए, B) जवाबी हमला करने के लिए, C) बचाव करने के लिए, D) अवसर पैदा करने के लिए")</f>
        <v>A) प्रतिद्वंद्वी को भ्रमित करने के लिए, B) जवाबी हमला करने के लिए, C) बचाव करने के लिए, D) अवसर पैदा करने के लिए</v>
      </c>
      <c r="I97" s="5" t="str">
        <f>IFERROR(__xludf.DUMMYFUNCTION("GOOGLETRANSLATE(D97, ""en"", ""hi"")"),"C) बचाव करना")</f>
        <v>C) बचाव करना</v>
      </c>
    </row>
    <row r="98" ht="22.5" customHeight="1">
      <c r="A98" s="2">
        <v>97.0</v>
      </c>
      <c r="B98" s="3" t="s">
        <v>9391</v>
      </c>
      <c r="C98" s="3" t="s">
        <v>9392</v>
      </c>
      <c r="D98" s="3" t="s">
        <v>9393</v>
      </c>
      <c r="F98" s="5" t="str">
        <f>IFERROR(__xludf.DUMMYFUNCTION("GOOGLETRANSLATE(A98, ""en"", ""hi"")"),"97")</f>
        <v>97</v>
      </c>
      <c r="G98" s="5" t="str">
        <f>IFERROR(__xludf.DUMMYFUNCTION("GOOGLETRANSLATE(B98, ""en"", ""hi"")"),"एक अभ्यासकर्ता स्पैरिंग सत्र के दौरान 'अदुक्कु मुरी' तकनीक का उपयोग करता है। वे मुख्य रूप से किस कौशल पर ध्यान केंद्रित कर रहे हैं?")</f>
        <v>एक अभ्यासकर्ता स्पैरिंग सत्र के दौरान 'अदुक्कु मुरी' तकनीक का उपयोग करता है। वे मुख्य रूप से किस कौशल पर ध्यान केंद्रित कर रहे हैं?</v>
      </c>
      <c r="H98" s="5" t="str">
        <f>IFERROR(__xludf.DUMMYFUNCTION("GOOGLETRANSLATE(C98, ""en"", ""hi"")"),"ए) आक्रामक हमले, बी) रक्षात्मक ब्लॉक, सी) बचाव, डी) फुटवर्क")</f>
        <v>ए) आक्रामक हमले, बी) रक्षात्मक ब्लॉक, सी) बचाव, डी) फुटवर्क</v>
      </c>
      <c r="I98" s="5" t="str">
        <f>IFERROR(__xludf.DUMMYFUNCTION("GOOGLETRANSLATE(D98, ""en"", ""hi"")"),"बी) रक्षात्मक ब्लॉक")</f>
        <v>बी) रक्षात्मक ब्लॉक</v>
      </c>
    </row>
    <row r="99" ht="22.5" customHeight="1">
      <c r="A99" s="2">
        <v>98.0</v>
      </c>
      <c r="B99" s="3" t="s">
        <v>9394</v>
      </c>
      <c r="C99" s="3" t="s">
        <v>9395</v>
      </c>
      <c r="D99" s="3" t="s">
        <v>9220</v>
      </c>
      <c r="F99" s="5" t="str">
        <f>IFERROR(__xludf.DUMMYFUNCTION("GOOGLETRANSLATE(A99, ""en"", ""hi"")"),"98")</f>
        <v>98</v>
      </c>
      <c r="G99" s="5" t="str">
        <f>IFERROR(__xludf.DUMMYFUNCTION("GOOGLETRANSLATE(B99, ""en"", ""hi"")"),"सिलंबम मैच के दौरान, एक अभ्यासी प्रतिद्वंद्वी के पैरों पर निशाना साधते हुए अचानक, नीचे से वार करता है। इस चाल का अपेक्षित परिणाम क्या होता है?")</f>
        <v>सिलंबम मैच के दौरान, एक अभ्यासी प्रतिद्वंद्वी के पैरों पर निशाना साधते हुए अचानक, नीचे से वार करता है। इस चाल का अपेक्षित परिणाम क्या होता है?</v>
      </c>
      <c r="H99" s="5" t="str">
        <f>IFERROR(__xludf.DUMMYFUNCTION("GOOGLETRANSLATE(C99, ""en"", ""hi"")"),"A) प्रतिद्वंद्वी का संतुलन बिगाड़ना, B) प्रतिद्वंद्वी को घायल करना, C) प्रतिद्वंद्वी का ध्यान भटकाना, D) कौशल का प्रदर्शन करना")</f>
        <v>A) प्रतिद्वंद्वी का संतुलन बिगाड़ना, B) प्रतिद्वंद्वी को घायल करना, C) प्रतिद्वंद्वी का ध्यान भटकाना, D) कौशल का प्रदर्शन करना</v>
      </c>
      <c r="I99" s="5" t="str">
        <f>IFERROR(__xludf.DUMMYFUNCTION("GOOGLETRANSLATE(D99, ""en"", ""hi"")"),"A) प्रतिद्वंद्वी का संतुलन बिगाड़ना")</f>
        <v>A) प्रतिद्वंद्वी का संतुलन बिगाड़ना</v>
      </c>
    </row>
    <row r="100" ht="22.5" customHeight="1">
      <c r="A100" s="2">
        <v>99.0</v>
      </c>
      <c r="B100" s="3" t="s">
        <v>9396</v>
      </c>
      <c r="C100" s="3" t="s">
        <v>9397</v>
      </c>
      <c r="D100" s="3" t="s">
        <v>9398</v>
      </c>
      <c r="F100" s="5" t="str">
        <f>IFERROR(__xludf.DUMMYFUNCTION("GOOGLETRANSLATE(A100, ""en"", ""hi"")"),"99")</f>
        <v>99</v>
      </c>
      <c r="G100" s="5" t="str">
        <f>IFERROR(__xludf.DUMMYFUNCTION("GOOGLETRANSLATE(B100, ""en"", ""hi"")"),"सिलंबम प्रदर्शन में, साधक 'सर्प नादई' गतियों को शामिल करता है। इन गतियों का प्राथमिक उद्देश्य क्या है?")</f>
        <v>सिलंबम प्रदर्शन में, साधक 'सर्प नादई' गतियों को शामिल करता है। इन गतियों का प्राथमिक उद्देश्य क्या है?</v>
      </c>
      <c r="H100" s="5" t="str">
        <f>IFERROR(__xludf.DUMMYFUNCTION("GOOGLETRANSLATE(C100, ""en"", ""hi"")"),"A) प्रतिद्वंद्वी को भ्रमित करने के लिए, B) अप्रत्याशितता बढ़ाने के लिए, C) चपलता बढ़ाने के लिए, D) कौशल का प्रदर्शन करने के लिए")</f>
        <v>A) प्रतिद्वंद्वी को भ्रमित करने के लिए, B) अप्रत्याशितता बढ़ाने के लिए, C) चपलता बढ़ाने के लिए, D) कौशल का प्रदर्शन करने के लिए</v>
      </c>
      <c r="I100" s="5" t="str">
        <f>IFERROR(__xludf.DUMMYFUNCTION("GOOGLETRANSLATE(D100, ""en"", ""hi"")"),"बी) अप्रत्याशितता बढ़ाने के लिए")</f>
        <v>बी) अप्रत्याशितता बढ़ाने के लिए</v>
      </c>
    </row>
    <row r="101" ht="22.5" customHeight="1">
      <c r="A101" s="2">
        <v>100.0</v>
      </c>
      <c r="B101" s="3" t="s">
        <v>9399</v>
      </c>
      <c r="C101" s="3" t="s">
        <v>9400</v>
      </c>
      <c r="D101" s="3" t="s">
        <v>9401</v>
      </c>
      <c r="F101" s="5" t="str">
        <f>IFERROR(__xludf.DUMMYFUNCTION("GOOGLETRANSLATE(A101, ""en"", ""hi"")"),"100")</f>
        <v>100</v>
      </c>
      <c r="G101" s="5" t="str">
        <f>IFERROR(__xludf.DUMMYFUNCTION("GOOGLETRANSLATE(B101, ""en"", ""hi"")"),"सिलंबम साधक एक ऐसी तकनीक का उपयोग करते हैं जिसमें छड़ी को अपने शरीर के चारों ओर तेज़ी से घुमाना शामिल होता है। इस तकनीक का अपेक्षित प्रभाव क्या है?")</f>
        <v>सिलंबम साधक एक ऐसी तकनीक का उपयोग करते हैं जिसमें छड़ी को अपने शरीर के चारों ओर तेज़ी से घुमाना शामिल होता है। इस तकनीक का अपेक्षित प्रभाव क्या है?</v>
      </c>
      <c r="H101" s="5" t="str">
        <f>IFERROR(__xludf.DUMMYFUNCTION("GOOGLETRANSLATE(C101, ""en"", ""hi"")"),"A) प्रतिद्वंद्वी को डराने के लिए, B) रक्षात्मक अवरोध पैदा करने के लिए, C) प्रतिद्वंद्वी को भ्रमित करने के लिए, D) कौशल दिखाने के लिए")</f>
        <v>A) प्रतिद्वंद्वी को डराने के लिए, B) रक्षात्मक अवरोध पैदा करने के लिए, C) प्रतिद्वंद्वी को भ्रमित करने के लिए, D) कौशल दिखाने के लिए</v>
      </c>
      <c r="I101" s="5" t="str">
        <f>IFERROR(__xludf.DUMMYFUNCTION("GOOGLETRANSLATE(D101, ""en"", ""hi"")"),"बी) रक्षात्मक अवरोध बनाने के लिए")</f>
        <v>बी) रक्षात्मक अवरोध बनाने के लिए</v>
      </c>
    </row>
    <row r="102" ht="22.5" customHeight="1">
      <c r="A102" s="2">
        <v>101.0</v>
      </c>
      <c r="B102" s="3" t="s">
        <v>9402</v>
      </c>
      <c r="C102" s="3" t="s">
        <v>9403</v>
      </c>
      <c r="D102" s="3" t="s">
        <v>9294</v>
      </c>
      <c r="F102" s="5" t="str">
        <f>IFERROR(__xludf.DUMMYFUNCTION("GOOGLETRANSLATE(A102, ""en"", ""hi"")"),"101")</f>
        <v>101</v>
      </c>
      <c r="G102" s="5" t="str">
        <f>IFERROR(__xludf.DUMMYFUNCTION("GOOGLETRANSLATE(B102, ""en"", ""hi"")"),"सिलंबम स्पैरिंग मैच के दौरान, एक अभ्यासकर्ता तेज़ प्रहारों का एक क्रम अपनाता है। इस रणनीति का मुख्य लक्ष्य क्या है?")</f>
        <v>सिलंबम स्पैरिंग मैच के दौरान, एक अभ्यासकर्ता तेज़ प्रहारों का एक क्रम अपनाता है। इस रणनीति का मुख्य लक्ष्य क्या है?</v>
      </c>
      <c r="H102" s="5" t="str">
        <f>IFERROR(__xludf.DUMMYFUNCTION("GOOGLETRANSLATE(C102, ""en"", ""hi"")"),"A) कौशल दिखाने के लिए, B) प्रतिद्वंद्वी को थका देने के लिए, C) प्रतिद्वंद्वी की रक्षा का परीक्षण करने के लिए, D) एक अवसर पैदा करने के लिए")</f>
        <v>A) कौशल दिखाने के लिए, B) प्रतिद्वंद्वी को थका देने के लिए, C) प्रतिद्वंद्वी की रक्षा का परीक्षण करने के लिए, D) एक अवसर पैदा करने के लिए</v>
      </c>
      <c r="I102" s="5" t="str">
        <f>IFERROR(__xludf.DUMMYFUNCTION("GOOGLETRANSLATE(D102, ""en"", ""hi"")"),"C) प्रतिद्वंद्वी की रक्षा का परीक्षण करने के लिए")</f>
        <v>C) प्रतिद्वंद्वी की रक्षा का परीक्षण करने के लिए</v>
      </c>
    </row>
    <row r="103" ht="22.5" customHeight="1">
      <c r="A103" s="2">
        <v>102.0</v>
      </c>
      <c r="B103" s="3" t="s">
        <v>9404</v>
      </c>
      <c r="C103" s="3" t="s">
        <v>9405</v>
      </c>
      <c r="D103" s="3" t="s">
        <v>9406</v>
      </c>
      <c r="F103" s="5" t="str">
        <f>IFERROR(__xludf.DUMMYFUNCTION("GOOGLETRANSLATE(A103, ""en"", ""hi"")"),"102")</f>
        <v>102</v>
      </c>
      <c r="G103" s="5" t="str">
        <f>IFERROR(__xludf.DUMMYFUNCTION("GOOGLETRANSLATE(B103, ""en"", ""hi"")"),"सिलंबम प्रशिक्षण सत्र में, छात्र 'कुथु वरिसाई' तकनीक का अभ्यास करते हैं। यह तकनीक सिलंबम के किस पहलू पर केंद्रित है?")</f>
        <v>सिलंबम प्रशिक्षण सत्र में, छात्र 'कुथु वरिसाई' तकनीक का अभ्यास करते हैं। यह तकनीक सिलंबम के किस पहलू पर केंद्रित है?</v>
      </c>
      <c r="H103" s="5" t="str">
        <f>IFERROR(__xludf.DUMMYFUNCTION("GOOGLETRANSLATE(C103, ""en"", ""hi"")"),"A) लचीलापन, B) आक्रमण, C) रक्षा, D) संतुलन")</f>
        <v>A) लचीलापन, B) आक्रमण, C) रक्षा, D) संतुलन</v>
      </c>
      <c r="I103" s="5" t="str">
        <f>IFERROR(__xludf.DUMMYFUNCTION("GOOGLETRANSLATE(D103, ""en"", ""hi"")"),"बी) अपराध")</f>
        <v>बी) अपराध</v>
      </c>
    </row>
    <row r="104" ht="22.5" customHeight="1">
      <c r="A104" s="2">
        <v>103.0</v>
      </c>
      <c r="B104" s="3" t="s">
        <v>9407</v>
      </c>
      <c r="C104" s="3" t="s">
        <v>9408</v>
      </c>
      <c r="D104" s="3" t="s">
        <v>9409</v>
      </c>
      <c r="F104" s="5" t="str">
        <f>IFERROR(__xludf.DUMMYFUNCTION("GOOGLETRANSLATE(A104, ""en"", ""hi"")"),"103")</f>
        <v>103</v>
      </c>
      <c r="G104" s="5" t="str">
        <f>IFERROR(__xludf.DUMMYFUNCTION("GOOGLETRANSLATE(B104, ""en"", ""hi"")"),"एक साधक सिलंबम मुद्रा का प्रदर्शन कर रहा है जिसमें छड़ी की नोक से प्रहार किया जाता है। इस तकनीक का मुख्य उद्देश्य क्या है?")</f>
        <v>एक साधक सिलंबम मुद्रा का प्रदर्शन कर रहा है जिसमें छड़ी की नोक से प्रहार किया जाता है। इस तकनीक का मुख्य उद्देश्य क्या है?</v>
      </c>
      <c r="H104" s="5" t="str">
        <f>IFERROR(__xludf.DUMMYFUNCTION("GOOGLETRANSLATE(C104, ""en"", ""hi"")"),"A) प्रतिद्वंद्वी को घायल करने के लिए, B) गति बढ़ाने के लिए, C) विशिष्ट बिंदुओं को लक्षित करने के लिए, D) कौशल दिखाने के लिए")</f>
        <v>A) प्रतिद्वंद्वी को घायल करने के लिए, B) गति बढ़ाने के लिए, C) विशिष्ट बिंदुओं को लक्षित करने के लिए, D) कौशल दिखाने के लिए</v>
      </c>
      <c r="I104" s="5" t="str">
        <f>IFERROR(__xludf.DUMMYFUNCTION("GOOGLETRANSLATE(D104, ""en"", ""hi"")"),"C) विशिष्ट बिंदुओं को लक्षित करने के लिए")</f>
        <v>C) विशिष्ट बिंदुओं को लक्षित करने के लिए</v>
      </c>
    </row>
    <row r="105" ht="22.5" customHeight="1">
      <c r="A105" s="2">
        <v>104.0</v>
      </c>
      <c r="B105" s="3" t="s">
        <v>9410</v>
      </c>
      <c r="C105" s="3" t="s">
        <v>9411</v>
      </c>
      <c r="D105" s="3" t="s">
        <v>9376</v>
      </c>
      <c r="F105" s="5" t="str">
        <f>IFERROR(__xludf.DUMMYFUNCTION("GOOGLETRANSLATE(A105, ""en"", ""hi"")"),"104")</f>
        <v>104</v>
      </c>
      <c r="G105" s="5" t="str">
        <f>IFERROR(__xludf.DUMMYFUNCTION("GOOGLETRANSLATE(B105, ""en"", ""hi"")"),"सिलंबम अभ्यास के दौरान, एक अभ्यासी ऊँची, घूमती हुई प्रहार तकनीक का प्रयोग करता है। इस तकनीक का मुख्य उद्देश्य क्या है?")</f>
        <v>सिलंबम अभ्यास के दौरान, एक अभ्यासी ऊँची, घूमती हुई प्रहार तकनीक का प्रयोग करता है। इस तकनीक का मुख्य उद्देश्य क्या है?</v>
      </c>
      <c r="H105" s="5" t="str">
        <f>IFERROR(__xludf.DUMMYFUNCTION("GOOGLETRANSLATE(C105, ""en"", ""hi"")"),"A) प्रतिद्वंद्वी को भ्रमित करने के लिए, B) अवसर पैदा करने के लिए, C) शक्ति बढ़ाने के लिए, D) कौशल का प्रदर्शन करने के लिए")</f>
        <v>A) प्रतिद्वंद्वी को भ्रमित करने के लिए, B) अवसर पैदा करने के लिए, C) शक्ति बढ़ाने के लिए, D) कौशल का प्रदर्शन करने के लिए</v>
      </c>
      <c r="I105" s="5" t="str">
        <f>IFERROR(__xludf.DUMMYFUNCTION("GOOGLETRANSLATE(D105, ""en"", ""hi"")"),"बी) एक उद्घाटन बनाने के लिए")</f>
        <v>बी) एक उद्घाटन बनाने के लिए</v>
      </c>
    </row>
    <row r="106" ht="22.5" customHeight="1">
      <c r="A106" s="2">
        <v>105.0</v>
      </c>
      <c r="B106" s="3" t="s">
        <v>9412</v>
      </c>
      <c r="C106" s="3" t="s">
        <v>9413</v>
      </c>
      <c r="D106" s="3" t="s">
        <v>9414</v>
      </c>
      <c r="F106" s="5" t="str">
        <f>IFERROR(__xludf.DUMMYFUNCTION("GOOGLETRANSLATE(A106, ""en"", ""hi"")"),"105")</f>
        <v>105</v>
      </c>
      <c r="G106" s="5" t="str">
        <f>IFERROR(__xludf.DUMMYFUNCTION("GOOGLETRANSLATE(B106, ""en"", ""hi"")"),"सिलंबम प्रदर्शन में, अभ्यासकर्ता प्रतिद्वंद्वी की ओर बढ़ते हुए तरल गतियों की एक श्रृंखला का उपयोग करता है। इस दृष्टिकोण का मुख्य लक्ष्य क्या है?")</f>
        <v>सिलंबम प्रदर्शन में, अभ्यासकर्ता प्रतिद्वंद्वी की ओर बढ़ते हुए तरल गतियों की एक श्रृंखला का उपयोग करता है। इस दृष्टिकोण का मुख्य लक्ष्य क्या है?</v>
      </c>
      <c r="H106" s="5" t="str">
        <f>IFERROR(__xludf.DUMMYFUNCTION("GOOGLETRANSLATE(C106, ""en"", ""hi"")"),"A) प्रतिद्वंद्वी को भ्रमित करने के लिए, B) कौशल दिखाने के लिए, C) संतुलन बनाए रखने के लिए, D) दूरी कम करने के लिए")</f>
        <v>A) प्रतिद्वंद्वी को भ्रमित करने के लिए, B) कौशल दिखाने के लिए, C) संतुलन बनाए रखने के लिए, D) दूरी कम करने के लिए</v>
      </c>
      <c r="I106" s="5" t="str">
        <f>IFERROR(__xludf.DUMMYFUNCTION("GOOGLETRANSLATE(D106, ""en"", ""hi"")"),"D) दूरी कम करने के लिए")</f>
        <v>D) दूरी कम करने के लिए</v>
      </c>
    </row>
    <row r="107" ht="22.5" customHeight="1">
      <c r="A107" s="2">
        <v>106.0</v>
      </c>
      <c r="B107" s="3" t="s">
        <v>9415</v>
      </c>
      <c r="C107" s="3" t="s">
        <v>9416</v>
      </c>
      <c r="D107" s="3" t="s">
        <v>9417</v>
      </c>
      <c r="F107" s="5" t="str">
        <f>IFERROR(__xludf.DUMMYFUNCTION("GOOGLETRANSLATE(A107, ""en"", ""hi"")"),"106")</f>
        <v>106</v>
      </c>
      <c r="G107" s="5" t="str">
        <f>IFERROR(__xludf.DUMMYFUNCTION("GOOGLETRANSLATE(B107, ""en"", ""hi"")"),"एक सिलंबम साधक मैच के दौरान 'ओडु कंबु' तकनीक का उपयोग करता है। इस तकनीक का मुख्य उद्देश्य क्या है?")</f>
        <v>एक सिलंबम साधक मैच के दौरान 'ओडु कंबु' तकनीक का उपयोग करता है। इस तकनीक का मुख्य उद्देश्य क्या है?</v>
      </c>
      <c r="H107" s="5" t="str">
        <f>IFERROR(__xludf.DUMMYFUNCTION("GOOGLETRANSLATE(C107, ""en"", ""hi"")"),"A) हमलों से बचने के लिए, B) हमलों को रोकने के लिए, C) ध्यान भटकाने के लिए, D) प्रहार शक्ति बढ़ाने के लिए")</f>
        <v>A) हमलों से बचने के लिए, B) हमलों को रोकने के लिए, C) ध्यान भटकाने के लिए, D) प्रहार शक्ति बढ़ाने के लिए</v>
      </c>
      <c r="I107" s="5" t="str">
        <f>IFERROR(__xludf.DUMMYFUNCTION("GOOGLETRANSLATE(D107, ""en"", ""hi"")"),"A) हमलों से बचने के लिए")</f>
        <v>A) हमलों से बचने के लिए</v>
      </c>
    </row>
    <row r="108" ht="22.5" customHeight="1">
      <c r="A108" s="2">
        <v>107.0</v>
      </c>
      <c r="B108" s="3" t="s">
        <v>9418</v>
      </c>
      <c r="C108" s="3" t="s">
        <v>9419</v>
      </c>
      <c r="D108" s="3" t="s">
        <v>9358</v>
      </c>
      <c r="F108" s="5" t="str">
        <f>IFERROR(__xludf.DUMMYFUNCTION("GOOGLETRANSLATE(A108, ""en"", ""hi"")"),"107")</f>
        <v>107</v>
      </c>
      <c r="G108" s="5" t="str">
        <f>IFERROR(__xludf.DUMMYFUNCTION("GOOGLETRANSLATE(B108, ""en"", ""hi"")"),"सिलंबम मैच के दौरान, एक अभ्यासी अचानक ऊपर की ओर प्रहार करता है। इस चाल का इच्छित लक्ष्य क्या है?")</f>
        <v>सिलंबम मैच के दौरान, एक अभ्यासी अचानक ऊपर की ओर प्रहार करता है। इस चाल का इच्छित लक्ष्य क्या है?</v>
      </c>
      <c r="H108" s="5" t="str">
        <f>IFERROR(__xludf.DUMMYFUNCTION("GOOGLETRANSLATE(C108, ""en"", ""hi"")"),"A) पैर, B) भुजाएँ, C) सिर, D) धड़")</f>
        <v>A) पैर, B) भुजाएँ, C) सिर, D) धड़</v>
      </c>
      <c r="I108" s="5" t="str">
        <f>IFERROR(__xludf.DUMMYFUNCTION("GOOGLETRANSLATE(D108, ""en"", ""hi"")"),"सी) सिर")</f>
        <v>सी) सिर</v>
      </c>
    </row>
    <row r="109" ht="22.5" customHeight="1">
      <c r="A109" s="2">
        <v>108.0</v>
      </c>
      <c r="B109" s="3" t="s">
        <v>9420</v>
      </c>
      <c r="C109" s="3" t="s">
        <v>9421</v>
      </c>
      <c r="D109" s="3" t="s">
        <v>9373</v>
      </c>
      <c r="F109" s="5" t="str">
        <f>IFERROR(__xludf.DUMMYFUNCTION("GOOGLETRANSLATE(A109, ""en"", ""hi"")"),"108")</f>
        <v>108</v>
      </c>
      <c r="G109" s="5" t="str">
        <f>IFERROR(__xludf.DUMMYFUNCTION("GOOGLETRANSLATE(B109, ""en"", ""hi"")"),"सिलंबम प्रशिक्षण सत्र में, छात्र एक ऐसी तकनीक का अभ्यास करते हैं जिसमें छड़ी को शरीर के चारों ओर घुमाया जाता है। इस अभ्यास का मुख्य उद्देश्य क्या है?")</f>
        <v>सिलंबम प्रशिक्षण सत्र में, छात्र एक ऐसी तकनीक का अभ्यास करते हैं जिसमें छड़ी को शरीर के चारों ओर घुमाया जाता है। इस अभ्यास का मुख्य उद्देश्य क्या है?</v>
      </c>
      <c r="H109" s="5" t="str">
        <f>IFERROR(__xludf.DUMMYFUNCTION("GOOGLETRANSLATE(C109, ""en"", ""hi"")"),"A) गति बढ़ाने के लिए, B) रक्षात्मक कवच बनाने के लिए, C) कौशल दिखाने के लिए, D) लचीलेपन में सुधार करने के लिए")</f>
        <v>A) गति बढ़ाने के लिए, B) रक्षात्मक कवच बनाने के लिए, C) कौशल दिखाने के लिए, D) लचीलेपन में सुधार करने के लिए</v>
      </c>
      <c r="I109" s="5" t="str">
        <f>IFERROR(__xludf.DUMMYFUNCTION("GOOGLETRANSLATE(D109, ""en"", ""hi"")"),"बी) रक्षात्मक ढाल बनाने के लिए")</f>
        <v>बी) रक्षात्मक ढाल बनाने के लिए</v>
      </c>
    </row>
    <row r="110" ht="22.5" customHeight="1">
      <c r="A110" s="2">
        <v>109.0</v>
      </c>
      <c r="B110" s="3" t="s">
        <v>9422</v>
      </c>
      <c r="C110" s="3" t="s">
        <v>9423</v>
      </c>
      <c r="D110" s="3" t="s">
        <v>9424</v>
      </c>
      <c r="F110" s="5" t="str">
        <f>IFERROR(__xludf.DUMMYFUNCTION("GOOGLETRANSLATE(A110, ""en"", ""hi"")"),"109")</f>
        <v>109</v>
      </c>
      <c r="G110" s="5" t="str">
        <f>IFERROR(__xludf.DUMMYFUNCTION("GOOGLETRANSLATE(B110, ""en"", ""hi"")"),"एक अभ्यासी अपने प्रतिद्वंद्वी से पीछे हटते समय 'सर्पु नादई' तकनीक का प्रयोग करता है। इस क्रिया का उद्देश्य क्या है?")</f>
        <v>एक अभ्यासी अपने प्रतिद्वंद्वी से पीछे हटते समय 'सर्पु नादई' तकनीक का प्रयोग करता है। इस क्रिया का उद्देश्य क्या है?</v>
      </c>
      <c r="H110" s="5" t="str">
        <f>IFERROR(__xludf.DUMMYFUNCTION("GOOGLETRANSLATE(C110, ""en"", ""hi"")"),"A) प्रतिद्वंद्वी को भ्रमित करने के लिए, B) चपलता बढ़ाने के लिए, C) दूरी बनाए रखने के लिए, D) पलटवार की तैयारी करने के लिए")</f>
        <v>A) प्रतिद्वंद्वी को भ्रमित करने के लिए, B) चपलता बढ़ाने के लिए, C) दूरी बनाए रखने के लिए, D) पलटवार की तैयारी करने के लिए</v>
      </c>
      <c r="I110" s="5" t="str">
        <f>IFERROR(__xludf.DUMMYFUNCTION("GOOGLETRANSLATE(D110, ""en"", ""hi"")"),"C) दूरी बनाए रखना")</f>
        <v>C) दूरी बनाए रखना</v>
      </c>
    </row>
    <row r="111" ht="22.5" customHeight="1">
      <c r="A111" s="2">
        <v>110.0</v>
      </c>
      <c r="B111" s="3" t="s">
        <v>9425</v>
      </c>
      <c r="C111" s="3" t="s">
        <v>9426</v>
      </c>
      <c r="D111" s="3" t="s">
        <v>9401</v>
      </c>
      <c r="F111" s="5" t="str">
        <f>IFERROR(__xludf.DUMMYFUNCTION("GOOGLETRANSLATE(A111, ""en"", ""hi"")"),"110")</f>
        <v>110</v>
      </c>
      <c r="G111" s="5" t="str">
        <f>IFERROR(__xludf.DUMMYFUNCTION("GOOGLETRANSLATE(B111, ""en"", ""hi"")"),"सिलंबम प्रदर्शन के दौरान, साधक छड़ी से गोलाकार गतियों की एक श्रृंखला का प्रयोग करता है। इन गतियों का प्राथमिक उद्देश्य क्या है?")</f>
        <v>सिलंबम प्रदर्शन के दौरान, साधक छड़ी से गोलाकार गतियों की एक श्रृंखला का प्रयोग करता है। इन गतियों का प्राथमिक उद्देश्य क्या है?</v>
      </c>
      <c r="H111" s="5" t="str">
        <f>IFERROR(__xludf.DUMMYFUNCTION("GOOGLETRANSLATE(C111, ""en"", ""hi"")"),"A) प्रतिद्वंद्वी को भ्रमित करने के लिए, B) रक्षात्मक अवरोध पैदा करने के लिए, C) कौशल दिखाने के लिए, D) प्रहार शक्ति बढ़ाने के लिए")</f>
        <v>A) प्रतिद्वंद्वी को भ्रमित करने के लिए, B) रक्षात्मक अवरोध पैदा करने के लिए, C) कौशल दिखाने के लिए, D) प्रहार शक्ति बढ़ाने के लिए</v>
      </c>
      <c r="I111" s="5" t="str">
        <f>IFERROR(__xludf.DUMMYFUNCTION("GOOGLETRANSLATE(D111, ""en"", ""hi"")"),"बी) रक्षात्मक अवरोध बनाने के लिए")</f>
        <v>बी) रक्षात्मक अवरोध बनाने के लिए</v>
      </c>
    </row>
    <row r="112" ht="22.5" customHeight="1">
      <c r="A112" s="2">
        <v>111.0</v>
      </c>
      <c r="B112" s="3" t="s">
        <v>9427</v>
      </c>
      <c r="C112" s="3" t="s">
        <v>9428</v>
      </c>
      <c r="D112" s="3" t="s">
        <v>9429</v>
      </c>
      <c r="F112" s="5" t="str">
        <f>IFERROR(__xludf.DUMMYFUNCTION("GOOGLETRANSLATE(A112, ""en"", ""hi"")"),"111")</f>
        <v>111</v>
      </c>
      <c r="G112" s="5" t="str">
        <f>IFERROR(__xludf.DUMMYFUNCTION("GOOGLETRANSLATE(B112, ""en"", ""hi"")"),"सिलंबम का अभ्यासी एक ऐसी चाल करता है जिसमें अचानक, ऊँची चोट के बाद नीचे की ओर स्वीप होता है। इस संयोजन का अपेक्षित प्रभाव क्या है?")</f>
        <v>सिलंबम का अभ्यासी एक ऐसी चाल करता है जिसमें अचानक, ऊँची चोट के बाद नीचे की ओर स्वीप होता है। इस संयोजन का अपेक्षित प्रभाव क्या है?</v>
      </c>
      <c r="H112" s="5" t="str">
        <f>IFERROR(__xludf.DUMMYFUNCTION("GOOGLETRANSLATE(C112, ""en"", ""hi"")"),"A) प्रतिद्वंद्वी को डराना, B) अवसर पैदा करना, C) कौशल का प्रदर्शन करना, D) प्रतिद्वंद्वी का संतुलन बिगाड़ना")</f>
        <v>A) प्रतिद्वंद्वी को डराना, B) अवसर पैदा करना, C) कौशल का प्रदर्शन करना, D) प्रतिद्वंद्वी का संतुलन बिगाड़ना</v>
      </c>
      <c r="I112" s="5" t="str">
        <f>IFERROR(__xludf.DUMMYFUNCTION("GOOGLETRANSLATE(D112, ""en"", ""hi"")"),"D) प्रतिद्वंद्वी का संतुलन बिगाड़ना")</f>
        <v>D) प्रतिद्वंद्वी का संतुलन बिगाड़ना</v>
      </c>
    </row>
    <row r="113" ht="22.5" customHeight="1">
      <c r="A113" s="2">
        <v>112.0</v>
      </c>
      <c r="B113" s="3" t="s">
        <v>9430</v>
      </c>
      <c r="C113" s="3" t="s">
        <v>9431</v>
      </c>
      <c r="D113" s="3" t="s">
        <v>9323</v>
      </c>
      <c r="F113" s="5" t="str">
        <f>IFERROR(__xludf.DUMMYFUNCTION("GOOGLETRANSLATE(A113, ""en"", ""hi"")"),"112")</f>
        <v>112</v>
      </c>
      <c r="G113" s="5" t="str">
        <f>IFERROR(__xludf.DUMMYFUNCTION("GOOGLETRANSLATE(B113, ""en"", ""hi"")"),"सिलंबम मैच में, एक अभ्यासकर्ता एक ऐसी तकनीक का उपयोग करता है जिसमें उच्च और निम्न प्रहारों के बीच तेज़ी से स्विच करना शामिल होता है। इस दृष्टिकोण का मुख्य लक्ष्य क्या है?")</f>
        <v>सिलंबम मैच में, एक अभ्यासकर्ता एक ऐसी तकनीक का उपयोग करता है जिसमें उच्च और निम्न प्रहारों के बीच तेज़ी से स्विच करना शामिल होता है। इस दृष्टिकोण का मुख्य लक्ष्य क्या है?</v>
      </c>
      <c r="H113" s="5" t="str">
        <f>IFERROR(__xludf.DUMMYFUNCTION("GOOGLETRANSLATE(C113, ""en"", ""hi"")"),"A) प्रतिद्वंद्वी को भ्रमित करने के लिए, B) कौशल दिखाने के लिए, C) प्रतिद्वंद्वी की रक्षा का परीक्षण करने के लिए, D) शक्ति बढ़ाने के लिए")</f>
        <v>A) प्रतिद्वंद्वी को भ्रमित करने के लिए, B) कौशल दिखाने के लिए, C) प्रतिद्वंद्वी की रक्षा का परीक्षण करने के लिए, D) शक्ति बढ़ाने के लिए</v>
      </c>
      <c r="I113" s="5" t="str">
        <f>IFERROR(__xludf.DUMMYFUNCTION("GOOGLETRANSLATE(D113, ""en"", ""hi"")"),"A) प्रतिद्वंद्वी को भ्रमित करने के लिए")</f>
        <v>A) प्रतिद्वंद्वी को भ्रमित करने के लिए</v>
      </c>
    </row>
    <row r="114" ht="22.5" customHeight="1">
      <c r="A114" s="2">
        <v>113.0</v>
      </c>
      <c r="B114" s="3" t="s">
        <v>9432</v>
      </c>
      <c r="C114" s="3" t="s">
        <v>9433</v>
      </c>
      <c r="D114" s="3" t="s">
        <v>9434</v>
      </c>
      <c r="F114" s="5" t="str">
        <f>IFERROR(__xludf.DUMMYFUNCTION("GOOGLETRANSLATE(A114, ""en"", ""hi"")"),"113")</f>
        <v>113</v>
      </c>
      <c r="G114" s="5" t="str">
        <f>IFERROR(__xludf.DUMMYFUNCTION("GOOGLETRANSLATE(B114, ""en"", ""hi"")"),"एक सिलंबम साधक अपने प्रतिद्वंदी का सामना एक भारी हथियार से करता है। इस बढ़त का मुकाबला करने के लिए उन्हें कौन सी तकनीक अपनानी चाहिए?")</f>
        <v>एक सिलंबम साधक अपने प्रतिद्वंदी का सामना एक भारी हथियार से करता है। इस बढ़त का मुकाबला करने के लिए उन्हें कौन सी तकनीक अपनानी चाहिए?</v>
      </c>
      <c r="H114" s="5" t="str">
        <f>IFERROR(__xludf.DUMMYFUNCTION("GOOGLETRANSLATE(C114, ""en"", ""hi"")"),"A) गति और चपलता, B) पावर स्ट्राइक, C) रक्षात्मक ब्लॉक, D) फाइन्ट")</f>
        <v>A) गति और चपलता, B) पावर स्ट्राइक, C) रक्षात्मक ब्लॉक, D) फाइन्ट</v>
      </c>
      <c r="I114" s="5" t="str">
        <f>IFERROR(__xludf.DUMMYFUNCTION("GOOGLETRANSLATE(D114, ""en"", ""hi"")"),"A) गति और चपलता")</f>
        <v>A) गति और चपलता</v>
      </c>
    </row>
    <row r="115" ht="22.5" customHeight="1">
      <c r="A115" s="2">
        <v>114.0</v>
      </c>
      <c r="B115" s="3" t="s">
        <v>9435</v>
      </c>
      <c r="C115" s="3" t="s">
        <v>9436</v>
      </c>
      <c r="D115" s="3" t="s">
        <v>9437</v>
      </c>
      <c r="F115" s="5" t="str">
        <f>IFERROR(__xludf.DUMMYFUNCTION("GOOGLETRANSLATE(A115, ""en"", ""hi"")"),"114")</f>
        <v>114</v>
      </c>
      <c r="G115" s="5" t="str">
        <f>IFERROR(__xludf.DUMMYFUNCTION("GOOGLETRANSLATE(B115, ""en"", ""hi"")"),"सिलंबम प्रशिक्षण सत्र के दौरान, छात्र कूदना और प्रहार करना जैसी कई गतिविधियों का अभ्यास करते हैं। इन अभ्यासों का मुख्य उद्देश्य क्या है?")</f>
        <v>सिलंबम प्रशिक्षण सत्र के दौरान, छात्र कूदना और प्रहार करना जैसी कई गतिविधियों का अभ्यास करते हैं। इन अभ्यासों का मुख्य उद्देश्य क्या है?</v>
      </c>
      <c r="H115" s="5" t="str">
        <f>IFERROR(__xludf.DUMMYFUNCTION("GOOGLETRANSLATE(C115, ""en"", ""hi"")"),"A) कौशल का प्रदर्शन करने के लिए, B) पहुंच बढ़ाने के लिए, C) चपलता दिखाने के लिए, D) प्रतिद्वंद्वी को भ्रमित करने के लिए")</f>
        <v>A) कौशल का प्रदर्शन करने के लिए, B) पहुंच बढ़ाने के लिए, C) चपलता दिखाने के लिए, D) प्रतिद्वंद्वी को भ्रमित करने के लिए</v>
      </c>
      <c r="I115" s="5" t="str">
        <f>IFERROR(__xludf.DUMMYFUNCTION("GOOGLETRANSLATE(D115, ""en"", ""hi"")"),"बी) पहुंच बढ़ाने के लिए")</f>
        <v>बी) पहुंच बढ़ाने के लिए</v>
      </c>
    </row>
    <row r="116" ht="22.5" customHeight="1">
      <c r="A116" s="2">
        <v>115.0</v>
      </c>
      <c r="B116" s="3" t="s">
        <v>9438</v>
      </c>
      <c r="C116" s="3" t="s">
        <v>9439</v>
      </c>
      <c r="D116" s="3" t="s">
        <v>9326</v>
      </c>
      <c r="F116" s="5" t="str">
        <f>IFERROR(__xludf.DUMMYFUNCTION("GOOGLETRANSLATE(A116, ""en"", ""hi"")"),"115")</f>
        <v>115</v>
      </c>
      <c r="G116" s="5" t="str">
        <f>IFERROR(__xludf.DUMMYFUNCTION("GOOGLETRANSLATE(B116, ""en"", ""hi"")"),"एक अभ्यासी द्वंद्वयुद्ध के दौरान 'कुथु वरिसाई' तकनीक का प्रयोग करता है। यह तकनीक सिलंबम के किस पहलू पर ज़ोर देती है?")</f>
        <v>एक अभ्यासी द्वंद्वयुद्ध के दौरान 'कुथु वरिसाई' तकनीक का प्रयोग करता है। यह तकनीक सिलंबम के किस पहलू पर ज़ोर देती है?</v>
      </c>
      <c r="H116" s="5" t="str">
        <f>IFERROR(__xludf.DUMMYFUNCTION("GOOGLETRANSLATE(C116, ""en"", ""hi"")"),"A) आक्रमण, B) रक्षा, C) लचीलापन, D) संतुलन")</f>
        <v>A) आक्रमण, B) रक्षा, C) लचीलापन, D) संतुलन</v>
      </c>
      <c r="I116" s="5" t="str">
        <f>IFERROR(__xludf.DUMMYFUNCTION("GOOGLETRANSLATE(D116, ""en"", ""hi"")"),"ए) अपराध")</f>
        <v>ए) अपराध</v>
      </c>
    </row>
    <row r="117" ht="22.5" customHeight="1">
      <c r="A117" s="2">
        <v>116.0</v>
      </c>
      <c r="B117" s="3" t="s">
        <v>9440</v>
      </c>
      <c r="C117" s="3" t="s">
        <v>9441</v>
      </c>
      <c r="D117" s="3" t="s">
        <v>9442</v>
      </c>
      <c r="F117" s="5" t="str">
        <f>IFERROR(__xludf.DUMMYFUNCTION("GOOGLETRANSLATE(A117, ""en"", ""hi"")"),"116")</f>
        <v>116</v>
      </c>
      <c r="G117" s="5" t="str">
        <f>IFERROR(__xludf.DUMMYFUNCTION("GOOGLETRANSLATE(B117, ""en"", ""hi"")"),"सिलंबम प्रदर्शन में, अभ्यासकर्ता 'मूल वीसी' गतियों को शामिल करता है। इन गतियों का प्राथमिक उद्देश्य क्या है?")</f>
        <v>सिलंबम प्रदर्शन में, अभ्यासकर्ता 'मूल वीसी' गतियों को शामिल करता है। इन गतियों का प्राथमिक उद्देश्य क्या है?</v>
      </c>
      <c r="H117" s="5" t="str">
        <f>IFERROR(__xludf.DUMMYFUNCTION("GOOGLETRANSLATE(C117, ""en"", ""hi"")"),"A) प्रतिद्वंद्वी को भ्रमित करने के लिए, B) कौशल दिखाने के लिए, C) रक्षात्मक कवच बनाने के लिए, D) चपलता प्रदर्शित करने के लिए")</f>
        <v>A) प्रतिद्वंद्वी को भ्रमित करने के लिए, B) कौशल दिखाने के लिए, C) रक्षात्मक कवच बनाने के लिए, D) चपलता प्रदर्शित करने के लिए</v>
      </c>
      <c r="I117" s="5" t="str">
        <f>IFERROR(__xludf.DUMMYFUNCTION("GOOGLETRANSLATE(D117, ""en"", ""hi"")"),"C) रक्षात्मक ढाल बनाने के लिए")</f>
        <v>C) रक्षात्मक ढाल बनाने के लिए</v>
      </c>
    </row>
    <row r="118" ht="22.5" customHeight="1">
      <c r="A118" s="2">
        <v>117.0</v>
      </c>
      <c r="B118" s="3" t="s">
        <v>9443</v>
      </c>
      <c r="C118" s="3" t="s">
        <v>9444</v>
      </c>
      <c r="D118" s="3" t="s">
        <v>9445</v>
      </c>
      <c r="F118" s="5" t="str">
        <f>IFERROR(__xludf.DUMMYFUNCTION("GOOGLETRANSLATE(A118, ""en"", ""hi"")"),"117")</f>
        <v>117</v>
      </c>
      <c r="G118" s="5" t="str">
        <f>IFERROR(__xludf.DUMMYFUNCTION("GOOGLETRANSLATE(B118, ""en"", ""hi"")"),"सिलंबम अभ्यास के दौरान, एक साधक तेज़ी से नीचे की ओर प्रहारों की एक श्रृंखला का उपयोग करता है। इस युक्ति का अपेक्षित प्रभाव क्या है?")</f>
        <v>सिलंबम अभ्यास के दौरान, एक साधक तेज़ी से नीचे की ओर प्रहारों की एक श्रृंखला का उपयोग करता है। इस युक्ति का अपेक्षित प्रभाव क्या है?</v>
      </c>
      <c r="H118" s="5" t="str">
        <f>IFERROR(__xludf.DUMMYFUNCTION("GOOGLETRANSLATE(C118, ""en"", ""hi"")"),"A) प्रतिद्वंद्वी को परास्त करना, B) कौशल का प्रदर्शन करना, C) शक्ति बढ़ाना, D) अवसर पैदा करना")</f>
        <v>A) प्रतिद्वंद्वी को परास्त करना, B) कौशल का प्रदर्शन करना, C) शक्ति बढ़ाना, D) अवसर पैदा करना</v>
      </c>
      <c r="I118" s="5" t="str">
        <f>IFERROR(__xludf.DUMMYFUNCTION("GOOGLETRANSLATE(D118, ""en"", ""hi"")"),"A) प्रतिद्वंद्वी को परास्त करना")</f>
        <v>A) प्रतिद्वंद्वी को परास्त करना</v>
      </c>
    </row>
    <row r="119" ht="22.5" customHeight="1">
      <c r="A119" s="2">
        <v>118.0</v>
      </c>
      <c r="B119" s="3" t="s">
        <v>9446</v>
      </c>
      <c r="C119" s="3" t="s">
        <v>9447</v>
      </c>
      <c r="D119" s="3" t="s">
        <v>9401</v>
      </c>
      <c r="F119" s="5" t="str">
        <f>IFERROR(__xludf.DUMMYFUNCTION("GOOGLETRANSLATE(A119, ""en"", ""hi"")"),"118")</f>
        <v>118</v>
      </c>
      <c r="G119" s="5" t="str">
        <f>IFERROR(__xludf.DUMMYFUNCTION("GOOGLETRANSLATE(B119, ""en"", ""hi"")"),"सिलंबम साधक एक ऐसी तकनीक का उपयोग करते हैं जिसमें छड़ी को अपने सिर के चारों ओर घुमाया जाता है। इस तकनीक का मुख्य उद्देश्य क्या है?")</f>
        <v>सिलंबम साधक एक ऐसी तकनीक का उपयोग करते हैं जिसमें छड़ी को अपने सिर के चारों ओर घुमाया जाता है। इस तकनीक का मुख्य उद्देश्य क्या है?</v>
      </c>
      <c r="H119" s="5" t="str">
        <f>IFERROR(__xludf.DUMMYFUNCTION("GOOGLETRANSLATE(C119, ""en"", ""hi"")"),"A) प्रतिद्वंद्वी को भ्रमित करने के लिए, B) रक्षात्मक अवरोध उत्पन्न करने के लिए, C) प्रतिद्वंद्वी को डराने के लिए, D) कौशल दिखाने के लिए")</f>
        <v>A) प्रतिद्वंद्वी को भ्रमित करने के लिए, B) रक्षात्मक अवरोध उत्पन्न करने के लिए, C) प्रतिद्वंद्वी को डराने के लिए, D) कौशल दिखाने के लिए</v>
      </c>
      <c r="I119" s="5" t="str">
        <f>IFERROR(__xludf.DUMMYFUNCTION("GOOGLETRANSLATE(D119, ""en"", ""hi"")"),"बी) रक्षात्मक अवरोध बनाने के लिए")</f>
        <v>बी) रक्षात्मक अवरोध बनाने के लिए</v>
      </c>
    </row>
    <row r="120" ht="22.5" customHeight="1">
      <c r="A120" s="2">
        <v>119.0</v>
      </c>
      <c r="B120" s="3" t="s">
        <v>9448</v>
      </c>
      <c r="C120" s="3" t="s">
        <v>9449</v>
      </c>
      <c r="D120" s="3" t="s">
        <v>9450</v>
      </c>
      <c r="F120" s="5" t="str">
        <f>IFERROR(__xludf.DUMMYFUNCTION("GOOGLETRANSLATE(A120, ""en"", ""hi"")"),"119")</f>
        <v>119</v>
      </c>
      <c r="G120" s="5" t="str">
        <f>IFERROR(__xludf.DUMMYFUNCTION("GOOGLETRANSLATE(B120, ""en"", ""hi"")"),"सिलंबम प्रशिक्षण सत्र में, छात्र 'नेदुवादी' तकनीक का अभ्यास करते हैं। इस तकनीक का मुख्य केंद्र क्या है?")</f>
        <v>सिलंबम प्रशिक्षण सत्र में, छात्र 'नेदुवादी' तकनीक का अभ्यास करते हैं। इस तकनीक का मुख्य केंद्र क्या है?</v>
      </c>
      <c r="H120" s="5" t="str">
        <f>IFERROR(__xludf.DUMMYFUNCTION("GOOGLETRANSLATE(C120, ""en"", ""hi"")"),"A) लंबी दूरी के हमले, B) नजदीकी मुकाबला, C) रक्षा, D) बचाव")</f>
        <v>A) लंबी दूरी के हमले, B) नजदीकी मुकाबला, C) रक्षा, D) बचाव</v>
      </c>
      <c r="I120" s="5" t="str">
        <f>IFERROR(__xludf.DUMMYFUNCTION("GOOGLETRANSLATE(D120, ""en"", ""hi"")"),"A) लंबी दूरी के हमले")</f>
        <v>A) लंबी दूरी के हमले</v>
      </c>
    </row>
    <row r="121" ht="22.5" customHeight="1">
      <c r="A121" s="2">
        <v>120.0</v>
      </c>
      <c r="B121" s="3" t="s">
        <v>9451</v>
      </c>
      <c r="C121" s="3" t="s">
        <v>9452</v>
      </c>
      <c r="D121" s="3" t="s">
        <v>9220</v>
      </c>
      <c r="F121" s="5" t="str">
        <f>IFERROR(__xludf.DUMMYFUNCTION("GOOGLETRANSLATE(A121, ""en"", ""hi"")"),"120")</f>
        <v>120</v>
      </c>
      <c r="G121" s="5" t="str">
        <f>IFERROR(__xludf.DUMMYFUNCTION("GOOGLETRANSLATE(B121, ""en"", ""hi"")"),"एक अभ्यासकर्ता सिलंबम चाल का प्रदर्शन कर रहा है जिसमें प्रतिद्वंद्वी के मध्य भाग पर एक व्यापक प्रहार किया जाता है। इस तकनीक का इच्छित प्रभाव क्या है?")</f>
        <v>एक अभ्यासकर्ता सिलंबम चाल का प्रदर्शन कर रहा है जिसमें प्रतिद्वंद्वी के मध्य भाग पर एक व्यापक प्रहार किया जाता है। इस तकनीक का इच्छित प्रभाव क्या है?</v>
      </c>
      <c r="H121" s="5" t="str">
        <f>IFERROR(__xludf.DUMMYFUNCTION("GOOGLETRANSLATE(C121, ""en"", ""hi"")"),"A) प्रतिद्वंद्वी का संतुलन बिगाड़ना, B) कौशल का प्रदर्शन करना, C) अवसर पैदा करना, D) प्रतिद्वंद्वी को भ्रमित करना")</f>
        <v>A) प्रतिद्वंद्वी का संतुलन बिगाड़ना, B) कौशल का प्रदर्शन करना, C) अवसर पैदा करना, D) प्रतिद्वंद्वी को भ्रमित करना</v>
      </c>
      <c r="I121" s="5" t="str">
        <f>IFERROR(__xludf.DUMMYFUNCTION("GOOGLETRANSLATE(D121, ""en"", ""hi"")"),"A) प्रतिद्वंद्वी का संतुलन बिगाड़ना")</f>
        <v>A) प्रतिद्वंद्वी का संतुलन बिगाड़ना</v>
      </c>
    </row>
    <row r="122" ht="22.5" customHeight="1">
      <c r="A122" s="2">
        <v>121.0</v>
      </c>
      <c r="B122" s="3" t="s">
        <v>9453</v>
      </c>
      <c r="C122" s="3" t="s">
        <v>9444</v>
      </c>
      <c r="D122" s="3" t="s">
        <v>9445</v>
      </c>
      <c r="F122" s="5" t="str">
        <f>IFERROR(__xludf.DUMMYFUNCTION("GOOGLETRANSLATE(A122, ""en"", ""hi"")"),"121")</f>
        <v>121</v>
      </c>
      <c r="G122" s="5" t="str">
        <f>IFERROR(__xludf.DUMMYFUNCTION("GOOGLETRANSLATE(B122, ""en"", ""hi"")"),"सिलंबम अभ्यास के दौरान, एक साधक ऊपर की ओर तेज़ी से प्रहार करता है। इस क्रम का मुख्य लक्ष्य क्या है?")</f>
        <v>सिलंबम अभ्यास के दौरान, एक साधक ऊपर की ओर तेज़ी से प्रहार करता है। इस क्रम का मुख्य लक्ष्य क्या है?</v>
      </c>
      <c r="H122" s="5" t="str">
        <f>IFERROR(__xludf.DUMMYFUNCTION("GOOGLETRANSLATE(C122, ""en"", ""hi"")"),"A) प्रतिद्वंद्वी को परास्त करना, B) कौशल का प्रदर्शन करना, C) शक्ति बढ़ाना, D) अवसर पैदा करना")</f>
        <v>A) प्रतिद्वंद्वी को परास्त करना, B) कौशल का प्रदर्शन करना, C) शक्ति बढ़ाना, D) अवसर पैदा करना</v>
      </c>
      <c r="I122" s="5" t="str">
        <f>IFERROR(__xludf.DUMMYFUNCTION("GOOGLETRANSLATE(D122, ""en"", ""hi"")"),"A) प्रतिद्वंद्वी को परास्त करना")</f>
        <v>A) प्रतिद्वंद्वी को परास्त करना</v>
      </c>
    </row>
    <row r="123" ht="22.5" customHeight="1">
      <c r="A123" s="2">
        <v>122.0</v>
      </c>
      <c r="B123" s="3" t="s">
        <v>9454</v>
      </c>
      <c r="C123" s="3" t="s">
        <v>9455</v>
      </c>
      <c r="D123" s="3" t="s">
        <v>9456</v>
      </c>
      <c r="F123" s="5" t="str">
        <f>IFERROR(__xludf.DUMMYFUNCTION("GOOGLETRANSLATE(A123, ""en"", ""hi"")"),"122")</f>
        <v>122</v>
      </c>
      <c r="G123" s="5" t="str">
        <f>IFERROR(__xludf.DUMMYFUNCTION("GOOGLETRANSLATE(B123, ""en"", ""hi"")"),"सिलंबम प्रदर्शन में, साधक 'ओडु कंबु' तकनीक का उपयोग करता है। वे मुख्यतः किस कौशल पर ध्यान केंद्रित करते हैं?")</f>
        <v>सिलंबम प्रदर्शन में, साधक 'ओडु कंबु' तकनीक का उपयोग करता है। वे मुख्यतः किस कौशल पर ध्यान केंद्रित करते हैं?</v>
      </c>
      <c r="H123" s="5" t="str">
        <f>IFERROR(__xludf.DUMMYFUNCTION("GOOGLETRANSLATE(C123, ""en"", ""hi"")"),"A) परिहार, B) रक्षा, C) आक्रमण, D) संतुलन")</f>
        <v>A) परिहार, B) रक्षा, C) आक्रमण, D) संतुलन</v>
      </c>
      <c r="I123" s="5" t="str">
        <f>IFERROR(__xludf.DUMMYFUNCTION("GOOGLETRANSLATE(D123, ""en"", ""hi"")"),"ए) चोरी")</f>
        <v>ए) चोरी</v>
      </c>
    </row>
    <row r="124" ht="22.5" customHeight="1">
      <c r="A124" s="2">
        <v>123.0</v>
      </c>
      <c r="B124" s="3" t="s">
        <v>9457</v>
      </c>
      <c r="C124" s="3" t="s">
        <v>9458</v>
      </c>
      <c r="D124" s="3" t="s">
        <v>9429</v>
      </c>
      <c r="F124" s="5" t="str">
        <f>IFERROR(__xludf.DUMMYFUNCTION("GOOGLETRANSLATE(A124, ""en"", ""hi"")"),"123")</f>
        <v>123</v>
      </c>
      <c r="G124" s="5" t="str">
        <f>IFERROR(__xludf.DUMMYFUNCTION("GOOGLETRANSLATE(B124, ""en"", ""hi"")"),"सिलंबम साधक एक ऐसी तकनीक का प्रयोग करता है जिसमें तेज़, नीचे की ओर प्रहार के बाद ऊपर की ओर झटका दिया जाता है। इस संयोजन का अपेक्षित प्रभाव क्या है?")</f>
        <v>सिलंबम साधक एक ऐसी तकनीक का प्रयोग करता है जिसमें तेज़, नीचे की ओर प्रहार के बाद ऊपर की ओर झटका दिया जाता है। इस संयोजन का अपेक्षित प्रभाव क्या है?</v>
      </c>
      <c r="H124" s="5" t="str">
        <f>IFERROR(__xludf.DUMMYFUNCTION("GOOGLETRANSLATE(C124, ""en"", ""hi"")"),"A) अवसर पैदा करना, B) प्रतिद्वंद्वी को भ्रमित करना, C) कौशल का प्रदर्शन करना, D) प्रतिद्वंद्वी का संतुलन बिगाड़ना")</f>
        <v>A) अवसर पैदा करना, B) प्रतिद्वंद्वी को भ्रमित करना, C) कौशल का प्रदर्शन करना, D) प्रतिद्वंद्वी का संतुलन बिगाड़ना</v>
      </c>
      <c r="I124" s="5" t="str">
        <f>IFERROR(__xludf.DUMMYFUNCTION("GOOGLETRANSLATE(D124, ""en"", ""hi"")"),"D) प्रतिद्वंद्वी का संतुलन बिगाड़ना")</f>
        <v>D) प्रतिद्वंद्वी का संतुलन बिगाड़ना</v>
      </c>
    </row>
    <row r="125" ht="22.5" customHeight="1">
      <c r="A125" s="2">
        <v>124.0</v>
      </c>
      <c r="B125" s="3" t="s">
        <v>9459</v>
      </c>
      <c r="C125" s="3" t="s">
        <v>9460</v>
      </c>
      <c r="D125" s="3" t="s">
        <v>9461</v>
      </c>
      <c r="F125" s="5" t="str">
        <f>IFERROR(__xludf.DUMMYFUNCTION("GOOGLETRANSLATE(A125, ""en"", ""hi"")"),"124")</f>
        <v>124</v>
      </c>
      <c r="G125" s="5" t="str">
        <f>IFERROR(__xludf.DUMMYFUNCTION("GOOGLETRANSLATE(B125, ""en"", ""hi"")"),"सिलंबम स्पैरिंग मैच के दौरान, एक अभ्यासकर्ता प्रतिद्वंद्वी को गुमराह करने के लिए कई तरह के छल-कपट का इस्तेमाल करता है। इस रणनीति का मुख्य लक्ष्य क्या है?")</f>
        <v>सिलंबम स्पैरिंग मैच के दौरान, एक अभ्यासकर्ता प्रतिद्वंद्वी को गुमराह करने के लिए कई तरह के छल-कपट का इस्तेमाल करता है। इस रणनीति का मुख्य लक्ष्य क्या है?</v>
      </c>
      <c r="H125" s="5" t="str">
        <f>IFERROR(__xludf.DUMMYFUNCTION("GOOGLETRANSLATE(C125, ""en"", ""hi"")"),"A) अवसर पैदा करना, B) प्रतिद्वंद्वी को डराना, C) प्रहार शक्ति बढ़ाना, D) कौशल प्रदर्शित करना")</f>
        <v>A) अवसर पैदा करना, B) प्रतिद्वंद्वी को डराना, C) प्रहार शक्ति बढ़ाना, D) कौशल प्रदर्शित करना</v>
      </c>
      <c r="I125" s="5" t="str">
        <f>IFERROR(__xludf.DUMMYFUNCTION("GOOGLETRANSLATE(D125, ""en"", ""hi"")"),"A) एक उद्घाटन बनाने के लिए")</f>
        <v>A) एक उद्घाटन बनाने के लिए</v>
      </c>
    </row>
    <row r="126" ht="22.5" customHeight="1">
      <c r="A126" s="2">
        <v>125.0</v>
      </c>
      <c r="B126" s="3" t="s">
        <v>9462</v>
      </c>
      <c r="C126" s="3" t="s">
        <v>9463</v>
      </c>
      <c r="D126" s="3" t="s">
        <v>9464</v>
      </c>
      <c r="F126" s="5" t="str">
        <f>IFERROR(__xludf.DUMMYFUNCTION("GOOGLETRANSLATE(A126, ""en"", ""hi"")"),"125")</f>
        <v>125</v>
      </c>
      <c r="G126" s="5" t="str">
        <f>IFERROR(__xludf.DUMMYFUNCTION("GOOGLETRANSLATE(B126, ""en"", ""hi"")"),"सिलंबम प्रशिक्षण सत्र में, छात्र अपने शरीर के चारों ओर छड़ी घुमाने जैसी गतिविधियों का अभ्यास करते हैं। इन अभ्यासों का मुख्य उद्देश्य क्या है?")</f>
        <v>सिलंबम प्रशिक्षण सत्र में, छात्र अपने शरीर के चारों ओर छड़ी घुमाने जैसी गतिविधियों का अभ्यास करते हैं। इन अभ्यासों का मुख्य उद्देश्य क्या है?</v>
      </c>
      <c r="H126" s="5" t="str">
        <f>IFERROR(__xludf.DUMMYFUNCTION("GOOGLETRANSLATE(C126, ""en"", ""hi"")"),"A) रक्षात्मक अवरोध बनाने के लिए, B) कौशल दिखाने के लिए, C) चपलता बढ़ाने के लिए, D) लचीलेपन में सुधार करने के लिए")</f>
        <v>A) रक्षात्मक अवरोध बनाने के लिए, B) कौशल दिखाने के लिए, C) चपलता बढ़ाने के लिए, D) लचीलेपन में सुधार करने के लिए</v>
      </c>
      <c r="I126" s="5" t="str">
        <f>IFERROR(__xludf.DUMMYFUNCTION("GOOGLETRANSLATE(D126, ""en"", ""hi"")"),"A) रक्षात्मक अवरोध बनाने के लिए")</f>
        <v>A) रक्षात्मक अवरोध बनाने के लिए</v>
      </c>
    </row>
    <row r="127" ht="22.5" customHeight="1">
      <c r="A127" s="2">
        <v>126.0</v>
      </c>
      <c r="B127" s="3" t="s">
        <v>9465</v>
      </c>
      <c r="C127" s="3" t="s">
        <v>9466</v>
      </c>
      <c r="D127" s="3" t="s">
        <v>9355</v>
      </c>
      <c r="F127" s="5" t="str">
        <f>IFERROR(__xludf.DUMMYFUNCTION("GOOGLETRANSLATE(A127, ""en"", ""hi"")"),"126")</f>
        <v>126</v>
      </c>
      <c r="G127" s="5" t="str">
        <f>IFERROR(__xludf.DUMMYFUNCTION("GOOGLETRANSLATE(B127, ""en"", ""hi"")"),"एक सिलंबम साधक मैच के दौरान 'वझिवु' तकनीक का उपयोग करता है। इस तकनीक का प्राथमिक उद्देश्य क्या है?")</f>
        <v>एक सिलंबम साधक मैच के दौरान 'वझिवु' तकनीक का उपयोग करता है। इस तकनीक का प्राथमिक उद्देश्य क्या है?</v>
      </c>
      <c r="H127" s="5" t="str">
        <f>IFERROR(__xludf.DUMMYFUNCTION("GOOGLETRANSLATE(C127, ""en"", ""hi"")"),"A) दूरी कम करने के लिए, B) ध्यान भटकाने के लिए, C) प्रहारों से बचाव के लिए, D) शक्ति बढ़ाने के लिए")</f>
        <v>A) दूरी कम करने के लिए, B) ध्यान भटकाने के लिए, C) प्रहारों से बचाव के लिए, D) शक्ति बढ़ाने के लिए</v>
      </c>
      <c r="I127" s="5" t="str">
        <f>IFERROR(__xludf.DUMMYFUNCTION("GOOGLETRANSLATE(D127, ""en"", ""hi"")"),"A) दूरी कम करने के लिए")</f>
        <v>A) दूरी कम करने के लिए</v>
      </c>
    </row>
    <row r="128" ht="22.5" customHeight="1">
      <c r="A128" s="2">
        <v>127.0</v>
      </c>
      <c r="B128" s="3" t="s">
        <v>9467</v>
      </c>
      <c r="C128" s="3" t="s">
        <v>9468</v>
      </c>
      <c r="D128" s="3" t="s">
        <v>9469</v>
      </c>
      <c r="F128" s="5" t="str">
        <f>IFERROR(__xludf.DUMMYFUNCTION("GOOGLETRANSLATE(A128, ""en"", ""hi"")"),"127")</f>
        <v>127</v>
      </c>
      <c r="G128" s="5" t="str">
        <f>IFERROR(__xludf.DUMMYFUNCTION("GOOGLETRANSLATE(B128, ""en"", ""hi"")"),"सिलंबम अभ्यास सत्र के दौरान, साधक तीव्र, तिरछे प्रहारों की एक श्रृंखला करता है। इस तकनीक का प्राथमिक उद्देश्य क्या है?")</f>
        <v>सिलंबम अभ्यास सत्र के दौरान, साधक तीव्र, तिरछे प्रहारों की एक श्रृंखला करता है। इस तकनीक का प्राथमिक उद्देश्य क्या है?</v>
      </c>
      <c r="H128" s="5" t="str">
        <f>IFERROR(__xludf.DUMMYFUNCTION("GOOGLETRANSLATE(C128, ""en"", ""hi"")"),"A) प्रतिद्वंद्वी की रक्षा को भेदना, B) कौशल दिखाना, C) गति प्रदर्शित करना, D) ध्यान भंग करना")</f>
        <v>A) प्रतिद्वंद्वी की रक्षा को भेदना, B) कौशल दिखाना, C) गति प्रदर्शित करना, D) ध्यान भंग करना</v>
      </c>
      <c r="I128" s="5" t="str">
        <f>IFERROR(__xludf.DUMMYFUNCTION("GOOGLETRANSLATE(D128, ""en"", ""hi"")"),"A) प्रतिद्वंद्वी की रक्षा को भेदना")</f>
        <v>A) प्रतिद्वंद्वी की रक्षा को भेदना</v>
      </c>
    </row>
    <row r="129" ht="22.5" customHeight="1">
      <c r="A129" s="2">
        <v>128.0</v>
      </c>
      <c r="B129" s="3" t="s">
        <v>9470</v>
      </c>
      <c r="C129" s="3" t="s">
        <v>9471</v>
      </c>
      <c r="D129" s="3" t="s">
        <v>9164</v>
      </c>
      <c r="F129" s="5" t="str">
        <f>IFERROR(__xludf.DUMMYFUNCTION("GOOGLETRANSLATE(A129, ""en"", ""hi"")"),"128")</f>
        <v>128</v>
      </c>
      <c r="G129" s="5" t="str">
        <f>IFERROR(__xludf.DUMMYFUNCTION("GOOGLETRANSLATE(B129, ""en"", ""hi"")"),"एक सिलंबम छात्र 'कुंडम' मुद्रा सीख रहा है। इस तकनीक का मुख्य केंद्र क्या है?")</f>
        <v>एक सिलंबम छात्र 'कुंडम' मुद्रा सीख रहा है। इस तकनीक का मुख्य केंद्र क्या है?</v>
      </c>
      <c r="H129" s="5" t="str">
        <f>IFERROR(__xludf.DUMMYFUNCTION("GOOGLETRANSLATE(C129, ""en"", ""hi"")"),"A) आक्रमण, B) रक्षा, C) बचाव, D) संतुलन")</f>
        <v>A) आक्रमण, B) रक्षा, C) बचाव, D) संतुलन</v>
      </c>
      <c r="I129" s="5" t="str">
        <f>IFERROR(__xludf.DUMMYFUNCTION("GOOGLETRANSLATE(D129, ""en"", ""hi"")"),"बी) रक्षा")</f>
        <v>बी) रक्षा</v>
      </c>
    </row>
    <row r="130" ht="22.5" customHeight="1">
      <c r="A130" s="2">
        <v>129.0</v>
      </c>
      <c r="B130" s="3" t="s">
        <v>9472</v>
      </c>
      <c r="C130" s="3" t="s">
        <v>9473</v>
      </c>
      <c r="D130" s="3" t="s">
        <v>9311</v>
      </c>
      <c r="F130" s="5" t="str">
        <f>IFERROR(__xludf.DUMMYFUNCTION("GOOGLETRANSLATE(A130, ""en"", ""hi"")"),"129")</f>
        <v>129</v>
      </c>
      <c r="G130" s="5" t="str">
        <f>IFERROR(__xludf.DUMMYFUNCTION("GOOGLETRANSLATE(B130, ""en"", ""hi"")"),"सिलंबम प्रदर्शन में, अभ्यासी पहले तेज़ गति से घूमता है और फिर नीचे की ओर घुमाता है। इस संयोजन का अपेक्षित प्रभाव क्या है?")</f>
        <v>सिलंबम प्रदर्शन में, अभ्यासी पहले तेज़ गति से घूमता है और फिर नीचे की ओर घुमाता है। इस संयोजन का अपेक्षित प्रभाव क्या है?</v>
      </c>
      <c r="H130" s="5" t="str">
        <f>IFERROR(__xludf.DUMMYFUNCTION("GOOGLETRANSLATE(C130, ""en"", ""hi"")"),"A) प्रतिद्वंद्वी को भ्रमित करने के लिए, B) प्रतिद्वंद्वी का संतुलन बिगाड़ने के लिए, C) कौशल दिखाने के लिए, D) रक्षात्मक अवरोध पैदा करने के लिए")</f>
        <v>A) प्रतिद्वंद्वी को भ्रमित करने के लिए, B) प्रतिद्वंद्वी का संतुलन बिगाड़ने के लिए, C) कौशल दिखाने के लिए, D) रक्षात्मक अवरोध पैदा करने के लिए</v>
      </c>
      <c r="I130" s="5" t="str">
        <f>IFERROR(__xludf.DUMMYFUNCTION("GOOGLETRANSLATE(D130, ""en"", ""hi"")"),"बी) प्रतिद्वंद्वी का संतुलन बिगाड़ना")</f>
        <v>बी) प्रतिद्वंद्वी का संतुलन बिगाड़ना</v>
      </c>
    </row>
    <row r="131" ht="22.5" customHeight="1">
      <c r="A131" s="2">
        <v>130.0</v>
      </c>
      <c r="B131" s="3" t="s">
        <v>9474</v>
      </c>
      <c r="C131" s="3" t="s">
        <v>9475</v>
      </c>
      <c r="D131" s="3" t="s">
        <v>9376</v>
      </c>
      <c r="F131" s="5" t="str">
        <f>IFERROR(__xludf.DUMMYFUNCTION("GOOGLETRANSLATE(A131, ""en"", ""hi"")"),"130")</f>
        <v>130</v>
      </c>
      <c r="G131" s="5" t="str">
        <f>IFERROR(__xludf.DUMMYFUNCTION("GOOGLETRANSLATE(B131, ""en"", ""hi"")"),"सिलंबम अभ्यास के दौरान, अभ्यासकर्ता एक शक्तिशाली आगे की ओर प्रहार करने से पहले एक त्वरित छल का प्रयोग करता है। इस युद्धाभ्यास का मुख्य उद्देश्य क्या है?")</f>
        <v>सिलंबम अभ्यास के दौरान, अभ्यासकर्ता एक शक्तिशाली आगे की ओर प्रहार करने से पहले एक त्वरित छल का प्रयोग करता है। इस युद्धाभ्यास का मुख्य उद्देश्य क्या है?</v>
      </c>
      <c r="H131" s="5" t="str">
        <f>IFERROR(__xludf.DUMMYFUNCTION("GOOGLETRANSLATE(C131, ""en"", ""hi"")"),"A) चपलता प्रदर्शित करने के लिए, B) अवसर पैदा करने के लिए, C) प्रतिद्वंद्वी का ध्यान भटकाने के लिए, D) शक्ति बढ़ाने के लिए")</f>
        <v>A) चपलता प्रदर्शित करने के लिए, B) अवसर पैदा करने के लिए, C) प्रतिद्वंद्वी का ध्यान भटकाने के लिए, D) शक्ति बढ़ाने के लिए</v>
      </c>
      <c r="I131" s="5" t="str">
        <f>IFERROR(__xludf.DUMMYFUNCTION("GOOGLETRANSLATE(D131, ""en"", ""hi"")"),"बी) एक उद्घाटन बनाने के लिए")</f>
        <v>बी) एक उद्घाटन बनाने के लिए</v>
      </c>
    </row>
    <row r="132" ht="22.5" customHeight="1">
      <c r="A132" s="2">
        <v>131.0</v>
      </c>
      <c r="B132" s="3" t="s">
        <v>9476</v>
      </c>
      <c r="C132" s="3" t="s">
        <v>9477</v>
      </c>
      <c r="D132" s="3" t="s">
        <v>9417</v>
      </c>
      <c r="F132" s="5" t="str">
        <f>IFERROR(__xludf.DUMMYFUNCTION("GOOGLETRANSLATE(A132, ""en"", ""hi"")"),"131")</f>
        <v>131</v>
      </c>
      <c r="G132" s="5" t="str">
        <f>IFERROR(__xludf.DUMMYFUNCTION("GOOGLETRANSLATE(B132, ""en"", ""hi"")"),"एक सिलंबम साधक युद्धाभ्यास के दौरान 'अझुक्कु नादई' तकनीक का प्रयोग करता है। इस क्रिया का उद्देश्य क्या है?")</f>
        <v>एक सिलंबम साधक युद्धाभ्यास के दौरान 'अझुक्कु नादई' तकनीक का प्रयोग करता है। इस क्रिया का उद्देश्य क्या है?</v>
      </c>
      <c r="H132" s="5" t="str">
        <f>IFERROR(__xludf.DUMMYFUNCTION("GOOGLETRANSLATE(C132, ""en"", ""hi"")"),"A) हमलों से बचने के लिए, B) संतुलन बनाए रखने के लिए, C) प्रतिद्वंद्वी को भ्रमित करने के लिए, D) गति बढ़ाने के लिए")</f>
        <v>A) हमलों से बचने के लिए, B) संतुलन बनाए रखने के लिए, C) प्रतिद्वंद्वी को भ्रमित करने के लिए, D) गति बढ़ाने के लिए</v>
      </c>
      <c r="I132" s="5" t="str">
        <f>IFERROR(__xludf.DUMMYFUNCTION("GOOGLETRANSLATE(D132, ""en"", ""hi"")"),"A) हमलों से बचने के लिए")</f>
        <v>A) हमलों से बचने के लिए</v>
      </c>
    </row>
    <row r="133" ht="22.5" customHeight="1">
      <c r="A133" s="2">
        <v>132.0</v>
      </c>
      <c r="B133" s="3" t="s">
        <v>9478</v>
      </c>
      <c r="C133" s="3" t="s">
        <v>9479</v>
      </c>
      <c r="D133" s="3" t="s">
        <v>9480</v>
      </c>
      <c r="F133" s="5" t="str">
        <f>IFERROR(__xludf.DUMMYFUNCTION("GOOGLETRANSLATE(A133, ""en"", ""hi"")"),"132")</f>
        <v>132</v>
      </c>
      <c r="G133" s="5" t="str">
        <f>IFERROR(__xludf.DUMMYFUNCTION("GOOGLETRANSLATE(B133, ""en"", ""hi"")"),"सिलंबम में, एक साधक 'सूथु वीचु' तकनीक का अभ्यास कर रहा है। इस तकनीक का मुख्य केंद्र क्या है?")</f>
        <v>सिलंबम में, एक साधक 'सूथु वीचु' तकनीक का अभ्यास कर रहा है। इस तकनीक का मुख्य केंद्र क्या है?</v>
      </c>
      <c r="H133" s="5" t="str">
        <f>IFERROR(__xludf.DUMMYFUNCTION("GOOGLETRANSLATE(C133, ""en"", ""hi"")"),"A) आक्रामक हमले, B) रक्षात्मक युद्धाभ्यास, C) कर्मचारियों को घुमाना, D) पहुंच बढ़ाना")</f>
        <v>A) आक्रामक हमले, B) रक्षात्मक युद्धाभ्यास, C) कर्मचारियों को घुमाना, D) पहुंच बढ़ाना</v>
      </c>
      <c r="I133" s="5" t="str">
        <f>IFERROR(__xludf.DUMMYFUNCTION("GOOGLETRANSLATE(D133, ""en"", ""hi"")"),"C) कर्मचारियों को घुमाना")</f>
        <v>C) कर्मचारियों को घुमाना</v>
      </c>
    </row>
    <row r="134" ht="22.5" customHeight="1">
      <c r="A134" s="2">
        <v>133.0</v>
      </c>
      <c r="B134" s="3" t="s">
        <v>9481</v>
      </c>
      <c r="C134" s="3" t="s">
        <v>9482</v>
      </c>
      <c r="D134" s="3" t="s">
        <v>9483</v>
      </c>
      <c r="F134" s="5" t="str">
        <f>IFERROR(__xludf.DUMMYFUNCTION("GOOGLETRANSLATE(A134, ""en"", ""hi"")"),"133")</f>
        <v>133</v>
      </c>
      <c r="G134" s="5" t="str">
        <f>IFERROR(__xludf.DUMMYFUNCTION("GOOGLETRANSLATE(B134, ""en"", ""hi"")"),"सिलंबम मैच के दौरान, एक अभ्यासकर्ता प्रतिद्वंद्वी के निचले शरीर पर तेज़ी से कई प्रहार करता है। इस रणनीति का इच्छित लक्ष्य क्या है?")</f>
        <v>सिलंबम मैच के दौरान, एक अभ्यासकर्ता प्रतिद्वंद्वी के निचले शरीर पर तेज़ी से कई प्रहार करता है। इस रणनीति का इच्छित लक्ष्य क्या है?</v>
      </c>
      <c r="H134" s="5" t="str">
        <f>IFERROR(__xludf.DUMMYFUNCTION("GOOGLETRANSLATE(C134, ""en"", ""hi"")"),"A) प्रतिद्वंद्वी का ध्यान भटकाने के लिए, B) प्रतिद्वंद्वी के रुख को कमजोर करने के लिए, C) गति बढ़ाने के लिए, D) कौशल का प्रदर्शन करने के लिए")</f>
        <v>A) प्रतिद्वंद्वी का ध्यान भटकाने के लिए, B) प्रतिद्वंद्वी के रुख को कमजोर करने के लिए, C) गति बढ़ाने के लिए, D) कौशल का प्रदर्शन करने के लिए</v>
      </c>
      <c r="I134" s="5" t="str">
        <f>IFERROR(__xludf.DUMMYFUNCTION("GOOGLETRANSLATE(D134, ""en"", ""hi"")"),"बी) प्रतिद्वंद्वी के रुख को कमजोर करने के लिए")</f>
        <v>बी) प्रतिद्वंद्वी के रुख को कमजोर करने के लिए</v>
      </c>
    </row>
    <row r="135" ht="22.5" customHeight="1">
      <c r="A135" s="2">
        <v>134.0</v>
      </c>
      <c r="B135" s="3" t="s">
        <v>9484</v>
      </c>
      <c r="C135" s="3" t="s">
        <v>9485</v>
      </c>
      <c r="D135" s="3" t="s">
        <v>9486</v>
      </c>
      <c r="F135" s="5" t="str">
        <f>IFERROR(__xludf.DUMMYFUNCTION("GOOGLETRANSLATE(A135, ""en"", ""hi"")"),"134")</f>
        <v>134</v>
      </c>
      <c r="G135" s="5" t="str">
        <f>IFERROR(__xludf.DUMMYFUNCTION("GOOGLETRANSLATE(B135, ""en"", ""hi"")"),"एक अभ्यासी सिलंबम चाल का प्रदर्शन कर रहा है जिसमें प्रहार करते समय अचानक पीछे की ओर घूमना शामिल है। इस चाल का मुख्य उद्देश्य क्या है?")</f>
        <v>एक अभ्यासी सिलंबम चाल का प्रदर्शन कर रहा है जिसमें प्रहार करते समय अचानक पीछे की ओर घूमना शामिल है। इस चाल का मुख्य उद्देश्य क्या है?</v>
      </c>
      <c r="H135" s="5" t="str">
        <f>IFERROR(__xludf.DUMMYFUNCTION("GOOGLETRANSLATE(C135, ""en"", ""hi"")"),"A) हमले से बचने के लिए, B) प्रतिद्वंद्वी को भ्रमित करने के लिए, C) कौशल दिखाने के लिए, D) शक्ति बढ़ाने के लिए")</f>
        <v>A) हमले से बचने के लिए, B) प्रतिद्वंद्वी को भ्रमित करने के लिए, C) कौशल दिखाने के लिए, D) शक्ति बढ़ाने के लिए</v>
      </c>
      <c r="I135" s="5" t="str">
        <f>IFERROR(__xludf.DUMMYFUNCTION("GOOGLETRANSLATE(D135, ""en"", ""hi"")"),"A) हमले से बचने के लिए")</f>
        <v>A) हमले से बचने के लिए</v>
      </c>
    </row>
    <row r="136" ht="22.5" customHeight="1">
      <c r="A136" s="2">
        <v>135.0</v>
      </c>
      <c r="B136" s="3" t="s">
        <v>9487</v>
      </c>
      <c r="C136" s="3" t="s">
        <v>9488</v>
      </c>
      <c r="D136" s="3" t="s">
        <v>9489</v>
      </c>
      <c r="F136" s="5" t="str">
        <f>IFERROR(__xludf.DUMMYFUNCTION("GOOGLETRANSLATE(A136, ""en"", ""hi"")"),"135")</f>
        <v>135</v>
      </c>
      <c r="G136" s="5" t="str">
        <f>IFERROR(__xludf.DUMMYFUNCTION("GOOGLETRANSLATE(B136, ""en"", ""hi"")"),"सिलंबम में 'थोडू वीचू' तकनीक का प्राथमिक लक्ष्य क्या है?")</f>
        <v>सिलंबम में 'थोडू वीचू' तकनीक का प्राथमिक लक्ष्य क्या है?</v>
      </c>
      <c r="H136" s="5" t="str">
        <f>IFERROR(__xludf.DUMMYFUNCTION("GOOGLETRANSLATE(C136, ""en"", ""hi"")"),"A) सीधा प्रहार करना, B) प्रतिद्वंद्वी को भ्रमित करना, C) बचाव करना, D) दूरी बनाना")</f>
        <v>A) सीधा प्रहार करना, B) प्रतिद्वंद्वी को भ्रमित करना, C) बचाव करना, D) दूरी बनाना</v>
      </c>
      <c r="I136" s="5" t="str">
        <f>IFERROR(__xludf.DUMMYFUNCTION("GOOGLETRANSLATE(D136, ""en"", ""hi"")"),"A) सीधा प्रहार करना")</f>
        <v>A) सीधा प्रहार करना</v>
      </c>
    </row>
    <row r="137" ht="22.5" customHeight="1">
      <c r="A137" s="2">
        <v>136.0</v>
      </c>
      <c r="B137" s="3" t="s">
        <v>9490</v>
      </c>
      <c r="C137" s="3" t="s">
        <v>9491</v>
      </c>
      <c r="D137" s="3" t="s">
        <v>9445</v>
      </c>
      <c r="F137" s="5" t="str">
        <f>IFERROR(__xludf.DUMMYFUNCTION("GOOGLETRANSLATE(A137, ""en"", ""hi"")"),"136")</f>
        <v>136</v>
      </c>
      <c r="G137" s="5" t="str">
        <f>IFERROR(__xludf.DUMMYFUNCTION("GOOGLETRANSLATE(B137, ""en"", ""hi"")"),"सिलंबम प्रदर्शन के दौरान, अभ्यासकर्ता एक ऐसी मुद्रा का प्रयोग करता है जिसमें एक तेज़ नीचे की ओर प्रहार के बाद तुरंत ऊपर की ओर प्रहार होता है। इस संयोजन का प्राथमिक लक्ष्य क्या है?")</f>
        <v>सिलंबम प्रदर्शन के दौरान, अभ्यासकर्ता एक ऐसी मुद्रा का प्रयोग करता है जिसमें एक तेज़ नीचे की ओर प्रहार के बाद तुरंत ऊपर की ओर प्रहार होता है। इस संयोजन का प्राथमिक लक्ष्य क्या है?</v>
      </c>
      <c r="H137" s="5" t="str">
        <f>IFERROR(__xludf.DUMMYFUNCTION("GOOGLETRANSLATE(C137, ""en"", ""hi"")"),"A) प्रतिद्वंद्वी को परास्त करना, B) रक्षात्मक अवरोध उत्पन्न करना, C) शक्ति बढ़ाना, D) कौशल प्रदर्शित करना")</f>
        <v>A) प्रतिद्वंद्वी को परास्त करना, B) रक्षात्मक अवरोध उत्पन्न करना, C) शक्ति बढ़ाना, D) कौशल प्रदर्शित करना</v>
      </c>
      <c r="I137" s="5" t="str">
        <f>IFERROR(__xludf.DUMMYFUNCTION("GOOGLETRANSLATE(D137, ""en"", ""hi"")"),"A) प्रतिद्वंद्वी को परास्त करना")</f>
        <v>A) प्रतिद्वंद्वी को परास्त करना</v>
      </c>
    </row>
    <row r="138" ht="22.5" customHeight="1">
      <c r="A138" s="2">
        <v>137.0</v>
      </c>
      <c r="B138" s="3" t="s">
        <v>9492</v>
      </c>
      <c r="C138" s="3" t="s">
        <v>9493</v>
      </c>
      <c r="D138" s="3" t="s">
        <v>9494</v>
      </c>
      <c r="F138" s="5" t="str">
        <f>IFERROR(__xludf.DUMMYFUNCTION("GOOGLETRANSLATE(A138, ""en"", ""hi"")"),"137")</f>
        <v>137</v>
      </c>
      <c r="G138" s="5" t="str">
        <f>IFERROR(__xludf.DUMMYFUNCTION("GOOGLETRANSLATE(B138, ""en"", ""hi"")"),"एक सिलंबम छात्र एक ऐसी तकनीक का अभ्यास कर रहा है जिसमें प्रहार करते समय एक तरफ हटना शामिल है। इस गति का उद्देश्य क्या है?")</f>
        <v>एक सिलंबम छात्र एक ऐसी तकनीक का अभ्यास कर रहा है जिसमें प्रहार करते समय एक तरफ हटना शामिल है। इस गति का उद्देश्य क्या है?</v>
      </c>
      <c r="H138" s="5" t="str">
        <f>IFERROR(__xludf.DUMMYFUNCTION("GOOGLETRANSLATE(C138, ""en"", ""hi"")"),"A) प्रतिद्वंद्वी को भ्रमित करने के लिए, B) हमले से बचने के लिए, C) चपलता दिखाने के लिए, D) शक्ति बढ़ाने के लिए")</f>
        <v>A) प्रतिद्वंद्वी को भ्रमित करने के लिए, B) हमले से बचने के लिए, C) चपलता दिखाने के लिए, D) शक्ति बढ़ाने के लिए</v>
      </c>
      <c r="I138" s="5" t="str">
        <f>IFERROR(__xludf.DUMMYFUNCTION("GOOGLETRANSLATE(D138, ""en"", ""hi"")"),"B) हमले से बचने के लिए")</f>
        <v>B) हमले से बचने के लिए</v>
      </c>
    </row>
    <row r="139" ht="22.5" customHeight="1">
      <c r="A139" s="2">
        <v>138.0</v>
      </c>
      <c r="B139" s="3" t="s">
        <v>9495</v>
      </c>
      <c r="C139" s="3" t="s">
        <v>9496</v>
      </c>
      <c r="D139" s="3" t="s">
        <v>9326</v>
      </c>
      <c r="F139" s="5" t="str">
        <f>IFERROR(__xludf.DUMMYFUNCTION("GOOGLETRANSLATE(A139, ""en"", ""hi"")"),"138")</f>
        <v>138</v>
      </c>
      <c r="G139" s="5" t="str">
        <f>IFERROR(__xludf.DUMMYFUNCTION("GOOGLETRANSLATE(B139, ""en"", ""hi"")"),"सिलंबम प्रशिक्षण सत्र में, छात्र 'वेट्टु' तकनीक का अभ्यास करते हैं। यह तकनीक युद्ध के किस पहलू पर ज़ोर देती है?")</f>
        <v>सिलंबम प्रशिक्षण सत्र में, छात्र 'वेट्टु' तकनीक का अभ्यास करते हैं। यह तकनीक युद्ध के किस पहलू पर ज़ोर देती है?</v>
      </c>
      <c r="H139" s="5" t="str">
        <f>IFERROR(__xludf.DUMMYFUNCTION("GOOGLETRANSLATE(C139, ""en"", ""hi"")"),"A) आक्रमण, B) रक्षा, C) बचाव, D) लचीलापन")</f>
        <v>A) आक्रमण, B) रक्षा, C) बचाव, D) लचीलापन</v>
      </c>
      <c r="I139" s="5" t="str">
        <f>IFERROR(__xludf.DUMMYFUNCTION("GOOGLETRANSLATE(D139, ""en"", ""hi"")"),"ए) अपराध")</f>
        <v>ए) अपराध</v>
      </c>
    </row>
    <row r="140" ht="22.5" customHeight="1">
      <c r="A140" s="2">
        <v>139.0</v>
      </c>
      <c r="B140" s="3" t="s">
        <v>9497</v>
      </c>
      <c r="C140" s="3" t="s">
        <v>9498</v>
      </c>
      <c r="D140" s="3" t="s">
        <v>9220</v>
      </c>
      <c r="F140" s="5" t="str">
        <f>IFERROR(__xludf.DUMMYFUNCTION("GOOGLETRANSLATE(A140, ""en"", ""hi"")"),"139")</f>
        <v>139</v>
      </c>
      <c r="G140" s="5" t="str">
        <f>IFERROR(__xludf.DUMMYFUNCTION("GOOGLETRANSLATE(B140, ""en"", ""hi"")"),"सिलंबम स्पैरिंग मैच के दौरान, एक अभ्यासकर्ता एक ऐसी चाल का उपयोग करता है जिसमें एक तेज़ ऊपर की ओर प्रहार के बाद एक पार्श्व स्वीप शामिल होता है। इस संयोजन का मुख्य उद्देश्य क्या है?")</f>
        <v>सिलंबम स्पैरिंग मैच के दौरान, एक अभ्यासकर्ता एक ऐसी चाल का उपयोग करता है जिसमें एक तेज़ ऊपर की ओर प्रहार के बाद एक पार्श्व स्वीप शामिल होता है। इस संयोजन का मुख्य उद्देश्य क्या है?</v>
      </c>
      <c r="H140" s="5" t="str">
        <f>IFERROR(__xludf.DUMMYFUNCTION("GOOGLETRANSLATE(C140, ""en"", ""hi"")"),"A) प्रतिद्वंद्वी का संतुलन बिगाड़ना, B) ध्यान भटकाना, C) कौशल दिखाना, D) शक्ति बढ़ाना")</f>
        <v>A) प्रतिद्वंद्वी का संतुलन बिगाड़ना, B) ध्यान भटकाना, C) कौशल दिखाना, D) शक्ति बढ़ाना</v>
      </c>
      <c r="I140" s="5" t="str">
        <f>IFERROR(__xludf.DUMMYFUNCTION("GOOGLETRANSLATE(D140, ""en"", ""hi"")"),"A) प्रतिद्वंद्वी का संतुलन बिगाड़ना")</f>
        <v>A) प्रतिद्वंद्वी का संतुलन बिगाड़ना</v>
      </c>
    </row>
    <row r="141" ht="22.5" customHeight="1">
      <c r="A141" s="2">
        <v>140.0</v>
      </c>
      <c r="B141" s="3" t="s">
        <v>9499</v>
      </c>
      <c r="C141" s="3" t="s">
        <v>9500</v>
      </c>
      <c r="D141" s="3" t="s">
        <v>9501</v>
      </c>
      <c r="F141" s="5" t="str">
        <f>IFERROR(__xludf.DUMMYFUNCTION("GOOGLETRANSLATE(A141, ""en"", ""hi"")"),"140")</f>
        <v>140</v>
      </c>
      <c r="G141" s="5" t="str">
        <f>IFERROR(__xludf.DUMMYFUNCTION("GOOGLETRANSLATE(B141, ""en"", ""hi"")"),"एक सिलंबम साधक 'ओट्राई वीचु' तकनीक से प्रशिक्षण ले रहा है। इस तकनीक का मुख्य केंद्र क्या है?")</f>
        <v>एक सिलंबम साधक 'ओट्राई वीचु' तकनीक से प्रशिक्षण ले रहा है। इस तकनीक का मुख्य केंद्र क्या है?</v>
      </c>
      <c r="H141" s="5" t="str">
        <f>IFERROR(__xludf.DUMMYFUNCTION("GOOGLETRANSLATE(C141, ""en"", ""hi"")"),"A) एक शक्तिशाली प्रहार करना, B) बचना, C) रक्षा करना, D) संतुलन बनाना")</f>
        <v>A) एक शक्तिशाली प्रहार करना, B) बचना, C) रक्षा करना, D) संतुलन बनाना</v>
      </c>
      <c r="I141" s="5" t="str">
        <f>IFERROR(__xludf.DUMMYFUNCTION("GOOGLETRANSLATE(D141, ""en"", ""hi"")"),"A) एक शक्तिशाली प्रहार करना")</f>
        <v>A) एक शक्तिशाली प्रहार करना</v>
      </c>
    </row>
    <row r="142" ht="22.5" customHeight="1">
      <c r="A142" s="2">
        <v>141.0</v>
      </c>
      <c r="B142" s="3" t="s">
        <v>9502</v>
      </c>
      <c r="C142" s="3" t="s">
        <v>9503</v>
      </c>
      <c r="D142" s="3" t="s">
        <v>9504</v>
      </c>
      <c r="F142" s="5" t="str">
        <f>IFERROR(__xludf.DUMMYFUNCTION("GOOGLETRANSLATE(A142, ""en"", ""hi"")"),"141")</f>
        <v>141</v>
      </c>
      <c r="G142" s="5" t="str">
        <f>IFERROR(__xludf.DUMMYFUNCTION("GOOGLETRANSLATE(B142, ""en"", ""hi"")"),"सिलंबम मैच में, एक अभ्यासी 'थट्टू वीचू' चाल का उपयोग करता है। इस तकनीक का प्राथमिक लक्ष्य क्या है?")</f>
        <v>सिलंबम मैच में, एक अभ्यासी 'थट्टू वीचू' चाल का उपयोग करता है। इस तकनीक का प्राथमिक लक्ष्य क्या है?</v>
      </c>
      <c r="H142" s="5" t="str">
        <f>IFERROR(__xludf.DUMMYFUNCTION("GOOGLETRANSLATE(C142, ""en"", ""hi"")"),"A) हमले को विफल करने के लिए, B) प्रतिद्वंद्वी को भ्रमित करने के लिए, C) कौशल का प्रदर्शन करने के लिए, D) हमले की गति बढ़ाने के लिए")</f>
        <v>A) हमले को विफल करने के लिए, B) प्रतिद्वंद्वी को भ्रमित करने के लिए, C) कौशल का प्रदर्शन करने के लिए, D) हमले की गति बढ़ाने के लिए</v>
      </c>
      <c r="I142" s="5" t="str">
        <f>IFERROR(__xludf.DUMMYFUNCTION("GOOGLETRANSLATE(D142, ""en"", ""hi"")"),"A) हमले को रोकने के लिए")</f>
        <v>A) हमले को रोकने के लिए</v>
      </c>
    </row>
    <row r="143" ht="22.5" customHeight="1">
      <c r="A143" s="2">
        <v>142.0</v>
      </c>
      <c r="B143" s="3" t="s">
        <v>9505</v>
      </c>
      <c r="C143" s="3" t="s">
        <v>9506</v>
      </c>
      <c r="D143" s="3" t="s">
        <v>9507</v>
      </c>
      <c r="F143" s="5" t="str">
        <f>IFERROR(__xludf.DUMMYFUNCTION("GOOGLETRANSLATE(A143, ""en"", ""hi"")"),"142")</f>
        <v>142</v>
      </c>
      <c r="G143" s="5" t="str">
        <f>IFERROR(__xludf.DUMMYFUNCTION("GOOGLETRANSLATE(B143, ""en"", ""hi"")"),"सिलंबम प्रशिक्षण सत्र के दौरान, छात्र कूदने और ऊँची चोट मारने जैसी गतिविधियों का अभ्यास करते हैं। इन अभ्यासों का मुख्य उद्देश्य क्या है?")</f>
        <v>सिलंबम प्रशिक्षण सत्र के दौरान, छात्र कूदने और ऊँची चोट मारने जैसी गतिविधियों का अभ्यास करते हैं। इन अभ्यासों का मुख्य उद्देश्य क्या है?</v>
      </c>
      <c r="H143" s="5" t="str">
        <f>IFERROR(__xludf.DUMMYFUNCTION("GOOGLETRANSLATE(C143, ""en"", ""hi"")"),"A) चपलता दिखाने के लिए, B) प्रहार शक्ति बढ़ाने के लिए, C) दूरी बनाने के लिए, D) हमलों से बचने के लिए")</f>
        <v>A) चपलता दिखाने के लिए, B) प्रहार शक्ति बढ़ाने के लिए, C) दूरी बनाने के लिए, D) हमलों से बचने के लिए</v>
      </c>
      <c r="I143" s="5" t="str">
        <f>IFERROR(__xludf.DUMMYFUNCTION("GOOGLETRANSLATE(D143, ""en"", ""hi"")"),"A) चपलता दिखाने के लिए")</f>
        <v>A) चपलता दिखाने के लिए</v>
      </c>
    </row>
    <row r="144" ht="22.5" customHeight="1">
      <c r="A144" s="2">
        <v>143.0</v>
      </c>
      <c r="B144" s="3" t="s">
        <v>9508</v>
      </c>
      <c r="C144" s="3" t="s">
        <v>9509</v>
      </c>
      <c r="D144" s="3" t="s">
        <v>9510</v>
      </c>
      <c r="F144" s="5" t="str">
        <f>IFERROR(__xludf.DUMMYFUNCTION("GOOGLETRANSLATE(A144, ""en"", ""hi"")"),"143")</f>
        <v>143</v>
      </c>
      <c r="G144" s="5" t="str">
        <f>IFERROR(__xludf.DUMMYFUNCTION("GOOGLETRANSLATE(B144, ""en"", ""hi"")"),"एक साधक सिलंबम में 'मान कोम्बु' तकनीक का प्रयोग करता है। यह क्रिया किस पर केंद्रित है?")</f>
        <v>एक साधक सिलंबम में 'मान कोम्बु' तकनीक का प्रयोग करता है। यह क्रिया किस पर केंद्रित है?</v>
      </c>
      <c r="H144" s="5" t="str">
        <f>IFERROR(__xludf.DUMMYFUNCTION("GOOGLETRANSLATE(C144, ""en"", ""hi"")"),"A) आक्रामक हमले, B) रक्षात्मक मुद्राएँ, C) संतुलन, D) बचाव")</f>
        <v>A) आक्रामक हमले, B) रक्षात्मक मुद्राएँ, C) संतुलन, D) बचाव</v>
      </c>
      <c r="I144" s="5" t="str">
        <f>IFERROR(__xludf.DUMMYFUNCTION("GOOGLETRANSLATE(D144, ""en"", ""hi"")"),"सी) संतुलन")</f>
        <v>सी) संतुलन</v>
      </c>
    </row>
    <row r="145" ht="22.5" customHeight="1">
      <c r="A145" s="2">
        <v>144.0</v>
      </c>
      <c r="B145" s="3" t="s">
        <v>9511</v>
      </c>
      <c r="C145" s="3" t="s">
        <v>9512</v>
      </c>
      <c r="D145" s="3" t="s">
        <v>9513</v>
      </c>
      <c r="F145" s="5" t="str">
        <f>IFERROR(__xludf.DUMMYFUNCTION("GOOGLETRANSLATE(A145, ""en"", ""hi"")"),"144")</f>
        <v>144</v>
      </c>
      <c r="G145" s="5" t="str">
        <f>IFERROR(__xludf.DUMMYFUNCTION("GOOGLETRANSLATE(B145, ""en"", ""hi"")"),"सिलंबम में, एक साधक 'मेट्टू' तकनीक का प्रदर्शन कर रहा है। इस क्रिया का मुख्य उद्देश्य क्या है?")</f>
        <v>सिलंबम में, एक साधक 'मेट्टू' तकनीक का प्रदर्शन कर रहा है। इस क्रिया का मुख्य उद्देश्य क्या है?</v>
      </c>
      <c r="H145" s="5" t="str">
        <f>IFERROR(__xludf.DUMMYFUNCTION("GOOGLETRANSLATE(C145, ""en"", ""hi"")"),"A) प्रहार की गति बढ़ाने के लिए, B) कम हमले से बचाव के लिए, C) ध्यान भटकाने के लिए, D) कौशल का प्रदर्शन करने के लिए")</f>
        <v>A) प्रहार की गति बढ़ाने के लिए, B) कम हमले से बचाव के लिए, C) ध्यान भटकाने के लिए, D) कौशल का प्रदर्शन करने के लिए</v>
      </c>
      <c r="I145" s="5" t="str">
        <f>IFERROR(__xludf.DUMMYFUNCTION("GOOGLETRANSLATE(D145, ""en"", ""hi"")"),"बी) कम हमले से बचाव के लिए")</f>
        <v>बी) कम हमले से बचाव के लिए</v>
      </c>
    </row>
    <row r="146" ht="22.5" customHeight="1">
      <c r="A146" s="2">
        <v>145.0</v>
      </c>
      <c r="B146" s="3" t="s">
        <v>9514</v>
      </c>
      <c r="C146" s="3" t="s">
        <v>9515</v>
      </c>
      <c r="D146" s="3" t="s">
        <v>9516</v>
      </c>
      <c r="F146" s="5" t="str">
        <f>IFERROR(__xludf.DUMMYFUNCTION("GOOGLETRANSLATE(A146, ""en"", ""hi"")"),"145")</f>
        <v>145</v>
      </c>
      <c r="G146" s="5" t="str">
        <f>IFERROR(__xludf.DUMMYFUNCTION("GOOGLETRANSLATE(B146, ""en"", ""hi"")"),"सिलंबम प्रदर्शन के दौरान, अभ्यासकर्ता 'नेर वीचु' गतियों का प्रयोग करता है। इन प्रहारों का मुख्य उद्देश्य क्या है?")</f>
        <v>सिलंबम प्रदर्शन के दौरान, अभ्यासकर्ता 'नेर वीचु' गतियों का प्रयोग करता है। इन प्रहारों का मुख्य उद्देश्य क्या है?</v>
      </c>
      <c r="H146" s="5" t="str">
        <f>IFERROR(__xludf.DUMMYFUNCTION("GOOGLETRANSLATE(C146, ""en"", ""hi"")"),"A) पहुंच बढ़ाने के लिए, B) रक्षात्मक अवरोध बनाने के लिए, C) सीधा प्रहार करने के लिए, D) प्रतिद्वंद्वी को भ्रमित करने के लिए")</f>
        <v>A) पहुंच बढ़ाने के लिए, B) रक्षात्मक अवरोध बनाने के लिए, C) सीधा प्रहार करने के लिए, D) प्रतिद्वंद्वी को भ्रमित करने के लिए</v>
      </c>
      <c r="I146" s="5" t="str">
        <f>IFERROR(__xludf.DUMMYFUNCTION("GOOGLETRANSLATE(D146, ""en"", ""hi"")"),"C) सीधा प्रहार करना")</f>
        <v>C) सीधा प्रहार करना</v>
      </c>
    </row>
    <row r="147" ht="22.5" customHeight="1">
      <c r="A147" s="2">
        <v>146.0</v>
      </c>
      <c r="B147" s="3" t="s">
        <v>9517</v>
      </c>
      <c r="C147" s="3" t="s">
        <v>9518</v>
      </c>
      <c r="D147" s="3" t="s">
        <v>9519</v>
      </c>
      <c r="F147" s="5" t="str">
        <f>IFERROR(__xludf.DUMMYFUNCTION("GOOGLETRANSLATE(A147, ""en"", ""hi"")"),"146")</f>
        <v>146</v>
      </c>
      <c r="G147" s="5" t="str">
        <f>IFERROR(__xludf.DUMMYFUNCTION("GOOGLETRANSLATE(B147, ""en"", ""hi"")"),"एक सिलंबम छात्र एक ऐसी तकनीक का अभ्यास कर रहा है जिसमें डंडे से गोलाकार गति की जाती है। इस अभ्यास का मुख्य केंद्र क्या है?")</f>
        <v>एक सिलंबम छात्र एक ऐसी तकनीक का अभ्यास कर रहा है जिसमें डंडे से गोलाकार गति की जाती है। इस अभ्यास का मुख्य केंद्र क्या है?</v>
      </c>
      <c r="H147" s="5" t="str">
        <f>IFERROR(__xludf.DUMMYFUNCTION("GOOGLETRANSLATE(C147, ""en"", ""hi"")"),"A) रक्षा, B) आक्रमण, C) संतुलन, D) परिहार")</f>
        <v>A) रक्षा, B) आक्रमण, C) संतुलन, D) परिहार</v>
      </c>
      <c r="I147" s="5" t="str">
        <f>IFERROR(__xludf.DUMMYFUNCTION("GOOGLETRANSLATE(D147, ""en"", ""hi"")"),"ए) रक्षा")</f>
        <v>ए) रक्षा</v>
      </c>
    </row>
    <row r="148" ht="22.5" customHeight="1">
      <c r="A148" s="2">
        <v>147.0</v>
      </c>
      <c r="B148" s="3" t="s">
        <v>9520</v>
      </c>
      <c r="C148" s="3" t="s">
        <v>9521</v>
      </c>
      <c r="D148" s="3" t="s">
        <v>9401</v>
      </c>
      <c r="F148" s="5" t="str">
        <f>IFERROR(__xludf.DUMMYFUNCTION("GOOGLETRANSLATE(A148, ""en"", ""hi"")"),"147")</f>
        <v>147</v>
      </c>
      <c r="G148" s="5" t="str">
        <f>IFERROR(__xludf.DUMMYFUNCTION("GOOGLETRANSLATE(B148, ""en"", ""hi"")"),"सिलंबम प्रशिक्षण सत्र में, अभ्यासकर्ता 'थिरुपाली' तकनीक का उपयोग करता है। इस मुद्रा का प्राथमिक लक्ष्य क्या है?")</f>
        <v>सिलंबम प्रशिक्षण सत्र में, अभ्यासकर्ता 'थिरुपाली' तकनीक का उपयोग करता है। इस मुद्रा का प्राथमिक लक्ष्य क्या है?</v>
      </c>
      <c r="H148" s="5" t="str">
        <f>IFERROR(__xludf.DUMMYFUNCTION("GOOGLETRANSLATE(C148, ""en"", ""hi"")"),"A) कौशल दिखाने के लिए, B) रक्षात्मक अवरोध बनाने के लिए, C) प्रतिद्वंद्वी को भ्रमित करने के लिए, D) गति बढ़ाने के लिए")</f>
        <v>A) कौशल दिखाने के लिए, B) रक्षात्मक अवरोध बनाने के लिए, C) प्रतिद्वंद्वी को भ्रमित करने के लिए, D) गति बढ़ाने के लिए</v>
      </c>
      <c r="I148" s="5" t="str">
        <f>IFERROR(__xludf.DUMMYFUNCTION("GOOGLETRANSLATE(D148, ""en"", ""hi"")"),"बी) रक्षात्मक अवरोध बनाने के लिए")</f>
        <v>बी) रक्षात्मक अवरोध बनाने के लिए</v>
      </c>
    </row>
    <row r="149" ht="22.5" customHeight="1">
      <c r="A149" s="2">
        <v>148.0</v>
      </c>
      <c r="B149" s="3" t="s">
        <v>9522</v>
      </c>
      <c r="C149" s="3" t="s">
        <v>9523</v>
      </c>
      <c r="D149" s="3" t="s">
        <v>9406</v>
      </c>
      <c r="F149" s="5" t="str">
        <f>IFERROR(__xludf.DUMMYFUNCTION("GOOGLETRANSLATE(A149, ""en"", ""hi"")"),"148")</f>
        <v>148</v>
      </c>
      <c r="G149" s="5" t="str">
        <f>IFERROR(__xludf.DUMMYFUNCTION("GOOGLETRANSLATE(B149, ""en"", ""hi"")"),"एक अभ्यासक मैच के दौरान 'पूटू वीचू' तकनीक का प्रयोग करता है। इस चाल का मुख्य उद्देश्य क्या है?")</f>
        <v>एक अभ्यासक मैच के दौरान 'पूटू वीचू' तकनीक का प्रयोग करता है। इस चाल का मुख्य उद्देश्य क्या है?</v>
      </c>
      <c r="H149" s="5" t="str">
        <f>IFERROR(__xludf.DUMMYFUNCTION("GOOGLETRANSLATE(C149, ""en"", ""hi"")"),"A) परिहार, B) आक्रमण, C) रक्षा, D) संतुलन")</f>
        <v>A) परिहार, B) आक्रमण, C) रक्षा, D) संतुलन</v>
      </c>
      <c r="I149" s="5" t="str">
        <f>IFERROR(__xludf.DUMMYFUNCTION("GOOGLETRANSLATE(D149, ""en"", ""hi"")"),"बी) अपराध")</f>
        <v>बी) अपराध</v>
      </c>
    </row>
    <row r="150" ht="22.5" customHeight="1">
      <c r="A150" s="2">
        <v>149.0</v>
      </c>
      <c r="B150" s="3" t="s">
        <v>9524</v>
      </c>
      <c r="C150" s="3" t="s">
        <v>9525</v>
      </c>
      <c r="D150" s="3" t="s">
        <v>9323</v>
      </c>
      <c r="F150" s="5" t="str">
        <f>IFERROR(__xludf.DUMMYFUNCTION("GOOGLETRANSLATE(A150, ""en"", ""hi"")"),"149")</f>
        <v>149</v>
      </c>
      <c r="G150" s="5" t="str">
        <f>IFERROR(__xludf.DUMMYFUNCTION("GOOGLETRANSLATE(B150, ""en"", ""hi"")"),"सिलंबम स्पैरिंग सत्र के दौरान, एक अभ्यासकर्ता एक ऐसी तकनीक का उपयोग करता है जिसमें बारी-बारी से ऊँचे और नीचे के वार किए जाते हैं। इस रणनीति का अपेक्षित प्रभाव क्या है?")</f>
        <v>सिलंबम स्पैरिंग सत्र के दौरान, एक अभ्यासकर्ता एक ऐसी तकनीक का उपयोग करता है जिसमें बारी-बारी से ऊँचे और नीचे के वार किए जाते हैं। इस रणनीति का अपेक्षित प्रभाव क्या है?</v>
      </c>
      <c r="H150" s="5" t="str">
        <f>IFERROR(__xludf.DUMMYFUNCTION("GOOGLETRANSLATE(C150, ""en"", ""hi"")"),"A) प्रतिद्वंद्वी को भ्रमित करने के लिए, B) शक्ति बढ़ाने के लिए, C) कौशल दिखाने के लिए, D) रक्षात्मक अवरोध बनाने के लिए")</f>
        <v>A) प्रतिद्वंद्वी को भ्रमित करने के लिए, B) शक्ति बढ़ाने के लिए, C) कौशल दिखाने के लिए, D) रक्षात्मक अवरोध बनाने के लिए</v>
      </c>
      <c r="I150" s="5" t="str">
        <f>IFERROR(__xludf.DUMMYFUNCTION("GOOGLETRANSLATE(D150, ""en"", ""hi"")"),"A) प्रतिद्वंद्वी को भ्रमित करने के लिए")</f>
        <v>A) प्रतिद्वंद्वी को भ्रमित करने के लिए</v>
      </c>
    </row>
    <row r="151" ht="22.5" customHeight="1">
      <c r="A151" s="2">
        <v>150.0</v>
      </c>
      <c r="B151" s="3" t="s">
        <v>9526</v>
      </c>
      <c r="C151" s="3" t="s">
        <v>9527</v>
      </c>
      <c r="D151" s="3" t="s">
        <v>9528</v>
      </c>
      <c r="F151" s="5" t="str">
        <f>IFERROR(__xludf.DUMMYFUNCTION("GOOGLETRANSLATE(A151, ""en"", ""hi"")"),"150")</f>
        <v>150</v>
      </c>
      <c r="G151" s="5" t="str">
        <f>IFERROR(__xludf.DUMMYFUNCTION("GOOGLETRANSLATE(B151, ""en"", ""hi"")"),"सिलंबम में, अभ्यासकर्ता 'मुथु वीचु' तकनीक का उपयोग करता है। यह तकनीक युद्ध के किस पहलू पर ज़ोर देती है?")</f>
        <v>सिलंबम में, अभ्यासकर्ता 'मुथु वीचु' तकनीक का उपयोग करता है। यह तकनीक युद्ध के किस पहलू पर ज़ोर देती है?</v>
      </c>
      <c r="H151" s="5" t="str">
        <f>IFERROR(__xludf.DUMMYFUNCTION("GOOGLETRANSLATE(C151, ""en"", ""hi"")"),"A) सटीक प्रहार, B) रक्षा, C) बचाव, D) संतुलन")</f>
        <v>A) सटीक प्रहार, B) रक्षा, C) बचाव, D) संतुलन</v>
      </c>
      <c r="I151" s="5" t="str">
        <f>IFERROR(__xludf.DUMMYFUNCTION("GOOGLETRANSLATE(D151, ""en"", ""hi"")"),"A) सटीक हमले")</f>
        <v>A) सटीक हमले</v>
      </c>
    </row>
    <row r="152" ht="22.5" customHeight="1">
      <c r="A152" s="2">
        <v>151.0</v>
      </c>
      <c r="B152" s="3" t="s">
        <v>9529</v>
      </c>
      <c r="C152" s="3" t="s">
        <v>9530</v>
      </c>
      <c r="D152" s="3" t="s">
        <v>9445</v>
      </c>
      <c r="F152" s="5" t="str">
        <f>IFERROR(__xludf.DUMMYFUNCTION("GOOGLETRANSLATE(A152, ""en"", ""hi"")"),"151")</f>
        <v>151</v>
      </c>
      <c r="G152" s="5" t="str">
        <f>IFERROR(__xludf.DUMMYFUNCTION("GOOGLETRANSLATE(B152, ""en"", ""hi"")"),"एक सिलंबम छात्र एक ऐसी चाल का अभ्यास कर रहा है जिसमें एक तेज़, ऊपर की ओर प्रहार के बाद आगे की ओर धक्का देना शामिल है। इस संयोजन का मुख्य उद्देश्य क्या है?")</f>
        <v>एक सिलंबम छात्र एक ऐसी चाल का अभ्यास कर रहा है जिसमें एक तेज़, ऊपर की ओर प्रहार के बाद आगे की ओर धक्का देना शामिल है। इस संयोजन का मुख्य उद्देश्य क्या है?</v>
      </c>
      <c r="H152" s="5" t="str">
        <f>IFERROR(__xludf.DUMMYFUNCTION("GOOGLETRANSLATE(C152, ""en"", ""hi"")"),"A) प्रतिद्वंद्वी पर हावी होना, B) कौशल का प्रदर्शन करना, C) गति बढ़ाना, D) अवसर पैदा करना")</f>
        <v>A) प्रतिद्वंद्वी पर हावी होना, B) कौशल का प्रदर्शन करना, C) गति बढ़ाना, D) अवसर पैदा करना</v>
      </c>
      <c r="I152" s="5" t="str">
        <f>IFERROR(__xludf.DUMMYFUNCTION("GOOGLETRANSLATE(D152, ""en"", ""hi"")"),"A) प्रतिद्वंद्वी को परास्त करना")</f>
        <v>A) प्रतिद्वंद्वी को परास्त करना</v>
      </c>
    </row>
    <row r="153" ht="22.5" customHeight="1">
      <c r="A153" s="2">
        <v>152.0</v>
      </c>
      <c r="B153" s="3" t="s">
        <v>9531</v>
      </c>
      <c r="C153" s="3" t="s">
        <v>9532</v>
      </c>
      <c r="D153" s="3" t="s">
        <v>9323</v>
      </c>
      <c r="F153" s="5" t="str">
        <f>IFERROR(__xludf.DUMMYFUNCTION("GOOGLETRANSLATE(A153, ""en"", ""hi"")"),"152")</f>
        <v>152</v>
      </c>
      <c r="G153" s="5" t="str">
        <f>IFERROR(__xludf.DUMMYFUNCTION("GOOGLETRANSLATE(B153, ""en"", ""hi"")"),"सिलंबम मैच के दौरान, अभ्यासकर्ता प्रहार करते समय कई तेज़, पार्श्व गतियों का प्रयोग करता है। इस तकनीक का प्राथमिक लक्ष्य क्या है?")</f>
        <v>सिलंबम मैच के दौरान, अभ्यासकर्ता प्रहार करते समय कई तेज़, पार्श्व गतियों का प्रयोग करता है। इस तकनीक का प्राथमिक लक्ष्य क्या है?</v>
      </c>
      <c r="H153" s="5" t="str">
        <f>IFERROR(__xludf.DUMMYFUNCTION("GOOGLETRANSLATE(C153, ""en"", ""hi"")"),"A) प्रतिद्वंद्वी को भ्रमित करने के लिए, B) हमलों से बचने के लिए, C) शक्ति बढ़ाने के लिए, D) दूरी बनाने के लिए")</f>
        <v>A) प्रतिद्वंद्वी को भ्रमित करने के लिए, B) हमलों से बचने के लिए, C) शक्ति बढ़ाने के लिए, D) दूरी बनाने के लिए</v>
      </c>
      <c r="I153" s="5" t="str">
        <f>IFERROR(__xludf.DUMMYFUNCTION("GOOGLETRANSLATE(D153, ""en"", ""hi"")"),"A) प्रतिद्वंद्वी को भ्रमित करने के लिए")</f>
        <v>A) प्रतिद्वंद्वी को भ्रमित करने के लिए</v>
      </c>
    </row>
    <row r="154" ht="22.5" customHeight="1">
      <c r="A154" s="2">
        <v>153.0</v>
      </c>
      <c r="B154" s="3" t="s">
        <v>9533</v>
      </c>
      <c r="C154" s="3" t="s">
        <v>9534</v>
      </c>
      <c r="D154" s="3" t="s">
        <v>9535</v>
      </c>
      <c r="F154" s="5" t="str">
        <f>IFERROR(__xludf.DUMMYFUNCTION("GOOGLETRANSLATE(A154, ""en"", ""hi"")"),"153")</f>
        <v>153</v>
      </c>
      <c r="G154" s="5" t="str">
        <f>IFERROR(__xludf.DUMMYFUNCTION("GOOGLETRANSLATE(B154, ""en"", ""hi"")"),"सिलंबम में, एक साधक 'पिन्नल' तकनीक का प्रदर्शन करता है। इस क्रिया का केंद्रबिंदु क्या है?")</f>
        <v>सिलंबम में, एक साधक 'पिन्नल' तकनीक का प्रदर्शन करता है। इस क्रिया का केंद्रबिंदु क्या है?</v>
      </c>
      <c r="H154" s="5" t="str">
        <f>IFERROR(__xludf.DUMMYFUNCTION("GOOGLETRANSLATE(C154, ""en"", ""hi"")"),"A) आक्रामक हमले, B) रक्षा, C) बचाव, D) कर्मचारियों को घुमाना")</f>
        <v>A) आक्रामक हमले, B) रक्षा, C) बचाव, D) कर्मचारियों को घुमाना</v>
      </c>
      <c r="I154" s="5" t="str">
        <f>IFERROR(__xludf.DUMMYFUNCTION("GOOGLETRANSLATE(D154, ""en"", ""hi"")"),"D) कर्मचारियों को घुमाना")</f>
        <v>D) कर्मचारियों को घुमाना</v>
      </c>
    </row>
    <row r="155" ht="22.5" customHeight="1">
      <c r="A155" s="2">
        <v>154.0</v>
      </c>
      <c r="B155" s="3" t="s">
        <v>9536</v>
      </c>
      <c r="C155" s="3" t="s">
        <v>9537</v>
      </c>
      <c r="D155" s="3" t="s">
        <v>9538</v>
      </c>
      <c r="F155" s="5" t="str">
        <f>IFERROR(__xludf.DUMMYFUNCTION("GOOGLETRANSLATE(A155, ""en"", ""hi"")"),"154")</f>
        <v>154</v>
      </c>
      <c r="G155" s="5" t="str">
        <f>IFERROR(__xludf.DUMMYFUNCTION("GOOGLETRANSLATE(B155, ""en"", ""hi"")"),"एक अभ्यासकर्ता प्रशिक्षण सत्र के दौरान 'पिडी' तकनीक का उपयोग करता है। इस चाल का मुख्य उद्देश्य क्या है?")</f>
        <v>एक अभ्यासकर्ता प्रशिक्षण सत्र के दौरान 'पिडी' तकनीक का उपयोग करता है। इस चाल का मुख्य उद्देश्य क्या है?</v>
      </c>
      <c r="H155" s="5" t="str">
        <f>IFERROR(__xludf.DUMMYFUNCTION("GOOGLETRANSLATE(C155, ""en"", ""hi"")"),"A) प्रतिद्वंद्वी के हथियार को पकड़ना, B) सटीकता से प्रहार करना, C) रक्षात्मक अवरोध बनाना, D) कौशल का प्रदर्शन करना")</f>
        <v>A) प्रतिद्वंद्वी के हथियार को पकड़ना, B) सटीकता से प्रहार करना, C) रक्षात्मक अवरोध बनाना, D) कौशल का प्रदर्शन करना</v>
      </c>
      <c r="I155" s="5" t="str">
        <f>IFERROR(__xludf.DUMMYFUNCTION("GOOGLETRANSLATE(D155, ""en"", ""hi"")"),"A) प्रतिद्वंद्वी का हथियार छीनना")</f>
        <v>A) प्रतिद्वंद्वी का हथियार छीनना</v>
      </c>
    </row>
    <row r="156" ht="22.5" customHeight="1">
      <c r="A156" s="2">
        <v>155.0</v>
      </c>
      <c r="B156" s="3" t="s">
        <v>9539</v>
      </c>
      <c r="C156" s="3" t="s">
        <v>9540</v>
      </c>
      <c r="D156" s="3" t="s">
        <v>9445</v>
      </c>
      <c r="F156" s="5" t="str">
        <f>IFERROR(__xludf.DUMMYFUNCTION("GOOGLETRANSLATE(A156, ""en"", ""hi"")"),"155")</f>
        <v>155</v>
      </c>
      <c r="G156" s="5" t="str">
        <f>IFERROR(__xludf.DUMMYFUNCTION("GOOGLETRANSLATE(B156, ""en"", ""hi"")"),"सिलंबम प्रदर्शन के दौरान, अभ्यासकर्ता प्रतिद्वंद्वी के ऊपरी शरीर पर निशाना साधते हुए तेज़ी से कई प्रहार करता है। इस तकनीक का मुख्य लक्ष्य क्या है?")</f>
        <v>सिलंबम प्रदर्शन के दौरान, अभ्यासकर्ता प्रतिद्वंद्वी के ऊपरी शरीर पर निशाना साधते हुए तेज़ी से कई प्रहार करता है। इस तकनीक का मुख्य लक्ष्य क्या है?</v>
      </c>
      <c r="H156" s="5" t="str">
        <f>IFERROR(__xludf.DUMMYFUNCTION("GOOGLETRANSLATE(C156, ""en"", ""hi"")"),"A) प्रतिद्वंद्वी पर हावी होने के लिए, B) ध्यान भटकाने के लिए, C) शक्ति बढ़ाने के लिए, D) कौशल का प्रदर्शन करने के लिए")</f>
        <v>A) प्रतिद्वंद्वी पर हावी होने के लिए, B) ध्यान भटकाने के लिए, C) शक्ति बढ़ाने के लिए, D) कौशल का प्रदर्शन करने के लिए</v>
      </c>
      <c r="I156" s="5" t="str">
        <f>IFERROR(__xludf.DUMMYFUNCTION("GOOGLETRANSLATE(D156, ""en"", ""hi"")"),"A) प्रतिद्वंद्वी को परास्त करना")</f>
        <v>A) प्रतिद्वंद्वी को परास्त करना</v>
      </c>
    </row>
    <row r="157" ht="22.5" customHeight="1">
      <c r="A157" s="2">
        <v>156.0</v>
      </c>
      <c r="B157" s="3" t="s">
        <v>9541</v>
      </c>
      <c r="C157" s="3" t="s">
        <v>9542</v>
      </c>
      <c r="D157" s="3" t="s">
        <v>9543</v>
      </c>
      <c r="F157" s="5" t="str">
        <f>IFERROR(__xludf.DUMMYFUNCTION("GOOGLETRANSLATE(A157, ""en"", ""hi"")"),"156")</f>
        <v>156</v>
      </c>
      <c r="G157" s="5" t="str">
        <f>IFERROR(__xludf.DUMMYFUNCTION("GOOGLETRANSLATE(B157, ""en"", ""hi"")"),"सिलंबम में, साधक 'काई वीचु' तकनीक का अभ्यास करता है। इस क्रिया का प्राथमिक उद्देश्य क्या है?")</f>
        <v>सिलंबम में, साधक 'काई वीचु' तकनीक का अभ्यास करता है। इस क्रिया का प्राथमिक उद्देश्य क्या है?</v>
      </c>
      <c r="H157" s="5" t="str">
        <f>IFERROR(__xludf.DUMMYFUNCTION("GOOGLETRANSLATE(C157, ""en"", ""hi"")"),"A) ध्यान भटकाना, B) कौशल प्रदर्शित करना, C) सटीक प्रहार करना, D) हमले से बचना")</f>
        <v>A) ध्यान भटकाना, B) कौशल प्रदर्शित करना, C) सटीक प्रहार करना, D) हमले से बचना</v>
      </c>
      <c r="I157" s="5" t="str">
        <f>IFERROR(__xludf.DUMMYFUNCTION("GOOGLETRANSLATE(D157, ""en"", ""hi"")"),"C) सटीक प्रहार करना")</f>
        <v>C) सटीक प्रहार करना</v>
      </c>
    </row>
    <row r="158" ht="22.5" customHeight="1">
      <c r="A158" s="2">
        <v>157.0</v>
      </c>
      <c r="B158" s="3" t="s">
        <v>9544</v>
      </c>
      <c r="C158" s="3" t="s">
        <v>9545</v>
      </c>
      <c r="D158" s="3" t="s">
        <v>9311</v>
      </c>
      <c r="F158" s="5" t="str">
        <f>IFERROR(__xludf.DUMMYFUNCTION("GOOGLETRANSLATE(A158, ""en"", ""hi"")"),"157")</f>
        <v>157</v>
      </c>
      <c r="G158" s="5" t="str">
        <f>IFERROR(__xludf.DUMMYFUNCTION("GOOGLETRANSLATE(B158, ""en"", ""hi"")"),"एक सिलंबम छात्र एक ऐसी तकनीक सीख रहा है जिसमें आगे की ओर कदम रखते हुए नीचे की ओर झुकना शामिल है। इस चाल का अपेक्षित प्रभाव क्या है?")</f>
        <v>एक सिलंबम छात्र एक ऐसी तकनीक सीख रहा है जिसमें आगे की ओर कदम रखते हुए नीचे की ओर झुकना शामिल है। इस चाल का अपेक्षित प्रभाव क्या है?</v>
      </c>
      <c r="H158" s="5" t="str">
        <f>IFERROR(__xludf.DUMMYFUNCTION("GOOGLETRANSLATE(C158, ""en"", ""hi"")"),"A) गति बढ़ाने के लिए, B) प्रतिद्वंद्वी का संतुलन बिगाड़ने के लिए, C) कौशल दिखाने के लिए, D) प्रतिद्वंद्वी को भ्रमित करने के लिए")</f>
        <v>A) गति बढ़ाने के लिए, B) प्रतिद्वंद्वी का संतुलन बिगाड़ने के लिए, C) कौशल दिखाने के लिए, D) प्रतिद्वंद्वी को भ्रमित करने के लिए</v>
      </c>
      <c r="I158" s="5" t="str">
        <f>IFERROR(__xludf.DUMMYFUNCTION("GOOGLETRANSLATE(D158, ""en"", ""hi"")"),"बी) प्रतिद्वंद्वी का संतुलन बिगाड़ना")</f>
        <v>बी) प्रतिद्वंद्वी का संतुलन बिगाड़ना</v>
      </c>
    </row>
    <row r="159" ht="22.5" customHeight="1">
      <c r="A159" s="2">
        <v>158.0</v>
      </c>
      <c r="B159" s="3" t="s">
        <v>9546</v>
      </c>
      <c r="C159" s="3" t="s">
        <v>9547</v>
      </c>
      <c r="D159" s="3" t="s">
        <v>9323</v>
      </c>
      <c r="F159" s="5" t="str">
        <f>IFERROR(__xludf.DUMMYFUNCTION("GOOGLETRANSLATE(A159, ""en"", ""hi"")"),"158")</f>
        <v>158</v>
      </c>
      <c r="G159" s="5" t="str">
        <f>IFERROR(__xludf.DUMMYFUNCTION("GOOGLETRANSLATE(B159, ""en"", ""hi"")"),"सिलंबम युद्धाभ्यास के दौरान, अभ्यासकर्ता एक ऐसी चाल अपनाता है जिसमें प्रहार करने से पहले लाठी को अपनी पीठ के पीछे घुमाता है। इस युद्धाभ्यास का मुख्य उद्देश्य क्या है?")</f>
        <v>सिलंबम युद्धाभ्यास के दौरान, अभ्यासकर्ता एक ऐसी चाल अपनाता है जिसमें प्रहार करने से पहले लाठी को अपनी पीठ के पीछे घुमाता है। इस युद्धाभ्यास का मुख्य उद्देश्य क्या है?</v>
      </c>
      <c r="H159" s="5" t="str">
        <f>IFERROR(__xludf.DUMMYFUNCTION("GOOGLETRANSLATE(C159, ""en"", ""hi"")"),"A) प्रतिद्वंद्वी को भ्रमित करने के लिए, B) रक्षात्मक अवरोध पैदा करने के लिए, C) प्रहार शक्ति बढ़ाने के लिए, D) कौशल का प्रदर्शन करने के लिए")</f>
        <v>A) प्रतिद्वंद्वी को भ्रमित करने के लिए, B) रक्षात्मक अवरोध पैदा करने के लिए, C) प्रहार शक्ति बढ़ाने के लिए, D) कौशल का प्रदर्शन करने के लिए</v>
      </c>
      <c r="I159" s="5" t="str">
        <f>IFERROR(__xludf.DUMMYFUNCTION("GOOGLETRANSLATE(D159, ""en"", ""hi"")"),"A) प्रतिद्वंद्वी को भ्रमित करने के लिए")</f>
        <v>A) प्रतिद्वंद्वी को भ्रमित करने के लिए</v>
      </c>
    </row>
    <row r="160" ht="22.5" customHeight="1">
      <c r="A160" s="2">
        <v>159.0</v>
      </c>
      <c r="B160" s="3" t="s">
        <v>9548</v>
      </c>
      <c r="C160" s="3" t="s">
        <v>9527</v>
      </c>
      <c r="D160" s="3" t="s">
        <v>9528</v>
      </c>
      <c r="F160" s="5" t="str">
        <f>IFERROR(__xludf.DUMMYFUNCTION("GOOGLETRANSLATE(A160, ""en"", ""hi"")"),"159")</f>
        <v>159</v>
      </c>
      <c r="G160" s="5" t="str">
        <f>IFERROR(__xludf.DUMMYFUNCTION("GOOGLETRANSLATE(B160, ""en"", ""hi"")"),"सिलंबम मुकाबले में, एक अभ्यासी 'विरुक्कु वीचु' तकनीक का उपयोग करता है। यह तकनीक युद्ध के किस पहलू पर ज़ोर देती है?")</f>
        <v>सिलंबम मुकाबले में, एक अभ्यासी 'विरुक्कु वीचु' तकनीक का उपयोग करता है। यह तकनीक युद्ध के किस पहलू पर ज़ोर देती है?</v>
      </c>
      <c r="H160" s="5" t="str">
        <f>IFERROR(__xludf.DUMMYFUNCTION("GOOGLETRANSLATE(C160, ""en"", ""hi"")"),"A) सटीक प्रहार, B) रक्षा, C) बचाव, D) संतुलन")</f>
        <v>A) सटीक प्रहार, B) रक्षा, C) बचाव, D) संतुलन</v>
      </c>
      <c r="I160" s="5" t="str">
        <f>IFERROR(__xludf.DUMMYFUNCTION("GOOGLETRANSLATE(D160, ""en"", ""hi"")"),"A) सटीक हमले")</f>
        <v>A) सटीक हमले</v>
      </c>
    </row>
    <row r="161" ht="22.5" customHeight="1">
      <c r="A161" s="2">
        <v>160.0</v>
      </c>
      <c r="B161" s="3" t="s">
        <v>9549</v>
      </c>
      <c r="C161" s="3" t="s">
        <v>9550</v>
      </c>
      <c r="D161" s="3" t="s">
        <v>9551</v>
      </c>
      <c r="F161" s="5" t="str">
        <f>IFERROR(__xludf.DUMMYFUNCTION("GOOGLETRANSLATE(A161, ""en"", ""hi"")"),"160")</f>
        <v>160</v>
      </c>
      <c r="G161" s="5" t="str">
        <f>IFERROR(__xludf.DUMMYFUNCTION("GOOGLETRANSLATE(B161, ""en"", ""hi"")"),"एक अभ्यासी सिलंबम चाल का प्रदर्शन कर रहा है जिसमें नीचे की ओर प्रहार के बाद तेज़ी से ऊपर की ओर अवरोध होता है। इस संयोजन का मुख्य उद्देश्य क्या है?")</f>
        <v>एक अभ्यासी सिलंबम चाल का प्रदर्शन कर रहा है जिसमें नीचे की ओर प्रहार के बाद तेज़ी से ऊपर की ओर अवरोध होता है। इस संयोजन का मुख्य उद्देश्य क्या है?</v>
      </c>
      <c r="H161" s="5" t="str">
        <f>IFERROR(__xludf.DUMMYFUNCTION("GOOGLETRANSLATE(C161, ""en"", ""hi"")"),"A) जवाबी हमले से बचाव के लिए, B) शक्ति बढ़ाने के लिए, C) ध्यान भटकाने के लिए, D) कौशल दिखाने के लिए")</f>
        <v>A) जवाबी हमले से बचाव के लिए, B) शक्ति बढ़ाने के लिए, C) ध्यान भटकाने के लिए, D) कौशल दिखाने के लिए</v>
      </c>
      <c r="I161" s="5" t="str">
        <f>IFERROR(__xludf.DUMMYFUNCTION("GOOGLETRANSLATE(D161, ""en"", ""hi"")"),"A) जवाबी हमले से बचाव के लिए")</f>
        <v>A) जवाबी हमले से बचाव के लिए</v>
      </c>
    </row>
    <row r="162" ht="22.5" customHeight="1">
      <c r="A162" s="2">
        <v>161.0</v>
      </c>
      <c r="B162" s="3" t="s">
        <v>9552</v>
      </c>
      <c r="C162" s="3" t="s">
        <v>9553</v>
      </c>
      <c r="D162" s="3" t="s">
        <v>9464</v>
      </c>
      <c r="F162" s="5" t="str">
        <f>IFERROR(__xludf.DUMMYFUNCTION("GOOGLETRANSLATE(A162, ""en"", ""hi"")"),"161")</f>
        <v>161</v>
      </c>
      <c r="G162" s="5" t="str">
        <f>IFERROR(__xludf.DUMMYFUNCTION("GOOGLETRANSLATE(B162, ""en"", ""hi"")"),"सिलंबम प्रदर्शन के दौरान, साधक एक ऐसी मुद्रा करता है जिसमें आगे बढ़ते हुए दंड को अपने शरीर के सामने घुमाता है। इस मुद्रा का मुख्य लक्ष्य क्या है?")</f>
        <v>सिलंबम प्रदर्शन के दौरान, साधक एक ऐसी मुद्रा करता है जिसमें आगे बढ़ते हुए दंड को अपने शरीर के सामने घुमाता है। इस मुद्रा का मुख्य लक्ष्य क्या है?</v>
      </c>
      <c r="H162" s="5" t="str">
        <f>IFERROR(__xludf.DUMMYFUNCTION("GOOGLETRANSLATE(C162, ""en"", ""hi"")"),"A) रक्षात्मक अवरोध उत्पन्न करना, B) प्रतिद्वंद्वी को भ्रमित करना, C) कौशल प्रदर्शित करना, D) प्रहार शक्ति बढ़ाना")</f>
        <v>A) रक्षात्मक अवरोध उत्पन्न करना, B) प्रतिद्वंद्वी को भ्रमित करना, C) कौशल प्रदर्शित करना, D) प्रहार शक्ति बढ़ाना</v>
      </c>
      <c r="I162" s="5" t="str">
        <f>IFERROR(__xludf.DUMMYFUNCTION("GOOGLETRANSLATE(D162, ""en"", ""hi"")"),"A) रक्षात्मक अवरोध बनाने के लिए")</f>
        <v>A) रक्षात्मक अवरोध बनाने के लिए</v>
      </c>
    </row>
    <row r="163" ht="22.5" customHeight="1">
      <c r="A163" s="2">
        <v>162.0</v>
      </c>
      <c r="B163" s="3" t="s">
        <v>9554</v>
      </c>
      <c r="C163" s="3" t="s">
        <v>9555</v>
      </c>
      <c r="D163" s="3" t="s">
        <v>9556</v>
      </c>
      <c r="F163" s="5" t="str">
        <f>IFERROR(__xludf.DUMMYFUNCTION("GOOGLETRANSLATE(A163, ""en"", ""hi"")"),"162")</f>
        <v>162</v>
      </c>
      <c r="G163" s="5" t="str">
        <f>IFERROR(__xludf.DUMMYFUNCTION("GOOGLETRANSLATE(B163, ""en"", ""hi"")"),"सिलंबम में, एक साधक 'उप्पू वीचू' तकनीक का अभ्यास कर रहा है। इस मुद्रा का मुख्य केंद्र क्या है?")</f>
        <v>सिलंबम में, एक साधक 'उप्पू वीचू' तकनीक का अभ्यास कर रहा है। इस मुद्रा का मुख्य केंद्र क्या है?</v>
      </c>
      <c r="H163" s="5" t="str">
        <f>IFERROR(__xludf.DUMMYFUNCTION("GOOGLETRANSLATE(C163, ""en"", ""hi"")"),"A) ऊपर की ओर प्रहार करना, B) रक्षा करना, C) बचाव करना, D) संतुलन बनाना")</f>
        <v>A) ऊपर की ओर प्रहार करना, B) रक्षा करना, C) बचाव करना, D) संतुलन बनाना</v>
      </c>
      <c r="I163" s="5" t="str">
        <f>IFERROR(__xludf.DUMMYFUNCTION("GOOGLETRANSLATE(D163, ""en"", ""hi"")"),"A) ऊपर की ओर प्रहार करना")</f>
        <v>A) ऊपर की ओर प्रहार करना</v>
      </c>
    </row>
    <row r="164" ht="22.5" customHeight="1">
      <c r="A164" s="2">
        <v>163.0</v>
      </c>
      <c r="B164" s="3" t="s">
        <v>9557</v>
      </c>
      <c r="C164" s="3" t="s">
        <v>9558</v>
      </c>
      <c r="D164" s="3" t="s">
        <v>9303</v>
      </c>
      <c r="F164" s="5" t="str">
        <f>IFERROR(__xludf.DUMMYFUNCTION("GOOGLETRANSLATE(A164, ""en"", ""hi"")"),"163")</f>
        <v>163</v>
      </c>
      <c r="G164" s="5" t="str">
        <f>IFERROR(__xludf.DUMMYFUNCTION("GOOGLETRANSLATE(B164, ""en"", ""hi"")"),"एक सिलंबम छात्र एक ऐसी तकनीक का अभ्यास करता है जिसमें प्रतिद्वंद्वी की तरफ़ तेज़ी से, बारी-बारी से कई वार किए जाते हैं। इस रणनीति का उद्देश्य क्या है?")</f>
        <v>एक सिलंबम छात्र एक ऐसी तकनीक का अभ्यास करता है जिसमें प्रतिद्वंद्वी की तरफ़ तेज़ी से, बारी-बारी से कई वार किए जाते हैं। इस रणनीति का उद्देश्य क्या है?</v>
      </c>
      <c r="H164" s="5" t="str">
        <f>IFERROR(__xludf.DUMMYFUNCTION("GOOGLETRANSLATE(C164, ""en"", ""hi"")"),"A) अवसर पैदा करना, B) प्रतिद्वंद्वी को परास्त करना, C) कौशल का प्रदर्शन करना, D) प्रतिद्वंद्वी को भ्रमित करना")</f>
        <v>A) अवसर पैदा करना, B) प्रतिद्वंद्वी को परास्त करना, C) कौशल का प्रदर्शन करना, D) प्रतिद्वंद्वी को भ्रमित करना</v>
      </c>
      <c r="I164" s="5" t="str">
        <f>IFERROR(__xludf.DUMMYFUNCTION("GOOGLETRANSLATE(D164, ""en"", ""hi"")"),"बी) प्रतिद्वंद्वी को परास्त करना")</f>
        <v>बी) प्रतिद्वंद्वी को परास्त करना</v>
      </c>
    </row>
    <row r="165" ht="22.5" customHeight="1">
      <c r="A165" s="2">
        <v>164.0</v>
      </c>
      <c r="B165" s="3" t="s">
        <v>9559</v>
      </c>
      <c r="C165" s="3" t="s">
        <v>9560</v>
      </c>
      <c r="D165" s="3" t="s">
        <v>9401</v>
      </c>
      <c r="F165" s="5" t="str">
        <f>IFERROR(__xludf.DUMMYFUNCTION("GOOGLETRANSLATE(A165, ""en"", ""hi"")"),"164")</f>
        <v>164</v>
      </c>
      <c r="G165" s="5" t="str">
        <f>IFERROR(__xludf.DUMMYFUNCTION("GOOGLETRANSLATE(B165, ""en"", ""hi"")"),"सिलंबम प्रशिक्षण सत्र के दौरान, अभ्यासकर्ता 'थड़वारा' तकनीक का उपयोग करता है। इस मुद्रा का प्राथमिक लक्ष्य क्या है?")</f>
        <v>सिलंबम प्रशिक्षण सत्र के दौरान, अभ्यासकर्ता 'थड़वारा' तकनीक का उपयोग करता है। इस मुद्रा का प्राथमिक लक्ष्य क्या है?</v>
      </c>
      <c r="H165" s="5" t="str">
        <f>IFERROR(__xludf.DUMMYFUNCTION("GOOGLETRANSLATE(C165, ""en"", ""hi"")"),"A) पहुंच बढ़ाने के लिए, B) रक्षात्मक अवरोध बनाने के लिए, C) सटीक प्रहार करने के लिए, D) प्रतिद्वंद्वी को भ्रमित करने के लिए")</f>
        <v>A) पहुंच बढ़ाने के लिए, B) रक्षात्मक अवरोध बनाने के लिए, C) सटीक प्रहार करने के लिए, D) प्रतिद्वंद्वी को भ्रमित करने के लिए</v>
      </c>
      <c r="I165" s="5" t="str">
        <f>IFERROR(__xludf.DUMMYFUNCTION("GOOGLETRANSLATE(D165, ""en"", ""hi"")"),"बी) रक्षात्मक अवरोध बनाने के लिए")</f>
        <v>बी) रक्षात्मक अवरोध बनाने के लिए</v>
      </c>
    </row>
    <row r="166" ht="22.5" customHeight="1">
      <c r="A166" s="2">
        <v>165.0</v>
      </c>
      <c r="B166" s="3" t="s">
        <v>9561</v>
      </c>
      <c r="C166" s="3" t="s">
        <v>9562</v>
      </c>
      <c r="D166" s="3" t="s">
        <v>9563</v>
      </c>
      <c r="F166" s="5" t="str">
        <f>IFERROR(__xludf.DUMMYFUNCTION("GOOGLETRANSLATE(A166, ""en"", ""hi"")"),"165")</f>
        <v>165</v>
      </c>
      <c r="G166" s="5" t="str">
        <f>IFERROR(__xludf.DUMMYFUNCTION("GOOGLETRANSLATE(B166, ""en"", ""hi"")"),"सिलंबम युद्ध में, अभ्यासकर्ता एक ऐसी तकनीक का उपयोग करता है जिसमें नीचे की ओर प्रहार करने से पहले छड़ी को ऊपर की ओर घुमाया जाता है। इस युद्धाभ्यास का मुख्य उद्देश्य क्या है?")</f>
        <v>सिलंबम युद्ध में, अभ्यासकर्ता एक ऐसी तकनीक का उपयोग करता है जिसमें नीचे की ओर प्रहार करने से पहले छड़ी को ऊपर की ओर घुमाया जाता है। इस युद्धाभ्यास का मुख्य उद्देश्य क्या है?</v>
      </c>
      <c r="H166" s="5" t="str">
        <f>IFERROR(__xludf.DUMMYFUNCTION("GOOGLETRANSLATE(C166, ""en"", ""hi"")"),"A) प्रहार शक्ति बढ़ाने के लिए, B) रक्षात्मक अवरोध बनाने के लिए, C) कौशल प्रदर्शित करने के लिए, D) प्रतिद्वंद्वी को भ्रमित करने के लिए")</f>
        <v>A) प्रहार शक्ति बढ़ाने के लिए, B) रक्षात्मक अवरोध बनाने के लिए, C) कौशल प्रदर्शित करने के लिए, D) प्रतिद्वंद्वी को भ्रमित करने के लिए</v>
      </c>
      <c r="I166" s="5" t="str">
        <f>IFERROR(__xludf.DUMMYFUNCTION("GOOGLETRANSLATE(D166, ""en"", ""hi"")"),"A) प्रहार शक्ति बढ़ाने के लिए")</f>
        <v>A) प्रहार शक्ति बढ़ाने के लिए</v>
      </c>
    </row>
    <row r="167" ht="22.5" customHeight="1">
      <c r="A167" s="2">
        <v>166.0</v>
      </c>
      <c r="B167" s="3" t="s">
        <v>9564</v>
      </c>
      <c r="C167" s="3" t="s">
        <v>9565</v>
      </c>
      <c r="D167" s="3" t="s">
        <v>9566</v>
      </c>
      <c r="F167" s="5" t="str">
        <f>IFERROR(__xludf.DUMMYFUNCTION("GOOGLETRANSLATE(A167, ""en"", ""hi"")"),"166")</f>
        <v>166</v>
      </c>
      <c r="G167" s="5" t="str">
        <f>IFERROR(__xludf.DUMMYFUNCTION("GOOGLETRANSLATE(B167, ""en"", ""hi"")"),"एक अभ्यासकर्ता प्रदर्शन के दौरान 'मुदाल वीचु' तकनीक का प्रयोग करता है। इस क्रिया का मुख्य उद्देश्य क्या है?")</f>
        <v>एक अभ्यासकर्ता प्रदर्शन के दौरान 'मुदाल वीचु' तकनीक का प्रयोग करता है। इस क्रिया का मुख्य उद्देश्य क्या है?</v>
      </c>
      <c r="H167" s="5" t="str">
        <f>IFERROR(__xludf.DUMMYFUNCTION("GOOGLETRANSLATE(C167, ""en"", ""hi"")"),"A) सीधा प्रहार करना, B) बचना, C) रक्षा करना, D) संतुलन बनाना")</f>
        <v>A) सीधा प्रहार करना, B) बचना, C) रक्षा करना, D) संतुलन बनाना</v>
      </c>
      <c r="I167" s="5" t="str">
        <f>IFERROR(__xludf.DUMMYFUNCTION("GOOGLETRANSLATE(D167, ""en"", ""hi"")"),"A) सीधा प्रहार करना")</f>
        <v>A) सीधा प्रहार करना</v>
      </c>
    </row>
    <row r="168" ht="22.5" customHeight="1">
      <c r="A168" s="2">
        <v>167.0</v>
      </c>
      <c r="B168" s="3" t="s">
        <v>9567</v>
      </c>
      <c r="C168" s="3" t="s">
        <v>9568</v>
      </c>
      <c r="D168" s="3" t="s">
        <v>9311</v>
      </c>
      <c r="F168" s="5" t="str">
        <f>IFERROR(__xludf.DUMMYFUNCTION("GOOGLETRANSLATE(A168, ""en"", ""hi"")"),"167")</f>
        <v>167</v>
      </c>
      <c r="G168" s="5" t="str">
        <f>IFERROR(__xludf.DUMMYFUNCTION("GOOGLETRANSLATE(B168, ""en"", ""hi"")"),"सिलंबम स्पैरिंग सत्र के दौरान, अभ्यासकर्ता एक ऐसी चाल करता है जिसमें एक तेज़ स्पिन के बाद एक लो स्वीप शामिल होता है। इस संयोजन का अपेक्षित प्रभाव क्या है?")</f>
        <v>सिलंबम स्पैरिंग सत्र के दौरान, अभ्यासकर्ता एक ऐसी चाल करता है जिसमें एक तेज़ स्पिन के बाद एक लो स्वीप शामिल होता है। इस संयोजन का अपेक्षित प्रभाव क्या है?</v>
      </c>
      <c r="H168" s="5" t="str">
        <f>IFERROR(__xludf.DUMMYFUNCTION("GOOGLETRANSLATE(C168, ""en"", ""hi"")"),"A) प्रतिद्वंद्वी को भ्रमित करने के लिए, B) प्रतिद्वंद्वी को असंतुलित करने के लिए, C) कौशल का प्रदर्शन करने के लिए, D) शक्ति बढ़ाने के लिए")</f>
        <v>A) प्रतिद्वंद्वी को भ्रमित करने के लिए, B) प्रतिद्वंद्वी को असंतुलित करने के लिए, C) कौशल का प्रदर्शन करने के लिए, D) शक्ति बढ़ाने के लिए</v>
      </c>
      <c r="I168" s="5" t="str">
        <f>IFERROR(__xludf.DUMMYFUNCTION("GOOGLETRANSLATE(D168, ""en"", ""hi"")"),"बी) प्रतिद्वंद्वी का संतुलन बिगाड़ना")</f>
        <v>बी) प्रतिद्वंद्वी का संतुलन बिगाड़ना</v>
      </c>
    </row>
    <row r="169" ht="22.5" customHeight="1">
      <c r="A169" s="2">
        <v>168.0</v>
      </c>
      <c r="B169" s="3" t="s">
        <v>9569</v>
      </c>
      <c r="C169" s="3" t="s">
        <v>9570</v>
      </c>
      <c r="D169" s="3" t="s">
        <v>9571</v>
      </c>
      <c r="F169" s="5" t="str">
        <f>IFERROR(__xludf.DUMMYFUNCTION("GOOGLETRANSLATE(A169, ""en"", ""hi"")"),"168")</f>
        <v>168</v>
      </c>
      <c r="G169" s="5" t="str">
        <f>IFERROR(__xludf.DUMMYFUNCTION("GOOGLETRANSLATE(B169, ""en"", ""hi"")"),"सिलंबम में, साधक 'थुली वीचु' तकनीक का प्रदर्शन कर रहा है। इस क्रिया का प्राथमिक उद्देश्य क्या है?")</f>
        <v>सिलंबम में, साधक 'थुली वीचु' तकनीक का प्रदर्शन कर रहा है। इस क्रिया का प्राथमिक उद्देश्य क्या है?</v>
      </c>
      <c r="H169" s="5" t="str">
        <f>IFERROR(__xludf.DUMMYFUNCTION("GOOGLETRANSLATE(C169, ""en"", ""hi"")"),"A) सटीक प्रहार करना, B) हमले से बचना, C) ध्यान भटकाना, D) कौशल प्रदर्शित करना")</f>
        <v>A) सटीक प्रहार करना, B) हमले से बचना, C) ध्यान भटकाना, D) कौशल प्रदर्शित करना</v>
      </c>
      <c r="I169" s="5" t="str">
        <f>IFERROR(__xludf.DUMMYFUNCTION("GOOGLETRANSLATE(D169, ""en"", ""hi"")"),"A) सटीक प्रहार करना")</f>
        <v>A) सटीक प्रहार करना</v>
      </c>
    </row>
    <row r="170" ht="22.5" customHeight="1">
      <c r="A170" s="2">
        <v>169.0</v>
      </c>
      <c r="B170" s="3" t="s">
        <v>9572</v>
      </c>
      <c r="C170" s="3" t="s">
        <v>9485</v>
      </c>
      <c r="D170" s="3" t="s">
        <v>9486</v>
      </c>
      <c r="F170" s="5" t="str">
        <f>IFERROR(__xludf.DUMMYFUNCTION("GOOGLETRANSLATE(A170, ""en"", ""hi"")"),"169")</f>
        <v>169</v>
      </c>
      <c r="G170" s="5" t="str">
        <f>IFERROR(__xludf.DUMMYFUNCTION("GOOGLETRANSLATE(B170, ""en"", ""hi"")"),"एक सिलंबम छात्र एक ऐसी तकनीक सीख रहा है जिसमें रक्षात्मक ब्लॉक लगाते समय पीछे हटना शामिल है। इस चाल का उद्देश्य क्या है?")</f>
        <v>एक सिलंबम छात्र एक ऐसी तकनीक सीख रहा है जिसमें रक्षात्मक ब्लॉक लगाते समय पीछे हटना शामिल है। इस चाल का उद्देश्य क्या है?</v>
      </c>
      <c r="H170" s="5" t="str">
        <f>IFERROR(__xludf.DUMMYFUNCTION("GOOGLETRANSLATE(C170, ""en"", ""hi"")"),"A) हमले से बचने के लिए, B) प्रतिद्वंद्वी को भ्रमित करने के लिए, C) कौशल दिखाने के लिए, D) शक्ति बढ़ाने के लिए")</f>
        <v>A) हमले से बचने के लिए, B) प्रतिद्वंद्वी को भ्रमित करने के लिए, C) कौशल दिखाने के लिए, D) शक्ति बढ़ाने के लिए</v>
      </c>
      <c r="I170" s="5" t="str">
        <f>IFERROR(__xludf.DUMMYFUNCTION("GOOGLETRANSLATE(D170, ""en"", ""hi"")"),"A) हमले से बचने के लिए")</f>
        <v>A) हमले से बचने के लिए</v>
      </c>
    </row>
    <row r="171" ht="22.5" customHeight="1">
      <c r="A171" s="2">
        <v>170.0</v>
      </c>
      <c r="B171" s="3" t="s">
        <v>9573</v>
      </c>
      <c r="C171" s="3" t="s">
        <v>9574</v>
      </c>
      <c r="D171" s="3" t="s">
        <v>9445</v>
      </c>
      <c r="F171" s="5" t="str">
        <f>IFERROR(__xludf.DUMMYFUNCTION("GOOGLETRANSLATE(A171, ""en"", ""hi"")"),"170")</f>
        <v>170</v>
      </c>
      <c r="G171" s="5" t="str">
        <f>IFERROR(__xludf.DUMMYFUNCTION("GOOGLETRANSLATE(B171, ""en"", ""hi"")"),"सिलंबम प्रदर्शन के दौरान, अभ्यासकर्ता एक ऐसी चाल का प्रयोग करता है जिसमें एक तेज़, नीचे की ओर प्रहार के बाद एक घूमता हुआ पार्श्व प्रहार शामिल होता है। इस संयोजन का प्राथमिक लक्ष्य क्या है?")</f>
        <v>सिलंबम प्रदर्शन के दौरान, अभ्यासकर्ता एक ऐसी चाल का प्रयोग करता है जिसमें एक तेज़, नीचे की ओर प्रहार के बाद एक घूमता हुआ पार्श्व प्रहार शामिल होता है। इस संयोजन का प्राथमिक लक्ष्य क्या है?</v>
      </c>
      <c r="H171" s="5" t="str">
        <f>IFERROR(__xludf.DUMMYFUNCTION("GOOGLETRANSLATE(C171, ""en"", ""hi"")"),"A) प्रतिद्वंद्वी को परास्त करना, B) रक्षात्मक अवरोध उत्पन्न करना, C) शक्ति बढ़ाना, D) कौशल प्रदर्शित करना")</f>
        <v>A) प्रतिद्वंद्वी को परास्त करना, B) रक्षात्मक अवरोध उत्पन्न करना, C) शक्ति बढ़ाना, D) कौशल प्रदर्शित करना</v>
      </c>
      <c r="I171" s="5" t="str">
        <f>IFERROR(__xludf.DUMMYFUNCTION("GOOGLETRANSLATE(D171, ""en"", ""hi"")"),"A) प्रतिद्वंद्वी को परास्त करना")</f>
        <v>A) प्रतिद्वंद्वी को परास्त करना</v>
      </c>
    </row>
    <row r="172" ht="22.5" customHeight="1">
      <c r="A172" s="2">
        <v>171.0</v>
      </c>
      <c r="B172" s="3" t="s">
        <v>9575</v>
      </c>
      <c r="C172" s="3" t="s">
        <v>9576</v>
      </c>
      <c r="D172" s="3" t="s">
        <v>9519</v>
      </c>
      <c r="F172" s="5" t="str">
        <f>IFERROR(__xludf.DUMMYFUNCTION("GOOGLETRANSLATE(A172, ""en"", ""hi"")"),"171")</f>
        <v>171</v>
      </c>
      <c r="G172" s="5" t="str">
        <f>IFERROR(__xludf.DUMMYFUNCTION("GOOGLETRANSLATE(B172, ""en"", ""hi"")"),"सिलंबम में, एक साधक 'थट्टू नादई' तकनीक का अभ्यास कर रहा है। इस क्रिया का मुख्य केंद्र क्या है?")</f>
        <v>सिलंबम में, एक साधक 'थट्टू नादई' तकनीक का अभ्यास कर रहा है। इस क्रिया का मुख्य केंद्र क्या है?</v>
      </c>
      <c r="H172" s="5" t="str">
        <f>IFERROR(__xludf.DUMMYFUNCTION("GOOGLETRANSLATE(C172, ""en"", ""hi"")"),"A) रक्षा, B) आक्रमण, C) परिहार, D) संतुलन")</f>
        <v>A) रक्षा, B) आक्रमण, C) परिहार, D) संतुलन</v>
      </c>
      <c r="I172" s="5" t="str">
        <f>IFERROR(__xludf.DUMMYFUNCTION("GOOGLETRANSLATE(D172, ""en"", ""hi"")"),"ए) रक्षा")</f>
        <v>ए) रक्षा</v>
      </c>
    </row>
    <row r="173" ht="22.5" customHeight="1">
      <c r="A173" s="2">
        <v>172.0</v>
      </c>
      <c r="B173" s="3" t="s">
        <v>9577</v>
      </c>
      <c r="C173" s="3" t="s">
        <v>9537</v>
      </c>
      <c r="D173" s="3" t="s">
        <v>9538</v>
      </c>
      <c r="F173" s="5" t="str">
        <f>IFERROR(__xludf.DUMMYFUNCTION("GOOGLETRANSLATE(A173, ""en"", ""hi"")"),"172")</f>
        <v>172</v>
      </c>
      <c r="G173" s="5" t="str">
        <f>IFERROR(__xludf.DUMMYFUNCTION("GOOGLETRANSLATE(B173, ""en"", ""hi"")"),"एक अभ्यासक मैच के दौरान 'पिडी वीचू' तकनीक का प्रयोग करता है। इस चाल का मुख्य केंद्र क्या है?")</f>
        <v>एक अभ्यासक मैच के दौरान 'पिडी वीचू' तकनीक का प्रयोग करता है। इस चाल का मुख्य केंद्र क्या है?</v>
      </c>
      <c r="H173" s="5" t="str">
        <f>IFERROR(__xludf.DUMMYFUNCTION("GOOGLETRANSLATE(C173, ""en"", ""hi"")"),"A) प्रतिद्वंद्वी के हथियार को पकड़ना, B) सटीकता से प्रहार करना, C) रक्षात्मक अवरोध बनाना, D) कौशल का प्रदर्शन करना")</f>
        <v>A) प्रतिद्वंद्वी के हथियार को पकड़ना, B) सटीकता से प्रहार करना, C) रक्षात्मक अवरोध बनाना, D) कौशल का प्रदर्शन करना</v>
      </c>
      <c r="I173" s="5" t="str">
        <f>IFERROR(__xludf.DUMMYFUNCTION("GOOGLETRANSLATE(D173, ""en"", ""hi"")"),"A) प्रतिद्वंद्वी का हथियार छीनना")</f>
        <v>A) प्रतिद्वंद्वी का हथियार छीनना</v>
      </c>
    </row>
    <row r="174" ht="22.5" customHeight="1">
      <c r="A174" s="2">
        <v>173.0</v>
      </c>
      <c r="B174" s="3" t="s">
        <v>9578</v>
      </c>
      <c r="C174" s="3" t="s">
        <v>9498</v>
      </c>
      <c r="D174" s="3" t="s">
        <v>9220</v>
      </c>
      <c r="F174" s="5" t="str">
        <f>IFERROR(__xludf.DUMMYFUNCTION("GOOGLETRANSLATE(A174, ""en"", ""hi"")"),"173")</f>
        <v>173</v>
      </c>
      <c r="G174" s="5" t="str">
        <f>IFERROR(__xludf.DUMMYFUNCTION("GOOGLETRANSLATE(B174, ""en"", ""hi"")"),"सिलंबम स्पैरिंग सत्र के दौरान, अभ्यासकर्ता एक ऐसी चाल अपनाता है जिसमें एक ऊँचा, घूमता हुआ प्रहार और उसके बाद आगे की ओर एक ज़ोर लगाना शामिल होता है। इस संयोजन का अपेक्षित प्रभाव क्या है?")</f>
        <v>सिलंबम स्पैरिंग सत्र के दौरान, अभ्यासकर्ता एक ऐसी चाल अपनाता है जिसमें एक ऊँचा, घूमता हुआ प्रहार और उसके बाद आगे की ओर एक ज़ोर लगाना शामिल होता है। इस संयोजन का अपेक्षित प्रभाव क्या है?</v>
      </c>
      <c r="H174" s="5" t="str">
        <f>IFERROR(__xludf.DUMMYFUNCTION("GOOGLETRANSLATE(C174, ""en"", ""hi"")"),"A) प्रतिद्वंद्वी का संतुलन बिगाड़ना, B) ध्यान भटकाना, C) कौशल दिखाना, D) शक्ति बढ़ाना")</f>
        <v>A) प्रतिद्वंद्वी का संतुलन बिगाड़ना, B) ध्यान भटकाना, C) कौशल दिखाना, D) शक्ति बढ़ाना</v>
      </c>
      <c r="I174" s="5" t="str">
        <f>IFERROR(__xludf.DUMMYFUNCTION("GOOGLETRANSLATE(D174, ""en"", ""hi"")"),"A) प्रतिद्वंद्वी का संतुलन बिगाड़ना")</f>
        <v>A) प्रतिद्वंद्वी का संतुलन बिगाड़ना</v>
      </c>
    </row>
    <row r="175" ht="22.5" customHeight="1">
      <c r="A175" s="2">
        <v>174.0</v>
      </c>
      <c r="B175" s="3" t="s">
        <v>9579</v>
      </c>
      <c r="C175" s="3" t="s">
        <v>9580</v>
      </c>
      <c r="D175" s="3" t="s">
        <v>9581</v>
      </c>
      <c r="F175" s="5" t="str">
        <f>IFERROR(__xludf.DUMMYFUNCTION("GOOGLETRANSLATE(A175, ""en"", ""hi"")"),"174")</f>
        <v>174</v>
      </c>
      <c r="G175" s="5" t="str">
        <f>IFERROR(__xludf.DUMMYFUNCTION("GOOGLETRANSLATE(B175, ""en"", ""hi"")"),"सिलंबम द्वंद्वयुद्ध के दौरान, प्रतिद्वंद्वी ज़ोरदार प्रहार के साथ आगे बढ़ता है। इस हमले का प्रभावी ढंग से मुकाबला करने के लिए अभ्यासकर्ता को कौन सी तकनीक अपनानी चाहिए?")</f>
        <v>सिलंबम द्वंद्वयुद्ध के दौरान, प्रतिद्वंद्वी ज़ोरदार प्रहार के साथ आगे बढ़ता है। इस हमले का प्रभावी ढंग से मुकाबला करने के लिए अभ्यासकर्ता को कौन सी तकनीक अपनानी चाहिए?</v>
      </c>
      <c r="H175" s="5" t="str">
        <f>IFERROR(__xludf.DUMMYFUNCTION("GOOGLETRANSLATE(C175, ""en"", ""hi"")"),"ए) साइड स्टेप और स्वीप, बी) ब्लॉक और स्ट्राइक, सी) लीप और थ्रस्ट, डी) स्पिन और एवेड")</f>
        <v>ए) साइड स्टेप और स्वीप, बी) ब्लॉक और स्ट्राइक, सी) लीप और थ्रस्ट, डी) स्पिन और एवेड</v>
      </c>
      <c r="I175" s="5" t="str">
        <f>IFERROR(__xludf.DUMMYFUNCTION("GOOGLETRANSLATE(D175, ""en"", ""hi"")"),"बी) ब्लॉक और स्ट्राइक")</f>
        <v>बी) ब्लॉक और स्ट्राइक</v>
      </c>
    </row>
    <row r="176" ht="22.5" customHeight="1">
      <c r="A176" s="2">
        <v>175.0</v>
      </c>
      <c r="B176" s="3" t="s">
        <v>9582</v>
      </c>
      <c r="C176" s="3" t="s">
        <v>9583</v>
      </c>
      <c r="D176" s="3" t="s">
        <v>9584</v>
      </c>
      <c r="F176" s="5" t="str">
        <f>IFERROR(__xludf.DUMMYFUNCTION("GOOGLETRANSLATE(A176, ""en"", ""hi"")"),"175")</f>
        <v>175</v>
      </c>
      <c r="G176" s="5" t="str">
        <f>IFERROR(__xludf.DUMMYFUNCTION("GOOGLETRANSLATE(B176, ""en"", ""hi"")"),"एक अभ्यासी आक्रामक आक्रमण शैली वाले प्रतिद्वंद्वी का सामना कर रहा है। दूरी बनाने और प्रतिद्वंद्वी को दूर रखने में कौन सी सिलंबम तकनीक सबसे प्रभावी होगी?")</f>
        <v>एक अभ्यासी आक्रामक आक्रमण शैली वाले प्रतिद्वंद्वी का सामना कर रहा है। दूरी बनाने और प्रतिद्वंद्वी को दूर रखने में कौन सी सिलंबम तकनीक सबसे प्रभावी होगी?</v>
      </c>
      <c r="H176" s="5" t="str">
        <f>IFERROR(__xludf.DUMMYFUNCTION("GOOGLETRANSLATE(C176, ""en"", ""hi"")"),"ए) थट्टू वीचू, बी) पिन्नल वीचू, सी) विरुक्कु वीचू, डी) काई वीचू")</f>
        <v>ए) थट्टू वीचू, बी) पिन्नल वीचू, सी) विरुक्कु वीचू, डी) काई वीचू</v>
      </c>
      <c r="I176" s="5" t="str">
        <f>IFERROR(__xludf.DUMMYFUNCTION("GOOGLETRANSLATE(D176, ""en"", ""hi"")"),"बी) पिन्नल वीचु")</f>
        <v>बी) पिन्नल वीचु</v>
      </c>
    </row>
    <row r="177" ht="22.5" customHeight="1">
      <c r="A177" s="2">
        <v>176.0</v>
      </c>
      <c r="B177" s="3" t="s">
        <v>9585</v>
      </c>
      <c r="C177" s="3" t="s">
        <v>9586</v>
      </c>
      <c r="D177" s="3" t="s">
        <v>9587</v>
      </c>
      <c r="F177" s="5" t="str">
        <f>IFERROR(__xludf.DUMMYFUNCTION("GOOGLETRANSLATE(A177, ""en"", ""hi"")"),"176")</f>
        <v>176</v>
      </c>
      <c r="G177" s="5" t="str">
        <f>IFERROR(__xludf.DUMMYFUNCTION("GOOGLETRANSLATE(B177, ""en"", ""hi"")"),"स्पैरिंग सत्र में, प्रतिद्वंद्वी एक नीची स्वीपिंग स्ट्राइक का उपयोग करता है। आक्रामक रुख बनाए रखते हुए, वार से बचने के लिए अभ्यासकर्ता को किस प्रकार प्रतिक्रिया देनी चाहिए?")</f>
        <v>स्पैरिंग सत्र में, प्रतिद्वंद्वी एक नीची स्वीपिंग स्ट्राइक का उपयोग करता है। आक्रामक रुख बनाए रखते हुए, वार से बचने के लिए अभ्यासकर्ता को किस प्रकार प्रतिक्रिया देनी चाहिए?</v>
      </c>
      <c r="H177" s="5" t="str">
        <f>IFERROR(__xludf.DUMMYFUNCTION("GOOGLETRANSLATE(C177, ""en"", ""hi"")"),"ए) कूदें और वार करें, बी) नीचे से ब्लॉक करें और काउंटर करें, सी) साइड स्टेप करें और जोर लगाएं, डी) स्पिन करें और स्वीप करें")</f>
        <v>ए) कूदें और वार करें, बी) नीचे से ब्लॉक करें और काउंटर करें, सी) साइड स्टेप करें और जोर लगाएं, डी) स्पिन करें और स्वीप करें</v>
      </c>
      <c r="I177" s="5" t="str">
        <f>IFERROR(__xludf.DUMMYFUNCTION("GOOGLETRANSLATE(D177, ""en"", ""hi"")"),"बी) ब्लॉक लो और काउंटर")</f>
        <v>बी) ब्लॉक लो और काउंटर</v>
      </c>
    </row>
    <row r="178" ht="22.5" customHeight="1">
      <c r="A178" s="2">
        <v>177.0</v>
      </c>
      <c r="B178" s="3" t="s">
        <v>9588</v>
      </c>
      <c r="C178" s="3" t="s">
        <v>9589</v>
      </c>
      <c r="D178" s="3" t="s">
        <v>9590</v>
      </c>
      <c r="F178" s="5" t="str">
        <f>IFERROR(__xludf.DUMMYFUNCTION("GOOGLETRANSLATE(A178, ""en"", ""hi"")"),"177")</f>
        <v>177</v>
      </c>
      <c r="G178" s="5" t="str">
        <f>IFERROR(__xludf.DUMMYFUNCTION("GOOGLETRANSLATE(B178, ""en"", ""hi"")"),"सिलंबम प्रदर्शन के दौरान, अभ्यासकर्ता को एक साथ कई विरोधियों के आक्रमण का सामना करना पड़ता है। इस स्थिति से निपटने के लिए उन्हें क्या रणनीति अपनानी चाहिए?")</f>
        <v>सिलंबम प्रदर्शन के दौरान, अभ्यासकर्ता को एक साथ कई विरोधियों के आक्रमण का सामना करना पड़ता है। इस स्थिति से निपटने के लिए उन्हें क्या रणनीति अपनानी चाहिए?</v>
      </c>
      <c r="H178" s="5" t="str">
        <f>IFERROR(__xludf.DUMMYFUNCTION("GOOGLETRANSLATE(C178, ""en"", ""hi"")"),"A) प्रत्यक्ष हमले, B) रक्षात्मक युद्धाभ्यास, C) वृत्ताकार गतिविधियाँ, D) परिहार")</f>
        <v>A) प्रत्यक्ष हमले, B) रक्षात्मक युद्धाभ्यास, C) वृत्ताकार गतिविधियाँ, D) परिहार</v>
      </c>
      <c r="I178" s="5" t="str">
        <f>IFERROR(__xludf.DUMMYFUNCTION("GOOGLETRANSLATE(D178, ""en"", ""hi"")"),"C) वृत्ताकार गतियाँ")</f>
        <v>C) वृत्ताकार गतियाँ</v>
      </c>
    </row>
    <row r="179" ht="22.5" customHeight="1">
      <c r="A179" s="2">
        <v>178.0</v>
      </c>
      <c r="B179" s="3" t="s">
        <v>9591</v>
      </c>
      <c r="C179" s="3" t="s">
        <v>9592</v>
      </c>
      <c r="D179" s="3" t="s">
        <v>9593</v>
      </c>
      <c r="F179" s="5" t="str">
        <f>IFERROR(__xludf.DUMMYFUNCTION("GOOGLETRANSLATE(A179, ""en"", ""hi"")"),"178")</f>
        <v>178</v>
      </c>
      <c r="G179" s="5" t="str">
        <f>IFERROR(__xludf.DUMMYFUNCTION("GOOGLETRANSLATE(B179, ""en"", ""hi"")"),"एक अभ्यासी को हथियार पकड़े हुए प्रतिद्वंद्वी को निहत्था करना होता है। सिलंबम में कौन सी तकनीक प्रतिद्वंद्वी को प्रभावी ढंग से निहत्था करने पर केंद्रित है?")</f>
        <v>एक अभ्यासी को हथियार पकड़े हुए प्रतिद्वंद्वी को निहत्था करना होता है। सिलंबम में कौन सी तकनीक प्रतिद्वंद्वी को प्रभावी ढंग से निहत्था करने पर केंद्रित है?</v>
      </c>
      <c r="H179" s="5" t="str">
        <f>IFERROR(__xludf.DUMMYFUNCTION("GOOGLETRANSLATE(C179, ""en"", ""hi"")"),"ए) पिडी वीचू, बी) उप्पू वीचू, सी) मुदल वीचू, डी) थट्टू नादाई")</f>
        <v>ए) पिडी वीचू, बी) उप्पू वीचू, सी) मुदल वीचू, डी) थट्टू नादाई</v>
      </c>
      <c r="I179" s="5" t="str">
        <f>IFERROR(__xludf.DUMMYFUNCTION("GOOGLETRANSLATE(D179, ""en"", ""hi"")"),"A) पिडी वीचु")</f>
        <v>A) पिडी वीचु</v>
      </c>
    </row>
    <row r="180" ht="22.5" customHeight="1">
      <c r="A180" s="2">
        <v>179.0</v>
      </c>
      <c r="B180" s="3" t="s">
        <v>9594</v>
      </c>
      <c r="C180" s="3" t="s">
        <v>9595</v>
      </c>
      <c r="D180" s="3" t="s">
        <v>9596</v>
      </c>
      <c r="F180" s="5" t="str">
        <f>IFERROR(__xludf.DUMMYFUNCTION("GOOGLETRANSLATE(A180, ""en"", ""hi"")"),"179")</f>
        <v>179</v>
      </c>
      <c r="G180" s="5" t="str">
        <f>IFERROR(__xludf.DUMMYFUNCTION("GOOGLETRANSLATE(B180, ""en"", ""hi"")"),"एक प्रदर्शन में, साधक 'आदि मुराई' तकनीक का प्रदर्शन करता है। सिलंबम में इस तकनीक का मुख्य केंद्र क्या है?")</f>
        <v>एक प्रदर्शन में, साधक 'आदि मुराई' तकनीक का प्रदर्शन करता है। सिलंबम में इस तकनीक का मुख्य केंद्र क्या है?</v>
      </c>
      <c r="H180" s="5" t="str">
        <f>IFERROR(__xludf.DUMMYFUNCTION("GOOGLETRANSLATE(C180, ""en"", ""hi"")"),"A) आक्रामक हमले, B) रक्षा, C) संयुक्त ताले, D) हथियार संचालन")</f>
        <v>A) आक्रामक हमले, B) रक्षा, C) संयुक्त ताले, D) हथियार संचालन</v>
      </c>
      <c r="I180" s="5" t="str">
        <f>IFERROR(__xludf.DUMMYFUNCTION("GOOGLETRANSLATE(D180, ""en"", ""hi"")"),"सी) संयुक्त ताले")</f>
        <v>सी) संयुक्त ताले</v>
      </c>
    </row>
    <row r="181" ht="22.5" customHeight="1">
      <c r="A181" s="2">
        <v>180.0</v>
      </c>
      <c r="B181" s="3" t="s">
        <v>9597</v>
      </c>
      <c r="C181" s="3" t="s">
        <v>9598</v>
      </c>
      <c r="D181" s="3" t="s">
        <v>9599</v>
      </c>
      <c r="F181" s="5" t="str">
        <f>IFERROR(__xludf.DUMMYFUNCTION("GOOGLETRANSLATE(A181, ""en"", ""hi"")"),"180")</f>
        <v>180</v>
      </c>
      <c r="G181" s="5" t="str">
        <f>IFERROR(__xludf.DUMMYFUNCTION("GOOGLETRANSLATE(B181, ""en"", ""hi"")"),"प्रशिक्षण सत्र के दौरान, प्रतिद्वंद्वी अभ्यासकर्ता के धड़ पर एक त्वरित प्रहार करने का लक्ष्य रखता है। सिलंबम तकनीकों का उपयोग करते हुए सबसे अच्छी तत्काल प्रतिक्रिया क्या है?")</f>
        <v>प्रशिक्षण सत्र के दौरान, प्रतिद्वंद्वी अभ्यासकर्ता के धड़ पर एक त्वरित प्रहार करने का लक्ष्य रखता है। सिलंबम तकनीकों का उपयोग करते हुए सबसे अच्छी तत्काल प्रतिक्रिया क्या है?</v>
      </c>
      <c r="H181" s="5" t="str">
        <f>IFERROR(__xludf.DUMMYFUNCTION("GOOGLETRANSLATE(C181, ""en"", ""hi"")"),"A) पैरी और स्ट्राइक, B) डक और स्वीप, C) ब्लॉक और थ्रस्ट, D) स्पिन और एवेड")</f>
        <v>A) पैरी और स्ट्राइक, B) डक और स्वीप, C) ब्लॉक और थ्रस्ट, D) स्पिन और एवेड</v>
      </c>
      <c r="I181" s="5" t="str">
        <f>IFERROR(__xludf.DUMMYFUNCTION("GOOGLETRANSLATE(D181, ""en"", ""hi"")"),"C) ब्लॉक और थ्रस्ट")</f>
        <v>C) ब्लॉक और थ्रस्ट</v>
      </c>
    </row>
    <row r="182" ht="22.5" customHeight="1">
      <c r="A182" s="2">
        <v>181.0</v>
      </c>
      <c r="B182" s="3" t="s">
        <v>9600</v>
      </c>
      <c r="C182" s="3" t="s">
        <v>9601</v>
      </c>
      <c r="D182" s="3" t="s">
        <v>9602</v>
      </c>
      <c r="F182" s="5" t="str">
        <f>IFERROR(__xludf.DUMMYFUNCTION("GOOGLETRANSLATE(A182, ""en"", ""hi"")"),"181")</f>
        <v>181</v>
      </c>
      <c r="G182" s="5" t="str">
        <f>IFERROR(__xludf.DUMMYFUNCTION("GOOGLETRANSLATE(B182, ""en"", ""hi"")"),"एक सिलंबम साधक का सामना एक ऐसे प्रतिद्वंद्वी से होता है जो लगातार ऊपर से वार करने की कोशिश कर रहा है। इस हमले को बेअसर करने के लिए कौन सी तकनीक अपनाई जानी चाहिए?")</f>
        <v>एक सिलंबम साधक का सामना एक ऐसे प्रतिद्वंद्वी से होता है जो लगातार ऊपर से वार करने की कोशिश कर रहा है। इस हमले को बेअसर करने के लिए कौन सी तकनीक अपनाई जानी चाहिए?</v>
      </c>
      <c r="H182" s="5" t="str">
        <f>IFERROR(__xludf.DUMMYFUNCTION("GOOGLETRANSLATE(C182, ""en"", ""hi"")"),"ए) थट्टू वीचू, बी) उप्पू वीचू, सी) काई वीचू, डी) थडावरा")</f>
        <v>ए) थट्टू वीचू, बी) उप्पू वीचू, सी) काई वीचू, डी) थडावरा</v>
      </c>
      <c r="I182" s="5" t="str">
        <f>IFERROR(__xludf.DUMMYFUNCTION("GOOGLETRANSLATE(D182, ""en"", ""hi"")"),"A) थट्टू वीचू")</f>
        <v>A) थट्टू वीचू</v>
      </c>
    </row>
    <row r="183" ht="22.5" customHeight="1">
      <c r="A183" s="2">
        <v>182.0</v>
      </c>
      <c r="B183" s="3" t="s">
        <v>9603</v>
      </c>
      <c r="C183" s="3" t="s">
        <v>9604</v>
      </c>
      <c r="D183" s="3" t="s">
        <v>9605</v>
      </c>
      <c r="F183" s="5" t="str">
        <f>IFERROR(__xludf.DUMMYFUNCTION("GOOGLETRANSLATE(A183, ""en"", ""hi"")"),"182")</f>
        <v>182</v>
      </c>
      <c r="G183" s="5" t="str">
        <f>IFERROR(__xludf.DUMMYFUNCTION("GOOGLETRANSLATE(B183, ""en"", ""hi"")"),"सिलंबम मुकाबले के दौरान, अभ्यासी को नजदीकी मुकाबले में फँसाया जाता है। जवाबी हमले के लिए जगह बनाने के लिए कौन सी चाल अपनाई जानी चाहिए?")</f>
        <v>सिलंबम मुकाबले के दौरान, अभ्यासी को नजदीकी मुकाबले में फँसाया जाता है। जवाबी हमले के लिए जगह बनाने के लिए कौन सी चाल अपनाई जानी चाहिए?</v>
      </c>
      <c r="H183" s="5" t="str">
        <f>IFERROR(__xludf.DUMMYFUNCTION("GOOGLETRANSLATE(C183, ""en"", ""hi"")"),"ए) पिन्नल वीचू, बी) विरुक्कु वीचू, सी) थुली वीचू, डी) मुदल वीचू")</f>
        <v>ए) पिन्नल वीचू, बी) विरुक्कु वीचू, सी) थुली वीचू, डी) मुदल वीचू</v>
      </c>
      <c r="I183" s="5" t="str">
        <f>IFERROR(__xludf.DUMMYFUNCTION("GOOGLETRANSLATE(D183, ""en"", ""hi"")"),"A) पिन्नल वीचु")</f>
        <v>A) पिन्नल वीचु</v>
      </c>
    </row>
    <row r="184" ht="22.5" customHeight="1">
      <c r="A184" s="2">
        <v>183.0</v>
      </c>
      <c r="B184" s="3" t="s">
        <v>9606</v>
      </c>
      <c r="C184" s="3" t="s">
        <v>9607</v>
      </c>
      <c r="D184" s="3" t="s">
        <v>9608</v>
      </c>
      <c r="F184" s="5" t="str">
        <f>IFERROR(__xludf.DUMMYFUNCTION("GOOGLETRANSLATE(A184, ""en"", ""hi"")"),"183")</f>
        <v>183</v>
      </c>
      <c r="G184" s="5" t="str">
        <f>IFERROR(__xludf.DUMMYFUNCTION("GOOGLETRANSLATE(B184, ""en"", ""hi"")"),"एक प्रतिद्वंद्वी तेज़ और अप्रत्याशित चालें चल रहा है। मैच पर नियंत्रण बनाए रखने के लिए एक अभ्यासकर्ता को अपनी रणनीति में किस तरह बदलाव करना चाहिए?")</f>
        <v>एक प्रतिद्वंद्वी तेज़ और अप्रत्याशित चालें चल रहा है। मैच पर नियंत्रण बनाए रखने के लिए एक अभ्यासकर्ता को अपनी रणनीति में किस तरह बदलाव करना चाहिए?</v>
      </c>
      <c r="H184" s="5" t="str">
        <f>IFERROR(__xludf.DUMMYFUNCTION("GOOGLETRANSLATE(C184, ""en"", ""hi"")"),"A) गति बढ़ाएँ, B) रक्षात्मक ब्लॉक का उपयोग करें, C) फुटवर्क पर ध्यान केंद्रित करें, D) तीव्र प्रहार करें")</f>
        <v>A) गति बढ़ाएँ, B) रक्षात्मक ब्लॉक का उपयोग करें, C) फुटवर्क पर ध्यान केंद्रित करें, D) तीव्र प्रहार करें</v>
      </c>
      <c r="I184" s="5" t="str">
        <f>IFERROR(__xludf.DUMMYFUNCTION("GOOGLETRANSLATE(D184, ""en"", ""hi"")"),"C) फुटवर्क पर ध्यान केंद्रित करें")</f>
        <v>C) फुटवर्क पर ध्यान केंद्रित करें</v>
      </c>
    </row>
    <row r="185" ht="22.5" customHeight="1">
      <c r="A185" s="2">
        <v>184.0</v>
      </c>
      <c r="B185" s="3" t="s">
        <v>9609</v>
      </c>
      <c r="C185" s="3" t="s">
        <v>9610</v>
      </c>
      <c r="D185" s="3" t="s">
        <v>9611</v>
      </c>
      <c r="F185" s="5" t="str">
        <f>IFERROR(__xludf.DUMMYFUNCTION("GOOGLETRANSLATE(A185, ""en"", ""hi"")"),"184")</f>
        <v>184</v>
      </c>
      <c r="G185" s="5" t="str">
        <f>IFERROR(__xludf.DUMMYFUNCTION("GOOGLETRANSLATE(B185, ""en"", ""hi"")"),"एक साधक 'आदि कूटम' तकनीक का प्रदर्शन कर रहा है। सिलंबम में इस तकनीक का प्राथमिक उद्देश्य क्या है?")</f>
        <v>एक साधक 'आदि कूटम' तकनीक का प्रदर्शन कर रहा है। सिलंबम में इस तकनीक का प्राथमिक उद्देश्य क्या है?</v>
      </c>
      <c r="H185" s="5" t="str">
        <f>IFERROR(__xludf.DUMMYFUNCTION("GOOGLETRANSLATE(C185, ""en"", ""hi"")"),"A) महत्वपूर्ण बिंदुओं पर प्रहार करना, B) ध्यान भटकाना, C) रक्षात्मक अवरोध करना, D) कौशल प्रदर्शित करना")</f>
        <v>A) महत्वपूर्ण बिंदुओं पर प्रहार करना, B) ध्यान भटकाना, C) रक्षात्मक अवरोध करना, D) कौशल प्रदर्शित करना</v>
      </c>
      <c r="I185" s="5" t="str">
        <f>IFERROR(__xludf.DUMMYFUNCTION("GOOGLETRANSLATE(D185, ""en"", ""hi"")"),"A) महत्वपूर्ण बिंदुओं पर प्रहार करना")</f>
        <v>A) महत्वपूर्ण बिंदुओं पर प्रहार करना</v>
      </c>
    </row>
    <row r="186" ht="22.5" customHeight="1">
      <c r="A186" s="2">
        <v>185.0</v>
      </c>
      <c r="B186" s="3" t="s">
        <v>9612</v>
      </c>
      <c r="C186" s="3" t="s">
        <v>9613</v>
      </c>
      <c r="D186" s="3" t="s">
        <v>9587</v>
      </c>
      <c r="F186" s="5" t="str">
        <f>IFERROR(__xludf.DUMMYFUNCTION("GOOGLETRANSLATE(A186, ""en"", ""hi"")"),"185")</f>
        <v>185</v>
      </c>
      <c r="G186" s="5" t="str">
        <f>IFERROR(__xludf.DUMMYFUNCTION("GOOGLETRANSLATE(B186, ""en"", ""hi"")"),"सिलंबम स्पैरिंग सत्र के दौरान, अभ्यासकर्ता का सामना एक ऐसे प्रतिद्वंद्वी से होता है जो मुख्य रूप से पैरों पर प्रहार करने पर केंद्रित होता है। इस शैली का मुकाबला करने के लिए किस तकनीक का उपयोग किया जाना चाहिए?")</f>
        <v>सिलंबम स्पैरिंग सत्र के दौरान, अभ्यासकर्ता का सामना एक ऐसे प्रतिद्वंद्वी से होता है जो मुख्य रूप से पैरों पर प्रहार करने पर केंद्रित होता है। इस शैली का मुकाबला करने के लिए किस तकनीक का उपयोग किया जाना चाहिए?</v>
      </c>
      <c r="H186" s="5" t="str">
        <f>IFERROR(__xludf.DUMMYFUNCTION("GOOGLETRANSLATE(C186, ""en"", ""hi"")"),"ए) छलांग और जोर, बी) नीचे से रोकना और जवाबी हमला, सी) घूमना और बचना, डी) रक्षात्मक अवरोध")</f>
        <v>ए) छलांग और जोर, बी) नीचे से रोकना और जवाबी हमला, सी) घूमना और बचना, डी) रक्षात्मक अवरोध</v>
      </c>
      <c r="I186" s="5" t="str">
        <f>IFERROR(__xludf.DUMMYFUNCTION("GOOGLETRANSLATE(D186, ""en"", ""hi"")"),"बी) ब्लॉक लो और काउंटर")</f>
        <v>बी) ब्लॉक लो और काउंटर</v>
      </c>
    </row>
    <row r="187" ht="22.5" customHeight="1">
      <c r="A187" s="2">
        <v>186.0</v>
      </c>
      <c r="B187" s="3" t="s">
        <v>9614</v>
      </c>
      <c r="C187" s="3" t="s">
        <v>9615</v>
      </c>
      <c r="D187" s="3" t="s">
        <v>9616</v>
      </c>
      <c r="F187" s="5" t="str">
        <f>IFERROR(__xludf.DUMMYFUNCTION("GOOGLETRANSLATE(A187, ""en"", ""hi"")"),"186")</f>
        <v>186</v>
      </c>
      <c r="G187" s="5" t="str">
        <f>IFERROR(__xludf.DUMMYFUNCTION("GOOGLETRANSLATE(B187, ""en"", ""hi"")"),"एक प्रतिद्वंद्वी अभ्यासकर्ता के पैरों को नीचे गिराने की कोशिश करता है। अभ्यासकर्ता को इस चाल से कैसे बचाव करना चाहिए?")</f>
        <v>एक प्रतिद्वंद्वी अभ्यासकर्ता के पैरों को नीचे गिराने की कोशिश करता है। अभ्यासकर्ता को इस चाल से कैसे बचाव करना चाहिए?</v>
      </c>
      <c r="H187" s="5" t="str">
        <f>IFERROR(__xludf.DUMMYFUNCTION("GOOGLETRANSLATE(C187, ""en"", ""hi"")"),"ए) कूदें और काउंटर करें, बी) साइड स्टेप करें, सी) ब्लॉक करें और स्ट्राइक करें, डी) छलांग लगाएं और स्वीप करें")</f>
        <v>ए) कूदें और काउंटर करें, बी) साइड स्टेप करें, सी) ब्लॉक करें और स्ट्राइक करें, डी) छलांग लगाएं और स्वीप करें</v>
      </c>
      <c r="I187" s="5" t="str">
        <f>IFERROR(__xludf.DUMMYFUNCTION("GOOGLETRANSLATE(D187, ""en"", ""hi"")"),"A) कूदो और काउंटर करो")</f>
        <v>A) कूदो और काउंटर करो</v>
      </c>
    </row>
    <row r="188" ht="22.5" customHeight="1">
      <c r="A188" s="2">
        <v>187.0</v>
      </c>
      <c r="B188" s="3" t="s">
        <v>9617</v>
      </c>
      <c r="C188" s="3" t="s">
        <v>9618</v>
      </c>
      <c r="D188" s="3" t="s">
        <v>9274</v>
      </c>
      <c r="F188" s="5" t="str">
        <f>IFERROR(__xludf.DUMMYFUNCTION("GOOGLETRANSLATE(A188, ""en"", ""hi"")"),"187")</f>
        <v>187</v>
      </c>
      <c r="G188" s="5" t="str">
        <f>IFERROR(__xludf.DUMMYFUNCTION("GOOGLETRANSLATE(B188, ""en"", ""hi"")"),"एक प्रदर्शन के दौरान, एक अभ्यासकर्ता उच्च और निम्न प्रहारों का संयोजन प्रदर्शित करता है। इस तकनीक का अपेक्षित प्रभाव क्या है?")</f>
        <v>एक प्रदर्शन के दौरान, एक अभ्यासकर्ता उच्च और निम्न प्रहारों का संयोजन प्रदर्शित करता है। इस तकनीक का अपेक्षित प्रभाव क्या है?</v>
      </c>
      <c r="H188" s="5" t="str">
        <f>IFERROR(__xludf.DUMMYFUNCTION("GOOGLETRANSLATE(C188, ""en"", ""hi"")"),"A) प्रतिद्वंद्वी को परास्त करना, B) प्रतिद्वंद्वी को भ्रमित करना, C) रक्षात्मक अवरोध उत्पन्न करना, D) कौशल का प्रदर्शन करना")</f>
        <v>A) प्रतिद्वंद्वी को परास्त करना, B) प्रतिद्वंद्वी को भ्रमित करना, C) रक्षात्मक अवरोध उत्पन्न करना, D) कौशल का प्रदर्शन करना</v>
      </c>
      <c r="I188" s="5" t="str">
        <f>IFERROR(__xludf.DUMMYFUNCTION("GOOGLETRANSLATE(D188, ""en"", ""hi"")"),"बी) प्रतिद्वंद्वी को भ्रमित करने के लिए")</f>
        <v>बी) प्रतिद्वंद्वी को भ्रमित करने के लिए</v>
      </c>
    </row>
    <row r="189" ht="22.5" customHeight="1">
      <c r="A189" s="2">
        <v>188.0</v>
      </c>
      <c r="B189" s="3" t="s">
        <v>9619</v>
      </c>
      <c r="C189" s="3" t="s">
        <v>9620</v>
      </c>
      <c r="D189" s="3" t="s">
        <v>9326</v>
      </c>
      <c r="F189" s="5" t="str">
        <f>IFERROR(__xludf.DUMMYFUNCTION("GOOGLETRANSLATE(A189, ""en"", ""hi"")"),"188")</f>
        <v>188</v>
      </c>
      <c r="G189" s="5" t="str">
        <f>IFERROR(__xludf.DUMMYFUNCTION("GOOGLETRANSLATE(B189, ""en"", ""hi"")"),"सिलंबम मैच में, खिलाड़ी प्रतिद्वंद्वी के बचाव को भेदने के लिए 'थुली वीचू' तकनीक का इस्तेमाल करता है। इस चाल का केंद्रबिंदु क्या है?")</f>
        <v>सिलंबम मैच में, खिलाड़ी प्रतिद्वंद्वी के बचाव को भेदने के लिए 'थुली वीचू' तकनीक का इस्तेमाल करता है। इस चाल का केंद्रबिंदु क्या है?</v>
      </c>
      <c r="H189" s="5" t="str">
        <f>IFERROR(__xludf.DUMMYFUNCTION("GOOGLETRANSLATE(C189, ""en"", ""hi"")"),"A) आक्रमण, B) रक्षा, C) बचाव, D) सटीकता")</f>
        <v>A) आक्रमण, B) रक्षा, C) बचाव, D) सटीकता</v>
      </c>
      <c r="I189" s="5" t="str">
        <f>IFERROR(__xludf.DUMMYFUNCTION("GOOGLETRANSLATE(D189, ""en"", ""hi"")"),"ए) अपराध")</f>
        <v>ए) अपराध</v>
      </c>
    </row>
    <row r="190" ht="22.5" customHeight="1">
      <c r="A190" s="2">
        <v>189.0</v>
      </c>
      <c r="B190" s="3" t="s">
        <v>9621</v>
      </c>
      <c r="C190" s="3" t="s">
        <v>9622</v>
      </c>
      <c r="D190" s="3" t="s">
        <v>9623</v>
      </c>
      <c r="F190" s="5" t="str">
        <f>IFERROR(__xludf.DUMMYFUNCTION("GOOGLETRANSLATE(A190, ""en"", ""hi"")"),"189")</f>
        <v>189</v>
      </c>
      <c r="G190" s="5" t="str">
        <f>IFERROR(__xludf.DUMMYFUNCTION("GOOGLETRANSLATE(B190, ""en"", ""hi"")"),"एक अभ्यासकर्ता दोहरे हथियार शैली का उपयोग करके प्रतिद्वंद्वी का सामना करता है। इस प्रकार के हमले का प्रभावी ढंग से मुकाबला करने के लिए उन्हें किस रणनीति का उपयोग करना चाहिए?")</f>
        <v>एक अभ्यासकर्ता दोहरे हथियार शैली का उपयोग करके प्रतिद्वंद्वी का सामना करता है। इस प्रकार के हमले का प्रभावी ढंग से मुकाबला करने के लिए उन्हें किस रणनीति का उपयोग करना चाहिए?</v>
      </c>
      <c r="H190" s="5" t="str">
        <f>IFERROR(__xludf.DUMMYFUNCTION("GOOGLETRANSLATE(C190, ""en"", ""hi"")"),"A) प्रत्यक्ष हमले, B) रक्षात्मक अवरोध, C) बचावात्मक युद्धाभ्यास, D) दूरी बनाना")</f>
        <v>A) प्रत्यक्ष हमले, B) रक्षात्मक अवरोध, C) बचावात्मक युद्धाभ्यास, D) दूरी बनाना</v>
      </c>
      <c r="I190" s="5" t="str">
        <f>IFERROR(__xludf.DUMMYFUNCTION("GOOGLETRANSLATE(D190, ""en"", ""hi"")"),"D) दूरी बनाएं")</f>
        <v>D) दूरी बनाएं</v>
      </c>
    </row>
    <row r="191" ht="22.5" customHeight="1">
      <c r="A191" s="2">
        <v>190.0</v>
      </c>
      <c r="B191" s="3" t="s">
        <v>9624</v>
      </c>
      <c r="C191" s="3" t="s">
        <v>9625</v>
      </c>
      <c r="D191" s="3" t="s">
        <v>9626</v>
      </c>
      <c r="F191" s="5" t="str">
        <f>IFERROR(__xludf.DUMMYFUNCTION("GOOGLETRANSLATE(A191, ""en"", ""hi"")"),"190")</f>
        <v>190</v>
      </c>
      <c r="G191" s="5" t="str">
        <f>IFERROR(__xludf.DUMMYFUNCTION("GOOGLETRANSLATE(B191, ""en"", ""hi"")"),"सिलंबम द्वंद्वयुद्ध के दौरान, प्रतिद्वंद्वी अभ्यासी को निहत्था करने का प्रयास करता है। निहत्था करने के प्रयास का प्रतिकार करते हुए हथियार पर पकड़ बनाए रखने के लिए किस तकनीक का उपयोग किया जा सकता है?")</f>
        <v>सिलंबम द्वंद्वयुद्ध के दौरान, प्रतिद्वंद्वी अभ्यासी को निहत्था करने का प्रयास करता है। निहत्था करने के प्रयास का प्रतिकार करते हुए हथियार पर पकड़ बनाए रखने के लिए किस तकनीक का उपयोग किया जा सकता है?</v>
      </c>
      <c r="H191" s="5" t="str">
        <f>IFERROR(__xludf.DUMMYFUNCTION("GOOGLETRANSLATE(C191, ""en"", ""hi"")"),"ए) पिडी नादाई, बी) थट्टू नादाई, सी) काई वीचू, डी) थडावरा")</f>
        <v>ए) पिडी नादाई, बी) थट्टू नादाई, सी) काई वीचू, डी) थडावरा</v>
      </c>
      <c r="I191" s="5" t="str">
        <f>IFERROR(__xludf.DUMMYFUNCTION("GOOGLETRANSLATE(D191, ""en"", ""hi"")"),"ए) पिडी नादाई")</f>
        <v>ए) पिडी नादाई</v>
      </c>
    </row>
    <row r="192" ht="22.5" customHeight="1">
      <c r="A192" s="2">
        <v>191.0</v>
      </c>
      <c r="B192" s="3" t="s">
        <v>9627</v>
      </c>
      <c r="C192" s="3" t="s">
        <v>9628</v>
      </c>
      <c r="D192" s="3" t="s">
        <v>9629</v>
      </c>
      <c r="F192" s="5" t="str">
        <f>IFERROR(__xludf.DUMMYFUNCTION("GOOGLETRANSLATE(A192, ""en"", ""hi"")"),"191")</f>
        <v>191</v>
      </c>
      <c r="G192" s="5" t="str">
        <f>IFERROR(__xludf.DUMMYFUNCTION("GOOGLETRANSLATE(B192, ""en"", ""hi"")"),"एक प्रदर्शन में, एक अभ्यासी युद्ध शुरू करने के लिए 'मुदल वीचू' तकनीक का उपयोग करता है। इस चाल का प्राथमिक लक्ष्य क्या है?")</f>
        <v>एक प्रदर्शन में, एक अभ्यासी युद्ध शुरू करने के लिए 'मुदल वीचू' तकनीक का उपयोग करता है। इस चाल का प्राथमिक लक्ष्य क्या है?</v>
      </c>
      <c r="H192" s="5" t="str">
        <f>IFERROR(__xludf.DUMMYFUNCTION("GOOGLETRANSLATE(C192, ""en"", ""hi"")"),"A) प्रतिद्वंद्वी को भ्रमित करने के लिए, B) सीधा प्रहार करने के लिए, C) रक्षात्मक अवरोध उत्पन्न करने के लिए, D) कौशल का प्रदर्शन करने के लिए")</f>
        <v>A) प्रतिद्वंद्वी को भ्रमित करने के लिए, B) सीधा प्रहार करने के लिए, C) रक्षात्मक अवरोध उत्पन्न करने के लिए, D) कौशल का प्रदर्शन करने के लिए</v>
      </c>
      <c r="I192" s="5" t="str">
        <f>IFERROR(__xludf.DUMMYFUNCTION("GOOGLETRANSLATE(D192, ""en"", ""hi"")"),"बी) सीधा प्रहार करना")</f>
        <v>बी) सीधा प्रहार करना</v>
      </c>
    </row>
    <row r="193" ht="22.5" customHeight="1">
      <c r="A193" s="2">
        <v>192.0</v>
      </c>
      <c r="B193" s="3" t="s">
        <v>9630</v>
      </c>
      <c r="C193" s="3" t="s">
        <v>9631</v>
      </c>
      <c r="D193" s="3" t="s">
        <v>9274</v>
      </c>
      <c r="F193" s="5" t="str">
        <f>IFERROR(__xludf.DUMMYFUNCTION("GOOGLETRANSLATE(A193, ""en"", ""hi"")"),"192")</f>
        <v>192</v>
      </c>
      <c r="G193" s="5" t="str">
        <f>IFERROR(__xludf.DUMMYFUNCTION("GOOGLETRANSLATE(B193, ""en"", ""hi"")"),"एक अभ्यासकर्ता तीव्र, घूमते हुए प्रहारों की एक श्रृंखला का प्रदर्शन कर रहा है। युद्ध परिदृश्य में इन आंदोलनों का इच्छित उद्देश्य क्या है?")</f>
        <v>एक अभ्यासकर्ता तीव्र, घूमते हुए प्रहारों की एक श्रृंखला का प्रदर्शन कर रहा है। युद्ध परिदृश्य में इन आंदोलनों का इच्छित उद्देश्य क्या है?</v>
      </c>
      <c r="H193" s="5" t="str">
        <f>IFERROR(__xludf.DUMMYFUNCTION("GOOGLETRANSLATE(C193, ""en"", ""hi"")"),"A) दूरी बनाने के लिए, B) प्रतिद्वंद्वी को भ्रमित करने के लिए, C) शक्ति बढ़ाने के लिए, D) कौशल का प्रदर्शन करने के लिए")</f>
        <v>A) दूरी बनाने के लिए, B) प्रतिद्वंद्वी को भ्रमित करने के लिए, C) शक्ति बढ़ाने के लिए, D) कौशल का प्रदर्शन करने के लिए</v>
      </c>
      <c r="I193" s="5" t="str">
        <f>IFERROR(__xludf.DUMMYFUNCTION("GOOGLETRANSLATE(D193, ""en"", ""hi"")"),"बी) प्रतिद्वंद्वी को भ्रमित करने के लिए")</f>
        <v>बी) प्रतिद्वंद्वी को भ्रमित करने के लिए</v>
      </c>
    </row>
    <row r="194" ht="22.5" customHeight="1">
      <c r="A194" s="2">
        <v>193.0</v>
      </c>
      <c r="B194" s="3" t="s">
        <v>9632</v>
      </c>
      <c r="C194" s="3" t="s">
        <v>9633</v>
      </c>
      <c r="D194" s="3" t="s">
        <v>9303</v>
      </c>
      <c r="F194" s="5" t="str">
        <f>IFERROR(__xludf.DUMMYFUNCTION("GOOGLETRANSLATE(A194, ""en"", ""hi"")"),"193")</f>
        <v>193</v>
      </c>
      <c r="G194" s="5" t="str">
        <f>IFERROR(__xludf.DUMMYFUNCTION("GOOGLETRANSLATE(B194, ""en"", ""hi"")"),"सिलंबम प्रदर्शन के दौरान, अभ्यासकर्ता एक ऐसी चाल का प्रयोग करता है जिसमें आगे बढ़ते हुए बारी-बारी से ऊँचे और नीचे के प्रहारों का प्रयोग किया जाता है। इस तकनीक का प्राथमिक उद्देश्य क्या है?")</f>
        <v>सिलंबम प्रदर्शन के दौरान, अभ्यासकर्ता एक ऐसी चाल का प्रयोग करता है जिसमें आगे बढ़ते हुए बारी-बारी से ऊँचे और नीचे के प्रहारों का प्रयोग किया जाता है। इस तकनीक का प्राथमिक उद्देश्य क्या है?</v>
      </c>
      <c r="H194" s="5" t="str">
        <f>IFERROR(__xludf.DUMMYFUNCTION("GOOGLETRANSLATE(C194, ""en"", ""hi"")"),"A) रक्षात्मक अवरोध उत्पन्न करना, B) प्रतिद्वंद्वी को परास्त करना, C) गति बढ़ाना, D) प्रतिद्वंद्वी को भ्रमित करना")</f>
        <v>A) रक्षात्मक अवरोध उत्पन्न करना, B) प्रतिद्वंद्वी को परास्त करना, C) गति बढ़ाना, D) प्रतिद्वंद्वी को भ्रमित करना</v>
      </c>
      <c r="I194" s="5" t="str">
        <f>IFERROR(__xludf.DUMMYFUNCTION("GOOGLETRANSLATE(D194, ""en"", ""hi"")"),"बी) प्रतिद्वंद्वी को परास्त करना")</f>
        <v>बी) प्रतिद्वंद्वी को परास्त करना</v>
      </c>
    </row>
    <row r="195" ht="22.5" customHeight="1">
      <c r="A195" s="2">
        <v>194.0</v>
      </c>
      <c r="B195" s="3" t="s">
        <v>9634</v>
      </c>
      <c r="C195" s="3" t="s">
        <v>9635</v>
      </c>
      <c r="D195" s="3" t="s">
        <v>9636</v>
      </c>
      <c r="F195" s="5" t="str">
        <f>IFERROR(__xludf.DUMMYFUNCTION("GOOGLETRANSLATE(A195, ""en"", ""hi"")"),"194")</f>
        <v>194</v>
      </c>
      <c r="G195" s="5" t="str">
        <f>IFERROR(__xludf.DUMMYFUNCTION("GOOGLETRANSLATE(B195, ""en"", ""hi"")"),"सिलंबम में, एक अभ्यासी ढाल लेकर प्रतिद्वंद्वी का सामना कर रहा होता है। ढाल से बचते हुए प्रभावी प्रहार करने के लिए उन्हें कौन सी रणनीति अपनानी चाहिए?")</f>
        <v>सिलंबम में, एक अभ्यासी ढाल लेकर प्रतिद्वंद्वी का सामना कर रहा होता है। ढाल से बचते हुए प्रभावी प्रहार करने के लिए उन्हें कौन सी रणनीति अपनानी चाहिए?</v>
      </c>
      <c r="H195" s="5" t="str">
        <f>IFERROR(__xludf.DUMMYFUNCTION("GOOGLETRANSLATE(C195, ""en"", ""hi"")"),"ए) डायरेक्ट स्ट्राइक, बी) फाइन्ट और साइड स्ट्राइक, सी) ओवरहेड स्ट्राइक, डी) लो स्वीप")</f>
        <v>ए) डायरेक्ट स्ट्राइक, बी) फाइन्ट और साइड स्ट्राइक, सी) ओवरहेड स्ट्राइक, डी) लो स्वीप</v>
      </c>
      <c r="I195" s="5" t="str">
        <f>IFERROR(__xludf.DUMMYFUNCTION("GOOGLETRANSLATE(D195, ""en"", ""hi"")"),"बी) फ़िंट्स और साइड स्ट्राइक")</f>
        <v>बी) फ़िंट्स और साइड स्ट्राइक</v>
      </c>
    </row>
    <row r="196" ht="22.5" customHeight="1">
      <c r="A196" s="2">
        <v>195.0</v>
      </c>
      <c r="B196" s="3" t="s">
        <v>9637</v>
      </c>
      <c r="C196" s="3" t="s">
        <v>9638</v>
      </c>
      <c r="D196" s="3" t="s">
        <v>9639</v>
      </c>
      <c r="F196" s="5" t="str">
        <f>IFERROR(__xludf.DUMMYFUNCTION("GOOGLETRANSLATE(A196, ""en"", ""hi"")"),"195")</f>
        <v>195</v>
      </c>
      <c r="G196" s="5" t="str">
        <f>IFERROR(__xludf.DUMMYFUNCTION("GOOGLETRANSLATE(B196, ""en"", ""hi"")"),"एक सिलंबम छात्र एक ऐसी तकनीक का अभ्यास कर रहा है जिसमें पार्श्व प्रहार करने से पहले छड़ी को अपनी पीठ के पीछे घुमाया जाता है। इस क्रिया का मुख्य केंद्र क्या है?")</f>
        <v>एक सिलंबम छात्र एक ऐसी तकनीक का अभ्यास कर रहा है जिसमें पार्श्व प्रहार करने से पहले छड़ी को अपनी पीठ के पीछे घुमाया जाता है। इस क्रिया का मुख्य केंद्र क्या है?</v>
      </c>
      <c r="H196" s="5" t="str">
        <f>IFERROR(__xludf.DUMMYFUNCTION("GOOGLETRANSLATE(C196, ""en"", ""hi"")"),"A) रक्षा, B) परिशुद्धता, C) शक्ति, D) व्याकुलता")</f>
        <v>A) रक्षा, B) परिशुद्धता, C) शक्ति, D) व्याकुलता</v>
      </c>
      <c r="I196" s="5" t="str">
        <f>IFERROR(__xludf.DUMMYFUNCTION("GOOGLETRANSLATE(D196, ""en"", ""hi"")"),"डी) ध्यान भटकाना")</f>
        <v>डी) ध्यान भटकाना</v>
      </c>
    </row>
    <row r="197" ht="22.5" customHeight="1">
      <c r="A197" s="2">
        <v>196.0</v>
      </c>
      <c r="B197" s="3" t="s">
        <v>9640</v>
      </c>
      <c r="C197" s="3" t="s">
        <v>9641</v>
      </c>
      <c r="D197" s="3" t="s">
        <v>9642</v>
      </c>
      <c r="F197" s="5" t="str">
        <f>IFERROR(__xludf.DUMMYFUNCTION("GOOGLETRANSLATE(A197, ""en"", ""hi"")"),"196")</f>
        <v>196</v>
      </c>
      <c r="G197" s="5" t="str">
        <f>IFERROR(__xludf.DUMMYFUNCTION("GOOGLETRANSLATE(B197, ""en"", ""hi"")"),"स्पैरिंग सत्र के दौरान, अभ्यासकर्ता का सामना एक ऐसे प्रतिद्वंद्वी से होता है जो अप्रत्याशित, छलपूर्ण चालें चलता है। मैच पर नियंत्रण बनाए रखने के लिए अभ्यासकर्ता को किस पर ध्यान केंद्रित करना चाहिए?")</f>
        <v>स्पैरिंग सत्र के दौरान, अभ्यासकर्ता का सामना एक ऐसे प्रतिद्वंद्वी से होता है जो अप्रत्याशित, छलपूर्ण चालें चलता है। मैच पर नियंत्रण बनाए रखने के लिए अभ्यासकर्ता को किस पर ध्यान केंद्रित करना चाहिए?</v>
      </c>
      <c r="H197" s="5" t="str">
        <f>IFERROR(__xludf.DUMMYFUNCTION("GOOGLETRANSLATE(C197, ""en"", ""hi"")"),"A) गति, B) फुटवर्क और दूरी, C) आक्रामक हमले, D) रक्षात्मक युद्धाभ्यास")</f>
        <v>A) गति, B) फुटवर्क और दूरी, C) आक्रामक हमले, D) रक्षात्मक युद्धाभ्यास</v>
      </c>
      <c r="I197" s="5" t="str">
        <f>IFERROR(__xludf.DUMMYFUNCTION("GOOGLETRANSLATE(D197, ""en"", ""hi"")"),"बी) फुटवर्क और दूरी")</f>
        <v>बी) फुटवर्क और दूरी</v>
      </c>
    </row>
    <row r="198" ht="22.5" customHeight="1">
      <c r="A198" s="2">
        <v>197.0</v>
      </c>
      <c r="B198" s="3" t="s">
        <v>9643</v>
      </c>
      <c r="C198" s="3" t="s">
        <v>9644</v>
      </c>
      <c r="D198" s="3" t="s">
        <v>9645</v>
      </c>
      <c r="F198" s="5" t="str">
        <f>IFERROR(__xludf.DUMMYFUNCTION("GOOGLETRANSLATE(A198, ""en"", ""hi"")"),"197")</f>
        <v>197</v>
      </c>
      <c r="G198" s="5" t="str">
        <f>IFERROR(__xludf.DUMMYFUNCTION("GOOGLETRANSLATE(B198, ""en"", ""hi"")"),"एक प्रतिद्वंद्वी अभ्यासकर्ता के सिर पर तेज़ी से नीचे की ओर प्रहार करता है। अभ्यासकर्ता को सिलंबम तकनीक का उपयोग करके इससे कैसे बचाव करना चाहिए?")</f>
        <v>एक प्रतिद्वंद्वी अभ्यासकर्ता के सिर पर तेज़ी से नीचे की ओर प्रहार करता है। अभ्यासकर्ता को सिलंबम तकनीक का उपयोग करके इससे कैसे बचाव करना चाहिए?</v>
      </c>
      <c r="H198" s="5" t="str">
        <f>IFERROR(__xludf.DUMMYFUNCTION("GOOGLETRANSLATE(C198, ""en"", ""hi"")"),"ए) डक और स्वीप, बी) ब्लॉक हाई और काउंटर, सी) साइड स्टेप और थ्रस्ट, डी) स्पिन और एवेड")</f>
        <v>ए) डक और स्वीप, बी) ब्लॉक हाई और काउंटर, सी) साइड स्टेप और थ्रस्ट, डी) स्पिन और एवेड</v>
      </c>
      <c r="I198" s="5" t="str">
        <f>IFERROR(__xludf.DUMMYFUNCTION("GOOGLETRANSLATE(D198, ""en"", ""hi"")"),"बी) ब्लॉक हाई और काउंटर")</f>
        <v>बी) ब्लॉक हाई और काउंटर</v>
      </c>
    </row>
    <row r="199" ht="22.5" customHeight="1">
      <c r="A199" s="2">
        <v>198.0</v>
      </c>
      <c r="B199" s="3" t="s">
        <v>9646</v>
      </c>
      <c r="C199" s="3" t="s">
        <v>9647</v>
      </c>
      <c r="D199" s="3" t="s">
        <v>9220</v>
      </c>
      <c r="F199" s="5" t="str">
        <f>IFERROR(__xludf.DUMMYFUNCTION("GOOGLETRANSLATE(A199, ""en"", ""hi"")"),"198")</f>
        <v>198</v>
      </c>
      <c r="G199" s="5" t="str">
        <f>IFERROR(__xludf.DUMMYFUNCTION("GOOGLETRANSLATE(B199, ""en"", ""hi"")"),"सिलंबम प्रदर्शन में, अभ्यासकर्ता प्रतिद्वंद्वी के निचले शरीर पर प्रहारों की एक श्रृंखला करता है। इस तकनीक का अपेक्षित प्रभाव क्या है?")</f>
        <v>सिलंबम प्रदर्शन में, अभ्यासकर्ता प्रतिद्वंद्वी के निचले शरीर पर प्रहारों की एक श्रृंखला करता है। इस तकनीक का अपेक्षित प्रभाव क्या है?</v>
      </c>
      <c r="H199" s="5" t="str">
        <f>IFERROR(__xludf.DUMMYFUNCTION("GOOGLETRANSLATE(C199, ""en"", ""hi"")"),"A) प्रतिद्वंद्वी का संतुलन बिगाड़ना, B) शक्ति बढ़ाना, C) प्रतिद्वंद्वी को भ्रमित करना, D) कौशल दिखाना")</f>
        <v>A) प्रतिद्वंद्वी का संतुलन बिगाड़ना, B) शक्ति बढ़ाना, C) प्रतिद्वंद्वी को भ्रमित करना, D) कौशल दिखाना</v>
      </c>
      <c r="I199" s="5" t="str">
        <f>IFERROR(__xludf.DUMMYFUNCTION("GOOGLETRANSLATE(D199, ""en"", ""hi"")"),"A) प्रतिद्वंद्वी का संतुलन बिगाड़ना")</f>
        <v>A) प्रतिद्वंद्वी का संतुलन बिगाड़ना</v>
      </c>
    </row>
    <row r="200" ht="22.5" customHeight="1">
      <c r="A200" s="2">
        <v>199.0</v>
      </c>
      <c r="B200" s="3" t="s">
        <v>9648</v>
      </c>
      <c r="C200" s="3" t="s">
        <v>9649</v>
      </c>
      <c r="D200" s="3" t="s">
        <v>9650</v>
      </c>
      <c r="F200" s="5" t="str">
        <f>IFERROR(__xludf.DUMMYFUNCTION("GOOGLETRANSLATE(A200, ""en"", ""hi"")"),"199")</f>
        <v>199</v>
      </c>
      <c r="G200" s="5" t="str">
        <f>IFERROR(__xludf.DUMMYFUNCTION("GOOGLETRANSLATE(B200, ""en"", ""hi"")"),"एक अभ्यासकर्ता अपने प्रतिद्वंद्वी के आक्रामक रुख के जवाब में 'थट्टू नादाई' तकनीक का उपयोग करता है। इस रक्षात्मक चाल का मुख्य लक्ष्य क्या है?")</f>
        <v>एक अभ्यासकर्ता अपने प्रतिद्वंद्वी के आक्रामक रुख के जवाब में 'थट्टू नादाई' तकनीक का उपयोग करता है। इस रक्षात्मक चाल का मुख्य लक्ष्य क्या है?</v>
      </c>
      <c r="H200" s="5" t="str">
        <f>IFERROR(__xludf.DUMMYFUNCTION("GOOGLETRANSLATE(C200, ""en"", ""hi"")"),"A) अवरोध उत्पन्न करना और प्रतिवाद करना, B) ध्यान भंग करना, C) दूरी प्राप्त करना, D) प्रतिद्वंद्वी को भ्रमित करना")</f>
        <v>A) अवरोध उत्पन्न करना और प्रतिवाद करना, B) ध्यान भंग करना, C) दूरी प्राप्त करना, D) प्रतिद्वंद्वी को भ्रमित करना</v>
      </c>
      <c r="I200" s="5" t="str">
        <f>IFERROR(__xludf.DUMMYFUNCTION("GOOGLETRANSLATE(D200, ""en"", ""hi"")"),"A) ब्लॉक करना और प्रतिकार करना")</f>
        <v>A) ब्लॉक करना और प्रतिकार करना</v>
      </c>
    </row>
    <row r="201" ht="22.5" customHeight="1">
      <c r="A201" s="2">
        <v>200.0</v>
      </c>
      <c r="B201" s="3" t="s">
        <v>9651</v>
      </c>
      <c r="C201" s="3" t="s">
        <v>9652</v>
      </c>
      <c r="D201" s="3" t="s">
        <v>9256</v>
      </c>
      <c r="F201" s="5" t="str">
        <f>IFERROR(__xludf.DUMMYFUNCTION("GOOGLETRANSLATE(A201, ""en"", ""hi"")"),"200")</f>
        <v>200</v>
      </c>
      <c r="G201" s="5" t="str">
        <f>IFERROR(__xludf.DUMMYFUNCTION("GOOGLETRANSLATE(B201, ""en"", ""hi"")"),"एक मुकाबले के दौरान, अभ्यासकर्ता प्रतिद्वंद्वी के हथियार वाले हाथ पर तेज़ी से ऊपर की ओर प्रहार करता है। सिलंबम में इस तकनीक का उद्देश्य क्या है?")</f>
        <v>एक मुकाबले के दौरान, अभ्यासकर्ता प्रतिद्वंद्वी के हथियार वाले हाथ पर तेज़ी से ऊपर की ओर प्रहार करता है। सिलंबम में इस तकनीक का उद्देश्य क्या है?</v>
      </c>
      <c r="H201" s="5" t="str">
        <f>IFERROR(__xludf.DUMMYFUNCTION("GOOGLETRANSLATE(C201, ""en"", ""hi"")"),"A) प्रतिद्वंद्वी को निहत्था करना, B) अवसर पैदा करना, C) कौशल प्रदर्शित करना, D) प्रतिद्वंद्वी को भ्रमित करना")</f>
        <v>A) प्रतिद्वंद्वी को निहत्था करना, B) अवसर पैदा करना, C) कौशल प्रदर्शित करना, D) प्रतिद्वंद्वी को भ्रमित करना</v>
      </c>
      <c r="I201" s="5" t="str">
        <f>IFERROR(__xludf.DUMMYFUNCTION("GOOGLETRANSLATE(D201, ""en"", ""hi"")"),"A) प्रतिद्वंद्वी को निहत्था करना")</f>
        <v>A) प्रतिद्वंद्वी को निहत्था करना</v>
      </c>
    </row>
    <row r="202" ht="22.5" customHeight="1">
      <c r="A202" s="2">
        <v>201.0</v>
      </c>
      <c r="B202" s="3" t="s">
        <v>9653</v>
      </c>
      <c r="C202" s="3" t="s">
        <v>9654</v>
      </c>
      <c r="D202" s="3" t="s">
        <v>9655</v>
      </c>
      <c r="F202" s="5" t="str">
        <f>IFERROR(__xludf.DUMMYFUNCTION("GOOGLETRANSLATE(A202, ""en"", ""hi"")"),"201")</f>
        <v>201</v>
      </c>
      <c r="G202" s="5" t="str">
        <f>IFERROR(__xludf.DUMMYFUNCTION("GOOGLETRANSLATE(B202, ""en"", ""hi"")"),"एक प्रतिद्वंद्वी अभ्यासकर्ता के धड़ पर कई वार करने का प्रयास करता है। अभ्यासकर्ता को आक्रामक रहते हुए इस हमले का प्रतिकार कैसे करना चाहिए?")</f>
        <v>एक प्रतिद्वंद्वी अभ्यासकर्ता के धड़ पर कई वार करने का प्रयास करता है। अभ्यासकर्ता को आक्रामक रहते हुए इस हमले का प्रतिकार कैसे करना चाहिए?</v>
      </c>
      <c r="H202" s="5" t="str">
        <f>IFERROR(__xludf.DUMMYFUNCTION("GOOGLETRANSLATE(C202,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202" s="5" t="str">
        <f>IFERROR(__xludf.DUMMYFUNCTION("GOOGLETRANSLATE(D202, ""en"", ""hi"")"),"सी) साइड स्टेप और स्ट्राइक")</f>
        <v>सी) साइड स्टेप और स्ट्राइक</v>
      </c>
    </row>
    <row r="203" ht="22.5" customHeight="1">
      <c r="A203" s="2">
        <v>202.0</v>
      </c>
      <c r="B203" s="3" t="s">
        <v>9656</v>
      </c>
      <c r="C203" s="3" t="s">
        <v>9657</v>
      </c>
      <c r="D203" s="3" t="s">
        <v>9274</v>
      </c>
      <c r="F203" s="5" t="str">
        <f>IFERROR(__xludf.DUMMYFUNCTION("GOOGLETRANSLATE(A203, ""en"", ""hi"")"),"202")</f>
        <v>202</v>
      </c>
      <c r="G203" s="5" t="str">
        <f>IFERROR(__xludf.DUMMYFUNCTION("GOOGLETRANSLATE(B203, ""en"", ""hi"")"),"एक साधक सिलंबम तकनीक का प्रदर्शन कर रहा है जिसमें तेज़ प्रहार करने से पहले डंडे को शरीर के चारों ओर घुमाया जाता है। इस क्रिया का मुख्य उद्देश्य क्या है?")</f>
        <v>एक साधक सिलंबम तकनीक का प्रदर्शन कर रहा है जिसमें तेज़ प्रहार करने से पहले डंडे को शरीर के चारों ओर घुमाया जाता है। इस क्रिया का मुख्य उद्देश्य क्या है?</v>
      </c>
      <c r="H203" s="5" t="str">
        <f>IFERROR(__xludf.DUMMYFUNCTION("GOOGLETRANSLATE(C203, ""en"", ""hi"")"),"A) गति बढ़ाने के लिए, B) प्रतिद्वंद्वी को भ्रमित करने के लिए, C) रक्षात्मक अवरोध बनाने के लिए, D) कौशल का प्रदर्शन करने के लिए")</f>
        <v>A) गति बढ़ाने के लिए, B) प्रतिद्वंद्वी को भ्रमित करने के लिए, C) रक्षात्मक अवरोध बनाने के लिए, D) कौशल का प्रदर्शन करने के लिए</v>
      </c>
      <c r="I203" s="5" t="str">
        <f>IFERROR(__xludf.DUMMYFUNCTION("GOOGLETRANSLATE(D203, ""en"", ""hi"")"),"बी) प्रतिद्वंद्वी को भ्रमित करने के लिए")</f>
        <v>बी) प्रतिद्वंद्वी को भ्रमित करने के लिए</v>
      </c>
    </row>
    <row r="204" ht="22.5" customHeight="1">
      <c r="A204" s="2">
        <v>203.0</v>
      </c>
      <c r="B204" s="3" t="s">
        <v>9658</v>
      </c>
      <c r="C204" s="3" t="s">
        <v>9659</v>
      </c>
      <c r="D204" s="3" t="s">
        <v>9660</v>
      </c>
      <c r="F204" s="5" t="str">
        <f>IFERROR(__xludf.DUMMYFUNCTION("GOOGLETRANSLATE(A204, ""en"", ""hi"")"),"203")</f>
        <v>203</v>
      </c>
      <c r="G204" s="5" t="str">
        <f>IFERROR(__xludf.DUMMYFUNCTION("GOOGLETRANSLATE(B204, ""en"", ""hi"")"),"एक स्पैरिंग सत्र में, प्रतिद्वंद्वी पार्श्व प्रहारों की एक श्रृंखला का उपयोग करता है। सिलंबम में इस प्रकार के आक्रमण का प्रतिकार करने के लिए अभ्यासकर्ता को कौन सी रक्षात्मक चाल अपनानी चाहिए?")</f>
        <v>एक स्पैरिंग सत्र में, प्रतिद्वंद्वी पार्श्व प्रहारों की एक श्रृंखला का उपयोग करता है। सिलंबम में इस प्रकार के आक्रमण का प्रतिकार करने के लिए अभ्यासकर्ता को कौन सी रक्षात्मक चाल अपनानी चाहिए?</v>
      </c>
      <c r="H204" s="5" t="str">
        <f>IFERROR(__xludf.DUMMYFUNCTION("GOOGLETRANSLATE(C204, ""en"", ""hi"")"),"ए) ब्लॉक हाई, बी) साइड स्टेप और थ्रस्ट, सी) स्पिन और एवेड, डी) ब्लॉक और काउंटर")</f>
        <v>ए) ब्लॉक हाई, बी) साइड स्टेप और थ्रस्ट, सी) स्पिन और एवेड, डी) ब्लॉक और काउंटर</v>
      </c>
      <c r="I204" s="5" t="str">
        <f>IFERROR(__xludf.DUMMYFUNCTION("GOOGLETRANSLATE(D204, ""en"", ""hi"")"),"डी) ब्लॉक और काउंटर")</f>
        <v>डी) ब्लॉक और काउंटर</v>
      </c>
    </row>
    <row r="205" ht="22.5" customHeight="1">
      <c r="A205" s="2">
        <v>204.0</v>
      </c>
      <c r="B205" s="3" t="s">
        <v>9661</v>
      </c>
      <c r="C205" s="3" t="s">
        <v>9662</v>
      </c>
      <c r="D205" s="3" t="s">
        <v>9663</v>
      </c>
      <c r="F205" s="5" t="str">
        <f>IFERROR(__xludf.DUMMYFUNCTION("GOOGLETRANSLATE(A205, ""en"", ""hi"")"),"204")</f>
        <v>204</v>
      </c>
      <c r="G205" s="5" t="str">
        <f>IFERROR(__xludf.DUMMYFUNCTION("GOOGLETRANSLATE(B205, ""en"", ""hi"")"),"सिलंबम मैच के दौरान, अभ्यासकर्ता का सामना एक ऐसे प्रतिद्वंद्वी से होता है जिसका रक्षात्मक रुख बहुत ऊँचा होता है। इस रक्षात्मक रुख को भेदने की सबसे अच्छी रणनीति क्या है?")</f>
        <v>सिलंबम मैच के दौरान, अभ्यासकर्ता का सामना एक ऐसे प्रतिद्वंद्वी से होता है जिसका रक्षात्मक रुख बहुत ऊँचा होता है। इस रक्षात्मक रुख को भेदने की सबसे अच्छी रणनीति क्या है?</v>
      </c>
      <c r="H205" s="5" t="str">
        <f>IFERROR(__xludf.DUMMYFUNCTION("GOOGLETRANSLATE(C205, ""en"", ""hi"")"),"ए) कम प्रहार, बी) ओवरहेड प्रहार, सी) छल और प्रहार, डी) वृत्ताकार गति")</f>
        <v>ए) कम प्रहार, बी) ओवरहेड प्रहार, सी) छल और प्रहार, डी) वृत्ताकार गति</v>
      </c>
      <c r="I205" s="5" t="str">
        <f>IFERROR(__xludf.DUMMYFUNCTION("GOOGLETRANSLATE(D205, ""en"", ""hi"")"),"सी) छल और प्रहार")</f>
        <v>सी) छल और प्रहार</v>
      </c>
    </row>
    <row r="206" ht="22.5" customHeight="1">
      <c r="A206" s="2">
        <v>205.0</v>
      </c>
      <c r="B206" s="3" t="s">
        <v>9664</v>
      </c>
      <c r="C206" s="3" t="s">
        <v>9665</v>
      </c>
      <c r="D206" s="3" t="s">
        <v>9666</v>
      </c>
      <c r="F206" s="5" t="str">
        <f>IFERROR(__xludf.DUMMYFUNCTION("GOOGLETRANSLATE(A206, ""en"", ""hi"")"),"205")</f>
        <v>205</v>
      </c>
      <c r="G206" s="5" t="str">
        <f>IFERROR(__xludf.DUMMYFUNCTION("GOOGLETRANSLATE(B206, ""en"", ""hi"")"),"एक अभ्यासी का सामना एक छोटे डंडे वाले प्रतिद्वंद्वी से है। मैच पर नियंत्रण बनाए रखने के लिए उन्हें सिलंबम में अपनी पहुँच का लाभ कैसे इस्तेमाल करना चाहिए?")</f>
        <v>एक अभ्यासी का सामना एक छोटे डंडे वाले प्रतिद्वंद्वी से है। मैच पर नियंत्रण बनाए रखने के लिए उन्हें सिलंबम में अपनी पहुँच का लाभ कैसे इस्तेमाल करना चाहिए?</v>
      </c>
      <c r="H206" s="5" t="str">
        <f>IFERROR(__xludf.DUMMYFUNCTION("GOOGLETRANSLATE(C206, ""en"", ""hi"")"),"A) प्रत्यक्ष हमले, B) दूरी और जोर बनाना, C) रक्षात्मक अवरोध, D) बचावात्मक युद्धाभ्यास")</f>
        <v>A) प्रत्यक्ष हमले, B) दूरी और जोर बनाना, C) रक्षात्मक अवरोध, D) बचावात्मक युद्धाभ्यास</v>
      </c>
      <c r="I206" s="5" t="str">
        <f>IFERROR(__xludf.DUMMYFUNCTION("GOOGLETRANSLATE(D206, ""en"", ""hi"")"),"बी) दूरी और जोर पैदा करें")</f>
        <v>बी) दूरी और जोर पैदा करें</v>
      </c>
    </row>
    <row r="207" ht="22.5" customHeight="1">
      <c r="A207" s="2">
        <v>206.0</v>
      </c>
      <c r="B207" s="3" t="s">
        <v>9667</v>
      </c>
      <c r="C207" s="3" t="s">
        <v>9668</v>
      </c>
      <c r="D207" s="3" t="s">
        <v>9669</v>
      </c>
      <c r="F207" s="5" t="str">
        <f>IFERROR(__xludf.DUMMYFUNCTION("GOOGLETRANSLATE(A207, ""en"", ""hi"")"),"206")</f>
        <v>206</v>
      </c>
      <c r="G207" s="5" t="str">
        <f>IFERROR(__xludf.DUMMYFUNCTION("GOOGLETRANSLATE(B207, ""en"", ""hi"")"),"एक प्रतिद्वंद्वी अभ्यासकर्ता को भ्रमित करने के लिए तेज़ी से घूमने की तकनीक का इस्तेमाल करता है। अभ्यासकर्ता को संतुलन बनाए रखते हुए इस रणनीति का कैसे मुकाबला करना चाहिए?")</f>
        <v>एक प्रतिद्वंद्वी अभ्यासकर्ता को भ्रमित करने के लिए तेज़ी से घूमने की तकनीक का इस्तेमाल करता है। अभ्यासकर्ता को संतुलन बनाए रखते हुए इस रणनीति का कैसे मुकाबला करना चाहिए?</v>
      </c>
      <c r="H207" s="5" t="str">
        <f>IFERROR(__xludf.DUMMYFUNCTION("GOOGLETRANSLATE(C207, ""en"", ""hi"")"),"ए) बचाव, बी) केंद्र पर सीधा प्रहार, सी) साइड स्टेप और प्रहार, डी) रक्षात्मक अवरोध")</f>
        <v>ए) बचाव, बी) केंद्र पर सीधा प्रहार, सी) साइड स्टेप और प्रहार, डी) रक्षात्मक अवरोध</v>
      </c>
      <c r="I207" s="5" t="str">
        <f>IFERROR(__xludf.DUMMYFUNCTION("GOOGLETRANSLATE(D207, ""en"", ""hi"")"),"बी) केंद्र पर सीधा प्रहार")</f>
        <v>बी) केंद्र पर सीधा प्रहार</v>
      </c>
    </row>
    <row r="208" ht="22.5" customHeight="1">
      <c r="A208" s="2">
        <v>207.0</v>
      </c>
      <c r="B208" s="3" t="s">
        <v>9670</v>
      </c>
      <c r="C208" s="3" t="s">
        <v>9671</v>
      </c>
      <c r="D208" s="3" t="s">
        <v>9464</v>
      </c>
      <c r="F208" s="5" t="str">
        <f>IFERROR(__xludf.DUMMYFUNCTION("GOOGLETRANSLATE(A208, ""en"", ""hi"")"),"207")</f>
        <v>207</v>
      </c>
      <c r="G208" s="5" t="str">
        <f>IFERROR(__xludf.DUMMYFUNCTION("GOOGLETRANSLATE(B208, ""en"", ""hi"")"),"एक प्रदर्शन के दौरान, एक साधक एक ऐसी क्रिया करता है जिसमें डंडे को अपने शरीर के चारों ओर क्षैतिज रूप से घुमाना शामिल होता है। सिलंबम में इस तकनीक का उद्देश्य क्या है?")</f>
        <v>एक प्रदर्शन के दौरान, एक साधक एक ऐसी क्रिया करता है जिसमें डंडे को अपने शरीर के चारों ओर क्षैतिज रूप से घुमाना शामिल होता है। सिलंबम में इस तकनीक का उद्देश्य क्या है?</v>
      </c>
      <c r="H208" s="5" t="str">
        <f>IFERROR(__xludf.DUMMYFUNCTION("GOOGLETRANSLATE(C208, ""en"", ""hi"")"),"A) रक्षात्मक अवरोध उत्पन्न करना, B) गति बढ़ाना, C) कौशल प्रदर्शित करना, D) प्रतिद्वंद्वी को भ्रमित करना")</f>
        <v>A) रक्षात्मक अवरोध उत्पन्न करना, B) गति बढ़ाना, C) कौशल प्रदर्शित करना, D) प्रतिद्वंद्वी को भ्रमित करना</v>
      </c>
      <c r="I208" s="5" t="str">
        <f>IFERROR(__xludf.DUMMYFUNCTION("GOOGLETRANSLATE(D208, ""en"", ""hi"")"),"A) रक्षात्मक अवरोध बनाने के लिए")</f>
        <v>A) रक्षात्मक अवरोध बनाने के लिए</v>
      </c>
    </row>
    <row r="209" ht="22.5" customHeight="1">
      <c r="A209" s="2">
        <v>208.0</v>
      </c>
      <c r="B209" s="3" t="s">
        <v>9672</v>
      </c>
      <c r="C209" s="3" t="s">
        <v>9641</v>
      </c>
      <c r="D209" s="3" t="s">
        <v>9642</v>
      </c>
      <c r="F209" s="5" t="str">
        <f>IFERROR(__xludf.DUMMYFUNCTION("GOOGLETRANSLATE(A209, ""en"", ""hi"")"),"208")</f>
        <v>208</v>
      </c>
      <c r="G209" s="5" t="str">
        <f>IFERROR(__xludf.DUMMYFUNCTION("GOOGLETRANSLATE(B209, ""en"", ""hi"")"),"एक अभ्यासकर्ता को ऐसे प्रतिद्वंद्वी का सामना करना पड़ता है जो बार-बार अपना रुख बदलता रहता है। इस रणनीति का प्रभावी ढंग से मुकाबला करने के लिए अभ्यासकर्ता को किस पर ध्यान केंद्रित करना चाहिए?")</f>
        <v>एक अभ्यासकर्ता को ऐसे प्रतिद्वंद्वी का सामना करना पड़ता है जो बार-बार अपना रुख बदलता रहता है। इस रणनीति का प्रभावी ढंग से मुकाबला करने के लिए अभ्यासकर्ता को किस पर ध्यान केंद्रित करना चाहिए?</v>
      </c>
      <c r="H209" s="5" t="str">
        <f>IFERROR(__xludf.DUMMYFUNCTION("GOOGLETRANSLATE(C209, ""en"", ""hi"")"),"A) गति, B) फुटवर्क और दूरी, C) आक्रामक हमले, D) रक्षात्मक युद्धाभ्यास")</f>
        <v>A) गति, B) फुटवर्क और दूरी, C) आक्रामक हमले, D) रक्षात्मक युद्धाभ्यास</v>
      </c>
      <c r="I209" s="5" t="str">
        <f>IFERROR(__xludf.DUMMYFUNCTION("GOOGLETRANSLATE(D209, ""en"", ""hi"")"),"बी) फुटवर्क और दूरी")</f>
        <v>बी) फुटवर्क और दूरी</v>
      </c>
    </row>
    <row r="210" ht="22.5" customHeight="1">
      <c r="A210" s="2">
        <v>209.0</v>
      </c>
      <c r="B210" s="3" t="s">
        <v>9673</v>
      </c>
      <c r="C210" s="3" t="s">
        <v>9674</v>
      </c>
      <c r="D210" s="3" t="s">
        <v>9616</v>
      </c>
      <c r="F210" s="5" t="str">
        <f>IFERROR(__xludf.DUMMYFUNCTION("GOOGLETRANSLATE(A210, ""en"", ""hi"")"),"209")</f>
        <v>209</v>
      </c>
      <c r="G210" s="5" t="str">
        <f>IFERROR(__xludf.DUMMYFUNCTION("GOOGLETRANSLATE(B210, ""en"", ""hi"")"),"एक प्रतिद्वंद्वी अभ्यासकर्ता के पैरों पर ज़ोरदार प्रहार करने का प्रयास करता है। सिलंबम तकनीक का उपयोग करके इस हमले का मुकाबला करने के लिए सबसे अच्छा रक्षात्मक कदम क्या है?")</f>
        <v>एक प्रतिद्वंद्वी अभ्यासकर्ता के पैरों पर ज़ोरदार प्रहार करने का प्रयास करता है। सिलंबम तकनीक का उपयोग करके इस हमले का मुकाबला करने के लिए सबसे अच्छा रक्षात्मक कदम क्या है?</v>
      </c>
      <c r="H210" s="5" t="str">
        <f>IFERROR(__xludf.DUMMYFUNCTION("GOOGLETRANSLATE(C210, ""en"", ""hi"")"),"ए) कूदें और पलटवार करें, बी) नीचे से ब्लॉक करें और वार करें, सी) साइड स्टेप करें, डी) घूमें और बचें")</f>
        <v>ए) कूदें और पलटवार करें, बी) नीचे से ब्लॉक करें और वार करें, सी) साइड स्टेप करें, डी) घूमें और बचें</v>
      </c>
      <c r="I210" s="5" t="str">
        <f>IFERROR(__xludf.DUMMYFUNCTION("GOOGLETRANSLATE(D210, ""en"", ""hi"")"),"A) कूदो और काउंटर करो")</f>
        <v>A) कूदो और काउंटर करो</v>
      </c>
    </row>
    <row r="211" ht="22.5" customHeight="1">
      <c r="A211" s="2">
        <v>210.0</v>
      </c>
      <c r="B211" s="3" t="s">
        <v>9675</v>
      </c>
      <c r="C211" s="3" t="s">
        <v>9676</v>
      </c>
      <c r="D211" s="3" t="s">
        <v>9445</v>
      </c>
      <c r="F211" s="5" t="str">
        <f>IFERROR(__xludf.DUMMYFUNCTION("GOOGLETRANSLATE(A211, ""en"", ""hi"")"),"210")</f>
        <v>210</v>
      </c>
      <c r="G211" s="5" t="str">
        <f>IFERROR(__xludf.DUMMYFUNCTION("GOOGLETRANSLATE(B211, ""en"", ""hi"")"),"सिलंबम प्रदर्शन के दौरान, अभ्यासकर्ता प्रतिद्वंद्वी की ओर बढ़ते हुए तीव्र प्रहारों की एक श्रृंखला का उपयोग करता है। इस तकनीक का प्राथमिक लक्ष्य क्या है?")</f>
        <v>सिलंबम प्रदर्शन के दौरान, अभ्यासकर्ता प्रतिद्वंद्वी की ओर बढ़ते हुए तीव्र प्रहारों की एक श्रृंखला का उपयोग करता है। इस तकनीक का प्राथमिक लक्ष्य क्या है?</v>
      </c>
      <c r="H211" s="5" t="str">
        <f>IFERROR(__xludf.DUMMYFUNCTION("GOOGLETRANSLATE(C211, ""en"", ""hi"")"),"A) प्रतिद्वंद्वी पर हावी होना, B) दूरी बनाना, C) कौशल दिखाना, D) प्रतिद्वंद्वी को भ्रमित करना")</f>
        <v>A) प्रतिद्वंद्वी पर हावी होना, B) दूरी बनाना, C) कौशल दिखाना, D) प्रतिद्वंद्वी को भ्रमित करना</v>
      </c>
      <c r="I211" s="5" t="str">
        <f>IFERROR(__xludf.DUMMYFUNCTION("GOOGLETRANSLATE(D211, ""en"", ""hi"")"),"A) प्रतिद्वंद्वी को परास्त करना")</f>
        <v>A) प्रतिद्वंद्वी को परास्त करना</v>
      </c>
    </row>
    <row r="212" ht="22.5" customHeight="1">
      <c r="A212" s="2">
        <v>211.0</v>
      </c>
      <c r="B212" s="3" t="s">
        <v>9677</v>
      </c>
      <c r="C212" s="3" t="s">
        <v>9678</v>
      </c>
      <c r="D212" s="3" t="s">
        <v>9679</v>
      </c>
      <c r="F212" s="5" t="str">
        <f>IFERROR(__xludf.DUMMYFUNCTION("GOOGLETRANSLATE(A212, ""en"", ""hi"")"),"211")</f>
        <v>211</v>
      </c>
      <c r="G212" s="5" t="str">
        <f>IFERROR(__xludf.DUMMYFUNCTION("GOOGLETRANSLATE(B212, ""en"", ""hi"")"),"स्पैरिंग सत्र में, प्रतिद्वंद्वी एक उच्च सुरक्षा स्थिति में होता है। प्रतिद्वंद्वी के बचाव में एक रास्ता बनाने के लिए अभ्यासकर्ता को क्या करना चाहिए?")</f>
        <v>स्पैरिंग सत्र में, प्रतिद्वंद्वी एक उच्च सुरक्षा स्थिति में होता है। प्रतिद्वंद्वी के बचाव में एक रास्ता बनाने के लिए अभ्यासकर्ता को क्या करना चाहिए?</v>
      </c>
      <c r="H212" s="5" t="str">
        <f>IFERROR(__xludf.DUMMYFUNCTION("GOOGLETRANSLATE(C212, ""en"", ""hi"")"),"A) नीचे की ओर छल करना और ऊपर से प्रहार करना, B) सीधा प्रहार करना, C) वृत्ताकार गतियाँ, D) छलांग लगाना और प्रहार करना")</f>
        <v>A) नीचे की ओर छल करना और ऊपर से प्रहार करना, B) सीधा प्रहार करना, C) वृत्ताकार गतियाँ, D) छलांग लगाना और प्रहार करना</v>
      </c>
      <c r="I212" s="5" t="str">
        <f>IFERROR(__xludf.DUMMYFUNCTION("GOOGLETRANSLATE(D212, ""en"", ""hi"")"),"A) नीचे से छल करें और ऊपर से प्रहार करें")</f>
        <v>A) नीचे से छल करें और ऊपर से प्रहार करें</v>
      </c>
    </row>
    <row r="213" ht="22.5" customHeight="1">
      <c r="A213" s="2">
        <v>212.0</v>
      </c>
      <c r="B213" s="3" t="s">
        <v>9680</v>
      </c>
      <c r="C213" s="3" t="s">
        <v>9681</v>
      </c>
      <c r="D213" s="3" t="s">
        <v>9274</v>
      </c>
      <c r="F213" s="5" t="str">
        <f>IFERROR(__xludf.DUMMYFUNCTION("GOOGLETRANSLATE(A213, ""en"", ""hi"")"),"212")</f>
        <v>212</v>
      </c>
      <c r="G213" s="5" t="str">
        <f>IFERROR(__xludf.DUMMYFUNCTION("GOOGLETRANSLATE(B213, ""en"", ""hi"")"),"एक अभ्यासकर्ता एक ऐसी क्रिया का प्रदर्शन कर रहा है जिसमें प्रहार करने से पहले कलाई के चारों ओर डंडे को घुमाया जाता है। इस तकनीक का मुख्य उद्देश्य क्या है?")</f>
        <v>एक अभ्यासकर्ता एक ऐसी क्रिया का प्रदर्शन कर रहा है जिसमें प्रहार करने से पहले कलाई के चारों ओर डंडे को घुमाया जाता है। इस तकनीक का मुख्य उद्देश्य क्या है?</v>
      </c>
      <c r="H213" s="5" t="str">
        <f>IFERROR(__xludf.DUMMYFUNCTION("GOOGLETRANSLATE(C213, ""en"", ""hi"")"),"A) गति बढ़ाने के लिए, B) प्रतिद्वंद्वी को भ्रमित करने के लिए, C) कौशल दिखाने के लिए, D) रक्षात्मक अवरोध बनाने के लिए")</f>
        <v>A) गति बढ़ाने के लिए, B) प्रतिद्वंद्वी को भ्रमित करने के लिए, C) कौशल दिखाने के लिए, D) रक्षात्मक अवरोध बनाने के लिए</v>
      </c>
      <c r="I213" s="5" t="str">
        <f>IFERROR(__xludf.DUMMYFUNCTION("GOOGLETRANSLATE(D213, ""en"", ""hi"")"),"बी) प्रतिद्वंद्वी को भ्रमित करने के लिए")</f>
        <v>बी) प्रतिद्वंद्वी को भ्रमित करने के लिए</v>
      </c>
    </row>
    <row r="214" ht="22.5" customHeight="1">
      <c r="A214" s="2">
        <v>213.0</v>
      </c>
      <c r="B214" s="3" t="s">
        <v>9682</v>
      </c>
      <c r="C214" s="3" t="s">
        <v>9683</v>
      </c>
      <c r="D214" s="3" t="s">
        <v>9323</v>
      </c>
      <c r="F214" s="5" t="str">
        <f>IFERROR(__xludf.DUMMYFUNCTION("GOOGLETRANSLATE(A214, ""en"", ""hi"")"),"213")</f>
        <v>213</v>
      </c>
      <c r="G214" s="5" t="str">
        <f>IFERROR(__xludf.DUMMYFUNCTION("GOOGLETRANSLATE(B214, ""en"", ""hi"")"),"सिलंबम मैच के दौरान, अभ्यासकर्ता एक ऐसी चाल का प्रयोग करता है जिसमें पहले ऊँचा छल और फिर नीचे की ओर प्रहार शामिल होता है। इस तकनीक का अपेक्षित प्रभाव क्या है?")</f>
        <v>सिलंबम मैच के दौरान, अभ्यासकर्ता एक ऐसी चाल का प्रयोग करता है जिसमें पहले ऊँचा छल और फिर नीचे की ओर प्रहार शामिल होता है। इस तकनीक का अपेक्षित प्रभाव क्या है?</v>
      </c>
      <c r="H214" s="5" t="str">
        <f>IFERROR(__xludf.DUMMYFUNCTION("GOOGLETRANSLATE(C214, ""en"", ""hi"")"),"A) प्रतिद्वंद्वी को भ्रमित करने के लिए, B) कौशल का प्रदर्शन करने के लिए, C) रक्षात्मक अवरोध बनाने के लिए, D) शक्ति बढ़ाने के लिए")</f>
        <v>A) प्रतिद्वंद्वी को भ्रमित करने के लिए, B) कौशल का प्रदर्शन करने के लिए, C) रक्षात्मक अवरोध बनाने के लिए, D) शक्ति बढ़ाने के लिए</v>
      </c>
      <c r="I214" s="5" t="str">
        <f>IFERROR(__xludf.DUMMYFUNCTION("GOOGLETRANSLATE(D214, ""en"", ""hi"")"),"A) प्रतिद्वंद्वी को भ्रमित करने के लिए")</f>
        <v>A) प्रतिद्वंद्वी को भ्रमित करने के लिए</v>
      </c>
    </row>
    <row r="215" ht="22.5" customHeight="1">
      <c r="A215" s="2">
        <v>214.0</v>
      </c>
      <c r="B215" s="3" t="s">
        <v>9684</v>
      </c>
      <c r="C215" s="3" t="s">
        <v>9685</v>
      </c>
      <c r="D215" s="3" t="s">
        <v>9686</v>
      </c>
      <c r="F215" s="5" t="str">
        <f>IFERROR(__xludf.DUMMYFUNCTION("GOOGLETRANSLATE(A215, ""en"", ""hi"")"),"214")</f>
        <v>214</v>
      </c>
      <c r="G215" s="5" t="str">
        <f>IFERROR(__xludf.DUMMYFUNCTION("GOOGLETRANSLATE(B215, ""en"", ""hi"")"),"एक प्रतिद्वंद्वी अभ्यासकर्ता के धड़ पर तेज़ी से हमला करने का प्रयास करता है। अभ्यासकर्ता को इस हमले का प्रभावी ढंग से प्रतिकार करने के लिए क्या प्रतिक्रिया देनी चाहिए?")</f>
        <v>एक प्रतिद्वंद्वी अभ्यासकर्ता के धड़ पर तेज़ी से हमला करने का प्रयास करता है। अभ्यासकर्ता को इस हमले का प्रभावी ढंग से प्रतिकार करने के लिए क्या प्रतिक्रिया देनी चाहिए?</v>
      </c>
      <c r="H215" s="5" t="str">
        <f>IFERROR(__xludf.DUMMYFUNCTION("GOOGLETRANSLATE(C215, ""en"", ""hi"")"),"ए) पैरी और स्ट्राइक, बी) डक और स्वीप, सी) ब्लॉक हाई और काउंटर, डी) स्पिन और एवेड")</f>
        <v>ए) पैरी और स्ट्राइक, बी) डक और स्वीप, सी) ब्लॉक हाई और काउंटर, डी) स्पिन और एवेड</v>
      </c>
      <c r="I215" s="5" t="str">
        <f>IFERROR(__xludf.DUMMYFUNCTION("GOOGLETRANSLATE(D215, ""en"", ""hi"")"),"A) पैरी और स्ट्राइक")</f>
        <v>A) पैरी और स्ट्राइक</v>
      </c>
    </row>
    <row r="216" ht="22.5" customHeight="1">
      <c r="A216" s="2">
        <v>215.0</v>
      </c>
      <c r="B216" s="3" t="s">
        <v>9687</v>
      </c>
      <c r="C216" s="3" t="s">
        <v>9688</v>
      </c>
      <c r="D216" s="3" t="s">
        <v>9274</v>
      </c>
      <c r="F216" s="5" t="str">
        <f>IFERROR(__xludf.DUMMYFUNCTION("GOOGLETRANSLATE(A216, ""en"", ""hi"")"),"215")</f>
        <v>215</v>
      </c>
      <c r="G216" s="5" t="str">
        <f>IFERROR(__xludf.DUMMYFUNCTION("GOOGLETRANSLATE(B216, ""en"", ""hi"")"),"एक अभ्यासकर्ता एक प्रदर्शन कर रहा है जिसमें घूमते हुए प्रहारों की एक श्रृंखला शामिल है। युद्ध परिदृश्य में इन आंदोलनों का मुख्य केंद्र क्या है?")</f>
        <v>एक अभ्यासकर्ता एक प्रदर्शन कर रहा है जिसमें घूमते हुए प्रहारों की एक श्रृंखला शामिल है। युद्ध परिदृश्य में इन आंदोलनों का मुख्य केंद्र क्या है?</v>
      </c>
      <c r="H216" s="5" t="str">
        <f>IFERROR(__xludf.DUMMYFUNCTION("GOOGLETRANSLATE(C216, ""en"", ""hi"")"),"A) दूरी बनाने के लिए, B) प्रतिद्वंद्वी को भ्रमित करने के लिए, C) शक्ति बढ़ाने के लिए, D) कौशल दिखाने के लिए")</f>
        <v>A) दूरी बनाने के लिए, B) प्रतिद्वंद्वी को भ्रमित करने के लिए, C) शक्ति बढ़ाने के लिए, D) कौशल दिखाने के लिए</v>
      </c>
      <c r="I216" s="5" t="str">
        <f>IFERROR(__xludf.DUMMYFUNCTION("GOOGLETRANSLATE(D216, ""en"", ""hi"")"),"बी) प्रतिद्वंद्वी को भ्रमित करने के लिए")</f>
        <v>बी) प्रतिद्वंद्वी को भ्रमित करने के लिए</v>
      </c>
    </row>
    <row r="217" ht="22.5" customHeight="1">
      <c r="A217" s="2">
        <v>216.0</v>
      </c>
      <c r="B217" s="3" t="s">
        <v>9689</v>
      </c>
      <c r="C217" s="3" t="s">
        <v>9690</v>
      </c>
      <c r="D217" s="3" t="s">
        <v>9691</v>
      </c>
      <c r="F217" s="5" t="str">
        <f>IFERROR(__xludf.DUMMYFUNCTION("GOOGLETRANSLATE(A217, ""en"", ""hi"")"),"216")</f>
        <v>216</v>
      </c>
      <c r="G217" s="5" t="str">
        <f>IFERROR(__xludf.DUMMYFUNCTION("GOOGLETRANSLATE(B217, ""en"", ""hi"")"),"सिलंबम प्रदर्शन में, अभ्यासकर्ता अपने प्रतिद्वंद्वी को निहत्था करने के लिए 'उप्पू वीचू' तकनीक का उपयोग करता है। इस चाल का केंद्रबिंदु क्या है?")</f>
        <v>सिलंबम प्रदर्शन में, अभ्यासकर्ता अपने प्रतिद्वंद्वी को निहत्था करने के लिए 'उप्पू वीचू' तकनीक का उपयोग करता है। इस चाल का केंद्रबिंदु क्या है?</v>
      </c>
      <c r="H217" s="5" t="str">
        <f>IFERROR(__xludf.DUMMYFUNCTION("GOOGLETRANSLATE(C217, ""en"", ""hi"")"),"A) परिशुद्धता, B) शक्ति, C) गति, D) व्याकुलता")</f>
        <v>A) परिशुद्धता, B) शक्ति, C) गति, D) व्याकुलता</v>
      </c>
      <c r="I217" s="5" t="str">
        <f>IFERROR(__xludf.DUMMYFUNCTION("GOOGLETRANSLATE(D217, ""en"", ""hi"")"),"ए) परिशुद्धता")</f>
        <v>ए) परिशुद्धता</v>
      </c>
    </row>
    <row r="218" ht="22.5" customHeight="1">
      <c r="A218" s="2">
        <v>217.0</v>
      </c>
      <c r="B218" s="3" t="s">
        <v>9692</v>
      </c>
      <c r="C218" s="3" t="s">
        <v>9613</v>
      </c>
      <c r="D218" s="3" t="s">
        <v>9587</v>
      </c>
      <c r="F218" s="5" t="str">
        <f>IFERROR(__xludf.DUMMYFUNCTION("GOOGLETRANSLATE(A218, ""en"", ""hi"")"),"217")</f>
        <v>217</v>
      </c>
      <c r="G218" s="5" t="str">
        <f>IFERROR(__xludf.DUMMYFUNCTION("GOOGLETRANSLATE(B218, ""en"", ""hi"")"),"एक अभ्यासकर्ता ऐसे प्रतिद्वंद्वी का सामना कर रहा है जो मुख्यतः निचले प्रहारों का उपयोग करता है। आक्रामक रुख बनाए रखते हुए इस शैली का मुकाबला करने के लिए कौन सी तकनीक अपनाई जानी चाहिए?")</f>
        <v>एक अभ्यासकर्ता ऐसे प्रतिद्वंद्वी का सामना कर रहा है जो मुख्यतः निचले प्रहारों का उपयोग करता है। आक्रामक रुख बनाए रखते हुए इस शैली का मुकाबला करने के लिए कौन सी तकनीक अपनाई जानी चाहिए?</v>
      </c>
      <c r="H218" s="5" t="str">
        <f>IFERROR(__xludf.DUMMYFUNCTION("GOOGLETRANSLATE(C218, ""en"", ""hi"")"),"ए) छलांग और जोर, बी) नीचे से रोकना और जवाबी हमला, सी) घूमना और बचना, डी) रक्षात्मक अवरोध")</f>
        <v>ए) छलांग और जोर, बी) नीचे से रोकना और जवाबी हमला, सी) घूमना और बचना, डी) रक्षात्मक अवरोध</v>
      </c>
      <c r="I218" s="5" t="str">
        <f>IFERROR(__xludf.DUMMYFUNCTION("GOOGLETRANSLATE(D218, ""en"", ""hi"")"),"बी) ब्लॉक लो और काउंटर")</f>
        <v>बी) ब्लॉक लो और काउंटर</v>
      </c>
    </row>
    <row r="219" ht="22.5" customHeight="1">
      <c r="A219" s="2">
        <v>218.0</v>
      </c>
      <c r="B219" s="3" t="s">
        <v>9693</v>
      </c>
      <c r="C219" s="3" t="s">
        <v>9685</v>
      </c>
      <c r="D219" s="3" t="s">
        <v>9694</v>
      </c>
      <c r="F219" s="5" t="str">
        <f>IFERROR(__xludf.DUMMYFUNCTION("GOOGLETRANSLATE(A219, ""en"", ""hi"")"),"218")</f>
        <v>218</v>
      </c>
      <c r="G219" s="5" t="str">
        <f>IFERROR(__xludf.DUMMYFUNCTION("GOOGLETRANSLATE(B219, ""en"", ""hi"")"),"एक प्रतिद्वंद्वी अभ्यासकर्ता के सिर पर एक तेज़ मुक्का मारने की कोशिश करता है। सिलंबम तकनीक का उपयोग करते हुए सबसे प्रभावी तत्काल प्रतिक्रिया क्या है?")</f>
        <v>एक प्रतिद्वंद्वी अभ्यासकर्ता के सिर पर एक तेज़ मुक्का मारने की कोशिश करता है। सिलंबम तकनीक का उपयोग करते हुए सबसे प्रभावी तत्काल प्रतिक्रिया क्या है?</v>
      </c>
      <c r="H219" s="5" t="str">
        <f>IFERROR(__xludf.DUMMYFUNCTION("GOOGLETRANSLATE(C219, ""en"", ""hi"")"),"ए) पैरी और स्ट्राइक, बी) डक और स्वीप, सी) ब्लॉक हाई और काउंटर, डी) स्पिन और एवेड")</f>
        <v>ए) पैरी और स्ट्राइक, बी) डक और स्वीप, सी) ब्लॉक हाई और काउंटर, डी) स्पिन और एवेड</v>
      </c>
      <c r="I219" s="5" t="str">
        <f>IFERROR(__xludf.DUMMYFUNCTION("GOOGLETRANSLATE(D219, ""en"", ""hi"")"),"C) ब्लॉक हाई और काउंटर")</f>
        <v>C) ब्लॉक हाई और काउंटर</v>
      </c>
    </row>
    <row r="220" ht="22.5" customHeight="1">
      <c r="A220" s="2">
        <v>219.0</v>
      </c>
      <c r="B220" s="3" t="s">
        <v>9695</v>
      </c>
      <c r="C220" s="3" t="s">
        <v>9696</v>
      </c>
      <c r="D220" s="3" t="s">
        <v>9697</v>
      </c>
      <c r="F220" s="5" t="str">
        <f>IFERROR(__xludf.DUMMYFUNCTION("GOOGLETRANSLATE(A220, ""en"", ""hi"")"),"219")</f>
        <v>219</v>
      </c>
      <c r="G220" s="5" t="str">
        <f>IFERROR(__xludf.DUMMYFUNCTION("GOOGLETRANSLATE(B220, ""en"", ""hi"")"),"सिलंबम द्वंद्वयुद्ध के दौरान, अभ्यासी ऐसी स्थिति में फँस जाता है जहाँ प्रतिद्वंद्वी उच्च सुरक्षा रुख अपना रहा होता है। इस सुरक्षा को भेदने के लिए किस तकनीक का उपयोग किया जाना चाहिए?")</f>
        <v>सिलंबम द्वंद्वयुद्ध के दौरान, अभ्यासी ऐसी स्थिति में फँस जाता है जहाँ प्रतिद्वंद्वी उच्च सुरक्षा रुख अपना रहा होता है। इस सुरक्षा को भेदने के लिए किस तकनीक का उपयोग किया जाना चाहिए?</v>
      </c>
      <c r="H220" s="5" t="str">
        <f>IFERROR(__xludf.DUMMYFUNCTION("GOOGLETRANSLATE(C220, ""en"", ""hi"")"),"ए) कम प्रहार, बी) छल और प्रहार, सी) ओवरहेड प्रहार, डी) वृत्ताकार गति")</f>
        <v>ए) कम प्रहार, बी) छल और प्रहार, सी) ओवरहेड प्रहार, डी) वृत्ताकार गति</v>
      </c>
      <c r="I220" s="5" t="str">
        <f>IFERROR(__xludf.DUMMYFUNCTION("GOOGLETRANSLATE(D220, ""en"", ""hi"")"),"बी) छल और प्रहार")</f>
        <v>बी) छल और प्रहार</v>
      </c>
    </row>
    <row r="221" ht="22.5" customHeight="1">
      <c r="A221" s="2">
        <v>220.0</v>
      </c>
      <c r="B221" s="3" t="s">
        <v>9698</v>
      </c>
      <c r="C221" s="3" t="s">
        <v>9618</v>
      </c>
      <c r="D221" s="3" t="s">
        <v>9445</v>
      </c>
      <c r="F221" s="5" t="str">
        <f>IFERROR(__xludf.DUMMYFUNCTION("GOOGLETRANSLATE(A221, ""en"", ""hi"")"),"220")</f>
        <v>220</v>
      </c>
      <c r="G221" s="5" t="str">
        <f>IFERROR(__xludf.DUMMYFUNCTION("GOOGLETRANSLATE(B221, ""en"", ""hi"")"),"एक साधक सिलंबम तकनीक का प्रदर्शन कर रहा है जिसमें आगे बढ़ते समय बारी-बारी से ऊँचे और नीचे के प्रहार किए जाते हैं। इस तकनीक का मुख्य उद्देश्य क्या है?")</f>
        <v>एक साधक सिलंबम तकनीक का प्रदर्शन कर रहा है जिसमें आगे बढ़ते समय बारी-बारी से ऊँचे और नीचे के प्रहार किए जाते हैं। इस तकनीक का मुख्य उद्देश्य क्या है?</v>
      </c>
      <c r="H221" s="5" t="str">
        <f>IFERROR(__xludf.DUMMYFUNCTION("GOOGLETRANSLATE(C221, ""en"", ""hi"")"),"A) प्रतिद्वंद्वी को परास्त करना, B) प्रतिद्वंद्वी को भ्रमित करना, C) रक्षात्मक अवरोध उत्पन्न करना, D) कौशल का प्रदर्शन करना")</f>
        <v>A) प्रतिद्वंद्वी को परास्त करना, B) प्रतिद्वंद्वी को भ्रमित करना, C) रक्षात्मक अवरोध उत्पन्न करना, D) कौशल का प्रदर्शन करना</v>
      </c>
      <c r="I221" s="5" t="str">
        <f>IFERROR(__xludf.DUMMYFUNCTION("GOOGLETRANSLATE(D221, ""en"", ""hi"")"),"A) प्रतिद्वंद्वी को परास्त करना")</f>
        <v>A) प्रतिद्वंद्वी को परास्त करना</v>
      </c>
    </row>
    <row r="222" ht="22.5" customHeight="1">
      <c r="A222" s="2">
        <v>221.0</v>
      </c>
      <c r="B222" s="3" t="s">
        <v>9699</v>
      </c>
      <c r="C222" s="3" t="s">
        <v>9674</v>
      </c>
      <c r="D222" s="3" t="s">
        <v>9616</v>
      </c>
      <c r="F222" s="5" t="str">
        <f>IFERROR(__xludf.DUMMYFUNCTION("GOOGLETRANSLATE(A222, ""en"", ""hi"")"),"221")</f>
        <v>221</v>
      </c>
      <c r="G222" s="5" t="str">
        <f>IFERROR(__xludf.DUMMYFUNCTION("GOOGLETRANSLATE(B222, ""en"", ""hi"")"),"एक प्रतिद्वंद्वी अभ्यासकर्ता के पैरों पर ज़ोरदार प्रहार करता है। अभ्यासकर्ता को संतुलन बनाए रखते हुए इस हमले का प्रतिकार कैसे करना चाहिए?")</f>
        <v>एक प्रतिद्वंद्वी अभ्यासकर्ता के पैरों पर ज़ोरदार प्रहार करता है। अभ्यासकर्ता को संतुलन बनाए रखते हुए इस हमले का प्रतिकार कैसे करना चाहिए?</v>
      </c>
      <c r="H222" s="5" t="str">
        <f>IFERROR(__xludf.DUMMYFUNCTION("GOOGLETRANSLATE(C222, ""en"", ""hi"")"),"ए) कूदें और पलटवार करें, बी) नीचे से ब्लॉक करें और वार करें, सी) साइड स्टेप करें, डी) घूमें और बचें")</f>
        <v>ए) कूदें और पलटवार करें, बी) नीचे से ब्लॉक करें और वार करें, सी) साइड स्टेप करें, डी) घूमें और बचें</v>
      </c>
      <c r="I222" s="5" t="str">
        <f>IFERROR(__xludf.DUMMYFUNCTION("GOOGLETRANSLATE(D222, ""en"", ""hi"")"),"A) कूदो और काउंटर करो")</f>
        <v>A) कूदो और काउंटर करो</v>
      </c>
    </row>
    <row r="223" ht="22.5" customHeight="1">
      <c r="A223" s="2">
        <v>222.0</v>
      </c>
      <c r="B223" s="3" t="s">
        <v>9700</v>
      </c>
      <c r="C223" s="3" t="s">
        <v>9641</v>
      </c>
      <c r="D223" s="3" t="s">
        <v>9642</v>
      </c>
      <c r="F223" s="5" t="str">
        <f>IFERROR(__xludf.DUMMYFUNCTION("GOOGLETRANSLATE(A223, ""en"", ""hi"")"),"222")</f>
        <v>222</v>
      </c>
      <c r="G223" s="5" t="str">
        <f>IFERROR(__xludf.DUMMYFUNCTION("GOOGLETRANSLATE(B223, ""en"", ""hi"")"),"स्पैरिंग सत्र के दौरान, अभ्यासकर्ता का सामना एक ऐसे प्रतिद्वंद्वी से होता है जो तेज़ और अप्रत्याशित चालें चलता है। मैच पर नियंत्रण बनाए रखने के लिए अभ्यासकर्ता को किस पर ध्यान केंद्रित करना चाहिए?")</f>
        <v>स्पैरिंग सत्र के दौरान, अभ्यासकर्ता का सामना एक ऐसे प्रतिद्वंद्वी से होता है जो तेज़ और अप्रत्याशित चालें चलता है। मैच पर नियंत्रण बनाए रखने के लिए अभ्यासकर्ता को किस पर ध्यान केंद्रित करना चाहिए?</v>
      </c>
      <c r="H223" s="5" t="str">
        <f>IFERROR(__xludf.DUMMYFUNCTION("GOOGLETRANSLATE(C223, ""en"", ""hi"")"),"A) गति, B) फुटवर्क और दूरी, C) आक्रामक हमले, D) रक्षात्मक युद्धाभ्यास")</f>
        <v>A) गति, B) फुटवर्क और दूरी, C) आक्रामक हमले, D) रक्षात्मक युद्धाभ्यास</v>
      </c>
      <c r="I223" s="5" t="str">
        <f>IFERROR(__xludf.DUMMYFUNCTION("GOOGLETRANSLATE(D223, ""en"", ""hi"")"),"बी) फुटवर्क और दूरी")</f>
        <v>बी) फुटवर्क और दूरी</v>
      </c>
    </row>
    <row r="224" ht="22.5" customHeight="1">
      <c r="A224" s="2">
        <v>223.0</v>
      </c>
      <c r="B224" s="3" t="s">
        <v>9701</v>
      </c>
      <c r="C224" s="3" t="s">
        <v>9654</v>
      </c>
      <c r="D224" s="3" t="s">
        <v>9655</v>
      </c>
      <c r="F224" s="5" t="str">
        <f>IFERROR(__xludf.DUMMYFUNCTION("GOOGLETRANSLATE(A224, ""en"", ""hi"")"),"223")</f>
        <v>223</v>
      </c>
      <c r="G224" s="5" t="str">
        <f>IFERROR(__xludf.DUMMYFUNCTION("GOOGLETRANSLATE(B224, ""en"", ""hi"")"),"एक प्रतिद्वंद्वी अभ्यासकर्ता के धड़ पर तेज़ी से कई प्रहार करता है। इस हमले का प्रभावी ढंग से प्रतिकार करने के लिए अभ्यासकर्ता को क्या प्रतिक्रिया देनी चाहिए?")</f>
        <v>एक प्रतिद्वंद्वी अभ्यासकर्ता के धड़ पर तेज़ी से कई प्रहार करता है। इस हमले का प्रभावी ढंग से प्रतिकार करने के लिए अभ्यासकर्ता को क्या प्रतिक्रिया देनी चाहिए?</v>
      </c>
      <c r="H224" s="5" t="str">
        <f>IFERROR(__xludf.DUMMYFUNCTION("GOOGLETRANSLATE(C224,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224" s="5" t="str">
        <f>IFERROR(__xludf.DUMMYFUNCTION("GOOGLETRANSLATE(D224, ""en"", ""hi"")"),"सी) साइड स्टेप और स्ट्राइक")</f>
        <v>सी) साइड स्टेप और स्ट्राइक</v>
      </c>
    </row>
    <row r="225" ht="22.5" customHeight="1">
      <c r="A225" s="2">
        <v>224.0</v>
      </c>
      <c r="B225" s="3" t="s">
        <v>9702</v>
      </c>
      <c r="C225" s="3" t="s">
        <v>9703</v>
      </c>
      <c r="D225" s="3" t="s">
        <v>9704</v>
      </c>
      <c r="F225" s="5" t="str">
        <f>IFERROR(__xludf.DUMMYFUNCTION("GOOGLETRANSLATE(A225, ""en"", ""hi"")"),"224")</f>
        <v>224</v>
      </c>
      <c r="G225" s="5" t="str">
        <f>IFERROR(__xludf.DUMMYFUNCTION("GOOGLETRANSLATE(B225, ""en"", ""hi"")"),"सिलंबम मुकाबले के दौरान, प्रतिद्वंद्वी एक निम्न व्यापक आक्रमण करता है। द्वंद्वयुद्ध पर नियंत्रण बनाए रखने के लिए अभ्यासकर्ता को किस प्रकार प्रतिक्रिया देनी चाहिए?")</f>
        <v>सिलंबम मुकाबले के दौरान, प्रतिद्वंद्वी एक निम्न व्यापक आक्रमण करता है। द्वंद्वयुद्ध पर नियंत्रण बनाए रखने के लिए अभ्यासकर्ता को किस प्रकार प्रतिक्रिया देनी चाहिए?</v>
      </c>
      <c r="H225" s="5" t="str">
        <f>IFERROR(__xludf.DUMMYFUNCTION("GOOGLETRANSLATE(C225, ""en"", ""hi"")"),"ए) कूदें और पलटवार करें, बी) नीचे से ब्लॉक करें और वार करें, सी) साइड स्टेप करें और स्वीप करें, डी) घूमें और बचें")</f>
        <v>ए) कूदें और पलटवार करें, बी) नीचे से ब्लॉक करें और वार करें, सी) साइड स्टेप करें और स्वीप करें, डी) घूमें और बचें</v>
      </c>
      <c r="I225" s="5" t="str">
        <f>IFERROR(__xludf.DUMMYFUNCTION("GOOGLETRANSLATE(D225, ""en"", ""hi"")"),"बी) नीचे से ब्लॉक करें और स्ट्राइक करें")</f>
        <v>बी) नीचे से ब्लॉक करें और स्ट्राइक करें</v>
      </c>
    </row>
    <row r="226" ht="22.5" customHeight="1">
      <c r="A226" s="2">
        <v>225.0</v>
      </c>
      <c r="B226" s="3" t="s">
        <v>9705</v>
      </c>
      <c r="C226" s="3" t="s">
        <v>9706</v>
      </c>
      <c r="D226" s="3" t="s">
        <v>9274</v>
      </c>
      <c r="F226" s="5" t="str">
        <f>IFERROR(__xludf.DUMMYFUNCTION("GOOGLETRANSLATE(A226, ""en"", ""hi"")"),"225")</f>
        <v>225</v>
      </c>
      <c r="G226" s="5" t="str">
        <f>IFERROR(__xludf.DUMMYFUNCTION("GOOGLETRANSLATE(B226, ""en"", ""hi"")"),"सिलंबम प्रदर्शन में, अभ्यासकर्ता एक ऐसी चाल का प्रयोग करता है जिसमें ऊँचा प्रहार करने से पहले डंडे को तेज़ी से घुमाया जाता है। इस तकनीक का प्राथमिक लक्ष्य क्या है?")</f>
        <v>सिलंबम प्रदर्शन में, अभ्यासकर्ता एक ऐसी चाल का प्रयोग करता है जिसमें ऊँचा प्रहार करने से पहले डंडे को तेज़ी से घुमाया जाता है। इस तकनीक का प्राथमिक लक्ष्य क्या है?</v>
      </c>
      <c r="H226" s="5" t="str">
        <f>IFERROR(__xludf.DUMMYFUNCTION("GOOGLETRANSLATE(C226, ""en"", ""hi"")"),"A) शक्ति बढ़ाने के लिए, B) प्रतिद्वंद्वी को भ्रमित करने के लिए, C) रक्षात्मक अवरोध बनाने के लिए, D) कौशल दिखाने के लिए")</f>
        <v>A) शक्ति बढ़ाने के लिए, B) प्रतिद्वंद्वी को भ्रमित करने के लिए, C) रक्षात्मक अवरोध बनाने के लिए, D) कौशल दिखाने के लिए</v>
      </c>
      <c r="I226" s="5" t="str">
        <f>IFERROR(__xludf.DUMMYFUNCTION("GOOGLETRANSLATE(D226, ""en"", ""hi"")"),"बी) प्रतिद्वंद्वी को भ्रमित करने के लिए")</f>
        <v>बी) प्रतिद्वंद्वी को भ्रमित करने के लिए</v>
      </c>
    </row>
    <row r="227" ht="22.5" customHeight="1">
      <c r="A227" s="2">
        <v>226.0</v>
      </c>
      <c r="B227" s="3" t="s">
        <v>9707</v>
      </c>
      <c r="C227" s="3" t="s">
        <v>9708</v>
      </c>
      <c r="D227" s="3" t="s">
        <v>9709</v>
      </c>
      <c r="F227" s="5" t="str">
        <f>IFERROR(__xludf.DUMMYFUNCTION("GOOGLETRANSLATE(A227, ""en"", ""hi"")"),"226")</f>
        <v>226</v>
      </c>
      <c r="G227" s="5" t="str">
        <f>IFERROR(__xludf.DUMMYFUNCTION("GOOGLETRANSLATE(B227, ""en"", ""hi"")"),"एक अभ्यासकर्ता का सामना ऐसे प्रतिद्वंद्वी से होता है जो अक्सर ऊपर से वार करता है। इन हमलों का प्रभावी ढंग से मुकाबला करने के लिए कौन सी तकनीक अपनाई जानी चाहिए?")</f>
        <v>एक अभ्यासकर्ता का सामना ऐसे प्रतिद्वंद्वी से होता है जो अक्सर ऊपर से वार करता है। इन हमलों का प्रभावी ढंग से मुकाबला करने के लिए कौन सी तकनीक अपनाई जानी चाहिए?</v>
      </c>
      <c r="H227" s="5" t="str">
        <f>IFERROR(__xludf.DUMMYFUNCTION("GOOGLETRANSLATE(C227, ""en"", ""hi"")"),"ए) ब्लॉक और स्ट्राइक, बी) डक और काउंटर, सी) साइड स्टेप और स्वीप, डी) स्पिन और एवेड")</f>
        <v>ए) ब्लॉक और स्ट्राइक, बी) डक और काउंटर, सी) साइड स्टेप और स्वीप, डी) स्पिन और एवेड</v>
      </c>
      <c r="I227" s="5" t="str">
        <f>IFERROR(__xludf.DUMMYFUNCTION("GOOGLETRANSLATE(D227, ""en"", ""hi"")"),"A) ब्लॉक और स्ट्राइक")</f>
        <v>A) ब्लॉक और स्ट्राइक</v>
      </c>
    </row>
    <row r="228" ht="22.5" customHeight="1">
      <c r="A228" s="2">
        <v>227.0</v>
      </c>
      <c r="B228" s="3" t="s">
        <v>9710</v>
      </c>
      <c r="C228" s="3" t="s">
        <v>9711</v>
      </c>
      <c r="D228" s="3" t="s">
        <v>9642</v>
      </c>
      <c r="F228" s="5" t="str">
        <f>IFERROR(__xludf.DUMMYFUNCTION("GOOGLETRANSLATE(A228, ""en"", ""hi"")"),"227")</f>
        <v>227</v>
      </c>
      <c r="G228" s="5" t="str">
        <f>IFERROR(__xludf.DUMMYFUNCTION("GOOGLETRANSLATE(B228, ""en"", ""hi"")"),"स्पैरिंग सत्र के दौरान, प्रतिद्वंद्वी तेज़ और अनियमित चालें अपना रहा होता है। इस शैली का प्रभावी ढंग से जवाब देने के लिए अभ्यासकर्ता को किस पर ध्यान केंद्रित करना चाहिए?")</f>
        <v>स्पैरिंग सत्र के दौरान, प्रतिद्वंद्वी तेज़ और अनियमित चालें अपना रहा होता है। इस शैली का प्रभावी ढंग से जवाब देने के लिए अभ्यासकर्ता को किस पर ध्यान केंद्रित करना चाहिए?</v>
      </c>
      <c r="H228" s="5" t="str">
        <f>IFERROR(__xludf.DUMMYFUNCTION("GOOGLETRANSLATE(C228, ""en"", ""hi"")"),"A) गति, B) फुटवर्क और दूरी, C) रक्षात्मक ब्लॉक, D) आक्रामक हमले")</f>
        <v>A) गति, B) फुटवर्क और दूरी, C) रक्षात्मक ब्लॉक, D) आक्रामक हमले</v>
      </c>
      <c r="I228" s="5" t="str">
        <f>IFERROR(__xludf.DUMMYFUNCTION("GOOGLETRANSLATE(D228, ""en"", ""hi"")"),"बी) फुटवर्क और दूरी")</f>
        <v>बी) फुटवर्क और दूरी</v>
      </c>
    </row>
    <row r="229" ht="22.5" customHeight="1">
      <c r="A229" s="2">
        <v>228.0</v>
      </c>
      <c r="B229" s="3" t="s">
        <v>9712</v>
      </c>
      <c r="C229" s="3" t="s">
        <v>9713</v>
      </c>
      <c r="D229" s="3" t="s">
        <v>9274</v>
      </c>
      <c r="F229" s="5" t="str">
        <f>IFERROR(__xludf.DUMMYFUNCTION("GOOGLETRANSLATE(A229, ""en"", ""hi"")"),"228")</f>
        <v>228</v>
      </c>
      <c r="G229" s="5" t="str">
        <f>IFERROR(__xludf.DUMMYFUNCTION("GOOGLETRANSLATE(B229, ""en"", ""hi"")"),"एक सिलंबम साधक उच्च और निम्न प्रहारों के बीच बारी-बारी से प्रहारों की एक श्रृंखला कर रहा है। इस तकनीक का उद्देश्य क्या है?")</f>
        <v>एक सिलंबम साधक उच्च और निम्न प्रहारों के बीच बारी-बारी से प्रहारों की एक श्रृंखला कर रहा है। इस तकनीक का उद्देश्य क्या है?</v>
      </c>
      <c r="H229" s="5" t="str">
        <f>IFERROR(__xludf.DUMMYFUNCTION("GOOGLETRANSLATE(C229, ""en"", ""hi"")"),"A) प्रतिद्वंद्वी को परास्त करना, B) प्रतिद्वंद्वी को भ्रमित करना, C) शक्ति बढ़ाना, D) कौशल का प्रदर्शन करना")</f>
        <v>A) प्रतिद्वंद्वी को परास्त करना, B) प्रतिद्वंद्वी को भ्रमित करना, C) शक्ति बढ़ाना, D) कौशल का प्रदर्शन करना</v>
      </c>
      <c r="I229" s="5" t="str">
        <f>IFERROR(__xludf.DUMMYFUNCTION("GOOGLETRANSLATE(D229, ""en"", ""hi"")"),"बी) प्रतिद्वंद्वी को भ्रमित करने के लिए")</f>
        <v>बी) प्रतिद्वंद्वी को भ्रमित करने के लिए</v>
      </c>
    </row>
    <row r="230" ht="22.5" customHeight="1">
      <c r="A230" s="2">
        <v>229.0</v>
      </c>
      <c r="B230" s="3" t="s">
        <v>9714</v>
      </c>
      <c r="C230" s="3" t="s">
        <v>9715</v>
      </c>
      <c r="D230" s="3" t="s">
        <v>9716</v>
      </c>
      <c r="F230" s="5" t="str">
        <f>IFERROR(__xludf.DUMMYFUNCTION("GOOGLETRANSLATE(A230, ""en"", ""hi"")"),"229")</f>
        <v>229</v>
      </c>
      <c r="G230" s="5" t="str">
        <f>IFERROR(__xludf.DUMMYFUNCTION("GOOGLETRANSLATE(B230, ""en"", ""hi"")"),"एक प्रतिद्वंद्वी अभ्यासकर्ता के धड़ पर तेज़ी से कई वार करता है। अभ्यासकर्ता को सिलंबम तकनीक का उपयोग करके इन हमलों का जवाब कैसे देना चाहिए?")</f>
        <v>एक प्रतिद्वंद्वी अभ्यासकर्ता के धड़ पर तेज़ी से कई वार करता है। अभ्यासकर्ता को सिलंबम तकनीक का उपयोग करके इन हमलों का जवाब कैसे देना चाहिए?</v>
      </c>
      <c r="H230" s="5" t="str">
        <f>IFERROR(__xludf.DUMMYFUNCTION("GOOGLETRANSLATE(C230, ""en"", ""hi"")"),"ए) ब्लॉक और काउंटर, बी) डक और स्ट्राइक, सी) साइड स्टेप और काउंटर, डी) स्पिन और एवेड")</f>
        <v>ए) ब्लॉक और काउंटर, बी) डक और स्ट्राइक, सी) साइड स्टेप और काउंटर, डी) स्पिन और एवेड</v>
      </c>
      <c r="I230" s="5" t="str">
        <f>IFERROR(__xludf.DUMMYFUNCTION("GOOGLETRANSLATE(D230, ""en"", ""hi"")"),"ए) ब्लॉक और काउंटर")</f>
        <v>ए) ब्लॉक और काउंटर</v>
      </c>
    </row>
    <row r="231" ht="22.5" customHeight="1">
      <c r="A231" s="2">
        <v>230.0</v>
      </c>
      <c r="B231" s="3" t="s">
        <v>9717</v>
      </c>
      <c r="C231" s="3" t="s">
        <v>9718</v>
      </c>
      <c r="D231" s="3" t="s">
        <v>9719</v>
      </c>
      <c r="F231" s="5" t="str">
        <f>IFERROR(__xludf.DUMMYFUNCTION("GOOGLETRANSLATE(A231, ""en"", ""hi"")"),"230")</f>
        <v>230</v>
      </c>
      <c r="G231" s="5" t="str">
        <f>IFERROR(__xludf.DUMMYFUNCTION("GOOGLETRANSLATE(B231, ""en"", ""hi"")"),"सिलंबम प्रदर्शन के दौरान, अभ्यासकर्ता एक ऐसी मुद्रा प्रदर्शित करता है जिसमें प्रहार करने से पहले डंडे को अपने शरीर के चारों ओर घुमाना होता है। इस मुद्रा का मुख्य उद्देश्य क्या है?")</f>
        <v>सिलंबम प्रदर्शन के दौरान, अभ्यासकर्ता एक ऐसी मुद्रा प्रदर्शित करता है जिसमें प्रहार करने से पहले डंडे को अपने शरीर के चारों ओर घुमाना होता है। इस मुद्रा का मुख्य उद्देश्य क्या है?</v>
      </c>
      <c r="H231" s="5" t="str">
        <f>IFERROR(__xludf.DUMMYFUNCTION("GOOGLETRANSLATE(C231, ""en"", ""hi"")"),"A) गति बढ़ाने के लिए, B) रक्षात्मक अवरोध बनाने के लिए, C) प्रतिद्वंद्वी को भ्रमित करने के लिए, D) कौशल दिखाने के लिए")</f>
        <v>A) गति बढ़ाने के लिए, B) रक्षात्मक अवरोध बनाने के लिए, C) प्रतिद्वंद्वी को भ्रमित करने के लिए, D) कौशल दिखाने के लिए</v>
      </c>
      <c r="I231" s="5" t="str">
        <f>IFERROR(__xludf.DUMMYFUNCTION("GOOGLETRANSLATE(D231, ""en"", ""hi"")"),"C) प्रतिद्वंद्वी को भ्रमित करने के लिए")</f>
        <v>C) प्रतिद्वंद्वी को भ्रमित करने के लिए</v>
      </c>
    </row>
    <row r="232" ht="22.5" customHeight="1">
      <c r="A232" s="2">
        <v>231.0</v>
      </c>
      <c r="B232" s="3" t="s">
        <v>9720</v>
      </c>
      <c r="C232" s="3" t="s">
        <v>9721</v>
      </c>
      <c r="D232" s="3" t="s">
        <v>9722</v>
      </c>
      <c r="F232" s="5" t="str">
        <f>IFERROR(__xludf.DUMMYFUNCTION("GOOGLETRANSLATE(A232, ""en"", ""hi"")"),"231")</f>
        <v>231</v>
      </c>
      <c r="G232" s="5" t="str">
        <f>IFERROR(__xludf.DUMMYFUNCTION("GOOGLETRANSLATE(B232, ""en"", ""hi"")"),"सिलंबम मुकाबले में, प्रतिद्वंद्वी अक्सर कम प्रहार करता है। इस शैली का प्रभावी ढंग से मुकाबला करने के लिए अभ्यासकर्ता को कौन सी तकनीक अपनानी चाहिए?")</f>
        <v>सिलंबम मुकाबले में, प्रतिद्वंद्वी अक्सर कम प्रहार करता है। इस शैली का प्रभावी ढंग से मुकाबला करने के लिए अभ्यासकर्ता को कौन सी तकनीक अपनानी चाहिए?</v>
      </c>
      <c r="H232" s="5" t="str">
        <f>IFERROR(__xludf.DUMMYFUNCTION("GOOGLETRANSLATE(C232, ""en"", ""hi"")"),"ए) ऊंचे प्रहार, बी) साइड स्टेप और प्रहार, सी) नीचे से ब्लॉक करना और जवाबी प्रहार, डी) रक्षात्मक युद्धाभ्यास")</f>
        <v>ए) ऊंचे प्रहार, बी) साइड स्टेप और प्रहार, सी) नीचे से ब्लॉक करना और जवाबी प्रहार, डी) रक्षात्मक युद्धाभ्यास</v>
      </c>
      <c r="I232" s="5" t="str">
        <f>IFERROR(__xludf.DUMMYFUNCTION("GOOGLETRANSLATE(D232, ""en"", ""hi"")"),"C) ब्लॉक लो और काउंटर")</f>
        <v>C) ब्लॉक लो और काउंटर</v>
      </c>
    </row>
    <row r="233" ht="22.5" customHeight="1">
      <c r="A233" s="2">
        <v>232.0</v>
      </c>
      <c r="B233" s="3" t="s">
        <v>9723</v>
      </c>
      <c r="C233" s="3" t="s">
        <v>9724</v>
      </c>
      <c r="D233" s="3" t="s">
        <v>9725</v>
      </c>
      <c r="F233" s="5" t="str">
        <f>IFERROR(__xludf.DUMMYFUNCTION("GOOGLETRANSLATE(A233, ""en"", ""hi"")"),"232")</f>
        <v>232</v>
      </c>
      <c r="G233" s="5" t="str">
        <f>IFERROR(__xludf.DUMMYFUNCTION("GOOGLETRANSLATE(B233, ""en"", ""hi"")"),"एक अभ्यासकर्ता का सामना ऐसे प्रतिद्वंद्वी से होता है जो दोहरे हथियार वाली शैली का उपयोग करता है। मैच में बढ़त हासिल करने के लिए उन्हें कौन सी रणनीति अपनानी चाहिए?")</f>
        <v>एक अभ्यासकर्ता का सामना ऐसे प्रतिद्वंद्वी से होता है जो दोहरे हथियार वाली शैली का उपयोग करता है। मैच में बढ़त हासिल करने के लिए उन्हें कौन सी रणनीति अपनानी चाहिए?</v>
      </c>
      <c r="H233" s="5" t="str">
        <f>IFERROR(__xludf.DUMMYFUNCTION("GOOGLETRANSLATE(C233, ""en"", ""hi"")"),"A) प्रत्यक्ष हमले, B) दूरी बनाकर हमला करना, C) रक्षात्मक अवरोध, D) बचाव")</f>
        <v>A) प्रत्यक्ष हमले, B) दूरी बनाकर हमला करना, C) रक्षात्मक अवरोध, D) बचाव</v>
      </c>
      <c r="I233" s="5" t="str">
        <f>IFERROR(__xludf.DUMMYFUNCTION("GOOGLETRANSLATE(D233, ""en"", ""hi"")"),"बी) दूरी बनाएं और प्रहार करें")</f>
        <v>बी) दूरी बनाएं और प्रहार करें</v>
      </c>
    </row>
    <row r="234" ht="22.5" customHeight="1">
      <c r="A234" s="2">
        <v>233.0</v>
      </c>
      <c r="B234" s="3" t="s">
        <v>9726</v>
      </c>
      <c r="C234" s="3" t="s">
        <v>9706</v>
      </c>
      <c r="D234" s="3" t="s">
        <v>9274</v>
      </c>
      <c r="F234" s="5" t="str">
        <f>IFERROR(__xludf.DUMMYFUNCTION("GOOGLETRANSLATE(A234, ""en"", ""hi"")"),"233")</f>
        <v>233</v>
      </c>
      <c r="G234" s="5" t="str">
        <f>IFERROR(__xludf.DUMMYFUNCTION("GOOGLETRANSLATE(B234, ""en"", ""hi"")"),"सिलंबम प्रदर्शन के दौरान, अभ्यासकर्ता एक ऐसी चाल का प्रदर्शन करता है जिसमें प्रतिद्वंद्वी के सिर पर निशाना साधते हुए एक घूमता हुआ हमला शामिल होता है। इस तकनीक का इच्छित प्रभाव क्या है?")</f>
        <v>सिलंबम प्रदर्शन के दौरान, अभ्यासकर्ता एक ऐसी चाल का प्रदर्शन करता है जिसमें प्रतिद्वंद्वी के सिर पर निशाना साधते हुए एक घूमता हुआ हमला शामिल होता है। इस तकनीक का इच्छित प्रभाव क्या है?</v>
      </c>
      <c r="H234" s="5" t="str">
        <f>IFERROR(__xludf.DUMMYFUNCTION("GOOGLETRANSLATE(C234, ""en"", ""hi"")"),"A) शक्ति बढ़ाने के लिए, B) प्रतिद्वंद्वी को भ्रमित करने के लिए, C) रक्षात्मक अवरोध बनाने के लिए, D) कौशल दिखाने के लिए")</f>
        <v>A) शक्ति बढ़ाने के लिए, B) प्रतिद्वंद्वी को भ्रमित करने के लिए, C) रक्षात्मक अवरोध बनाने के लिए, D) कौशल दिखाने के लिए</v>
      </c>
      <c r="I234" s="5" t="str">
        <f>IFERROR(__xludf.DUMMYFUNCTION("GOOGLETRANSLATE(D234, ""en"", ""hi"")"),"बी) प्रतिद्वंद्वी को भ्रमित करने के लिए")</f>
        <v>बी) प्रतिद्वंद्वी को भ्रमित करने के लिए</v>
      </c>
    </row>
    <row r="235" ht="22.5" customHeight="1">
      <c r="A235" s="2">
        <v>234.0</v>
      </c>
      <c r="B235" s="3" t="s">
        <v>9727</v>
      </c>
      <c r="C235" s="3" t="s">
        <v>9728</v>
      </c>
      <c r="D235" s="3" t="s">
        <v>9587</v>
      </c>
      <c r="F235" s="5" t="str">
        <f>IFERROR(__xludf.DUMMYFUNCTION("GOOGLETRANSLATE(A235, ""en"", ""hi"")"),"234")</f>
        <v>234</v>
      </c>
      <c r="G235" s="5" t="str">
        <f>IFERROR(__xludf.DUMMYFUNCTION("GOOGLETRANSLATE(B235, ""en"", ""hi"")"),"एक प्रतिद्वंद्वी अभ्यासकर्ता के पैरों पर तेज़ी से वार करने की कोशिश करता है। संतुलन बनाए रखते हुए इस हमले का मुकाबला करने के लिए सबसे अच्छा रक्षात्मक कदम क्या है?")</f>
        <v>एक प्रतिद्वंद्वी अभ्यासकर्ता के पैरों पर तेज़ी से वार करने की कोशिश करता है। संतुलन बनाए रखते हुए इस हमले का मुकाबला करने के लिए सबसे अच्छा रक्षात्मक कदम क्या है?</v>
      </c>
      <c r="H235" s="5" t="str">
        <f>IFERROR(__xludf.DUMMYFUNCTION("GOOGLETRANSLATE(C235, ""en"", ""hi"")"),"ए) कूदें और वार करें, बी) नीचे से ब्लॉक करें और काउंटर करें, सी) साइड स्टेप करें और स्वीप करें, डी) स्पिन करें और बचें")</f>
        <v>ए) कूदें और वार करें, बी) नीचे से ब्लॉक करें और काउंटर करें, सी) साइड स्टेप करें और स्वीप करें, डी) स्पिन करें और बचें</v>
      </c>
      <c r="I235" s="5" t="str">
        <f>IFERROR(__xludf.DUMMYFUNCTION("GOOGLETRANSLATE(D235, ""en"", ""hi"")"),"बी) ब्लॉक लो और काउंटर")</f>
        <v>बी) ब्लॉक लो और काउंटर</v>
      </c>
    </row>
    <row r="236" ht="22.5" customHeight="1">
      <c r="A236" s="2">
        <v>235.0</v>
      </c>
      <c r="B236" s="3" t="s">
        <v>9729</v>
      </c>
      <c r="C236" s="3" t="s">
        <v>9730</v>
      </c>
      <c r="D236" s="3" t="s">
        <v>9731</v>
      </c>
      <c r="F236" s="5" t="str">
        <f>IFERROR(__xludf.DUMMYFUNCTION("GOOGLETRANSLATE(A236, ""en"", ""hi"")"),"235")</f>
        <v>235</v>
      </c>
      <c r="G236" s="5" t="str">
        <f>IFERROR(__xludf.DUMMYFUNCTION("GOOGLETRANSLATE(B236, ""en"", ""hi"")"),"सिलंबम द्वंद्वयुद्ध में, अभ्यासी का सामना एक ऐसे प्रतिद्वंद्वी से होता है जो तेज़ और अप्रत्याशित प्रहार करता है। अभ्यासी को अपनी रणनीति कैसे बदलनी चाहिए?")</f>
        <v>सिलंबम द्वंद्वयुद्ध में, अभ्यासी का सामना एक ऐसे प्रतिद्वंद्वी से होता है जो तेज़ और अप्रत्याशित प्रहार करता है। अभ्यासी को अपनी रणनीति कैसे बदलनी चाहिए?</v>
      </c>
      <c r="H236" s="5" t="str">
        <f>IFERROR(__xludf.DUMMYFUNCTION("GOOGLETRANSLATE(C236, ""en"", ""hi"")"),"A) गति बढ़ाएँ, B) फुटवर्क और दूरी पर ध्यान केंद्रित करें, C) रक्षात्मक ब्लॉक का उपयोग करें, D) तीव्र हमले करें")</f>
        <v>A) गति बढ़ाएँ, B) फुटवर्क और दूरी पर ध्यान केंद्रित करें, C) रक्षात्मक ब्लॉक का उपयोग करें, D) तीव्र हमले करें</v>
      </c>
      <c r="I236" s="5" t="str">
        <f>IFERROR(__xludf.DUMMYFUNCTION("GOOGLETRANSLATE(D236, ""en"", ""hi"")"),"बी) फुटवर्क और दूरी पर ध्यान केंद्रित करें")</f>
        <v>बी) फुटवर्क और दूरी पर ध्यान केंद्रित करें</v>
      </c>
    </row>
    <row r="237" ht="22.5" customHeight="1">
      <c r="A237" s="2">
        <v>236.0</v>
      </c>
      <c r="B237" s="3" t="s">
        <v>9732</v>
      </c>
      <c r="C237" s="3" t="s">
        <v>9733</v>
      </c>
      <c r="D237" s="3" t="s">
        <v>9323</v>
      </c>
      <c r="F237" s="5" t="str">
        <f>IFERROR(__xludf.DUMMYFUNCTION("GOOGLETRANSLATE(A237, ""en"", ""hi"")"),"236")</f>
        <v>236</v>
      </c>
      <c r="G237" s="5" t="str">
        <f>IFERROR(__xludf.DUMMYFUNCTION("GOOGLETRANSLATE(B237, ""en"", ""hi"")"),"एक अभ्यासी एक ऐसी तकनीक का प्रदर्शन कर रहा है जिसमें पहले ऊँचा छलावा और फिर नीचे की ओर प्रहार शामिल है। सिलंबम में इस युद्धाभ्यास का उद्देश्य क्या है?")</f>
        <v>एक अभ्यासी एक ऐसी तकनीक का प्रदर्शन कर रहा है जिसमें पहले ऊँचा छलावा और फिर नीचे की ओर प्रहार शामिल है। सिलंबम में इस युद्धाभ्यास का उद्देश्य क्या है?</v>
      </c>
      <c r="H237" s="5" t="str">
        <f>IFERROR(__xludf.DUMMYFUNCTION("GOOGLETRANSLATE(C237,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237" s="5" t="str">
        <f>IFERROR(__xludf.DUMMYFUNCTION("GOOGLETRANSLATE(D237, ""en"", ""hi"")"),"A) प्रतिद्वंद्वी को भ्रमित करने के लिए")</f>
        <v>A) प्रतिद्वंद्वी को भ्रमित करने के लिए</v>
      </c>
    </row>
    <row r="238" ht="22.5" customHeight="1">
      <c r="A238" s="2">
        <v>237.0</v>
      </c>
      <c r="B238" s="3" t="s">
        <v>9734</v>
      </c>
      <c r="C238" s="3" t="s">
        <v>9735</v>
      </c>
      <c r="D238" s="3" t="s">
        <v>9663</v>
      </c>
      <c r="F238" s="5" t="str">
        <f>IFERROR(__xludf.DUMMYFUNCTION("GOOGLETRANSLATE(A238, ""en"", ""hi"")"),"237")</f>
        <v>237</v>
      </c>
      <c r="G238" s="5" t="str">
        <f>IFERROR(__xludf.DUMMYFUNCTION("GOOGLETRANSLATE(B238, ""en"", ""hi"")"),"सिलंबम मैच के दौरान, प्रतिद्वंद्वी एक रक्षात्मक मुद्रा अपनाता है जो उसके धड़ को ढक लेती है। इस रक्षात्मक मुद्रा को भेदने के लिए अभ्यासकर्ता को क्या करना चाहिए?")</f>
        <v>सिलंबम मैच के दौरान, प्रतिद्वंद्वी एक रक्षात्मक मुद्रा अपनाता है जो उसके धड़ को ढक लेती है। इस रक्षात्मक मुद्रा को भेदने के लिए अभ्यासकर्ता को क्या करना चाहिए?</v>
      </c>
      <c r="H238" s="5" t="str">
        <f>IFERROR(__xludf.DUMMYFUNCTION("GOOGLETRANSLATE(C238, ""en"", ""hi"")"),"A) उच्च प्रहार, B) निम्न प्रहार, C) छल और प्रहार, D) वृत्ताकार गतियाँ")</f>
        <v>A) उच्च प्रहार, B) निम्न प्रहार, C) छल और प्रहार, D) वृत्ताकार गतियाँ</v>
      </c>
      <c r="I238" s="5" t="str">
        <f>IFERROR(__xludf.DUMMYFUNCTION("GOOGLETRANSLATE(D238, ""en"", ""hi"")"),"सी) छल और प्रहार")</f>
        <v>सी) छल और प्रहार</v>
      </c>
    </row>
    <row r="239" ht="22.5" customHeight="1">
      <c r="A239" s="2">
        <v>238.0</v>
      </c>
      <c r="B239" s="3" t="s">
        <v>9736</v>
      </c>
      <c r="C239" s="3" t="s">
        <v>9737</v>
      </c>
      <c r="D239" s="3" t="s">
        <v>9716</v>
      </c>
      <c r="F239" s="5" t="str">
        <f>IFERROR(__xludf.DUMMYFUNCTION("GOOGLETRANSLATE(A239, ""en"", ""hi"")"),"238")</f>
        <v>238</v>
      </c>
      <c r="G239" s="5" t="str">
        <f>IFERROR(__xludf.DUMMYFUNCTION("GOOGLETRANSLATE(B239, ""en"", ""hi"")"),"एक अभ्यासी का सामना ऐसे प्रतिद्वंद्वी से होता है जो तेज़ पार्श्व प्रहार करने में माहिर है। इस हमले का मुकाबला करने के लिए किस तकनीक का इस्तेमाल किया जाना चाहिए?")</f>
        <v>एक अभ्यासी का सामना ऐसे प्रतिद्वंद्वी से होता है जो तेज़ पार्श्व प्रहार करने में माहिर है। इस हमले का मुकाबला करने के लिए किस तकनीक का इस्तेमाल किया जाना चाहिए?</v>
      </c>
      <c r="H239" s="5" t="str">
        <f>IFERROR(__xludf.DUMMYFUNCTION("GOOGLETRANSLATE(C239,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239" s="5" t="str">
        <f>IFERROR(__xludf.DUMMYFUNCTION("GOOGLETRANSLATE(D239, ""en"", ""hi"")"),"ए) ब्लॉक और काउंटर")</f>
        <v>ए) ब्लॉक और काउंटर</v>
      </c>
    </row>
    <row r="240" ht="22.5" customHeight="1">
      <c r="A240" s="2">
        <v>239.0</v>
      </c>
      <c r="B240" s="3" t="s">
        <v>9738</v>
      </c>
      <c r="C240" s="3" t="s">
        <v>9708</v>
      </c>
      <c r="D240" s="3" t="s">
        <v>9709</v>
      </c>
      <c r="F240" s="5" t="str">
        <f>IFERROR(__xludf.DUMMYFUNCTION("GOOGLETRANSLATE(A240, ""en"", ""hi"")"),"239")</f>
        <v>239</v>
      </c>
      <c r="G240" s="5" t="str">
        <f>IFERROR(__xludf.DUMMYFUNCTION("GOOGLETRANSLATE(B240, ""en"", ""hi"")"),"सिलंबम द्वंद्वयुद्ध के दौरान, प्रतिद्वंद्वी ऊपर से कई प्रहार करने का प्रयास करता है। इन आक्रमणों का प्रतिकार करने के लिए अभ्यासकर्ता को किस तकनीक का उपयोग करना चाहिए?")</f>
        <v>सिलंबम द्वंद्वयुद्ध के दौरान, प्रतिद्वंद्वी ऊपर से कई प्रहार करने का प्रयास करता है। इन आक्रमणों का प्रतिकार करने के लिए अभ्यासकर्ता को किस तकनीक का उपयोग करना चाहिए?</v>
      </c>
      <c r="H240" s="5" t="str">
        <f>IFERROR(__xludf.DUMMYFUNCTION("GOOGLETRANSLATE(C240, ""en"", ""hi"")"),"ए) ब्लॉक और स्ट्राइक, बी) डक और काउंटर, सी) साइड स्टेप और स्वीप, डी) स्पिन और एवेड")</f>
        <v>ए) ब्लॉक और स्ट्राइक, बी) डक और काउंटर, सी) साइड स्टेप और स्वीप, डी) स्पिन और एवेड</v>
      </c>
      <c r="I240" s="5" t="str">
        <f>IFERROR(__xludf.DUMMYFUNCTION("GOOGLETRANSLATE(D240, ""en"", ""hi"")"),"A) ब्लॉक और स्ट्राइक")</f>
        <v>A) ब्लॉक और स्ट्राइक</v>
      </c>
    </row>
    <row r="241" ht="22.5" customHeight="1">
      <c r="A241" s="2">
        <v>240.0</v>
      </c>
      <c r="B241" s="3" t="s">
        <v>9739</v>
      </c>
      <c r="C241" s="3" t="s">
        <v>9740</v>
      </c>
      <c r="D241" s="3" t="s">
        <v>9741</v>
      </c>
      <c r="F241" s="5" t="str">
        <f>IFERROR(__xludf.DUMMYFUNCTION("GOOGLETRANSLATE(A241, ""en"", ""hi"")"),"240")</f>
        <v>240</v>
      </c>
      <c r="G241" s="5" t="str">
        <f>IFERROR(__xludf.DUMMYFUNCTION("GOOGLETRANSLATE(B241, ""en"", ""hi"")"),"स्पैरिंग सत्र में, प्रतिद्वंद्वी एक उच्च रक्षक रुख अपनाता है। अभ्यासकर्ता को इस प्रकार के बचाव का तरीका कैसे अपनाना चाहिए?")</f>
        <v>स्पैरिंग सत्र में, प्रतिद्वंद्वी एक उच्च रक्षक रुख अपनाता है। अभ्यासकर्ता को इस प्रकार के बचाव का तरीका कैसे अपनाना चाहिए?</v>
      </c>
      <c r="H241" s="5" t="str">
        <f>IFERROR(__xludf.DUMMYFUNCTION("GOOGLETRANSLATE(C241,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241" s="5" t="str">
        <f>IFERROR(__xludf.DUMMYFUNCTION("GOOGLETRANSLATE(D241, ""en"", ""hi"")"),"बी) फाइन्ट और हाई स्ट्राइक")</f>
        <v>बी) फाइन्ट और हाई स्ट्राइक</v>
      </c>
    </row>
    <row r="242" ht="22.5" customHeight="1">
      <c r="A242" s="2">
        <v>241.0</v>
      </c>
      <c r="B242" s="3" t="s">
        <v>9742</v>
      </c>
      <c r="C242" s="3" t="s">
        <v>9743</v>
      </c>
      <c r="D242" s="3" t="s">
        <v>9311</v>
      </c>
      <c r="F242" s="5" t="str">
        <f>IFERROR(__xludf.DUMMYFUNCTION("GOOGLETRANSLATE(A242, ""en"", ""hi"")"),"241")</f>
        <v>241</v>
      </c>
      <c r="G242" s="5" t="str">
        <f>IFERROR(__xludf.DUMMYFUNCTION("GOOGLETRANSLATE(B242, ""en"", ""hi"")"),"एक अभ्यासी सिलंबम तकनीक का प्रदर्शन कर रहा है जिसमें प्रतिद्वंद्वी के पैरों पर निशाना साधते हुए एक घूमता हुआ प्रहार शामिल है। इस चाल का मुख्य लक्ष्य क्या है?")</f>
        <v>एक अभ्यासी सिलंबम तकनीक का प्रदर्शन कर रहा है जिसमें प्रतिद्वंद्वी के पैरों पर निशाना साधते हुए एक घूमता हुआ प्रहार शामिल है। इस चाल का मुख्य लक्ष्य क्या है?</v>
      </c>
      <c r="H242" s="5" t="str">
        <f>IFERROR(__xludf.DUMMYFUNCTION("GOOGLETRANSLATE(C242, ""en"", ""hi"")"),"A) दूरी बनाना, B) प्रतिद्वंद्वी का संतुलन बिगाड़ना, C) प्रतिद्वंद्वी को भ्रमित करना, D) कौशल दिखाना")</f>
        <v>A) दूरी बनाना, B) प्रतिद्वंद्वी का संतुलन बिगाड़ना, C) प्रतिद्वंद्वी को भ्रमित करना, D) कौशल दिखाना</v>
      </c>
      <c r="I242" s="5" t="str">
        <f>IFERROR(__xludf.DUMMYFUNCTION("GOOGLETRANSLATE(D242, ""en"", ""hi"")"),"बी) प्रतिद्वंद्वी का संतुलन बिगाड़ना")</f>
        <v>बी) प्रतिद्वंद्वी का संतुलन बिगाड़ना</v>
      </c>
    </row>
    <row r="243" ht="22.5" customHeight="1">
      <c r="A243" s="2">
        <v>242.0</v>
      </c>
      <c r="B243" s="3" t="s">
        <v>9744</v>
      </c>
      <c r="C243" s="3" t="s">
        <v>9690</v>
      </c>
      <c r="D243" s="3" t="s">
        <v>9691</v>
      </c>
      <c r="F243" s="5" t="str">
        <f>IFERROR(__xludf.DUMMYFUNCTION("GOOGLETRANSLATE(A243, ""en"", ""hi"")"),"242")</f>
        <v>242</v>
      </c>
      <c r="G243" s="5" t="str">
        <f>IFERROR(__xludf.DUMMYFUNCTION("GOOGLETRANSLATE(B243, ""en"", ""hi"")"),"एक प्रदर्शन के दौरान, अभ्यासकर्ता अपने प्रतिद्वंद्वी को निहत्था करने के लिए 'पिडी वीचू' तकनीक का उपयोग करता है। इस चाल का केंद्रबिंदु क्या है?")</f>
        <v>एक प्रदर्शन के दौरान, अभ्यासकर्ता अपने प्रतिद्वंद्वी को निहत्था करने के लिए 'पिडी वीचू' तकनीक का उपयोग करता है। इस चाल का केंद्रबिंदु क्या है?</v>
      </c>
      <c r="H243" s="5" t="str">
        <f>IFERROR(__xludf.DUMMYFUNCTION("GOOGLETRANSLATE(C243, ""en"", ""hi"")"),"A) परिशुद्धता, B) शक्ति, C) गति, D) व्याकुलता")</f>
        <v>A) परिशुद्धता, B) शक्ति, C) गति, D) व्याकुलता</v>
      </c>
      <c r="I243" s="5" t="str">
        <f>IFERROR(__xludf.DUMMYFUNCTION("GOOGLETRANSLATE(D243, ""en"", ""hi"")"),"ए) परिशुद्धता")</f>
        <v>ए) परिशुद्धता</v>
      </c>
    </row>
    <row r="244" ht="22.5" customHeight="1">
      <c r="A244" s="2">
        <v>243.0</v>
      </c>
      <c r="B244" s="3" t="s">
        <v>9745</v>
      </c>
      <c r="C244" s="3" t="s">
        <v>9711</v>
      </c>
      <c r="D244" s="3" t="s">
        <v>9642</v>
      </c>
      <c r="F244" s="5" t="str">
        <f>IFERROR(__xludf.DUMMYFUNCTION("GOOGLETRANSLATE(A244, ""en"", ""hi"")"),"243")</f>
        <v>243</v>
      </c>
      <c r="G244" s="5" t="str">
        <f>IFERROR(__xludf.DUMMYFUNCTION("GOOGLETRANSLATE(B244, ""en"", ""hi"")"),"एक प्रतिद्वंद्वी तीव्र, अप्रत्याशित आक्रमण शैली का उपयोग कर रहा है। इस दृष्टिकोण का प्रभावी ढंग से प्रतिकार करने के लिए अभ्यासकर्ता को किस पर ध्यान केंद्रित करना चाहिए?")</f>
        <v>एक प्रतिद्वंद्वी तीव्र, अप्रत्याशित आक्रमण शैली का उपयोग कर रहा है। इस दृष्टिकोण का प्रभावी ढंग से प्रतिकार करने के लिए अभ्यासकर्ता को किस पर ध्यान केंद्रित करना चाहिए?</v>
      </c>
      <c r="H244" s="5" t="str">
        <f>IFERROR(__xludf.DUMMYFUNCTION("GOOGLETRANSLATE(C244, ""en"", ""hi"")"),"A) गति, B) फुटवर्क और दूरी, C) रक्षात्मक ब्लॉक, D) आक्रामक हमले")</f>
        <v>A) गति, B) फुटवर्क और दूरी, C) रक्षात्मक ब्लॉक, D) आक्रामक हमले</v>
      </c>
      <c r="I244" s="5" t="str">
        <f>IFERROR(__xludf.DUMMYFUNCTION("GOOGLETRANSLATE(D244, ""en"", ""hi"")"),"बी) फुटवर्क और दूरी")</f>
        <v>बी) फुटवर्क और दूरी</v>
      </c>
    </row>
    <row r="245" ht="22.5" customHeight="1">
      <c r="A245" s="2">
        <v>244.0</v>
      </c>
      <c r="B245" s="3" t="s">
        <v>9746</v>
      </c>
      <c r="C245" s="3" t="s">
        <v>9747</v>
      </c>
      <c r="D245" s="3" t="s">
        <v>9748</v>
      </c>
      <c r="F245" s="5" t="str">
        <f>IFERROR(__xludf.DUMMYFUNCTION("GOOGLETRANSLATE(A245, ""en"", ""hi"")"),"244")</f>
        <v>244</v>
      </c>
      <c r="G245" s="5" t="str">
        <f>IFERROR(__xludf.DUMMYFUNCTION("GOOGLETRANSLATE(B245, ""en"", ""hi"")"),"एक सिलंबम साधक अपने प्रतिद्वंदी का सामना एक निम्न स्वीपिंग तकनीक का उपयोग करके करता है। इस हमले का मुकाबला करने के लिए सबसे अच्छा रक्षात्मक कदम क्या है?")</f>
        <v>एक सिलंबम साधक अपने प्रतिद्वंदी का सामना एक निम्न स्वीपिंग तकनीक का उपयोग करके करता है। इस हमले का मुकाबला करने के लिए सबसे अच्छा रक्षात्मक कदम क्या है?</v>
      </c>
      <c r="H245" s="5" t="str">
        <f>IFERROR(__xludf.DUMMYFUNCTION("GOOGLETRANSLATE(C245, ""en"", ""hi"")"),"A) नीचे से ब्लॉक करें और वार करें, B) कूदें और जवाबी हमला करें, C) साइड स्टेप करें और वार करें, D) घूमें और बचें")</f>
        <v>A) नीचे से ब्लॉक करें और वार करें, B) कूदें और जवाबी हमला करें, C) साइड स्टेप करें और वार करें, D) घूमें और बचें</v>
      </c>
      <c r="I245" s="5" t="str">
        <f>IFERROR(__xludf.DUMMYFUNCTION("GOOGLETRANSLATE(D245, ""en"", ""hi"")"),"A) नीचे से ब्लॉक करें और स्ट्राइक करें")</f>
        <v>A) नीचे से ब्लॉक करें और स्ट्राइक करें</v>
      </c>
    </row>
    <row r="246" ht="22.5" customHeight="1">
      <c r="A246" s="2">
        <v>245.0</v>
      </c>
      <c r="B246" s="3" t="s">
        <v>9749</v>
      </c>
      <c r="C246" s="3" t="s">
        <v>9733</v>
      </c>
      <c r="D246" s="3" t="s">
        <v>9323</v>
      </c>
      <c r="F246" s="5" t="str">
        <f>IFERROR(__xludf.DUMMYFUNCTION("GOOGLETRANSLATE(A246, ""en"", ""hi"")"),"245")</f>
        <v>245</v>
      </c>
      <c r="G246" s="5" t="str">
        <f>IFERROR(__xludf.DUMMYFUNCTION("GOOGLETRANSLATE(B246, ""en"", ""hi"")"),"सिलंबम मैच के दौरान, अभ्यासकर्ता प्रतिद्वंद्वी की रक्षा पंक्ति को भेदने के लिए ऊँची और नीची प्रहारों के संयोजन का उपयोग करता है। इस तकनीक का मुख्य लक्ष्य क्या है?")</f>
        <v>सिलंबम मैच के दौरान, अभ्यासकर्ता प्रतिद्वंद्वी की रक्षा पंक्ति को भेदने के लिए ऊँची और नीची प्रहारों के संयोजन का उपयोग करता है। इस तकनीक का मुख्य लक्ष्य क्या है?</v>
      </c>
      <c r="H246" s="5" t="str">
        <f>IFERROR(__xludf.DUMMYFUNCTION("GOOGLETRANSLATE(C246,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246" s="5" t="str">
        <f>IFERROR(__xludf.DUMMYFUNCTION("GOOGLETRANSLATE(D246, ""en"", ""hi"")"),"A) प्रतिद्वंद्वी को भ्रमित करने के लिए")</f>
        <v>A) प्रतिद्वंद्वी को भ्रमित करने के लिए</v>
      </c>
    </row>
    <row r="247" ht="22.5" customHeight="1">
      <c r="A247" s="2">
        <v>246.0</v>
      </c>
      <c r="B247" s="3" t="s">
        <v>9750</v>
      </c>
      <c r="C247" s="3" t="s">
        <v>9724</v>
      </c>
      <c r="D247" s="3" t="s">
        <v>9725</v>
      </c>
      <c r="F247" s="5" t="str">
        <f>IFERROR(__xludf.DUMMYFUNCTION("GOOGLETRANSLATE(A247, ""en"", ""hi"")"),"246")</f>
        <v>246</v>
      </c>
      <c r="G247" s="5" t="str">
        <f>IFERROR(__xludf.DUMMYFUNCTION("GOOGLETRANSLATE(B247, ""en"", ""hi"")"),"सिलंबम द्वंद्वयुद्ध में, अभ्यासी का सामना एक ऐसे प्रतिद्वंद्वी से होता है जो दोहरे हथियार का इस्तेमाल करता है। इस रणनीति का प्रभावी ढंग से मुकाबला करने के लिए क्या रणनीति अपनाई जानी चाहिए?")</f>
        <v>सिलंबम द्वंद्वयुद्ध में, अभ्यासी का सामना एक ऐसे प्रतिद्वंद्वी से होता है जो दोहरे हथियार का इस्तेमाल करता है। इस रणनीति का प्रभावी ढंग से मुकाबला करने के लिए क्या रणनीति अपनाई जानी चाहिए?</v>
      </c>
      <c r="H247" s="5" t="str">
        <f>IFERROR(__xludf.DUMMYFUNCTION("GOOGLETRANSLATE(C247, ""en"", ""hi"")"),"A) प्रत्यक्ष हमले, B) दूरी बनाकर हमला करना, C) रक्षात्मक अवरोध, D) बचाव")</f>
        <v>A) प्रत्यक्ष हमले, B) दूरी बनाकर हमला करना, C) रक्षात्मक अवरोध, D) बचाव</v>
      </c>
      <c r="I247" s="5" t="str">
        <f>IFERROR(__xludf.DUMMYFUNCTION("GOOGLETRANSLATE(D247, ""en"", ""hi"")"),"बी) दूरी बनाएं और प्रहार करें")</f>
        <v>बी) दूरी बनाएं और प्रहार करें</v>
      </c>
    </row>
    <row r="248" ht="22.5" customHeight="1">
      <c r="A248" s="2">
        <v>247.0</v>
      </c>
      <c r="B248" s="3" t="s">
        <v>9751</v>
      </c>
      <c r="C248" s="3" t="s">
        <v>9620</v>
      </c>
      <c r="D248" s="3" t="s">
        <v>9326</v>
      </c>
      <c r="F248" s="5" t="str">
        <f>IFERROR(__xludf.DUMMYFUNCTION("GOOGLETRANSLATE(A248, ""en"", ""hi"")"),"247")</f>
        <v>247</v>
      </c>
      <c r="G248" s="5" t="str">
        <f>IFERROR(__xludf.DUMMYFUNCTION("GOOGLETRANSLATE(B248, ""en"", ""hi"")"),"एक अभ्यासी अपने प्रतिद्वंद्वी के हमले का जवाब देने के लिए 'काई वीचू' तकनीक का उपयोग करता है। इस युद्धाभ्यास का मुख्य उद्देश्य क्या है?")</f>
        <v>एक अभ्यासी अपने प्रतिद्वंद्वी के हमले का जवाब देने के लिए 'काई वीचू' तकनीक का उपयोग करता है। इस युद्धाभ्यास का मुख्य उद्देश्य क्या है?</v>
      </c>
      <c r="H248" s="5" t="str">
        <f>IFERROR(__xludf.DUMMYFUNCTION("GOOGLETRANSLATE(C248, ""en"", ""hi"")"),"A) आक्रमण, B) रक्षा, C) बचाव, D) सटीकता")</f>
        <v>A) आक्रमण, B) रक्षा, C) बचाव, D) सटीकता</v>
      </c>
      <c r="I248" s="5" t="str">
        <f>IFERROR(__xludf.DUMMYFUNCTION("GOOGLETRANSLATE(D248, ""en"", ""hi"")"),"ए) अपराध")</f>
        <v>ए) अपराध</v>
      </c>
    </row>
    <row r="249" ht="22.5" customHeight="1">
      <c r="A249" s="2">
        <v>248.0</v>
      </c>
      <c r="B249" s="3" t="s">
        <v>9752</v>
      </c>
      <c r="C249" s="3" t="s">
        <v>9733</v>
      </c>
      <c r="D249" s="3" t="s">
        <v>9323</v>
      </c>
      <c r="F249" s="5" t="str">
        <f>IFERROR(__xludf.DUMMYFUNCTION("GOOGLETRANSLATE(A249, ""en"", ""hi"")"),"248")</f>
        <v>248</v>
      </c>
      <c r="G249" s="5" t="str">
        <f>IFERROR(__xludf.DUMMYFUNCTION("GOOGLETRANSLATE(B249, ""en"", ""hi"")"),"एक प्रदर्शन के दौरान, एक कलाकार एक ऐसी तकनीक का प्रदर्शन करता है जिसमें प्रहार करने से पहले डंडे को अपने शरीर के चारों ओर घुमाना होता है। इस क्रिया का उद्देश्य क्या है?")</f>
        <v>एक प्रदर्शन के दौरान, एक कलाकार एक ऐसी तकनीक का प्रदर्शन करता है जिसमें प्रहार करने से पहले डंडे को अपने शरीर के चारों ओर घुमाना होता है। इस क्रिया का उद्देश्य क्या है?</v>
      </c>
      <c r="H249" s="5" t="str">
        <f>IFERROR(__xludf.DUMMYFUNCTION("GOOGLETRANSLATE(C249,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249" s="5" t="str">
        <f>IFERROR(__xludf.DUMMYFUNCTION("GOOGLETRANSLATE(D249, ""en"", ""hi"")"),"A) प्रतिद्वंद्वी को भ्रमित करने के लिए")</f>
        <v>A) प्रतिद्वंद्वी को भ्रमित करने के लिए</v>
      </c>
    </row>
    <row r="250" ht="22.5" customHeight="1">
      <c r="A250" s="2">
        <v>249.0</v>
      </c>
      <c r="B250" s="3" t="s">
        <v>9753</v>
      </c>
      <c r="C250" s="3" t="s">
        <v>9754</v>
      </c>
      <c r="D250" s="3" t="s">
        <v>9716</v>
      </c>
      <c r="F250" s="5" t="str">
        <f>IFERROR(__xludf.DUMMYFUNCTION("GOOGLETRANSLATE(A250, ""en"", ""hi"")"),"249")</f>
        <v>249</v>
      </c>
      <c r="G250" s="5" t="str">
        <f>IFERROR(__xludf.DUMMYFUNCTION("GOOGLETRANSLATE(B250, ""en"", ""hi"")"),"एक स्पैरिंग सत्र में, अभ्यासकर्ता का सामना एक ऐसे प्रतिद्वंद्वी से होता है जो अक्सर ऊँचे प्रहार करता है। इस हमले का मुकाबला करने की सबसे अच्छी तकनीक क्या है?")</f>
        <v>एक स्पैरिंग सत्र में, अभ्यासकर्ता का सामना एक ऐसे प्रतिद्वंद्वी से होता है जो अक्सर ऊँचे प्रहार करता है। इस हमले का मुकाबला करने की सबसे अच्छी तकनीक क्या है?</v>
      </c>
      <c r="H250" s="5" t="str">
        <f>IFERROR(__xludf.DUMMYFUNCTION("GOOGLETRANSLATE(C250, ""en"", ""hi"")"),"ए) ब्लॉक और काउंटर, बी) डक और स्वीप, सी) साइड स्टेप और स्ट्राइक, डी) स्पिन और एवेड")</f>
        <v>ए) ब्लॉक और काउंटर, बी) डक और स्वीप, सी) साइड स्टेप और स्ट्राइक, डी) स्पिन और एवेड</v>
      </c>
      <c r="I250" s="5" t="str">
        <f>IFERROR(__xludf.DUMMYFUNCTION("GOOGLETRANSLATE(D250, ""en"", ""hi"")"),"ए) ब्लॉक और काउंटर")</f>
        <v>ए) ब्लॉक और काउंटर</v>
      </c>
    </row>
    <row r="251" ht="22.5" customHeight="1">
      <c r="A251" s="2">
        <v>250.0</v>
      </c>
      <c r="B251" s="3" t="s">
        <v>9755</v>
      </c>
      <c r="C251" s="3" t="s">
        <v>9618</v>
      </c>
      <c r="D251" s="3" t="s">
        <v>9445</v>
      </c>
      <c r="F251" s="5" t="str">
        <f>IFERROR(__xludf.DUMMYFUNCTION("GOOGLETRANSLATE(A251, ""en"", ""hi"")"),"250")</f>
        <v>250</v>
      </c>
      <c r="G251" s="5" t="str">
        <f>IFERROR(__xludf.DUMMYFUNCTION("GOOGLETRANSLATE(B251, ""en"", ""hi"")"),"एक सिलंबम साधक एक ऐसी चाल का प्रदर्शन करता है जिसमें आगे बढ़ते समय ऊँचे और नीचे के प्रहारों के बीच बारी-बारी से प्रयोग किया जाता है। इस तकनीक का मुख्य लक्ष्य क्या है?")</f>
        <v>एक सिलंबम साधक एक ऐसी चाल का प्रदर्शन करता है जिसमें आगे बढ़ते समय ऊँचे और नीचे के प्रहारों के बीच बारी-बारी से प्रयोग किया जाता है। इस तकनीक का मुख्य लक्ष्य क्या है?</v>
      </c>
      <c r="H251" s="5" t="str">
        <f>IFERROR(__xludf.DUMMYFUNCTION("GOOGLETRANSLATE(C251, ""en"", ""hi"")"),"A) प्रतिद्वंद्वी को परास्त करना, B) प्रतिद्वंद्वी को भ्रमित करना, C) रक्षात्मक अवरोध उत्पन्न करना, D) कौशल का प्रदर्शन करना")</f>
        <v>A) प्रतिद्वंद्वी को परास्त करना, B) प्रतिद्वंद्वी को भ्रमित करना, C) रक्षात्मक अवरोध उत्पन्न करना, D) कौशल का प्रदर्शन करना</v>
      </c>
      <c r="I251" s="5" t="str">
        <f>IFERROR(__xludf.DUMMYFUNCTION("GOOGLETRANSLATE(D251, ""en"", ""hi"")"),"A) प्रतिद्वंद्वी को परास्त करना")</f>
        <v>A) प्रतिद्वंद्वी को परास्त करना</v>
      </c>
    </row>
    <row r="252" ht="22.5" customHeight="1">
      <c r="A252" s="2">
        <v>251.0</v>
      </c>
      <c r="B252" s="3" t="s">
        <v>9756</v>
      </c>
      <c r="C252" s="3" t="s">
        <v>9737</v>
      </c>
      <c r="D252" s="3" t="s">
        <v>9716</v>
      </c>
      <c r="F252" s="5" t="str">
        <f>IFERROR(__xludf.DUMMYFUNCTION("GOOGLETRANSLATE(A252, ""en"", ""hi"")"),"251")</f>
        <v>251</v>
      </c>
      <c r="G252" s="5" t="str">
        <f>IFERROR(__xludf.DUMMYFUNCTION("GOOGLETRANSLATE(B252, ""en"", ""hi"")"),"सिलंबम द्वंद्वयुद्ध के दौरान, अभ्यासी का सामना एक ऐसे प्रतिद्वंद्वी से होता है जो तेज़ पार्श्व प्रहार करता है। अभ्यासी को इस शैली का कैसे जवाब देना चाहिए?")</f>
        <v>सिलंबम द्वंद्वयुद्ध के दौरान, अभ्यासी का सामना एक ऐसे प्रतिद्वंद्वी से होता है जो तेज़ पार्श्व प्रहार करता है। अभ्यासी को इस शैली का कैसे जवाब देना चाहिए?</v>
      </c>
      <c r="H252" s="5" t="str">
        <f>IFERROR(__xludf.DUMMYFUNCTION("GOOGLETRANSLATE(C252,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252" s="5" t="str">
        <f>IFERROR(__xludf.DUMMYFUNCTION("GOOGLETRANSLATE(D252, ""en"", ""hi"")"),"ए) ब्लॉक और काउंटर")</f>
        <v>ए) ब्लॉक और काउंटर</v>
      </c>
    </row>
    <row r="253" ht="22.5" customHeight="1">
      <c r="A253" s="2">
        <v>252.0</v>
      </c>
      <c r="B253" s="3" t="s">
        <v>9757</v>
      </c>
      <c r="C253" s="3" t="s">
        <v>9758</v>
      </c>
      <c r="D253" s="3" t="s">
        <v>9587</v>
      </c>
      <c r="F253" s="5" t="str">
        <f>IFERROR(__xludf.DUMMYFUNCTION("GOOGLETRANSLATE(A253, ""en"", ""hi"")"),"252")</f>
        <v>252</v>
      </c>
      <c r="G253" s="5" t="str">
        <f>IFERROR(__xludf.DUMMYFUNCTION("GOOGLETRANSLATE(B253, ""en"", ""hi"")"),"एक अभ्यासकर्ता का सामना ऐसे प्रतिद्वंद्वी से होता है जो मुख्यतः निचले प्रहारों का उपयोग करता है। इस शैली का प्रभावी ढंग से मुकाबला करने के लिए कौन सी तकनीक अपनाई जानी चाहिए?")</f>
        <v>एक अभ्यासकर्ता का सामना ऐसे प्रतिद्वंद्वी से होता है जो मुख्यतः निचले प्रहारों का उपयोग करता है। इस शैली का प्रभावी ढंग से मुकाबला करने के लिए कौन सी तकनीक अपनाई जानी चाहिए?</v>
      </c>
      <c r="H253" s="5" t="str">
        <f>IFERROR(__xludf.DUMMYFUNCTION("GOOGLETRANSLATE(C253,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253" s="5" t="str">
        <f>IFERROR(__xludf.DUMMYFUNCTION("GOOGLETRANSLATE(D253, ""en"", ""hi"")"),"बी) ब्लॉक लो और काउंटर")</f>
        <v>बी) ब्लॉक लो और काउंटर</v>
      </c>
    </row>
    <row r="254" ht="22.5" customHeight="1">
      <c r="A254" s="2">
        <v>253.0</v>
      </c>
      <c r="B254" s="3" t="s">
        <v>9759</v>
      </c>
      <c r="C254" s="3" t="s">
        <v>9735</v>
      </c>
      <c r="D254" s="3" t="s">
        <v>9663</v>
      </c>
      <c r="F254" s="5" t="str">
        <f>IFERROR(__xludf.DUMMYFUNCTION("GOOGLETRANSLATE(A254, ""en"", ""hi"")"),"253")</f>
        <v>253</v>
      </c>
      <c r="G254" s="5" t="str">
        <f>IFERROR(__xludf.DUMMYFUNCTION("GOOGLETRANSLATE(B254, ""en"", ""hi"")"),"सिलंबम मैच के दौरान, प्रतिद्वंद्वी एक रक्षात्मक मुद्रा अपनाता है जो उसके धड़ को ढक लेती है। इस रक्षात्मक मुद्रा को तोड़ने के लिए अभ्यासकर्ता को क्या करना चाहिए?")</f>
        <v>सिलंबम मैच के दौरान, प्रतिद्वंद्वी एक रक्षात्मक मुद्रा अपनाता है जो उसके धड़ को ढक लेती है। इस रक्षात्मक मुद्रा को तोड़ने के लिए अभ्यासकर्ता को क्या करना चाहिए?</v>
      </c>
      <c r="H254" s="5" t="str">
        <f>IFERROR(__xludf.DUMMYFUNCTION("GOOGLETRANSLATE(C254, ""en"", ""hi"")"),"A) उच्च प्रहार, B) निम्न प्रहार, C) छल और प्रहार, D) वृत्ताकार गतियाँ")</f>
        <v>A) उच्च प्रहार, B) निम्न प्रहार, C) छल और प्रहार, D) वृत्ताकार गतियाँ</v>
      </c>
      <c r="I254" s="5" t="str">
        <f>IFERROR(__xludf.DUMMYFUNCTION("GOOGLETRANSLATE(D254, ""en"", ""hi"")"),"सी) छल और प्रहार")</f>
        <v>सी) छल और प्रहार</v>
      </c>
    </row>
    <row r="255" ht="22.5" customHeight="1">
      <c r="A255" s="2">
        <v>254.0</v>
      </c>
      <c r="B255" s="3" t="s">
        <v>9760</v>
      </c>
      <c r="C255" s="3" t="s">
        <v>9718</v>
      </c>
      <c r="D255" s="3" t="s">
        <v>9719</v>
      </c>
      <c r="F255" s="5" t="str">
        <f>IFERROR(__xludf.DUMMYFUNCTION("GOOGLETRANSLATE(A255, ""en"", ""hi"")"),"254")</f>
        <v>254</v>
      </c>
      <c r="G255" s="5" t="str">
        <f>IFERROR(__xludf.DUMMYFUNCTION("GOOGLETRANSLATE(B255, ""en"", ""hi"")"),"एक अभ्यासकर्ता एक ऐसी तकनीक का प्रदर्शन कर रहा है जिसमें ज़ोर लगाने से पहले डंडे को अपने शरीर के चारों ओर घुमाना शामिल है। इस क्रिया का मुख्य उद्देश्य क्या है?")</f>
        <v>एक अभ्यासकर्ता एक ऐसी तकनीक का प्रदर्शन कर रहा है जिसमें ज़ोर लगाने से पहले डंडे को अपने शरीर के चारों ओर घुमाना शामिल है। इस क्रिया का मुख्य उद्देश्य क्या है?</v>
      </c>
      <c r="H255" s="5" t="str">
        <f>IFERROR(__xludf.DUMMYFUNCTION("GOOGLETRANSLATE(C255, ""en"", ""hi"")"),"A) गति बढ़ाने के लिए, B) रक्षात्मक अवरोध बनाने के लिए, C) प्रतिद्वंद्वी को भ्रमित करने के लिए, D) कौशल दिखाने के लिए")</f>
        <v>A) गति बढ़ाने के लिए, B) रक्षात्मक अवरोध बनाने के लिए, C) प्रतिद्वंद्वी को भ्रमित करने के लिए, D) कौशल दिखाने के लिए</v>
      </c>
      <c r="I255" s="5" t="str">
        <f>IFERROR(__xludf.DUMMYFUNCTION("GOOGLETRANSLATE(D255, ""en"", ""hi"")"),"C) प्रतिद्वंद्वी को भ्रमित करने के लिए")</f>
        <v>C) प्रतिद्वंद्वी को भ्रमित करने के लिए</v>
      </c>
    </row>
    <row r="256" ht="22.5" customHeight="1">
      <c r="A256" s="2">
        <v>255.0</v>
      </c>
      <c r="B256" s="3" t="s">
        <v>9761</v>
      </c>
      <c r="C256" s="3" t="s">
        <v>9654</v>
      </c>
      <c r="D256" s="3" t="s">
        <v>9655</v>
      </c>
      <c r="F256" s="5" t="str">
        <f>IFERROR(__xludf.DUMMYFUNCTION("GOOGLETRANSLATE(A256, ""en"", ""hi"")"),"255")</f>
        <v>255</v>
      </c>
      <c r="G256" s="5" t="str">
        <f>IFERROR(__xludf.DUMMYFUNCTION("GOOGLETRANSLATE(B256, ""en"", ""hi"")"),"सिलंबम द्वंद्वयुद्ध में, प्रतिद्वंद्वी साधक पर कई तेज़ प्रहार करने का प्रयास करता है। साधक को इस आक्रमण का प्रभावी ढंग से प्रतिकार कैसे करना चाहिए?")</f>
        <v>सिलंबम द्वंद्वयुद्ध में, प्रतिद्वंद्वी साधक पर कई तेज़ प्रहार करने का प्रयास करता है। साधक को इस आक्रमण का प्रभावी ढंग से प्रतिकार कैसे करना चाहिए?</v>
      </c>
      <c r="H256" s="5" t="str">
        <f>IFERROR(__xludf.DUMMYFUNCTION("GOOGLETRANSLATE(C256,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256" s="5" t="str">
        <f>IFERROR(__xludf.DUMMYFUNCTION("GOOGLETRANSLATE(D256, ""en"", ""hi"")"),"सी) साइड स्टेप और स्ट्राइक")</f>
        <v>सी) साइड स्टेप और स्ट्राइक</v>
      </c>
    </row>
    <row r="257" ht="22.5" customHeight="1">
      <c r="A257" s="2">
        <v>256.0</v>
      </c>
      <c r="B257" s="3" t="s">
        <v>9762</v>
      </c>
      <c r="C257" s="3" t="s">
        <v>9690</v>
      </c>
      <c r="D257" s="3" t="s">
        <v>9691</v>
      </c>
      <c r="F257" s="5" t="str">
        <f>IFERROR(__xludf.DUMMYFUNCTION("GOOGLETRANSLATE(A257, ""en"", ""hi"")"),"256")</f>
        <v>256</v>
      </c>
      <c r="G257" s="5" t="str">
        <f>IFERROR(__xludf.DUMMYFUNCTION("GOOGLETRANSLATE(B257, ""en"", ""hi"")"),"एक साधक सिलंबम प्रदर्शन के दौरान 'उप्पू वीचू' तकनीक का प्रयोग कर रहा है। इस क्रिया का केंद्रबिंदु क्या है?")</f>
        <v>एक साधक सिलंबम प्रदर्शन के दौरान 'उप्पू वीचू' तकनीक का प्रयोग कर रहा है। इस क्रिया का केंद्रबिंदु क्या है?</v>
      </c>
      <c r="H257" s="5" t="str">
        <f>IFERROR(__xludf.DUMMYFUNCTION("GOOGLETRANSLATE(C257, ""en"", ""hi"")"),"A) परिशुद्धता, B) शक्ति, C) गति, D) व्याकुलता")</f>
        <v>A) परिशुद्धता, B) शक्ति, C) गति, D) व्याकुलता</v>
      </c>
      <c r="I257" s="5" t="str">
        <f>IFERROR(__xludf.DUMMYFUNCTION("GOOGLETRANSLATE(D257, ""en"", ""hi"")"),"ए) परिशुद्धता")</f>
        <v>ए) परिशुद्धता</v>
      </c>
    </row>
    <row r="258" ht="22.5" customHeight="1">
      <c r="A258" s="2">
        <v>257.0</v>
      </c>
      <c r="B258" s="3" t="s">
        <v>9763</v>
      </c>
      <c r="C258" s="3" t="s">
        <v>9696</v>
      </c>
      <c r="D258" s="3" t="s">
        <v>9697</v>
      </c>
      <c r="F258" s="5" t="str">
        <f>IFERROR(__xludf.DUMMYFUNCTION("GOOGLETRANSLATE(A258, ""en"", ""hi"")"),"257")</f>
        <v>257</v>
      </c>
      <c r="G258" s="5" t="str">
        <f>IFERROR(__xludf.DUMMYFUNCTION("GOOGLETRANSLATE(B258, ""en"", ""hi"")"),"स्पैरिंग सत्र के दौरान, अभ्यासकर्ता का सामना एक ऐसे प्रतिद्वंद्वी से होता है जो उच्च सुरक्षा रुख अपनाता है। इस बचाव को भेदने के लिए किस तकनीक का उपयोग किया जाना चाहिए?")</f>
        <v>स्पैरिंग सत्र के दौरान, अभ्यासकर्ता का सामना एक ऐसे प्रतिद्वंद्वी से होता है जो उच्च सुरक्षा रुख अपनाता है। इस बचाव को भेदने के लिए किस तकनीक का उपयोग किया जाना चाहिए?</v>
      </c>
      <c r="H258" s="5" t="str">
        <f>IFERROR(__xludf.DUMMYFUNCTION("GOOGLETRANSLATE(C258, ""en"", ""hi"")"),"ए) कम प्रहार, बी) छल और प्रहार, सी) ओवरहेड प्रहार, डी) वृत्ताकार गति")</f>
        <v>ए) कम प्रहार, बी) छल और प्रहार, सी) ओवरहेड प्रहार, डी) वृत्ताकार गति</v>
      </c>
      <c r="I258" s="5" t="str">
        <f>IFERROR(__xludf.DUMMYFUNCTION("GOOGLETRANSLATE(D258, ""en"", ""hi"")"),"बी) छल और प्रहार")</f>
        <v>बी) छल और प्रहार</v>
      </c>
    </row>
    <row r="259" ht="22.5" customHeight="1">
      <c r="A259" s="2">
        <v>258.0</v>
      </c>
      <c r="B259" s="3" t="s">
        <v>9764</v>
      </c>
      <c r="C259" s="3" t="s">
        <v>9730</v>
      </c>
      <c r="D259" s="3" t="s">
        <v>9731</v>
      </c>
      <c r="F259" s="5" t="str">
        <f>IFERROR(__xludf.DUMMYFUNCTION("GOOGLETRANSLATE(A259, ""en"", ""hi"")"),"258")</f>
        <v>258</v>
      </c>
      <c r="G259" s="5" t="str">
        <f>IFERROR(__xludf.DUMMYFUNCTION("GOOGLETRANSLATE(B259, ""en"", ""hi"")"),"एक अभ्यासकर्ता एक ऐसे प्रतिद्वंद्वी का सामना कर रहा है जो तेज़ और अनियमित चालें अपनाता है। इस दृष्टिकोण का प्रभावी ढंग से मुकाबला करने के लिए अभ्यासकर्ता को क्या रणनीति अपनानी चाहिए?")</f>
        <v>एक अभ्यासकर्ता एक ऐसे प्रतिद्वंद्वी का सामना कर रहा है जो तेज़ और अनियमित चालें अपनाता है। इस दृष्टिकोण का प्रभावी ढंग से मुकाबला करने के लिए अभ्यासकर्ता को क्या रणनीति अपनानी चाहिए?</v>
      </c>
      <c r="H259" s="5" t="str">
        <f>IFERROR(__xludf.DUMMYFUNCTION("GOOGLETRANSLATE(C259, ""en"", ""hi"")"),"A) गति बढ़ाएँ, B) फुटवर्क और दूरी पर ध्यान केंद्रित करें, C) रक्षात्मक ब्लॉक का उपयोग करें, D) तीव्र हमले करें")</f>
        <v>A) गति बढ़ाएँ, B) फुटवर्क और दूरी पर ध्यान केंद्रित करें, C) रक्षात्मक ब्लॉक का उपयोग करें, D) तीव्र हमले करें</v>
      </c>
      <c r="I259" s="5" t="str">
        <f>IFERROR(__xludf.DUMMYFUNCTION("GOOGLETRANSLATE(D259, ""en"", ""hi"")"),"बी) फुटवर्क और दूरी पर ध्यान केंद्रित करें")</f>
        <v>बी) फुटवर्क और दूरी पर ध्यान केंद्रित करें</v>
      </c>
    </row>
    <row r="260" ht="22.5" customHeight="1">
      <c r="A260" s="2">
        <v>259.0</v>
      </c>
      <c r="B260" s="3" t="s">
        <v>9765</v>
      </c>
      <c r="C260" s="3" t="s">
        <v>9733</v>
      </c>
      <c r="D260" s="3" t="s">
        <v>9323</v>
      </c>
      <c r="F260" s="5" t="str">
        <f>IFERROR(__xludf.DUMMYFUNCTION("GOOGLETRANSLATE(A260, ""en"", ""hi"")"),"259")</f>
        <v>259</v>
      </c>
      <c r="G260" s="5" t="str">
        <f>IFERROR(__xludf.DUMMYFUNCTION("GOOGLETRANSLATE(B260, ""en"", ""hi"")"),"सिलंबम मैच के दौरान, अभ्यासकर्ता एक ऐसी तकनीक का उपयोग करता है जिसमें एक उच्च छल के बाद एक निम्न प्रहार शामिल होता है। इस युद्धाभ्यास का अपेक्षित प्रभाव क्या है?")</f>
        <v>सिलंबम मैच के दौरान, अभ्यासकर्ता एक ऐसी तकनीक का उपयोग करता है जिसमें एक उच्च छल के बाद एक निम्न प्रहार शामिल होता है। इस युद्धाभ्यास का अपेक्षित प्रभाव क्या है?</v>
      </c>
      <c r="H260" s="5" t="str">
        <f>IFERROR(__xludf.DUMMYFUNCTION("GOOGLETRANSLATE(C260,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260" s="5" t="str">
        <f>IFERROR(__xludf.DUMMYFUNCTION("GOOGLETRANSLATE(D260, ""en"", ""hi"")"),"A) प्रतिद्वंद्वी को भ्रमित करने के लिए")</f>
        <v>A) प्रतिद्वंद्वी को भ्रमित करने के लिए</v>
      </c>
    </row>
    <row r="261" ht="22.5" customHeight="1">
      <c r="A261" s="2">
        <v>260.0</v>
      </c>
      <c r="B261" s="3" t="s">
        <v>9766</v>
      </c>
      <c r="C261" s="3" t="s">
        <v>9767</v>
      </c>
      <c r="D261" s="3" t="s">
        <v>9768</v>
      </c>
      <c r="F261" s="5" t="str">
        <f>IFERROR(__xludf.DUMMYFUNCTION("GOOGLETRANSLATE(A261, ""en"", ""hi"")"),"260")</f>
        <v>260</v>
      </c>
      <c r="G261" s="5" t="str">
        <f>IFERROR(__xludf.DUMMYFUNCTION("GOOGLETRANSLATE(B261, ""en"", ""hi"")"),"सिलंबम द्वंद्वयुद्ध में, अभ्यासी का सामना एक ऐसे प्रतिद्वंद्वी से होता है जो लो स्वीपिंग तकनीक का इस्तेमाल करता है। अभ्यासी को कैसे प्रतिक्रिया देनी चाहिए?")</f>
        <v>सिलंबम द्वंद्वयुद्ध में, अभ्यासी का सामना एक ऐसे प्रतिद्वंद्वी से होता है जो लो स्वीपिंग तकनीक का इस्तेमाल करता है। अभ्यासी को कैसे प्रतिक्रिया देनी चाहिए?</v>
      </c>
      <c r="H261" s="5" t="str">
        <f>IFERROR(__xludf.DUMMYFUNCTION("GOOGLETRANSLATE(C261, ""en"", ""hi"")"),"A) नीचे से ब्लॉक करें और काउंटर करें, B) कूदें और काउंटर करें, C) साइड स्टेप करें और स्ट्राइक करें, D) स्पिन करें और बचें")</f>
        <v>A) नीचे से ब्लॉक करें और काउंटर करें, B) कूदें और काउंटर करें, C) साइड स्टेप करें और स्ट्राइक करें, D) स्पिन करें और बचें</v>
      </c>
      <c r="I261" s="5" t="str">
        <f>IFERROR(__xludf.DUMMYFUNCTION("GOOGLETRANSLATE(D261, ""en"", ""hi"")"),"A) ब्लॉक लो और काउंटर")</f>
        <v>A) ब्लॉक लो और काउंटर</v>
      </c>
    </row>
    <row r="262" ht="22.5" customHeight="1">
      <c r="A262" s="2">
        <v>261.0</v>
      </c>
      <c r="B262" s="3" t="s">
        <v>9769</v>
      </c>
      <c r="C262" s="3" t="s">
        <v>9618</v>
      </c>
      <c r="D262" s="3" t="s">
        <v>9445</v>
      </c>
      <c r="F262" s="5" t="str">
        <f>IFERROR(__xludf.DUMMYFUNCTION("GOOGLETRANSLATE(A262, ""en"", ""hi"")"),"261")</f>
        <v>261</v>
      </c>
      <c r="G262" s="5" t="str">
        <f>IFERROR(__xludf.DUMMYFUNCTION("GOOGLETRANSLATE(B262, ""en"", ""hi"")"),"एक अभ्यासकर्ता बारी-बारी से ऊँचे और नीचे प्रहार करने की एक तकनीक का प्रदर्शन कर रहा है। इस युद्धाभ्यास का उद्देश्य क्या है?")</f>
        <v>एक अभ्यासकर्ता बारी-बारी से ऊँचे और नीचे प्रहार करने की एक तकनीक का प्रदर्शन कर रहा है। इस युद्धाभ्यास का उद्देश्य क्या है?</v>
      </c>
      <c r="H262" s="5" t="str">
        <f>IFERROR(__xludf.DUMMYFUNCTION("GOOGLETRANSLATE(C262, ""en"", ""hi"")"),"A) प्रतिद्वंद्वी को परास्त करना, B) प्रतिद्वंद्वी को भ्रमित करना, C) रक्षात्मक अवरोध उत्पन्न करना, D) कौशल का प्रदर्शन करना")</f>
        <v>A) प्रतिद्वंद्वी को परास्त करना, B) प्रतिद्वंद्वी को भ्रमित करना, C) रक्षात्मक अवरोध उत्पन्न करना, D) कौशल का प्रदर्शन करना</v>
      </c>
      <c r="I262" s="5" t="str">
        <f>IFERROR(__xludf.DUMMYFUNCTION("GOOGLETRANSLATE(D262, ""en"", ""hi"")"),"A) प्रतिद्वंद्वी को परास्त करना")</f>
        <v>A) प्रतिद्वंद्वी को परास्त करना</v>
      </c>
    </row>
    <row r="263" ht="22.5" customHeight="1">
      <c r="A263" s="2">
        <v>262.0</v>
      </c>
      <c r="B263" s="3" t="s">
        <v>9770</v>
      </c>
      <c r="C263" s="3" t="s">
        <v>9620</v>
      </c>
      <c r="D263" s="3" t="s">
        <v>9326</v>
      </c>
      <c r="F263" s="5" t="str">
        <f>IFERROR(__xludf.DUMMYFUNCTION("GOOGLETRANSLATE(A263, ""en"", ""hi"")"),"262")</f>
        <v>262</v>
      </c>
      <c r="G263" s="5" t="str">
        <f>IFERROR(__xludf.DUMMYFUNCTION("GOOGLETRANSLATE(B263, ""en"", ""hi"")"),"प्रदर्शन के दौरान, कलाकार प्रतिद्वंद्वी के हमले का जवाब देने के लिए 'काई वीचू' तकनीक का इस्तेमाल करता है। इस कलाबाज़ी का मुख्य केंद्र क्या है?")</f>
        <v>प्रदर्शन के दौरान, कलाकार प्रतिद्वंद्वी के हमले का जवाब देने के लिए 'काई वीचू' तकनीक का इस्तेमाल करता है। इस कलाबाज़ी का मुख्य केंद्र क्या है?</v>
      </c>
      <c r="H263" s="5" t="str">
        <f>IFERROR(__xludf.DUMMYFUNCTION("GOOGLETRANSLATE(C263, ""en"", ""hi"")"),"A) आक्रमण, B) रक्षा, C) बचाव, D) सटीकता")</f>
        <v>A) आक्रमण, B) रक्षा, C) बचाव, D) सटीकता</v>
      </c>
      <c r="I263" s="5" t="str">
        <f>IFERROR(__xludf.DUMMYFUNCTION("GOOGLETRANSLATE(D263, ""en"", ""hi"")"),"ए) अपराध")</f>
        <v>ए) अपराध</v>
      </c>
    </row>
    <row r="264" ht="22.5" customHeight="1">
      <c r="A264" s="2">
        <v>263.0</v>
      </c>
      <c r="B264" s="3" t="s">
        <v>9771</v>
      </c>
      <c r="C264" s="3" t="s">
        <v>9676</v>
      </c>
      <c r="D264" s="3" t="s">
        <v>9445</v>
      </c>
      <c r="F264" s="5" t="str">
        <f>IFERROR(__xludf.DUMMYFUNCTION("GOOGLETRANSLATE(A264, ""en"", ""hi"")"),"263")</f>
        <v>263</v>
      </c>
      <c r="G264" s="5" t="str">
        <f>IFERROR(__xludf.DUMMYFUNCTION("GOOGLETRANSLATE(B264, ""en"", ""hi"")"),"सिलंबम मुकाबले में, अभ्यासकर्ता प्रतिद्वंद्वी की ओर बढ़ते हुए तीव्र प्रहारों के संयोजन का उपयोग करता है। इस तकनीक का प्राथमिक लक्ष्य क्या है?")</f>
        <v>सिलंबम मुकाबले में, अभ्यासकर्ता प्रतिद्वंद्वी की ओर बढ़ते हुए तीव्र प्रहारों के संयोजन का उपयोग करता है। इस तकनीक का प्राथमिक लक्ष्य क्या है?</v>
      </c>
      <c r="H264" s="5" t="str">
        <f>IFERROR(__xludf.DUMMYFUNCTION("GOOGLETRANSLATE(C264, ""en"", ""hi"")"),"A) प्रतिद्वंद्वी पर हावी होना, B) दूरी बनाना, C) कौशल दिखाना, D) प्रतिद्वंद्वी को भ्रमित करना")</f>
        <v>A) प्रतिद्वंद्वी पर हावी होना, B) दूरी बनाना, C) कौशल दिखाना, D) प्रतिद्वंद्वी को भ्रमित करना</v>
      </c>
      <c r="I264" s="5" t="str">
        <f>IFERROR(__xludf.DUMMYFUNCTION("GOOGLETRANSLATE(D264, ""en"", ""hi"")"),"A) प्रतिद्वंद्वी को परास्त करना")</f>
        <v>A) प्रतिद्वंद्वी को परास्त करना</v>
      </c>
    </row>
    <row r="265" ht="22.5" customHeight="1">
      <c r="A265" s="2">
        <v>264.0</v>
      </c>
      <c r="B265" s="3" t="s">
        <v>9772</v>
      </c>
      <c r="C265" s="3" t="s">
        <v>9740</v>
      </c>
      <c r="D265" s="3" t="s">
        <v>9741</v>
      </c>
      <c r="F265" s="5" t="str">
        <f>IFERROR(__xludf.DUMMYFUNCTION("GOOGLETRANSLATE(A265, ""en"", ""hi"")"),"264")</f>
        <v>264</v>
      </c>
      <c r="G265" s="5" t="str">
        <f>IFERROR(__xludf.DUMMYFUNCTION("GOOGLETRANSLATE(B265, ""en"", ""hi"")"),"सिलंबम द्वंद्वयुद्ध के दौरान प्रतिद्वंद्वी उच्च सुरक्षा रुख अपनाता है। इस बचाव का प्रभावी ढंग से मुकाबला करने के लिए अभ्यासकर्ता को किस पर ध्यान केंद्रित करना चाहिए?")</f>
        <v>सिलंबम द्वंद्वयुद्ध के दौरान प्रतिद्वंद्वी उच्च सुरक्षा रुख अपनाता है। इस बचाव का प्रभावी ढंग से मुकाबला करने के लिए अभ्यासकर्ता को किस पर ध्यान केंद्रित करना चाहिए?</v>
      </c>
      <c r="H265" s="5" t="str">
        <f>IFERROR(__xludf.DUMMYFUNCTION("GOOGLETRANSLATE(C265,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265" s="5" t="str">
        <f>IFERROR(__xludf.DUMMYFUNCTION("GOOGLETRANSLATE(D265, ""en"", ""hi"")"),"बी) फाइन्ट और हाई स्ट्राइक")</f>
        <v>बी) फाइन्ट और हाई स्ट्राइक</v>
      </c>
    </row>
    <row r="266" ht="22.5" customHeight="1">
      <c r="A266" s="2">
        <v>265.0</v>
      </c>
      <c r="B266" s="3" t="s">
        <v>9773</v>
      </c>
      <c r="C266" s="3" t="s">
        <v>9688</v>
      </c>
      <c r="D266" s="3" t="s">
        <v>9274</v>
      </c>
      <c r="F266" s="5" t="str">
        <f>IFERROR(__xludf.DUMMYFUNCTION("GOOGLETRANSLATE(A266, ""en"", ""hi"")"),"265")</f>
        <v>265</v>
      </c>
      <c r="G266" s="5" t="str">
        <f>IFERROR(__xludf.DUMMYFUNCTION("GOOGLETRANSLATE(B266, ""en"", ""hi"")"),"एक अभ्यासी प्रतिद्वंद्वी के हमले का जवाब देने के लिए घूमने की तकनीक का इस्तेमाल करता है। इस तकनीक का उद्देश्य क्या है?")</f>
        <v>एक अभ्यासी प्रतिद्वंद्वी के हमले का जवाब देने के लिए घूमने की तकनीक का इस्तेमाल करता है। इस तकनीक का उद्देश्य क्या है?</v>
      </c>
      <c r="H266" s="5" t="str">
        <f>IFERROR(__xludf.DUMMYFUNCTION("GOOGLETRANSLATE(C266, ""en"", ""hi"")"),"A) दूरी बनाने के लिए, B) प्रतिद्वंद्वी को भ्रमित करने के लिए, C) शक्ति बढ़ाने के लिए, D) कौशल दिखाने के लिए")</f>
        <v>A) दूरी बनाने के लिए, B) प्रतिद्वंद्वी को भ्रमित करने के लिए, C) शक्ति बढ़ाने के लिए, D) कौशल दिखाने के लिए</v>
      </c>
      <c r="I266" s="5" t="str">
        <f>IFERROR(__xludf.DUMMYFUNCTION("GOOGLETRANSLATE(D266, ""en"", ""hi"")"),"बी) प्रतिद्वंद्वी को भ्रमित करने के लिए")</f>
        <v>बी) प्रतिद्वंद्वी को भ्रमित करने के लिए</v>
      </c>
    </row>
    <row r="267" ht="22.5" customHeight="1">
      <c r="A267" s="2">
        <v>266.0</v>
      </c>
      <c r="B267" s="3" t="s">
        <v>9774</v>
      </c>
      <c r="C267" s="3" t="s">
        <v>9685</v>
      </c>
      <c r="D267" s="3" t="s">
        <v>9694</v>
      </c>
      <c r="F267" s="5" t="str">
        <f>IFERROR(__xludf.DUMMYFUNCTION("GOOGLETRANSLATE(A267, ""en"", ""hi"")"),"266")</f>
        <v>266</v>
      </c>
      <c r="G267" s="5" t="str">
        <f>IFERROR(__xludf.DUMMYFUNCTION("GOOGLETRANSLATE(B267, ""en"", ""hi"")"),"सिलंबम द्वंद्वयुद्ध के दौरान, प्रतिद्वंद्वी साधक के सिर पर एक तेज़ मुक्का मारने की कोशिश करता है। सबसे प्रभावी तात्कालिक प्रतिक्रिया क्या होती है?")</f>
        <v>सिलंबम द्वंद्वयुद्ध के दौरान, प्रतिद्वंद्वी साधक के सिर पर एक तेज़ मुक्का मारने की कोशिश करता है। सबसे प्रभावी तात्कालिक प्रतिक्रिया क्या होती है?</v>
      </c>
      <c r="H267" s="5" t="str">
        <f>IFERROR(__xludf.DUMMYFUNCTION("GOOGLETRANSLATE(C267, ""en"", ""hi"")"),"ए) पैरी और स्ट्राइक, बी) डक और स्वीप, सी) ब्लॉक हाई और काउंटर, डी) स्पिन और एवेड")</f>
        <v>ए) पैरी और स्ट्राइक, बी) डक और स्वीप, सी) ब्लॉक हाई और काउंटर, डी) स्पिन और एवेड</v>
      </c>
      <c r="I267" s="5" t="str">
        <f>IFERROR(__xludf.DUMMYFUNCTION("GOOGLETRANSLATE(D267, ""en"", ""hi"")"),"C) ब्लॉक हाई और काउंटर")</f>
        <v>C) ब्लॉक हाई और काउंटर</v>
      </c>
    </row>
    <row r="268" ht="22.5" customHeight="1">
      <c r="A268" s="2">
        <v>267.0</v>
      </c>
      <c r="B268" s="3" t="s">
        <v>9775</v>
      </c>
      <c r="C268" s="3" t="s">
        <v>9776</v>
      </c>
      <c r="D268" s="3" t="s">
        <v>9220</v>
      </c>
      <c r="F268" s="5" t="str">
        <f>IFERROR(__xludf.DUMMYFUNCTION("GOOGLETRANSLATE(A268, ""en"", ""hi"")"),"267")</f>
        <v>267</v>
      </c>
      <c r="G268" s="5" t="str">
        <f>IFERROR(__xludf.DUMMYFUNCTION("GOOGLETRANSLATE(B268, ""en"", ""hi"")"),"एक अभ्यासकर्ता सिलंबम तकनीक का प्रदर्शन कर रहा है जिसमें प्रतिद्वंद्वी के पैरों पर निशाना साधते हुए एक घूमता हुआ प्रहार शामिल है। इस चाल का मुख्य लक्ष्य क्या है?")</f>
        <v>एक अभ्यासकर्ता सिलंबम तकनीक का प्रदर्शन कर रहा है जिसमें प्रतिद्वंद्वी के पैरों पर निशाना साधते हुए एक घूमता हुआ प्रहार शामिल है। इस चाल का मुख्य लक्ष्य क्या है?</v>
      </c>
      <c r="H268" s="5" t="str">
        <f>IFERROR(__xludf.DUMMYFUNCTION("GOOGLETRANSLATE(C268,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268" s="5" t="str">
        <f>IFERROR(__xludf.DUMMYFUNCTION("GOOGLETRANSLATE(D268, ""en"", ""hi"")"),"A) प्रतिद्वंद्वी का संतुलन बिगाड़ना")</f>
        <v>A) प्रतिद्वंद्वी का संतुलन बिगाड़ना</v>
      </c>
    </row>
    <row r="269" ht="22.5" customHeight="1">
      <c r="A269" s="2">
        <v>268.0</v>
      </c>
      <c r="B269" s="3" t="s">
        <v>9777</v>
      </c>
      <c r="C269" s="3" t="s">
        <v>9778</v>
      </c>
      <c r="D269" s="3" t="s">
        <v>9642</v>
      </c>
      <c r="F269" s="5" t="str">
        <f>IFERROR(__xludf.DUMMYFUNCTION("GOOGLETRANSLATE(A269, ""en"", ""hi"")"),"268")</f>
        <v>268</v>
      </c>
      <c r="G269" s="5" t="str">
        <f>IFERROR(__xludf.DUMMYFUNCTION("GOOGLETRANSLATE(B269, ""en"", ""hi"")"),"सिलंबम मुकाबले में, अभ्यासकर्ता अपने प्रतिद्वंद्वी पर तेज़ पार्श्व प्रहार करता है। इस रणनीति का मुकाबला करने के लिए अभ्यासकर्ता का मुख्य ध्यान किस पर होना चाहिए?")</f>
        <v>सिलंबम मुकाबले में, अभ्यासकर्ता अपने प्रतिद्वंद्वी पर तेज़ पार्श्व प्रहार करता है। इस रणनीति का मुकाबला करने के लिए अभ्यासकर्ता का मुख्य ध्यान किस पर होना चाहिए?</v>
      </c>
      <c r="H269" s="5" t="str">
        <f>IFERROR(__xludf.DUMMYFUNCTION("GOOGLETRANSLATE(C269, ""en"", ""hi"")"),"A) गति, B) फुटवर्क और दूरी, C) रक्षात्मक युद्धाभ्यास, D) आक्रामक हमले")</f>
        <v>A) गति, B) फुटवर्क और दूरी, C) रक्षात्मक युद्धाभ्यास, D) आक्रामक हमले</v>
      </c>
      <c r="I269" s="5" t="str">
        <f>IFERROR(__xludf.DUMMYFUNCTION("GOOGLETRANSLATE(D269, ""en"", ""hi"")"),"बी) फुटवर्क और दूरी")</f>
        <v>बी) फुटवर्क और दूरी</v>
      </c>
    </row>
    <row r="270" ht="22.5" customHeight="1">
      <c r="A270" s="2">
        <v>269.0</v>
      </c>
      <c r="B270" s="3" t="s">
        <v>9779</v>
      </c>
      <c r="C270" s="3" t="s">
        <v>9654</v>
      </c>
      <c r="D270" s="3" t="s">
        <v>9655</v>
      </c>
      <c r="F270" s="5" t="str">
        <f>IFERROR(__xludf.DUMMYFUNCTION("GOOGLETRANSLATE(A270, ""en"", ""hi"")"),"269")</f>
        <v>269</v>
      </c>
      <c r="G270" s="5" t="str">
        <f>IFERROR(__xludf.DUMMYFUNCTION("GOOGLETRANSLATE(B270, ""en"", ""hi"")"),"एक प्रतिद्वंद्वी अभ्यासकर्ता के धड़ पर तेज़ी से कई प्रहार करता है। अभ्यासकर्ता को आक्रामक रहते हुए इस हमले का प्रतिकार कैसे करना चाहिए?")</f>
        <v>एक प्रतिद्वंद्वी अभ्यासकर्ता के धड़ पर तेज़ी से कई प्रहार करता है। अभ्यासकर्ता को आक्रामक रहते हुए इस हमले का प्रतिकार कैसे करना चाहिए?</v>
      </c>
      <c r="H270" s="5" t="str">
        <f>IFERROR(__xludf.DUMMYFUNCTION("GOOGLETRANSLATE(C270,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270" s="5" t="str">
        <f>IFERROR(__xludf.DUMMYFUNCTION("GOOGLETRANSLATE(D270, ""en"", ""hi"")"),"सी) साइड स्टेप और स्ट्राइक")</f>
        <v>सी) साइड स्टेप और स्ट्राइक</v>
      </c>
    </row>
    <row r="271" ht="22.5" customHeight="1">
      <c r="A271" s="2">
        <v>270.0</v>
      </c>
      <c r="B271" s="3" t="s">
        <v>9780</v>
      </c>
      <c r="C271" s="3" t="s">
        <v>9690</v>
      </c>
      <c r="D271" s="3" t="s">
        <v>9691</v>
      </c>
      <c r="F271" s="5" t="str">
        <f>IFERROR(__xludf.DUMMYFUNCTION("GOOGLETRANSLATE(A271, ""en"", ""hi"")"),"270")</f>
        <v>270</v>
      </c>
      <c r="G271" s="5" t="str">
        <f>IFERROR(__xludf.DUMMYFUNCTION("GOOGLETRANSLATE(B271, ""en"", ""hi"")"),"एक साधक सिलंबम प्रदर्शन के दौरान 'उप्पू वीचू' तकनीक का प्रयोग करता है। इस क्रिया का केंद्रबिंदु क्या है?")</f>
        <v>एक साधक सिलंबम प्रदर्शन के दौरान 'उप्पू वीचू' तकनीक का प्रयोग करता है। इस क्रिया का केंद्रबिंदु क्या है?</v>
      </c>
      <c r="H271" s="5" t="str">
        <f>IFERROR(__xludf.DUMMYFUNCTION("GOOGLETRANSLATE(C271, ""en"", ""hi"")"),"A) परिशुद्धता, B) शक्ति, C) गति, D) व्याकुलता")</f>
        <v>A) परिशुद्धता, B) शक्ति, C) गति, D) व्याकुलता</v>
      </c>
      <c r="I271" s="5" t="str">
        <f>IFERROR(__xludf.DUMMYFUNCTION("GOOGLETRANSLATE(D271, ""en"", ""hi"")"),"ए) परिशुद्धता")</f>
        <v>ए) परिशुद्धता</v>
      </c>
    </row>
    <row r="272" ht="22.5" customHeight="1">
      <c r="A272" s="2">
        <v>271.0</v>
      </c>
      <c r="B272" s="3" t="s">
        <v>9781</v>
      </c>
      <c r="C272" s="3" t="s">
        <v>9696</v>
      </c>
      <c r="D272" s="3" t="s">
        <v>9697</v>
      </c>
      <c r="F272" s="5" t="str">
        <f>IFERROR(__xludf.DUMMYFUNCTION("GOOGLETRANSLATE(A272, ""en"", ""hi"")"),"271")</f>
        <v>271</v>
      </c>
      <c r="G272" s="5" t="str">
        <f>IFERROR(__xludf.DUMMYFUNCTION("GOOGLETRANSLATE(B272, ""en"", ""hi"")"),"सिलंबम द्वंद्वयुद्ध के दौरान, अभ्यासी का सामना एक ऐसे प्रतिद्वंद्वी से होता है जो ऊँची सुरक्षा मुद्रा अपनाता है। इस सुरक्षा को भेदने के लिए किस तकनीक का इस्तेमाल किया जाना चाहिए?")</f>
        <v>सिलंबम द्वंद्वयुद्ध के दौरान, अभ्यासी का सामना एक ऐसे प्रतिद्वंद्वी से होता है जो ऊँची सुरक्षा मुद्रा अपनाता है। इस सुरक्षा को भेदने के लिए किस तकनीक का इस्तेमाल किया जाना चाहिए?</v>
      </c>
      <c r="H272" s="5" t="str">
        <f>IFERROR(__xludf.DUMMYFUNCTION("GOOGLETRANSLATE(C272, ""en"", ""hi"")"),"ए) कम प्रहार, बी) छल और प्रहार, सी) ओवरहेड प्रहार, डी) वृत्ताकार गति")</f>
        <v>ए) कम प्रहार, बी) छल और प्रहार, सी) ओवरहेड प्रहार, डी) वृत्ताकार गति</v>
      </c>
      <c r="I272" s="5" t="str">
        <f>IFERROR(__xludf.DUMMYFUNCTION("GOOGLETRANSLATE(D272, ""en"", ""hi"")"),"बी) छल और प्रहार")</f>
        <v>बी) छल और प्रहार</v>
      </c>
    </row>
    <row r="273" ht="22.5" customHeight="1">
      <c r="A273" s="2">
        <v>272.0</v>
      </c>
      <c r="B273" s="3" t="s">
        <v>9782</v>
      </c>
      <c r="C273" s="3" t="s">
        <v>9688</v>
      </c>
      <c r="D273" s="3" t="s">
        <v>9274</v>
      </c>
      <c r="F273" s="5" t="str">
        <f>IFERROR(__xludf.DUMMYFUNCTION("GOOGLETRANSLATE(A273, ""en"", ""hi"")"),"272")</f>
        <v>272</v>
      </c>
      <c r="G273" s="5" t="str">
        <f>IFERROR(__xludf.DUMMYFUNCTION("GOOGLETRANSLATE(B273, ""en"", ""hi"")"),"सिलंबम प्रदर्शन में, अभ्यासकर्ता प्रतिद्वंद्वी की चाल का जवाब देने के लिए एक घूमते हुए हमले का उपयोग करता है। इस तकनीक का प्राथमिक उद्देश्य क्या है?")</f>
        <v>सिलंबम प्रदर्शन में, अभ्यासकर्ता प्रतिद्वंद्वी की चाल का जवाब देने के लिए एक घूमते हुए हमले का उपयोग करता है। इस तकनीक का प्राथमिक उद्देश्य क्या है?</v>
      </c>
      <c r="H273" s="5" t="str">
        <f>IFERROR(__xludf.DUMMYFUNCTION("GOOGLETRANSLATE(C273, ""en"", ""hi"")"),"A) दूरी बनाने के लिए, B) प्रतिद्वंद्वी को भ्रमित करने के लिए, C) शक्ति बढ़ाने के लिए, D) कौशल दिखाने के लिए")</f>
        <v>A) दूरी बनाने के लिए, B) प्रतिद्वंद्वी को भ्रमित करने के लिए, C) शक्ति बढ़ाने के लिए, D) कौशल दिखाने के लिए</v>
      </c>
      <c r="I273" s="5" t="str">
        <f>IFERROR(__xludf.DUMMYFUNCTION("GOOGLETRANSLATE(D273, ""en"", ""hi"")"),"बी) प्रतिद्वंद्वी को भ्रमित करने के लिए")</f>
        <v>बी) प्रतिद्वंद्वी को भ्रमित करने के लिए</v>
      </c>
    </row>
    <row r="274" ht="22.5" customHeight="1">
      <c r="A274" s="2">
        <v>273.0</v>
      </c>
      <c r="B274" s="3" t="s">
        <v>9783</v>
      </c>
      <c r="C274" s="3" t="s">
        <v>9703</v>
      </c>
      <c r="D274" s="3" t="s">
        <v>9704</v>
      </c>
      <c r="F274" s="5" t="str">
        <f>IFERROR(__xludf.DUMMYFUNCTION("GOOGLETRANSLATE(A274, ""en"", ""hi"")"),"273")</f>
        <v>273</v>
      </c>
      <c r="G274" s="5" t="str">
        <f>IFERROR(__xludf.DUMMYFUNCTION("GOOGLETRANSLATE(B274, ""en"", ""hi"")"),"सिलंबम मैच के दौरान प्रतिद्वंद्वी एक लो स्वीपिंग स्ट्राइक का इस्तेमाल करता है। अभ्यासकर्ता को संतुलन बनाए रखते हुए इस हमले का जवाब कैसे देना चाहिए?")</f>
        <v>सिलंबम मैच के दौरान प्रतिद्वंद्वी एक लो स्वीपिंग स्ट्राइक का इस्तेमाल करता है। अभ्यासकर्ता को संतुलन बनाए रखते हुए इस हमले का जवाब कैसे देना चाहिए?</v>
      </c>
      <c r="H274" s="5" t="str">
        <f>IFERROR(__xludf.DUMMYFUNCTION("GOOGLETRANSLATE(C274, ""en"", ""hi"")"),"ए) कूदें और पलटवार करें, बी) नीचे से ब्लॉक करें और वार करें, सी) साइड स्टेप करें और स्वीप करें, डी) घूमें और बचें")</f>
        <v>ए) कूदें और पलटवार करें, बी) नीचे से ब्लॉक करें और वार करें, सी) साइड स्टेप करें और स्वीप करें, डी) घूमें और बचें</v>
      </c>
      <c r="I274" s="5" t="str">
        <f>IFERROR(__xludf.DUMMYFUNCTION("GOOGLETRANSLATE(D274, ""en"", ""hi"")"),"बी) नीचे से ब्लॉक करें और स्ट्राइक करें")</f>
        <v>बी) नीचे से ब्लॉक करें और स्ट्राइक करें</v>
      </c>
    </row>
    <row r="275" ht="22.5" customHeight="1">
      <c r="A275" s="2">
        <v>274.0</v>
      </c>
      <c r="B275" s="3" t="s">
        <v>9784</v>
      </c>
      <c r="C275" s="3" t="s">
        <v>9785</v>
      </c>
      <c r="D275" s="3" t="s">
        <v>9716</v>
      </c>
      <c r="F275" s="5" t="str">
        <f>IFERROR(__xludf.DUMMYFUNCTION("GOOGLETRANSLATE(A275, ""en"", ""hi"")"),"274")</f>
        <v>274</v>
      </c>
      <c r="G275" s="5" t="str">
        <f>IFERROR(__xludf.DUMMYFUNCTION("GOOGLETRANSLATE(B275, ""en"", ""hi"")"),"सिलंबम मुकाबले के दौरान, प्रतिद्वंद्वी अक्सर ऊँचे प्रहार करता है। इस शैली का प्रभावी ढंग से मुकाबला करने के लिए अभ्यासकर्ता को कौन सी तकनीक अपनानी चाहिए?")</f>
        <v>सिलंबम मुकाबले के दौरान, प्रतिद्वंद्वी अक्सर ऊँचे प्रहार करता है। इस शैली का प्रभावी ढंग से मुकाबला करने के लिए अभ्यासकर्ता को कौन सी तकनीक अपनानी चाहिए?</v>
      </c>
      <c r="H275" s="5" t="str">
        <f>IFERROR(__xludf.DUMMYFUNCTION("GOOGLETRANSLATE(C275, ""en"", ""hi"")"),"ए) ब्लॉक और काउंटर, बी) डक और स्ट्राइक, सी) साइड स्टेप और स्ट्राइक, डी) स्पिन और एवेड")</f>
        <v>ए) ब्लॉक और काउंटर, बी) डक और स्ट्राइक, सी) साइड स्टेप और स्ट्राइक, डी) स्पिन और एवेड</v>
      </c>
      <c r="I275" s="5" t="str">
        <f>IFERROR(__xludf.DUMMYFUNCTION("GOOGLETRANSLATE(D275, ""en"", ""hi"")"),"ए) ब्लॉक और काउंटर")</f>
        <v>ए) ब्लॉक और काउंटर</v>
      </c>
    </row>
    <row r="276" ht="22.5" customHeight="1">
      <c r="A276" s="2">
        <v>275.0</v>
      </c>
      <c r="B276" s="3" t="s">
        <v>9786</v>
      </c>
      <c r="C276" s="3" t="s">
        <v>9618</v>
      </c>
      <c r="D276" s="3" t="s">
        <v>9445</v>
      </c>
      <c r="F276" s="5" t="str">
        <f>IFERROR(__xludf.DUMMYFUNCTION("GOOGLETRANSLATE(A276, ""en"", ""hi"")"),"275")</f>
        <v>275</v>
      </c>
      <c r="G276" s="5" t="str">
        <f>IFERROR(__xludf.DUMMYFUNCTION("GOOGLETRANSLATE(B276, ""en"", ""hi"")"),"एक अभ्यासकर्ता आगे बढ़ते हुए बारी-बारी से ऊँचे और नीचे वार करने की तकनीक का प्रदर्शन कर रहा है। इस युद्धाभ्यास का मुख्य लक्ष्य क्या है?")</f>
        <v>एक अभ्यासकर्ता आगे बढ़ते हुए बारी-बारी से ऊँचे और नीचे वार करने की तकनीक का प्रदर्शन कर रहा है। इस युद्धाभ्यास का मुख्य लक्ष्य क्या है?</v>
      </c>
      <c r="H276" s="5" t="str">
        <f>IFERROR(__xludf.DUMMYFUNCTION("GOOGLETRANSLATE(C276, ""en"", ""hi"")"),"A) प्रतिद्वंद्वी को परास्त करना, B) प्रतिद्वंद्वी को भ्रमित करना, C) रक्षात्मक अवरोध उत्पन्न करना, D) कौशल का प्रदर्शन करना")</f>
        <v>A) प्रतिद्वंद्वी को परास्त करना, B) प्रतिद्वंद्वी को भ्रमित करना, C) रक्षात्मक अवरोध उत्पन्न करना, D) कौशल का प्रदर्शन करना</v>
      </c>
      <c r="I276" s="5" t="str">
        <f>IFERROR(__xludf.DUMMYFUNCTION("GOOGLETRANSLATE(D276, ""en"", ""hi"")"),"A) प्रतिद्वंद्वी को परास्त करना")</f>
        <v>A) प्रतिद्वंद्वी को परास्त करना</v>
      </c>
    </row>
    <row r="277" ht="22.5" customHeight="1">
      <c r="A277" s="2">
        <v>276.0</v>
      </c>
      <c r="B277" s="3" t="s">
        <v>9787</v>
      </c>
      <c r="C277" s="3" t="s">
        <v>9733</v>
      </c>
      <c r="D277" s="3" t="s">
        <v>9323</v>
      </c>
      <c r="F277" s="5" t="str">
        <f>IFERROR(__xludf.DUMMYFUNCTION("GOOGLETRANSLATE(A277, ""en"", ""hi"")"),"276")</f>
        <v>276</v>
      </c>
      <c r="G277" s="5" t="str">
        <f>IFERROR(__xludf.DUMMYFUNCTION("GOOGLETRANSLATE(B277, ""en"", ""hi"")"),"सिलंबम प्रदर्शन के दौरान, साधक एक ऐसी मुद्रा का प्रदर्शन करता है जिसमें प्रहार करने से पहले डंडे को अपने शरीर के चारों ओर घुमाता है। इस तकनीक का मुख्य उद्देश्य क्या है?")</f>
        <v>सिलंबम प्रदर्शन के दौरान, साधक एक ऐसी मुद्रा का प्रदर्शन करता है जिसमें प्रहार करने से पहले डंडे को अपने शरीर के चारों ओर घुमाता है। इस तकनीक का मुख्य उद्देश्य क्या है?</v>
      </c>
      <c r="H277" s="5" t="str">
        <f>IFERROR(__xludf.DUMMYFUNCTION("GOOGLETRANSLATE(C277,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277" s="5" t="str">
        <f>IFERROR(__xludf.DUMMYFUNCTION("GOOGLETRANSLATE(D277, ""en"", ""hi"")"),"A) प्रतिद्वंद्वी को भ्रमित करने के लिए")</f>
        <v>A) प्रतिद्वंद्वी को भ्रमित करने के लिए</v>
      </c>
    </row>
    <row r="278" ht="22.5" customHeight="1">
      <c r="A278" s="2">
        <v>277.0</v>
      </c>
      <c r="B278" s="3" t="s">
        <v>9788</v>
      </c>
      <c r="C278" s="3" t="s">
        <v>9737</v>
      </c>
      <c r="D278" s="3" t="s">
        <v>9716</v>
      </c>
      <c r="F278" s="5" t="str">
        <f>IFERROR(__xludf.DUMMYFUNCTION("GOOGLETRANSLATE(A278, ""en"", ""hi"")"),"277")</f>
        <v>277</v>
      </c>
      <c r="G278" s="5" t="str">
        <f>IFERROR(__xludf.DUMMYFUNCTION("GOOGLETRANSLATE(B278, ""en"", ""hi"")"),"सिलंबम द्वंद्वयुद्ध में, अभ्यासी अपने प्रतिद्वंद्वी पर तेज़ पार्श्व प्रहार करता है। इस तरीके का मुकाबला करने की सबसे अच्छी तकनीक क्या है?")</f>
        <v>सिलंबम द्वंद्वयुद्ध में, अभ्यासी अपने प्रतिद्वंद्वी पर तेज़ पार्श्व प्रहार करता है। इस तरीके का मुकाबला करने की सबसे अच्छी तकनीक क्या है?</v>
      </c>
      <c r="H278" s="5" t="str">
        <f>IFERROR(__xludf.DUMMYFUNCTION("GOOGLETRANSLATE(C278,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278" s="5" t="str">
        <f>IFERROR(__xludf.DUMMYFUNCTION("GOOGLETRANSLATE(D278, ""en"", ""hi"")"),"ए) ब्लॉक और काउंटर")</f>
        <v>ए) ब्लॉक और काउंटर</v>
      </c>
    </row>
    <row r="279" ht="22.5" customHeight="1">
      <c r="A279" s="2">
        <v>278.0</v>
      </c>
      <c r="B279" s="3" t="s">
        <v>9789</v>
      </c>
      <c r="C279" s="3" t="s">
        <v>9758</v>
      </c>
      <c r="D279" s="3" t="s">
        <v>9587</v>
      </c>
      <c r="F279" s="5" t="str">
        <f>IFERROR(__xludf.DUMMYFUNCTION("GOOGLETRANSLATE(A279, ""en"", ""hi"")"),"278")</f>
        <v>278</v>
      </c>
      <c r="G279" s="5" t="str">
        <f>IFERROR(__xludf.DUMMYFUNCTION("GOOGLETRANSLATE(B279, ""en"", ""hi"")"),"एक अभ्यासकर्ता ऐसे प्रतिद्वंद्वी का सामना कर रहा है जो अक्सर कम प्रहार करता है। इस शैली का प्रभावी ढंग से मुकाबला करने के लिए किस तकनीक का उपयोग किया जाना चाहिए?")</f>
        <v>एक अभ्यासकर्ता ऐसे प्रतिद्वंद्वी का सामना कर रहा है जो अक्सर कम प्रहार करता है। इस शैली का प्रभावी ढंग से मुकाबला करने के लिए किस तकनीक का उपयोग किया जाना चाहिए?</v>
      </c>
      <c r="H279" s="5" t="str">
        <f>IFERROR(__xludf.DUMMYFUNCTION("GOOGLETRANSLATE(C279,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279" s="5" t="str">
        <f>IFERROR(__xludf.DUMMYFUNCTION("GOOGLETRANSLATE(D279, ""en"", ""hi"")"),"बी) ब्लॉक लो और काउंटर")</f>
        <v>बी) ब्लॉक लो और काउंटर</v>
      </c>
    </row>
    <row r="280" ht="22.5" customHeight="1">
      <c r="A280" s="2">
        <v>279.0</v>
      </c>
      <c r="B280" s="3" t="s">
        <v>9790</v>
      </c>
      <c r="C280" s="3" t="s">
        <v>9740</v>
      </c>
      <c r="D280" s="3" t="s">
        <v>9741</v>
      </c>
      <c r="F280" s="5" t="str">
        <f>IFERROR(__xludf.DUMMYFUNCTION("GOOGLETRANSLATE(A280, ""en"", ""hi"")"),"279")</f>
        <v>279</v>
      </c>
      <c r="G280" s="5" t="str">
        <f>IFERROR(__xludf.DUMMYFUNCTION("GOOGLETRANSLATE(B280, ""en"", ""hi"")"),"सिलंबम द्वंद्वयुद्ध के दौरान, प्रतिद्वंद्वी एक उच्च रक्षक रुख अपनाता है। इस बचाव को प्रभावी ढंग से भेदने के लिए अभ्यासकर्ता को कौन सी तकनीक अपनानी चाहिए?")</f>
        <v>सिलंबम द्वंद्वयुद्ध के दौरान, प्रतिद्वंद्वी एक उच्च रक्षक रुख अपनाता है। इस बचाव को प्रभावी ढंग से भेदने के लिए अभ्यासकर्ता को कौन सी तकनीक अपनानी चाहिए?</v>
      </c>
      <c r="H280" s="5" t="str">
        <f>IFERROR(__xludf.DUMMYFUNCTION("GOOGLETRANSLATE(C280,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280" s="5" t="str">
        <f>IFERROR(__xludf.DUMMYFUNCTION("GOOGLETRANSLATE(D280, ""en"", ""hi"")"),"बी) फाइन्ट और हाई स्ट्राइक")</f>
        <v>बी) फाइन्ट और हाई स्ट्राइक</v>
      </c>
    </row>
    <row r="281" ht="22.5" customHeight="1">
      <c r="A281" s="2">
        <v>280.0</v>
      </c>
      <c r="B281" s="3" t="s">
        <v>9773</v>
      </c>
      <c r="C281" s="3" t="s">
        <v>9688</v>
      </c>
      <c r="D281" s="3" t="s">
        <v>9274</v>
      </c>
      <c r="F281" s="5" t="str">
        <f>IFERROR(__xludf.DUMMYFUNCTION("GOOGLETRANSLATE(A281, ""en"", ""hi"")"),"280")</f>
        <v>280</v>
      </c>
      <c r="G281" s="5" t="str">
        <f>IFERROR(__xludf.DUMMYFUNCTION("GOOGLETRANSLATE(B281, ""en"", ""hi"")"),"एक अभ्यासी प्रतिद्वंद्वी के हमले का जवाब देने के लिए घूमने की तकनीक का इस्तेमाल करता है। इस तकनीक का उद्देश्य क्या है?")</f>
        <v>एक अभ्यासी प्रतिद्वंद्वी के हमले का जवाब देने के लिए घूमने की तकनीक का इस्तेमाल करता है। इस तकनीक का उद्देश्य क्या है?</v>
      </c>
      <c r="H281" s="5" t="str">
        <f>IFERROR(__xludf.DUMMYFUNCTION("GOOGLETRANSLATE(C281, ""en"", ""hi"")"),"A) दूरी बनाने के लिए, B) प्रतिद्वंद्वी को भ्रमित करने के लिए, C) शक्ति बढ़ाने के लिए, D) कौशल दिखाने के लिए")</f>
        <v>A) दूरी बनाने के लिए, B) प्रतिद्वंद्वी को भ्रमित करने के लिए, C) शक्ति बढ़ाने के लिए, D) कौशल दिखाने के लिए</v>
      </c>
      <c r="I281" s="5" t="str">
        <f>IFERROR(__xludf.DUMMYFUNCTION("GOOGLETRANSLATE(D281, ""en"", ""hi"")"),"बी) प्रतिद्वंद्वी को भ्रमित करने के लिए")</f>
        <v>बी) प्रतिद्वंद्वी को भ्रमित करने के लिए</v>
      </c>
    </row>
    <row r="282" ht="22.5" customHeight="1">
      <c r="A282" s="2">
        <v>281.0</v>
      </c>
      <c r="B282" s="3" t="s">
        <v>9774</v>
      </c>
      <c r="C282" s="3" t="s">
        <v>9685</v>
      </c>
      <c r="D282" s="3" t="s">
        <v>9694</v>
      </c>
      <c r="F282" s="5" t="str">
        <f>IFERROR(__xludf.DUMMYFUNCTION("GOOGLETRANSLATE(A282, ""en"", ""hi"")"),"281")</f>
        <v>281</v>
      </c>
      <c r="G282" s="5" t="str">
        <f>IFERROR(__xludf.DUMMYFUNCTION("GOOGLETRANSLATE(B282, ""en"", ""hi"")"),"सिलंबम द्वंद्वयुद्ध के दौरान, प्रतिद्वंद्वी साधक के सिर पर एक तेज़ मुक्का मारने की कोशिश करता है। सबसे प्रभावी तात्कालिक प्रतिक्रिया क्या होती है?")</f>
        <v>सिलंबम द्वंद्वयुद्ध के दौरान, प्रतिद्वंद्वी साधक के सिर पर एक तेज़ मुक्का मारने की कोशिश करता है। सबसे प्रभावी तात्कालिक प्रतिक्रिया क्या होती है?</v>
      </c>
      <c r="H282" s="5" t="str">
        <f>IFERROR(__xludf.DUMMYFUNCTION("GOOGLETRANSLATE(C282, ""en"", ""hi"")"),"ए) पैरी और स्ट्राइक, बी) डक और स्वीप, सी) ब्लॉक हाई और काउंटर, डी) स्पिन और एवेड")</f>
        <v>ए) पैरी और स्ट्राइक, बी) डक और स्वीप, सी) ब्लॉक हाई और काउंटर, डी) स्पिन और एवेड</v>
      </c>
      <c r="I282" s="5" t="str">
        <f>IFERROR(__xludf.DUMMYFUNCTION("GOOGLETRANSLATE(D282, ""en"", ""hi"")"),"C) ब्लॉक हाई और काउंटर")</f>
        <v>C) ब्लॉक हाई और काउंटर</v>
      </c>
    </row>
    <row r="283" ht="22.5" customHeight="1">
      <c r="A283" s="2">
        <v>282.0</v>
      </c>
      <c r="B283" s="3" t="s">
        <v>9791</v>
      </c>
      <c r="C283" s="3" t="s">
        <v>9620</v>
      </c>
      <c r="D283" s="3" t="s">
        <v>9326</v>
      </c>
      <c r="F283" s="5" t="str">
        <f>IFERROR(__xludf.DUMMYFUNCTION("GOOGLETRANSLATE(A283, ""en"", ""hi"")"),"282")</f>
        <v>282</v>
      </c>
      <c r="G283" s="5" t="str">
        <f>IFERROR(__xludf.DUMMYFUNCTION("GOOGLETRANSLATE(B283, ""en"", ""hi"")"),"एक अभ्यासी सिलंबम प्रदर्शन के दौरान 'काई वीचु' तकनीक का प्रयोग करता है। इस क्रिया का केंद्रबिंदु क्या है?")</f>
        <v>एक अभ्यासी सिलंबम प्रदर्शन के दौरान 'काई वीचु' तकनीक का प्रयोग करता है। इस क्रिया का केंद्रबिंदु क्या है?</v>
      </c>
      <c r="H283" s="5" t="str">
        <f>IFERROR(__xludf.DUMMYFUNCTION("GOOGLETRANSLATE(C283, ""en"", ""hi"")"),"A) आक्रमण, B) रक्षा, C) बचाव, D) सटीकता")</f>
        <v>A) आक्रमण, B) रक्षा, C) बचाव, D) सटीकता</v>
      </c>
      <c r="I283" s="5" t="str">
        <f>IFERROR(__xludf.DUMMYFUNCTION("GOOGLETRANSLATE(D283, ""en"", ""hi"")"),"ए) अपराध")</f>
        <v>ए) अपराध</v>
      </c>
    </row>
    <row r="284" ht="22.5" customHeight="1">
      <c r="A284" s="2">
        <v>283.0</v>
      </c>
      <c r="B284" s="3" t="s">
        <v>9792</v>
      </c>
      <c r="C284" s="3" t="s">
        <v>9778</v>
      </c>
      <c r="D284" s="3" t="s">
        <v>9642</v>
      </c>
      <c r="F284" s="5" t="str">
        <f>IFERROR(__xludf.DUMMYFUNCTION("GOOGLETRANSLATE(A284, ""en"", ""hi"")"),"283")</f>
        <v>283</v>
      </c>
      <c r="G284" s="5" t="str">
        <f>IFERROR(__xludf.DUMMYFUNCTION("GOOGLETRANSLATE(B284, ""en"", ""hi"")"),"सिलंबम मुकाबले में, अभ्यासकर्ता का सामना एक ऐसे प्रतिद्वंद्वी से होता है जो तेज़ पार्श्व प्रहार करता है। इस रणनीति का मुकाबला करने के लिए अभ्यासकर्ता का मुख्य ध्यान किस पर होना चाहिए?")</f>
        <v>सिलंबम मुकाबले में, अभ्यासकर्ता का सामना एक ऐसे प्रतिद्वंद्वी से होता है जो तेज़ पार्श्व प्रहार करता है। इस रणनीति का मुकाबला करने के लिए अभ्यासकर्ता का मुख्य ध्यान किस पर होना चाहिए?</v>
      </c>
      <c r="H284" s="5" t="str">
        <f>IFERROR(__xludf.DUMMYFUNCTION("GOOGLETRANSLATE(C284, ""en"", ""hi"")"),"A) गति, B) फुटवर्क और दूरी, C) रक्षात्मक युद्धाभ्यास, D) आक्रामक हमले")</f>
        <v>A) गति, B) फुटवर्क और दूरी, C) रक्षात्मक युद्धाभ्यास, D) आक्रामक हमले</v>
      </c>
      <c r="I284" s="5" t="str">
        <f>IFERROR(__xludf.DUMMYFUNCTION("GOOGLETRANSLATE(D284, ""en"", ""hi"")"),"बी) फुटवर्क और दूरी")</f>
        <v>बी) फुटवर्क और दूरी</v>
      </c>
    </row>
    <row r="285" ht="22.5" customHeight="1">
      <c r="A285" s="2">
        <v>284.0</v>
      </c>
      <c r="B285" s="3" t="s">
        <v>9779</v>
      </c>
      <c r="C285" s="3" t="s">
        <v>9654</v>
      </c>
      <c r="D285" s="3" t="s">
        <v>9655</v>
      </c>
      <c r="F285" s="5" t="str">
        <f>IFERROR(__xludf.DUMMYFUNCTION("GOOGLETRANSLATE(A285, ""en"", ""hi"")"),"284")</f>
        <v>284</v>
      </c>
      <c r="G285" s="5" t="str">
        <f>IFERROR(__xludf.DUMMYFUNCTION("GOOGLETRANSLATE(B285, ""en"", ""hi"")"),"एक प्रतिद्वंद्वी अभ्यासकर्ता के धड़ पर तेज़ी से कई प्रहार करता है। अभ्यासकर्ता को आक्रामक रहते हुए इस हमले का प्रतिकार कैसे करना चाहिए?")</f>
        <v>एक प्रतिद्वंद्वी अभ्यासकर्ता के धड़ पर तेज़ी से कई प्रहार करता है। अभ्यासकर्ता को आक्रामक रहते हुए इस हमले का प्रतिकार कैसे करना चाहिए?</v>
      </c>
      <c r="H285" s="5" t="str">
        <f>IFERROR(__xludf.DUMMYFUNCTION("GOOGLETRANSLATE(C285,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285" s="5" t="str">
        <f>IFERROR(__xludf.DUMMYFUNCTION("GOOGLETRANSLATE(D285, ""en"", ""hi"")"),"सी) साइड स्टेप और स्ट्राइक")</f>
        <v>सी) साइड स्टेप और स्ट्राइक</v>
      </c>
    </row>
    <row r="286" ht="22.5" customHeight="1">
      <c r="A286" s="2">
        <v>285.0</v>
      </c>
      <c r="B286" s="3" t="s">
        <v>9775</v>
      </c>
      <c r="C286" s="3" t="s">
        <v>9776</v>
      </c>
      <c r="D286" s="3" t="s">
        <v>9220</v>
      </c>
      <c r="F286" s="5" t="str">
        <f>IFERROR(__xludf.DUMMYFUNCTION("GOOGLETRANSLATE(A286, ""en"", ""hi"")"),"285")</f>
        <v>285</v>
      </c>
      <c r="G286" s="5" t="str">
        <f>IFERROR(__xludf.DUMMYFUNCTION("GOOGLETRANSLATE(B286, ""en"", ""hi"")"),"एक अभ्यासकर्ता सिलंबम तकनीक का प्रदर्शन कर रहा है जिसमें प्रतिद्वंद्वी के पैरों पर निशाना साधते हुए एक घूमता हुआ प्रहार शामिल है। इस चाल का मुख्य लक्ष्य क्या है?")</f>
        <v>एक अभ्यासकर्ता सिलंबम तकनीक का प्रदर्शन कर रहा है जिसमें प्रतिद्वंद्वी के पैरों पर निशाना साधते हुए एक घूमता हुआ प्रहार शामिल है। इस चाल का मुख्य लक्ष्य क्या है?</v>
      </c>
      <c r="H286" s="5" t="str">
        <f>IFERROR(__xludf.DUMMYFUNCTION("GOOGLETRANSLATE(C286,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286" s="5" t="str">
        <f>IFERROR(__xludf.DUMMYFUNCTION("GOOGLETRANSLATE(D286, ""en"", ""hi"")"),"A) प्रतिद्वंद्वी का संतुलन बिगाड़ना")</f>
        <v>A) प्रतिद्वंद्वी का संतुलन बिगाड़ना</v>
      </c>
    </row>
    <row r="287" ht="22.5" customHeight="1">
      <c r="A287" s="2">
        <v>286.0</v>
      </c>
      <c r="B287" s="3" t="s">
        <v>9793</v>
      </c>
      <c r="C287" s="3" t="s">
        <v>9690</v>
      </c>
      <c r="D287" s="3" t="s">
        <v>9691</v>
      </c>
      <c r="F287" s="5" t="str">
        <f>IFERROR(__xludf.DUMMYFUNCTION("GOOGLETRANSLATE(A287, ""en"", ""hi"")"),"286")</f>
        <v>286</v>
      </c>
      <c r="G287" s="5" t="str">
        <f>IFERROR(__xludf.DUMMYFUNCTION("GOOGLETRANSLATE(B287, ""en"", ""hi"")"),"सिलंबम प्रदर्शन में, साधक प्रतिद्वंद्वी के हमले का जवाब देने के लिए 'उप्पू वीचू' तकनीक का उपयोग करता है। इस चाल का केंद्रबिंदु क्या है?")</f>
        <v>सिलंबम प्रदर्शन में, साधक प्रतिद्वंद्वी के हमले का जवाब देने के लिए 'उप्पू वीचू' तकनीक का उपयोग करता है। इस चाल का केंद्रबिंदु क्या है?</v>
      </c>
      <c r="H287" s="5" t="str">
        <f>IFERROR(__xludf.DUMMYFUNCTION("GOOGLETRANSLATE(C287, ""en"", ""hi"")"),"A) परिशुद्धता, B) शक्ति, C) गति, D) व्याकुलता")</f>
        <v>A) परिशुद्धता, B) शक्ति, C) गति, D) व्याकुलता</v>
      </c>
      <c r="I287" s="5" t="str">
        <f>IFERROR(__xludf.DUMMYFUNCTION("GOOGLETRANSLATE(D287, ""en"", ""hi"")"),"ए) परिशुद्धता")</f>
        <v>ए) परिशुद्धता</v>
      </c>
    </row>
    <row r="288" ht="22.5" customHeight="1">
      <c r="A288" s="2">
        <v>287.0</v>
      </c>
      <c r="B288" s="3" t="s">
        <v>9794</v>
      </c>
      <c r="C288" s="3" t="s">
        <v>9696</v>
      </c>
      <c r="D288" s="3" t="s">
        <v>9697</v>
      </c>
      <c r="F288" s="5" t="str">
        <f>IFERROR(__xludf.DUMMYFUNCTION("GOOGLETRANSLATE(A288, ""en"", ""hi"")"),"287")</f>
        <v>287</v>
      </c>
      <c r="G288" s="5" t="str">
        <f>IFERROR(__xludf.DUMMYFUNCTION("GOOGLETRANSLATE(B288, ""en"", ""hi"")"),"सिलंबम द्वंद्वयुद्ध के दौरान, प्रतिद्वंद्वी उच्च सुरक्षा रुख अपनाता है। इस सुरक्षा को भेदने के लिए किस तकनीक का उपयोग किया जाना चाहिए?")</f>
        <v>सिलंबम द्वंद्वयुद्ध के दौरान, प्रतिद्वंद्वी उच्च सुरक्षा रुख अपनाता है। इस सुरक्षा को भेदने के लिए किस तकनीक का उपयोग किया जाना चाहिए?</v>
      </c>
      <c r="H288" s="5" t="str">
        <f>IFERROR(__xludf.DUMMYFUNCTION("GOOGLETRANSLATE(C288, ""en"", ""hi"")"),"ए) कम प्रहार, बी) छल और प्रहार, सी) ओवरहेड प्रहार, डी) वृत्ताकार गति")</f>
        <v>ए) कम प्रहार, बी) छल और प्रहार, सी) ओवरहेड प्रहार, डी) वृत्ताकार गति</v>
      </c>
      <c r="I288" s="5" t="str">
        <f>IFERROR(__xludf.DUMMYFUNCTION("GOOGLETRANSLATE(D288, ""en"", ""hi"")"),"बी) छल और प्रहार")</f>
        <v>बी) छल और प्रहार</v>
      </c>
    </row>
    <row r="289" ht="22.5" customHeight="1">
      <c r="A289" s="2">
        <v>288.0</v>
      </c>
      <c r="B289" s="3" t="s">
        <v>9795</v>
      </c>
      <c r="C289" s="3" t="s">
        <v>9676</v>
      </c>
      <c r="D289" s="3" t="s">
        <v>9445</v>
      </c>
      <c r="F289" s="5" t="str">
        <f>IFERROR(__xludf.DUMMYFUNCTION("GOOGLETRANSLATE(A289, ""en"", ""hi"")"),"288")</f>
        <v>288</v>
      </c>
      <c r="G289" s="5" t="str">
        <f>IFERROR(__xludf.DUMMYFUNCTION("GOOGLETRANSLATE(B289, ""en"", ""hi"")"),"सिलंबम प्रदर्शन में, अभ्यासकर्ता प्रतिद्वंद्वी की ओर बढ़ते हुए बारी-बारी से ऊँचे और नीचे प्रहार करने वाली तकनीक का उपयोग करता है। इस युद्धाभ्यास का मुख्य लक्ष्य क्या है?")</f>
        <v>सिलंबम प्रदर्शन में, अभ्यासकर्ता प्रतिद्वंद्वी की ओर बढ़ते हुए बारी-बारी से ऊँचे और नीचे प्रहार करने वाली तकनीक का उपयोग करता है। इस युद्धाभ्यास का मुख्य लक्ष्य क्या है?</v>
      </c>
      <c r="H289" s="5" t="str">
        <f>IFERROR(__xludf.DUMMYFUNCTION("GOOGLETRANSLATE(C289, ""en"", ""hi"")"),"A) प्रतिद्वंद्वी पर हावी होना, B) दूरी बनाना, C) कौशल दिखाना, D) प्रतिद्वंद्वी को भ्रमित करना")</f>
        <v>A) प्रतिद्वंद्वी पर हावी होना, B) दूरी बनाना, C) कौशल दिखाना, D) प्रतिद्वंद्वी को भ्रमित करना</v>
      </c>
      <c r="I289" s="5" t="str">
        <f>IFERROR(__xludf.DUMMYFUNCTION("GOOGLETRANSLATE(D289, ""en"", ""hi"")"),"A) प्रतिद्वंद्वी को परास्त करना")</f>
        <v>A) प्रतिद्वंद्वी को परास्त करना</v>
      </c>
    </row>
    <row r="290" ht="22.5" customHeight="1">
      <c r="A290" s="2">
        <v>289.0</v>
      </c>
      <c r="B290" s="3" t="s">
        <v>9783</v>
      </c>
      <c r="C290" s="3" t="s">
        <v>9703</v>
      </c>
      <c r="D290" s="3" t="s">
        <v>9704</v>
      </c>
      <c r="F290" s="5" t="str">
        <f>IFERROR(__xludf.DUMMYFUNCTION("GOOGLETRANSLATE(A290, ""en"", ""hi"")"),"289")</f>
        <v>289</v>
      </c>
      <c r="G290" s="5" t="str">
        <f>IFERROR(__xludf.DUMMYFUNCTION("GOOGLETRANSLATE(B290, ""en"", ""hi"")"),"सिलंबम मैच के दौरान प्रतिद्वंद्वी एक लो स्वीपिंग स्ट्राइक का इस्तेमाल करता है। अभ्यासकर्ता को संतुलन बनाए रखते हुए इस हमले का जवाब कैसे देना चाहिए?")</f>
        <v>सिलंबम मैच के दौरान प्रतिद्वंद्वी एक लो स्वीपिंग स्ट्राइक का इस्तेमाल करता है। अभ्यासकर्ता को संतुलन बनाए रखते हुए इस हमले का जवाब कैसे देना चाहिए?</v>
      </c>
      <c r="H290" s="5" t="str">
        <f>IFERROR(__xludf.DUMMYFUNCTION("GOOGLETRANSLATE(C290, ""en"", ""hi"")"),"ए) कूदें और पलटवार करें, बी) नीचे से ब्लॉक करें और वार करें, सी) साइड स्टेप करें और स्वीप करें, डी) घूमें और बचें")</f>
        <v>ए) कूदें और पलटवार करें, बी) नीचे से ब्लॉक करें और वार करें, सी) साइड स्टेप करें और स्वीप करें, डी) घूमें और बचें</v>
      </c>
      <c r="I290" s="5" t="str">
        <f>IFERROR(__xludf.DUMMYFUNCTION("GOOGLETRANSLATE(D290, ""en"", ""hi"")"),"बी) नीचे से ब्लॉक करें और स्ट्राइक करें")</f>
        <v>बी) नीचे से ब्लॉक करें और स्ट्राइक करें</v>
      </c>
    </row>
    <row r="291" ht="22.5" customHeight="1">
      <c r="A291" s="2">
        <v>290.0</v>
      </c>
      <c r="B291" s="3" t="s">
        <v>9765</v>
      </c>
      <c r="C291" s="3" t="s">
        <v>9733</v>
      </c>
      <c r="D291" s="3" t="s">
        <v>9323</v>
      </c>
      <c r="F291" s="5" t="str">
        <f>IFERROR(__xludf.DUMMYFUNCTION("GOOGLETRANSLATE(A291, ""en"", ""hi"")"),"290")</f>
        <v>290</v>
      </c>
      <c r="G291" s="5" t="str">
        <f>IFERROR(__xludf.DUMMYFUNCTION("GOOGLETRANSLATE(B291, ""en"", ""hi"")"),"सिलंबम मैच के दौरान, अभ्यासकर्ता एक ऐसी तकनीक का उपयोग करता है जिसमें एक उच्च छल के बाद एक निम्न प्रहार शामिल होता है। इस युद्धाभ्यास का अपेक्षित प्रभाव क्या है?")</f>
        <v>सिलंबम मैच के दौरान, अभ्यासकर्ता एक ऐसी तकनीक का उपयोग करता है जिसमें एक उच्च छल के बाद एक निम्न प्रहार शामिल होता है। इस युद्धाभ्यास का अपेक्षित प्रभाव क्या है?</v>
      </c>
      <c r="H291" s="5" t="str">
        <f>IFERROR(__xludf.DUMMYFUNCTION("GOOGLETRANSLATE(C291,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291" s="5" t="str">
        <f>IFERROR(__xludf.DUMMYFUNCTION("GOOGLETRANSLATE(D291, ""en"", ""hi"")"),"A) प्रतिद्वंद्वी को भ्रमित करने के लिए")</f>
        <v>A) प्रतिद्वंद्वी को भ्रमित करने के लिए</v>
      </c>
    </row>
    <row r="292" ht="22.5" customHeight="1">
      <c r="A292" s="2">
        <v>291.0</v>
      </c>
      <c r="B292" s="3" t="s">
        <v>9796</v>
      </c>
      <c r="C292" s="3" t="s">
        <v>9730</v>
      </c>
      <c r="D292" s="3" t="s">
        <v>9731</v>
      </c>
      <c r="F292" s="5" t="str">
        <f>IFERROR(__xludf.DUMMYFUNCTION("GOOGLETRANSLATE(A292, ""en"", ""hi"")"),"291")</f>
        <v>291</v>
      </c>
      <c r="G292" s="5" t="str">
        <f>IFERROR(__xludf.DUMMYFUNCTION("GOOGLETRANSLATE(B292, ""en"", ""hi"")"),"एक अभ्यासकर्ता का सामना ऐसे प्रतिद्वंद्वी से होता है जो तेज़ और अनियमित चालें अपनाता है। इस दृष्टिकोण का प्रभावी ढंग से मुकाबला करने के लिए अभ्यासकर्ता को क्या रणनीति अपनानी चाहिए?")</f>
        <v>एक अभ्यासकर्ता का सामना ऐसे प्रतिद्वंद्वी से होता है जो तेज़ और अनियमित चालें अपनाता है। इस दृष्टिकोण का प्रभावी ढंग से मुकाबला करने के लिए अभ्यासकर्ता को क्या रणनीति अपनानी चाहिए?</v>
      </c>
      <c r="H292" s="5" t="str">
        <f>IFERROR(__xludf.DUMMYFUNCTION("GOOGLETRANSLATE(C292, ""en"", ""hi"")"),"A) गति बढ़ाएँ, B) फुटवर्क और दूरी पर ध्यान केंद्रित करें, C) रक्षात्मक ब्लॉक का उपयोग करें, D) तीव्र हमले करें")</f>
        <v>A) गति बढ़ाएँ, B) फुटवर्क और दूरी पर ध्यान केंद्रित करें, C) रक्षात्मक ब्लॉक का उपयोग करें, D) तीव्र हमले करें</v>
      </c>
      <c r="I292" s="5" t="str">
        <f>IFERROR(__xludf.DUMMYFUNCTION("GOOGLETRANSLATE(D292, ""en"", ""hi"")"),"बी) फुटवर्क और दूरी पर ध्यान केंद्रित करें")</f>
        <v>बी) फुटवर्क और दूरी पर ध्यान केंद्रित करें</v>
      </c>
    </row>
    <row r="293" ht="22.5" customHeight="1">
      <c r="A293" s="2">
        <v>292.0</v>
      </c>
      <c r="B293" s="3" t="s">
        <v>9797</v>
      </c>
      <c r="C293" s="3" t="s">
        <v>9740</v>
      </c>
      <c r="D293" s="3" t="s">
        <v>9741</v>
      </c>
      <c r="F293" s="5" t="str">
        <f>IFERROR(__xludf.DUMMYFUNCTION("GOOGLETRANSLATE(A293, ""en"", ""hi"")"),"292")</f>
        <v>292</v>
      </c>
      <c r="G293" s="5" t="str">
        <f>IFERROR(__xludf.DUMMYFUNCTION("GOOGLETRANSLATE(B293, ""en"", ""hi"")"),"सिलंबम द्वंद्वयुद्ध के दौरान, अभ्यासी का सामना एक ऐसे प्रतिद्वंद्वी से होता है जो ऊँची सुरक्षा मुद्रा अपनाता है। अभ्यासी को इस प्रकार के बचाव का तरीका कैसे अपनाना चाहिए?")</f>
        <v>सिलंबम द्वंद्वयुद्ध के दौरान, अभ्यासी का सामना एक ऐसे प्रतिद्वंद्वी से होता है जो ऊँची सुरक्षा मुद्रा अपनाता है। अभ्यासी को इस प्रकार के बचाव का तरीका कैसे अपनाना चाहिए?</v>
      </c>
      <c r="H293" s="5" t="str">
        <f>IFERROR(__xludf.DUMMYFUNCTION("GOOGLETRANSLATE(C293,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293" s="5" t="str">
        <f>IFERROR(__xludf.DUMMYFUNCTION("GOOGLETRANSLATE(D293, ""en"", ""hi"")"),"बी) फाइन्ट और हाई स्ट्राइक")</f>
        <v>बी) फाइन्ट और हाई स्ट्राइक</v>
      </c>
    </row>
    <row r="294" ht="22.5" customHeight="1">
      <c r="A294" s="2">
        <v>293.0</v>
      </c>
      <c r="B294" s="3" t="s">
        <v>9798</v>
      </c>
      <c r="C294" s="3" t="s">
        <v>9799</v>
      </c>
      <c r="D294" s="3" t="s">
        <v>9429</v>
      </c>
      <c r="F294" s="5" t="str">
        <f>IFERROR(__xludf.DUMMYFUNCTION("GOOGLETRANSLATE(A294, ""en"", ""hi"")"),"293")</f>
        <v>293</v>
      </c>
      <c r="G294" s="5" t="str">
        <f>IFERROR(__xludf.DUMMYFUNCTION("GOOGLETRANSLATE(B294, ""en"", ""hi"")"),"एक अभ्यासकर्ता प्रतिद्वंद्वी के पैरों पर निशाना साधते हुए घूमते हुए हमला करने की तकनीक का प्रदर्शन कर रहा है। इस चाल का मुख्य लक्ष्य क्या है?")</f>
        <v>एक अभ्यासकर्ता प्रतिद्वंद्वी के पैरों पर निशाना साधते हुए घूमते हुए हमला करने की तकनीक का प्रदर्शन कर रहा है। इस चाल का मुख्य लक्ष्य क्या है?</v>
      </c>
      <c r="H294" s="5" t="str">
        <f>IFERROR(__xludf.DUMMYFUNCTION("GOOGLETRANSLATE(C294, ""en"", ""hi"")"),"A) प्रतिद्वंद्वी को भ्रमित करने के लिए, B) शक्ति बढ़ाने के लिए, C) दूरी बनाने के लिए, D) प्रतिद्वंद्वी का संतुलन बिगाड़ने के लिए")</f>
        <v>A) प्रतिद्वंद्वी को भ्रमित करने के लिए, B) शक्ति बढ़ाने के लिए, C) दूरी बनाने के लिए, D) प्रतिद्वंद्वी का संतुलन बिगाड़ने के लिए</v>
      </c>
      <c r="I294" s="5" t="str">
        <f>IFERROR(__xludf.DUMMYFUNCTION("GOOGLETRANSLATE(D294, ""en"", ""hi"")"),"D) प्रतिद्वंद्वी का संतुलन बिगाड़ना")</f>
        <v>D) प्रतिद्वंद्वी का संतुलन बिगाड़ना</v>
      </c>
    </row>
    <row r="295" ht="22.5" customHeight="1">
      <c r="A295" s="2">
        <v>294.0</v>
      </c>
      <c r="B295" s="3" t="s">
        <v>9800</v>
      </c>
      <c r="C295" s="3" t="s">
        <v>9733</v>
      </c>
      <c r="D295" s="3" t="s">
        <v>9323</v>
      </c>
      <c r="F295" s="5" t="str">
        <f>IFERROR(__xludf.DUMMYFUNCTION("GOOGLETRANSLATE(A295, ""en"", ""hi"")"),"294")</f>
        <v>294</v>
      </c>
      <c r="G295" s="5" t="str">
        <f>IFERROR(__xludf.DUMMYFUNCTION("GOOGLETRANSLATE(B295, ""en"", ""hi"")"),"सिलंबम प्रदर्शन में, साधक एक ऐसी मुद्रा का प्रयोग करता है जिसमें प्रहार करने से पहले दंड को अपने शरीर के चारों ओर घुमाता है। इस तकनीक का मुख्य उद्देश्य क्या है?")</f>
        <v>सिलंबम प्रदर्शन में, साधक एक ऐसी मुद्रा का प्रयोग करता है जिसमें प्रहार करने से पहले दंड को अपने शरीर के चारों ओर घुमाता है। इस तकनीक का मुख्य उद्देश्य क्या है?</v>
      </c>
      <c r="H295" s="5" t="str">
        <f>IFERROR(__xludf.DUMMYFUNCTION("GOOGLETRANSLATE(C295,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295" s="5" t="str">
        <f>IFERROR(__xludf.DUMMYFUNCTION("GOOGLETRANSLATE(D295, ""en"", ""hi"")"),"A) प्रतिद्वंद्वी को भ्रमित करने के लिए")</f>
        <v>A) प्रतिद्वंद्वी को भ्रमित करने के लिए</v>
      </c>
    </row>
    <row r="296" ht="22.5" customHeight="1">
      <c r="A296" s="2">
        <v>295.0</v>
      </c>
      <c r="B296" s="3" t="s">
        <v>9801</v>
      </c>
      <c r="C296" s="3" t="s">
        <v>9737</v>
      </c>
      <c r="D296" s="3" t="s">
        <v>9716</v>
      </c>
      <c r="F296" s="5" t="str">
        <f>IFERROR(__xludf.DUMMYFUNCTION("GOOGLETRANSLATE(A296, ""en"", ""hi"")"),"295")</f>
        <v>295</v>
      </c>
      <c r="G296" s="5" t="str">
        <f>IFERROR(__xludf.DUMMYFUNCTION("GOOGLETRANSLATE(B296, ""en"", ""hi"")"),"सिलंबम मुकाबले के दौरान, प्रतिद्वंद्वी तेज़ पार्श्व प्रहार करता है। इस शैली का मुकाबला करने के लिए अभ्यासकर्ता के लिए सबसे अच्छी तकनीक क्या है?")</f>
        <v>सिलंबम मुकाबले के दौरान, प्रतिद्वंद्वी तेज़ पार्श्व प्रहार करता है। इस शैली का मुकाबला करने के लिए अभ्यासकर्ता के लिए सबसे अच्छी तकनीक क्या है?</v>
      </c>
      <c r="H296" s="5" t="str">
        <f>IFERROR(__xludf.DUMMYFUNCTION("GOOGLETRANSLATE(C296,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296" s="5" t="str">
        <f>IFERROR(__xludf.DUMMYFUNCTION("GOOGLETRANSLATE(D296, ""en"", ""hi"")"),"ए) ब्लॉक और काउंटर")</f>
        <v>ए) ब्लॉक और काउंटर</v>
      </c>
    </row>
    <row r="297" ht="22.5" customHeight="1">
      <c r="A297" s="2">
        <v>296.0</v>
      </c>
      <c r="B297" s="3" t="s">
        <v>9802</v>
      </c>
      <c r="C297" s="3" t="s">
        <v>9758</v>
      </c>
      <c r="D297" s="3" t="s">
        <v>9587</v>
      </c>
      <c r="F297" s="5" t="str">
        <f>IFERROR(__xludf.DUMMYFUNCTION("GOOGLETRANSLATE(A297, ""en"", ""hi"")"),"296")</f>
        <v>296</v>
      </c>
      <c r="G297" s="5" t="str">
        <f>IFERROR(__xludf.DUMMYFUNCTION("GOOGLETRANSLATE(B297, ""en"", ""hi"")"),"एक अभ्यासकर्ता ऐसे प्रतिद्वंद्वी का सामना कर रहा है जो अक्सर कम प्रहार करता है। इस शैली का प्रभावी ढंग से मुकाबला करने के लिए कौन सी तकनीक अपनाई जानी चाहिए?")</f>
        <v>एक अभ्यासकर्ता ऐसे प्रतिद्वंद्वी का सामना कर रहा है जो अक्सर कम प्रहार करता है। इस शैली का प्रभावी ढंग से मुकाबला करने के लिए कौन सी तकनीक अपनाई जानी चाहिए?</v>
      </c>
      <c r="H297" s="5" t="str">
        <f>IFERROR(__xludf.DUMMYFUNCTION("GOOGLETRANSLATE(C297,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297" s="5" t="str">
        <f>IFERROR(__xludf.DUMMYFUNCTION("GOOGLETRANSLATE(D297, ""en"", ""hi"")"),"बी) ब्लॉक लो और काउंटर")</f>
        <v>बी) ब्लॉक लो और काउंटर</v>
      </c>
    </row>
    <row r="298" ht="22.5" customHeight="1">
      <c r="A298" s="2">
        <v>297.0</v>
      </c>
      <c r="B298" s="3" t="s">
        <v>9803</v>
      </c>
      <c r="C298" s="3" t="s">
        <v>9740</v>
      </c>
      <c r="D298" s="3" t="s">
        <v>9741</v>
      </c>
      <c r="F298" s="5" t="str">
        <f>IFERROR(__xludf.DUMMYFUNCTION("GOOGLETRANSLATE(A298, ""en"", ""hi"")"),"297")</f>
        <v>297</v>
      </c>
      <c r="G298" s="5" t="str">
        <f>IFERROR(__xludf.DUMMYFUNCTION("GOOGLETRANSLATE(B298, ""en"", ""hi"")"),"सिलंबम द्वंद्वयुद्ध में, प्रतिद्वंद्वी उच्च सुरक्षा रुख अपनाता है। इस सुरक्षा को भेदने के लिए अभ्यासकर्ता को कौन सी तकनीक अपनानी चाहिए?")</f>
        <v>सिलंबम द्वंद्वयुद्ध में, प्रतिद्वंद्वी उच्च सुरक्षा रुख अपनाता है। इस सुरक्षा को भेदने के लिए अभ्यासकर्ता को कौन सी तकनीक अपनानी चाहिए?</v>
      </c>
      <c r="H298" s="5" t="str">
        <f>IFERROR(__xludf.DUMMYFUNCTION("GOOGLETRANSLATE(C298,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298" s="5" t="str">
        <f>IFERROR(__xludf.DUMMYFUNCTION("GOOGLETRANSLATE(D298, ""en"", ""hi"")"),"बी) फाइन्ट और हाई स्ट्राइक")</f>
        <v>बी) फाइन्ट और हाई स्ट्राइक</v>
      </c>
    </row>
    <row r="299" ht="22.5" customHeight="1">
      <c r="A299" s="2">
        <v>298.0</v>
      </c>
      <c r="B299" s="3" t="s">
        <v>9804</v>
      </c>
      <c r="C299" s="3" t="s">
        <v>9706</v>
      </c>
      <c r="D299" s="3" t="s">
        <v>9274</v>
      </c>
      <c r="F299" s="5" t="str">
        <f>IFERROR(__xludf.DUMMYFUNCTION("GOOGLETRANSLATE(A299, ""en"", ""hi"")"),"298")</f>
        <v>298</v>
      </c>
      <c r="G299" s="5" t="str">
        <f>IFERROR(__xludf.DUMMYFUNCTION("GOOGLETRANSLATE(B299, ""en"", ""hi"")"),"एक अभ्यासकर्ता एक ऐसी चाल का प्रदर्शन कर रहा है जिसमें ऊँची चोट मारने से पहले डंडे को तेज़ी से घुमाया जाता है। इस तकनीक का मुख्य लक्ष्य क्या है?")</f>
        <v>एक अभ्यासकर्ता एक ऐसी चाल का प्रदर्शन कर रहा है जिसमें ऊँची चोट मारने से पहले डंडे को तेज़ी से घुमाया जाता है। इस तकनीक का मुख्य लक्ष्य क्या है?</v>
      </c>
      <c r="H299" s="5" t="str">
        <f>IFERROR(__xludf.DUMMYFUNCTION("GOOGLETRANSLATE(C299, ""en"", ""hi"")"),"A) शक्ति बढ़ाने के लिए, B) प्रतिद्वंद्वी को भ्रमित करने के लिए, C) रक्षात्मक अवरोध बनाने के लिए, D) कौशल दिखाने के लिए")</f>
        <v>A) शक्ति बढ़ाने के लिए, B) प्रतिद्वंद्वी को भ्रमित करने के लिए, C) रक्षात्मक अवरोध बनाने के लिए, D) कौशल दिखाने के लिए</v>
      </c>
      <c r="I299" s="5" t="str">
        <f>IFERROR(__xludf.DUMMYFUNCTION("GOOGLETRANSLATE(D299, ""en"", ""hi"")"),"बी) प्रतिद्वंद्वी को भ्रमित करने के लिए")</f>
        <v>बी) प्रतिद्वंद्वी को भ्रमित करने के लिए</v>
      </c>
    </row>
    <row r="300" ht="22.5" customHeight="1">
      <c r="A300" s="2">
        <v>299.0</v>
      </c>
      <c r="B300" s="3" t="s">
        <v>9805</v>
      </c>
      <c r="C300" s="3" t="s">
        <v>9708</v>
      </c>
      <c r="D300" s="3" t="s">
        <v>9709</v>
      </c>
      <c r="F300" s="5" t="str">
        <f>IFERROR(__xludf.DUMMYFUNCTION("GOOGLETRANSLATE(A300, ""en"", ""hi"")"),"299")</f>
        <v>299</v>
      </c>
      <c r="G300" s="5" t="str">
        <f>IFERROR(__xludf.DUMMYFUNCTION("GOOGLETRANSLATE(B300, ""en"", ""hi"")"),"सिलंबम मैच के दौरान, प्रतिद्वंद्वी अक्सर ओवरहेड स्ट्राइक का इस्तेमाल करता है। इन हमलों का मुकाबला करने के लिए कौन सी तकनीक अपनाई जानी चाहिए?")</f>
        <v>सिलंबम मैच के दौरान, प्रतिद्वंद्वी अक्सर ओवरहेड स्ट्राइक का इस्तेमाल करता है। इन हमलों का मुकाबला करने के लिए कौन सी तकनीक अपनाई जानी चाहिए?</v>
      </c>
      <c r="H300" s="5" t="str">
        <f>IFERROR(__xludf.DUMMYFUNCTION("GOOGLETRANSLATE(C300, ""en"", ""hi"")"),"ए) ब्लॉक और स्ट्राइक, बी) डक और काउंटर, सी) साइड स्टेप और स्वीप, डी) स्पिन और एवेड")</f>
        <v>ए) ब्लॉक और स्ट्राइक, बी) डक और काउंटर, सी) साइड स्टेप और स्वीप, डी) स्पिन और एवेड</v>
      </c>
      <c r="I300" s="5" t="str">
        <f>IFERROR(__xludf.DUMMYFUNCTION("GOOGLETRANSLATE(D300, ""en"", ""hi"")"),"A) ब्लॉक और स्ट्राइक")</f>
        <v>A) ब्लॉक और स्ट्राइक</v>
      </c>
    </row>
    <row r="301" ht="22.5" customHeight="1">
      <c r="A301" s="2">
        <v>300.0</v>
      </c>
      <c r="B301" s="3" t="s">
        <v>9806</v>
      </c>
      <c r="C301" s="3" t="s">
        <v>9724</v>
      </c>
      <c r="D301" s="3" t="s">
        <v>9725</v>
      </c>
      <c r="F301" s="5" t="str">
        <f>IFERROR(__xludf.DUMMYFUNCTION("GOOGLETRANSLATE(A301, ""en"", ""hi"")"),"300")</f>
        <v>300</v>
      </c>
      <c r="G301" s="5" t="str">
        <f>IFERROR(__xludf.DUMMYFUNCTION("GOOGLETRANSLATE(B301, ""en"", ""hi"")"),"एक अभ्यासकर्ता का सामना ऐसे प्रतिद्वंद्वी से होता है जो दोहरे हथियार वाली शैली का उपयोग करता है। मुकाबले में बढ़त हासिल करने के लिए कौन सी रणनीति अपनाई जानी चाहिए?")</f>
        <v>एक अभ्यासकर्ता का सामना ऐसे प्रतिद्वंद्वी से होता है जो दोहरे हथियार वाली शैली का उपयोग करता है। मुकाबले में बढ़त हासिल करने के लिए कौन सी रणनीति अपनाई जानी चाहिए?</v>
      </c>
      <c r="H301" s="5" t="str">
        <f>IFERROR(__xludf.DUMMYFUNCTION("GOOGLETRANSLATE(C301, ""en"", ""hi"")"),"A) प्रत्यक्ष हमले, B) दूरी बनाकर हमला करना, C) रक्षात्मक अवरोध, D) बचाव")</f>
        <v>A) प्रत्यक्ष हमले, B) दूरी बनाकर हमला करना, C) रक्षात्मक अवरोध, D) बचाव</v>
      </c>
      <c r="I301" s="5" t="str">
        <f>IFERROR(__xludf.DUMMYFUNCTION("GOOGLETRANSLATE(D301, ""en"", ""hi"")"),"बी) दूरी बनाएं और प्रहार करें")</f>
        <v>बी) दूरी बनाएं और प्रहार करें</v>
      </c>
    </row>
    <row r="302" ht="22.5" customHeight="1">
      <c r="A302" s="2">
        <v>301.0</v>
      </c>
      <c r="B302" s="3" t="s">
        <v>9807</v>
      </c>
      <c r="C302" s="3" t="s">
        <v>9733</v>
      </c>
      <c r="D302" s="3" t="s">
        <v>9323</v>
      </c>
      <c r="F302" s="5" t="str">
        <f>IFERROR(__xludf.DUMMYFUNCTION("GOOGLETRANSLATE(A302, ""en"", ""hi"")"),"301")</f>
        <v>301</v>
      </c>
      <c r="G302" s="5" t="str">
        <f>IFERROR(__xludf.DUMMYFUNCTION("GOOGLETRANSLATE(B302, ""en"", ""hi"")"),"सिलंबम प्रदर्शन के दौरान, अभ्यासकर्ता एक ऐसी तकनीक का प्रदर्शन करता है जिसमें एक उच्च छल के बाद एक निम्न प्रहार शामिल होता है। इस युद्धाभ्यास का उद्देश्य क्या है?")</f>
        <v>सिलंबम प्रदर्शन के दौरान, अभ्यासकर्ता एक ऐसी तकनीक का प्रदर्शन करता है जिसमें एक उच्च छल के बाद एक निम्न प्रहार शामिल होता है। इस युद्धाभ्यास का उद्देश्य क्या है?</v>
      </c>
      <c r="H302" s="5" t="str">
        <f>IFERROR(__xludf.DUMMYFUNCTION("GOOGLETRANSLATE(C302,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02" s="5" t="str">
        <f>IFERROR(__xludf.DUMMYFUNCTION("GOOGLETRANSLATE(D302, ""en"", ""hi"")"),"A) प्रतिद्वंद्वी को भ्रमित करने के लिए")</f>
        <v>A) प्रतिद्वंद्वी को भ्रमित करने के लिए</v>
      </c>
    </row>
    <row r="303" ht="22.5" customHeight="1">
      <c r="A303" s="2">
        <v>302.0</v>
      </c>
      <c r="B303" s="3" t="s">
        <v>9808</v>
      </c>
      <c r="C303" s="3" t="s">
        <v>9654</v>
      </c>
      <c r="D303" s="3" t="s">
        <v>9655</v>
      </c>
      <c r="F303" s="5" t="str">
        <f>IFERROR(__xludf.DUMMYFUNCTION("GOOGLETRANSLATE(A303, ""en"", ""hi"")"),"302")</f>
        <v>302</v>
      </c>
      <c r="G303" s="5" t="str">
        <f>IFERROR(__xludf.DUMMYFUNCTION("GOOGLETRANSLATE(B303, ""en"", ""hi"")"),"सिलंबम द्वंद्वयुद्ध के दौरान प्रतिद्वंद्वी तीव्र प्रहारों की एक श्रृंखला का प्रयोग करता है। अभ्यासी को इन आक्रमणों का कैसे जवाब देना चाहिए?")</f>
        <v>सिलंबम द्वंद्वयुद्ध के दौरान प्रतिद्वंद्वी तीव्र प्रहारों की एक श्रृंखला का प्रयोग करता है। अभ्यासी को इन आक्रमणों का कैसे जवाब देना चाहिए?</v>
      </c>
      <c r="H303" s="5" t="str">
        <f>IFERROR(__xludf.DUMMYFUNCTION("GOOGLETRANSLATE(C303,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303" s="5" t="str">
        <f>IFERROR(__xludf.DUMMYFUNCTION("GOOGLETRANSLATE(D303, ""en"", ""hi"")"),"सी) साइड स्टेप और स्ट्राइक")</f>
        <v>सी) साइड स्टेप और स्ट्राइक</v>
      </c>
    </row>
    <row r="304" ht="22.5" customHeight="1">
      <c r="A304" s="2">
        <v>303.0</v>
      </c>
      <c r="B304" s="3" t="s">
        <v>9809</v>
      </c>
      <c r="C304" s="3" t="s">
        <v>9737</v>
      </c>
      <c r="D304" s="3" t="s">
        <v>9716</v>
      </c>
      <c r="F304" s="5" t="str">
        <f>IFERROR(__xludf.DUMMYFUNCTION("GOOGLETRANSLATE(A304, ""en"", ""hi"")"),"303")</f>
        <v>303</v>
      </c>
      <c r="G304" s="5" t="str">
        <f>IFERROR(__xludf.DUMMYFUNCTION("GOOGLETRANSLATE(B304, ""en"", ""hi"")"),"सिलंबम मुकाबले के दौरान, प्रतिद्वंद्वी अक्सर तिरछे प्रहार करता है। इस रणनीति का मुकाबला करने के लिए अभ्यासकर्ता को कौन सी तकनीक अपनानी चाहिए?")</f>
        <v>सिलंबम मुकाबले के दौरान, प्रतिद्वंद्वी अक्सर तिरछे प्रहार करता है। इस रणनीति का मुकाबला करने के लिए अभ्यासकर्ता को कौन सी तकनीक अपनानी चाहिए?</v>
      </c>
      <c r="H304" s="5" t="str">
        <f>IFERROR(__xludf.DUMMYFUNCTION("GOOGLETRANSLATE(C304,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04" s="5" t="str">
        <f>IFERROR(__xludf.DUMMYFUNCTION("GOOGLETRANSLATE(D304, ""en"", ""hi"")"),"ए) ब्लॉक और काउंटर")</f>
        <v>ए) ब्लॉक और काउंटर</v>
      </c>
    </row>
    <row r="305" ht="22.5" customHeight="1">
      <c r="A305" s="2">
        <v>304.0</v>
      </c>
      <c r="B305" s="3" t="s">
        <v>9810</v>
      </c>
      <c r="C305" s="3" t="s">
        <v>9811</v>
      </c>
      <c r="D305" s="3" t="s">
        <v>9812</v>
      </c>
      <c r="F305" s="5" t="str">
        <f>IFERROR(__xludf.DUMMYFUNCTION("GOOGLETRANSLATE(A305, ""en"", ""hi"")"),"304")</f>
        <v>304</v>
      </c>
      <c r="G305" s="5" t="str">
        <f>IFERROR(__xludf.DUMMYFUNCTION("GOOGLETRANSLATE(B305, ""en"", ""hi"")"),"एक अभ्यासी का सामना एक ऐसे प्रतिद्वंद्वी से होता है जो गोलाकार लाठी चाल का प्रयोग करता है। इस प्रकार के हमले से निपटने के लिए सबसे अच्छी रणनीति क्या है?")</f>
        <v>एक अभ्यासी का सामना एक ऐसे प्रतिद्वंद्वी से होता है जो गोलाकार लाठी चाल का प्रयोग करता है। इस प्रकार के हमले से निपटने के लिए सबसे अच्छी रणनीति क्या है?</v>
      </c>
      <c r="H305" s="5" t="str">
        <f>IFERROR(__xludf.DUMMYFUNCTION("GOOGLETRANSLATE(C305, ""en"", ""hi"")"),"A) प्रत्यक्ष प्रहार, B) बचाव और प्रतिवाद, C) अवरोध और प्रहार, D) घूमना और बचाव")</f>
        <v>A) प्रत्यक्ष प्रहार, B) बचाव और प्रतिवाद, C) अवरोध और प्रहार, D) घूमना और बचाव</v>
      </c>
      <c r="I305" s="5" t="str">
        <f>IFERROR(__xludf.DUMMYFUNCTION("GOOGLETRANSLATE(D305, ""en"", ""hi"")"),"बी) चोरी और प्रतिवाद")</f>
        <v>बी) चोरी और प्रतिवाद</v>
      </c>
    </row>
    <row r="306" ht="22.5" customHeight="1">
      <c r="A306" s="2">
        <v>305.0</v>
      </c>
      <c r="B306" s="3" t="s">
        <v>9813</v>
      </c>
      <c r="C306" s="3" t="s">
        <v>9814</v>
      </c>
      <c r="D306" s="3" t="s">
        <v>9815</v>
      </c>
      <c r="F306" s="5" t="str">
        <f>IFERROR(__xludf.DUMMYFUNCTION("GOOGLETRANSLATE(A306, ""en"", ""hi"")"),"305")</f>
        <v>305</v>
      </c>
      <c r="G306" s="5" t="str">
        <f>IFERROR(__xludf.DUMMYFUNCTION("GOOGLETRANSLATE(B306, ""en"", ""hi"")"),"सिलंबम द्वंद्वयुद्ध में, प्रतिद्वंद्वी एक तेज़ गति से वार करता है। सबसे प्रभावी प्रति-तकनीक क्या है?")</f>
        <v>सिलंबम द्वंद्वयुद्ध में, प्रतिद्वंद्वी एक तेज़ गति से वार करता है। सबसे प्रभावी प्रति-तकनीक क्या है?</v>
      </c>
      <c r="H306" s="5" t="str">
        <f>IFERROR(__xludf.DUMMYFUNCTION("GOOGLETRANSLATE(C306, ""en"", ""hi"")"),"ए) डक और स्ट्राइक, बी) ब्लॉक और काउंटर, सी) साइड स्टेप और स्वीप, डी) स्पिन और एवेड")</f>
        <v>ए) डक और स्ट्राइक, बी) ब्लॉक और काउंटर, सी) साइड स्टेप और स्वीप, डी) स्पिन और एवेड</v>
      </c>
      <c r="I306" s="5" t="str">
        <f>IFERROR(__xludf.DUMMYFUNCTION("GOOGLETRANSLATE(D306, ""en"", ""hi"")"),"बी) ब्लॉक और काउंटर")</f>
        <v>बी) ब्लॉक और काउंटर</v>
      </c>
    </row>
    <row r="307" ht="22.5" customHeight="1">
      <c r="A307" s="2">
        <v>306.0</v>
      </c>
      <c r="B307" s="3" t="s">
        <v>9816</v>
      </c>
      <c r="C307" s="3" t="s">
        <v>9688</v>
      </c>
      <c r="D307" s="3" t="s">
        <v>9274</v>
      </c>
      <c r="F307" s="5" t="str">
        <f>IFERROR(__xludf.DUMMYFUNCTION("GOOGLETRANSLATE(A307, ""en"", ""hi"")"),"306")</f>
        <v>306</v>
      </c>
      <c r="G307" s="5" t="str">
        <f>IFERROR(__xludf.DUMMYFUNCTION("GOOGLETRANSLATE(B307, ""en"", ""hi"")"),"सिलंबम प्रदर्शन के दौरान, अभ्यासकर्ता एक ऐसी तकनीक का उपयोग करता है जिसमें एक तेज़ धक्का और उसके बाद एक व्यापक गति शामिल होती है। इस क्रियाविधि का मुख्य उद्देश्य क्या है?")</f>
        <v>सिलंबम प्रदर्शन के दौरान, अभ्यासकर्ता एक ऐसी तकनीक का उपयोग करता है जिसमें एक तेज़ धक्का और उसके बाद एक व्यापक गति शामिल होती है। इस क्रियाविधि का मुख्य उद्देश्य क्या है?</v>
      </c>
      <c r="H307" s="5" t="str">
        <f>IFERROR(__xludf.DUMMYFUNCTION("GOOGLETRANSLATE(C307, ""en"", ""hi"")"),"A) दूरी बनाने के लिए, B) प्रतिद्वंद्वी को भ्रमित करने के लिए, C) शक्ति बढ़ाने के लिए, D) कौशल दिखाने के लिए")</f>
        <v>A) दूरी बनाने के लिए, B) प्रतिद्वंद्वी को भ्रमित करने के लिए, C) शक्ति बढ़ाने के लिए, D) कौशल दिखाने के लिए</v>
      </c>
      <c r="I307" s="5" t="str">
        <f>IFERROR(__xludf.DUMMYFUNCTION("GOOGLETRANSLATE(D307, ""en"", ""hi"")"),"बी) प्रतिद्वंद्वी को भ्रमित करने के लिए")</f>
        <v>बी) प्रतिद्वंद्वी को भ्रमित करने के लिए</v>
      </c>
    </row>
    <row r="308" ht="22.5" customHeight="1">
      <c r="A308" s="2">
        <v>307.0</v>
      </c>
      <c r="B308" s="3" t="s">
        <v>9817</v>
      </c>
      <c r="C308" s="3" t="s">
        <v>9758</v>
      </c>
      <c r="D308" s="3" t="s">
        <v>9587</v>
      </c>
      <c r="F308" s="5" t="str">
        <f>IFERROR(__xludf.DUMMYFUNCTION("GOOGLETRANSLATE(A308, ""en"", ""hi"")"),"307")</f>
        <v>307</v>
      </c>
      <c r="G308" s="5" t="str">
        <f>IFERROR(__xludf.DUMMYFUNCTION("GOOGLETRANSLATE(B308, ""en"", ""hi"")"),"प्रतिद्वंद्वी अक्सर कम तीव्रता वाले प्रहारों का प्रयोग करता है। अभ्यासकर्ता को इस शैली का प्रभावी ढंग से प्रतिकार कैसे करना चाहिए?")</f>
        <v>प्रतिद्वंद्वी अक्सर कम तीव्रता वाले प्रहारों का प्रयोग करता है। अभ्यासकर्ता को इस शैली का प्रभावी ढंग से प्रतिकार कैसे करना चाहिए?</v>
      </c>
      <c r="H308" s="5" t="str">
        <f>IFERROR(__xludf.DUMMYFUNCTION("GOOGLETRANSLATE(C308,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308" s="5" t="str">
        <f>IFERROR(__xludf.DUMMYFUNCTION("GOOGLETRANSLATE(D308, ""en"", ""hi"")"),"बी) ब्लॉक लो और काउंटर")</f>
        <v>बी) ब्लॉक लो और काउंटर</v>
      </c>
    </row>
    <row r="309" ht="22.5" customHeight="1">
      <c r="A309" s="2">
        <v>308.0</v>
      </c>
      <c r="B309" s="3" t="s">
        <v>9818</v>
      </c>
      <c r="C309" s="3" t="s">
        <v>9654</v>
      </c>
      <c r="D309" s="3" t="s">
        <v>9655</v>
      </c>
      <c r="F309" s="5" t="str">
        <f>IFERROR(__xludf.DUMMYFUNCTION("GOOGLETRANSLATE(A309, ""en"", ""hi"")"),"308")</f>
        <v>308</v>
      </c>
      <c r="G309" s="5" t="str">
        <f>IFERROR(__xludf.DUMMYFUNCTION("GOOGLETRANSLATE(B309, ""en"", ""hi"")"),"एक अभ्यासी का सामना एक ऐसे प्रतिद्वंद्वी से होता है जो तेज़ प्रहार करता है। इस हमले का प्रभावी ढंग से मुकाबला करने के लिए कौन सी तकनीक अपनाई जानी चाहिए?")</f>
        <v>एक अभ्यासी का सामना एक ऐसे प्रतिद्वंद्वी से होता है जो तेज़ प्रहार करता है। इस हमले का प्रभावी ढंग से मुकाबला करने के लिए कौन सी तकनीक अपनाई जानी चाहिए?</v>
      </c>
      <c r="H309" s="5" t="str">
        <f>IFERROR(__xludf.DUMMYFUNCTION("GOOGLETRANSLATE(C309,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309" s="5" t="str">
        <f>IFERROR(__xludf.DUMMYFUNCTION("GOOGLETRANSLATE(D309, ""en"", ""hi"")"),"सी) साइड स्टेप और स्ट्राइक")</f>
        <v>सी) साइड स्टेप और स्ट्राइक</v>
      </c>
    </row>
    <row r="310" ht="22.5" customHeight="1">
      <c r="A310" s="2">
        <v>309.0</v>
      </c>
      <c r="B310" s="3" t="s">
        <v>9819</v>
      </c>
      <c r="C310" s="3" t="s">
        <v>9737</v>
      </c>
      <c r="D310" s="3" t="s">
        <v>9716</v>
      </c>
      <c r="F310" s="5" t="str">
        <f>IFERROR(__xludf.DUMMYFUNCTION("GOOGLETRANSLATE(A310, ""en"", ""hi"")"),"309")</f>
        <v>309</v>
      </c>
      <c r="G310" s="5" t="str">
        <f>IFERROR(__xludf.DUMMYFUNCTION("GOOGLETRANSLATE(B310, ""en"", ""hi"")"),"सिलंबम द्वंद्वयुद्ध में, प्रतिद्वंद्वी तीव्र क्षैतिज प्रहारों की एक श्रृंखला का उपयोग करता है। इस प्रकार के आक्रमण का सबसे अच्छा प्रत्युत्तर क्या है?")</f>
        <v>सिलंबम द्वंद्वयुद्ध में, प्रतिद्वंद्वी तीव्र क्षैतिज प्रहारों की एक श्रृंखला का उपयोग करता है। इस प्रकार के आक्रमण का सबसे अच्छा प्रत्युत्तर क्या है?</v>
      </c>
      <c r="H310" s="5" t="str">
        <f>IFERROR(__xludf.DUMMYFUNCTION("GOOGLETRANSLATE(C310,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10" s="5" t="str">
        <f>IFERROR(__xludf.DUMMYFUNCTION("GOOGLETRANSLATE(D310, ""en"", ""hi"")"),"ए) ब्लॉक और काउंटर")</f>
        <v>ए) ब्लॉक और काउंटर</v>
      </c>
    </row>
    <row r="311" ht="22.5" customHeight="1">
      <c r="A311" s="2">
        <v>310.0</v>
      </c>
      <c r="B311" s="3" t="s">
        <v>9820</v>
      </c>
      <c r="C311" s="3" t="s">
        <v>9821</v>
      </c>
      <c r="D311" s="3" t="s">
        <v>9445</v>
      </c>
      <c r="F311" s="5" t="str">
        <f>IFERROR(__xludf.DUMMYFUNCTION("GOOGLETRANSLATE(A311, ""en"", ""hi"")"),"310")</f>
        <v>310</v>
      </c>
      <c r="G311" s="5" t="str">
        <f>IFERROR(__xludf.DUMMYFUNCTION("GOOGLETRANSLATE(B311, ""en"", ""hi"")"),"एक अभ्यासकर्ता एक ऐसी तकनीक का प्रदर्शन कर रहा है जिसमें आगे बढ़ते हुए बारी-बारी से ऊँचे और नीचे के प्रहार करने होते हैं। इस तकनीक का मुख्य लक्ष्य क्या है?")</f>
        <v>एक अभ्यासकर्ता एक ऐसी तकनीक का प्रदर्शन कर रहा है जिसमें आगे बढ़ते हुए बारी-बारी से ऊँचे और नीचे के प्रहार करने होते हैं। इस तकनीक का मुख्य लक्ष्य क्या है?</v>
      </c>
      <c r="H311" s="5" t="str">
        <f>IFERROR(__xludf.DUMMYFUNCTION("GOOGLETRANSLATE(C311, ""en"", ""hi"")"),"A) प्रतिद्वंद्वी को परास्त करना, B) रक्षात्मक अवरोध उत्पन्न करना, C) प्रतिद्वंद्वी को भ्रमित करना, D) कौशल का प्रदर्शन करना")</f>
        <v>A) प्रतिद्वंद्वी को परास्त करना, B) रक्षात्मक अवरोध उत्पन्न करना, C) प्रतिद्वंद्वी को भ्रमित करना, D) कौशल का प्रदर्शन करना</v>
      </c>
      <c r="I311" s="5" t="str">
        <f>IFERROR(__xludf.DUMMYFUNCTION("GOOGLETRANSLATE(D311, ""en"", ""hi"")"),"A) प्रतिद्वंद्वी को परास्त करना")</f>
        <v>A) प्रतिद्वंद्वी को परास्त करना</v>
      </c>
    </row>
    <row r="312" ht="22.5" customHeight="1">
      <c r="A312" s="2">
        <v>311.0</v>
      </c>
      <c r="B312" s="3" t="s">
        <v>9822</v>
      </c>
      <c r="C312" s="3" t="s">
        <v>9823</v>
      </c>
      <c r="D312" s="3" t="s">
        <v>9697</v>
      </c>
      <c r="F312" s="5" t="str">
        <f>IFERROR(__xludf.DUMMYFUNCTION("GOOGLETRANSLATE(A312, ""en"", ""hi"")"),"311")</f>
        <v>311</v>
      </c>
      <c r="G312" s="5" t="str">
        <f>IFERROR(__xludf.DUMMYFUNCTION("GOOGLETRANSLATE(B312, ""en"", ""hi"")"),"सिलंबम मैच के दौरान, प्रतिद्वंद्वी अक्सर रक्षात्मक चालें चलता है। इस रक्षात्मक रणनीति को तोड़ने के लिए किस तकनीक का इस्तेमाल किया जाना चाहिए?")</f>
        <v>सिलंबम मैच के दौरान, प्रतिद्वंद्वी अक्सर रक्षात्मक चालें चलता है। इस रक्षात्मक रणनीति को तोड़ने के लिए किस तकनीक का इस्तेमाल किया जाना चाहिए?</v>
      </c>
      <c r="H312" s="5" t="str">
        <f>IFERROR(__xludf.DUMMYFUNCTION("GOOGLETRANSLATE(C312, ""en"", ""hi"")"),"A) उच्च प्रहार, B) छल और प्रहार, C) ओवरहेड प्रहार, D) वृत्ताकार गतियाँ")</f>
        <v>A) उच्च प्रहार, B) छल और प्रहार, C) ओवरहेड प्रहार, D) वृत्ताकार गतियाँ</v>
      </c>
      <c r="I312" s="5" t="str">
        <f>IFERROR(__xludf.DUMMYFUNCTION("GOOGLETRANSLATE(D312, ""en"", ""hi"")"),"बी) छल और प्रहार")</f>
        <v>बी) छल और प्रहार</v>
      </c>
    </row>
    <row r="313" ht="22.5" customHeight="1">
      <c r="A313" s="2">
        <v>312.0</v>
      </c>
      <c r="B313" s="3" t="s">
        <v>9824</v>
      </c>
      <c r="C313" s="3" t="s">
        <v>9737</v>
      </c>
      <c r="D313" s="3" t="s">
        <v>9716</v>
      </c>
      <c r="F313" s="5" t="str">
        <f>IFERROR(__xludf.DUMMYFUNCTION("GOOGLETRANSLATE(A313, ""en"", ""hi"")"),"312")</f>
        <v>312</v>
      </c>
      <c r="G313" s="5" t="str">
        <f>IFERROR(__xludf.DUMMYFUNCTION("GOOGLETRANSLATE(B313, ""en"", ""hi"")"),"एक अभ्यासी का सामना ऐसे प्रतिद्वंद्वी से होता है जो तेज़ ऊर्ध्वाधर प्रहार करता है। अभ्यासी को इस दृष्टिकोण का प्रतिकार कैसे करना चाहिए?")</f>
        <v>एक अभ्यासी का सामना ऐसे प्रतिद्वंद्वी से होता है जो तेज़ ऊर्ध्वाधर प्रहार करता है। अभ्यासी को इस दृष्टिकोण का प्रतिकार कैसे करना चाहिए?</v>
      </c>
      <c r="H313" s="5" t="str">
        <f>IFERROR(__xludf.DUMMYFUNCTION("GOOGLETRANSLATE(C313,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13" s="5" t="str">
        <f>IFERROR(__xludf.DUMMYFUNCTION("GOOGLETRANSLATE(D313, ""en"", ""hi"")"),"ए) ब्लॉक और काउंटर")</f>
        <v>ए) ब्लॉक और काउंटर</v>
      </c>
    </row>
    <row r="314" ht="22.5" customHeight="1">
      <c r="A314" s="2">
        <v>313.0</v>
      </c>
      <c r="B314" s="3" t="s">
        <v>9825</v>
      </c>
      <c r="C314" s="3" t="s">
        <v>9826</v>
      </c>
      <c r="D314" s="3" t="s">
        <v>9323</v>
      </c>
      <c r="F314" s="5" t="str">
        <f>IFERROR(__xludf.DUMMYFUNCTION("GOOGLETRANSLATE(A314, ""en"", ""hi"")"),"313")</f>
        <v>313</v>
      </c>
      <c r="G314" s="5" t="str">
        <f>IFERROR(__xludf.DUMMYFUNCTION("GOOGLETRANSLATE(B314, ""en"", ""hi"")"),"सिलंबम द्वंद्वयुद्ध में, अभ्यासी प्रतिद्वंद्वी के हमले का मुकाबला करने के लिए एक घूमने वाली तकनीक का उपयोग करता है। इस युद्धाभ्यास का मुख्य उद्देश्य क्या है?")</f>
        <v>सिलंबम द्वंद्वयुद्ध में, अभ्यासी प्रतिद्वंद्वी के हमले का मुकाबला करने के लिए एक घूमने वाली तकनीक का उपयोग करता है। इस युद्धाभ्यास का मुख्य उद्देश्य क्या है?</v>
      </c>
      <c r="H314" s="5" t="str">
        <f>IFERROR(__xludf.DUMMYFUNCTION("GOOGLETRANSLATE(C314,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14" s="5" t="str">
        <f>IFERROR(__xludf.DUMMYFUNCTION("GOOGLETRANSLATE(D314, ""en"", ""hi"")"),"A) प्रतिद्वंद्वी को भ्रमित करने के लिए")</f>
        <v>A) प्रतिद्वंद्वी को भ्रमित करने के लिए</v>
      </c>
    </row>
    <row r="315" ht="22.5" customHeight="1">
      <c r="A315" s="2">
        <v>314.0</v>
      </c>
      <c r="B315" s="3" t="s">
        <v>9827</v>
      </c>
      <c r="C315" s="3" t="s">
        <v>9828</v>
      </c>
      <c r="D315" s="3" t="s">
        <v>9445</v>
      </c>
      <c r="F315" s="5" t="str">
        <f>IFERROR(__xludf.DUMMYFUNCTION("GOOGLETRANSLATE(A315, ""en"", ""hi"")"),"314")</f>
        <v>314</v>
      </c>
      <c r="G315" s="5" t="str">
        <f>IFERROR(__xludf.DUMMYFUNCTION("GOOGLETRANSLATE(B315, ""en"", ""hi"")"),"सिलंबम प्रदर्शन के दौरान, अभ्यासकर्ता तीव्र गति से नीचे और ऊपर प्रहार करने की एक तकनीक का प्रदर्शन करता है। इस युद्धाभ्यास का अपेक्षित प्रभाव क्या है?")</f>
        <v>सिलंबम प्रदर्शन के दौरान, अभ्यासकर्ता तीव्र गति से नीचे और ऊपर प्रहार करने की एक तकनीक का प्रदर्शन करता है। इस युद्धाभ्यास का अपेक्षित प्रभाव क्या है?</v>
      </c>
      <c r="H315" s="5" t="str">
        <f>IFERROR(__xludf.DUMMYFUNCTION("GOOGLETRANSLATE(C315, ""en"", ""hi"")"),"A) प्रतिद्वंद्वी को परास्त करना, B) शक्ति बढ़ाना, C) रक्षात्मक अवरोध उत्पन्न करना, D) प्रतिद्वंद्वी को भ्रमित करना")</f>
        <v>A) प्रतिद्वंद्वी को परास्त करना, B) शक्ति बढ़ाना, C) रक्षात्मक अवरोध उत्पन्न करना, D) प्रतिद्वंद्वी को भ्रमित करना</v>
      </c>
      <c r="I315" s="5" t="str">
        <f>IFERROR(__xludf.DUMMYFUNCTION("GOOGLETRANSLATE(D315, ""en"", ""hi"")"),"A) प्रतिद्वंद्वी को परास्त करना")</f>
        <v>A) प्रतिद्वंद्वी को परास्त करना</v>
      </c>
    </row>
    <row r="316" ht="22.5" customHeight="1">
      <c r="A316" s="2">
        <v>315.0</v>
      </c>
      <c r="B316" s="3" t="s">
        <v>9829</v>
      </c>
      <c r="C316" s="3" t="s">
        <v>9740</v>
      </c>
      <c r="D316" s="3" t="s">
        <v>9741</v>
      </c>
      <c r="F316" s="5" t="str">
        <f>IFERROR(__xludf.DUMMYFUNCTION("GOOGLETRANSLATE(A316, ""en"", ""hi"")"),"315")</f>
        <v>315</v>
      </c>
      <c r="G316" s="5" t="str">
        <f>IFERROR(__xludf.DUMMYFUNCTION("GOOGLETRANSLATE(B316, ""en"", ""hi"")"),"सिलंबम मैच के दौरान प्रतिद्वंद्वी हाई गार्ड स्टांस का इस्तेमाल करता है। अभ्यासकर्ता को इस बचाव के लिए क्या करना चाहिए?")</f>
        <v>सिलंबम मैच के दौरान प्रतिद्वंद्वी हाई गार्ड स्टांस का इस्तेमाल करता है। अभ्यासकर्ता को इस बचाव के लिए क्या करना चाहिए?</v>
      </c>
      <c r="H316" s="5" t="str">
        <f>IFERROR(__xludf.DUMMYFUNCTION("GOOGLETRANSLATE(C316,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16" s="5" t="str">
        <f>IFERROR(__xludf.DUMMYFUNCTION("GOOGLETRANSLATE(D316, ""en"", ""hi"")"),"बी) फाइन्ट और हाई स्ट्राइक")</f>
        <v>बी) फाइन्ट और हाई स्ट्राइक</v>
      </c>
    </row>
    <row r="317" ht="22.5" customHeight="1">
      <c r="A317" s="2">
        <v>316.0</v>
      </c>
      <c r="B317" s="3" t="s">
        <v>9830</v>
      </c>
      <c r="C317" s="3" t="s">
        <v>9733</v>
      </c>
      <c r="D317" s="3" t="s">
        <v>9323</v>
      </c>
      <c r="F317" s="5" t="str">
        <f>IFERROR(__xludf.DUMMYFUNCTION("GOOGLETRANSLATE(A317, ""en"", ""hi"")"),"316")</f>
        <v>316</v>
      </c>
      <c r="G317" s="5" t="str">
        <f>IFERROR(__xludf.DUMMYFUNCTION("GOOGLETRANSLATE(B317, ""en"", ""hi"")"),"एक अभ्यासकर्ता एक ऐसी तकनीक का प्रदर्शन कर रहा है जिसमें प्रहार करने से पहले डंडे को अपने शरीर के चारों ओर घुमाया जाता है। इस क्रिया का मुख्य उद्देश्य क्या है?")</f>
        <v>एक अभ्यासकर्ता एक ऐसी तकनीक का प्रदर्शन कर रहा है जिसमें प्रहार करने से पहले डंडे को अपने शरीर के चारों ओर घुमाया जाता है। इस क्रिया का मुख्य उद्देश्य क्या है?</v>
      </c>
      <c r="H317" s="5" t="str">
        <f>IFERROR(__xludf.DUMMYFUNCTION("GOOGLETRANSLATE(C317,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17" s="5" t="str">
        <f>IFERROR(__xludf.DUMMYFUNCTION("GOOGLETRANSLATE(D317, ""en"", ""hi"")"),"A) प्रतिद्वंद्वी को भ्रमित करने के लिए")</f>
        <v>A) प्रतिद्वंद्वी को भ्रमित करने के लिए</v>
      </c>
    </row>
    <row r="318" ht="22.5" customHeight="1">
      <c r="A318" s="2">
        <v>317.0</v>
      </c>
      <c r="B318" s="3" t="s">
        <v>9831</v>
      </c>
      <c r="C318" s="3" t="s">
        <v>9654</v>
      </c>
      <c r="D318" s="3" t="s">
        <v>9655</v>
      </c>
      <c r="F318" s="5" t="str">
        <f>IFERROR(__xludf.DUMMYFUNCTION("GOOGLETRANSLATE(A318, ""en"", ""hi"")"),"317")</f>
        <v>317</v>
      </c>
      <c r="G318" s="5" t="str">
        <f>IFERROR(__xludf.DUMMYFUNCTION("GOOGLETRANSLATE(B318, ""en"", ""hi"")"),"सिलंबम मुकाबले में, प्रतिद्वंद्वी तीव्र प्रहारों की एक श्रृंखला का प्रयोग करता है। इस आक्रमण का प्रभावी ढंग से प्रतिकार करने के लिए अभ्यासकर्ता को किस तकनीक का उपयोग करना चाहिए?")</f>
        <v>सिलंबम मुकाबले में, प्रतिद्वंद्वी तीव्र प्रहारों की एक श्रृंखला का प्रयोग करता है। इस आक्रमण का प्रभावी ढंग से प्रतिकार करने के लिए अभ्यासकर्ता को किस तकनीक का उपयोग करना चाहिए?</v>
      </c>
      <c r="H318" s="5" t="str">
        <f>IFERROR(__xludf.DUMMYFUNCTION("GOOGLETRANSLATE(C318,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318" s="5" t="str">
        <f>IFERROR(__xludf.DUMMYFUNCTION("GOOGLETRANSLATE(D318, ""en"", ""hi"")"),"सी) साइड स्टेप और स्ट्राइक")</f>
        <v>सी) साइड स्टेप और स्ट्राइक</v>
      </c>
    </row>
    <row r="319" ht="22.5" customHeight="1">
      <c r="A319" s="2">
        <v>318.0</v>
      </c>
      <c r="B319" s="3" t="s">
        <v>9832</v>
      </c>
      <c r="C319" s="3" t="s">
        <v>9778</v>
      </c>
      <c r="D319" s="3" t="s">
        <v>9642</v>
      </c>
      <c r="F319" s="5" t="str">
        <f>IFERROR(__xludf.DUMMYFUNCTION("GOOGLETRANSLATE(A319, ""en"", ""hi"")"),"318")</f>
        <v>318</v>
      </c>
      <c r="G319" s="5" t="str">
        <f>IFERROR(__xludf.DUMMYFUNCTION("GOOGLETRANSLATE(B319, ""en"", ""hi"")"),"एक अभ्यासी को ऐसे प्रतिद्वंद्वी का सामना करना पड़ता है जो तेज़ पार्श्व प्रहार करता है। इस दृष्टिकोण का मुकाबला करने के लिए अभ्यासी का प्राथमिक ध्यान किस पर होना चाहिए?")</f>
        <v>एक अभ्यासी को ऐसे प्रतिद्वंद्वी का सामना करना पड़ता है जो तेज़ पार्श्व प्रहार करता है। इस दृष्टिकोण का मुकाबला करने के लिए अभ्यासी का प्राथमिक ध्यान किस पर होना चाहिए?</v>
      </c>
      <c r="H319" s="5" t="str">
        <f>IFERROR(__xludf.DUMMYFUNCTION("GOOGLETRANSLATE(C319, ""en"", ""hi"")"),"A) गति, B) फुटवर्क और दूरी, C) रक्षात्मक युद्धाभ्यास, D) आक्रामक हमले")</f>
        <v>A) गति, B) फुटवर्क और दूरी, C) रक्षात्मक युद्धाभ्यास, D) आक्रामक हमले</v>
      </c>
      <c r="I319" s="5" t="str">
        <f>IFERROR(__xludf.DUMMYFUNCTION("GOOGLETRANSLATE(D319, ""en"", ""hi"")"),"बी) फुटवर्क और दूरी")</f>
        <v>बी) फुटवर्क और दूरी</v>
      </c>
    </row>
    <row r="320" ht="22.5" customHeight="1">
      <c r="A320" s="2">
        <v>319.0</v>
      </c>
      <c r="B320" s="3" t="s">
        <v>9833</v>
      </c>
      <c r="C320" s="3" t="s">
        <v>9834</v>
      </c>
      <c r="D320" s="3" t="s">
        <v>9716</v>
      </c>
      <c r="F320" s="5" t="str">
        <f>IFERROR(__xludf.DUMMYFUNCTION("GOOGLETRANSLATE(A320, ""en"", ""hi"")"),"319")</f>
        <v>319</v>
      </c>
      <c r="G320" s="5" t="str">
        <f>IFERROR(__xludf.DUMMYFUNCTION("GOOGLETRANSLATE(B320, ""en"", ""hi"")"),"सिलंबम द्वंद्वयुद्ध के दौरान, प्रतिद्वंद्वी अक्सर ऊँचे प्रहार करता है। इन आक्रमणों का प्रभावी ढंग से प्रतिकार करने के लिए कौन सी तकनीक अपनाई जानी चाहिए?")</f>
        <v>सिलंबम द्वंद्वयुद्ध के दौरान, प्रतिद्वंद्वी अक्सर ऊँचे प्रहार करता है। इन आक्रमणों का प्रभावी ढंग से प्रतिकार करने के लिए कौन सी तकनीक अपनाई जानी चाहिए?</v>
      </c>
      <c r="H320" s="5" t="str">
        <f>IFERROR(__xludf.DUMMYFUNCTION("GOOGLETRANSLATE(C320, ""en"", ""hi"")"),"ए) ब्लॉक और काउंटर, बी) डक और स्ट्राइक, सी) साइड स्टेप और स्वीप, डी) स्पिन और एवेड")</f>
        <v>ए) ब्लॉक और काउंटर, बी) डक और स्ट्राइक, सी) साइड स्टेप और स्वीप, डी) स्पिन और एवेड</v>
      </c>
      <c r="I320" s="5" t="str">
        <f>IFERROR(__xludf.DUMMYFUNCTION("GOOGLETRANSLATE(D320, ""en"", ""hi"")"),"ए) ब्लॉक और काउंटर")</f>
        <v>ए) ब्लॉक और काउंटर</v>
      </c>
    </row>
    <row r="321" ht="22.5" customHeight="1">
      <c r="A321" s="2">
        <v>320.0</v>
      </c>
      <c r="B321" s="3" t="s">
        <v>9835</v>
      </c>
      <c r="C321" s="3" t="s">
        <v>9733</v>
      </c>
      <c r="D321" s="3" t="s">
        <v>9323</v>
      </c>
      <c r="F321" s="5" t="str">
        <f>IFERROR(__xludf.DUMMYFUNCTION("GOOGLETRANSLATE(A321, ""en"", ""hi"")"),"320")</f>
        <v>320</v>
      </c>
      <c r="G321" s="5" t="str">
        <f>IFERROR(__xludf.DUMMYFUNCTION("GOOGLETRANSLATE(B321, ""en"", ""hi"")"),"एक अभ्यासकर्ता बारी-बारी से ऊँचे और नीचे प्रहार करने वाली एक तकनीक का प्रदर्शन कर रहा है। इस युद्धाभ्यास का मुख्य लक्ष्य क्या है?")</f>
        <v>एक अभ्यासकर्ता बारी-बारी से ऊँचे और नीचे प्रहार करने वाली एक तकनीक का प्रदर्शन कर रहा है। इस युद्धाभ्यास का मुख्य लक्ष्य क्या है?</v>
      </c>
      <c r="H321" s="5" t="str">
        <f>IFERROR(__xludf.DUMMYFUNCTION("GOOGLETRANSLATE(C321,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21" s="5" t="str">
        <f>IFERROR(__xludf.DUMMYFUNCTION("GOOGLETRANSLATE(D321, ""en"", ""hi"")"),"A) प्रतिद्वंद्वी को भ्रमित करने के लिए")</f>
        <v>A) प्रतिद्वंद्वी को भ्रमित करने के लिए</v>
      </c>
    </row>
    <row r="322" ht="22.5" customHeight="1">
      <c r="A322" s="2">
        <v>321.0</v>
      </c>
      <c r="B322" s="3" t="s">
        <v>9836</v>
      </c>
      <c r="C322" s="3" t="s">
        <v>9837</v>
      </c>
      <c r="D322" s="3" t="s">
        <v>9748</v>
      </c>
      <c r="F322" s="5" t="str">
        <f>IFERROR(__xludf.DUMMYFUNCTION("GOOGLETRANSLATE(A322, ""en"", ""hi"")"),"321")</f>
        <v>321</v>
      </c>
      <c r="G322" s="5" t="str">
        <f>IFERROR(__xludf.DUMMYFUNCTION("GOOGLETRANSLATE(B322, ""en"", ""hi"")"),"सिलंबम द्वंद्वयुद्ध में, प्रतिद्वंद्वी एक निम्न व्यापक प्रहार करता है। अभ्यासकर्ता को संतुलन बनाए रखते हुए कैसे प्रतिक्रिया देनी चाहिए?")</f>
        <v>सिलंबम द्वंद्वयुद्ध में, प्रतिद्वंद्वी एक निम्न व्यापक प्रहार करता है। अभ्यासकर्ता को संतुलन बनाए रखते हुए कैसे प्रतिक्रिया देनी चाहिए?</v>
      </c>
      <c r="H322" s="5" t="str">
        <f>IFERROR(__xludf.DUMMYFUNCTION("GOOGLETRANSLATE(C322, ""en"", ""hi"")"),"A) नीचे से ब्लॉक करें और वार करें, B) कूदें और जवाबी हमला करें, C) साइड स्टेप करें और स्वीप करें, D) घूमें और बचें")</f>
        <v>A) नीचे से ब्लॉक करें और वार करें, B) कूदें और जवाबी हमला करें, C) साइड स्टेप करें और स्वीप करें, D) घूमें और बचें</v>
      </c>
      <c r="I322" s="5" t="str">
        <f>IFERROR(__xludf.DUMMYFUNCTION("GOOGLETRANSLATE(D322, ""en"", ""hi"")"),"A) नीचे से ब्लॉक करें और स्ट्राइक करें")</f>
        <v>A) नीचे से ब्लॉक करें और स्ट्राइक करें</v>
      </c>
    </row>
    <row r="323" ht="22.5" customHeight="1">
      <c r="A323" s="2">
        <v>322.0</v>
      </c>
      <c r="B323" s="3" t="s">
        <v>9838</v>
      </c>
      <c r="C323" s="3" t="s">
        <v>9733</v>
      </c>
      <c r="D323" s="3" t="s">
        <v>9323</v>
      </c>
      <c r="F323" s="5" t="str">
        <f>IFERROR(__xludf.DUMMYFUNCTION("GOOGLETRANSLATE(A323, ""en"", ""hi"")"),"322")</f>
        <v>322</v>
      </c>
      <c r="G323" s="5" t="str">
        <f>IFERROR(__xludf.DUMMYFUNCTION("GOOGLETRANSLATE(B323, ""en"", ""hi"")"),"एक अभ्यासकर्ता एक ऐसी तकनीक का उपयोग करता है जिसमें पहले ऊँचा छल और फिर नीचे की ओर प्रहार शामिल होता है। इस युद्धाभ्यास का अपेक्षित प्रभाव क्या है?")</f>
        <v>एक अभ्यासकर्ता एक ऐसी तकनीक का उपयोग करता है जिसमें पहले ऊँचा छल और फिर नीचे की ओर प्रहार शामिल होता है। इस युद्धाभ्यास का अपेक्षित प्रभाव क्या है?</v>
      </c>
      <c r="H323" s="5" t="str">
        <f>IFERROR(__xludf.DUMMYFUNCTION("GOOGLETRANSLATE(C323,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23" s="5" t="str">
        <f>IFERROR(__xludf.DUMMYFUNCTION("GOOGLETRANSLATE(D323, ""en"", ""hi"")"),"A) प्रतिद्वंद्वी को भ्रमित करने के लिए")</f>
        <v>A) प्रतिद्वंद्वी को भ्रमित करने के लिए</v>
      </c>
    </row>
    <row r="324" ht="22.5" customHeight="1">
      <c r="A324" s="2">
        <v>323.0</v>
      </c>
      <c r="B324" s="3" t="s">
        <v>9839</v>
      </c>
      <c r="C324" s="3" t="s">
        <v>9776</v>
      </c>
      <c r="D324" s="3" t="s">
        <v>9220</v>
      </c>
      <c r="F324" s="5" t="str">
        <f>IFERROR(__xludf.DUMMYFUNCTION("GOOGLETRANSLATE(A324, ""en"", ""hi"")"),"323")</f>
        <v>323</v>
      </c>
      <c r="G324" s="5" t="str">
        <f>IFERROR(__xludf.DUMMYFUNCTION("GOOGLETRANSLATE(B324, ""en"", ""hi"")"),"सिलंबम प्रदर्शन के दौरान, अभ्यासकर्ता प्रतिद्वंद्वी के पैरों पर निशाना साधते हुए एक घूमता हुआ प्रहार करता है। इस चाल का मुख्य उद्देश्य क्या है?")</f>
        <v>सिलंबम प्रदर्शन के दौरान, अभ्यासकर्ता प्रतिद्वंद्वी के पैरों पर निशाना साधते हुए एक घूमता हुआ प्रहार करता है। इस चाल का मुख्य उद्देश्य क्या है?</v>
      </c>
      <c r="H324" s="5" t="str">
        <f>IFERROR(__xludf.DUMMYFUNCTION("GOOGLETRANSLATE(C324,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324" s="5" t="str">
        <f>IFERROR(__xludf.DUMMYFUNCTION("GOOGLETRANSLATE(D324, ""en"", ""hi"")"),"A) प्रतिद्वंद्वी का संतुलन बिगाड़ना")</f>
        <v>A) प्रतिद्वंद्वी का संतुलन बिगाड़ना</v>
      </c>
    </row>
    <row r="325" ht="22.5" customHeight="1">
      <c r="A325" s="2">
        <v>324.0</v>
      </c>
      <c r="B325" s="3" t="s">
        <v>9840</v>
      </c>
      <c r="C325" s="3" t="s">
        <v>9620</v>
      </c>
      <c r="D325" s="3" t="s">
        <v>9326</v>
      </c>
      <c r="F325" s="5" t="str">
        <f>IFERROR(__xludf.DUMMYFUNCTION("GOOGLETRANSLATE(A325, ""en"", ""hi"")"),"324")</f>
        <v>324</v>
      </c>
      <c r="G325" s="5" t="str">
        <f>IFERROR(__xludf.DUMMYFUNCTION("GOOGLETRANSLATE(B325, ""en"", ""hi"")"),"एक अभ्यासकर्ता 'काई वीचू' तकनीक का प्रदर्शन कर रहा है। इस तकनीक का केंद्रबिंदु क्या है?")</f>
        <v>एक अभ्यासकर्ता 'काई वीचू' तकनीक का प्रदर्शन कर रहा है। इस तकनीक का केंद्रबिंदु क्या है?</v>
      </c>
      <c r="H325" s="5" t="str">
        <f>IFERROR(__xludf.DUMMYFUNCTION("GOOGLETRANSLATE(C325, ""en"", ""hi"")"),"A) आक्रमण, B) रक्षा, C) बचाव, D) सटीकता")</f>
        <v>A) आक्रमण, B) रक्षा, C) बचाव, D) सटीकता</v>
      </c>
      <c r="I325" s="5" t="str">
        <f>IFERROR(__xludf.DUMMYFUNCTION("GOOGLETRANSLATE(D325, ""en"", ""hi"")"),"ए) अपराध")</f>
        <v>ए) अपराध</v>
      </c>
    </row>
    <row r="326" ht="22.5" customHeight="1">
      <c r="A326" s="2">
        <v>325.0</v>
      </c>
      <c r="B326" s="3" t="s">
        <v>9841</v>
      </c>
      <c r="C326" s="3" t="s">
        <v>9737</v>
      </c>
      <c r="D326" s="3" t="s">
        <v>9716</v>
      </c>
      <c r="F326" s="5" t="str">
        <f>IFERROR(__xludf.DUMMYFUNCTION("GOOGLETRANSLATE(A326, ""en"", ""hi"")"),"325")</f>
        <v>325</v>
      </c>
      <c r="G326" s="5" t="str">
        <f>IFERROR(__xludf.DUMMYFUNCTION("GOOGLETRANSLATE(B326, ""en"", ""hi"")"),"सिलंबम द्वंद्वयुद्ध में, प्रतिद्वंद्वी तीव्र पार्श्व प्रहारों का प्रयोग करता है। इस शैली का मुकाबला करने के लिए अभ्यासकर्ता के लिए सर्वोत्तम तकनीक क्या है?")</f>
        <v>सिलंबम द्वंद्वयुद्ध में, प्रतिद्वंद्वी तीव्र पार्श्व प्रहारों का प्रयोग करता है। इस शैली का मुकाबला करने के लिए अभ्यासकर्ता के लिए सर्वोत्तम तकनीक क्या है?</v>
      </c>
      <c r="H326" s="5" t="str">
        <f>IFERROR(__xludf.DUMMYFUNCTION("GOOGLETRANSLATE(C326,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26" s="5" t="str">
        <f>IFERROR(__xludf.DUMMYFUNCTION("GOOGLETRANSLATE(D326, ""en"", ""hi"")"),"ए) ब्लॉक और काउंटर")</f>
        <v>ए) ब्लॉक और काउंटर</v>
      </c>
    </row>
    <row r="327" ht="22.5" customHeight="1">
      <c r="A327" s="2">
        <v>326.0</v>
      </c>
      <c r="B327" s="3" t="s">
        <v>9829</v>
      </c>
      <c r="C327" s="3" t="s">
        <v>9740</v>
      </c>
      <c r="D327" s="3" t="s">
        <v>9741</v>
      </c>
      <c r="F327" s="5" t="str">
        <f>IFERROR(__xludf.DUMMYFUNCTION("GOOGLETRANSLATE(A327, ""en"", ""hi"")"),"326")</f>
        <v>326</v>
      </c>
      <c r="G327" s="5" t="str">
        <f>IFERROR(__xludf.DUMMYFUNCTION("GOOGLETRANSLATE(B327, ""en"", ""hi"")"),"सिलंबम मैच के दौरान प्रतिद्वंद्वी हाई गार्ड स्टांस का इस्तेमाल करता है। अभ्यासकर्ता को इस बचाव के लिए क्या करना चाहिए?")</f>
        <v>सिलंबम मैच के दौरान प्रतिद्वंद्वी हाई गार्ड स्टांस का इस्तेमाल करता है। अभ्यासकर्ता को इस बचाव के लिए क्या करना चाहिए?</v>
      </c>
      <c r="H327" s="5" t="str">
        <f>IFERROR(__xludf.DUMMYFUNCTION("GOOGLETRANSLATE(C327,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27" s="5" t="str">
        <f>IFERROR(__xludf.DUMMYFUNCTION("GOOGLETRANSLATE(D327, ""en"", ""hi"")"),"बी) फाइन्ट और हाई स्ट्राइक")</f>
        <v>बी) फाइन्ट और हाई स्ट्राइक</v>
      </c>
    </row>
    <row r="328" ht="22.5" customHeight="1">
      <c r="A328" s="2">
        <v>327.0</v>
      </c>
      <c r="B328" s="3" t="s">
        <v>9842</v>
      </c>
      <c r="C328" s="3" t="s">
        <v>9826</v>
      </c>
      <c r="D328" s="3" t="s">
        <v>9323</v>
      </c>
      <c r="F328" s="5" t="str">
        <f>IFERROR(__xludf.DUMMYFUNCTION("GOOGLETRANSLATE(A328, ""en"", ""hi"")"),"327")</f>
        <v>327</v>
      </c>
      <c r="G328" s="5" t="str">
        <f>IFERROR(__xludf.DUMMYFUNCTION("GOOGLETRANSLATE(B328, ""en"", ""hi"")"),"सिलंबम प्रदर्शन के दौरान, अभ्यासकर्ता प्रतिद्वंद्वी के हमले का जवाब देने के लिए एक घूमने वाली तकनीक का उपयोग करता है। इस युद्धाभ्यास का मुख्य उद्देश्य क्या है?")</f>
        <v>सिलंबम प्रदर्शन के दौरान, अभ्यासकर्ता प्रतिद्वंद्वी के हमले का जवाब देने के लिए एक घूमने वाली तकनीक का उपयोग करता है। इस युद्धाभ्यास का मुख्य उद्देश्य क्या है?</v>
      </c>
      <c r="H328" s="5" t="str">
        <f>IFERROR(__xludf.DUMMYFUNCTION("GOOGLETRANSLATE(C328,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28" s="5" t="str">
        <f>IFERROR(__xludf.DUMMYFUNCTION("GOOGLETRANSLATE(D328, ""en"", ""hi"")"),"A) प्रतिद्वंद्वी को भ्रमित करने के लिए")</f>
        <v>A) प्रतिद्वंद्वी को भ्रमित करने के लिए</v>
      </c>
    </row>
    <row r="329" ht="22.5" customHeight="1">
      <c r="A329" s="2">
        <v>328.0</v>
      </c>
      <c r="B329" s="3" t="s">
        <v>9843</v>
      </c>
      <c r="C329" s="3" t="s">
        <v>9758</v>
      </c>
      <c r="D329" s="3" t="s">
        <v>9587</v>
      </c>
      <c r="F329" s="5" t="str">
        <f>IFERROR(__xludf.DUMMYFUNCTION("GOOGLETRANSLATE(A329, ""en"", ""hi"")"),"328")</f>
        <v>328</v>
      </c>
      <c r="G329" s="5" t="str">
        <f>IFERROR(__xludf.DUMMYFUNCTION("GOOGLETRANSLATE(B329, ""en"", ""hi"")"),"एक अभ्यासकर्ता को ऐसे प्रतिद्वंद्वी का सामना करना पड़ता है जो अक्सर कम प्रहार करता है। इस शैली का प्रभावी ढंग से मुकाबला करने के लिए कौन सी तकनीक अपनाई जानी चाहिए?")</f>
        <v>एक अभ्यासकर्ता को ऐसे प्रतिद्वंद्वी का सामना करना पड़ता है जो अक्सर कम प्रहार करता है। इस शैली का प्रभावी ढंग से मुकाबला करने के लिए कौन सी तकनीक अपनाई जानी चाहिए?</v>
      </c>
      <c r="H329" s="5" t="str">
        <f>IFERROR(__xludf.DUMMYFUNCTION("GOOGLETRANSLATE(C329,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329" s="5" t="str">
        <f>IFERROR(__xludf.DUMMYFUNCTION("GOOGLETRANSLATE(D329, ""en"", ""hi"")"),"बी) ब्लॉक लो और काउंटर")</f>
        <v>बी) ब्लॉक लो और काउंटर</v>
      </c>
    </row>
    <row r="330" ht="22.5" customHeight="1">
      <c r="A330" s="2">
        <v>329.0</v>
      </c>
      <c r="B330" s="3" t="s">
        <v>9844</v>
      </c>
      <c r="C330" s="3" t="s">
        <v>9740</v>
      </c>
      <c r="D330" s="3" t="s">
        <v>9741</v>
      </c>
      <c r="F330" s="5" t="str">
        <f>IFERROR(__xludf.DUMMYFUNCTION("GOOGLETRANSLATE(A330, ""en"", ""hi"")"),"329")</f>
        <v>329</v>
      </c>
      <c r="G330" s="5" t="str">
        <f>IFERROR(__xludf.DUMMYFUNCTION("GOOGLETRANSLATE(B330, ""en"", ""hi"")"),"सिलंबम द्वंद्वयुद्ध के दौरान, प्रतिद्वंद्वी अक्सर उच्च सुरक्षा रुख अपनाता है। अभ्यासकर्ता को इस बचाव का तरीका कैसे अपनाना चाहिए?")</f>
        <v>सिलंबम द्वंद्वयुद्ध के दौरान, प्रतिद्वंद्वी अक्सर उच्च सुरक्षा रुख अपनाता है। अभ्यासकर्ता को इस बचाव का तरीका कैसे अपनाना चाहिए?</v>
      </c>
      <c r="H330" s="5" t="str">
        <f>IFERROR(__xludf.DUMMYFUNCTION("GOOGLETRANSLATE(C330,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30" s="5" t="str">
        <f>IFERROR(__xludf.DUMMYFUNCTION("GOOGLETRANSLATE(D330, ""en"", ""hi"")"),"बी) फाइन्ट और हाई स्ट्राइक")</f>
        <v>बी) फाइन्ट और हाई स्ट्राइक</v>
      </c>
    </row>
    <row r="331" ht="22.5" customHeight="1">
      <c r="A331" s="2">
        <v>330.0</v>
      </c>
      <c r="B331" s="3" t="s">
        <v>9845</v>
      </c>
      <c r="C331" s="3" t="s">
        <v>9776</v>
      </c>
      <c r="D331" s="3" t="s">
        <v>9220</v>
      </c>
      <c r="F331" s="5" t="str">
        <f>IFERROR(__xludf.DUMMYFUNCTION("GOOGLETRANSLATE(A331, ""en"", ""hi"")"),"330")</f>
        <v>330</v>
      </c>
      <c r="G331" s="5" t="str">
        <f>IFERROR(__xludf.DUMMYFUNCTION("GOOGLETRANSLATE(B331, ""en"", ""hi"")"),"एक अभ्यासकर्ता प्रतिद्वंद्वी के पैरों पर निशाना साधते हुए एक घूमती हुई प्रहार तकनीक का उपयोग करता है। इस युद्धाभ्यास का मुख्य लक्ष्य क्या है?")</f>
        <v>एक अभ्यासकर्ता प्रतिद्वंद्वी के पैरों पर निशाना साधते हुए एक घूमती हुई प्रहार तकनीक का उपयोग करता है। इस युद्धाभ्यास का मुख्य लक्ष्य क्या है?</v>
      </c>
      <c r="H331" s="5" t="str">
        <f>IFERROR(__xludf.DUMMYFUNCTION("GOOGLETRANSLATE(C331,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331" s="5" t="str">
        <f>IFERROR(__xludf.DUMMYFUNCTION("GOOGLETRANSLATE(D331, ""en"", ""hi"")"),"A) प्रतिद्वंद्वी का संतुलन बिगाड़ना")</f>
        <v>A) प्रतिद्वंद्वी का संतुलन बिगाड़ना</v>
      </c>
    </row>
    <row r="332" ht="22.5" customHeight="1">
      <c r="A332" s="2">
        <v>331.0</v>
      </c>
      <c r="B332" s="3" t="s">
        <v>9846</v>
      </c>
      <c r="C332" s="3" t="s">
        <v>9737</v>
      </c>
      <c r="D332" s="3" t="s">
        <v>9716</v>
      </c>
      <c r="F332" s="5" t="str">
        <f>IFERROR(__xludf.DUMMYFUNCTION("GOOGLETRANSLATE(A332, ""en"", ""hi"")"),"331")</f>
        <v>331</v>
      </c>
      <c r="G332" s="5" t="str">
        <f>IFERROR(__xludf.DUMMYFUNCTION("GOOGLETRANSLATE(B332, ""en"", ""hi"")"),"सिलंबम द्वंद्वयुद्ध में, प्रतिद्वंद्वी तीव्र प्रहारों की एक श्रृंखला का उपयोग करता है। इस दृष्टिकोण का प्रभावी ढंग से प्रतिकार करने के लिए किस तकनीक का उपयोग किया जाना चाहिए?")</f>
        <v>सिलंबम द्वंद्वयुद्ध में, प्रतिद्वंद्वी तीव्र प्रहारों की एक श्रृंखला का उपयोग करता है। इस दृष्टिकोण का प्रभावी ढंग से प्रतिकार करने के लिए किस तकनीक का उपयोग किया जाना चाहिए?</v>
      </c>
      <c r="H332" s="5" t="str">
        <f>IFERROR(__xludf.DUMMYFUNCTION("GOOGLETRANSLATE(C332,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32" s="5" t="str">
        <f>IFERROR(__xludf.DUMMYFUNCTION("GOOGLETRANSLATE(D332, ""en"", ""hi"")"),"ए) ब्लॉक और काउंटर")</f>
        <v>ए) ब्लॉक और काउंटर</v>
      </c>
    </row>
    <row r="333" ht="22.5" customHeight="1">
      <c r="A333" s="2">
        <v>332.0</v>
      </c>
      <c r="B333" s="3" t="s">
        <v>9847</v>
      </c>
      <c r="C333" s="3" t="s">
        <v>9724</v>
      </c>
      <c r="D333" s="3" t="s">
        <v>9725</v>
      </c>
      <c r="F333" s="5" t="str">
        <f>IFERROR(__xludf.DUMMYFUNCTION("GOOGLETRANSLATE(A333, ""en"", ""hi"")"),"332")</f>
        <v>332</v>
      </c>
      <c r="G333" s="5" t="str">
        <f>IFERROR(__xludf.DUMMYFUNCTION("GOOGLETRANSLATE(B333, ""en"", ""hi"")"),"सिलंबम मुकाबले के दौरान, अभ्यासकर्ता का सामना एक ऐसे प्रतिद्वंद्वी से होता है जो दोहरे हथियार शैली का उपयोग करता है। लाभ प्राप्त करने के लिए कौन सी रणनीति अपनाई जानी चाहिए?")</f>
        <v>सिलंबम मुकाबले के दौरान, अभ्यासकर्ता का सामना एक ऐसे प्रतिद्वंद्वी से होता है जो दोहरे हथियार शैली का उपयोग करता है। लाभ प्राप्त करने के लिए कौन सी रणनीति अपनाई जानी चाहिए?</v>
      </c>
      <c r="H333" s="5" t="str">
        <f>IFERROR(__xludf.DUMMYFUNCTION("GOOGLETRANSLATE(C333, ""en"", ""hi"")"),"A) प्रत्यक्ष हमले, B) दूरी बनाकर हमला करना, C) रक्षात्मक अवरोध, D) बचाव")</f>
        <v>A) प्रत्यक्ष हमले, B) दूरी बनाकर हमला करना, C) रक्षात्मक अवरोध, D) बचाव</v>
      </c>
      <c r="I333" s="5" t="str">
        <f>IFERROR(__xludf.DUMMYFUNCTION("GOOGLETRANSLATE(D333, ""en"", ""hi"")"),"बी) दूरी बनाएं और प्रहार करें")</f>
        <v>बी) दूरी बनाएं और प्रहार करें</v>
      </c>
    </row>
    <row r="334" ht="22.5" customHeight="1">
      <c r="A334" s="2">
        <v>333.0</v>
      </c>
      <c r="B334" s="3" t="s">
        <v>9848</v>
      </c>
      <c r="C334" s="3" t="s">
        <v>9821</v>
      </c>
      <c r="D334" s="3" t="s">
        <v>9445</v>
      </c>
      <c r="F334" s="5" t="str">
        <f>IFERROR(__xludf.DUMMYFUNCTION("GOOGLETRANSLATE(A334, ""en"", ""hi"")"),"333")</f>
        <v>333</v>
      </c>
      <c r="G334" s="5" t="str">
        <f>IFERROR(__xludf.DUMMYFUNCTION("GOOGLETRANSLATE(B334, ""en"", ""hi"")"),"एक अभ्यासकर्ता एक ऐसी तकनीक का प्रदर्शन कर रहा है जिसमें आगे बढ़ते हुए बारी-बारी से ऊँचे और नीचे के वार किए जाते हैं। इस युद्धाभ्यास का मुख्य उद्देश्य क्या है?")</f>
        <v>एक अभ्यासकर्ता एक ऐसी तकनीक का प्रदर्शन कर रहा है जिसमें आगे बढ़ते हुए बारी-बारी से ऊँचे और नीचे के वार किए जाते हैं। इस युद्धाभ्यास का मुख्य उद्देश्य क्या है?</v>
      </c>
      <c r="H334" s="5" t="str">
        <f>IFERROR(__xludf.DUMMYFUNCTION("GOOGLETRANSLATE(C334, ""en"", ""hi"")"),"A) प्रतिद्वंद्वी को परास्त करना, B) रक्षात्मक अवरोध उत्पन्न करना, C) प्रतिद्वंद्वी को भ्रमित करना, D) कौशल का प्रदर्शन करना")</f>
        <v>A) प्रतिद्वंद्वी को परास्त करना, B) रक्षात्मक अवरोध उत्पन्न करना, C) प्रतिद्वंद्वी को भ्रमित करना, D) कौशल का प्रदर्शन करना</v>
      </c>
      <c r="I334" s="5" t="str">
        <f>IFERROR(__xludf.DUMMYFUNCTION("GOOGLETRANSLATE(D334, ""en"", ""hi"")"),"A) प्रतिद्वंद्वी को परास्त करना")</f>
        <v>A) प्रतिद्वंद्वी को परास्त करना</v>
      </c>
    </row>
    <row r="335" ht="22.5" customHeight="1">
      <c r="A335" s="2">
        <v>334.0</v>
      </c>
      <c r="B335" s="3" t="s">
        <v>9849</v>
      </c>
      <c r="C335" s="3" t="s">
        <v>9733</v>
      </c>
      <c r="D335" s="3" t="s">
        <v>9323</v>
      </c>
      <c r="F335" s="5" t="str">
        <f>IFERROR(__xludf.DUMMYFUNCTION("GOOGLETRANSLATE(A335, ""en"", ""hi"")"),"334")</f>
        <v>334</v>
      </c>
      <c r="G335" s="5" t="str">
        <f>IFERROR(__xludf.DUMMYFUNCTION("GOOGLETRANSLATE(B335, ""en"", ""hi"")"),"सिलंबम प्रदर्शन में, अभ्यासकर्ता एक ऐसी तकनीक का उपयोग करता है जिसमें पहले ऊँचा छल और फिर नीचा प्रहार शामिल होता है। इस चाल का अपेक्षित प्रभाव क्या है?")</f>
        <v>सिलंबम प्रदर्शन में, अभ्यासकर्ता एक ऐसी तकनीक का उपयोग करता है जिसमें पहले ऊँचा छल और फिर नीचा प्रहार शामिल होता है। इस चाल का अपेक्षित प्रभाव क्या है?</v>
      </c>
      <c r="H335" s="5" t="str">
        <f>IFERROR(__xludf.DUMMYFUNCTION("GOOGLETRANSLATE(C335,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35" s="5" t="str">
        <f>IFERROR(__xludf.DUMMYFUNCTION("GOOGLETRANSLATE(D335, ""en"", ""hi"")"),"A) प्रतिद्वंद्वी को भ्रमित करने के लिए")</f>
        <v>A) प्रतिद्वंद्वी को भ्रमित करने के लिए</v>
      </c>
    </row>
    <row r="336" ht="22.5" customHeight="1">
      <c r="A336" s="2">
        <v>335.0</v>
      </c>
      <c r="B336" s="3" t="s">
        <v>9850</v>
      </c>
      <c r="C336" s="3" t="s">
        <v>9758</v>
      </c>
      <c r="D336" s="3" t="s">
        <v>9587</v>
      </c>
      <c r="F336" s="5" t="str">
        <f>IFERROR(__xludf.DUMMYFUNCTION("GOOGLETRANSLATE(A336, ""en"", ""hi"")"),"335")</f>
        <v>335</v>
      </c>
      <c r="G336" s="5" t="str">
        <f>IFERROR(__xludf.DUMMYFUNCTION("GOOGLETRANSLATE(B336, ""en"", ""hi"")"),"सिलंबम मैच के दौरान, प्रतिद्वंद्वी तेज़ निचले प्रहारों का इस्तेमाल करता है। इस शैली का प्रभावी ढंग से मुकाबला करने के लिए किस तकनीक का इस्तेमाल किया जाना चाहिए?")</f>
        <v>सिलंबम मैच के दौरान, प्रतिद्वंद्वी तेज़ निचले प्रहारों का इस्तेमाल करता है। इस शैली का प्रभावी ढंग से मुकाबला करने के लिए किस तकनीक का इस्तेमाल किया जाना चाहिए?</v>
      </c>
      <c r="H336" s="5" t="str">
        <f>IFERROR(__xludf.DUMMYFUNCTION("GOOGLETRANSLATE(C336,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336" s="5" t="str">
        <f>IFERROR(__xludf.DUMMYFUNCTION("GOOGLETRANSLATE(D336, ""en"", ""hi"")"),"बी) ब्लॉक लो और काउंटर")</f>
        <v>बी) ब्लॉक लो और काउंटर</v>
      </c>
    </row>
    <row r="337" ht="22.5" customHeight="1">
      <c r="A337" s="2">
        <v>336.0</v>
      </c>
      <c r="B337" s="3" t="s">
        <v>9851</v>
      </c>
      <c r="C337" s="3" t="s">
        <v>9826</v>
      </c>
      <c r="D337" s="3" t="s">
        <v>9323</v>
      </c>
      <c r="F337" s="5" t="str">
        <f>IFERROR(__xludf.DUMMYFUNCTION("GOOGLETRANSLATE(A337, ""en"", ""hi"")"),"336")</f>
        <v>336</v>
      </c>
      <c r="G337" s="5" t="str">
        <f>IFERROR(__xludf.DUMMYFUNCTION("GOOGLETRANSLATE(B337, ""en"", ""hi"")"),"एक अभ्यासी एक ऐसी तकनीक का प्रदर्शन कर रहा है जिसमें प्रहार करने से पहले डंडे को तेज़ी से घुमाया जाता है। इस युद्धाभ्यास का मुख्य उद्देश्य क्या है?")</f>
        <v>एक अभ्यासी एक ऐसी तकनीक का प्रदर्शन कर रहा है जिसमें प्रहार करने से पहले डंडे को तेज़ी से घुमाया जाता है। इस युद्धाभ्यास का मुख्य उद्देश्य क्या है?</v>
      </c>
      <c r="H337" s="5" t="str">
        <f>IFERROR(__xludf.DUMMYFUNCTION("GOOGLETRANSLATE(C337,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37" s="5" t="str">
        <f>IFERROR(__xludf.DUMMYFUNCTION("GOOGLETRANSLATE(D337, ""en"", ""hi"")"),"A) प्रतिद्वंद्वी को भ्रमित करने के लिए")</f>
        <v>A) प्रतिद्वंद्वी को भ्रमित करने के लिए</v>
      </c>
    </row>
    <row r="338" ht="22.5" customHeight="1">
      <c r="A338" s="2">
        <v>337.0</v>
      </c>
      <c r="B338" s="3" t="s">
        <v>9852</v>
      </c>
      <c r="C338" s="3" t="s">
        <v>9737</v>
      </c>
      <c r="D338" s="3" t="s">
        <v>9716</v>
      </c>
      <c r="F338" s="5" t="str">
        <f>IFERROR(__xludf.DUMMYFUNCTION("GOOGLETRANSLATE(A338, ""en"", ""hi"")"),"337")</f>
        <v>337</v>
      </c>
      <c r="G338" s="5" t="str">
        <f>IFERROR(__xludf.DUMMYFUNCTION("GOOGLETRANSLATE(B338, ""en"", ""hi"")"),"सिलंबम मैच के दौरान, प्रतिद्वंद्वी तेज़ तिरछे प्रहार करता है। अभ्यासकर्ता को इस तरीके पर कैसे प्रतिक्रिया देनी चाहिए?")</f>
        <v>सिलंबम मैच के दौरान, प्रतिद्वंद्वी तेज़ तिरछे प्रहार करता है। अभ्यासकर्ता को इस तरीके पर कैसे प्रतिक्रिया देनी चाहिए?</v>
      </c>
      <c r="H338" s="5" t="str">
        <f>IFERROR(__xludf.DUMMYFUNCTION("GOOGLETRANSLATE(C338,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38" s="5" t="str">
        <f>IFERROR(__xludf.DUMMYFUNCTION("GOOGLETRANSLATE(D338, ""en"", ""hi"")"),"ए) ब्लॉक और काउंटर")</f>
        <v>ए) ब्लॉक और काउंटर</v>
      </c>
    </row>
    <row r="339" ht="22.5" customHeight="1">
      <c r="A339" s="2">
        <v>338.0</v>
      </c>
      <c r="B339" s="3" t="s">
        <v>9853</v>
      </c>
      <c r="C339" s="3" t="s">
        <v>9730</v>
      </c>
      <c r="D339" s="3" t="s">
        <v>9731</v>
      </c>
      <c r="F339" s="5" t="str">
        <f>IFERROR(__xludf.DUMMYFUNCTION("GOOGLETRANSLATE(A339, ""en"", ""hi"")"),"338")</f>
        <v>338</v>
      </c>
      <c r="G339" s="5" t="str">
        <f>IFERROR(__xludf.DUMMYFUNCTION("GOOGLETRANSLATE(B339, ""en"", ""hi"")"),"एक अभ्यासकर्ता का सामना ऐसे प्रतिद्वंद्वी से होता है जो तेज़ पार्श्व गति का प्रयोग करता है। इस शैली का मुकाबला करने के लिए अभ्यासकर्ता को क्या रणनीति अपनानी चाहिए?")</f>
        <v>एक अभ्यासकर्ता का सामना ऐसे प्रतिद्वंद्वी से होता है जो तेज़ पार्श्व गति का प्रयोग करता है। इस शैली का मुकाबला करने के लिए अभ्यासकर्ता को क्या रणनीति अपनानी चाहिए?</v>
      </c>
      <c r="H339" s="5" t="str">
        <f>IFERROR(__xludf.DUMMYFUNCTION("GOOGLETRANSLATE(C339, ""en"", ""hi"")"),"A) गति बढ़ाएँ, B) फुटवर्क और दूरी पर ध्यान केंद्रित करें, C) रक्षात्मक ब्लॉक का उपयोग करें, D) तीव्र हमले करें")</f>
        <v>A) गति बढ़ाएँ, B) फुटवर्क और दूरी पर ध्यान केंद्रित करें, C) रक्षात्मक ब्लॉक का उपयोग करें, D) तीव्र हमले करें</v>
      </c>
      <c r="I339" s="5" t="str">
        <f>IFERROR(__xludf.DUMMYFUNCTION("GOOGLETRANSLATE(D339, ""en"", ""hi"")"),"बी) फुटवर्क और दूरी पर ध्यान केंद्रित करें")</f>
        <v>बी) फुटवर्क और दूरी पर ध्यान केंद्रित करें</v>
      </c>
    </row>
    <row r="340" ht="22.5" customHeight="1">
      <c r="A340" s="2">
        <v>339.0</v>
      </c>
      <c r="B340" s="3" t="s">
        <v>9854</v>
      </c>
      <c r="C340" s="3" t="s">
        <v>9737</v>
      </c>
      <c r="D340" s="3" t="s">
        <v>9716</v>
      </c>
      <c r="F340" s="5" t="str">
        <f>IFERROR(__xludf.DUMMYFUNCTION("GOOGLETRANSLATE(A340, ""en"", ""hi"")"),"339")</f>
        <v>339</v>
      </c>
      <c r="G340" s="5" t="str">
        <f>IFERROR(__xludf.DUMMYFUNCTION("GOOGLETRANSLATE(B340, ""en"", ""hi"")"),"सिलंबम द्वंद्वयुद्ध में, प्रतिद्वंद्वी तीव्र ऊर्ध्वाधर प्रहार करता है। इस आक्रमण का प्रभावी ढंग से प्रतिकार करने के लिए अभ्यासकर्ता को कौन सी तकनीक अपनानी चाहिए?")</f>
        <v>सिलंबम द्वंद्वयुद्ध में, प्रतिद्वंद्वी तीव्र ऊर्ध्वाधर प्रहार करता है। इस आक्रमण का प्रभावी ढंग से प्रतिकार करने के लिए अभ्यासकर्ता को कौन सी तकनीक अपनानी चाहिए?</v>
      </c>
      <c r="H340" s="5" t="str">
        <f>IFERROR(__xludf.DUMMYFUNCTION("GOOGLETRANSLATE(C340,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40" s="5" t="str">
        <f>IFERROR(__xludf.DUMMYFUNCTION("GOOGLETRANSLATE(D340, ""en"", ""hi"")"),"ए) ब्लॉक और काउंटर")</f>
        <v>ए) ब्लॉक और काउंटर</v>
      </c>
    </row>
    <row r="341" ht="22.5" customHeight="1">
      <c r="A341" s="2">
        <v>340.0</v>
      </c>
      <c r="B341" s="3" t="s">
        <v>9855</v>
      </c>
      <c r="C341" s="3" t="s">
        <v>9856</v>
      </c>
      <c r="D341" s="3" t="s">
        <v>9445</v>
      </c>
      <c r="F341" s="5" t="str">
        <f>IFERROR(__xludf.DUMMYFUNCTION("GOOGLETRANSLATE(A341, ""en"", ""hi"")"),"340")</f>
        <v>340</v>
      </c>
      <c r="G341" s="5" t="str">
        <f>IFERROR(__xludf.DUMMYFUNCTION("GOOGLETRANSLATE(B341, ""en"", ""hi"")"),"सिलंबम प्रदर्शन के दौरान, अभ्यासकर्ता एक ऐसी तकनीक का उपयोग करता है जिसमें आगे बढ़ते हुए बारी-बारी से ऊँचे और नीचे के प्रहार शामिल होते हैं। इस युद्धाभ्यास का मुख्य लक्ष्य क्या है?")</f>
        <v>सिलंबम प्रदर्शन के दौरान, अभ्यासकर्ता एक ऐसी तकनीक का उपयोग करता है जिसमें आगे बढ़ते हुए बारी-बारी से ऊँचे और नीचे के प्रहार शामिल होते हैं। इस युद्धाभ्यास का मुख्य लक्ष्य क्या है?</v>
      </c>
      <c r="H341" s="5" t="str">
        <f>IFERROR(__xludf.DUMMYFUNCTION("GOOGLETRANSLATE(C341,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341" s="5" t="str">
        <f>IFERROR(__xludf.DUMMYFUNCTION("GOOGLETRANSLATE(D341, ""en"", ""hi"")"),"A) प्रतिद्वंद्वी को परास्त करना")</f>
        <v>A) प्रतिद्वंद्वी को परास्त करना</v>
      </c>
    </row>
    <row r="342" ht="22.5" customHeight="1">
      <c r="A342" s="2">
        <v>341.0</v>
      </c>
      <c r="B342" s="3" t="s">
        <v>9798</v>
      </c>
      <c r="C342" s="3" t="s">
        <v>9776</v>
      </c>
      <c r="D342" s="3" t="s">
        <v>9220</v>
      </c>
      <c r="F342" s="5" t="str">
        <f>IFERROR(__xludf.DUMMYFUNCTION("GOOGLETRANSLATE(A342, ""en"", ""hi"")"),"341")</f>
        <v>341</v>
      </c>
      <c r="G342" s="5" t="str">
        <f>IFERROR(__xludf.DUMMYFUNCTION("GOOGLETRANSLATE(B342, ""en"", ""hi"")"),"एक अभ्यासकर्ता प्रतिद्वंद्वी के पैरों पर निशाना साधते हुए घूमते हुए हमला करने की तकनीक का प्रदर्शन कर रहा है। इस चाल का मुख्य लक्ष्य क्या है?")</f>
        <v>एक अभ्यासकर्ता प्रतिद्वंद्वी के पैरों पर निशाना साधते हुए घूमते हुए हमला करने की तकनीक का प्रदर्शन कर रहा है। इस चाल का मुख्य लक्ष्य क्या है?</v>
      </c>
      <c r="H342" s="5" t="str">
        <f>IFERROR(__xludf.DUMMYFUNCTION("GOOGLETRANSLATE(C342,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342" s="5" t="str">
        <f>IFERROR(__xludf.DUMMYFUNCTION("GOOGLETRANSLATE(D342, ""en"", ""hi"")"),"A) प्रतिद्वंद्वी का संतुलन बिगाड़ना")</f>
        <v>A) प्रतिद्वंद्वी का संतुलन बिगाड़ना</v>
      </c>
    </row>
    <row r="343" ht="22.5" customHeight="1">
      <c r="A343" s="2">
        <v>342.0</v>
      </c>
      <c r="B343" s="3" t="s">
        <v>9857</v>
      </c>
      <c r="C343" s="3" t="s">
        <v>9740</v>
      </c>
      <c r="D343" s="3" t="s">
        <v>9741</v>
      </c>
      <c r="F343" s="5" t="str">
        <f>IFERROR(__xludf.DUMMYFUNCTION("GOOGLETRANSLATE(A343, ""en"", ""hi"")"),"342")</f>
        <v>342</v>
      </c>
      <c r="G343" s="5" t="str">
        <f>IFERROR(__xludf.DUMMYFUNCTION("GOOGLETRANSLATE(B343, ""en"", ""hi"")"),"सिलंबम मुकाबले में, अभ्यासकर्ता का सामना एक ऐसे प्रतिद्वंद्वी से होता है जो अक्सर ऊँचे प्रहार करता है। अभ्यासकर्ता को इस प्रकार के बचाव के लिए क्या करना चाहिए?")</f>
        <v>सिलंबम मुकाबले में, अभ्यासकर्ता का सामना एक ऐसे प्रतिद्वंद्वी से होता है जो अक्सर ऊँचे प्रहार करता है। अभ्यासकर्ता को इस प्रकार के बचाव के लिए क्या करना चाहिए?</v>
      </c>
      <c r="H343" s="5" t="str">
        <f>IFERROR(__xludf.DUMMYFUNCTION("GOOGLETRANSLATE(C343,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43" s="5" t="str">
        <f>IFERROR(__xludf.DUMMYFUNCTION("GOOGLETRANSLATE(D343, ""en"", ""hi"")"),"बी) फाइन्ट और हाई स्ट्राइक")</f>
        <v>बी) फाइन्ट और हाई स्ट्राइक</v>
      </c>
    </row>
    <row r="344" ht="22.5" customHeight="1">
      <c r="A344" s="2">
        <v>343.0</v>
      </c>
      <c r="B344" s="3" t="s">
        <v>9858</v>
      </c>
      <c r="C344" s="3" t="s">
        <v>9737</v>
      </c>
      <c r="D344" s="3" t="s">
        <v>9716</v>
      </c>
      <c r="F344" s="5" t="str">
        <f>IFERROR(__xludf.DUMMYFUNCTION("GOOGLETRANSLATE(A344, ""en"", ""hi"")"),"343")</f>
        <v>343</v>
      </c>
      <c r="G344" s="5" t="str">
        <f>IFERROR(__xludf.DUMMYFUNCTION("GOOGLETRANSLATE(B344, ""en"", ""hi"")"),"सिलंबम द्वंद्वयुद्ध के दौरान, प्रतिद्वंद्वी तीव्र क्षैतिज प्रहार करता है। सबसे प्रभावी प्रति-प्रयोग तकनीक क्या है?")</f>
        <v>सिलंबम द्वंद्वयुद्ध के दौरान, प्रतिद्वंद्वी तीव्र क्षैतिज प्रहार करता है। सबसे प्रभावी प्रति-प्रयोग तकनीक क्या है?</v>
      </c>
      <c r="H344" s="5" t="str">
        <f>IFERROR(__xludf.DUMMYFUNCTION("GOOGLETRANSLATE(C344,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44" s="5" t="str">
        <f>IFERROR(__xludf.DUMMYFUNCTION("GOOGLETRANSLATE(D344, ""en"", ""hi"")"),"ए) ब्लॉक और काउंटर")</f>
        <v>ए) ब्लॉक और काउंटर</v>
      </c>
    </row>
    <row r="345" ht="22.5" customHeight="1">
      <c r="A345" s="2">
        <v>344.0</v>
      </c>
      <c r="B345" s="3" t="s">
        <v>9859</v>
      </c>
      <c r="C345" s="3" t="s">
        <v>9724</v>
      </c>
      <c r="D345" s="3" t="s">
        <v>9725</v>
      </c>
      <c r="F345" s="5" t="str">
        <f>IFERROR(__xludf.DUMMYFUNCTION("GOOGLETRANSLATE(A345, ""en"", ""hi"")"),"344")</f>
        <v>344</v>
      </c>
      <c r="G345" s="5" t="str">
        <f>IFERROR(__xludf.DUMMYFUNCTION("GOOGLETRANSLATE(B345, ""en"", ""hi"")"),"एक अभ्यासकर्ता का सामना ऐसे प्रतिद्वंद्वी से होता है जो दोहरे हथियार शैली का उपयोग करता है। मुकाबले में बढ़त हासिल करने के लिए कौन सी रणनीति अपनाई जानी चाहिए?")</f>
        <v>एक अभ्यासकर्ता का सामना ऐसे प्रतिद्वंद्वी से होता है जो दोहरे हथियार शैली का उपयोग करता है। मुकाबले में बढ़त हासिल करने के लिए कौन सी रणनीति अपनाई जानी चाहिए?</v>
      </c>
      <c r="H345" s="5" t="str">
        <f>IFERROR(__xludf.DUMMYFUNCTION("GOOGLETRANSLATE(C345, ""en"", ""hi"")"),"A) प्रत्यक्ष हमले, B) दूरी बनाकर हमला करना, C) रक्षात्मक अवरोध, D) बचाव")</f>
        <v>A) प्रत्यक्ष हमले, B) दूरी बनाकर हमला करना, C) रक्षात्मक अवरोध, D) बचाव</v>
      </c>
      <c r="I345" s="5" t="str">
        <f>IFERROR(__xludf.DUMMYFUNCTION("GOOGLETRANSLATE(D345, ""en"", ""hi"")"),"बी) दूरी बनाएं और प्रहार करें")</f>
        <v>बी) दूरी बनाएं और प्रहार करें</v>
      </c>
    </row>
    <row r="346" ht="22.5" customHeight="1">
      <c r="A346" s="2">
        <v>345.0</v>
      </c>
      <c r="B346" s="3" t="s">
        <v>9860</v>
      </c>
      <c r="C346" s="3" t="s">
        <v>9733</v>
      </c>
      <c r="D346" s="3" t="s">
        <v>9323</v>
      </c>
      <c r="F346" s="5" t="str">
        <f>IFERROR(__xludf.DUMMYFUNCTION("GOOGLETRANSLATE(A346, ""en"", ""hi"")"),"345")</f>
        <v>345</v>
      </c>
      <c r="G346" s="5" t="str">
        <f>IFERROR(__xludf.DUMMYFUNCTION("GOOGLETRANSLATE(B346, ""en"", ""hi"")"),"सिलंबम मैच के दौरान, अभ्यासकर्ता एक ऐसी तकनीक का उपयोग करता है जिसमें पहले ऊँचा छल और फिर नीचे की ओर प्रहार होता है। इस युद्धाभ्यास का अपेक्षित प्रभाव क्या है?")</f>
        <v>सिलंबम मैच के दौरान, अभ्यासकर्ता एक ऐसी तकनीक का उपयोग करता है जिसमें पहले ऊँचा छल और फिर नीचे की ओर प्रहार होता है। इस युद्धाभ्यास का अपेक्षित प्रभाव क्या है?</v>
      </c>
      <c r="H346" s="5" t="str">
        <f>IFERROR(__xludf.DUMMYFUNCTION("GOOGLETRANSLATE(C346,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46" s="5" t="str">
        <f>IFERROR(__xludf.DUMMYFUNCTION("GOOGLETRANSLATE(D346, ""en"", ""hi"")"),"A) प्रतिद्वंद्वी को भ्रमित करने के लिए")</f>
        <v>A) प्रतिद्वंद्वी को भ्रमित करने के लिए</v>
      </c>
    </row>
    <row r="347" ht="22.5" customHeight="1">
      <c r="A347" s="2">
        <v>346.0</v>
      </c>
      <c r="B347" s="3" t="s">
        <v>9861</v>
      </c>
      <c r="C347" s="3" t="s">
        <v>9654</v>
      </c>
      <c r="D347" s="3" t="s">
        <v>9655</v>
      </c>
      <c r="F347" s="5" t="str">
        <f>IFERROR(__xludf.DUMMYFUNCTION("GOOGLETRANSLATE(A347, ""en"", ""hi"")"),"346")</f>
        <v>346</v>
      </c>
      <c r="G347" s="5" t="str">
        <f>IFERROR(__xludf.DUMMYFUNCTION("GOOGLETRANSLATE(B347, ""en"", ""hi"")"),"सिलंबम द्वंद्वयुद्ध के दौरान प्रतिद्वंद्वी कई तेज़ प्रहार करता है। अभ्यासकर्ता को आक्रामक रहते हुए कैसे प्रतिक्रिया देनी चाहिए?")</f>
        <v>सिलंबम द्वंद्वयुद्ध के दौरान प्रतिद्वंद्वी कई तेज़ प्रहार करता है। अभ्यासकर्ता को आक्रामक रहते हुए कैसे प्रतिक्रिया देनी चाहिए?</v>
      </c>
      <c r="H347" s="5" t="str">
        <f>IFERROR(__xludf.DUMMYFUNCTION("GOOGLETRANSLATE(C347,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347" s="5" t="str">
        <f>IFERROR(__xludf.DUMMYFUNCTION("GOOGLETRANSLATE(D347, ""en"", ""hi"")"),"सी) साइड स्टेप और स्ट्राइक")</f>
        <v>सी) साइड स्टेप और स्ट्राइक</v>
      </c>
    </row>
    <row r="348" ht="22.5" customHeight="1">
      <c r="A348" s="2">
        <v>347.0</v>
      </c>
      <c r="B348" s="3" t="s">
        <v>9862</v>
      </c>
      <c r="C348" s="3" t="s">
        <v>9826</v>
      </c>
      <c r="D348" s="3" t="s">
        <v>9323</v>
      </c>
      <c r="F348" s="5" t="str">
        <f>IFERROR(__xludf.DUMMYFUNCTION("GOOGLETRANSLATE(A348, ""en"", ""hi"")"),"347")</f>
        <v>347</v>
      </c>
      <c r="G348" s="5" t="str">
        <f>IFERROR(__xludf.DUMMYFUNCTION("GOOGLETRANSLATE(B348, ""en"", ""hi"")"),"एक अभ्यासकर्ता एक ऐसी तकनीक का प्रदर्शन कर रहा है जिसमें प्रहार करने से पहले डंडे को घुमाया जाता है। इस युद्धाभ्यास का मुख्य उद्देश्य क्या है?")</f>
        <v>एक अभ्यासकर्ता एक ऐसी तकनीक का प्रदर्शन कर रहा है जिसमें प्रहार करने से पहले डंडे को घुमाया जाता है। इस युद्धाभ्यास का मुख्य उद्देश्य क्या है?</v>
      </c>
      <c r="H348" s="5" t="str">
        <f>IFERROR(__xludf.DUMMYFUNCTION("GOOGLETRANSLATE(C348,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48" s="5" t="str">
        <f>IFERROR(__xludf.DUMMYFUNCTION("GOOGLETRANSLATE(D348, ""en"", ""hi"")"),"A) प्रतिद्वंद्वी को भ्रमित करने के लिए")</f>
        <v>A) प्रतिद्वंद्वी को भ्रमित करने के लिए</v>
      </c>
    </row>
    <row r="349" ht="22.5" customHeight="1">
      <c r="A349" s="2">
        <v>348.0</v>
      </c>
      <c r="B349" s="3" t="s">
        <v>9863</v>
      </c>
      <c r="C349" s="3" t="s">
        <v>9740</v>
      </c>
      <c r="D349" s="3" t="s">
        <v>9741</v>
      </c>
      <c r="F349" s="5" t="str">
        <f>IFERROR(__xludf.DUMMYFUNCTION("GOOGLETRANSLATE(A349, ""en"", ""hi"")"),"348")</f>
        <v>348</v>
      </c>
      <c r="G349" s="5" t="str">
        <f>IFERROR(__xludf.DUMMYFUNCTION("GOOGLETRANSLATE(B349, ""en"", ""hi"")"),"सिलंबम द्वंद्वयुद्ध के दौरान, प्रतिद्वंद्वी अक्सर उच्च सुरक्षा रुख अपनाता है। इस बचाव को तोड़ने के लिए अभ्यासकर्ता को कौन सी तकनीक अपनानी चाहिए?")</f>
        <v>सिलंबम द्वंद्वयुद्ध के दौरान, प्रतिद्वंद्वी अक्सर उच्च सुरक्षा रुख अपनाता है। इस बचाव को तोड़ने के लिए अभ्यासकर्ता को कौन सी तकनीक अपनानी चाहिए?</v>
      </c>
      <c r="H349" s="5" t="str">
        <f>IFERROR(__xludf.DUMMYFUNCTION("GOOGLETRANSLATE(C349,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49" s="5" t="str">
        <f>IFERROR(__xludf.DUMMYFUNCTION("GOOGLETRANSLATE(D349, ""en"", ""hi"")"),"बी) फाइन्ट और हाई स्ट्राइक")</f>
        <v>बी) फाइन्ट और हाई स्ट्राइक</v>
      </c>
    </row>
    <row r="350" ht="22.5" customHeight="1">
      <c r="A350" s="2">
        <v>349.0</v>
      </c>
      <c r="B350" s="3" t="s">
        <v>9864</v>
      </c>
      <c r="C350" s="3" t="s">
        <v>9737</v>
      </c>
      <c r="D350" s="3" t="s">
        <v>9716</v>
      </c>
      <c r="F350" s="5" t="str">
        <f>IFERROR(__xludf.DUMMYFUNCTION("GOOGLETRANSLATE(A350, ""en"", ""hi"")"),"349")</f>
        <v>349</v>
      </c>
      <c r="G350" s="5" t="str">
        <f>IFERROR(__xludf.DUMMYFUNCTION("GOOGLETRANSLATE(B350, ""en"", ""hi"")"),"एक अभ्यासकर्ता का सामना ऐसे प्रतिद्वंद्वी से होता है जो तेज़ ऊर्ध्वाधर प्रहार करता है। इन हमलों का मुकाबला करने के लिए किस तकनीक का इस्तेमाल किया जाना चाहिए?")</f>
        <v>एक अभ्यासकर्ता का सामना ऐसे प्रतिद्वंद्वी से होता है जो तेज़ ऊर्ध्वाधर प्रहार करता है। इन हमलों का मुकाबला करने के लिए किस तकनीक का इस्तेमाल किया जाना चाहिए?</v>
      </c>
      <c r="H350" s="5" t="str">
        <f>IFERROR(__xludf.DUMMYFUNCTION("GOOGLETRANSLATE(C350,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50" s="5" t="str">
        <f>IFERROR(__xludf.DUMMYFUNCTION("GOOGLETRANSLATE(D350, ""en"", ""hi"")"),"ए) ब्लॉक और काउंटर")</f>
        <v>ए) ब्लॉक और काउंटर</v>
      </c>
    </row>
    <row r="351" ht="22.5" customHeight="1">
      <c r="A351" s="2">
        <v>350.0</v>
      </c>
      <c r="B351" s="3" t="s">
        <v>9865</v>
      </c>
      <c r="C351" s="3" t="s">
        <v>9856</v>
      </c>
      <c r="D351" s="3" t="s">
        <v>9445</v>
      </c>
      <c r="F351" s="5" t="str">
        <f>IFERROR(__xludf.DUMMYFUNCTION("GOOGLETRANSLATE(A351, ""en"", ""hi"")"),"350")</f>
        <v>350</v>
      </c>
      <c r="G351" s="5" t="str">
        <f>IFERROR(__xludf.DUMMYFUNCTION("GOOGLETRANSLATE(B351, ""en"", ""hi"")"),"सिलंबम प्रदर्शन में, अभ्यासकर्ता आगे बढ़ते हुए बारी-बारी से ऊँचे और नीचे प्रहार करने की तकनीक का उपयोग करता है। इस युद्धाभ्यास का अपेक्षित प्रभाव क्या है?")</f>
        <v>सिलंबम प्रदर्शन में, अभ्यासकर्ता आगे बढ़ते हुए बारी-बारी से ऊँचे और नीचे प्रहार करने की तकनीक का उपयोग करता है। इस युद्धाभ्यास का अपेक्षित प्रभाव क्या है?</v>
      </c>
      <c r="H351" s="5" t="str">
        <f>IFERROR(__xludf.DUMMYFUNCTION("GOOGLETRANSLATE(C351,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351" s="5" t="str">
        <f>IFERROR(__xludf.DUMMYFUNCTION("GOOGLETRANSLATE(D351, ""en"", ""hi"")"),"A) प्रतिद्वंद्वी को परास्त करना")</f>
        <v>A) प्रतिद्वंद्वी को परास्त करना</v>
      </c>
    </row>
    <row r="352" ht="22.5" customHeight="1">
      <c r="A352" s="2">
        <v>351.0</v>
      </c>
      <c r="B352" s="3" t="s">
        <v>9866</v>
      </c>
      <c r="C352" s="3" t="s">
        <v>9758</v>
      </c>
      <c r="D352" s="3" t="s">
        <v>9587</v>
      </c>
      <c r="F352" s="5" t="str">
        <f>IFERROR(__xludf.DUMMYFUNCTION("GOOGLETRANSLATE(A352, ""en"", ""hi"")"),"351")</f>
        <v>351</v>
      </c>
      <c r="G352" s="5" t="str">
        <f>IFERROR(__xludf.DUMMYFUNCTION("GOOGLETRANSLATE(B352, ""en"", ""hi"")"),"सिलंबम मैच के दौरान, प्रतिद्वंद्वी लगातार निचले प्रहारों का प्रयोग करता है। अभ्यासकर्ता को इस रणनीति का प्रभावी ढंग से प्रतिकार कैसे करना चाहिए?")</f>
        <v>सिलंबम मैच के दौरान, प्रतिद्वंद्वी लगातार निचले प्रहारों का प्रयोग करता है। अभ्यासकर्ता को इस रणनीति का प्रभावी ढंग से प्रतिकार कैसे करना चाहिए?</v>
      </c>
      <c r="H352" s="5" t="str">
        <f>IFERROR(__xludf.DUMMYFUNCTION("GOOGLETRANSLATE(C352,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352" s="5" t="str">
        <f>IFERROR(__xludf.DUMMYFUNCTION("GOOGLETRANSLATE(D352, ""en"", ""hi"")"),"बी) ब्लॉक लो और काउंटर")</f>
        <v>बी) ब्लॉक लो और काउंटर</v>
      </c>
    </row>
    <row r="353" ht="22.5" customHeight="1">
      <c r="A353" s="2">
        <v>352.0</v>
      </c>
      <c r="B353" s="3" t="s">
        <v>9867</v>
      </c>
      <c r="C353" s="3" t="s">
        <v>9730</v>
      </c>
      <c r="D353" s="3" t="s">
        <v>9731</v>
      </c>
      <c r="F353" s="5" t="str">
        <f>IFERROR(__xludf.DUMMYFUNCTION("GOOGLETRANSLATE(A353, ""en"", ""hi"")"),"352")</f>
        <v>352</v>
      </c>
      <c r="G353" s="5" t="str">
        <f>IFERROR(__xludf.DUMMYFUNCTION("GOOGLETRANSLATE(B353, ""en"", ""hi"")"),"एक अभ्यासकर्ता का सामना ऐसे प्रतिद्वंद्वी से होता है जो तेज़ पार्श्व गति का प्रयोग करता है। इस शैली का प्रभावी ढंग से मुकाबला करने के लिए कौन सी रणनीति अपनाई जानी चाहिए?")</f>
        <v>एक अभ्यासकर्ता का सामना ऐसे प्रतिद्वंद्वी से होता है जो तेज़ पार्श्व गति का प्रयोग करता है। इस शैली का प्रभावी ढंग से मुकाबला करने के लिए कौन सी रणनीति अपनाई जानी चाहिए?</v>
      </c>
      <c r="H353" s="5" t="str">
        <f>IFERROR(__xludf.DUMMYFUNCTION("GOOGLETRANSLATE(C353, ""en"", ""hi"")"),"A) गति बढ़ाएँ, B) फुटवर्क और दूरी पर ध्यान केंद्रित करें, C) रक्षात्मक ब्लॉक का उपयोग करें, D) तीव्र हमले करें")</f>
        <v>A) गति बढ़ाएँ, B) फुटवर्क और दूरी पर ध्यान केंद्रित करें, C) रक्षात्मक ब्लॉक का उपयोग करें, D) तीव्र हमले करें</v>
      </c>
      <c r="I353" s="5" t="str">
        <f>IFERROR(__xludf.DUMMYFUNCTION("GOOGLETRANSLATE(D353, ""en"", ""hi"")"),"बी) फुटवर्क और दूरी पर ध्यान केंद्रित करें")</f>
        <v>बी) फुटवर्क और दूरी पर ध्यान केंद्रित करें</v>
      </c>
    </row>
    <row r="354" ht="22.5" customHeight="1">
      <c r="A354" s="2">
        <v>353.0</v>
      </c>
      <c r="B354" s="3" t="s">
        <v>9868</v>
      </c>
      <c r="C354" s="3" t="s">
        <v>9740</v>
      </c>
      <c r="D354" s="3" t="s">
        <v>9741</v>
      </c>
      <c r="F354" s="5" t="str">
        <f>IFERROR(__xludf.DUMMYFUNCTION("GOOGLETRANSLATE(A354, ""en"", ""hi"")"),"353")</f>
        <v>353</v>
      </c>
      <c r="G354" s="5" t="str">
        <f>IFERROR(__xludf.DUMMYFUNCTION("GOOGLETRANSLATE(B354, ""en"", ""hi"")"),"सिलंबम द्वंद्वयुद्ध में, प्रतिद्वंद्वी उच्च सुरक्षा रुख अपनाता है। इस सुरक्षा को भेदने के लिए किस तकनीक का उपयोग किया जाना चाहिए?")</f>
        <v>सिलंबम द्वंद्वयुद्ध में, प्रतिद्वंद्वी उच्च सुरक्षा रुख अपनाता है। इस सुरक्षा को भेदने के लिए किस तकनीक का उपयोग किया जाना चाहिए?</v>
      </c>
      <c r="H354" s="5" t="str">
        <f>IFERROR(__xludf.DUMMYFUNCTION("GOOGLETRANSLATE(C354,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54" s="5" t="str">
        <f>IFERROR(__xludf.DUMMYFUNCTION("GOOGLETRANSLATE(D354, ""en"", ""hi"")"),"बी) फाइन्ट और हाई स्ट्राइक")</f>
        <v>बी) फाइन्ट और हाई स्ट्राइक</v>
      </c>
    </row>
    <row r="355" ht="22.5" customHeight="1">
      <c r="A355" s="2">
        <v>354.0</v>
      </c>
      <c r="B355" s="3" t="s">
        <v>9869</v>
      </c>
      <c r="C355" s="3" t="s">
        <v>9776</v>
      </c>
      <c r="D355" s="3" t="s">
        <v>9220</v>
      </c>
      <c r="F355" s="5" t="str">
        <f>IFERROR(__xludf.DUMMYFUNCTION("GOOGLETRANSLATE(A355, ""en"", ""hi"")"),"354")</f>
        <v>354</v>
      </c>
      <c r="G355" s="5" t="str">
        <f>IFERROR(__xludf.DUMMYFUNCTION("GOOGLETRANSLATE(B355, ""en"", ""hi"")"),"सिलंबम प्रदर्शन के दौरान, अभ्यासकर्ता प्रतिद्वंद्वी के पैरों पर निशाना साधते हुए एक घूमता हुआ प्रहार करता है। इस चाल का मुख्य लक्ष्य क्या है?")</f>
        <v>सिलंबम प्रदर्शन के दौरान, अभ्यासकर्ता प्रतिद्वंद्वी के पैरों पर निशाना साधते हुए एक घूमता हुआ प्रहार करता है। इस चाल का मुख्य लक्ष्य क्या है?</v>
      </c>
      <c r="H355" s="5" t="str">
        <f>IFERROR(__xludf.DUMMYFUNCTION("GOOGLETRANSLATE(C355,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355" s="5" t="str">
        <f>IFERROR(__xludf.DUMMYFUNCTION("GOOGLETRANSLATE(D355, ""en"", ""hi"")"),"A) प्रतिद्वंद्वी का संतुलन बिगाड़ना")</f>
        <v>A) प्रतिद्वंद्वी का संतुलन बिगाड़ना</v>
      </c>
    </row>
    <row r="356" ht="22.5" customHeight="1">
      <c r="A356" s="2">
        <v>355.0</v>
      </c>
      <c r="B356" s="3" t="s">
        <v>9870</v>
      </c>
      <c r="C356" s="3" t="s">
        <v>9856</v>
      </c>
      <c r="D356" s="3" t="s">
        <v>9445</v>
      </c>
      <c r="F356" s="5" t="str">
        <f>IFERROR(__xludf.DUMMYFUNCTION("GOOGLETRANSLATE(A356, ""en"", ""hi"")"),"355")</f>
        <v>355</v>
      </c>
      <c r="G356" s="5" t="str">
        <f>IFERROR(__xludf.DUMMYFUNCTION("GOOGLETRANSLATE(B356, ""en"", ""hi"")"),"एक अभ्यासकर्ता एक ऐसी तकनीक का प्रदर्शन कर रहा है जिसमें आगे बढ़ते हुए बारी-बारी से ऊँचे और नीचे के वार करना शामिल है। इस युद्धाभ्यास का मुख्य उद्देश्य क्या है?")</f>
        <v>एक अभ्यासकर्ता एक ऐसी तकनीक का प्रदर्शन कर रहा है जिसमें आगे बढ़ते हुए बारी-बारी से ऊँचे और नीचे के वार करना शामिल है। इस युद्धाभ्यास का मुख्य उद्देश्य क्या है?</v>
      </c>
      <c r="H356" s="5" t="str">
        <f>IFERROR(__xludf.DUMMYFUNCTION("GOOGLETRANSLATE(C356,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356" s="5" t="str">
        <f>IFERROR(__xludf.DUMMYFUNCTION("GOOGLETRANSLATE(D356, ""en"", ""hi"")"),"A) प्रतिद्वंद्वी को परास्त करना")</f>
        <v>A) प्रतिद्वंद्वी को परास्त करना</v>
      </c>
    </row>
    <row r="357" ht="22.5" customHeight="1">
      <c r="A357" s="2">
        <v>356.0</v>
      </c>
      <c r="B357" s="3" t="s">
        <v>9871</v>
      </c>
      <c r="C357" s="3" t="s">
        <v>9758</v>
      </c>
      <c r="D357" s="3" t="s">
        <v>9587</v>
      </c>
      <c r="F357" s="5" t="str">
        <f>IFERROR(__xludf.DUMMYFUNCTION("GOOGLETRANSLATE(A357, ""en"", ""hi"")"),"356")</f>
        <v>356</v>
      </c>
      <c r="G357" s="5" t="str">
        <f>IFERROR(__xludf.DUMMYFUNCTION("GOOGLETRANSLATE(B357, ""en"", ""hi"")"),"सिलंबम द्वंद्वयुद्ध में, प्रतिद्वंद्वी अक्सर कम तीव्रता वाले प्रहारों का प्रयोग करता है। अभ्यासकर्ता को इस दृष्टिकोण का प्रभावी ढंग से प्रतिकार कैसे करना चाहिए?")</f>
        <v>सिलंबम द्वंद्वयुद्ध में, प्रतिद्वंद्वी अक्सर कम तीव्रता वाले प्रहारों का प्रयोग करता है। अभ्यासकर्ता को इस दृष्टिकोण का प्रभावी ढंग से प्रतिकार कैसे करना चाहिए?</v>
      </c>
      <c r="H357" s="5" t="str">
        <f>IFERROR(__xludf.DUMMYFUNCTION("GOOGLETRANSLATE(C357,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357" s="5" t="str">
        <f>IFERROR(__xludf.DUMMYFUNCTION("GOOGLETRANSLATE(D357, ""en"", ""hi"")"),"बी) ब्लॉक लो और काउंटर")</f>
        <v>बी) ब्लॉक लो और काउंटर</v>
      </c>
    </row>
    <row r="358" ht="22.5" customHeight="1">
      <c r="A358" s="2">
        <v>357.0</v>
      </c>
      <c r="B358" s="3" t="s">
        <v>9872</v>
      </c>
      <c r="C358" s="3" t="s">
        <v>9733</v>
      </c>
      <c r="D358" s="3" t="s">
        <v>9323</v>
      </c>
      <c r="F358" s="5" t="str">
        <f>IFERROR(__xludf.DUMMYFUNCTION("GOOGLETRANSLATE(A358, ""en"", ""hi"")"),"357")</f>
        <v>357</v>
      </c>
      <c r="G358" s="5" t="str">
        <f>IFERROR(__xludf.DUMMYFUNCTION("GOOGLETRANSLATE(B358, ""en"", ""hi"")"),"एक अभ्यासकर्ता एक ऐसी तकनीक का प्रदर्शन कर रहा है जिसमें पहले ऊँचा छलावा और फिर नीचे की ओर प्रहार शामिल है। इस युद्धाभ्यास का अपेक्षित प्रभाव क्या है?")</f>
        <v>एक अभ्यासकर्ता एक ऐसी तकनीक का प्रदर्शन कर रहा है जिसमें पहले ऊँचा छलावा और फिर नीचे की ओर प्रहार शामिल है। इस युद्धाभ्यास का अपेक्षित प्रभाव क्या है?</v>
      </c>
      <c r="H358" s="5" t="str">
        <f>IFERROR(__xludf.DUMMYFUNCTION("GOOGLETRANSLATE(C358,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58" s="5" t="str">
        <f>IFERROR(__xludf.DUMMYFUNCTION("GOOGLETRANSLATE(D358, ""en"", ""hi"")"),"A) प्रतिद्वंद्वी को भ्रमित करने के लिए")</f>
        <v>A) प्रतिद्वंद्वी को भ्रमित करने के लिए</v>
      </c>
    </row>
    <row r="359" ht="22.5" customHeight="1">
      <c r="A359" s="2">
        <v>358.0</v>
      </c>
      <c r="B359" s="3" t="s">
        <v>9873</v>
      </c>
      <c r="C359" s="3" t="s">
        <v>9737</v>
      </c>
      <c r="D359" s="3" t="s">
        <v>9716</v>
      </c>
      <c r="F359" s="5" t="str">
        <f>IFERROR(__xludf.DUMMYFUNCTION("GOOGLETRANSLATE(A359, ""en"", ""hi"")"),"358")</f>
        <v>358</v>
      </c>
      <c r="G359" s="5" t="str">
        <f>IFERROR(__xludf.DUMMYFUNCTION("GOOGLETRANSLATE(B359, ""en"", ""hi"")"),"सिलंबम मैच के दौरान, प्रतिद्वंद्वी तेज़ तिरछे प्रहार करता है। अभ्यासकर्ता को प्रभावी ढंग से कैसे प्रतिक्रिया देनी चाहिए?")</f>
        <v>सिलंबम मैच के दौरान, प्रतिद्वंद्वी तेज़ तिरछे प्रहार करता है। अभ्यासकर्ता को प्रभावी ढंग से कैसे प्रतिक्रिया देनी चाहिए?</v>
      </c>
      <c r="H359" s="5" t="str">
        <f>IFERROR(__xludf.DUMMYFUNCTION("GOOGLETRANSLATE(C359,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59" s="5" t="str">
        <f>IFERROR(__xludf.DUMMYFUNCTION("GOOGLETRANSLATE(D359, ""en"", ""hi"")"),"ए) ब्लॉक और काउंटर")</f>
        <v>ए) ब्लॉक और काउंटर</v>
      </c>
    </row>
    <row r="360" ht="22.5" customHeight="1">
      <c r="A360" s="2">
        <v>359.0</v>
      </c>
      <c r="B360" s="3" t="s">
        <v>9874</v>
      </c>
      <c r="C360" s="3" t="s">
        <v>9776</v>
      </c>
      <c r="D360" s="3" t="s">
        <v>9220</v>
      </c>
      <c r="F360" s="5" t="str">
        <f>IFERROR(__xludf.DUMMYFUNCTION("GOOGLETRANSLATE(A360, ""en"", ""hi"")"),"359")</f>
        <v>359</v>
      </c>
      <c r="G360" s="5" t="str">
        <f>IFERROR(__xludf.DUMMYFUNCTION("GOOGLETRANSLATE(B360, ""en"", ""hi"")"),"सिलंबम द्वंद्वयुद्ध में, अभ्यासी प्रतिद्वंद्वी के पैरों पर निशाना साधते हुए एक घूमता हुआ प्रहार करता है। इस युद्धाभ्यास का मुख्य उद्देश्य क्या है?")</f>
        <v>सिलंबम द्वंद्वयुद्ध में, अभ्यासी प्रतिद्वंद्वी के पैरों पर निशाना साधते हुए एक घूमता हुआ प्रहार करता है। इस युद्धाभ्यास का मुख्य उद्देश्य क्या है?</v>
      </c>
      <c r="H360" s="5" t="str">
        <f>IFERROR(__xludf.DUMMYFUNCTION("GOOGLETRANSLATE(C360,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360" s="5" t="str">
        <f>IFERROR(__xludf.DUMMYFUNCTION("GOOGLETRANSLATE(D360, ""en"", ""hi"")"),"A) प्रतिद्वंद्वी का संतुलन बिगाड़ना")</f>
        <v>A) प्रतिद्वंद्वी का संतुलन बिगाड़ना</v>
      </c>
    </row>
    <row r="361" ht="22.5" customHeight="1">
      <c r="A361" s="2">
        <v>360.0</v>
      </c>
      <c r="B361" s="3" t="s">
        <v>9875</v>
      </c>
      <c r="C361" s="3" t="s">
        <v>9740</v>
      </c>
      <c r="D361" s="3" t="s">
        <v>9741</v>
      </c>
      <c r="F361" s="5" t="str">
        <f>IFERROR(__xludf.DUMMYFUNCTION("GOOGLETRANSLATE(A361, ""en"", ""hi"")"),"360")</f>
        <v>360</v>
      </c>
      <c r="G361" s="5" t="str">
        <f>IFERROR(__xludf.DUMMYFUNCTION("GOOGLETRANSLATE(B361, ""en"", ""hi"")"),"एक अभ्यासकर्ता का सामना ऐसे प्रतिद्वंद्वी से होता है जो अक्सर ऊँचे प्रहार करता है। इस दृष्टिकोण का मुकाबला करने की सबसे अच्छी तकनीक क्या है?")</f>
        <v>एक अभ्यासकर्ता का सामना ऐसे प्रतिद्वंद्वी से होता है जो अक्सर ऊँचे प्रहार करता है। इस दृष्टिकोण का मुकाबला करने की सबसे अच्छी तकनीक क्या है?</v>
      </c>
      <c r="H361" s="5" t="str">
        <f>IFERROR(__xludf.DUMMYFUNCTION("GOOGLETRANSLATE(C361,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61" s="5" t="str">
        <f>IFERROR(__xludf.DUMMYFUNCTION("GOOGLETRANSLATE(D361, ""en"", ""hi"")"),"बी) फाइन्ट और हाई स्ट्राइक")</f>
        <v>बी) फाइन्ट और हाई स्ट्राइक</v>
      </c>
    </row>
    <row r="362" ht="22.5" customHeight="1">
      <c r="A362" s="2">
        <v>361.0</v>
      </c>
      <c r="B362" s="3" t="s">
        <v>9876</v>
      </c>
      <c r="C362" s="3" t="s">
        <v>9733</v>
      </c>
      <c r="D362" s="3" t="s">
        <v>9323</v>
      </c>
      <c r="F362" s="5" t="str">
        <f>IFERROR(__xludf.DUMMYFUNCTION("GOOGLETRANSLATE(A362, ""en"", ""hi"")"),"361")</f>
        <v>361</v>
      </c>
      <c r="G362" s="5" t="str">
        <f>IFERROR(__xludf.DUMMYFUNCTION("GOOGLETRANSLATE(B362, ""en"", ""hi"")"),"सिलंबम प्रदर्शन के दौरान, अभ्यासकर्ता एक ऐसी तकनीक का उपयोग करता है जिसमें पहले ऊँचा छलावा और फिर नीचे की ओर प्रहार करना शामिल होता है। इस युद्धाभ्यास का मुख्य उद्देश्य क्या है?")</f>
        <v>सिलंबम प्रदर्शन के दौरान, अभ्यासकर्ता एक ऐसी तकनीक का उपयोग करता है जिसमें पहले ऊँचा छलावा और फिर नीचे की ओर प्रहार करना शामिल होता है। इस युद्धाभ्यास का मुख्य उद्देश्य क्या है?</v>
      </c>
      <c r="H362" s="5" t="str">
        <f>IFERROR(__xludf.DUMMYFUNCTION("GOOGLETRANSLATE(C362,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62" s="5" t="str">
        <f>IFERROR(__xludf.DUMMYFUNCTION("GOOGLETRANSLATE(D362, ""en"", ""hi"")"),"A) प्रतिद्वंद्वी को भ्रमित करने के लिए")</f>
        <v>A) प्रतिद्वंद्वी को भ्रमित करने के लिए</v>
      </c>
    </row>
    <row r="363" ht="22.5" customHeight="1">
      <c r="A363" s="2">
        <v>362.0</v>
      </c>
      <c r="B363" s="3" t="s">
        <v>9877</v>
      </c>
      <c r="C363" s="3" t="s">
        <v>9737</v>
      </c>
      <c r="D363" s="3" t="s">
        <v>9716</v>
      </c>
      <c r="F363" s="5" t="str">
        <f>IFERROR(__xludf.DUMMYFUNCTION("GOOGLETRANSLATE(A363, ""en"", ""hi"")"),"362")</f>
        <v>362</v>
      </c>
      <c r="G363" s="5" t="str">
        <f>IFERROR(__xludf.DUMMYFUNCTION("GOOGLETRANSLATE(B363, ""en"", ""hi"")"),"सिलंबम मुकाबले में, प्रतिद्वंद्वी तीव्र पार्श्व प्रहार करता है। अभ्यासकर्ता को संतुलन बनाए रखते हुए इस रणनीति का प्रतिकार कैसे करना चाहिए?")</f>
        <v>सिलंबम मुकाबले में, प्रतिद्वंद्वी तीव्र पार्श्व प्रहार करता है। अभ्यासकर्ता को संतुलन बनाए रखते हुए इस रणनीति का प्रतिकार कैसे करना चाहिए?</v>
      </c>
      <c r="H363" s="5" t="str">
        <f>IFERROR(__xludf.DUMMYFUNCTION("GOOGLETRANSLATE(C363,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63" s="5" t="str">
        <f>IFERROR(__xludf.DUMMYFUNCTION("GOOGLETRANSLATE(D363, ""en"", ""hi"")"),"ए) ब्लॉक और काउंटर")</f>
        <v>ए) ब्लॉक और काउंटर</v>
      </c>
    </row>
    <row r="364" ht="22.5" customHeight="1">
      <c r="A364" s="2">
        <v>363.0</v>
      </c>
      <c r="B364" s="3" t="s">
        <v>9878</v>
      </c>
      <c r="C364" s="3" t="s">
        <v>9730</v>
      </c>
      <c r="D364" s="3" t="s">
        <v>9731</v>
      </c>
      <c r="F364" s="5" t="str">
        <f>IFERROR(__xludf.DUMMYFUNCTION("GOOGLETRANSLATE(A364, ""en"", ""hi"")"),"363")</f>
        <v>363</v>
      </c>
      <c r="G364" s="5" t="str">
        <f>IFERROR(__xludf.DUMMYFUNCTION("GOOGLETRANSLATE(B364, ""en"", ""hi"")"),"एक अभ्यासकर्ता का सामना ऐसे प्रतिद्वंद्वी से होता है जो तेज़ पार्श्व गति का प्रयोग करता है। इस शैली का मुकाबला करने के लिए क्या रणनीति अपनाई जानी चाहिए?")</f>
        <v>एक अभ्यासकर्ता का सामना ऐसे प्रतिद्वंद्वी से होता है जो तेज़ पार्श्व गति का प्रयोग करता है। इस शैली का मुकाबला करने के लिए क्या रणनीति अपनाई जानी चाहिए?</v>
      </c>
      <c r="H364" s="5" t="str">
        <f>IFERROR(__xludf.DUMMYFUNCTION("GOOGLETRANSLATE(C364, ""en"", ""hi"")"),"A) गति बढ़ाएँ, B) फुटवर्क और दूरी पर ध्यान केंद्रित करें, C) रक्षात्मक ब्लॉक का उपयोग करें, D) तीव्र हमले करें")</f>
        <v>A) गति बढ़ाएँ, B) फुटवर्क और दूरी पर ध्यान केंद्रित करें, C) रक्षात्मक ब्लॉक का उपयोग करें, D) तीव्र हमले करें</v>
      </c>
      <c r="I364" s="5" t="str">
        <f>IFERROR(__xludf.DUMMYFUNCTION("GOOGLETRANSLATE(D364, ""en"", ""hi"")"),"बी) फुटवर्क और दूरी पर ध्यान केंद्रित करें")</f>
        <v>बी) फुटवर्क और दूरी पर ध्यान केंद्रित करें</v>
      </c>
    </row>
    <row r="365" ht="22.5" customHeight="1">
      <c r="A365" s="2">
        <v>364.0</v>
      </c>
      <c r="B365" s="3" t="s">
        <v>9879</v>
      </c>
      <c r="C365" s="3" t="s">
        <v>9826</v>
      </c>
      <c r="D365" s="3" t="s">
        <v>9323</v>
      </c>
      <c r="F365" s="5" t="str">
        <f>IFERROR(__xludf.DUMMYFUNCTION("GOOGLETRANSLATE(A365, ""en"", ""hi"")"),"364")</f>
        <v>364</v>
      </c>
      <c r="G365" s="5" t="str">
        <f>IFERROR(__xludf.DUMMYFUNCTION("GOOGLETRANSLATE(B365, ""en"", ""hi"")"),"सिलंबम मुकाबले के दौरान, अभ्यासकर्ता प्रतिद्वंद्वी के हमले का जवाब देने के लिए एक घूमने वाली तकनीक का उपयोग करता है। इस युद्धाभ्यास का मुख्य उद्देश्य क्या है?")</f>
        <v>सिलंबम मुकाबले के दौरान, अभ्यासकर्ता प्रतिद्वंद्वी के हमले का जवाब देने के लिए एक घूमने वाली तकनीक का उपयोग करता है। इस युद्धाभ्यास का मुख्य उद्देश्य क्या है?</v>
      </c>
      <c r="H365" s="5" t="str">
        <f>IFERROR(__xludf.DUMMYFUNCTION("GOOGLETRANSLATE(C365,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65" s="5" t="str">
        <f>IFERROR(__xludf.DUMMYFUNCTION("GOOGLETRANSLATE(D365, ""en"", ""hi"")"),"A) प्रतिद्वंद्वी को भ्रमित करने के लिए")</f>
        <v>A) प्रतिद्वंद्वी को भ्रमित करने के लिए</v>
      </c>
    </row>
    <row r="366" ht="22.5" customHeight="1">
      <c r="A366" s="2">
        <v>365.0</v>
      </c>
      <c r="B366" s="3" t="s">
        <v>9880</v>
      </c>
      <c r="C366" s="3" t="s">
        <v>9737</v>
      </c>
      <c r="D366" s="3" t="s">
        <v>9716</v>
      </c>
      <c r="F366" s="5" t="str">
        <f>IFERROR(__xludf.DUMMYFUNCTION("GOOGLETRANSLATE(A366, ""en"", ""hi"")"),"365")</f>
        <v>365</v>
      </c>
      <c r="G366" s="5" t="str">
        <f>IFERROR(__xludf.DUMMYFUNCTION("GOOGLETRANSLATE(B366, ""en"", ""hi"")"),"एक अभ्यासी का सामना ऐसे प्रतिद्वंद्वी से होता है जो तेज़ तिरछे प्रहार करता है। अभ्यासी को इस शैली का प्रभावी ढंग से प्रतिकार कैसे करना चाहिए?")</f>
        <v>एक अभ्यासी का सामना ऐसे प्रतिद्वंद्वी से होता है जो तेज़ तिरछे प्रहार करता है। अभ्यासी को इस शैली का प्रभावी ढंग से प्रतिकार कैसे करना चाहिए?</v>
      </c>
      <c r="H366" s="5" t="str">
        <f>IFERROR(__xludf.DUMMYFUNCTION("GOOGLETRANSLATE(C366,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66" s="5" t="str">
        <f>IFERROR(__xludf.DUMMYFUNCTION("GOOGLETRANSLATE(D366, ""en"", ""hi"")"),"ए) ब्लॉक और काउंटर")</f>
        <v>ए) ब्लॉक और काउंटर</v>
      </c>
    </row>
    <row r="367" ht="22.5" customHeight="1">
      <c r="A367" s="2">
        <v>366.0</v>
      </c>
      <c r="B367" s="3" t="s">
        <v>9881</v>
      </c>
      <c r="C367" s="3" t="s">
        <v>9826</v>
      </c>
      <c r="D367" s="3" t="s">
        <v>9323</v>
      </c>
      <c r="F367" s="5" t="str">
        <f>IFERROR(__xludf.DUMMYFUNCTION("GOOGLETRANSLATE(A367, ""en"", ""hi"")"),"366")</f>
        <v>366</v>
      </c>
      <c r="G367" s="5" t="str">
        <f>IFERROR(__xludf.DUMMYFUNCTION("GOOGLETRANSLATE(B367, ""en"", ""hi"")"),"सिलंबम प्रदर्शन में, साधक प्रहार करने से पहले डंडे को तेज़ी से घुमाने की तकनीक का उपयोग करता है। इस क्रिया का अपेक्षित प्रभाव क्या है?")</f>
        <v>सिलंबम प्रदर्शन में, साधक प्रहार करने से पहले डंडे को तेज़ी से घुमाने की तकनीक का उपयोग करता है। इस क्रिया का अपेक्षित प्रभाव क्या है?</v>
      </c>
      <c r="H367" s="5" t="str">
        <f>IFERROR(__xludf.DUMMYFUNCTION("GOOGLETRANSLATE(C367,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67" s="5" t="str">
        <f>IFERROR(__xludf.DUMMYFUNCTION("GOOGLETRANSLATE(D367, ""en"", ""hi"")"),"A) प्रतिद्वंद्वी को भ्रमित करने के लिए")</f>
        <v>A) प्रतिद्वंद्वी को भ्रमित करने के लिए</v>
      </c>
    </row>
    <row r="368" ht="22.5" customHeight="1">
      <c r="A368" s="2">
        <v>367.0</v>
      </c>
      <c r="B368" s="3" t="s">
        <v>9882</v>
      </c>
      <c r="C368" s="3" t="s">
        <v>9740</v>
      </c>
      <c r="D368" s="3" t="s">
        <v>9741</v>
      </c>
      <c r="F368" s="5" t="str">
        <f>IFERROR(__xludf.DUMMYFUNCTION("GOOGLETRANSLATE(A368, ""en"", ""hi"")"),"367")</f>
        <v>367</v>
      </c>
      <c r="G368" s="5" t="str">
        <f>IFERROR(__xludf.DUMMYFUNCTION("GOOGLETRANSLATE(B368, ""en"", ""hi"")"),"सिलंबम मैच के दौरान, प्रतिद्वंद्वी एक उच्च रक्षक रुख अपनाता है। अभ्यासकर्ता को इस बचाव का प्रभावी ढंग से प्रतिकार कैसे करना चाहिए?")</f>
        <v>सिलंबम मैच के दौरान, प्रतिद्वंद्वी एक उच्च रक्षक रुख अपनाता है। अभ्यासकर्ता को इस बचाव का प्रभावी ढंग से प्रतिकार कैसे करना चाहिए?</v>
      </c>
      <c r="H368" s="5" t="str">
        <f>IFERROR(__xludf.DUMMYFUNCTION("GOOGLETRANSLATE(C368,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68" s="5" t="str">
        <f>IFERROR(__xludf.DUMMYFUNCTION("GOOGLETRANSLATE(D368, ""en"", ""hi"")"),"बी) फाइन्ट और हाई स्ट्राइक")</f>
        <v>बी) फाइन्ट और हाई स्ट्राइक</v>
      </c>
    </row>
    <row r="369" ht="22.5" customHeight="1">
      <c r="A369" s="2">
        <v>368.0</v>
      </c>
      <c r="B369" s="3" t="s">
        <v>9883</v>
      </c>
      <c r="C369" s="3" t="s">
        <v>9856</v>
      </c>
      <c r="D369" s="3" t="s">
        <v>9445</v>
      </c>
      <c r="F369" s="5" t="str">
        <f>IFERROR(__xludf.DUMMYFUNCTION("GOOGLETRANSLATE(A369, ""en"", ""hi"")"),"368")</f>
        <v>368</v>
      </c>
      <c r="G369" s="5" t="str">
        <f>IFERROR(__xludf.DUMMYFUNCTION("GOOGLETRANSLATE(B369, ""en"", ""hi"")"),"एक अभ्यासकर्ता एक ऐसी तकनीक का प्रदर्शन कर रहा है जिसमें आगे बढ़ते हुए बारी-बारी से ऊँचे और नीचे के वार करना शामिल है। इस युद्धाभ्यास का मुख्य लक्ष्य क्या है?")</f>
        <v>एक अभ्यासकर्ता एक ऐसी तकनीक का प्रदर्शन कर रहा है जिसमें आगे बढ़ते हुए बारी-बारी से ऊँचे और नीचे के वार करना शामिल है। इस युद्धाभ्यास का मुख्य लक्ष्य क्या है?</v>
      </c>
      <c r="H369" s="5" t="str">
        <f>IFERROR(__xludf.DUMMYFUNCTION("GOOGLETRANSLATE(C369,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369" s="5" t="str">
        <f>IFERROR(__xludf.DUMMYFUNCTION("GOOGLETRANSLATE(D369, ""en"", ""hi"")"),"A) प्रतिद्वंद्वी को परास्त करना")</f>
        <v>A) प्रतिद्वंद्वी को परास्त करना</v>
      </c>
    </row>
    <row r="370" ht="22.5" customHeight="1">
      <c r="A370" s="2">
        <v>369.0</v>
      </c>
      <c r="B370" s="3" t="s">
        <v>9884</v>
      </c>
      <c r="C370" s="3" t="s">
        <v>9758</v>
      </c>
      <c r="D370" s="3" t="s">
        <v>9587</v>
      </c>
      <c r="F370" s="5" t="str">
        <f>IFERROR(__xludf.DUMMYFUNCTION("GOOGLETRANSLATE(A370, ""en"", ""hi"")"),"369")</f>
        <v>369</v>
      </c>
      <c r="G370" s="5" t="str">
        <f>IFERROR(__xludf.DUMMYFUNCTION("GOOGLETRANSLATE(B370, ""en"", ""hi"")"),"सिलंबम द्वंद्वयुद्ध में, प्रतिद्वंद्वी अक्सर कम तीव्रता वाले प्रहारों का प्रयोग करता है। अभ्यासकर्ता को इस शैली का प्रभावी ढंग से प्रतिकार कैसे करना चाहिए?")</f>
        <v>सिलंबम द्वंद्वयुद्ध में, प्रतिद्वंद्वी अक्सर कम तीव्रता वाले प्रहारों का प्रयोग करता है। अभ्यासकर्ता को इस शैली का प्रभावी ढंग से प्रतिकार कैसे करना चाहिए?</v>
      </c>
      <c r="H370" s="5" t="str">
        <f>IFERROR(__xludf.DUMMYFUNCTION("GOOGLETRANSLATE(C370,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370" s="5" t="str">
        <f>IFERROR(__xludf.DUMMYFUNCTION("GOOGLETRANSLATE(D370, ""en"", ""hi"")"),"बी) ब्लॉक लो और काउंटर")</f>
        <v>बी) ब्लॉक लो और काउंटर</v>
      </c>
    </row>
    <row r="371" ht="22.5" customHeight="1">
      <c r="A371" s="2">
        <v>370.0</v>
      </c>
      <c r="B371" s="3" t="s">
        <v>9885</v>
      </c>
      <c r="C371" s="3" t="s">
        <v>9654</v>
      </c>
      <c r="D371" s="3" t="s">
        <v>9655</v>
      </c>
      <c r="F371" s="5" t="str">
        <f>IFERROR(__xludf.DUMMYFUNCTION("GOOGLETRANSLATE(A371, ""en"", ""hi"")"),"370")</f>
        <v>370</v>
      </c>
      <c r="G371" s="5" t="str">
        <f>IFERROR(__xludf.DUMMYFUNCTION("GOOGLETRANSLATE(B371, ""en"", ""hi"")"),"सिलंबम मुकाबले के दौरान, अभ्यासी का सामना एक ऐसे प्रतिद्वंद्वी से होता है जो तेज़ प्रहार करता है। अभ्यासी को इन हमलों का जवाब कैसे देना चाहिए?")</f>
        <v>सिलंबम मुकाबले के दौरान, अभ्यासी का सामना एक ऐसे प्रतिद्वंद्वी से होता है जो तेज़ प्रहार करता है। अभ्यासी को इन हमलों का जवाब कैसे देना चाहिए?</v>
      </c>
      <c r="H371" s="5" t="str">
        <f>IFERROR(__xludf.DUMMYFUNCTION("GOOGLETRANSLATE(C371,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371" s="5" t="str">
        <f>IFERROR(__xludf.DUMMYFUNCTION("GOOGLETRANSLATE(D371, ""en"", ""hi"")"),"सी) साइड स्टेप और स्ट्राइक")</f>
        <v>सी) साइड स्टेप और स्ट्राइक</v>
      </c>
    </row>
    <row r="372" ht="22.5" customHeight="1">
      <c r="A372" s="2">
        <v>371.0</v>
      </c>
      <c r="B372" s="3" t="s">
        <v>9886</v>
      </c>
      <c r="C372" s="3" t="s">
        <v>9826</v>
      </c>
      <c r="D372" s="3" t="s">
        <v>9323</v>
      </c>
      <c r="F372" s="5" t="str">
        <f>IFERROR(__xludf.DUMMYFUNCTION("GOOGLETRANSLATE(A372, ""en"", ""hi"")"),"371")</f>
        <v>371</v>
      </c>
      <c r="G372" s="5" t="str">
        <f>IFERROR(__xludf.DUMMYFUNCTION("GOOGLETRANSLATE(B372, ""en"", ""hi"")"),"एक अभ्यासकर्ता प्रतिद्वंद्वी के हमले के जवाब में घूमने की तकनीक का इस्तेमाल करता है। इस युद्धाभ्यास का मुख्य उद्देश्य क्या है?")</f>
        <v>एक अभ्यासकर्ता प्रतिद्वंद्वी के हमले के जवाब में घूमने की तकनीक का इस्तेमाल करता है। इस युद्धाभ्यास का मुख्य उद्देश्य क्या है?</v>
      </c>
      <c r="H372" s="5" t="str">
        <f>IFERROR(__xludf.DUMMYFUNCTION("GOOGLETRANSLATE(C372,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72" s="5" t="str">
        <f>IFERROR(__xludf.DUMMYFUNCTION("GOOGLETRANSLATE(D372, ""en"", ""hi"")"),"A) प्रतिद्वंद्वी को भ्रमित करने के लिए")</f>
        <v>A) प्रतिद्वंद्वी को भ्रमित करने के लिए</v>
      </c>
    </row>
    <row r="373" ht="22.5" customHeight="1">
      <c r="A373" s="2">
        <v>372.0</v>
      </c>
      <c r="B373" s="3" t="s">
        <v>9887</v>
      </c>
      <c r="C373" s="3" t="s">
        <v>9737</v>
      </c>
      <c r="D373" s="3" t="s">
        <v>9716</v>
      </c>
      <c r="F373" s="5" t="str">
        <f>IFERROR(__xludf.DUMMYFUNCTION("GOOGLETRANSLATE(A373, ""en"", ""hi"")"),"372")</f>
        <v>372</v>
      </c>
      <c r="G373" s="5" t="str">
        <f>IFERROR(__xludf.DUMMYFUNCTION("GOOGLETRANSLATE(B373, ""en"", ""hi"")"),"सिलंबम द्वंद्वयुद्ध के दौरान, प्रतिद्वंद्वी तीव्र क्षैतिज प्रहारों की एक श्रृंखला का उपयोग करता है। सबसे प्रभावी प्रति-प्रयोग तकनीक क्या है?")</f>
        <v>सिलंबम द्वंद्वयुद्ध के दौरान, प्रतिद्वंद्वी तीव्र क्षैतिज प्रहारों की एक श्रृंखला का उपयोग करता है। सबसे प्रभावी प्रति-प्रयोग तकनीक क्या है?</v>
      </c>
      <c r="H373" s="5" t="str">
        <f>IFERROR(__xludf.DUMMYFUNCTION("GOOGLETRANSLATE(C373,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73" s="5" t="str">
        <f>IFERROR(__xludf.DUMMYFUNCTION("GOOGLETRANSLATE(D373, ""en"", ""hi"")"),"ए) ब्लॉक और काउंटर")</f>
        <v>ए) ब्लॉक और काउंटर</v>
      </c>
    </row>
    <row r="374" ht="22.5" customHeight="1">
      <c r="A374" s="2">
        <v>373.0</v>
      </c>
      <c r="B374" s="3" t="s">
        <v>9888</v>
      </c>
      <c r="C374" s="3" t="s">
        <v>9737</v>
      </c>
      <c r="D374" s="3" t="s">
        <v>9716</v>
      </c>
      <c r="F374" s="5" t="str">
        <f>IFERROR(__xludf.DUMMYFUNCTION("GOOGLETRANSLATE(A374, ""en"", ""hi"")"),"373")</f>
        <v>373</v>
      </c>
      <c r="G374" s="5" t="str">
        <f>IFERROR(__xludf.DUMMYFUNCTION("GOOGLETRANSLATE(B374, ""en"", ""hi"")"),"एक अभ्यासकर्ता का सामना एक ऐसे प्रतिद्वंद्वी से होता है जो तेज़ ऊर्ध्वाधर प्रहार करता है। इस आक्रमण का प्रभावी ढंग से प्रतिकार करने के लिए किस तकनीक का उपयोग किया जाना चाहिए?")</f>
        <v>एक अभ्यासकर्ता का सामना एक ऐसे प्रतिद्वंद्वी से होता है जो तेज़ ऊर्ध्वाधर प्रहार करता है। इस आक्रमण का प्रभावी ढंग से प्रतिकार करने के लिए किस तकनीक का उपयोग किया जाना चाहिए?</v>
      </c>
      <c r="H374" s="5" t="str">
        <f>IFERROR(__xludf.DUMMYFUNCTION("GOOGLETRANSLATE(C374,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74" s="5" t="str">
        <f>IFERROR(__xludf.DUMMYFUNCTION("GOOGLETRANSLATE(D374, ""en"", ""hi"")"),"ए) ब्लॉक और काउंटर")</f>
        <v>ए) ब्लॉक और काउंटर</v>
      </c>
    </row>
    <row r="375" ht="22.5" customHeight="1">
      <c r="A375" s="2">
        <v>374.0</v>
      </c>
      <c r="B375" s="3" t="s">
        <v>9889</v>
      </c>
      <c r="C375" s="3" t="s">
        <v>9733</v>
      </c>
      <c r="D375" s="3" t="s">
        <v>9323</v>
      </c>
      <c r="F375" s="5" t="str">
        <f>IFERROR(__xludf.DUMMYFUNCTION("GOOGLETRANSLATE(A375, ""en"", ""hi"")"),"374")</f>
        <v>374</v>
      </c>
      <c r="G375" s="5" t="str">
        <f>IFERROR(__xludf.DUMMYFUNCTION("GOOGLETRANSLATE(B375, ""en"", ""hi"")"),"सिलंबम मैच में, अभ्यासकर्ता एक ऐसी तकनीक का उपयोग करता है जिसमें पहले ऊँचा छल और फिर नीचे की ओर प्रहार शामिल होता है। इस युद्धाभ्यास का अपेक्षित प्रभाव क्या है?")</f>
        <v>सिलंबम मैच में, अभ्यासकर्ता एक ऐसी तकनीक का उपयोग करता है जिसमें पहले ऊँचा छल और फिर नीचे की ओर प्रहार शामिल होता है। इस युद्धाभ्यास का अपेक्षित प्रभाव क्या है?</v>
      </c>
      <c r="H375" s="5" t="str">
        <f>IFERROR(__xludf.DUMMYFUNCTION("GOOGLETRANSLATE(C375,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75" s="5" t="str">
        <f>IFERROR(__xludf.DUMMYFUNCTION("GOOGLETRANSLATE(D375, ""en"", ""hi"")"),"A) प्रतिद्वंद्वी को भ्रमित करने के लिए")</f>
        <v>A) प्रतिद्वंद्वी को भ्रमित करने के लिए</v>
      </c>
    </row>
    <row r="376" ht="22.5" customHeight="1">
      <c r="A376" s="2">
        <v>375.0</v>
      </c>
      <c r="B376" s="3" t="s">
        <v>9890</v>
      </c>
      <c r="C376" s="3" t="s">
        <v>9776</v>
      </c>
      <c r="D376" s="3" t="s">
        <v>9220</v>
      </c>
      <c r="F376" s="5" t="str">
        <f>IFERROR(__xludf.DUMMYFUNCTION("GOOGLETRANSLATE(A376, ""en"", ""hi"")"),"375")</f>
        <v>375</v>
      </c>
      <c r="G376" s="5" t="str">
        <f>IFERROR(__xludf.DUMMYFUNCTION("GOOGLETRANSLATE(B376, ""en"", ""hi"")"),"सिलंबम प्रदर्शन के दौरान, अभ्यासकर्ता प्रतिद्वंद्वी के पैरों पर निशाना साधते हुए एक घूमता हुआ प्रहार करता है। इस युद्धाभ्यास का मुख्य लक्ष्य क्या है?")</f>
        <v>सिलंबम प्रदर्शन के दौरान, अभ्यासकर्ता प्रतिद्वंद्वी के पैरों पर निशाना साधते हुए एक घूमता हुआ प्रहार करता है। इस युद्धाभ्यास का मुख्य लक्ष्य क्या है?</v>
      </c>
      <c r="H376" s="5" t="str">
        <f>IFERROR(__xludf.DUMMYFUNCTION("GOOGLETRANSLATE(C376,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376" s="5" t="str">
        <f>IFERROR(__xludf.DUMMYFUNCTION("GOOGLETRANSLATE(D376, ""en"", ""hi"")"),"A) प्रतिद्वंद्वी का संतुलन बिगाड़ना")</f>
        <v>A) प्रतिद्वंद्वी का संतुलन बिगाड़ना</v>
      </c>
    </row>
    <row r="377" ht="22.5" customHeight="1">
      <c r="A377" s="2">
        <v>376.0</v>
      </c>
      <c r="B377" s="3" t="s">
        <v>9891</v>
      </c>
      <c r="C377" s="3" t="s">
        <v>9856</v>
      </c>
      <c r="D377" s="3" t="s">
        <v>9445</v>
      </c>
      <c r="F377" s="5" t="str">
        <f>IFERROR(__xludf.DUMMYFUNCTION("GOOGLETRANSLATE(A377, ""en"", ""hi"")"),"376")</f>
        <v>376</v>
      </c>
      <c r="G377" s="5" t="str">
        <f>IFERROR(__xludf.DUMMYFUNCTION("GOOGLETRANSLATE(B377,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377" s="5" t="str">
        <f>IFERROR(__xludf.DUMMYFUNCTION("GOOGLETRANSLATE(C377,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377" s="5" t="str">
        <f>IFERROR(__xludf.DUMMYFUNCTION("GOOGLETRANSLATE(D377, ""en"", ""hi"")"),"A) प्रतिद्वंद्वी को परास्त करना")</f>
        <v>A) प्रतिद्वंद्वी को परास्त करना</v>
      </c>
    </row>
    <row r="378" ht="22.5" customHeight="1">
      <c r="A378" s="2">
        <v>377.0</v>
      </c>
      <c r="B378" s="3" t="s">
        <v>9892</v>
      </c>
      <c r="C378" s="3" t="s">
        <v>9758</v>
      </c>
      <c r="D378" s="3" t="s">
        <v>9587</v>
      </c>
      <c r="F378" s="5" t="str">
        <f>IFERROR(__xludf.DUMMYFUNCTION("GOOGLETRANSLATE(A378, ""en"", ""hi"")"),"377")</f>
        <v>377</v>
      </c>
      <c r="G378" s="5" t="str">
        <f>IFERROR(__xludf.DUMMYFUNCTION("GOOGLETRANSLATE(B378, ""en"", ""hi"")"),"सिलंबम द्वंद्वयुद्ध में, प्रतिद्वंद्वी अक्सर तेज़ निचले प्रहारों का प्रयोग करता है। अभ्यासकर्ता को इस शैली का प्रभावी ढंग से प्रतिकार कैसे करना चाहिए?")</f>
        <v>सिलंबम द्वंद्वयुद्ध में, प्रतिद्वंद्वी अक्सर तेज़ निचले प्रहारों का प्रयोग करता है। अभ्यासकर्ता को इस शैली का प्रभावी ढंग से प्रतिकार कैसे करना चाहिए?</v>
      </c>
      <c r="H378" s="5" t="str">
        <f>IFERROR(__xludf.DUMMYFUNCTION("GOOGLETRANSLATE(C378,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378" s="5" t="str">
        <f>IFERROR(__xludf.DUMMYFUNCTION("GOOGLETRANSLATE(D378, ""en"", ""hi"")"),"बी) ब्लॉक लो और काउंटर")</f>
        <v>बी) ब्लॉक लो और काउंटर</v>
      </c>
    </row>
    <row r="379" ht="22.5" customHeight="1">
      <c r="A379" s="2">
        <v>378.0</v>
      </c>
      <c r="B379" s="3" t="s">
        <v>9893</v>
      </c>
      <c r="C379" s="3" t="s">
        <v>9654</v>
      </c>
      <c r="D379" s="3" t="s">
        <v>9655</v>
      </c>
      <c r="F379" s="5" t="str">
        <f>IFERROR(__xludf.DUMMYFUNCTION("GOOGLETRANSLATE(A379, ""en"", ""hi"")"),"378")</f>
        <v>378</v>
      </c>
      <c r="G379" s="5" t="str">
        <f>IFERROR(__xludf.DUMMYFUNCTION("GOOGLETRANSLATE(B379, ""en"", ""hi"")"),"सिलंबम मुकाबले के दौरान, अभ्यासकर्ता का सामना एक ऐसे प्रतिद्वंद्वी से होता है जो तेज़ प्रहार करता है। आक्रामक रहते हुए अभ्यासकर्ता को कैसे प्रतिक्रिया देनी चाहिए?")</f>
        <v>सिलंबम मुकाबले के दौरान, अभ्यासकर्ता का सामना एक ऐसे प्रतिद्वंद्वी से होता है जो तेज़ प्रहार करता है। आक्रामक रहते हुए अभ्यासकर्ता को कैसे प्रतिक्रिया देनी चाहिए?</v>
      </c>
      <c r="H379" s="5" t="str">
        <f>IFERROR(__xludf.DUMMYFUNCTION("GOOGLETRANSLATE(C379,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379" s="5" t="str">
        <f>IFERROR(__xludf.DUMMYFUNCTION("GOOGLETRANSLATE(D379, ""en"", ""hi"")"),"सी) साइड स्टेप और स्ट्राइक")</f>
        <v>सी) साइड स्टेप और स्ट्राइक</v>
      </c>
    </row>
    <row r="380" ht="22.5" customHeight="1">
      <c r="A380" s="2">
        <v>379.0</v>
      </c>
      <c r="B380" s="3" t="s">
        <v>9894</v>
      </c>
      <c r="C380" s="3" t="s">
        <v>9730</v>
      </c>
      <c r="D380" s="3" t="s">
        <v>9731</v>
      </c>
      <c r="F380" s="5" t="str">
        <f>IFERROR(__xludf.DUMMYFUNCTION("GOOGLETRANSLATE(A380, ""en"", ""hi"")"),"379")</f>
        <v>379</v>
      </c>
      <c r="G380" s="5" t="str">
        <f>IFERROR(__xludf.DUMMYFUNCTION("GOOGLETRANSLATE(B380, ""en"", ""hi"")"),"एक अभ्यासकर्ता का सामना ऐसे प्रतिद्वंद्वी से होता है जो तेज़ पार्श्व गति का प्रयोग करता है। इस शैली का प्रभावी ढंग से मुकाबला करने के लिए कौन सी रणनीति अपनाई जानी चाहिए?")</f>
        <v>एक अभ्यासकर्ता का सामना ऐसे प्रतिद्वंद्वी से होता है जो तेज़ पार्श्व गति का प्रयोग करता है। इस शैली का प्रभावी ढंग से मुकाबला करने के लिए कौन सी रणनीति अपनाई जानी चाहिए?</v>
      </c>
      <c r="H380" s="5" t="str">
        <f>IFERROR(__xludf.DUMMYFUNCTION("GOOGLETRANSLATE(C380, ""en"", ""hi"")"),"A) गति बढ़ाएँ, B) फुटवर्क और दूरी पर ध्यान केंद्रित करें, C) रक्षात्मक ब्लॉक का उपयोग करें, D) तीव्र हमले करें")</f>
        <v>A) गति बढ़ाएँ, B) फुटवर्क और दूरी पर ध्यान केंद्रित करें, C) रक्षात्मक ब्लॉक का उपयोग करें, D) तीव्र हमले करें</v>
      </c>
      <c r="I380" s="5" t="str">
        <f>IFERROR(__xludf.DUMMYFUNCTION("GOOGLETRANSLATE(D380, ""en"", ""hi"")"),"बी) फुटवर्क और दूरी पर ध्यान केंद्रित करें")</f>
        <v>बी) फुटवर्क और दूरी पर ध्यान केंद्रित करें</v>
      </c>
    </row>
    <row r="381" ht="22.5" customHeight="1">
      <c r="A381" s="2">
        <v>380.0</v>
      </c>
      <c r="B381" s="3" t="s">
        <v>9895</v>
      </c>
      <c r="C381" s="3" t="s">
        <v>9826</v>
      </c>
      <c r="D381" s="3" t="s">
        <v>9323</v>
      </c>
      <c r="F381" s="5" t="str">
        <f>IFERROR(__xludf.DUMMYFUNCTION("GOOGLETRANSLATE(A381, ""en"", ""hi"")"),"380")</f>
        <v>380</v>
      </c>
      <c r="G381" s="5" t="str">
        <f>IFERROR(__xludf.DUMMYFUNCTION("GOOGLETRANSLATE(B381, ""en"", ""hi"")"),"सिलंबम प्रदर्शन के दौरान, अभ्यासकर्ता प्रतिद्वंद्वी के हमले का जवाब देने के लिए एक घूमने वाली तकनीक का उपयोग करता है। इस युद्धाभ्यास का मुख्य उद्देश्य क्या है?")</f>
        <v>सिलंबम प्रदर्शन के दौरान, अभ्यासकर्ता प्रतिद्वंद्वी के हमले का जवाब देने के लिए एक घूमने वाली तकनीक का उपयोग करता है। इस युद्धाभ्यास का मुख्य उद्देश्य क्या है?</v>
      </c>
      <c r="H381" s="5" t="str">
        <f>IFERROR(__xludf.DUMMYFUNCTION("GOOGLETRANSLATE(C381,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81" s="5" t="str">
        <f>IFERROR(__xludf.DUMMYFUNCTION("GOOGLETRANSLATE(D381, ""en"", ""hi"")"),"A) प्रतिद्वंद्वी को भ्रमित करने के लिए")</f>
        <v>A) प्रतिद्वंद्वी को भ्रमित करने के लिए</v>
      </c>
    </row>
    <row r="382" ht="22.5" customHeight="1">
      <c r="A382" s="2">
        <v>381.0</v>
      </c>
      <c r="B382" s="3" t="s">
        <v>9896</v>
      </c>
      <c r="C382" s="3" t="s">
        <v>9856</v>
      </c>
      <c r="D382" s="3" t="s">
        <v>9445</v>
      </c>
      <c r="F382" s="5" t="str">
        <f>IFERROR(__xludf.DUMMYFUNCTION("GOOGLETRANSLATE(A382, ""en"", ""hi"")"),"381")</f>
        <v>381</v>
      </c>
      <c r="G382" s="5" t="str">
        <f>IFERROR(__xludf.DUMMYFUNCTION("GOOGLETRANSLATE(B382, ""en"", ""hi"")"),"एक अभ्यासकर्ता एक ऐसी तकनीक का प्रदर्शन कर रहा है जिसमें आगे बढ़ते हुए बारी-बारी से ऊँचे और नीचे वार करना शामिल है। इस युद्धाभ्यास का मुख्य उद्देश्य क्या है?")</f>
        <v>एक अभ्यासकर्ता एक ऐसी तकनीक का प्रदर्शन कर रहा है जिसमें आगे बढ़ते हुए बारी-बारी से ऊँचे और नीचे वार करना शामिल है। इस युद्धाभ्यास का मुख्य उद्देश्य क्या है?</v>
      </c>
      <c r="H382" s="5" t="str">
        <f>IFERROR(__xludf.DUMMYFUNCTION("GOOGLETRANSLATE(C382,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382" s="5" t="str">
        <f>IFERROR(__xludf.DUMMYFUNCTION("GOOGLETRANSLATE(D382, ""en"", ""hi"")"),"A) प्रतिद्वंद्वी को परास्त करना")</f>
        <v>A) प्रतिद्वंद्वी को परास्त करना</v>
      </c>
    </row>
    <row r="383" ht="22.5" customHeight="1">
      <c r="A383" s="2">
        <v>382.0</v>
      </c>
      <c r="B383" s="3" t="s">
        <v>9897</v>
      </c>
      <c r="C383" s="3" t="s">
        <v>9737</v>
      </c>
      <c r="D383" s="3" t="s">
        <v>9716</v>
      </c>
      <c r="F383" s="5" t="str">
        <f>IFERROR(__xludf.DUMMYFUNCTION("GOOGLETRANSLATE(A383, ""en"", ""hi"")"),"382")</f>
        <v>382</v>
      </c>
      <c r="G383" s="5" t="str">
        <f>IFERROR(__xludf.DUMMYFUNCTION("GOOGLETRANSLATE(B383, ""en"", ""hi"")"),"सिलंबम मुकाबले में, प्रतिद्वंद्वी तेज़ तिरछे प्रहार करता है। अभ्यासकर्ता को इस तरीके का प्रभावी ढंग से प्रतिकार कैसे करना चाहिए?")</f>
        <v>सिलंबम मुकाबले में, प्रतिद्वंद्वी तेज़ तिरछे प्रहार करता है। अभ्यासकर्ता को इस तरीके का प्रभावी ढंग से प्रतिकार कैसे करना चाहिए?</v>
      </c>
      <c r="H383" s="5" t="str">
        <f>IFERROR(__xludf.DUMMYFUNCTION("GOOGLETRANSLATE(C383,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83" s="5" t="str">
        <f>IFERROR(__xludf.DUMMYFUNCTION("GOOGLETRANSLATE(D383, ""en"", ""hi"")"),"ए) ब्लॉक और काउंटर")</f>
        <v>ए) ब्लॉक और काउंटर</v>
      </c>
    </row>
    <row r="384" ht="22.5" customHeight="1">
      <c r="A384" s="2">
        <v>383.0</v>
      </c>
      <c r="B384" s="3" t="s">
        <v>9898</v>
      </c>
      <c r="C384" s="3" t="s">
        <v>9740</v>
      </c>
      <c r="D384" s="3" t="s">
        <v>9741</v>
      </c>
      <c r="F384" s="5" t="str">
        <f>IFERROR(__xludf.DUMMYFUNCTION("GOOGLETRANSLATE(A384, ""en"", ""hi"")"),"383")</f>
        <v>383</v>
      </c>
      <c r="G384" s="5" t="str">
        <f>IFERROR(__xludf.DUMMYFUNCTION("GOOGLETRANSLATE(B384, ""en"", ""hi"")"),"एक अभ्यासकर्ता को ऐसे प्रतिद्वंद्वी का सामना करना पड़ता है जो अक्सर ऊँचे प्रहार करता है। इस दृष्टिकोण का मुकाबला करने की सबसे अच्छी तकनीक क्या है?")</f>
        <v>एक अभ्यासकर्ता को ऐसे प्रतिद्वंद्वी का सामना करना पड़ता है जो अक्सर ऊँचे प्रहार करता है। इस दृष्टिकोण का मुकाबला करने की सबसे अच्छी तकनीक क्या है?</v>
      </c>
      <c r="H384" s="5" t="str">
        <f>IFERROR(__xludf.DUMMYFUNCTION("GOOGLETRANSLATE(C384,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84" s="5" t="str">
        <f>IFERROR(__xludf.DUMMYFUNCTION("GOOGLETRANSLATE(D384, ""en"", ""hi"")"),"बी) फाइन्ट और हाई स्ट्राइक")</f>
        <v>बी) फाइन्ट और हाई स्ट्राइक</v>
      </c>
    </row>
    <row r="385" ht="22.5" customHeight="1">
      <c r="A385" s="2">
        <v>384.0</v>
      </c>
      <c r="B385" s="3" t="s">
        <v>9899</v>
      </c>
      <c r="C385" s="3" t="s">
        <v>9900</v>
      </c>
      <c r="D385" s="3" t="s">
        <v>9901</v>
      </c>
      <c r="F385" s="5" t="str">
        <f>IFERROR(__xludf.DUMMYFUNCTION("GOOGLETRANSLATE(A385, ""en"", ""hi"")"),"384")</f>
        <v>384</v>
      </c>
      <c r="G385" s="5" t="str">
        <f>IFERROR(__xludf.DUMMYFUNCTION("GOOGLETRANSLATE(B385, ""en"", ""hi"")"),"सिलंबम द्वंद्वयुद्ध के दौरान, प्रतिद्वंद्वी लगातार गोलाकार प्रहार करता है। अभ्यासी को इसका जवाब कैसे देना चाहिए?")</f>
        <v>सिलंबम द्वंद्वयुद्ध के दौरान, प्रतिद्वंद्वी लगातार गोलाकार प्रहार करता है। अभ्यासी को इसका जवाब कैसे देना चाहिए?</v>
      </c>
      <c r="H385" s="5" t="str">
        <f>IFERROR(__xludf.DUMMYFUNCTION("GOOGLETRANSLATE(C385, ""en"", ""hi"")"),"A) सीधे प्रहार से जवाबी हमला करना, B) विकर्ण प्रहार का प्रयोग करना, C) बचावात्मक चालें चलना, D) रोकना और प्रतीक्षा करना")</f>
        <v>A) सीधे प्रहार से जवाबी हमला करना, B) विकर्ण प्रहार का प्रयोग करना, C) बचावात्मक चालें चलना, D) रोकना और प्रतीक्षा करना</v>
      </c>
      <c r="I385" s="5" t="str">
        <f>IFERROR(__xludf.DUMMYFUNCTION("GOOGLETRANSLATE(D385, ""en"", ""hi"")"),"A) सीधे प्रहार से जवाबी हमला")</f>
        <v>A) सीधे प्रहार से जवाबी हमला</v>
      </c>
    </row>
    <row r="386" ht="22.5" customHeight="1">
      <c r="A386" s="2">
        <v>385.0</v>
      </c>
      <c r="B386" s="3" t="s">
        <v>9902</v>
      </c>
      <c r="C386" s="3" t="s">
        <v>9903</v>
      </c>
      <c r="D386" s="3" t="s">
        <v>9904</v>
      </c>
      <c r="F386" s="5" t="str">
        <f>IFERROR(__xludf.DUMMYFUNCTION("GOOGLETRANSLATE(A386, ""en"", ""hi"")"),"385")</f>
        <v>385</v>
      </c>
      <c r="G386" s="5" t="str">
        <f>IFERROR(__xludf.DUMMYFUNCTION("GOOGLETRANSLATE(B386, ""en"", ""hi"")"),"एक अभ्यासकर्ता का सामना ऐसे प्रतिद्वंद्वी से होता है जो लगातार आक्रामक और रक्षात्मक रुख अपनाता रहता है। ऐसे प्रतिद्वंद्वी से निपटने की सबसे अच्छी रणनीति क्या है?")</f>
        <v>एक अभ्यासकर्ता का सामना ऐसे प्रतिद्वंद्वी से होता है जो लगातार आक्रामक और रक्षात्मक रुख अपनाता रहता है। ऐसे प्रतिद्वंद्वी से निपटने की सबसे अच्छी रणनीति क्या है?</v>
      </c>
      <c r="H386" s="5" t="str">
        <f>IFERROR(__xludf.DUMMYFUNCTION("GOOGLETRANSLATE(C386, ""en"", ""hi"")"),"A) स्विच और हमले की भविष्यवाणी करें, B) रक्षात्मक रुख बनाए रखें, C) निरंतर हमलों का उपयोग करें, D) फुटवर्क पर ध्यान केंद्रित करें")</f>
        <v>A) स्विच और हमले की भविष्यवाणी करें, B) रक्षात्मक रुख बनाए रखें, C) निरंतर हमलों का उपयोग करें, D) फुटवर्क पर ध्यान केंद्रित करें</v>
      </c>
      <c r="I386" s="5" t="str">
        <f>IFERROR(__xludf.DUMMYFUNCTION("GOOGLETRANSLATE(D386, ""en"", ""hi"")"),"A) स्विच और हमले की भविष्यवाणी करें")</f>
        <v>A) स्विच और हमले की भविष्यवाणी करें</v>
      </c>
    </row>
    <row r="387" ht="22.5" customHeight="1">
      <c r="A387" s="2">
        <v>386.0</v>
      </c>
      <c r="B387" s="3" t="s">
        <v>9905</v>
      </c>
      <c r="C387" s="3" t="s">
        <v>9906</v>
      </c>
      <c r="D387" s="3" t="s">
        <v>9907</v>
      </c>
      <c r="F387" s="5" t="str">
        <f>IFERROR(__xludf.DUMMYFUNCTION("GOOGLETRANSLATE(A387, ""en"", ""hi"")"),"386")</f>
        <v>386</v>
      </c>
      <c r="G387" s="5" t="str">
        <f>IFERROR(__xludf.DUMMYFUNCTION("GOOGLETRANSLATE(B387, ""en"", ""hi"")"),"सिलंबम मुकाबले में, अभ्यासकर्ता का सामना ऐसे प्रतिद्वंद्वी से होता है जो अक्सर लो स्वीप करता है। सबसे प्रभावी काउंटर तकनीक क्या है?")</f>
        <v>सिलंबम मुकाबले में, अभ्यासकर्ता का सामना ऐसे प्रतिद्वंद्वी से होता है जो अक्सर लो स्वीप करता है। सबसे प्रभावी काउंटर तकनीक क्या है?</v>
      </c>
      <c r="H387" s="5" t="str">
        <f>IFERROR(__xludf.DUMMYFUNCTION("GOOGLETRANSLATE(C387, ""en"", ""hi"")"),"ए) उच्च गार्ड और काउंटर, बी) निम्न गार्ड और काउंटर, सी) बचाव युद्धाभ्यास, डी) स्पिनिंग स्ट्राइक")</f>
        <v>ए) उच्च गार्ड और काउंटर, बी) निम्न गार्ड और काउंटर, सी) बचाव युद्धाभ्यास, डी) स्पिनिंग स्ट्राइक</v>
      </c>
      <c r="I387" s="5" t="str">
        <f>IFERROR(__xludf.DUMMYFUNCTION("GOOGLETRANSLATE(D387, ""en"", ""hi"")"),"ए) उच्च गार्ड और काउंटर")</f>
        <v>ए) उच्च गार्ड और काउंटर</v>
      </c>
    </row>
    <row r="388" ht="22.5" customHeight="1">
      <c r="A388" s="2">
        <v>387.0</v>
      </c>
      <c r="B388" s="3" t="s">
        <v>9908</v>
      </c>
      <c r="C388" s="3" t="s">
        <v>9909</v>
      </c>
      <c r="D388" s="3" t="s">
        <v>9910</v>
      </c>
      <c r="F388" s="5" t="str">
        <f>IFERROR(__xludf.DUMMYFUNCTION("GOOGLETRANSLATE(A388, ""en"", ""hi"")"),"387")</f>
        <v>387</v>
      </c>
      <c r="G388" s="5" t="str">
        <f>IFERROR(__xludf.DUMMYFUNCTION("GOOGLETRANSLATE(B388, ""en"", ""hi"")"),"सिलंबम प्रदर्शन के दौरान, अभ्यासकर्ता एक ऐसी तकनीक का उपयोग करता है जिसमें त्वरित और एक के बाद एक प्रहार शामिल होते हैं। इस अभ्यास का मुख्य उद्देश्य क्या है?")</f>
        <v>सिलंबम प्रदर्शन के दौरान, अभ्यासकर्ता एक ऐसी तकनीक का उपयोग करता है जिसमें त्वरित और एक के बाद एक प्रहार शामिल होते हैं। इस अभ्यास का मुख्य उद्देश्य क्या है?</v>
      </c>
      <c r="H388" s="5" t="str">
        <f>IFERROR(__xludf.DUMMYFUNCTION("GOOGLETRANSLATE(C388, ""en"", ""hi"")"),"A) प्रतिद्वंद्वी को भ्रमित करने के लिए, B) शक्ति बढ़ाने के लिए, C) लय बनाए रखने के लिए, D) कौशल दिखाने के लिए")</f>
        <v>A) प्रतिद्वंद्वी को भ्रमित करने के लिए, B) शक्ति बढ़ाने के लिए, C) लय बनाए रखने के लिए, D) कौशल दिखाने के लिए</v>
      </c>
      <c r="I388" s="5" t="str">
        <f>IFERROR(__xludf.DUMMYFUNCTION("GOOGLETRANSLATE(D388, ""en"", ""hi"")"),"C) लय बनाए रखने के लिए")</f>
        <v>C) लय बनाए रखने के लिए</v>
      </c>
    </row>
    <row r="389" ht="22.5" customHeight="1">
      <c r="A389" s="2">
        <v>388.0</v>
      </c>
      <c r="B389" s="3" t="s">
        <v>9911</v>
      </c>
      <c r="C389" s="3" t="s">
        <v>9912</v>
      </c>
      <c r="D389" s="3" t="s">
        <v>9913</v>
      </c>
      <c r="F389" s="5" t="str">
        <f>IFERROR(__xludf.DUMMYFUNCTION("GOOGLETRANSLATE(A389, ""en"", ""hi"")"),"388")</f>
        <v>388</v>
      </c>
      <c r="G389" s="5" t="str">
        <f>IFERROR(__xludf.DUMMYFUNCTION("GOOGLETRANSLATE(B389, ""en"", ""hi"")"),"एक अभ्यासकर्ता का सामना ऐसे प्रतिद्वंद्वी से होता है जो तेज़ प्रहार करता है। नियंत्रण बनाए रखते हुए इस शैली से बचाव का सबसे अच्छा तरीका क्या है?")</f>
        <v>एक अभ्यासकर्ता का सामना ऐसे प्रतिद्वंद्वी से होता है जो तेज़ प्रहार करता है। नियंत्रण बनाए रखते हुए इस शैली से बचाव का सबसे अच्छा तरीका क्या है?</v>
      </c>
      <c r="H389" s="5" t="str">
        <f>IFERROR(__xludf.DUMMYFUNCTION("GOOGLETRANSLATE(C389, ""en"", ""hi"")"),"ए) रक्षात्मक ब्लॉक और काउंटर का उपयोग करें, बी) चोरी और काउंटर, सी) तेजी से हमले और दबाव, डी) रक्षात्मक युद्धाभ्यास")</f>
        <v>ए) रक्षात्मक ब्लॉक और काउंटर का उपयोग करें, बी) चोरी और काउंटर, सी) तेजी से हमले और दबाव, डी) रक्षात्मक युद्धाभ्यास</v>
      </c>
      <c r="I389" s="5" t="str">
        <f>IFERROR(__xludf.DUMMYFUNCTION("GOOGLETRANSLATE(D389, ""en"", ""hi"")"),"A) रक्षात्मक ब्लॉक और काउंटर का उपयोग करें")</f>
        <v>A) रक्षात्मक ब्लॉक और काउंटर का उपयोग करें</v>
      </c>
    </row>
    <row r="390" ht="22.5" customHeight="1">
      <c r="A390" s="2">
        <v>389.0</v>
      </c>
      <c r="B390" s="3" t="s">
        <v>9914</v>
      </c>
      <c r="C390" s="3" t="s">
        <v>9915</v>
      </c>
      <c r="D390" s="3" t="s">
        <v>9916</v>
      </c>
      <c r="F390" s="5" t="str">
        <f>IFERROR(__xludf.DUMMYFUNCTION("GOOGLETRANSLATE(A390, ""en"", ""hi"")"),"389")</f>
        <v>389</v>
      </c>
      <c r="G390" s="5" t="str">
        <f>IFERROR(__xludf.DUMMYFUNCTION("GOOGLETRANSLATE(B390, ""en"", ""hi"")"),"सिलंबम द्वंद्वयुद्ध में, प्रतिद्वंद्वी लगातार ऊँचे प्रहार करता है। अभ्यासकर्ता को इस दृष्टिकोण का प्रभावी ढंग से प्रतिकार कैसे करना चाहिए?")</f>
        <v>सिलंबम द्वंद्वयुद्ध में, प्रतिद्वंद्वी लगातार ऊँचे प्रहार करता है। अभ्यासकर्ता को इस दृष्टिकोण का प्रभावी ढंग से प्रतिकार कैसे करना चाहिए?</v>
      </c>
      <c r="H390" s="5" t="str">
        <f>IFERROR(__xludf.DUMMYFUNCTION("GOOGLETRANSLATE(C390, ""en"", ""hi"")"),"ए) कम प्रहार, बी) गोलाकार चाल, सी) उच्च सुरक्षा और प्रतिवाद, डी) फाइन्ट और उच्च प्रहार")</f>
        <v>ए) कम प्रहार, बी) गोलाकार चाल, सी) उच्च सुरक्षा और प्रतिवाद, डी) फाइन्ट और उच्च प्रहार</v>
      </c>
      <c r="I390" s="5" t="str">
        <f>IFERROR(__xludf.DUMMYFUNCTION("GOOGLETRANSLATE(D390, ""en"", ""hi"")"),"A) कम स्ट्राइक")</f>
        <v>A) कम स्ट्राइक</v>
      </c>
    </row>
    <row r="391" ht="22.5" customHeight="1">
      <c r="A391" s="2">
        <v>390.0</v>
      </c>
      <c r="B391" s="3" t="s">
        <v>9917</v>
      </c>
      <c r="C391" s="3" t="s">
        <v>9918</v>
      </c>
      <c r="D391" s="3" t="s">
        <v>9716</v>
      </c>
      <c r="F391" s="5" t="str">
        <f>IFERROR(__xludf.DUMMYFUNCTION("GOOGLETRANSLATE(A391, ""en"", ""hi"")"),"390")</f>
        <v>390</v>
      </c>
      <c r="G391" s="5" t="str">
        <f>IFERROR(__xludf.DUMMYFUNCTION("GOOGLETRANSLATE(B391, ""en"", ""hi"")"),"सिलंबम मैच के दौरान, अभ्यासकर्ता का सामना एक ऐसे प्रतिद्वंद्वी से होता है जो बारी-बारी से ऊँचे और नीचे के प्रहार करता है। इस शैली को संभालने का सबसे अच्छा तरीका क्या है?")</f>
        <v>सिलंबम मैच के दौरान, अभ्यासकर्ता का सामना एक ऐसे प्रतिद्वंद्वी से होता है जो बारी-बारी से ऊँचे और नीचे के प्रहार करता है। इस शैली को संभालने का सबसे अच्छा तरीका क्या है?</v>
      </c>
      <c r="H391" s="5" t="str">
        <f>IFERROR(__xludf.DUMMYFUNCTION("GOOGLETRANSLATE(C391, ""en"", ""hi"")"),"ए) ब्लॉक और काउंटर, बी) इवेशन और काउंटर, सी) साइड स्टेप और स्ट्राइक, डी) हाई गार्ड और रक्षात्मक युद्धाभ्यास")</f>
        <v>ए) ब्लॉक और काउंटर, बी) इवेशन और काउंटर, सी) साइड स्टेप और स्ट्राइक, डी) हाई गार्ड और रक्षात्मक युद्धाभ्यास</v>
      </c>
      <c r="I391" s="5" t="str">
        <f>IFERROR(__xludf.DUMMYFUNCTION("GOOGLETRANSLATE(D391, ""en"", ""hi"")"),"ए) ब्लॉक और काउंटर")</f>
        <v>ए) ब्लॉक और काउंटर</v>
      </c>
    </row>
    <row r="392" ht="22.5" customHeight="1">
      <c r="A392" s="2">
        <v>391.0</v>
      </c>
      <c r="B392" s="3" t="s">
        <v>9919</v>
      </c>
      <c r="C392" s="3" t="s">
        <v>9920</v>
      </c>
      <c r="D392" s="3" t="s">
        <v>9274</v>
      </c>
      <c r="F392" s="5" t="str">
        <f>IFERROR(__xludf.DUMMYFUNCTION("GOOGLETRANSLATE(A392, ""en"", ""hi"")"),"391")</f>
        <v>391</v>
      </c>
      <c r="G392" s="5" t="str">
        <f>IFERROR(__xludf.DUMMYFUNCTION("GOOGLETRANSLATE(B392,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392" s="5" t="str">
        <f>IFERROR(__xludf.DUMMYFUNCTION("GOOGLETRANSLATE(C392, ""en"", ""hi"")"),"A) दूरी बनाने के लिए, B) प्रतिद्वंद्वी को भ्रमित करने के लिए, C) बेहतर कोण प्राप्त करने के लिए, D) कौशल दिखाने के लिए")</f>
        <v>A) दूरी बनाने के लिए, B) प्रतिद्वंद्वी को भ्रमित करने के लिए, C) बेहतर कोण प्राप्त करने के लिए, D) कौशल दिखाने के लिए</v>
      </c>
      <c r="I392" s="5" t="str">
        <f>IFERROR(__xludf.DUMMYFUNCTION("GOOGLETRANSLATE(D392, ""en"", ""hi"")"),"बी) प्रतिद्वंद्वी को भ्रमित करने के लिए")</f>
        <v>बी) प्रतिद्वंद्वी को भ्रमित करने के लिए</v>
      </c>
    </row>
    <row r="393" ht="22.5" customHeight="1">
      <c r="A393" s="2">
        <v>392.0</v>
      </c>
      <c r="B393" s="3" t="s">
        <v>9921</v>
      </c>
      <c r="C393" s="3" t="s">
        <v>9922</v>
      </c>
      <c r="D393" s="3" t="s">
        <v>9923</v>
      </c>
      <c r="F393" s="5" t="str">
        <f>IFERROR(__xludf.DUMMYFUNCTION("GOOGLETRANSLATE(A393, ""en"", ""hi"")"),"392")</f>
        <v>392</v>
      </c>
      <c r="G393" s="5" t="str">
        <f>IFERROR(__xludf.DUMMYFUNCTION("GOOGLETRANSLATE(B393, ""en"", ""hi"")"),"सिलंबम द्वंद्वयुद्ध में, प्रतिद्वंद्वी अक्सर तेज़ पार्श्व गति का प्रयोग करता है। इस दृष्टिकोण का मुकाबला करने के लिए अभ्यासकर्ता को अपनी रणनीति को कैसे समायोजित करना चाहिए?")</f>
        <v>सिलंबम द्वंद्वयुद्ध में, प्रतिद्वंद्वी अक्सर तेज़ पार्श्व गति का प्रयोग करता है। इस दृष्टिकोण का मुकाबला करने के लिए अभ्यासकर्ता को अपनी रणनीति को कैसे समायोजित करना चाहिए?</v>
      </c>
      <c r="H393" s="5" t="str">
        <f>IFERROR(__xludf.DUMMYFUNCTION("GOOGLETRANSLATE(C393, ""en"", ""hi"")"),"A) फुटवर्क और दूरी पर ध्यान केंद्रित करें, B) गति बढ़ाएँ, C) रक्षात्मक ब्लॉक का उपयोग करें, D) तीव्र हमले करें")</f>
        <v>A) फुटवर्क और दूरी पर ध्यान केंद्रित करें, B) गति बढ़ाएँ, C) रक्षात्मक ब्लॉक का उपयोग करें, D) तीव्र हमले करें</v>
      </c>
      <c r="I393" s="5" t="str">
        <f>IFERROR(__xludf.DUMMYFUNCTION("GOOGLETRANSLATE(D393, ""en"", ""hi"")"),"A) फुटवर्क और दूरी पर ध्यान केंद्रित करें")</f>
        <v>A) फुटवर्क और दूरी पर ध्यान केंद्रित करें</v>
      </c>
    </row>
    <row r="394" ht="22.5" customHeight="1">
      <c r="A394" s="2">
        <v>393.0</v>
      </c>
      <c r="B394" s="3" t="s">
        <v>9924</v>
      </c>
      <c r="C394" s="3" t="s">
        <v>9733</v>
      </c>
      <c r="D394" s="3" t="s">
        <v>9323</v>
      </c>
      <c r="F394" s="5" t="str">
        <f>IFERROR(__xludf.DUMMYFUNCTION("GOOGLETRANSLATE(A394, ""en"", ""hi"")"),"393")</f>
        <v>393</v>
      </c>
      <c r="G394" s="5" t="str">
        <f>IFERROR(__xludf.DUMMYFUNCTION("GOOGLETRANSLATE(B394,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394" s="5" t="str">
        <f>IFERROR(__xludf.DUMMYFUNCTION("GOOGLETRANSLATE(C394,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394" s="5" t="str">
        <f>IFERROR(__xludf.DUMMYFUNCTION("GOOGLETRANSLATE(D394, ""en"", ""hi"")"),"A) प्रतिद्वंद्वी को भ्रमित करने के लिए")</f>
        <v>A) प्रतिद्वंद्वी को भ्रमित करने के लिए</v>
      </c>
    </row>
    <row r="395" ht="22.5" customHeight="1">
      <c r="A395" s="2">
        <v>394.0</v>
      </c>
      <c r="B395" s="3" t="s">
        <v>9925</v>
      </c>
      <c r="C395" s="3" t="s">
        <v>9737</v>
      </c>
      <c r="D395" s="3" t="s">
        <v>9716</v>
      </c>
      <c r="F395" s="5" t="str">
        <f>IFERROR(__xludf.DUMMYFUNCTION("GOOGLETRANSLATE(A395, ""en"", ""hi"")"),"394")</f>
        <v>394</v>
      </c>
      <c r="G395" s="5" t="str">
        <f>IFERROR(__xludf.DUMMYFUNCTION("GOOGLETRANSLATE(B395, ""en"", ""hi"")"),"एक अभ्यासकर्ता का सामना ऐसे प्रतिद्वंद्वी से होता है जो अक्सर तेज़ तिरछे प्रहार करता है। सबसे अच्छी जवाबी तकनीक क्या है?")</f>
        <v>एक अभ्यासकर्ता का सामना ऐसे प्रतिद्वंद्वी से होता है जो अक्सर तेज़ तिरछे प्रहार करता है। सबसे अच्छी जवाबी तकनीक क्या है?</v>
      </c>
      <c r="H395" s="5" t="str">
        <f>IFERROR(__xludf.DUMMYFUNCTION("GOOGLETRANSLATE(C395,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95" s="5" t="str">
        <f>IFERROR(__xludf.DUMMYFUNCTION("GOOGLETRANSLATE(D395, ""en"", ""hi"")"),"ए) ब्लॉक और काउंटर")</f>
        <v>ए) ब्लॉक और काउंटर</v>
      </c>
    </row>
    <row r="396" ht="22.5" customHeight="1">
      <c r="A396" s="2">
        <v>395.0</v>
      </c>
      <c r="B396" s="3" t="s">
        <v>9926</v>
      </c>
      <c r="C396" s="3" t="s">
        <v>9776</v>
      </c>
      <c r="D396" s="3" t="s">
        <v>9220</v>
      </c>
      <c r="F396" s="5" t="str">
        <f>IFERROR(__xludf.DUMMYFUNCTION("GOOGLETRANSLATE(A396, ""en"", ""hi"")"),"395")</f>
        <v>395</v>
      </c>
      <c r="G396" s="5" t="str">
        <f>IFERROR(__xludf.DUMMYFUNCTION("GOOGLETRANSLATE(B396, ""en"", ""hi"")"),"सिलंबम मुकाबले में, अभ्यासकर्ता प्रतिद्वंद्वी के पैरों पर निशाना साधते हुए एक घूमता हुआ प्रहार करता है। इस युद्धाभ्यास का मुख्य लक्ष्य क्या है?")</f>
        <v>सिलंबम मुकाबले में, अभ्यासकर्ता प्रतिद्वंद्वी के पैरों पर निशाना साधते हुए एक घूमता हुआ प्रहार करता है। इस युद्धाभ्यास का मुख्य लक्ष्य क्या है?</v>
      </c>
      <c r="H396" s="5" t="str">
        <f>IFERROR(__xludf.DUMMYFUNCTION("GOOGLETRANSLATE(C396,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396" s="5" t="str">
        <f>IFERROR(__xludf.DUMMYFUNCTION("GOOGLETRANSLATE(D396, ""en"", ""hi"")"),"A) प्रतिद्वंद्वी का संतुलन बिगाड़ना")</f>
        <v>A) प्रतिद्वंद्वी का संतुलन बिगाड़ना</v>
      </c>
    </row>
    <row r="397" ht="22.5" customHeight="1">
      <c r="A397" s="2">
        <v>396.0</v>
      </c>
      <c r="B397" s="3" t="s">
        <v>9927</v>
      </c>
      <c r="C397" s="3" t="s">
        <v>9740</v>
      </c>
      <c r="D397" s="3" t="s">
        <v>9741</v>
      </c>
      <c r="F397" s="5" t="str">
        <f>IFERROR(__xludf.DUMMYFUNCTION("GOOGLETRANSLATE(A397, ""en"", ""hi"")"),"396")</f>
        <v>396</v>
      </c>
      <c r="G397" s="5" t="str">
        <f>IFERROR(__xludf.DUMMYFUNCTION("GOOGLETRANSLATE(B397, ""en"", ""hi"")"),"सिलंबम द्वंद्वयुद्ध के दौरान, प्रतिद्वंद्वी उच्च सुरक्षा रुख अपनाता है। अभ्यासकर्ता को इस बचाव का प्रभावी ढंग से प्रतिकार कैसे करना चाहिए?")</f>
        <v>सिलंबम द्वंद्वयुद्ध के दौरान, प्रतिद्वंद्वी उच्च सुरक्षा रुख अपनाता है। अभ्यासकर्ता को इस बचाव का प्रभावी ढंग से प्रतिकार कैसे करना चाहिए?</v>
      </c>
      <c r="H397" s="5" t="str">
        <f>IFERROR(__xludf.DUMMYFUNCTION("GOOGLETRANSLATE(C397,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397" s="5" t="str">
        <f>IFERROR(__xludf.DUMMYFUNCTION("GOOGLETRANSLATE(D397, ""en"", ""hi"")"),"बी) फाइन्ट और हाई स्ट्राइक")</f>
        <v>बी) फाइन्ट और हाई स्ट्राइक</v>
      </c>
    </row>
    <row r="398" ht="22.5" customHeight="1">
      <c r="A398" s="2">
        <v>397.0</v>
      </c>
      <c r="B398" s="3" t="s">
        <v>9928</v>
      </c>
      <c r="C398" s="3" t="s">
        <v>9826</v>
      </c>
      <c r="D398" s="3" t="s">
        <v>9323</v>
      </c>
      <c r="F398" s="5" t="str">
        <f>IFERROR(__xludf.DUMMYFUNCTION("GOOGLETRANSLATE(A398, ""en"", ""hi"")"),"397")</f>
        <v>397</v>
      </c>
      <c r="G398" s="5" t="str">
        <f>IFERROR(__xludf.DUMMYFUNCTION("GOOGLETRANSLATE(B398, ""en"", ""hi"")"),"एक अभ्यासकर्ता तेज़ी से घूमते हुए प्रहारों वाली एक तकनीक का प्रदर्शन कर रहा है। इस युद्धाभ्यास का मुख्य उद्देश्य क्या है?")</f>
        <v>एक अभ्यासकर्ता तेज़ी से घूमते हुए प्रहारों वाली एक तकनीक का प्रदर्शन कर रहा है। इस युद्धाभ्यास का मुख्य उद्देश्य क्या है?</v>
      </c>
      <c r="H398" s="5" t="str">
        <f>IFERROR(__xludf.DUMMYFUNCTION("GOOGLETRANSLATE(C398,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398" s="5" t="str">
        <f>IFERROR(__xludf.DUMMYFUNCTION("GOOGLETRANSLATE(D398, ""en"", ""hi"")"),"A) प्रतिद्वंद्वी को भ्रमित करने के लिए")</f>
        <v>A) प्रतिद्वंद्वी को भ्रमित करने के लिए</v>
      </c>
    </row>
    <row r="399" ht="22.5" customHeight="1">
      <c r="A399" s="2">
        <v>398.0</v>
      </c>
      <c r="B399" s="3" t="s">
        <v>9929</v>
      </c>
      <c r="C399" s="3" t="s">
        <v>9737</v>
      </c>
      <c r="D399" s="3" t="s">
        <v>9716</v>
      </c>
      <c r="F399" s="5" t="str">
        <f>IFERROR(__xludf.DUMMYFUNCTION("GOOGLETRANSLATE(A399, ""en"", ""hi"")"),"398")</f>
        <v>398</v>
      </c>
      <c r="G399" s="5" t="str">
        <f>IFERROR(__xludf.DUMMYFUNCTION("GOOGLETRANSLATE(B399, ""en"", ""hi"")"),"सिलंबम मैच में, प्रतिद्वंद्वी तेज़ ऊर्ध्वाधर प्रहार करता है। इस हमले का प्रभावी ढंग से मुकाबला करने के लिए किस तकनीक का उपयोग किया जाना चाहिए?")</f>
        <v>सिलंबम मैच में, प्रतिद्वंद्वी तेज़ ऊर्ध्वाधर प्रहार करता है। इस हमले का प्रभावी ढंग से मुकाबला करने के लिए किस तकनीक का उपयोग किया जाना चाहिए?</v>
      </c>
      <c r="H399" s="5" t="str">
        <f>IFERROR(__xludf.DUMMYFUNCTION("GOOGLETRANSLATE(C399,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399" s="5" t="str">
        <f>IFERROR(__xludf.DUMMYFUNCTION("GOOGLETRANSLATE(D399, ""en"", ""hi"")"),"ए) ब्लॉक और काउंटर")</f>
        <v>ए) ब्लॉक और काउंटर</v>
      </c>
    </row>
    <row r="400" ht="22.5" customHeight="1">
      <c r="A400" s="2">
        <v>399.0</v>
      </c>
      <c r="B400" s="3" t="s">
        <v>9930</v>
      </c>
      <c r="C400" s="3" t="s">
        <v>9856</v>
      </c>
      <c r="D400" s="3" t="s">
        <v>9445</v>
      </c>
      <c r="F400" s="5" t="str">
        <f>IFERROR(__xludf.DUMMYFUNCTION("GOOGLETRANSLATE(A400, ""en"", ""hi"")"),"399")</f>
        <v>399</v>
      </c>
      <c r="G400" s="5" t="str">
        <f>IFERROR(__xludf.DUMMYFUNCTION("GOOGLETRANSLATE(B400, ""en"", ""hi"")"),"सिलंबम प्रदर्शन के दौरान, अभ्यासकर्ता एक ऐसी तकनीक का उपयोग करता है जिसमें आगे बढ़ते हुए बारी-बारी से ऊँचे और नीचे के प्रहार किए जाते हैं। इस युद्धाभ्यास का मुख्य लक्ष्य क्या है?")</f>
        <v>सिलंबम प्रदर्शन के दौरान, अभ्यासकर्ता एक ऐसी तकनीक का उपयोग करता है जिसमें आगे बढ़ते हुए बारी-बारी से ऊँचे और नीचे के प्रहार किए जाते हैं। इस युद्धाभ्यास का मुख्य लक्ष्य क्या है?</v>
      </c>
      <c r="H400" s="5" t="str">
        <f>IFERROR(__xludf.DUMMYFUNCTION("GOOGLETRANSLATE(C400,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00" s="5" t="str">
        <f>IFERROR(__xludf.DUMMYFUNCTION("GOOGLETRANSLATE(D400, ""en"", ""hi"")"),"A) प्रतिद्वंद्वी को परास्त करना")</f>
        <v>A) प्रतिद्वंद्वी को परास्त करना</v>
      </c>
    </row>
    <row r="401" ht="22.5" customHeight="1">
      <c r="A401" s="2">
        <v>400.0</v>
      </c>
      <c r="B401" s="3" t="s">
        <v>9931</v>
      </c>
      <c r="C401" s="3" t="s">
        <v>9758</v>
      </c>
      <c r="D401" s="3" t="s">
        <v>9587</v>
      </c>
      <c r="F401" s="5" t="str">
        <f>IFERROR(__xludf.DUMMYFUNCTION("GOOGLETRANSLATE(A401, ""en"", ""hi"")"),"400")</f>
        <v>400</v>
      </c>
      <c r="G401" s="5" t="str">
        <f>IFERROR(__xludf.DUMMYFUNCTION("GOOGLETRANSLATE(B401, ""en"", ""hi"")"),"एक अभ्यासकर्ता का सामना ऐसे प्रतिद्वंद्वी से होता है जो तेज़, कम प्रहार करता है। इस दृष्टिकोण का मुकाबला करने की सबसे अच्छी तकनीक क्या है?")</f>
        <v>एक अभ्यासकर्ता का सामना ऐसे प्रतिद्वंद्वी से होता है जो तेज़, कम प्रहार करता है। इस दृष्टिकोण का मुकाबला करने की सबसे अच्छी तकनीक क्या है?</v>
      </c>
      <c r="H401" s="5" t="str">
        <f>IFERROR(__xludf.DUMMYFUNCTION("GOOGLETRANSLATE(C401, ""en"", ""hi"")"),"A) उच्च प्रहार, B) निम्न अवरोधन और प्रतिकार, C) स्पिन और बचाव, D) रक्षात्मक युद्धाभ्यास")</f>
        <v>A) उच्च प्रहार, B) निम्न अवरोधन और प्रतिकार, C) स्पिन और बचाव, D) रक्षात्मक युद्धाभ्यास</v>
      </c>
      <c r="I401" s="5" t="str">
        <f>IFERROR(__xludf.DUMMYFUNCTION("GOOGLETRANSLATE(D401, ""en"", ""hi"")"),"बी) ब्लॉक लो और काउंटर")</f>
        <v>बी) ब्लॉक लो और काउंटर</v>
      </c>
    </row>
    <row r="402" ht="22.5" customHeight="1">
      <c r="A402" s="2">
        <v>401.0</v>
      </c>
      <c r="B402" s="3" t="s">
        <v>9932</v>
      </c>
      <c r="C402" s="3" t="s">
        <v>9737</v>
      </c>
      <c r="D402" s="3" t="s">
        <v>9716</v>
      </c>
      <c r="F402" s="5" t="str">
        <f>IFERROR(__xludf.DUMMYFUNCTION("GOOGLETRANSLATE(A402, ""en"", ""hi"")"),"401")</f>
        <v>401</v>
      </c>
      <c r="G402" s="5" t="str">
        <f>IFERROR(__xludf.DUMMYFUNCTION("GOOGLETRANSLATE(B402, ""en"", ""hi"")"),"सिलंबम द्वंद्वयुद्ध में, प्रतिद्वंद्वी अक्सर तेज़ पार्श्व प्रहार करता है। अभ्यासकर्ता को इस शैली का प्रभावी ढंग से प्रतिकार कैसे करना चाहिए?")</f>
        <v>सिलंबम द्वंद्वयुद्ध में, प्रतिद्वंद्वी अक्सर तेज़ पार्श्व प्रहार करता है। अभ्यासकर्ता को इस शैली का प्रभावी ढंग से प्रतिकार कैसे करना चाहिए?</v>
      </c>
      <c r="H402" s="5" t="str">
        <f>IFERROR(__xludf.DUMMYFUNCTION("GOOGLETRANSLATE(C402,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02" s="5" t="str">
        <f>IFERROR(__xludf.DUMMYFUNCTION("GOOGLETRANSLATE(D402, ""en"", ""hi"")"),"ए) ब्लॉक और काउंटर")</f>
        <v>ए) ब्लॉक और काउंटर</v>
      </c>
    </row>
    <row r="403" ht="22.5" customHeight="1">
      <c r="A403" s="2">
        <v>402.0</v>
      </c>
      <c r="B403" s="3" t="s">
        <v>9893</v>
      </c>
      <c r="C403" s="3" t="s">
        <v>9654</v>
      </c>
      <c r="D403" s="3" t="s">
        <v>9655</v>
      </c>
      <c r="F403" s="5" t="str">
        <f>IFERROR(__xludf.DUMMYFUNCTION("GOOGLETRANSLATE(A403, ""en"", ""hi"")"),"402")</f>
        <v>402</v>
      </c>
      <c r="G403" s="5" t="str">
        <f>IFERROR(__xludf.DUMMYFUNCTION("GOOGLETRANSLATE(B403, ""en"", ""hi"")"),"सिलंबम मुकाबले के दौरान, अभ्यासकर्ता का सामना एक ऐसे प्रतिद्वंद्वी से होता है जो तेज़ प्रहार करता है। आक्रामक रहते हुए अभ्यासकर्ता को कैसे प्रतिक्रिया देनी चाहिए?")</f>
        <v>सिलंबम मुकाबले के दौरान, अभ्यासकर्ता का सामना एक ऐसे प्रतिद्वंद्वी से होता है जो तेज़ प्रहार करता है। आक्रामक रहते हुए अभ्यासकर्ता को कैसे प्रतिक्रिया देनी चाहिए?</v>
      </c>
      <c r="H403" s="5" t="str">
        <f>IFERROR(__xludf.DUMMYFUNCTION("GOOGLETRANSLATE(C403, ""en"", ""hi"")"),"ए) ब्लॉक और काउंटर, बी) छलांग और जोर, सी) साइड स्टेप और स्ट्राइक, डी) स्पिन और बच निकलना")</f>
        <v>ए) ब्लॉक और काउंटर, बी) छलांग और जोर, सी) साइड स्टेप और स्ट्राइक, डी) स्पिन और बच निकलना</v>
      </c>
      <c r="I403" s="5" t="str">
        <f>IFERROR(__xludf.DUMMYFUNCTION("GOOGLETRANSLATE(D403, ""en"", ""hi"")"),"सी) साइड स्टेप और स्ट्राइक")</f>
        <v>सी) साइड स्टेप और स्ट्राइक</v>
      </c>
    </row>
    <row r="404" ht="22.5" customHeight="1">
      <c r="A404" s="2">
        <v>403.0</v>
      </c>
      <c r="B404" s="3" t="s">
        <v>9886</v>
      </c>
      <c r="C404" s="3" t="s">
        <v>9826</v>
      </c>
      <c r="D404" s="3" t="s">
        <v>9323</v>
      </c>
      <c r="F404" s="5" t="str">
        <f>IFERROR(__xludf.DUMMYFUNCTION("GOOGLETRANSLATE(A404, ""en"", ""hi"")"),"403")</f>
        <v>403</v>
      </c>
      <c r="G404" s="5" t="str">
        <f>IFERROR(__xludf.DUMMYFUNCTION("GOOGLETRANSLATE(B404, ""en"", ""hi"")"),"एक अभ्यासकर्ता प्रतिद्वंद्वी के हमले के जवाब में घूमने की तकनीक का इस्तेमाल करता है। इस युद्धाभ्यास का मुख्य उद्देश्य क्या है?")</f>
        <v>एक अभ्यासकर्ता प्रतिद्वंद्वी के हमले के जवाब में घूमने की तकनीक का इस्तेमाल करता है। इस युद्धाभ्यास का मुख्य उद्देश्य क्या है?</v>
      </c>
      <c r="H404" s="5" t="str">
        <f>IFERROR(__xludf.DUMMYFUNCTION("GOOGLETRANSLATE(C404,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04" s="5" t="str">
        <f>IFERROR(__xludf.DUMMYFUNCTION("GOOGLETRANSLATE(D404, ""en"", ""hi"")"),"A) प्रतिद्वंद्वी को भ्रमित करने के लिए")</f>
        <v>A) प्रतिद्वंद्वी को भ्रमित करने के लिए</v>
      </c>
    </row>
    <row r="405" ht="22.5" customHeight="1">
      <c r="A405" s="2">
        <v>404.0</v>
      </c>
      <c r="B405" s="3" t="s">
        <v>9933</v>
      </c>
      <c r="C405" s="3" t="s">
        <v>9733</v>
      </c>
      <c r="D405" s="3" t="s">
        <v>9323</v>
      </c>
      <c r="F405" s="5" t="str">
        <f>IFERROR(__xludf.DUMMYFUNCTION("GOOGLETRANSLATE(A405, ""en"", ""hi"")"),"404")</f>
        <v>404</v>
      </c>
      <c r="G405" s="5" t="str">
        <f>IFERROR(__xludf.DUMMYFUNCTION("GOOGLETRANSLATE(B405, ""en"", ""hi"")"),"सिलंबम प्रदर्शन के दौरान, अभ्यासकर्ता एक ऐसी तकनीक का उपयोग करता है जिसमें पहले ऊँचा छल और फिर नीचे की ओर प्रहार होता है। इस क्रिया का अपेक्षित प्रभाव क्या है?")</f>
        <v>सिलंबम प्रदर्शन के दौरान, अभ्यासकर्ता एक ऐसी तकनीक का उपयोग करता है जिसमें पहले ऊँचा छल और फिर नीचे की ओर प्रहार होता है। इस क्रिया का अपेक्षित प्रभाव क्या है?</v>
      </c>
      <c r="H405" s="5" t="str">
        <f>IFERROR(__xludf.DUMMYFUNCTION("GOOGLETRANSLATE(C405,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05" s="5" t="str">
        <f>IFERROR(__xludf.DUMMYFUNCTION("GOOGLETRANSLATE(D405, ""en"", ""hi"")"),"A) प्रतिद्वंद्वी को भ्रमित करने के लिए")</f>
        <v>A) प्रतिद्वंद्वी को भ्रमित करने के लिए</v>
      </c>
    </row>
    <row r="406" ht="22.5" customHeight="1">
      <c r="A406" s="2">
        <v>405.0</v>
      </c>
      <c r="B406" s="3" t="s">
        <v>9896</v>
      </c>
      <c r="C406" s="3" t="s">
        <v>9856</v>
      </c>
      <c r="D406" s="3" t="s">
        <v>9445</v>
      </c>
      <c r="F406" s="5" t="str">
        <f>IFERROR(__xludf.DUMMYFUNCTION("GOOGLETRANSLATE(A406, ""en"", ""hi"")"),"405")</f>
        <v>405</v>
      </c>
      <c r="G406" s="5" t="str">
        <f>IFERROR(__xludf.DUMMYFUNCTION("GOOGLETRANSLATE(B406, ""en"", ""hi"")"),"एक अभ्यासकर्ता एक ऐसी तकनीक का प्रदर्शन कर रहा है जिसमें आगे बढ़ते हुए बारी-बारी से ऊँचे और नीचे वार करना शामिल है। इस युद्धाभ्यास का मुख्य उद्देश्य क्या है?")</f>
        <v>एक अभ्यासकर्ता एक ऐसी तकनीक का प्रदर्शन कर रहा है जिसमें आगे बढ़ते हुए बारी-बारी से ऊँचे और नीचे वार करना शामिल है। इस युद्धाभ्यास का मुख्य उद्देश्य क्या है?</v>
      </c>
      <c r="H406" s="5" t="str">
        <f>IFERROR(__xludf.DUMMYFUNCTION("GOOGLETRANSLATE(C406,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06" s="5" t="str">
        <f>IFERROR(__xludf.DUMMYFUNCTION("GOOGLETRANSLATE(D406, ""en"", ""hi"")"),"A) प्रतिद्वंद्वी को परास्त करना")</f>
        <v>A) प्रतिद्वंद्वी को परास्त करना</v>
      </c>
    </row>
    <row r="407" ht="22.5" customHeight="1">
      <c r="A407" s="2">
        <v>406.0</v>
      </c>
      <c r="B407" s="3" t="s">
        <v>9897</v>
      </c>
      <c r="C407" s="3" t="s">
        <v>9737</v>
      </c>
      <c r="D407" s="3" t="s">
        <v>9716</v>
      </c>
      <c r="F407" s="5" t="str">
        <f>IFERROR(__xludf.DUMMYFUNCTION("GOOGLETRANSLATE(A407, ""en"", ""hi"")"),"406")</f>
        <v>406</v>
      </c>
      <c r="G407" s="5" t="str">
        <f>IFERROR(__xludf.DUMMYFUNCTION("GOOGLETRANSLATE(B407, ""en"", ""hi"")"),"सिलंबम मुकाबले में, प्रतिद्वंद्वी तेज़ तिरछे प्रहार करता है। अभ्यासकर्ता को इस तरीके का प्रभावी ढंग से प्रतिकार कैसे करना चाहिए?")</f>
        <v>सिलंबम मुकाबले में, प्रतिद्वंद्वी तेज़ तिरछे प्रहार करता है। अभ्यासकर्ता को इस तरीके का प्रभावी ढंग से प्रतिकार कैसे करना चाहिए?</v>
      </c>
      <c r="H407" s="5" t="str">
        <f>IFERROR(__xludf.DUMMYFUNCTION("GOOGLETRANSLATE(C407,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07" s="5" t="str">
        <f>IFERROR(__xludf.DUMMYFUNCTION("GOOGLETRANSLATE(D407, ""en"", ""hi"")"),"ए) ब्लॉक और काउंटर")</f>
        <v>ए) ब्लॉक और काउंटर</v>
      </c>
    </row>
    <row r="408" ht="22.5" customHeight="1">
      <c r="A408" s="2">
        <v>407.0</v>
      </c>
      <c r="B408" s="3" t="s">
        <v>9898</v>
      </c>
      <c r="C408" s="3" t="s">
        <v>9740</v>
      </c>
      <c r="D408" s="3" t="s">
        <v>9741</v>
      </c>
      <c r="F408" s="5" t="str">
        <f>IFERROR(__xludf.DUMMYFUNCTION("GOOGLETRANSLATE(A408, ""en"", ""hi"")"),"407")</f>
        <v>407</v>
      </c>
      <c r="G408" s="5" t="str">
        <f>IFERROR(__xludf.DUMMYFUNCTION("GOOGLETRANSLATE(B408, ""en"", ""hi"")"),"एक अभ्यासकर्ता को ऐसे प्रतिद्वंद्वी का सामना करना पड़ता है जो अक्सर ऊँचे प्रहार करता है। इस दृष्टिकोण का मुकाबला करने की सबसे अच्छी तकनीक क्या है?")</f>
        <v>एक अभ्यासकर्ता को ऐसे प्रतिद्वंद्वी का सामना करना पड़ता है जो अक्सर ऊँचे प्रहार करता है। इस दृष्टिकोण का मुकाबला करने की सबसे अच्छी तकनीक क्या है?</v>
      </c>
      <c r="H408" s="5" t="str">
        <f>IFERROR(__xludf.DUMMYFUNCTION("GOOGLETRANSLATE(C408,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08" s="5" t="str">
        <f>IFERROR(__xludf.DUMMYFUNCTION("GOOGLETRANSLATE(D408, ""en"", ""hi"")"),"बी) फाइन्ट और हाई स्ट्राइक")</f>
        <v>बी) फाइन्ट और हाई स्ट्राइक</v>
      </c>
    </row>
    <row r="409" ht="22.5" customHeight="1">
      <c r="A409" s="2">
        <v>408.0</v>
      </c>
      <c r="B409" s="3" t="s">
        <v>9934</v>
      </c>
      <c r="C409" s="3" t="s">
        <v>9912</v>
      </c>
      <c r="D409" s="3" t="s">
        <v>9913</v>
      </c>
      <c r="F409" s="5" t="str">
        <f>IFERROR(__xludf.DUMMYFUNCTION("GOOGLETRANSLATE(A409, ""en"", ""hi"")"),"408")</f>
        <v>408</v>
      </c>
      <c r="G409" s="5" t="str">
        <f>IFERROR(__xludf.DUMMYFUNCTION("GOOGLETRANSLATE(B409, ""en"", ""hi"")"),"सिलंबम द्वंद्वयुद्ध में, प्रतिद्वंद्वी लगातार तेज़ प्रहार करता है। अभ्यासी को मुकाबले पर नियंत्रण कैसे बनाए रखना चाहिए?")</f>
        <v>सिलंबम द्वंद्वयुद्ध में, प्रतिद्वंद्वी लगातार तेज़ प्रहार करता है। अभ्यासी को मुकाबले पर नियंत्रण कैसे बनाए रखना चाहिए?</v>
      </c>
      <c r="H409" s="5" t="str">
        <f>IFERROR(__xludf.DUMMYFUNCTION("GOOGLETRANSLATE(C409, ""en"", ""hi"")"),"ए) रक्षात्मक ब्लॉक और काउंटर का उपयोग करें, बी) चोरी और काउंटर, सी) तेजी से हमले और दबाव, डी) रक्षात्मक युद्धाभ्यास")</f>
        <v>ए) रक्षात्मक ब्लॉक और काउंटर का उपयोग करें, बी) चोरी और काउंटर, सी) तेजी से हमले और दबाव, डी) रक्षात्मक युद्धाभ्यास</v>
      </c>
      <c r="I409" s="5" t="str">
        <f>IFERROR(__xludf.DUMMYFUNCTION("GOOGLETRANSLATE(D409, ""en"", ""hi"")"),"A) रक्षात्मक ब्लॉक और काउंटर का उपयोग करें")</f>
        <v>A) रक्षात्मक ब्लॉक और काउंटर का उपयोग करें</v>
      </c>
    </row>
    <row r="410" ht="22.5" customHeight="1">
      <c r="A410" s="2">
        <v>409.0</v>
      </c>
      <c r="B410" s="3" t="s">
        <v>9935</v>
      </c>
      <c r="C410" s="3" t="s">
        <v>9776</v>
      </c>
      <c r="D410" s="3" t="s">
        <v>9220</v>
      </c>
      <c r="F410" s="5" t="str">
        <f>IFERROR(__xludf.DUMMYFUNCTION("GOOGLETRANSLATE(A410, ""en"", ""hi"")"),"409")</f>
        <v>409</v>
      </c>
      <c r="G410" s="5" t="str">
        <f>IFERROR(__xludf.DUMMYFUNCTION("GOOGLETRANSLATE(B410, ""en"", ""hi"")"),"सिलंबम प्रदर्शन के दौरान, अभ्यासकर्ता प्रतिद्वंद्वी के पैरों पर निशाना साधते हुए एक घूमता हुआ प्रहार करता है। इस युद्धाभ्यास का मुख्य लक्ष्य क्या है?")</f>
        <v>सिलंबम प्रदर्शन के दौरान, अभ्यासकर्ता प्रतिद्वंद्वी के पैरों पर निशाना साधते हुए एक घूमता हुआ प्रहार करता है। इस युद्धाभ्यास का मुख्य लक्ष्य क्या है?</v>
      </c>
      <c r="H410" s="5" t="str">
        <f>IFERROR(__xludf.DUMMYFUNCTION("GOOGLETRANSLATE(C410,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410" s="5" t="str">
        <f>IFERROR(__xludf.DUMMYFUNCTION("GOOGLETRANSLATE(D410, ""en"", ""hi"")"),"A) प्रतिद्वंद्वी का संतुलन बिगाड़ना")</f>
        <v>A) प्रतिद्वंद्वी का संतुलन बिगाड़ना</v>
      </c>
    </row>
    <row r="411" ht="22.5" customHeight="1">
      <c r="A411" s="2">
        <v>410.0</v>
      </c>
      <c r="B411" s="3" t="s">
        <v>9936</v>
      </c>
      <c r="C411" s="3" t="s">
        <v>9906</v>
      </c>
      <c r="D411" s="3" t="s">
        <v>9907</v>
      </c>
      <c r="F411" s="5" t="str">
        <f>IFERROR(__xludf.DUMMYFUNCTION("GOOGLETRANSLATE(A411, ""en"", ""hi"")"),"410")</f>
        <v>410</v>
      </c>
      <c r="G411" s="5" t="str">
        <f>IFERROR(__xludf.DUMMYFUNCTION("GOOGLETRANSLATE(B411, ""en"", ""hi"")"),"एक अभ्यासकर्ता का सामना ऐसे प्रतिद्वंद्वी से होता है जो अक्सर लो स्वीप करता है। सबसे प्रभावी काउंटर तकनीक क्या है?")</f>
        <v>एक अभ्यासकर्ता का सामना ऐसे प्रतिद्वंद्वी से होता है जो अक्सर लो स्वीप करता है। सबसे प्रभावी काउंटर तकनीक क्या है?</v>
      </c>
      <c r="H411" s="5" t="str">
        <f>IFERROR(__xludf.DUMMYFUNCTION("GOOGLETRANSLATE(C411, ""en"", ""hi"")"),"ए) उच्च गार्ड और काउंटर, बी) निम्न गार्ड और काउंटर, सी) बचाव युद्धाभ्यास, डी) स्पिनिंग स्ट्राइक")</f>
        <v>ए) उच्च गार्ड और काउंटर, बी) निम्न गार्ड और काउंटर, सी) बचाव युद्धाभ्यास, डी) स्पिनिंग स्ट्राइक</v>
      </c>
      <c r="I411" s="5" t="str">
        <f>IFERROR(__xludf.DUMMYFUNCTION("GOOGLETRANSLATE(D411, ""en"", ""hi"")"),"ए) उच्च गार्ड और काउंटर")</f>
        <v>ए) उच्च गार्ड और काउंटर</v>
      </c>
    </row>
    <row r="412" ht="22.5" customHeight="1">
      <c r="A412" s="2">
        <v>411.0</v>
      </c>
      <c r="B412" s="3" t="s">
        <v>9937</v>
      </c>
      <c r="C412" s="3" t="s">
        <v>9938</v>
      </c>
      <c r="D412" s="3" t="s">
        <v>9939</v>
      </c>
      <c r="F412" s="5" t="str">
        <f>IFERROR(__xludf.DUMMYFUNCTION("GOOGLETRANSLATE(A412, ""en"", ""hi"")"),"411")</f>
        <v>411</v>
      </c>
      <c r="G412" s="5" t="str">
        <f>IFERROR(__xludf.DUMMYFUNCTION("GOOGLETRANSLATE(B412, ""en"", ""hi"")"),"सिलंबम मुकाबले में, प्रतिद्वंद्वी अक्सर तेज़ पार्श्व गति का प्रयोग करता है। इस दृष्टिकोण का मुकाबला करने के लिए अभ्यासकर्ता को किस पर ध्यान केंद्रित करना चाहिए?")</f>
        <v>सिलंबम मुकाबले में, प्रतिद्वंद्वी अक्सर तेज़ पार्श्व गति का प्रयोग करता है। इस दृष्टिकोण का मुकाबला करने के लिए अभ्यासकर्ता को किस पर ध्यान केंद्रित करना चाहिए?</v>
      </c>
      <c r="H412" s="5" t="str">
        <f>IFERROR(__xludf.DUMMYFUNCTION("GOOGLETRANSLATE(C412, ""en"", ""hi"")"),"ए) फुटवर्क और दूरी, बी) गति और शक्ति, सी) रक्षात्मक ब्लॉक, डी) तीव्र हमले")</f>
        <v>ए) फुटवर्क और दूरी, बी) गति और शक्ति, सी) रक्षात्मक ब्लॉक, डी) तीव्र हमले</v>
      </c>
      <c r="I412" s="5" t="str">
        <f>IFERROR(__xludf.DUMMYFUNCTION("GOOGLETRANSLATE(D412, ""en"", ""hi"")"),"A) फुटवर्क और दूरी")</f>
        <v>A) फुटवर्क और दूरी</v>
      </c>
    </row>
    <row r="413" ht="22.5" customHeight="1">
      <c r="A413" s="2">
        <v>412.0</v>
      </c>
      <c r="B413" s="3" t="s">
        <v>9940</v>
      </c>
      <c r="C413" s="3" t="s">
        <v>9826</v>
      </c>
      <c r="D413" s="3" t="s">
        <v>9323</v>
      </c>
      <c r="F413" s="5" t="str">
        <f>IFERROR(__xludf.DUMMYFUNCTION("GOOGLETRANSLATE(A413, ""en"", ""hi"")"),"412")</f>
        <v>412</v>
      </c>
      <c r="G413" s="5" t="str">
        <f>IFERROR(__xludf.DUMMYFUNCTION("GOOGLETRANSLATE(B413, ""en"", ""hi"")"),"एक अभ्यासकर्ता त्वरित घूर्णन प्रहारों वाली एक तकनीक का उपयोग करता है। इस युद्धाभ्यास का प्राथमिक उद्देश्य क्या है?")</f>
        <v>एक अभ्यासकर्ता त्वरित घूर्णन प्रहारों वाली एक तकनीक का उपयोग करता है। इस युद्धाभ्यास का प्राथमिक उद्देश्य क्या है?</v>
      </c>
      <c r="H413" s="5" t="str">
        <f>IFERROR(__xludf.DUMMYFUNCTION("GOOGLETRANSLATE(C413,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13" s="5" t="str">
        <f>IFERROR(__xludf.DUMMYFUNCTION("GOOGLETRANSLATE(D413, ""en"", ""hi"")"),"A) प्रतिद्वंद्वी को भ्रमित करने के लिए")</f>
        <v>A) प्रतिद्वंद्वी को भ्रमित करने के लिए</v>
      </c>
    </row>
    <row r="414" ht="22.5" customHeight="1">
      <c r="A414" s="2">
        <v>413.0</v>
      </c>
      <c r="B414" s="3" t="s">
        <v>9941</v>
      </c>
      <c r="C414" s="3" t="s">
        <v>9737</v>
      </c>
      <c r="D414" s="3" t="s">
        <v>9716</v>
      </c>
      <c r="F414" s="5" t="str">
        <f>IFERROR(__xludf.DUMMYFUNCTION("GOOGLETRANSLATE(A414, ""en"", ""hi"")"),"413")</f>
        <v>413</v>
      </c>
      <c r="G414" s="5" t="str">
        <f>IFERROR(__xludf.DUMMYFUNCTION("GOOGLETRANSLATE(B414, ""en"", ""hi"")"),"सिलंबम द्वंद्वयुद्ध के दौरान, प्रतिद्वंद्वी तीव्र ऊर्ध्वाधर प्रहार करता है। इस आक्रमण का प्रभावी ढंग से प्रतिकार करने के लिए किस तकनीक का उपयोग किया जाना चाहिए?")</f>
        <v>सिलंबम द्वंद्वयुद्ध के दौरान, प्रतिद्वंद्वी तीव्र ऊर्ध्वाधर प्रहार करता है। इस आक्रमण का प्रभावी ढंग से प्रतिकार करने के लिए किस तकनीक का उपयोग किया जाना चाहिए?</v>
      </c>
      <c r="H414" s="5" t="str">
        <f>IFERROR(__xludf.DUMMYFUNCTION("GOOGLETRANSLATE(C414,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14" s="5" t="str">
        <f>IFERROR(__xludf.DUMMYFUNCTION("GOOGLETRANSLATE(D414, ""en"", ""hi"")"),"ए) ब्लॉक और काउंटर")</f>
        <v>ए) ब्लॉक और काउंटर</v>
      </c>
    </row>
    <row r="415" ht="22.5" customHeight="1">
      <c r="A415" s="2">
        <v>414.0</v>
      </c>
      <c r="B415" s="3" t="s">
        <v>9942</v>
      </c>
      <c r="C415" s="3" t="s">
        <v>9733</v>
      </c>
      <c r="D415" s="3" t="s">
        <v>9323</v>
      </c>
      <c r="F415" s="5" t="str">
        <f>IFERROR(__xludf.DUMMYFUNCTION("GOOGLETRANSLATE(A415, ""en"", ""hi"")"),"414")</f>
        <v>414</v>
      </c>
      <c r="G415" s="5" t="str">
        <f>IFERROR(__xludf.DUMMYFUNCTION("GOOGLETRANSLATE(B415, ""en"", ""hi"")"),"एक अभ्यासी पहले ऊँची छलनी का प्रयोग करता है और फिर नीची प्रहार करता है। इस तकनीक का प्राथमिक लक्ष्य क्या है?")</f>
        <v>एक अभ्यासी पहले ऊँची छलनी का प्रयोग करता है और फिर नीची प्रहार करता है। इस तकनीक का प्राथमिक लक्ष्य क्या है?</v>
      </c>
      <c r="H415" s="5" t="str">
        <f>IFERROR(__xludf.DUMMYFUNCTION("GOOGLETRANSLATE(C415,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15" s="5" t="str">
        <f>IFERROR(__xludf.DUMMYFUNCTION("GOOGLETRANSLATE(D415, ""en"", ""hi"")"),"A) प्रतिद्वंद्वी को भ्रमित करने के लिए")</f>
        <v>A) प्रतिद्वंद्वी को भ्रमित करने के लिए</v>
      </c>
    </row>
    <row r="416" ht="22.5" customHeight="1">
      <c r="A416" s="2">
        <v>415.0</v>
      </c>
      <c r="B416" s="3" t="s">
        <v>9943</v>
      </c>
      <c r="C416" s="3" t="s">
        <v>9856</v>
      </c>
      <c r="D416" s="3" t="s">
        <v>9445</v>
      </c>
      <c r="F416" s="5" t="str">
        <f>IFERROR(__xludf.DUMMYFUNCTION("GOOGLETRANSLATE(A416, ""en"", ""hi"")"),"415")</f>
        <v>415</v>
      </c>
      <c r="G416" s="5" t="str">
        <f>IFERROR(__xludf.DUMMYFUNCTION("GOOGLETRANSLATE(B416, ""en"", ""hi"")"),"सिलंबम प्रदर्शन में, अभ्यासकर्ता आगे बढ़ते समय बारी-बारी से ऊँचे और नीचे के प्रहार करता है। इस युद्धाभ्यास का अपेक्षित प्रभाव क्या है?")</f>
        <v>सिलंबम प्रदर्शन में, अभ्यासकर्ता आगे बढ़ते समय बारी-बारी से ऊँचे और नीचे के प्रहार करता है। इस युद्धाभ्यास का अपेक्षित प्रभाव क्या है?</v>
      </c>
      <c r="H416" s="5" t="str">
        <f>IFERROR(__xludf.DUMMYFUNCTION("GOOGLETRANSLATE(C416,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16" s="5" t="str">
        <f>IFERROR(__xludf.DUMMYFUNCTION("GOOGLETRANSLATE(D416, ""en"", ""hi"")"),"A) प्रतिद्वंद्वी को परास्त करना")</f>
        <v>A) प्रतिद्वंद्वी को परास्त करना</v>
      </c>
    </row>
    <row r="417" ht="22.5" customHeight="1">
      <c r="A417" s="2">
        <v>416.0</v>
      </c>
      <c r="B417" s="3" t="s">
        <v>9944</v>
      </c>
      <c r="C417" s="3" t="s">
        <v>9737</v>
      </c>
      <c r="D417" s="3" t="s">
        <v>9716</v>
      </c>
      <c r="F417" s="5" t="str">
        <f>IFERROR(__xludf.DUMMYFUNCTION("GOOGLETRANSLATE(A417, ""en"", ""hi"")"),"416")</f>
        <v>416</v>
      </c>
      <c r="G417" s="5" t="str">
        <f>IFERROR(__xludf.DUMMYFUNCTION("GOOGLETRANSLATE(B417, ""en"", ""hi"")"),"एक अभ्यासी का सामना ऐसे प्रतिद्वंद्वी से होता है जो तेज़ तिरछे प्रहार करता है। अभ्यासी को इस तरीके का मुकाबला करने के लिए क्या करना चाहिए?")</f>
        <v>एक अभ्यासी का सामना ऐसे प्रतिद्वंद्वी से होता है जो तेज़ तिरछे प्रहार करता है। अभ्यासी को इस तरीके का मुकाबला करने के लिए क्या करना चाहिए?</v>
      </c>
      <c r="H417" s="5" t="str">
        <f>IFERROR(__xludf.DUMMYFUNCTION("GOOGLETRANSLATE(C417,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17" s="5" t="str">
        <f>IFERROR(__xludf.DUMMYFUNCTION("GOOGLETRANSLATE(D417, ""en"", ""hi"")"),"ए) ब्लॉक और काउंटर")</f>
        <v>ए) ब्लॉक और काउंटर</v>
      </c>
    </row>
    <row r="418" ht="22.5" customHeight="1">
      <c r="A418" s="2">
        <v>417.0</v>
      </c>
      <c r="B418" s="3" t="s">
        <v>9945</v>
      </c>
      <c r="C418" s="3" t="s">
        <v>9740</v>
      </c>
      <c r="D418" s="3" t="s">
        <v>9916</v>
      </c>
      <c r="F418" s="5" t="str">
        <f>IFERROR(__xludf.DUMMYFUNCTION("GOOGLETRANSLATE(A418, ""en"", ""hi"")"),"417")</f>
        <v>417</v>
      </c>
      <c r="G418" s="5" t="str">
        <f>IFERROR(__xludf.DUMMYFUNCTION("GOOGLETRANSLATE(B418, ""en"", ""hi"")"),"सिलंबम द्वंद्वयुद्ध के दौरान, प्रतिद्वंद्वी अक्सर ऊँचे प्रहार करता है। इस शैली का मुकाबला करने की सबसे अच्छी तकनीक क्या है?")</f>
        <v>सिलंबम द्वंद्वयुद्ध के दौरान, प्रतिद्वंद्वी अक्सर ऊँचे प्रहार करता है। इस शैली का मुकाबला करने की सबसे अच्छी तकनीक क्या है?</v>
      </c>
      <c r="H418" s="5" t="str">
        <f>IFERROR(__xludf.DUMMYFUNCTION("GOOGLETRANSLATE(C418,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18" s="5" t="str">
        <f>IFERROR(__xludf.DUMMYFUNCTION("GOOGLETRANSLATE(D418, ""en"", ""hi"")"),"A) कम स्ट्राइक")</f>
        <v>A) कम स्ट्राइक</v>
      </c>
    </row>
    <row r="419" ht="22.5" customHeight="1">
      <c r="A419" s="2">
        <v>418.0</v>
      </c>
      <c r="B419" s="3" t="s">
        <v>9946</v>
      </c>
      <c r="C419" s="3" t="s">
        <v>9947</v>
      </c>
      <c r="D419" s="3" t="s">
        <v>9655</v>
      </c>
      <c r="F419" s="5" t="str">
        <f>IFERROR(__xludf.DUMMYFUNCTION("GOOGLETRANSLATE(A419, ""en"", ""hi"")"),"418")</f>
        <v>418</v>
      </c>
      <c r="G419" s="5" t="str">
        <f>IFERROR(__xludf.DUMMYFUNCTION("GOOGLETRANSLATE(B419, ""en"", ""hi"")"),"सिलंबम मुकाबले में, अभ्यासकर्ता का सामना एक ऐसे प्रतिद्वंद्वी से होता है जो तेज़ प्रहार करता है। अभ्यासकर्ता को आक्रामक रहते हुए नियंत्रण कैसे बनाए रखना चाहिए?")</f>
        <v>सिलंबम मुकाबले में, अभ्यासकर्ता का सामना एक ऐसे प्रतिद्वंद्वी से होता है जो तेज़ प्रहार करता है। अभ्यासकर्ता को आक्रामक रहते हुए नियंत्रण कैसे बनाए रखना चाहिए?</v>
      </c>
      <c r="H419" s="5" t="str">
        <f>IFERROR(__xludf.DUMMYFUNCTION("GOOGLETRANSLATE(C419, ""en"", ""hi"")"),"ए) रक्षात्मक ब्लॉक और काउंटर का उपयोग करें, बी) छलांग और जोर, सी) साइड स्टेप और स्ट्राइक, डी) स्पिन और बचें")</f>
        <v>ए) रक्षात्मक ब्लॉक और काउंटर का उपयोग करें, बी) छलांग और जोर, सी) साइड स्टेप और स्ट्राइक, डी) स्पिन और बचें</v>
      </c>
      <c r="I419" s="5" t="str">
        <f>IFERROR(__xludf.DUMMYFUNCTION("GOOGLETRANSLATE(D419, ""en"", ""hi"")"),"सी) साइड स्टेप और स्ट्राइक")</f>
        <v>सी) साइड स्टेप और स्ट्राइक</v>
      </c>
    </row>
    <row r="420" ht="22.5" customHeight="1">
      <c r="A420" s="2">
        <v>419.0</v>
      </c>
      <c r="B420" s="3" t="s">
        <v>9919</v>
      </c>
      <c r="C420" s="3" t="s">
        <v>9826</v>
      </c>
      <c r="D420" s="3" t="s">
        <v>9323</v>
      </c>
      <c r="F420" s="5" t="str">
        <f>IFERROR(__xludf.DUMMYFUNCTION("GOOGLETRANSLATE(A420, ""en"", ""hi"")"),"419")</f>
        <v>419</v>
      </c>
      <c r="G420" s="5" t="str">
        <f>IFERROR(__xludf.DUMMYFUNCTION("GOOGLETRANSLATE(B420,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420" s="5" t="str">
        <f>IFERROR(__xludf.DUMMYFUNCTION("GOOGLETRANSLATE(C420,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20" s="5" t="str">
        <f>IFERROR(__xludf.DUMMYFUNCTION("GOOGLETRANSLATE(D420, ""en"", ""hi"")"),"A) प्रतिद्वंद्वी को भ्रमित करने के लिए")</f>
        <v>A) प्रतिद्वंद्वी को भ्रमित करने के लिए</v>
      </c>
    </row>
    <row r="421" ht="22.5" customHeight="1">
      <c r="A421" s="2">
        <v>420.0</v>
      </c>
      <c r="B421" s="3" t="s">
        <v>9924</v>
      </c>
      <c r="C421" s="3" t="s">
        <v>9733</v>
      </c>
      <c r="D421" s="3" t="s">
        <v>9323</v>
      </c>
      <c r="F421" s="5" t="str">
        <f>IFERROR(__xludf.DUMMYFUNCTION("GOOGLETRANSLATE(A421, ""en"", ""hi"")"),"420")</f>
        <v>420</v>
      </c>
      <c r="G421" s="5" t="str">
        <f>IFERROR(__xludf.DUMMYFUNCTION("GOOGLETRANSLATE(B421,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21" s="5" t="str">
        <f>IFERROR(__xludf.DUMMYFUNCTION("GOOGLETRANSLATE(C421,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21" s="5" t="str">
        <f>IFERROR(__xludf.DUMMYFUNCTION("GOOGLETRANSLATE(D421, ""en"", ""hi"")"),"A) प्रतिद्वंद्वी को भ्रमित करने के लिए")</f>
        <v>A) प्रतिद्वंद्वी को भ्रमित करने के लिए</v>
      </c>
    </row>
    <row r="422" ht="22.5" customHeight="1">
      <c r="A422" s="2">
        <v>421.0</v>
      </c>
      <c r="B422" s="3" t="s">
        <v>9891</v>
      </c>
      <c r="C422" s="3" t="s">
        <v>9856</v>
      </c>
      <c r="D422" s="3" t="s">
        <v>9445</v>
      </c>
      <c r="F422" s="5" t="str">
        <f>IFERROR(__xludf.DUMMYFUNCTION("GOOGLETRANSLATE(A422, ""en"", ""hi"")"),"421")</f>
        <v>421</v>
      </c>
      <c r="G422" s="5" t="str">
        <f>IFERROR(__xludf.DUMMYFUNCTION("GOOGLETRANSLATE(B422,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22" s="5" t="str">
        <f>IFERROR(__xludf.DUMMYFUNCTION("GOOGLETRANSLATE(C422,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22" s="5" t="str">
        <f>IFERROR(__xludf.DUMMYFUNCTION("GOOGLETRANSLATE(D422, ""en"", ""hi"")"),"A) प्रतिद्वंद्वी को परास्त करना")</f>
        <v>A) प्रतिद्वंद्वी को परास्त करना</v>
      </c>
    </row>
    <row r="423" ht="22.5" customHeight="1">
      <c r="A423" s="2">
        <v>422.0</v>
      </c>
      <c r="B423" s="3" t="s">
        <v>9948</v>
      </c>
      <c r="C423" s="3" t="s">
        <v>9737</v>
      </c>
      <c r="D423" s="3" t="s">
        <v>9716</v>
      </c>
      <c r="F423" s="5" t="str">
        <f>IFERROR(__xludf.DUMMYFUNCTION("GOOGLETRANSLATE(A423, ""en"", ""hi"")"),"422")</f>
        <v>422</v>
      </c>
      <c r="G423" s="5" t="str">
        <f>IFERROR(__xludf.DUMMYFUNCTION("GOOGLETRANSLATE(B423, ""en"", ""hi"")"),"सिलंबम मुकाबले में, प्रतिद्वंद्वी अक्सर तेज़ तिरछे प्रहार करता है। इस रणनीति का प्रभावी ढंग से मुकाबला करने के लिए अभ्यासकर्ता को कौन सी तकनीक अपनानी चाहिए?")</f>
        <v>सिलंबम मुकाबले में, प्रतिद्वंद्वी अक्सर तेज़ तिरछे प्रहार करता है। इस रणनीति का प्रभावी ढंग से मुकाबला करने के लिए अभ्यासकर्ता को कौन सी तकनीक अपनानी चाहिए?</v>
      </c>
      <c r="H423" s="5" t="str">
        <f>IFERROR(__xludf.DUMMYFUNCTION("GOOGLETRANSLATE(C423,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23" s="5" t="str">
        <f>IFERROR(__xludf.DUMMYFUNCTION("GOOGLETRANSLATE(D423, ""en"", ""hi"")"),"ए) ब्लॉक और काउंटर")</f>
        <v>ए) ब्लॉक और काउंटर</v>
      </c>
    </row>
    <row r="424" ht="22.5" customHeight="1">
      <c r="A424" s="2">
        <v>423.0</v>
      </c>
      <c r="B424" s="3" t="s">
        <v>9949</v>
      </c>
      <c r="C424" s="3" t="s">
        <v>9912</v>
      </c>
      <c r="D424" s="3" t="s">
        <v>9913</v>
      </c>
      <c r="F424" s="5" t="str">
        <f>IFERROR(__xludf.DUMMYFUNCTION("GOOGLETRANSLATE(A424, ""en"", ""hi"")"),"423")</f>
        <v>423</v>
      </c>
      <c r="G424" s="5" t="str">
        <f>IFERROR(__xludf.DUMMYFUNCTION("GOOGLETRANSLATE(B424, ""en"", ""hi"")"),"सिलंबम द्वंद्वयुद्ध के दौरान, प्रतिद्वंद्वी लगातार तेज़ प्रहार करता है। अभ्यासी को मुकाबले पर नियंत्रण कैसे बनाए रखना चाहिए?")</f>
        <v>सिलंबम द्वंद्वयुद्ध के दौरान, प्रतिद्वंद्वी लगातार तेज़ प्रहार करता है। अभ्यासी को मुकाबले पर नियंत्रण कैसे बनाए रखना चाहिए?</v>
      </c>
      <c r="H424" s="5" t="str">
        <f>IFERROR(__xludf.DUMMYFUNCTION("GOOGLETRANSLATE(C424, ""en"", ""hi"")"),"ए) रक्षात्मक ब्लॉक और काउंटर का उपयोग करें, बी) चोरी और काउंटर, सी) तेजी से हमले और दबाव, डी) रक्षात्मक युद्धाभ्यास")</f>
        <v>ए) रक्षात्मक ब्लॉक और काउंटर का उपयोग करें, बी) चोरी और काउंटर, सी) तेजी से हमले और दबाव, डी) रक्षात्मक युद्धाभ्यास</v>
      </c>
      <c r="I424" s="5" t="str">
        <f>IFERROR(__xludf.DUMMYFUNCTION("GOOGLETRANSLATE(D424, ""en"", ""hi"")"),"A) रक्षात्मक ब्लॉक और काउंटर का उपयोग करें")</f>
        <v>A) रक्षात्मक ब्लॉक और काउंटर का उपयोग करें</v>
      </c>
    </row>
    <row r="425" ht="22.5" customHeight="1">
      <c r="A425" s="2">
        <v>424.0</v>
      </c>
      <c r="B425" s="3" t="s">
        <v>9950</v>
      </c>
      <c r="C425" s="3" t="s">
        <v>9776</v>
      </c>
      <c r="D425" s="3" t="s">
        <v>9220</v>
      </c>
      <c r="F425" s="5" t="str">
        <f>IFERROR(__xludf.DUMMYFUNCTION("GOOGLETRANSLATE(A425, ""en"", ""hi"")"),"424")</f>
        <v>424</v>
      </c>
      <c r="G425" s="5" t="str">
        <f>IFERROR(__xludf.DUMMYFUNCTION("GOOGLETRANSLATE(B425, ""en"", ""hi"")"),"एक अभ्यासकर्ता प्रतिद्वंद्वी के पैरों पर निशाना साधते हुए एक घूमता हुआ प्रहार करता है। इस युद्धाभ्यास का मुख्य लक्ष्य क्या है?")</f>
        <v>एक अभ्यासकर्ता प्रतिद्वंद्वी के पैरों पर निशाना साधते हुए एक घूमता हुआ प्रहार करता है। इस युद्धाभ्यास का मुख्य लक्ष्य क्या है?</v>
      </c>
      <c r="H425" s="5" t="str">
        <f>IFERROR(__xludf.DUMMYFUNCTION("GOOGLETRANSLATE(C425,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425" s="5" t="str">
        <f>IFERROR(__xludf.DUMMYFUNCTION("GOOGLETRANSLATE(D425, ""en"", ""hi"")"),"A) प्रतिद्वंद्वी का संतुलन बिगाड़ना")</f>
        <v>A) प्रतिद्वंद्वी का संतुलन बिगाड़ना</v>
      </c>
    </row>
    <row r="426" ht="22.5" customHeight="1">
      <c r="A426" s="2">
        <v>425.0</v>
      </c>
      <c r="B426" s="3" t="s">
        <v>9951</v>
      </c>
      <c r="C426" s="3" t="s">
        <v>9906</v>
      </c>
      <c r="D426" s="3" t="s">
        <v>9907</v>
      </c>
      <c r="F426" s="5" t="str">
        <f>IFERROR(__xludf.DUMMYFUNCTION("GOOGLETRANSLATE(A426, ""en"", ""hi"")"),"425")</f>
        <v>425</v>
      </c>
      <c r="G426" s="5" t="str">
        <f>IFERROR(__xludf.DUMMYFUNCTION("GOOGLETRANSLATE(B426, ""en"", ""hi"")"),"सिलंबम मैच में, प्रतिद्वंद्वी अक्सर लो स्वीप करता है। सबसे प्रभावी काउंटर तकनीक क्या है?")</f>
        <v>सिलंबम मैच में, प्रतिद्वंद्वी अक्सर लो स्वीप करता है। सबसे प्रभावी काउंटर तकनीक क्या है?</v>
      </c>
      <c r="H426" s="5" t="str">
        <f>IFERROR(__xludf.DUMMYFUNCTION("GOOGLETRANSLATE(C426, ""en"", ""hi"")"),"ए) उच्च गार्ड और काउंटर, बी) निम्न गार्ड और काउंटर, सी) बचाव युद्धाभ्यास, डी) स्पिनिंग स्ट्राइक")</f>
        <v>ए) उच्च गार्ड और काउंटर, बी) निम्न गार्ड और काउंटर, सी) बचाव युद्धाभ्यास, डी) स्पिनिंग स्ट्राइक</v>
      </c>
      <c r="I426" s="5" t="str">
        <f>IFERROR(__xludf.DUMMYFUNCTION("GOOGLETRANSLATE(D426, ""en"", ""hi"")"),"ए) उच्च गार्ड और काउंटर")</f>
        <v>ए) उच्च गार्ड और काउंटर</v>
      </c>
    </row>
    <row r="427" ht="22.5" customHeight="1">
      <c r="A427" s="2">
        <v>426.0</v>
      </c>
      <c r="B427" s="3" t="s">
        <v>9952</v>
      </c>
      <c r="C427" s="3" t="s">
        <v>9922</v>
      </c>
      <c r="D427" s="3" t="s">
        <v>9923</v>
      </c>
      <c r="F427" s="5" t="str">
        <f>IFERROR(__xludf.DUMMYFUNCTION("GOOGLETRANSLATE(A427, ""en"", ""hi"")"),"426")</f>
        <v>426</v>
      </c>
      <c r="G427" s="5" t="str">
        <f>IFERROR(__xludf.DUMMYFUNCTION("GOOGLETRANSLATE(B427, ""en"", ""hi"")"),"सिलंबम द्वंद्वयुद्ध के दौरान, प्रतिद्वंद्वी तीव्र पार्श्व गति का प्रयोग करता है। अभ्यासकर्ता को इस शैली का प्रभावी ढंग से प्रतिकार कैसे करना चाहिए?")</f>
        <v>सिलंबम द्वंद्वयुद्ध के दौरान, प्रतिद्वंद्वी तीव्र पार्श्व गति का प्रयोग करता है। अभ्यासकर्ता को इस शैली का प्रभावी ढंग से प्रतिकार कैसे करना चाहिए?</v>
      </c>
      <c r="H427" s="5" t="str">
        <f>IFERROR(__xludf.DUMMYFUNCTION("GOOGLETRANSLATE(C427, ""en"", ""hi"")"),"A) फुटवर्क और दूरी पर ध्यान केंद्रित करें, B) गति बढ़ाएँ, C) रक्षात्मक ब्लॉक का उपयोग करें, D) तीव्र हमले करें")</f>
        <v>A) फुटवर्क और दूरी पर ध्यान केंद्रित करें, B) गति बढ़ाएँ, C) रक्षात्मक ब्लॉक का उपयोग करें, D) तीव्र हमले करें</v>
      </c>
      <c r="I427" s="5" t="str">
        <f>IFERROR(__xludf.DUMMYFUNCTION("GOOGLETRANSLATE(D427, ""en"", ""hi"")"),"A) फुटवर्क और दूरी पर ध्यान केंद्रित करें")</f>
        <v>A) फुटवर्क और दूरी पर ध्यान केंद्रित करें</v>
      </c>
    </row>
    <row r="428" ht="22.5" customHeight="1">
      <c r="A428" s="2">
        <v>427.0</v>
      </c>
      <c r="B428" s="3" t="s">
        <v>9886</v>
      </c>
      <c r="C428" s="3" t="s">
        <v>9826</v>
      </c>
      <c r="D428" s="3" t="s">
        <v>9323</v>
      </c>
      <c r="F428" s="5" t="str">
        <f>IFERROR(__xludf.DUMMYFUNCTION("GOOGLETRANSLATE(A428, ""en"", ""hi"")"),"427")</f>
        <v>427</v>
      </c>
      <c r="G428" s="5" t="str">
        <f>IFERROR(__xludf.DUMMYFUNCTION("GOOGLETRANSLATE(B428, ""en"", ""hi"")"),"एक अभ्यासकर्ता प्रतिद्वंद्वी के हमले के जवाब में घूमने की तकनीक का इस्तेमाल करता है। इस युद्धाभ्यास का मुख्य उद्देश्य क्या है?")</f>
        <v>एक अभ्यासकर्ता प्रतिद्वंद्वी के हमले के जवाब में घूमने की तकनीक का इस्तेमाल करता है। इस युद्धाभ्यास का मुख्य उद्देश्य क्या है?</v>
      </c>
      <c r="H428" s="5" t="str">
        <f>IFERROR(__xludf.DUMMYFUNCTION("GOOGLETRANSLATE(C428,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28" s="5" t="str">
        <f>IFERROR(__xludf.DUMMYFUNCTION("GOOGLETRANSLATE(D428, ""en"", ""hi"")"),"A) प्रतिद्वंद्वी को भ्रमित करने के लिए")</f>
        <v>A) प्रतिद्वंद्वी को भ्रमित करने के लिए</v>
      </c>
    </row>
    <row r="429" ht="22.5" customHeight="1">
      <c r="A429" s="2">
        <v>428.0</v>
      </c>
      <c r="B429" s="3" t="s">
        <v>9924</v>
      </c>
      <c r="C429" s="3" t="s">
        <v>9733</v>
      </c>
      <c r="D429" s="3" t="s">
        <v>9323</v>
      </c>
      <c r="F429" s="5" t="str">
        <f>IFERROR(__xludf.DUMMYFUNCTION("GOOGLETRANSLATE(A429, ""en"", ""hi"")"),"428")</f>
        <v>428</v>
      </c>
      <c r="G429" s="5" t="str">
        <f>IFERROR(__xludf.DUMMYFUNCTION("GOOGLETRANSLATE(B429,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29" s="5" t="str">
        <f>IFERROR(__xludf.DUMMYFUNCTION("GOOGLETRANSLATE(C429,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29" s="5" t="str">
        <f>IFERROR(__xludf.DUMMYFUNCTION("GOOGLETRANSLATE(D429, ""en"", ""hi"")"),"A) प्रतिद्वंद्वी को भ्रमित करने के लिए")</f>
        <v>A) प्रतिद्वंद्वी को भ्रमित करने के लिए</v>
      </c>
    </row>
    <row r="430" ht="22.5" customHeight="1">
      <c r="A430" s="2">
        <v>429.0</v>
      </c>
      <c r="B430" s="3" t="s">
        <v>9891</v>
      </c>
      <c r="C430" s="3" t="s">
        <v>9856</v>
      </c>
      <c r="D430" s="3" t="s">
        <v>9445</v>
      </c>
      <c r="F430" s="5" t="str">
        <f>IFERROR(__xludf.DUMMYFUNCTION("GOOGLETRANSLATE(A430, ""en"", ""hi"")"),"429")</f>
        <v>429</v>
      </c>
      <c r="G430" s="5" t="str">
        <f>IFERROR(__xludf.DUMMYFUNCTION("GOOGLETRANSLATE(B430,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30" s="5" t="str">
        <f>IFERROR(__xludf.DUMMYFUNCTION("GOOGLETRANSLATE(C430,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30" s="5" t="str">
        <f>IFERROR(__xludf.DUMMYFUNCTION("GOOGLETRANSLATE(D430, ""en"", ""hi"")"),"A) प्रतिद्वंद्वी को परास्त करना")</f>
        <v>A) प्रतिद्वंद्वी को परास्त करना</v>
      </c>
    </row>
    <row r="431" ht="22.5" customHeight="1">
      <c r="A431" s="2">
        <v>430.0</v>
      </c>
      <c r="B431" s="3" t="s">
        <v>9953</v>
      </c>
      <c r="C431" s="3" t="s">
        <v>9737</v>
      </c>
      <c r="D431" s="3" t="s">
        <v>9716</v>
      </c>
      <c r="F431" s="5" t="str">
        <f>IFERROR(__xludf.DUMMYFUNCTION("GOOGLETRANSLATE(A431, ""en"", ""hi"")"),"430")</f>
        <v>430</v>
      </c>
      <c r="G431" s="5" t="str">
        <f>IFERROR(__xludf.DUMMYFUNCTION("GOOGLETRANSLATE(B431, ""en"", ""hi"")"),"सिलंबम मैच में, प्रतिद्वंद्वी अक्सर तेज़ तिरछे प्रहार करता है। इस रणनीति का प्रभावी ढंग से मुकाबला करने के लिए किस तकनीक का इस्तेमाल किया जाना चाहिए?")</f>
        <v>सिलंबम मैच में, प्रतिद्वंद्वी अक्सर तेज़ तिरछे प्रहार करता है। इस रणनीति का प्रभावी ढंग से मुकाबला करने के लिए किस तकनीक का इस्तेमाल किया जाना चाहिए?</v>
      </c>
      <c r="H431" s="5" t="str">
        <f>IFERROR(__xludf.DUMMYFUNCTION("GOOGLETRANSLATE(C431,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31" s="5" t="str">
        <f>IFERROR(__xludf.DUMMYFUNCTION("GOOGLETRANSLATE(D431, ""en"", ""hi"")"),"ए) ब्लॉक और काउंटर")</f>
        <v>ए) ब्लॉक और काउंटर</v>
      </c>
    </row>
    <row r="432" ht="22.5" customHeight="1">
      <c r="A432" s="2">
        <v>431.0</v>
      </c>
      <c r="B432" s="3" t="s">
        <v>9954</v>
      </c>
      <c r="C432" s="3" t="s">
        <v>9740</v>
      </c>
      <c r="D432" s="3" t="s">
        <v>9916</v>
      </c>
      <c r="F432" s="5" t="str">
        <f>IFERROR(__xludf.DUMMYFUNCTION("GOOGLETRANSLATE(A432, ""en"", ""hi"")"),"431")</f>
        <v>431</v>
      </c>
      <c r="G432" s="5" t="str">
        <f>IFERROR(__xludf.DUMMYFUNCTION("GOOGLETRANSLATE(B432, ""en"", ""hi"")"),"सिलंबम द्वंद्वयुद्ध के दौरान, प्रतिद्वंद्वी लगातार ऊँचे प्रहार करता है। इस रणनीति का मुकाबला करने की सबसे अच्छी तकनीक क्या है?")</f>
        <v>सिलंबम द्वंद्वयुद्ध के दौरान, प्रतिद्वंद्वी लगातार ऊँचे प्रहार करता है। इस रणनीति का मुकाबला करने की सबसे अच्छी तकनीक क्या है?</v>
      </c>
      <c r="H432" s="5" t="str">
        <f>IFERROR(__xludf.DUMMYFUNCTION("GOOGLETRANSLATE(C432,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32" s="5" t="str">
        <f>IFERROR(__xludf.DUMMYFUNCTION("GOOGLETRANSLATE(D432, ""en"", ""hi"")"),"A) कम स्ट्राइक")</f>
        <v>A) कम स्ट्राइक</v>
      </c>
    </row>
    <row r="433" ht="22.5" customHeight="1">
      <c r="A433" s="2">
        <v>432.0</v>
      </c>
      <c r="B433" s="3" t="s">
        <v>9955</v>
      </c>
      <c r="C433" s="3" t="s">
        <v>9947</v>
      </c>
      <c r="D433" s="3" t="s">
        <v>9655</v>
      </c>
      <c r="F433" s="5" t="str">
        <f>IFERROR(__xludf.DUMMYFUNCTION("GOOGLETRANSLATE(A433, ""en"", ""hi"")"),"432")</f>
        <v>432</v>
      </c>
      <c r="G433" s="5" t="str">
        <f>IFERROR(__xludf.DUMMYFUNCTION("GOOGLETRANSLATE(B433, ""en"", ""hi"")"),"सिलंबम मुकाबले में, अभ्यासकर्ता का सामना एक ऐसे प्रतिद्वंद्वी से होता है जो तेज़ प्रहार करता है। अभ्यासकर्ता को आक्रामक रहते हुए नियंत्रण कैसे बनाए रखना चाहिए?")</f>
        <v>सिलंबम मुकाबले में, अभ्यासकर्ता का सामना एक ऐसे प्रतिद्वंद्वी से होता है जो तेज़ प्रहार करता है। अभ्यासकर्ता को आक्रामक रहते हुए नियंत्रण कैसे बनाए रखना चाहिए?</v>
      </c>
      <c r="H433" s="5" t="str">
        <f>IFERROR(__xludf.DUMMYFUNCTION("GOOGLETRANSLATE(C433, ""en"", ""hi"")"),"ए) रक्षात्मक ब्लॉक और काउंटर का उपयोग करें, बी) छलांग और जोर, सी) साइड स्टेप और स्ट्राइक, डी) स्पिन और बचें")</f>
        <v>ए) रक्षात्मक ब्लॉक और काउंटर का उपयोग करें, बी) छलांग और जोर, सी) साइड स्टेप और स्ट्राइक, डी) स्पिन और बचें</v>
      </c>
      <c r="I433" s="5" t="str">
        <f>IFERROR(__xludf.DUMMYFUNCTION("GOOGLETRANSLATE(D433, ""en"", ""hi"")"),"सी) साइड स्टेप और स्ट्राइक")</f>
        <v>सी) साइड स्टेप और स्ट्राइक</v>
      </c>
    </row>
    <row r="434" ht="22.5" customHeight="1">
      <c r="A434" s="2">
        <v>433.0</v>
      </c>
      <c r="B434" s="3" t="s">
        <v>9919</v>
      </c>
      <c r="C434" s="3" t="s">
        <v>9826</v>
      </c>
      <c r="D434" s="3" t="s">
        <v>9323</v>
      </c>
      <c r="F434" s="5" t="str">
        <f>IFERROR(__xludf.DUMMYFUNCTION("GOOGLETRANSLATE(A434, ""en"", ""hi"")"),"433")</f>
        <v>433</v>
      </c>
      <c r="G434" s="5" t="str">
        <f>IFERROR(__xludf.DUMMYFUNCTION("GOOGLETRANSLATE(B434,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434" s="5" t="str">
        <f>IFERROR(__xludf.DUMMYFUNCTION("GOOGLETRANSLATE(C434,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34" s="5" t="str">
        <f>IFERROR(__xludf.DUMMYFUNCTION("GOOGLETRANSLATE(D434, ""en"", ""hi"")"),"A) प्रतिद्वंद्वी को भ्रमित करने के लिए")</f>
        <v>A) प्रतिद्वंद्वी को भ्रमित करने के लिए</v>
      </c>
    </row>
    <row r="435" ht="22.5" customHeight="1">
      <c r="A435" s="2">
        <v>434.0</v>
      </c>
      <c r="B435" s="3" t="s">
        <v>9924</v>
      </c>
      <c r="C435" s="3" t="s">
        <v>9733</v>
      </c>
      <c r="D435" s="3" t="s">
        <v>9323</v>
      </c>
      <c r="F435" s="5" t="str">
        <f>IFERROR(__xludf.DUMMYFUNCTION("GOOGLETRANSLATE(A435, ""en"", ""hi"")"),"434")</f>
        <v>434</v>
      </c>
      <c r="G435" s="5" t="str">
        <f>IFERROR(__xludf.DUMMYFUNCTION("GOOGLETRANSLATE(B435,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35" s="5" t="str">
        <f>IFERROR(__xludf.DUMMYFUNCTION("GOOGLETRANSLATE(C435,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35" s="5" t="str">
        <f>IFERROR(__xludf.DUMMYFUNCTION("GOOGLETRANSLATE(D435, ""en"", ""hi"")"),"A) प्रतिद्वंद्वी को भ्रमित करने के लिए")</f>
        <v>A) प्रतिद्वंद्वी को भ्रमित करने के लिए</v>
      </c>
    </row>
    <row r="436" ht="22.5" customHeight="1">
      <c r="A436" s="2">
        <v>435.0</v>
      </c>
      <c r="B436" s="3" t="s">
        <v>9891</v>
      </c>
      <c r="C436" s="3" t="s">
        <v>9856</v>
      </c>
      <c r="D436" s="3" t="s">
        <v>9445</v>
      </c>
      <c r="F436" s="5" t="str">
        <f>IFERROR(__xludf.DUMMYFUNCTION("GOOGLETRANSLATE(A436, ""en"", ""hi"")"),"435")</f>
        <v>435</v>
      </c>
      <c r="G436" s="5" t="str">
        <f>IFERROR(__xludf.DUMMYFUNCTION("GOOGLETRANSLATE(B436,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36" s="5" t="str">
        <f>IFERROR(__xludf.DUMMYFUNCTION("GOOGLETRANSLATE(C436,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36" s="5" t="str">
        <f>IFERROR(__xludf.DUMMYFUNCTION("GOOGLETRANSLATE(D436, ""en"", ""hi"")"),"A) प्रतिद्वंद्वी को परास्त करना")</f>
        <v>A) प्रतिद्वंद्वी को परास्त करना</v>
      </c>
    </row>
    <row r="437" ht="22.5" customHeight="1">
      <c r="A437" s="2">
        <v>436.0</v>
      </c>
      <c r="B437" s="3" t="s">
        <v>9948</v>
      </c>
      <c r="C437" s="3" t="s">
        <v>9737</v>
      </c>
      <c r="D437" s="3" t="s">
        <v>9716</v>
      </c>
      <c r="F437" s="5" t="str">
        <f>IFERROR(__xludf.DUMMYFUNCTION("GOOGLETRANSLATE(A437, ""en"", ""hi"")"),"436")</f>
        <v>436</v>
      </c>
      <c r="G437" s="5" t="str">
        <f>IFERROR(__xludf.DUMMYFUNCTION("GOOGLETRANSLATE(B437, ""en"", ""hi"")"),"सिलंबम मुकाबले में, प्रतिद्वंद्वी अक्सर तेज़ तिरछे प्रहार करता है। इस रणनीति का प्रभावी ढंग से मुकाबला करने के लिए अभ्यासकर्ता को कौन सी तकनीक अपनानी चाहिए?")</f>
        <v>सिलंबम मुकाबले में, प्रतिद्वंद्वी अक्सर तेज़ तिरछे प्रहार करता है। इस रणनीति का प्रभावी ढंग से मुकाबला करने के लिए अभ्यासकर्ता को कौन सी तकनीक अपनानी चाहिए?</v>
      </c>
      <c r="H437" s="5" t="str">
        <f>IFERROR(__xludf.DUMMYFUNCTION("GOOGLETRANSLATE(C437,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37" s="5" t="str">
        <f>IFERROR(__xludf.DUMMYFUNCTION("GOOGLETRANSLATE(D437, ""en"", ""hi"")"),"ए) ब्लॉक और काउंटर")</f>
        <v>ए) ब्लॉक और काउंटर</v>
      </c>
    </row>
    <row r="438" ht="22.5" customHeight="1">
      <c r="A438" s="2">
        <v>437.0</v>
      </c>
      <c r="B438" s="3" t="s">
        <v>9949</v>
      </c>
      <c r="C438" s="3" t="s">
        <v>9912</v>
      </c>
      <c r="D438" s="3" t="s">
        <v>9913</v>
      </c>
      <c r="F438" s="5" t="str">
        <f>IFERROR(__xludf.DUMMYFUNCTION("GOOGLETRANSLATE(A438, ""en"", ""hi"")"),"437")</f>
        <v>437</v>
      </c>
      <c r="G438" s="5" t="str">
        <f>IFERROR(__xludf.DUMMYFUNCTION("GOOGLETRANSLATE(B438, ""en"", ""hi"")"),"सिलंबम द्वंद्वयुद्ध के दौरान, प्रतिद्वंद्वी लगातार तेज़ प्रहार करता है। अभ्यासी को मुकाबले पर नियंत्रण कैसे बनाए रखना चाहिए?")</f>
        <v>सिलंबम द्वंद्वयुद्ध के दौरान, प्रतिद्वंद्वी लगातार तेज़ प्रहार करता है। अभ्यासी को मुकाबले पर नियंत्रण कैसे बनाए रखना चाहिए?</v>
      </c>
      <c r="H438" s="5" t="str">
        <f>IFERROR(__xludf.DUMMYFUNCTION("GOOGLETRANSLATE(C438, ""en"", ""hi"")"),"ए) रक्षात्मक ब्लॉक और काउंटर का उपयोग करें, बी) चोरी और काउंटर, सी) तेजी से हमले और दबाव, डी) रक्षात्मक युद्धाभ्यास")</f>
        <v>ए) रक्षात्मक ब्लॉक और काउंटर का उपयोग करें, बी) चोरी और काउंटर, सी) तेजी से हमले और दबाव, डी) रक्षात्मक युद्धाभ्यास</v>
      </c>
      <c r="I438" s="5" t="str">
        <f>IFERROR(__xludf.DUMMYFUNCTION("GOOGLETRANSLATE(D438, ""en"", ""hi"")"),"A) रक्षात्मक ब्लॉक और काउंटर का उपयोग करें")</f>
        <v>A) रक्षात्मक ब्लॉक और काउंटर का उपयोग करें</v>
      </c>
    </row>
    <row r="439" ht="22.5" customHeight="1">
      <c r="A439" s="2">
        <v>438.0</v>
      </c>
      <c r="B439" s="3" t="s">
        <v>9950</v>
      </c>
      <c r="C439" s="3" t="s">
        <v>9776</v>
      </c>
      <c r="D439" s="3" t="s">
        <v>9220</v>
      </c>
      <c r="F439" s="5" t="str">
        <f>IFERROR(__xludf.DUMMYFUNCTION("GOOGLETRANSLATE(A439, ""en"", ""hi"")"),"438")</f>
        <v>438</v>
      </c>
      <c r="G439" s="5" t="str">
        <f>IFERROR(__xludf.DUMMYFUNCTION("GOOGLETRANSLATE(B439, ""en"", ""hi"")"),"एक अभ्यासकर्ता प्रतिद्वंद्वी के पैरों पर निशाना साधते हुए एक घूमता हुआ प्रहार करता है। इस युद्धाभ्यास का मुख्य लक्ष्य क्या है?")</f>
        <v>एक अभ्यासकर्ता प्रतिद्वंद्वी के पैरों पर निशाना साधते हुए एक घूमता हुआ प्रहार करता है। इस युद्धाभ्यास का मुख्य लक्ष्य क्या है?</v>
      </c>
      <c r="H439" s="5" t="str">
        <f>IFERROR(__xludf.DUMMYFUNCTION("GOOGLETRANSLATE(C439, ""en"", ""hi"")"),"A) प्रतिद्वंद्वी का संतुलन बिगाड़ना, B) प्रतिद्वंद्वी को भ्रमित करना, C) दूरी बनाना, D) कौशल दिखाना")</f>
        <v>A) प्रतिद्वंद्वी का संतुलन बिगाड़ना, B) प्रतिद्वंद्वी को भ्रमित करना, C) दूरी बनाना, D) कौशल दिखाना</v>
      </c>
      <c r="I439" s="5" t="str">
        <f>IFERROR(__xludf.DUMMYFUNCTION("GOOGLETRANSLATE(D439, ""en"", ""hi"")"),"A) प्रतिद्वंद्वी का संतुलन बिगाड़ना")</f>
        <v>A) प्रतिद्वंद्वी का संतुलन बिगाड़ना</v>
      </c>
    </row>
    <row r="440" ht="22.5" customHeight="1">
      <c r="A440" s="2">
        <v>439.0</v>
      </c>
      <c r="B440" s="3" t="s">
        <v>9951</v>
      </c>
      <c r="C440" s="3" t="s">
        <v>9906</v>
      </c>
      <c r="D440" s="3" t="s">
        <v>9907</v>
      </c>
      <c r="F440" s="5" t="str">
        <f>IFERROR(__xludf.DUMMYFUNCTION("GOOGLETRANSLATE(A440, ""en"", ""hi"")"),"439")</f>
        <v>439</v>
      </c>
      <c r="G440" s="5" t="str">
        <f>IFERROR(__xludf.DUMMYFUNCTION("GOOGLETRANSLATE(B440, ""en"", ""hi"")"),"सिलंबम मैच में, प्रतिद्वंद्वी अक्सर लो स्वीप करता है। सबसे प्रभावी काउंटर तकनीक क्या है?")</f>
        <v>सिलंबम मैच में, प्रतिद्वंद्वी अक्सर लो स्वीप करता है। सबसे प्रभावी काउंटर तकनीक क्या है?</v>
      </c>
      <c r="H440" s="5" t="str">
        <f>IFERROR(__xludf.DUMMYFUNCTION("GOOGLETRANSLATE(C440, ""en"", ""hi"")"),"ए) उच्च गार्ड और काउंटर, बी) निम्न गार्ड और काउंटर, सी) बचाव युद्धाभ्यास, डी) स्पिनिंग स्ट्राइक")</f>
        <v>ए) उच्च गार्ड और काउंटर, बी) निम्न गार्ड और काउंटर, सी) बचाव युद्धाभ्यास, डी) स्पिनिंग स्ट्राइक</v>
      </c>
      <c r="I440" s="5" t="str">
        <f>IFERROR(__xludf.DUMMYFUNCTION("GOOGLETRANSLATE(D440, ""en"", ""hi"")"),"ए) उच्च गार्ड और काउंटर")</f>
        <v>ए) उच्च गार्ड और काउंटर</v>
      </c>
    </row>
    <row r="441" ht="22.5" customHeight="1">
      <c r="A441" s="2">
        <v>440.0</v>
      </c>
      <c r="B441" s="3" t="s">
        <v>9952</v>
      </c>
      <c r="C441" s="3" t="s">
        <v>9922</v>
      </c>
      <c r="D441" s="3" t="s">
        <v>9923</v>
      </c>
      <c r="F441" s="5" t="str">
        <f>IFERROR(__xludf.DUMMYFUNCTION("GOOGLETRANSLATE(A441, ""en"", ""hi"")"),"440")</f>
        <v>440</v>
      </c>
      <c r="G441" s="5" t="str">
        <f>IFERROR(__xludf.DUMMYFUNCTION("GOOGLETRANSLATE(B441, ""en"", ""hi"")"),"सिलंबम द्वंद्वयुद्ध के दौरान, प्रतिद्वंद्वी तीव्र पार्श्व गति का प्रयोग करता है। अभ्यासकर्ता को इस शैली का प्रभावी ढंग से प्रतिकार कैसे करना चाहिए?")</f>
        <v>सिलंबम द्वंद्वयुद्ध के दौरान, प्रतिद्वंद्वी तीव्र पार्श्व गति का प्रयोग करता है। अभ्यासकर्ता को इस शैली का प्रभावी ढंग से प्रतिकार कैसे करना चाहिए?</v>
      </c>
      <c r="H441" s="5" t="str">
        <f>IFERROR(__xludf.DUMMYFUNCTION("GOOGLETRANSLATE(C441, ""en"", ""hi"")"),"A) फुटवर्क और दूरी पर ध्यान केंद्रित करें, B) गति बढ़ाएँ, C) रक्षात्मक ब्लॉक का उपयोग करें, D) तीव्र हमले करें")</f>
        <v>A) फुटवर्क और दूरी पर ध्यान केंद्रित करें, B) गति बढ़ाएँ, C) रक्षात्मक ब्लॉक का उपयोग करें, D) तीव्र हमले करें</v>
      </c>
      <c r="I441" s="5" t="str">
        <f>IFERROR(__xludf.DUMMYFUNCTION("GOOGLETRANSLATE(D441, ""en"", ""hi"")"),"A) फुटवर्क और दूरी पर ध्यान केंद्रित करें")</f>
        <v>A) फुटवर्क और दूरी पर ध्यान केंद्रित करें</v>
      </c>
    </row>
    <row r="442" ht="22.5" customHeight="1">
      <c r="A442" s="2">
        <v>441.0</v>
      </c>
      <c r="B442" s="3" t="s">
        <v>9886</v>
      </c>
      <c r="C442" s="3" t="s">
        <v>9826</v>
      </c>
      <c r="D442" s="3" t="s">
        <v>9323</v>
      </c>
      <c r="F442" s="5" t="str">
        <f>IFERROR(__xludf.DUMMYFUNCTION("GOOGLETRANSLATE(A442, ""en"", ""hi"")"),"441")</f>
        <v>441</v>
      </c>
      <c r="G442" s="5" t="str">
        <f>IFERROR(__xludf.DUMMYFUNCTION("GOOGLETRANSLATE(B442, ""en"", ""hi"")"),"एक अभ्यासकर्ता प्रतिद्वंद्वी के हमले के जवाब में घूमने की तकनीक का इस्तेमाल करता है। इस युद्धाभ्यास का मुख्य उद्देश्य क्या है?")</f>
        <v>एक अभ्यासकर्ता प्रतिद्वंद्वी के हमले के जवाब में घूमने की तकनीक का इस्तेमाल करता है। इस युद्धाभ्यास का मुख्य उद्देश्य क्या है?</v>
      </c>
      <c r="H442" s="5" t="str">
        <f>IFERROR(__xludf.DUMMYFUNCTION("GOOGLETRANSLATE(C442,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42" s="5" t="str">
        <f>IFERROR(__xludf.DUMMYFUNCTION("GOOGLETRANSLATE(D442, ""en"", ""hi"")"),"A) प्रतिद्वंद्वी को भ्रमित करने के लिए")</f>
        <v>A) प्रतिद्वंद्वी को भ्रमित करने के लिए</v>
      </c>
    </row>
    <row r="443" ht="22.5" customHeight="1">
      <c r="A443" s="2">
        <v>442.0</v>
      </c>
      <c r="B443" s="3" t="s">
        <v>9924</v>
      </c>
      <c r="C443" s="3" t="s">
        <v>9733</v>
      </c>
      <c r="D443" s="3" t="s">
        <v>9323</v>
      </c>
      <c r="F443" s="5" t="str">
        <f>IFERROR(__xludf.DUMMYFUNCTION("GOOGLETRANSLATE(A443, ""en"", ""hi"")"),"442")</f>
        <v>442</v>
      </c>
      <c r="G443" s="5" t="str">
        <f>IFERROR(__xludf.DUMMYFUNCTION("GOOGLETRANSLATE(B443,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43" s="5" t="str">
        <f>IFERROR(__xludf.DUMMYFUNCTION("GOOGLETRANSLATE(C443,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43" s="5" t="str">
        <f>IFERROR(__xludf.DUMMYFUNCTION("GOOGLETRANSLATE(D443, ""en"", ""hi"")"),"A) प्रतिद्वंद्वी को भ्रमित करने के लिए")</f>
        <v>A) प्रतिद्वंद्वी को भ्रमित करने के लिए</v>
      </c>
    </row>
    <row r="444" ht="22.5" customHeight="1">
      <c r="A444" s="2">
        <v>443.0</v>
      </c>
      <c r="B444" s="3" t="s">
        <v>9891</v>
      </c>
      <c r="C444" s="3" t="s">
        <v>9856</v>
      </c>
      <c r="D444" s="3" t="s">
        <v>9445</v>
      </c>
      <c r="F444" s="5" t="str">
        <f>IFERROR(__xludf.DUMMYFUNCTION("GOOGLETRANSLATE(A444, ""en"", ""hi"")"),"443")</f>
        <v>443</v>
      </c>
      <c r="G444" s="5" t="str">
        <f>IFERROR(__xludf.DUMMYFUNCTION("GOOGLETRANSLATE(B444,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44" s="5" t="str">
        <f>IFERROR(__xludf.DUMMYFUNCTION("GOOGLETRANSLATE(C444,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44" s="5" t="str">
        <f>IFERROR(__xludf.DUMMYFUNCTION("GOOGLETRANSLATE(D444, ""en"", ""hi"")"),"A) प्रतिद्वंद्वी को परास्त करना")</f>
        <v>A) प्रतिद्वंद्वी को परास्त करना</v>
      </c>
    </row>
    <row r="445" ht="22.5" customHeight="1">
      <c r="A445" s="2">
        <v>444.0</v>
      </c>
      <c r="B445" s="3" t="s">
        <v>9953</v>
      </c>
      <c r="C445" s="3" t="s">
        <v>9737</v>
      </c>
      <c r="D445" s="3" t="s">
        <v>9716</v>
      </c>
      <c r="F445" s="5" t="str">
        <f>IFERROR(__xludf.DUMMYFUNCTION("GOOGLETRANSLATE(A445, ""en"", ""hi"")"),"444")</f>
        <v>444</v>
      </c>
      <c r="G445" s="5" t="str">
        <f>IFERROR(__xludf.DUMMYFUNCTION("GOOGLETRANSLATE(B445, ""en"", ""hi"")"),"सिलंबम मैच में, प्रतिद्वंद्वी अक्सर तेज़ तिरछे प्रहार करता है। इस रणनीति का प्रभावी ढंग से मुकाबला करने के लिए किस तकनीक का इस्तेमाल किया जाना चाहिए?")</f>
        <v>सिलंबम मैच में, प्रतिद्वंद्वी अक्सर तेज़ तिरछे प्रहार करता है। इस रणनीति का प्रभावी ढंग से मुकाबला करने के लिए किस तकनीक का इस्तेमाल किया जाना चाहिए?</v>
      </c>
      <c r="H445" s="5" t="str">
        <f>IFERROR(__xludf.DUMMYFUNCTION("GOOGLETRANSLATE(C445,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45" s="5" t="str">
        <f>IFERROR(__xludf.DUMMYFUNCTION("GOOGLETRANSLATE(D445, ""en"", ""hi"")"),"ए) ब्लॉक और काउंटर")</f>
        <v>ए) ब्लॉक और काउंटर</v>
      </c>
    </row>
    <row r="446" ht="22.5" customHeight="1">
      <c r="A446" s="2">
        <v>445.0</v>
      </c>
      <c r="B446" s="3" t="s">
        <v>9954</v>
      </c>
      <c r="C446" s="3" t="s">
        <v>9740</v>
      </c>
      <c r="D446" s="3" t="s">
        <v>9916</v>
      </c>
      <c r="F446" s="5" t="str">
        <f>IFERROR(__xludf.DUMMYFUNCTION("GOOGLETRANSLATE(A446, ""en"", ""hi"")"),"445")</f>
        <v>445</v>
      </c>
      <c r="G446" s="5" t="str">
        <f>IFERROR(__xludf.DUMMYFUNCTION("GOOGLETRANSLATE(B446, ""en"", ""hi"")"),"सिलंबम द्वंद्वयुद्ध के दौरान, प्रतिद्वंद्वी लगातार ऊँचे प्रहार करता है। इस रणनीति का मुकाबला करने की सबसे अच्छी तकनीक क्या है?")</f>
        <v>सिलंबम द्वंद्वयुद्ध के दौरान, प्रतिद्वंद्वी लगातार ऊँचे प्रहार करता है। इस रणनीति का मुकाबला करने की सबसे अच्छी तकनीक क्या है?</v>
      </c>
      <c r="H446" s="5" t="str">
        <f>IFERROR(__xludf.DUMMYFUNCTION("GOOGLETRANSLATE(C446,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46" s="5" t="str">
        <f>IFERROR(__xludf.DUMMYFUNCTION("GOOGLETRANSLATE(D446, ""en"", ""hi"")"),"A) कम स्ट्राइक")</f>
        <v>A) कम स्ट्राइक</v>
      </c>
    </row>
    <row r="447" ht="22.5" customHeight="1">
      <c r="A447" s="2">
        <v>446.0</v>
      </c>
      <c r="B447" s="3" t="s">
        <v>9955</v>
      </c>
      <c r="C447" s="3" t="s">
        <v>9947</v>
      </c>
      <c r="D447" s="3" t="s">
        <v>9655</v>
      </c>
      <c r="F447" s="5" t="str">
        <f>IFERROR(__xludf.DUMMYFUNCTION("GOOGLETRANSLATE(A447, ""en"", ""hi"")"),"446")</f>
        <v>446</v>
      </c>
      <c r="G447" s="5" t="str">
        <f>IFERROR(__xludf.DUMMYFUNCTION("GOOGLETRANSLATE(B447, ""en"", ""hi"")"),"सिलंबम मुकाबले में, अभ्यासकर्ता का सामना एक ऐसे प्रतिद्वंद्वी से होता है जो तेज़ प्रहार करता है। अभ्यासकर्ता को आक्रामक रहते हुए नियंत्रण कैसे बनाए रखना चाहिए?")</f>
        <v>सिलंबम मुकाबले में, अभ्यासकर्ता का सामना एक ऐसे प्रतिद्वंद्वी से होता है जो तेज़ प्रहार करता है। अभ्यासकर्ता को आक्रामक रहते हुए नियंत्रण कैसे बनाए रखना चाहिए?</v>
      </c>
      <c r="H447" s="5" t="str">
        <f>IFERROR(__xludf.DUMMYFUNCTION("GOOGLETRANSLATE(C447, ""en"", ""hi"")"),"ए) रक्षात्मक ब्लॉक और काउंटर का उपयोग करें, बी) छलांग और जोर, सी) साइड स्टेप और स्ट्राइक, डी) स्पिन और बचें")</f>
        <v>ए) रक्षात्मक ब्लॉक और काउंटर का उपयोग करें, बी) छलांग और जोर, सी) साइड स्टेप और स्ट्राइक, डी) स्पिन और बचें</v>
      </c>
      <c r="I447" s="5" t="str">
        <f>IFERROR(__xludf.DUMMYFUNCTION("GOOGLETRANSLATE(D447, ""en"", ""hi"")"),"सी) साइड स्टेप और स्ट्राइक")</f>
        <v>सी) साइड स्टेप और स्ट्राइक</v>
      </c>
    </row>
    <row r="448" ht="22.5" customHeight="1">
      <c r="A448" s="2">
        <v>447.0</v>
      </c>
      <c r="B448" s="3" t="s">
        <v>9919</v>
      </c>
      <c r="C448" s="3" t="s">
        <v>9826</v>
      </c>
      <c r="D448" s="3" t="s">
        <v>9323</v>
      </c>
      <c r="F448" s="5" t="str">
        <f>IFERROR(__xludf.DUMMYFUNCTION("GOOGLETRANSLATE(A448, ""en"", ""hi"")"),"447")</f>
        <v>447</v>
      </c>
      <c r="G448" s="5" t="str">
        <f>IFERROR(__xludf.DUMMYFUNCTION("GOOGLETRANSLATE(B448,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448" s="5" t="str">
        <f>IFERROR(__xludf.DUMMYFUNCTION("GOOGLETRANSLATE(C448,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48" s="5" t="str">
        <f>IFERROR(__xludf.DUMMYFUNCTION("GOOGLETRANSLATE(D448, ""en"", ""hi"")"),"A) प्रतिद्वंद्वी को भ्रमित करने के लिए")</f>
        <v>A) प्रतिद्वंद्वी को भ्रमित करने के लिए</v>
      </c>
    </row>
    <row r="449" ht="22.5" customHeight="1">
      <c r="A449" s="2">
        <v>448.0</v>
      </c>
      <c r="B449" s="3" t="s">
        <v>9924</v>
      </c>
      <c r="C449" s="3" t="s">
        <v>9733</v>
      </c>
      <c r="D449" s="3" t="s">
        <v>9323</v>
      </c>
      <c r="F449" s="5" t="str">
        <f>IFERROR(__xludf.DUMMYFUNCTION("GOOGLETRANSLATE(A449, ""en"", ""hi"")"),"448")</f>
        <v>448</v>
      </c>
      <c r="G449" s="5" t="str">
        <f>IFERROR(__xludf.DUMMYFUNCTION("GOOGLETRANSLATE(B449,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49" s="5" t="str">
        <f>IFERROR(__xludf.DUMMYFUNCTION("GOOGLETRANSLATE(C449,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49" s="5" t="str">
        <f>IFERROR(__xludf.DUMMYFUNCTION("GOOGLETRANSLATE(D449, ""en"", ""hi"")"),"A) प्रतिद्वंद्वी को भ्रमित करने के लिए")</f>
        <v>A) प्रतिद्वंद्वी को भ्रमित करने के लिए</v>
      </c>
    </row>
    <row r="450" ht="22.5" customHeight="1">
      <c r="A450" s="2">
        <v>449.0</v>
      </c>
      <c r="B450" s="3" t="s">
        <v>9891</v>
      </c>
      <c r="C450" s="3" t="s">
        <v>9856</v>
      </c>
      <c r="D450" s="3" t="s">
        <v>9445</v>
      </c>
      <c r="F450" s="5" t="str">
        <f>IFERROR(__xludf.DUMMYFUNCTION("GOOGLETRANSLATE(A450, ""en"", ""hi"")"),"449")</f>
        <v>449</v>
      </c>
      <c r="G450" s="5" t="str">
        <f>IFERROR(__xludf.DUMMYFUNCTION("GOOGLETRANSLATE(B450,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50" s="5" t="str">
        <f>IFERROR(__xludf.DUMMYFUNCTION("GOOGLETRANSLATE(C450,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50" s="5" t="str">
        <f>IFERROR(__xludf.DUMMYFUNCTION("GOOGLETRANSLATE(D450, ""en"", ""hi"")"),"A) प्रतिद्वंद्वी को परास्त करना")</f>
        <v>A) प्रतिद्वंद्वी को परास्त करना</v>
      </c>
    </row>
    <row r="451" ht="22.5" customHeight="1">
      <c r="A451" s="2">
        <v>450.0</v>
      </c>
      <c r="B451" s="3" t="s">
        <v>9953</v>
      </c>
      <c r="C451" s="3" t="s">
        <v>9737</v>
      </c>
      <c r="D451" s="3" t="s">
        <v>9716</v>
      </c>
      <c r="F451" s="5" t="str">
        <f>IFERROR(__xludf.DUMMYFUNCTION("GOOGLETRANSLATE(A451, ""en"", ""hi"")"),"450")</f>
        <v>450</v>
      </c>
      <c r="G451" s="5" t="str">
        <f>IFERROR(__xludf.DUMMYFUNCTION("GOOGLETRANSLATE(B451, ""en"", ""hi"")"),"सिलंबम मैच में, प्रतिद्वंद्वी अक्सर तेज़ तिरछे प्रहार करता है। इस रणनीति का प्रभावी ढंग से मुकाबला करने के लिए किस तकनीक का इस्तेमाल किया जाना चाहिए?")</f>
        <v>सिलंबम मैच में, प्रतिद्वंद्वी अक्सर तेज़ तिरछे प्रहार करता है। इस रणनीति का प्रभावी ढंग से मुकाबला करने के लिए किस तकनीक का इस्तेमाल किया जाना चाहिए?</v>
      </c>
      <c r="H451" s="5" t="str">
        <f>IFERROR(__xludf.DUMMYFUNCTION("GOOGLETRANSLATE(C451,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51" s="5" t="str">
        <f>IFERROR(__xludf.DUMMYFUNCTION("GOOGLETRANSLATE(D451, ""en"", ""hi"")"),"ए) ब्लॉक और काउंटर")</f>
        <v>ए) ब्लॉक और काउंटर</v>
      </c>
    </row>
    <row r="452" ht="22.5" customHeight="1">
      <c r="A452" s="2">
        <v>451.0</v>
      </c>
      <c r="B452" s="3" t="s">
        <v>9954</v>
      </c>
      <c r="C452" s="3" t="s">
        <v>9740</v>
      </c>
      <c r="D452" s="3" t="s">
        <v>9916</v>
      </c>
      <c r="F452" s="5" t="str">
        <f>IFERROR(__xludf.DUMMYFUNCTION("GOOGLETRANSLATE(A452, ""en"", ""hi"")"),"451")</f>
        <v>451</v>
      </c>
      <c r="G452" s="5" t="str">
        <f>IFERROR(__xludf.DUMMYFUNCTION("GOOGLETRANSLATE(B452, ""en"", ""hi"")"),"सिलंबम द्वंद्वयुद्ध के दौरान, प्रतिद्वंद्वी लगातार ऊँचे प्रहार करता है। इस रणनीति का मुकाबला करने की सबसे अच्छी तकनीक क्या है?")</f>
        <v>सिलंबम द्वंद्वयुद्ध के दौरान, प्रतिद्वंद्वी लगातार ऊँचे प्रहार करता है। इस रणनीति का मुकाबला करने की सबसे अच्छी तकनीक क्या है?</v>
      </c>
      <c r="H452" s="5" t="str">
        <f>IFERROR(__xludf.DUMMYFUNCTION("GOOGLETRANSLATE(C452,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52" s="5" t="str">
        <f>IFERROR(__xludf.DUMMYFUNCTION("GOOGLETRANSLATE(D452, ""en"", ""hi"")"),"A) कम स्ट्राइक")</f>
        <v>A) कम स्ट्राइक</v>
      </c>
    </row>
    <row r="453" ht="22.5" customHeight="1">
      <c r="A453" s="2">
        <v>452.0</v>
      </c>
      <c r="B453" s="3" t="s">
        <v>9955</v>
      </c>
      <c r="C453" s="3" t="s">
        <v>9947</v>
      </c>
      <c r="D453" s="3" t="s">
        <v>9655</v>
      </c>
      <c r="F453" s="5" t="str">
        <f>IFERROR(__xludf.DUMMYFUNCTION("GOOGLETRANSLATE(A453, ""en"", ""hi"")"),"452")</f>
        <v>452</v>
      </c>
      <c r="G453" s="5" t="str">
        <f>IFERROR(__xludf.DUMMYFUNCTION("GOOGLETRANSLATE(B453, ""en"", ""hi"")"),"सिलंबम मुकाबले में, अभ्यासकर्ता का सामना एक ऐसे प्रतिद्वंद्वी से होता है जो तेज़ प्रहार करता है। अभ्यासकर्ता को आक्रामक रहते हुए नियंत्रण कैसे बनाए रखना चाहिए?")</f>
        <v>सिलंबम मुकाबले में, अभ्यासकर्ता का सामना एक ऐसे प्रतिद्वंद्वी से होता है जो तेज़ प्रहार करता है। अभ्यासकर्ता को आक्रामक रहते हुए नियंत्रण कैसे बनाए रखना चाहिए?</v>
      </c>
      <c r="H453" s="5" t="str">
        <f>IFERROR(__xludf.DUMMYFUNCTION("GOOGLETRANSLATE(C453, ""en"", ""hi"")"),"ए) रक्षात्मक ब्लॉक और काउंटर का उपयोग करें, बी) छलांग और जोर, सी) साइड स्टेप और स्ट्राइक, डी) स्पिन और बचें")</f>
        <v>ए) रक्षात्मक ब्लॉक और काउंटर का उपयोग करें, बी) छलांग और जोर, सी) साइड स्टेप और स्ट्राइक, डी) स्पिन और बचें</v>
      </c>
      <c r="I453" s="5" t="str">
        <f>IFERROR(__xludf.DUMMYFUNCTION("GOOGLETRANSLATE(D453, ""en"", ""hi"")"),"सी) साइड स्टेप और स्ट्राइक")</f>
        <v>सी) साइड स्टेप और स्ट्राइक</v>
      </c>
    </row>
    <row r="454" ht="22.5" customHeight="1">
      <c r="A454" s="2">
        <v>453.0</v>
      </c>
      <c r="B454" s="3" t="s">
        <v>9919</v>
      </c>
      <c r="C454" s="3" t="s">
        <v>9826</v>
      </c>
      <c r="D454" s="3" t="s">
        <v>9323</v>
      </c>
      <c r="F454" s="5" t="str">
        <f>IFERROR(__xludf.DUMMYFUNCTION("GOOGLETRANSLATE(A454, ""en"", ""hi"")"),"453")</f>
        <v>453</v>
      </c>
      <c r="G454" s="5" t="str">
        <f>IFERROR(__xludf.DUMMYFUNCTION("GOOGLETRANSLATE(B454,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454" s="5" t="str">
        <f>IFERROR(__xludf.DUMMYFUNCTION("GOOGLETRANSLATE(C454,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54" s="5" t="str">
        <f>IFERROR(__xludf.DUMMYFUNCTION("GOOGLETRANSLATE(D454, ""en"", ""hi"")"),"A) प्रतिद्वंद्वी को भ्रमित करने के लिए")</f>
        <v>A) प्रतिद्वंद्वी को भ्रमित करने के लिए</v>
      </c>
    </row>
    <row r="455" ht="22.5" customHeight="1">
      <c r="A455" s="2">
        <v>454.0</v>
      </c>
      <c r="B455" s="3" t="s">
        <v>9924</v>
      </c>
      <c r="C455" s="3" t="s">
        <v>9733</v>
      </c>
      <c r="D455" s="3" t="s">
        <v>9323</v>
      </c>
      <c r="F455" s="5" t="str">
        <f>IFERROR(__xludf.DUMMYFUNCTION("GOOGLETRANSLATE(A455, ""en"", ""hi"")"),"454")</f>
        <v>454</v>
      </c>
      <c r="G455" s="5" t="str">
        <f>IFERROR(__xludf.DUMMYFUNCTION("GOOGLETRANSLATE(B455,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55" s="5" t="str">
        <f>IFERROR(__xludf.DUMMYFUNCTION("GOOGLETRANSLATE(C455,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55" s="5" t="str">
        <f>IFERROR(__xludf.DUMMYFUNCTION("GOOGLETRANSLATE(D455, ""en"", ""hi"")"),"A) प्रतिद्वंद्वी को भ्रमित करने के लिए")</f>
        <v>A) प्रतिद्वंद्वी को भ्रमित करने के लिए</v>
      </c>
    </row>
    <row r="456" ht="22.5" customHeight="1">
      <c r="A456" s="2">
        <v>455.0</v>
      </c>
      <c r="B456" s="3" t="s">
        <v>9891</v>
      </c>
      <c r="C456" s="3" t="s">
        <v>9856</v>
      </c>
      <c r="D456" s="3" t="s">
        <v>9445</v>
      </c>
      <c r="F456" s="5" t="str">
        <f>IFERROR(__xludf.DUMMYFUNCTION("GOOGLETRANSLATE(A456, ""en"", ""hi"")"),"455")</f>
        <v>455</v>
      </c>
      <c r="G456" s="5" t="str">
        <f>IFERROR(__xludf.DUMMYFUNCTION("GOOGLETRANSLATE(B456,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56" s="5" t="str">
        <f>IFERROR(__xludf.DUMMYFUNCTION("GOOGLETRANSLATE(C456,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56" s="5" t="str">
        <f>IFERROR(__xludf.DUMMYFUNCTION("GOOGLETRANSLATE(D456, ""en"", ""hi"")"),"A) प्रतिद्वंद्वी को परास्त करना")</f>
        <v>A) प्रतिद्वंद्वी को परास्त करना</v>
      </c>
    </row>
    <row r="457" ht="22.5" customHeight="1">
      <c r="A457" s="2">
        <v>456.0</v>
      </c>
      <c r="B457" s="3" t="s">
        <v>9953</v>
      </c>
      <c r="C457" s="3" t="s">
        <v>9737</v>
      </c>
      <c r="D457" s="3" t="s">
        <v>9716</v>
      </c>
      <c r="F457" s="5" t="str">
        <f>IFERROR(__xludf.DUMMYFUNCTION("GOOGLETRANSLATE(A457, ""en"", ""hi"")"),"456")</f>
        <v>456</v>
      </c>
      <c r="G457" s="5" t="str">
        <f>IFERROR(__xludf.DUMMYFUNCTION("GOOGLETRANSLATE(B457, ""en"", ""hi"")"),"सिलंबम मैच में, प्रतिद्वंद्वी अक्सर तेज़ तिरछे प्रहार करता है। इस रणनीति का प्रभावी ढंग से मुकाबला करने के लिए किस तकनीक का इस्तेमाल किया जाना चाहिए?")</f>
        <v>सिलंबम मैच में, प्रतिद्वंद्वी अक्सर तेज़ तिरछे प्रहार करता है। इस रणनीति का प्रभावी ढंग से मुकाबला करने के लिए किस तकनीक का इस्तेमाल किया जाना चाहिए?</v>
      </c>
      <c r="H457" s="5" t="str">
        <f>IFERROR(__xludf.DUMMYFUNCTION("GOOGLETRANSLATE(C457,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57" s="5" t="str">
        <f>IFERROR(__xludf.DUMMYFUNCTION("GOOGLETRANSLATE(D457, ""en"", ""hi"")"),"ए) ब्लॉक और काउंटर")</f>
        <v>ए) ब्लॉक और काउंटर</v>
      </c>
    </row>
    <row r="458" ht="22.5" customHeight="1">
      <c r="A458" s="2">
        <v>457.0</v>
      </c>
      <c r="B458" s="3" t="s">
        <v>9954</v>
      </c>
      <c r="C458" s="3" t="s">
        <v>9740</v>
      </c>
      <c r="D458" s="3" t="s">
        <v>9916</v>
      </c>
      <c r="F458" s="5" t="str">
        <f>IFERROR(__xludf.DUMMYFUNCTION("GOOGLETRANSLATE(A458, ""en"", ""hi"")"),"457")</f>
        <v>457</v>
      </c>
      <c r="G458" s="5" t="str">
        <f>IFERROR(__xludf.DUMMYFUNCTION("GOOGLETRANSLATE(B458, ""en"", ""hi"")"),"सिलंबम द्वंद्वयुद्ध के दौरान, प्रतिद्वंद्वी लगातार ऊँचे प्रहार करता है। इस रणनीति का मुकाबला करने की सबसे अच्छी तकनीक क्या है?")</f>
        <v>सिलंबम द्वंद्वयुद्ध के दौरान, प्रतिद्वंद्वी लगातार ऊँचे प्रहार करता है। इस रणनीति का मुकाबला करने की सबसे अच्छी तकनीक क्या है?</v>
      </c>
      <c r="H458" s="5" t="str">
        <f>IFERROR(__xludf.DUMMYFUNCTION("GOOGLETRANSLATE(C458,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58" s="5" t="str">
        <f>IFERROR(__xludf.DUMMYFUNCTION("GOOGLETRANSLATE(D458, ""en"", ""hi"")"),"A) कम स्ट्राइक")</f>
        <v>A) कम स्ट्राइक</v>
      </c>
    </row>
    <row r="459" ht="22.5" customHeight="1">
      <c r="A459" s="2">
        <v>458.0</v>
      </c>
      <c r="B459" s="3" t="s">
        <v>9955</v>
      </c>
      <c r="C459" s="3" t="s">
        <v>9947</v>
      </c>
      <c r="D459" s="3" t="s">
        <v>9655</v>
      </c>
      <c r="F459" s="5" t="str">
        <f>IFERROR(__xludf.DUMMYFUNCTION("GOOGLETRANSLATE(A459, ""en"", ""hi"")"),"458")</f>
        <v>458</v>
      </c>
      <c r="G459" s="5" t="str">
        <f>IFERROR(__xludf.DUMMYFUNCTION("GOOGLETRANSLATE(B459, ""en"", ""hi"")"),"सिलंबम मुकाबले में, अभ्यासकर्ता का सामना एक ऐसे प्रतिद्वंद्वी से होता है जो तेज़ प्रहार करता है। अभ्यासकर्ता को आक्रामक रहते हुए नियंत्रण कैसे बनाए रखना चाहिए?")</f>
        <v>सिलंबम मुकाबले में, अभ्यासकर्ता का सामना एक ऐसे प्रतिद्वंद्वी से होता है जो तेज़ प्रहार करता है। अभ्यासकर्ता को आक्रामक रहते हुए नियंत्रण कैसे बनाए रखना चाहिए?</v>
      </c>
      <c r="H459" s="5" t="str">
        <f>IFERROR(__xludf.DUMMYFUNCTION("GOOGLETRANSLATE(C459, ""en"", ""hi"")"),"ए) रक्षात्मक ब्लॉक और काउंटर का उपयोग करें, बी) छलांग और जोर, सी) साइड स्टेप और स्ट्राइक, डी) स्पिन और बचें")</f>
        <v>ए) रक्षात्मक ब्लॉक और काउंटर का उपयोग करें, बी) छलांग और जोर, सी) साइड स्टेप और स्ट्राइक, डी) स्पिन और बचें</v>
      </c>
      <c r="I459" s="5" t="str">
        <f>IFERROR(__xludf.DUMMYFUNCTION("GOOGLETRANSLATE(D459, ""en"", ""hi"")"),"सी) साइड स्टेप और स्ट्राइक")</f>
        <v>सी) साइड स्टेप और स्ट्राइक</v>
      </c>
    </row>
    <row r="460" ht="22.5" customHeight="1">
      <c r="A460" s="2">
        <v>459.0</v>
      </c>
      <c r="B460" s="3" t="s">
        <v>9919</v>
      </c>
      <c r="C460" s="3" t="s">
        <v>9826</v>
      </c>
      <c r="D460" s="3" t="s">
        <v>9323</v>
      </c>
      <c r="F460" s="5" t="str">
        <f>IFERROR(__xludf.DUMMYFUNCTION("GOOGLETRANSLATE(A460, ""en"", ""hi"")"),"459")</f>
        <v>459</v>
      </c>
      <c r="G460" s="5" t="str">
        <f>IFERROR(__xludf.DUMMYFUNCTION("GOOGLETRANSLATE(B460,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460" s="5" t="str">
        <f>IFERROR(__xludf.DUMMYFUNCTION("GOOGLETRANSLATE(C460,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60" s="5" t="str">
        <f>IFERROR(__xludf.DUMMYFUNCTION("GOOGLETRANSLATE(D460, ""en"", ""hi"")"),"A) प्रतिद्वंद्वी को भ्रमित करने के लिए")</f>
        <v>A) प्रतिद्वंद्वी को भ्रमित करने के लिए</v>
      </c>
    </row>
    <row r="461" ht="22.5" customHeight="1">
      <c r="A461" s="2">
        <v>460.0</v>
      </c>
      <c r="B461" s="3" t="s">
        <v>9924</v>
      </c>
      <c r="C461" s="3" t="s">
        <v>9733</v>
      </c>
      <c r="D461" s="3" t="s">
        <v>9323</v>
      </c>
      <c r="F461" s="5" t="str">
        <f>IFERROR(__xludf.DUMMYFUNCTION("GOOGLETRANSLATE(A461, ""en"", ""hi"")"),"460")</f>
        <v>460</v>
      </c>
      <c r="G461" s="5" t="str">
        <f>IFERROR(__xludf.DUMMYFUNCTION("GOOGLETRANSLATE(B461,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61" s="5" t="str">
        <f>IFERROR(__xludf.DUMMYFUNCTION("GOOGLETRANSLATE(C461,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61" s="5" t="str">
        <f>IFERROR(__xludf.DUMMYFUNCTION("GOOGLETRANSLATE(D461, ""en"", ""hi"")"),"A) प्रतिद्वंद्वी को भ्रमित करने के लिए")</f>
        <v>A) प्रतिद्वंद्वी को भ्रमित करने के लिए</v>
      </c>
    </row>
    <row r="462" ht="22.5" customHeight="1">
      <c r="A462" s="2">
        <v>461.0</v>
      </c>
      <c r="B462" s="3" t="s">
        <v>9891</v>
      </c>
      <c r="C462" s="3" t="s">
        <v>9856</v>
      </c>
      <c r="D462" s="3" t="s">
        <v>9445</v>
      </c>
      <c r="F462" s="5" t="str">
        <f>IFERROR(__xludf.DUMMYFUNCTION("GOOGLETRANSLATE(A462, ""en"", ""hi"")"),"461")</f>
        <v>461</v>
      </c>
      <c r="G462" s="5" t="str">
        <f>IFERROR(__xludf.DUMMYFUNCTION("GOOGLETRANSLATE(B462,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62" s="5" t="str">
        <f>IFERROR(__xludf.DUMMYFUNCTION("GOOGLETRANSLATE(C462,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62" s="5" t="str">
        <f>IFERROR(__xludf.DUMMYFUNCTION("GOOGLETRANSLATE(D462, ""en"", ""hi"")"),"A) प्रतिद्वंद्वी को परास्त करना")</f>
        <v>A) प्रतिद्वंद्वी को परास्त करना</v>
      </c>
    </row>
    <row r="463" ht="22.5" customHeight="1">
      <c r="A463" s="2">
        <v>462.0</v>
      </c>
      <c r="B463" s="3" t="s">
        <v>9953</v>
      </c>
      <c r="C463" s="3" t="s">
        <v>9737</v>
      </c>
      <c r="D463" s="3" t="s">
        <v>9716</v>
      </c>
      <c r="F463" s="5" t="str">
        <f>IFERROR(__xludf.DUMMYFUNCTION("GOOGLETRANSLATE(A463, ""en"", ""hi"")"),"462")</f>
        <v>462</v>
      </c>
      <c r="G463" s="5" t="str">
        <f>IFERROR(__xludf.DUMMYFUNCTION("GOOGLETRANSLATE(B463, ""en"", ""hi"")"),"सिलंबम मैच में, प्रतिद्वंद्वी अक्सर तेज़ तिरछे प्रहार करता है। इस रणनीति का प्रभावी ढंग से मुकाबला करने के लिए किस तकनीक का इस्तेमाल किया जाना चाहिए?")</f>
        <v>सिलंबम मैच में, प्रतिद्वंद्वी अक्सर तेज़ तिरछे प्रहार करता है। इस रणनीति का प्रभावी ढंग से मुकाबला करने के लिए किस तकनीक का इस्तेमाल किया जाना चाहिए?</v>
      </c>
      <c r="H463" s="5" t="str">
        <f>IFERROR(__xludf.DUMMYFUNCTION("GOOGLETRANSLATE(C463,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63" s="5" t="str">
        <f>IFERROR(__xludf.DUMMYFUNCTION("GOOGLETRANSLATE(D463, ""en"", ""hi"")"),"ए) ब्लॉक और काउंटर")</f>
        <v>ए) ब्लॉक और काउंटर</v>
      </c>
    </row>
    <row r="464" ht="22.5" customHeight="1">
      <c r="A464" s="2">
        <v>463.0</v>
      </c>
      <c r="B464" s="3" t="s">
        <v>9954</v>
      </c>
      <c r="C464" s="3" t="s">
        <v>9740</v>
      </c>
      <c r="D464" s="3" t="s">
        <v>9916</v>
      </c>
      <c r="F464" s="5" t="str">
        <f>IFERROR(__xludf.DUMMYFUNCTION("GOOGLETRANSLATE(A464, ""en"", ""hi"")"),"463")</f>
        <v>463</v>
      </c>
      <c r="G464" s="5" t="str">
        <f>IFERROR(__xludf.DUMMYFUNCTION("GOOGLETRANSLATE(B464, ""en"", ""hi"")"),"सिलंबम द्वंद्वयुद्ध के दौरान, प्रतिद्वंद्वी लगातार ऊँचे प्रहार करता है। इस रणनीति का मुकाबला करने की सबसे अच्छी तकनीक क्या है?")</f>
        <v>सिलंबम द्वंद्वयुद्ध के दौरान, प्रतिद्वंद्वी लगातार ऊँचे प्रहार करता है। इस रणनीति का मुकाबला करने की सबसे अच्छी तकनीक क्या है?</v>
      </c>
      <c r="H464" s="5" t="str">
        <f>IFERROR(__xludf.DUMMYFUNCTION("GOOGLETRANSLATE(C464,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64" s="5" t="str">
        <f>IFERROR(__xludf.DUMMYFUNCTION("GOOGLETRANSLATE(D464, ""en"", ""hi"")"),"A) कम स्ट्राइक")</f>
        <v>A) कम स्ट्राइक</v>
      </c>
    </row>
    <row r="465" ht="22.5" customHeight="1">
      <c r="A465" s="2">
        <v>464.0</v>
      </c>
      <c r="B465" s="3" t="s">
        <v>9955</v>
      </c>
      <c r="C465" s="3" t="s">
        <v>9947</v>
      </c>
      <c r="D465" s="3" t="s">
        <v>9655</v>
      </c>
      <c r="F465" s="5" t="str">
        <f>IFERROR(__xludf.DUMMYFUNCTION("GOOGLETRANSLATE(A465, ""en"", ""hi"")"),"464")</f>
        <v>464</v>
      </c>
      <c r="G465" s="5" t="str">
        <f>IFERROR(__xludf.DUMMYFUNCTION("GOOGLETRANSLATE(B465, ""en"", ""hi"")"),"सिलंबम मुकाबले में, अभ्यासकर्ता का सामना एक ऐसे प्रतिद्वंद्वी से होता है जो तेज़ प्रहार करता है। अभ्यासकर्ता को आक्रामक रहते हुए नियंत्रण कैसे बनाए रखना चाहिए?")</f>
        <v>सिलंबम मुकाबले में, अभ्यासकर्ता का सामना एक ऐसे प्रतिद्वंद्वी से होता है जो तेज़ प्रहार करता है। अभ्यासकर्ता को आक्रामक रहते हुए नियंत्रण कैसे बनाए रखना चाहिए?</v>
      </c>
      <c r="H465" s="5" t="str">
        <f>IFERROR(__xludf.DUMMYFUNCTION("GOOGLETRANSLATE(C465, ""en"", ""hi"")"),"ए) रक्षात्मक ब्लॉक और काउंटर का उपयोग करें, बी) छलांग और जोर, सी) साइड स्टेप और स्ट्राइक, डी) स्पिन और बचें")</f>
        <v>ए) रक्षात्मक ब्लॉक और काउंटर का उपयोग करें, बी) छलांग और जोर, सी) साइड स्टेप और स्ट्राइक, डी) स्पिन और बचें</v>
      </c>
      <c r="I465" s="5" t="str">
        <f>IFERROR(__xludf.DUMMYFUNCTION("GOOGLETRANSLATE(D465, ""en"", ""hi"")"),"सी) साइड स्टेप और स्ट्राइक")</f>
        <v>सी) साइड स्टेप और स्ट्राइक</v>
      </c>
    </row>
    <row r="466" ht="22.5" customHeight="1">
      <c r="A466" s="2">
        <v>465.0</v>
      </c>
      <c r="B466" s="3" t="s">
        <v>9919</v>
      </c>
      <c r="C466" s="3" t="s">
        <v>9826</v>
      </c>
      <c r="D466" s="3" t="s">
        <v>9323</v>
      </c>
      <c r="F466" s="5" t="str">
        <f>IFERROR(__xludf.DUMMYFUNCTION("GOOGLETRANSLATE(A466, ""en"", ""hi"")"),"465")</f>
        <v>465</v>
      </c>
      <c r="G466" s="5" t="str">
        <f>IFERROR(__xludf.DUMMYFUNCTION("GOOGLETRANSLATE(B466,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466" s="5" t="str">
        <f>IFERROR(__xludf.DUMMYFUNCTION("GOOGLETRANSLATE(C466,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66" s="5" t="str">
        <f>IFERROR(__xludf.DUMMYFUNCTION("GOOGLETRANSLATE(D466, ""en"", ""hi"")"),"A) प्रतिद्वंद्वी को भ्रमित करने के लिए")</f>
        <v>A) प्रतिद्वंद्वी को भ्रमित करने के लिए</v>
      </c>
    </row>
    <row r="467" ht="22.5" customHeight="1">
      <c r="A467" s="2">
        <v>466.0</v>
      </c>
      <c r="B467" s="3" t="s">
        <v>9924</v>
      </c>
      <c r="C467" s="3" t="s">
        <v>9733</v>
      </c>
      <c r="D467" s="3" t="s">
        <v>9323</v>
      </c>
      <c r="F467" s="5" t="str">
        <f>IFERROR(__xludf.DUMMYFUNCTION("GOOGLETRANSLATE(A467, ""en"", ""hi"")"),"466")</f>
        <v>466</v>
      </c>
      <c r="G467" s="5" t="str">
        <f>IFERROR(__xludf.DUMMYFUNCTION("GOOGLETRANSLATE(B467,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67" s="5" t="str">
        <f>IFERROR(__xludf.DUMMYFUNCTION("GOOGLETRANSLATE(C467,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67" s="5" t="str">
        <f>IFERROR(__xludf.DUMMYFUNCTION("GOOGLETRANSLATE(D467, ""en"", ""hi"")"),"A) प्रतिद्वंद्वी को भ्रमित करने के लिए")</f>
        <v>A) प्रतिद्वंद्वी को भ्रमित करने के लिए</v>
      </c>
    </row>
    <row r="468" ht="22.5" customHeight="1">
      <c r="A468" s="2">
        <v>467.0</v>
      </c>
      <c r="B468" s="3" t="s">
        <v>9891</v>
      </c>
      <c r="C468" s="3" t="s">
        <v>9856</v>
      </c>
      <c r="D468" s="3" t="s">
        <v>9445</v>
      </c>
      <c r="F468" s="5" t="str">
        <f>IFERROR(__xludf.DUMMYFUNCTION("GOOGLETRANSLATE(A468, ""en"", ""hi"")"),"467")</f>
        <v>467</v>
      </c>
      <c r="G468" s="5" t="str">
        <f>IFERROR(__xludf.DUMMYFUNCTION("GOOGLETRANSLATE(B468,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68" s="5" t="str">
        <f>IFERROR(__xludf.DUMMYFUNCTION("GOOGLETRANSLATE(C468,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68" s="5" t="str">
        <f>IFERROR(__xludf.DUMMYFUNCTION("GOOGLETRANSLATE(D468, ""en"", ""hi"")"),"A) प्रतिद्वंद्वी को परास्त करना")</f>
        <v>A) प्रतिद्वंद्वी को परास्त करना</v>
      </c>
    </row>
    <row r="469" ht="22.5" customHeight="1">
      <c r="A469" s="2">
        <v>468.0</v>
      </c>
      <c r="B469" s="3" t="s">
        <v>9953</v>
      </c>
      <c r="C469" s="3" t="s">
        <v>9737</v>
      </c>
      <c r="D469" s="3" t="s">
        <v>9716</v>
      </c>
      <c r="F469" s="5" t="str">
        <f>IFERROR(__xludf.DUMMYFUNCTION("GOOGLETRANSLATE(A469, ""en"", ""hi"")"),"468")</f>
        <v>468</v>
      </c>
      <c r="G469" s="5" t="str">
        <f>IFERROR(__xludf.DUMMYFUNCTION("GOOGLETRANSLATE(B469, ""en"", ""hi"")"),"सिलंबम मैच में, प्रतिद्वंद्वी अक्सर तेज़ तिरछे प्रहार करता है। इस रणनीति का प्रभावी ढंग से मुकाबला करने के लिए किस तकनीक का इस्तेमाल किया जाना चाहिए?")</f>
        <v>सिलंबम मैच में, प्रतिद्वंद्वी अक्सर तेज़ तिरछे प्रहार करता है। इस रणनीति का प्रभावी ढंग से मुकाबला करने के लिए किस तकनीक का इस्तेमाल किया जाना चाहिए?</v>
      </c>
      <c r="H469" s="5" t="str">
        <f>IFERROR(__xludf.DUMMYFUNCTION("GOOGLETRANSLATE(C469, ""en"", ""hi"")"),"ए) ब्लॉक और काउंटर, बी) इवेशन और काउंटर, सी) साइड स्टेप और स्ट्राइक, डी) स्पिन और इवेड")</f>
        <v>ए) ब्लॉक और काउंटर, बी) इवेशन और काउंटर, सी) साइड स्टेप और स्ट्राइक, डी) स्पिन और इवेड</v>
      </c>
      <c r="I469" s="5" t="str">
        <f>IFERROR(__xludf.DUMMYFUNCTION("GOOGLETRANSLATE(D469, ""en"", ""hi"")"),"ए) ब्लॉक और काउंटर")</f>
        <v>ए) ब्लॉक और काउंटर</v>
      </c>
    </row>
    <row r="470" ht="22.5" customHeight="1">
      <c r="A470" s="2">
        <v>469.0</v>
      </c>
      <c r="B470" s="3" t="s">
        <v>9954</v>
      </c>
      <c r="C470" s="3" t="s">
        <v>9740</v>
      </c>
      <c r="D470" s="3" t="s">
        <v>9916</v>
      </c>
      <c r="F470" s="5" t="str">
        <f>IFERROR(__xludf.DUMMYFUNCTION("GOOGLETRANSLATE(A470, ""en"", ""hi"")"),"469")</f>
        <v>469</v>
      </c>
      <c r="G470" s="5" t="str">
        <f>IFERROR(__xludf.DUMMYFUNCTION("GOOGLETRANSLATE(B470, ""en"", ""hi"")"),"सिलंबम द्वंद्वयुद्ध के दौरान, प्रतिद्वंद्वी लगातार ऊँचे प्रहार करता है। इस रणनीति का मुकाबला करने की सबसे अच्छी तकनीक क्या है?")</f>
        <v>सिलंबम द्वंद्वयुद्ध के दौरान, प्रतिद्वंद्वी लगातार ऊँचे प्रहार करता है। इस रणनीति का मुकाबला करने की सबसे अच्छी तकनीक क्या है?</v>
      </c>
      <c r="H470" s="5" t="str">
        <f>IFERROR(__xludf.DUMMYFUNCTION("GOOGLETRANSLATE(C470, ""en"", ""hi"")"),"ए) लो स्ट्राइक, बी) फाइन्ट और हाई स्ट्राइक, सी) ओवरहेड स्ट्राइक, डी) सर्कुलर मूवमेंट")</f>
        <v>ए) लो स्ट्राइक, बी) फाइन्ट और हाई स्ट्राइक, सी) ओवरहेड स्ट्राइक, डी) सर्कुलर मूवमेंट</v>
      </c>
      <c r="I470" s="5" t="str">
        <f>IFERROR(__xludf.DUMMYFUNCTION("GOOGLETRANSLATE(D470, ""en"", ""hi"")"),"A) कम स्ट्राइक")</f>
        <v>A) कम स्ट्राइक</v>
      </c>
    </row>
    <row r="471" ht="22.5" customHeight="1">
      <c r="A471" s="2">
        <v>470.0</v>
      </c>
      <c r="B471" s="3" t="s">
        <v>9955</v>
      </c>
      <c r="C471" s="3" t="s">
        <v>9947</v>
      </c>
      <c r="D471" s="3" t="s">
        <v>9655</v>
      </c>
      <c r="F471" s="5" t="str">
        <f>IFERROR(__xludf.DUMMYFUNCTION("GOOGLETRANSLATE(A471, ""en"", ""hi"")"),"470")</f>
        <v>470</v>
      </c>
      <c r="G471" s="5" t="str">
        <f>IFERROR(__xludf.DUMMYFUNCTION("GOOGLETRANSLATE(B471, ""en"", ""hi"")"),"सिलंबम मुकाबले में, अभ्यासकर्ता का सामना एक ऐसे प्रतिद्वंद्वी से होता है जो तेज़ प्रहार करता है। अभ्यासकर्ता को आक्रामक रहते हुए नियंत्रण कैसे बनाए रखना चाहिए?")</f>
        <v>सिलंबम मुकाबले में, अभ्यासकर्ता का सामना एक ऐसे प्रतिद्वंद्वी से होता है जो तेज़ प्रहार करता है। अभ्यासकर्ता को आक्रामक रहते हुए नियंत्रण कैसे बनाए रखना चाहिए?</v>
      </c>
      <c r="H471" s="5" t="str">
        <f>IFERROR(__xludf.DUMMYFUNCTION("GOOGLETRANSLATE(C471, ""en"", ""hi"")"),"ए) रक्षात्मक ब्लॉक और काउंटर का उपयोग करें, बी) छलांग और जोर, सी) साइड स्टेप और स्ट्राइक, डी) स्पिन और बचें")</f>
        <v>ए) रक्षात्मक ब्लॉक और काउंटर का उपयोग करें, बी) छलांग और जोर, सी) साइड स्टेप और स्ट्राइक, डी) स्पिन और बचें</v>
      </c>
      <c r="I471" s="5" t="str">
        <f>IFERROR(__xludf.DUMMYFUNCTION("GOOGLETRANSLATE(D471, ""en"", ""hi"")"),"सी) साइड स्टेप और स्ट्राइक")</f>
        <v>सी) साइड स्टेप और स्ट्राइक</v>
      </c>
    </row>
    <row r="472" ht="22.5" customHeight="1">
      <c r="A472" s="2">
        <v>471.0</v>
      </c>
      <c r="B472" s="3" t="s">
        <v>9919</v>
      </c>
      <c r="C472" s="3" t="s">
        <v>9826</v>
      </c>
      <c r="D472" s="3" t="s">
        <v>9323</v>
      </c>
      <c r="F472" s="5" t="str">
        <f>IFERROR(__xludf.DUMMYFUNCTION("GOOGLETRANSLATE(A472, ""en"", ""hi"")"),"471")</f>
        <v>471</v>
      </c>
      <c r="G472" s="5" t="str">
        <f>IFERROR(__xludf.DUMMYFUNCTION("GOOGLETRANSLATE(B472, ""en"", ""hi"")"),"एक अभ्यासकर्ता प्रतिद्वंद्वी के हमले से बचने के लिए घूमने की तकनीक का उपयोग करता है। इस युद्धाभ्यास का मुख्य लक्ष्य क्या है?")</f>
        <v>एक अभ्यासकर्ता प्रतिद्वंद्वी के हमले से बचने के लिए घूमने की तकनीक का उपयोग करता है। इस युद्धाभ्यास का मुख्य लक्ष्य क्या है?</v>
      </c>
      <c r="H472" s="5" t="str">
        <f>IFERROR(__xludf.DUMMYFUNCTION("GOOGLETRANSLATE(C472, ""en"", ""hi"")"),"A) प्रतिद्वंद्वी को भ्रमित करने के लिए, B) शक्ति बढ़ाने के लिए, C) दूरी बनाने के लिए, D) कौशल दिखाने के लिए")</f>
        <v>A) प्रतिद्वंद्वी को भ्रमित करने के लिए, B) शक्ति बढ़ाने के लिए, C) दूरी बनाने के लिए, D) कौशल दिखाने के लिए</v>
      </c>
      <c r="I472" s="5" t="str">
        <f>IFERROR(__xludf.DUMMYFUNCTION("GOOGLETRANSLATE(D472, ""en"", ""hi"")"),"A) प्रतिद्वंद्वी को भ्रमित करने के लिए")</f>
        <v>A) प्रतिद्वंद्वी को भ्रमित करने के लिए</v>
      </c>
    </row>
    <row r="473" ht="22.5" customHeight="1">
      <c r="A473" s="2">
        <v>472.0</v>
      </c>
      <c r="B473" s="3" t="s">
        <v>9924</v>
      </c>
      <c r="C473" s="3" t="s">
        <v>9733</v>
      </c>
      <c r="D473" s="3" t="s">
        <v>9323</v>
      </c>
      <c r="F473" s="5" t="str">
        <f>IFERROR(__xludf.DUMMYFUNCTION("GOOGLETRANSLATE(A473, ""en"", ""hi"")"),"472")</f>
        <v>472</v>
      </c>
      <c r="G473" s="5" t="str">
        <f>IFERROR(__xludf.DUMMYFUNCTION("GOOGLETRANSLATE(B473, ""en"", ""hi"")"),"सिलंबम प्रदर्शन के दौरान, अभ्यासकर्ता पहले ऊँची छलनी का प्रयोग करता है और फिर नीची प्रहार करता है। इस युद्धाभ्यास का अपेक्षित प्रभाव क्या है?")</f>
        <v>सिलंबम प्रदर्शन के दौरान, अभ्यासकर्ता पहले ऊँची छलनी का प्रयोग करता है और फिर नीची प्रहार करता है। इस युद्धाभ्यास का अपेक्षित प्रभाव क्या है?</v>
      </c>
      <c r="H473" s="5" t="str">
        <f>IFERROR(__xludf.DUMMYFUNCTION("GOOGLETRANSLATE(C473, ""en"", ""hi"")"),"A) प्रतिद्वंद्वी को भ्रमित करने के लिए, B) शक्ति बढ़ाने के लिए, C) रक्षात्मक अवरोध बनाने के लिए, D) कौशल दिखाने के लिए")</f>
        <v>A) प्रतिद्वंद्वी को भ्रमित करने के लिए, B) शक्ति बढ़ाने के लिए, C) रक्षात्मक अवरोध बनाने के लिए, D) कौशल दिखाने के लिए</v>
      </c>
      <c r="I473" s="5" t="str">
        <f>IFERROR(__xludf.DUMMYFUNCTION("GOOGLETRANSLATE(D473, ""en"", ""hi"")"),"A) प्रतिद्वंद्वी को भ्रमित करने के लिए")</f>
        <v>A) प्रतिद्वंद्वी को भ्रमित करने के लिए</v>
      </c>
    </row>
    <row r="474" ht="22.5" customHeight="1">
      <c r="A474" s="2">
        <v>473.0</v>
      </c>
      <c r="B474" s="3" t="s">
        <v>9891</v>
      </c>
      <c r="C474" s="3" t="s">
        <v>9856</v>
      </c>
      <c r="D474" s="3" t="s">
        <v>9445</v>
      </c>
      <c r="F474" s="5" t="str">
        <f>IFERROR(__xludf.DUMMYFUNCTION("GOOGLETRANSLATE(A474, ""en"", ""hi"")"),"473")</f>
        <v>473</v>
      </c>
      <c r="G474" s="5" t="str">
        <f>IFERROR(__xludf.DUMMYFUNCTION("GOOGLETRANSLATE(B474, ""en"", ""hi"")"),"एक अभ्यासकर्ता आगे बढ़ते हुए बारी-बारी से ऊँचे और नीचे वार करने की तकनीक का प्रदर्शन कर रहा है। इस युद्धाभ्यास का मुख्य उद्देश्य क्या है?")</f>
        <v>एक अभ्यासकर्ता आगे बढ़ते हुए बारी-बारी से ऊँचे और नीचे वार करने की तकनीक का प्रदर्शन कर रहा है। इस युद्धाभ्यास का मुख्य उद्देश्य क्या है?</v>
      </c>
      <c r="H474" s="5" t="str">
        <f>IFERROR(__xludf.DUMMYFUNCTION("GOOGLETRANSLATE(C474, ""en"", ""hi"")"),"A) प्रतिद्वंद्वी पर हावी होना, B) दूरी बनाना, C) प्रतिद्वंद्वी को भ्रमित करना, D) कौशल का प्रदर्शन करना")</f>
        <v>A) प्रतिद्वंद्वी पर हावी होना, B) दूरी बनाना, C) प्रतिद्वंद्वी को भ्रमित करना, D) कौशल का प्रदर्शन करना</v>
      </c>
      <c r="I474" s="5" t="str">
        <f>IFERROR(__xludf.DUMMYFUNCTION("GOOGLETRANSLATE(D474, ""en"", ""hi"")"),"A) प्रतिद्वंद्वी को परास्त करना")</f>
        <v>A) प्रतिद्वंद्वी को परास्त करना</v>
      </c>
    </row>
  </sheetData>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13.88"/>
    <col customWidth="1" min="7" max="8" width="37.63"/>
  </cols>
  <sheetData>
    <row r="1" ht="22.5" customHeight="1">
      <c r="A1" s="1" t="s">
        <v>0</v>
      </c>
      <c r="B1" s="1" t="s">
        <v>1</v>
      </c>
      <c r="C1" s="1" t="s">
        <v>2</v>
      </c>
      <c r="D1" s="1" t="s">
        <v>3</v>
      </c>
      <c r="F1" s="4" t="s">
        <v>4</v>
      </c>
      <c r="G1" s="4" t="s">
        <v>5</v>
      </c>
      <c r="H1" s="4" t="s">
        <v>6</v>
      </c>
      <c r="I1" s="4" t="s">
        <v>7</v>
      </c>
    </row>
    <row r="2" ht="22.5" customHeight="1">
      <c r="A2" s="2">
        <v>1.0</v>
      </c>
      <c r="B2" s="3" t="s">
        <v>9956</v>
      </c>
      <c r="C2" s="3" t="s">
        <v>9957</v>
      </c>
      <c r="D2" s="3" t="s">
        <v>9958</v>
      </c>
      <c r="F2" s="5" t="str">
        <f>IFERROR(__xludf.DUMMYFUNCTION("GOOGLETRANSLATE(A2, ""en"", ""hi"")"),"1")</f>
        <v>1</v>
      </c>
      <c r="G2" s="5" t="str">
        <f>IFERROR(__xludf.DUMMYFUNCTION("GOOGLETRANSLATE(B2, ""en"", ""hi"")"),"मलखंभ प्रतियोगिता में, एक कलाकार छह मुद्राओं की एक श्रृंखला का प्रदर्शन करता है। प्रत्येक मुद्रा 15 सेकंड के लिए की जाती है, और कुल 3 निर्णायक होते हैं। प्रत्येक निर्णायक 1 से 10 के पैमाने पर प्रदर्शन को अंक देता है, जिसमें उच्चतम और निम्नतम अंक हटा दिए ज"&amp;"ाते हैं। यदि निर्णायकों द्वारा दिए गए अंक 8, 9 और 7 हैं, तो प्रदर्शन का औसत अंक क्या है?")</f>
        <v>मलखंभ प्रतियोगिता में, एक कलाकार छह मुद्राओं की एक श्रृंखला का प्रदर्शन करता है। प्रत्येक मुद्रा 15 सेकंड के लिए की जाती है, और कुल 3 निर्णायक होते हैं। प्रत्येक निर्णायक 1 से 10 के पैमाने पर प्रदर्शन को अंक देता है, जिसमें उच्चतम और निम्नतम अंक हटा दिए जाते हैं। यदि निर्णायकों द्वारा दिए गए अंक 8, 9 और 7 हैं, तो प्रदर्शन का औसत अंक क्या है?</v>
      </c>
      <c r="H2" s="5" t="str">
        <f>IFERROR(__xludf.DUMMYFUNCTION("GOOGLETRANSLATE(C2, ""en"", ""hi"")"),"ए) 8.0, बी) 8.5, सी) 9.0, डी) 8.3")</f>
        <v>ए) 8.0, बी) 8.5, सी) 9.0, डी) 8.3</v>
      </c>
      <c r="I2" s="5" t="str">
        <f>IFERROR(__xludf.DUMMYFUNCTION("GOOGLETRANSLATE(D2, ""en"", ""hi"")"),"डी) 8.3")</f>
        <v>डी) 8.3</v>
      </c>
    </row>
    <row r="3" ht="22.5" customHeight="1">
      <c r="A3" s="2">
        <v>2.0</v>
      </c>
      <c r="B3" s="3" t="s">
        <v>9959</v>
      </c>
      <c r="C3" s="3" t="s">
        <v>9960</v>
      </c>
      <c r="D3" s="3" t="s">
        <v>9961</v>
      </c>
      <c r="F3" s="5" t="str">
        <f>IFERROR(__xludf.DUMMYFUNCTION("GOOGLETRANSLATE(A3, ""en"", ""hi"")"),"2")</f>
        <v>2</v>
      </c>
      <c r="G3" s="5" t="str">
        <f>IFERROR(__xludf.DUMMYFUNCTION("GOOGLETRANSLATE(B3, ""en"", ""hi"")"),"मलखम्ब प्रतियोगिता में 4 राउंड होते हैं, और प्रत्येक राउंड में 5 प्रदर्शन होते हैं। यदि प्रत्येक कलाकार के किसी भी राउंड में अंक प्राप्त करने की समान संभावना हो, और किसी कलाकार को 4 में से 3 राउंड में प्रदर्शन करना हो, तो इस कलाकार के अंतिम राउंड में पहुँ"&amp;"चने की क्या प्रायिकता है?")</f>
        <v>मलखम्ब प्रतियोगिता में 4 राउंड होते हैं, और प्रत्येक राउंड में 5 प्रदर्शन होते हैं। यदि प्रत्येक कलाकार के किसी भी राउंड में अंक प्राप्त करने की समान संभावना हो, और किसी कलाकार को 4 में से 3 राउंड में प्रदर्शन करना हो, तो इस कलाकार के अंतिम राउंड में पहुँचने की क्या प्रायिकता है?</v>
      </c>
      <c r="H3" s="5" t="str">
        <f>IFERROR(__xludf.DUMMYFUNCTION("GOOGLETRANSLATE(C3, ""en"", ""hi"")"),"ए) 1/4, बी) 3/4, सी) 1/3, डी) 1/2")</f>
        <v>ए) 1/4, बी) 3/4, सी) 1/3, डी) 1/2</v>
      </c>
      <c r="I3" s="5" t="str">
        <f>IFERROR(__xludf.DUMMYFUNCTION("GOOGLETRANSLATE(D3, ""en"", ""hi"")"),"ए) 1/4")</f>
        <v>ए) 1/4</v>
      </c>
    </row>
    <row r="4" ht="22.5" customHeight="1">
      <c r="A4" s="2">
        <v>3.0</v>
      </c>
      <c r="B4" s="3" t="s">
        <v>9962</v>
      </c>
      <c r="C4" s="3" t="s">
        <v>9963</v>
      </c>
      <c r="D4" s="3" t="s">
        <v>9964</v>
      </c>
      <c r="F4" s="5" t="str">
        <f>IFERROR(__xludf.DUMMYFUNCTION("GOOGLETRANSLATE(A4, ""en"", ""hi"")"),"3")</f>
        <v>3</v>
      </c>
      <c r="G4" s="5" t="str">
        <f>IFERROR(__xludf.DUMMYFUNCTION("GOOGLETRANSLATE(B4, ""en"", ""hi"")"),"मलखंभ प्रतियोगिता के दौरान, एक कलाकार 8 अलग-अलग मुद्राओं के साथ एक अभ्यास पूरा करता है। यदि अभ्यास में किसी विशिष्ट मुद्रा को ठीक 3 अलग-अलग स्थितियों में शामिल करना हो, तो कलाकार अभ्यास में शेष मुद्राओं को कितने अलग-अलग तरीकों से व्यवस्थित कर सकता है?")</f>
        <v>मलखंभ प्रतियोगिता के दौरान, एक कलाकार 8 अलग-अलग मुद्राओं के साथ एक अभ्यास पूरा करता है। यदि अभ्यास में किसी विशिष्ट मुद्रा को ठीक 3 अलग-अलग स्थितियों में शामिल करना हो, तो कलाकार अभ्यास में शेष मुद्राओं को कितने अलग-अलग तरीकों से व्यवस्थित कर सकता है?</v>
      </c>
      <c r="H4" s="5" t="str">
        <f>IFERROR(__xludf.DUMMYFUNCTION("GOOGLETRANSLATE(C4, ""en"", ""hi"")"),"ए) 3360, बी) 5040, सी) 720, डी) 1440")</f>
        <v>ए) 3360, बी) 5040, सी) 720, डी) 1440</v>
      </c>
      <c r="I4" s="5" t="str">
        <f>IFERROR(__xludf.DUMMYFUNCTION("GOOGLETRANSLATE(D4, ""en"", ""hi"")"),"डी) 1440")</f>
        <v>डी) 1440</v>
      </c>
    </row>
    <row r="5" ht="22.5" customHeight="1">
      <c r="A5" s="2">
        <v>4.0</v>
      </c>
      <c r="B5" s="3" t="s">
        <v>9965</v>
      </c>
      <c r="C5" s="3" t="s">
        <v>9966</v>
      </c>
      <c r="D5" s="3" t="s">
        <v>9967</v>
      </c>
      <c r="F5" s="5" t="str">
        <f>IFERROR(__xludf.DUMMYFUNCTION("GOOGLETRANSLATE(A5, ""en"", ""hi"")"),"4")</f>
        <v>4</v>
      </c>
      <c r="G5" s="5" t="str">
        <f>IFERROR(__xludf.DUMMYFUNCTION("GOOGLETRANSLATE(B5, ""en"", ""hi"")"),"एक टीम मलखम्ब प्रतियोगिता में, एक टीम में 5 कलाकार होते हैं, और प्रत्येक कलाकार को ठीक 2 आसन करने होते हैं। यदि प्रत्येक आसन को 3 अलग-अलग तरीकों से किया जा सकता है, तो टीम कुल कितने आसनों का संयोजन कर सकती है?")</f>
        <v>एक टीम मलखम्ब प्रतियोगिता में, एक टीम में 5 कलाकार होते हैं, और प्रत्येक कलाकार को ठीक 2 आसन करने होते हैं। यदि प्रत्येक आसन को 3 अलग-अलग तरीकों से किया जा सकता है, तो टीम कुल कितने आसनों का संयोजन कर सकती है?</v>
      </c>
      <c r="H5" s="5" t="str">
        <f>IFERROR(__xludf.DUMMYFUNCTION("GOOGLETRANSLATE(C5, ""en"", ""hi"")"),"ए) 24300, बी) 7290, सी) 1080, डी) 2700")</f>
        <v>ए) 24300, बी) 7290, सी) 1080, डी) 2700</v>
      </c>
      <c r="I5" s="5" t="str">
        <f>IFERROR(__xludf.DUMMYFUNCTION("GOOGLETRANSLATE(D5, ""en"", ""hi"")"),"बी) 7290")</f>
        <v>बी) 7290</v>
      </c>
    </row>
    <row r="6" ht="22.5" customHeight="1">
      <c r="A6" s="2">
        <v>5.0</v>
      </c>
      <c r="B6" s="3" t="s">
        <v>9968</v>
      </c>
      <c r="C6" s="3" t="s">
        <v>9969</v>
      </c>
      <c r="D6" s="3" t="s">
        <v>9970</v>
      </c>
      <c r="F6" s="5" t="str">
        <f>IFERROR(__xludf.DUMMYFUNCTION("GOOGLETRANSLATE(A6, ""en"", ""hi"")"),"5")</f>
        <v>5</v>
      </c>
      <c r="G6" s="5" t="str">
        <f>IFERROR(__xludf.DUMMYFUNCTION("GOOGLETRANSLATE(B6, ""en"", ""hi"")"),"एक मलखंभ कलाकार का मूल्यांकन उसके द्वारा 4 अलग-अलग आसनों के प्रदर्शन के आधार पर किया जाता है। यदि प्रत्येक आसन के लिए अंक, सफल आसनों की संख्या को 2 से गुणा करके दिया जाता है, और कलाकार प्रत्येक आसन में 10 में से 7 आसन सफलतापूर्वक पूरे करता है, तो कलाकार क"&amp;"ा कुल अंक क्या होगा?")</f>
        <v>एक मलखंभ कलाकार का मूल्यांकन उसके द्वारा 4 अलग-अलग आसनों के प्रदर्शन के आधार पर किया जाता है। यदि प्रत्येक आसन के लिए अंक, सफल आसनों की संख्या को 2 से गुणा करके दिया जाता है, और कलाकार प्रत्येक आसन में 10 में से 7 आसन सफलतापूर्वक पूरे करता है, तो कलाकार का कुल अंक क्या होगा?</v>
      </c>
      <c r="H6" s="5" t="str">
        <f>IFERROR(__xludf.DUMMYFUNCTION("GOOGLETRANSLATE(C6, ""en"", ""hi"")"),"ए) 56, बी) 84, सी) 70, डी) 72")</f>
        <v>ए) 56, बी) 84, सी) 70, डी) 72</v>
      </c>
      <c r="I6" s="5" t="str">
        <f>IFERROR(__xludf.DUMMYFUNCTION("GOOGLETRANSLATE(D6, ""en"", ""hi"")"),"सी) 70")</f>
        <v>सी) 70</v>
      </c>
    </row>
    <row r="7" ht="22.5" customHeight="1">
      <c r="A7" s="2">
        <v>6.0</v>
      </c>
      <c r="B7" s="3" t="s">
        <v>9971</v>
      </c>
      <c r="C7" s="3" t="s">
        <v>9972</v>
      </c>
      <c r="D7" s="3" t="s">
        <v>9973</v>
      </c>
      <c r="F7" s="5" t="str">
        <f>IFERROR(__xludf.DUMMYFUNCTION("GOOGLETRANSLATE(A7, ""en"", ""hi"")"),"6")</f>
        <v>6</v>
      </c>
      <c r="G7" s="5" t="str">
        <f>IFERROR(__xludf.DUMMYFUNCTION("GOOGLETRANSLATE(B7, ""en"", ""hi"")"),"एक मलखम्ब प्रतियोगिता में 6 प्रतियोगी होते हैं और प्रत्येक प्रतियोगी 3 रूटीन करता है। यदि प्रत्येक रूटीन का कुल स्कोर 4 जजों के अंकों का संयोजन है और प्रत्येक रूटीन के लिए अधिकतम संभव स्कोर 40 है, तो एक प्रतियोगी का अधिकतम संभव कुल स्कोर क्या है?")</f>
        <v>एक मलखम्ब प्रतियोगिता में 6 प्रतियोगी होते हैं और प्रत्येक प्रतियोगी 3 रूटीन करता है। यदि प्रत्येक रूटीन का कुल स्कोर 4 जजों के अंकों का संयोजन है और प्रत्येक रूटीन के लिए अधिकतम संभव स्कोर 40 है, तो एक प्रतियोगी का अधिकतम संभव कुल स्कोर क्या है?</v>
      </c>
      <c r="H7" s="5" t="str">
        <f>IFERROR(__xludf.DUMMYFUNCTION("GOOGLETRANSLATE(C7, ""en"", ""hi"")"),"ए) 240, बी) 360, सी) 480, डी) 600")</f>
        <v>ए) 240, बी) 360, सी) 480, डी) 600</v>
      </c>
      <c r="I7" s="5" t="str">
        <f>IFERROR(__xludf.DUMMYFUNCTION("GOOGLETRANSLATE(D7, ""en"", ""hi"")"),"बी) 360")</f>
        <v>बी) 360</v>
      </c>
    </row>
    <row r="8" ht="22.5" customHeight="1">
      <c r="A8" s="2">
        <v>7.0</v>
      </c>
      <c r="B8" s="3" t="s">
        <v>9974</v>
      </c>
      <c r="C8" s="3" t="s">
        <v>9975</v>
      </c>
      <c r="D8" s="3" t="s">
        <v>9976</v>
      </c>
      <c r="F8" s="5" t="str">
        <f>IFERROR(__xludf.DUMMYFUNCTION("GOOGLETRANSLATE(A8, ""en"", ""hi"")"),"7")</f>
        <v>7</v>
      </c>
      <c r="G8" s="5" t="str">
        <f>IFERROR(__xludf.DUMMYFUNCTION("GOOGLETRANSLATE(B8, ""en"", ""hi"")"),"मलखम्ब प्रदर्शन के दौरान, एक प्रतियोगी 10 आसन करता है, प्रत्येक आसन की कठिनाई रेटिंग 1 से 5 तक होती है। यदि आसन की औसत कठिनाई रेटिंग 3.5 है, तो प्रदर्शन के लिए कुल कठिनाई रेटिंग स्कोर क्या है?")</f>
        <v>मलखम्ब प्रदर्शन के दौरान, एक प्रतियोगी 10 आसन करता है, प्रत्येक आसन की कठिनाई रेटिंग 1 से 5 तक होती है। यदि आसन की औसत कठिनाई रेटिंग 3.5 है, तो प्रदर्शन के लिए कुल कठिनाई रेटिंग स्कोर क्या है?</v>
      </c>
      <c r="H8" s="5" t="str">
        <f>IFERROR(__xludf.DUMMYFUNCTION("GOOGLETRANSLATE(C8, ""en"", ""hi"")"),"ए) 35, बी) 30, सी) 40, डी) 25")</f>
        <v>ए) 35, बी) 30, सी) 40, डी) 25</v>
      </c>
      <c r="I8" s="5" t="str">
        <f>IFERROR(__xludf.DUMMYFUNCTION("GOOGLETRANSLATE(D8, ""en"", ""hi"")"),"ए) 35")</f>
        <v>ए) 35</v>
      </c>
    </row>
    <row r="9" ht="22.5" customHeight="1">
      <c r="A9" s="2">
        <v>8.0</v>
      </c>
      <c r="B9" s="3" t="s">
        <v>9977</v>
      </c>
      <c r="C9" s="3" t="s">
        <v>9978</v>
      </c>
      <c r="D9" s="3" t="s">
        <v>9979</v>
      </c>
      <c r="F9" s="5" t="str">
        <f>IFERROR(__xludf.DUMMYFUNCTION("GOOGLETRANSLATE(A9, ""en"", ""hi"")"),"8")</f>
        <v>8</v>
      </c>
      <c r="G9" s="5" t="str">
        <f>IFERROR(__xludf.DUMMYFUNCTION("GOOGLETRANSLATE(B9, ""en"", ""hi"")"),"मलखंभ प्रदर्शन में, एक कलाकार को एक आसन 90 सेकंड में पूरा करना होता है। यदि प्रत्येक आसन में औसतन 8 सेकंड लगते हैं और आसन में 8 आसन शामिल हैं, तो सभी आसन पूरे करने के बाद कितना समय शेष रहता है?")</f>
        <v>मलखंभ प्रदर्शन में, एक कलाकार को एक आसन 90 सेकंड में पूरा करना होता है। यदि प्रत्येक आसन में औसतन 8 सेकंड लगते हैं और आसन में 8 आसन शामिल हैं, तो सभी आसन पूरे करने के बाद कितना समय शेष रहता है?</v>
      </c>
      <c r="H9" s="5" t="str">
        <f>IFERROR(__xludf.DUMMYFUNCTION("GOOGLETRANSLATE(C9, ""en"", ""hi"")"),"A) 2 सेकंड, B) 10 सेकंड, C) 6 सेकंड, D) 12 सेकंड")</f>
        <v>A) 2 सेकंड, B) 10 सेकंड, C) 6 सेकंड, D) 12 सेकंड</v>
      </c>
      <c r="I9" s="5" t="str">
        <f>IFERROR(__xludf.DUMMYFUNCTION("GOOGLETRANSLATE(D9, ""en"", ""hi"")"),"बी) 10 सेकंड")</f>
        <v>बी) 10 सेकंड</v>
      </c>
    </row>
    <row r="10" ht="22.5" customHeight="1">
      <c r="A10" s="2">
        <v>9.0</v>
      </c>
      <c r="B10" s="3" t="s">
        <v>9980</v>
      </c>
      <c r="C10" s="3" t="s">
        <v>9981</v>
      </c>
      <c r="D10" s="3" t="s">
        <v>9982</v>
      </c>
      <c r="F10" s="5" t="str">
        <f>IFERROR(__xludf.DUMMYFUNCTION("GOOGLETRANSLATE(A10, ""en"", ""hi"")"),"9")</f>
        <v>9</v>
      </c>
      <c r="G10" s="5" t="str">
        <f>IFERROR(__xludf.DUMMYFUNCTION("GOOGLETRANSLATE(B10, ""en"", ""hi"")"),"मलखम्ब प्रतियोगिता में 3 राउंड होते हैं, और प्रत्येक राउंड में 4 प्रदर्शन होते हैं। यदि किसी कलाकार को सभी राउंड के औसत अंकों के आधार पर रैंक दी जाती है, और उसने तीनों राउंड में क्रमशः 18, 20 और 22 अंक प्राप्त किए हैं, तो उसका औसत स्कोर क्या है?")</f>
        <v>मलखम्ब प्रतियोगिता में 3 राउंड होते हैं, और प्रत्येक राउंड में 4 प्रदर्शन होते हैं। यदि किसी कलाकार को सभी राउंड के औसत अंकों के आधार पर रैंक दी जाती है, और उसने तीनों राउंड में क्रमशः 18, 20 और 22 अंक प्राप्त किए हैं, तो उसका औसत स्कोर क्या है?</v>
      </c>
      <c r="H10" s="5" t="str">
        <f>IFERROR(__xludf.DUMMYFUNCTION("GOOGLETRANSLATE(C10, ""en"", ""hi"")"),"ए) 19.5, बी) 20.0, सी) 21.0, डी) 20.5")</f>
        <v>ए) 19.5, बी) 20.0, सी) 21.0, डी) 20.5</v>
      </c>
      <c r="I10" s="5" t="str">
        <f>IFERROR(__xludf.DUMMYFUNCTION("GOOGLETRANSLATE(D10, ""en"", ""hi"")"),"डी) 20.5")</f>
        <v>डी) 20.5</v>
      </c>
    </row>
    <row r="11" ht="22.5" customHeight="1">
      <c r="A11" s="2">
        <v>10.0</v>
      </c>
      <c r="B11" s="3" t="s">
        <v>9983</v>
      </c>
      <c r="C11" s="3" t="s">
        <v>9984</v>
      </c>
      <c r="D11" s="3" t="s">
        <v>602</v>
      </c>
      <c r="F11" s="5" t="str">
        <f>IFERROR(__xludf.DUMMYFUNCTION("GOOGLETRANSLATE(A11, ""en"", ""hi"")"),"10")</f>
        <v>10</v>
      </c>
      <c r="G11" s="5" t="str">
        <f>IFERROR(__xludf.DUMMYFUNCTION("GOOGLETRANSLATE(B11, ""en"", ""hi"")"),"मलखम्ब प्रतियोगिता के दौरान, एक कलाकार एक जटिल मुद्रा करता है जिसकी सफलता दर 70% होती है। यदि कलाकार इस मुद्रा को 10 बार करने का प्रयास करता है, तो औसतन कितने सफल प्रयासों की उम्मीद की जा सकती है?")</f>
        <v>मलखम्ब प्रतियोगिता के दौरान, एक कलाकार एक जटिल मुद्रा करता है जिसकी सफलता दर 70% होती है। यदि कलाकार इस मुद्रा को 10 बार करने का प्रयास करता है, तो औसतन कितने सफल प्रयासों की उम्मीद की जा सकती है?</v>
      </c>
      <c r="H11" s="5" t="str">
        <f>IFERROR(__xludf.DUMMYFUNCTION("GOOGLETRANSLATE(C11, ""en"", ""hi"")"),"ए) 6, बी) 7, सी) 8, डी) 5")</f>
        <v>ए) 6, बी) 7, सी) 8, डी) 5</v>
      </c>
      <c r="I11" s="5" t="str">
        <f>IFERROR(__xludf.DUMMYFUNCTION("GOOGLETRANSLATE(D11, ""en"", ""hi"")"),"बी) 7")</f>
        <v>बी) 7</v>
      </c>
    </row>
    <row r="12" ht="22.5" customHeight="1">
      <c r="A12" s="2">
        <v>11.0</v>
      </c>
      <c r="B12" s="3" t="s">
        <v>9985</v>
      </c>
      <c r="C12" s="3" t="s">
        <v>9986</v>
      </c>
      <c r="D12" s="3" t="s">
        <v>9987</v>
      </c>
      <c r="F12" s="5" t="str">
        <f>IFERROR(__xludf.DUMMYFUNCTION("GOOGLETRANSLATE(A12, ""en"", ""hi"")"),"11")</f>
        <v>11</v>
      </c>
      <c r="G12" s="5" t="str">
        <f>IFERROR(__xludf.DUMMYFUNCTION("GOOGLETRANSLATE(B12, ""en"", ""hi"")"),"एक मलखम्ब प्रतियोगिता में, शीर्ष 3 प्रदर्शनकर्ताओं को पदक प्रदान किए जाते हैं। यदि 12 प्रतियोगी हैं और किसी विशिष्ट प्रदर्शनकर्ता के पदक जीतने की प्रायिकता 1/4 है, तो क्या प्रायिकता है कि वह प्रदर्शनकर्ता पदक नहीं जीतेगा?")</f>
        <v>एक मलखम्ब प्रतियोगिता में, शीर्ष 3 प्रदर्शनकर्ताओं को पदक प्रदान किए जाते हैं। यदि 12 प्रतियोगी हैं और किसी विशिष्ट प्रदर्शनकर्ता के पदक जीतने की प्रायिकता 1/4 है, तो क्या प्रायिकता है कि वह प्रदर्शनकर्ता पदक नहीं जीतेगा?</v>
      </c>
      <c r="H12" s="5" t="str">
        <f>IFERROR(__xludf.DUMMYFUNCTION("GOOGLETRANSLATE(C12, ""en"", ""hi"")"),"ए) 1/4, बी) 3/4, सी) 2/3, डी) 1/2")</f>
        <v>ए) 1/4, बी) 3/4, सी) 2/3, डी) 1/2</v>
      </c>
      <c r="I12" s="5" t="str">
        <f>IFERROR(__xludf.DUMMYFUNCTION("GOOGLETRANSLATE(D12, ""en"", ""hi"")"),"बी) 3/4")</f>
        <v>बी) 3/4</v>
      </c>
    </row>
    <row r="13" ht="22.5" customHeight="1">
      <c r="A13" s="2">
        <v>12.0</v>
      </c>
      <c r="B13" s="3" t="s">
        <v>9988</v>
      </c>
      <c r="C13" s="3" t="s">
        <v>9989</v>
      </c>
      <c r="D13" s="3" t="s">
        <v>9990</v>
      </c>
      <c r="F13" s="5" t="str">
        <f>IFERROR(__xludf.DUMMYFUNCTION("GOOGLETRANSLATE(A13, ""en"", ""hi"")"),"12")</f>
        <v>12</v>
      </c>
      <c r="G13" s="5" t="str">
        <f>IFERROR(__xludf.DUMMYFUNCTION("GOOGLETRANSLATE(B13, ""en"", ""hi"")"),"मलखंभ प्रतियोगिता में, एक कलाकार एक अभ्यास में 12 आसन करता है। यदि प्रत्येक आसन को 20 सेकंड तक करना हो और प्रत्येक आसन के बीच 10 सेकंड का अंतराल हो, तो पूरा अभ्यास कितने समय का होगा?")</f>
        <v>मलखंभ प्रतियोगिता में, एक कलाकार एक अभ्यास में 12 आसन करता है। यदि प्रत्येक आसन को 20 सेकंड तक करना हो और प्रत्येक आसन के बीच 10 सेकंड का अंतराल हो, तो पूरा अभ्यास कितने समय का होगा?</v>
      </c>
      <c r="H13" s="5" t="str">
        <f>IFERROR(__xludf.DUMMYFUNCTION("GOOGLETRANSLATE(C13, ""en"", ""hi"")"),"A) 290 सेकंड, B) 340 सेकंड, C) 260 सेकंड, D) 320 सेकंड")</f>
        <v>A) 290 सेकंड, B) 340 सेकंड, C) 260 सेकंड, D) 320 सेकंड</v>
      </c>
      <c r="I13" s="5" t="str">
        <f>IFERROR(__xludf.DUMMYFUNCTION("GOOGLETRANSLATE(D13, ""en"", ""hi"")"),"ए) 290 सेकंड")</f>
        <v>ए) 290 सेकंड</v>
      </c>
    </row>
    <row r="14" ht="22.5" customHeight="1">
      <c r="A14" s="2">
        <v>13.0</v>
      </c>
      <c r="B14" s="3" t="s">
        <v>9991</v>
      </c>
      <c r="C14" s="3" t="s">
        <v>9992</v>
      </c>
      <c r="D14" s="3" t="s">
        <v>9993</v>
      </c>
      <c r="F14" s="5" t="str">
        <f>IFERROR(__xludf.DUMMYFUNCTION("GOOGLETRANSLATE(A14, ""en"", ""hi"")"),"13")</f>
        <v>13</v>
      </c>
      <c r="G14" s="5" t="str">
        <f>IFERROR(__xludf.DUMMYFUNCTION("GOOGLETRANSLATE(B14, ""en"", ""hi"")"),"मलखम्ब स्पर्धा के दौरान, एक प्रतियोगी 5 करतब दिखाता है। प्रत्येक करतब का मूल्यांकन 4 जजों द्वारा किया जाता है, और प्रत्येक जज 1 से 10 के बीच अंक देता है। यदि उच्चतम और निम्नतम अंकों को हटा दिया जाए, तो किसी करतब को प्राप्त होने वाला अधिकतम संभावित अंक क्य"&amp;"ा होगा?")</f>
        <v>मलखम्ब स्पर्धा के दौरान, एक प्रतियोगी 5 करतब दिखाता है। प्रत्येक करतब का मूल्यांकन 4 जजों द्वारा किया जाता है, और प्रत्येक जज 1 से 10 के बीच अंक देता है। यदि उच्चतम और निम्नतम अंकों को हटा दिया जाए, तो किसी करतब को प्राप्त होने वाला अधिकतम संभावित अंक क्या होगा?</v>
      </c>
      <c r="H14" s="5" t="str">
        <f>IFERROR(__xludf.DUMMYFUNCTION("GOOGLETRANSLATE(C14, ""en"", ""hi"")"),"ए) 40, बी) 30, सी) 35, डी) 45")</f>
        <v>ए) 40, बी) 30, सी) 35, डी) 45</v>
      </c>
      <c r="I14" s="5" t="str">
        <f>IFERROR(__xludf.DUMMYFUNCTION("GOOGLETRANSLATE(D14, ""en"", ""hi"")"),"ए) 40")</f>
        <v>ए) 40</v>
      </c>
    </row>
    <row r="15" ht="22.5" customHeight="1">
      <c r="A15" s="2">
        <v>14.0</v>
      </c>
      <c r="B15" s="3" t="s">
        <v>9994</v>
      </c>
      <c r="C15" s="3" t="s">
        <v>9995</v>
      </c>
      <c r="D15" s="3" t="s">
        <v>9996</v>
      </c>
      <c r="F15" s="5" t="str">
        <f>IFERROR(__xludf.DUMMYFUNCTION("GOOGLETRANSLATE(A15, ""en"", ""hi"")"),"14")</f>
        <v>14</v>
      </c>
      <c r="G15" s="5" t="str">
        <f>IFERROR(__xludf.DUMMYFUNCTION("GOOGLETRANSLATE(B15, ""en"", ""hi"")"),"एक मलखम्ब कलाकार का मूल्यांकन 6 विभिन्न आसनों पर किया जाता है, प्रत्येक आसन की कठिनाई रेटिंग 1 से 5 तक होती है। यदि औसत कठिनाई रेटिंग 4 है, तो 6 आसनों के लिए कुल कठिनाई स्कोर क्या है?")</f>
        <v>एक मलखम्ब कलाकार का मूल्यांकन 6 विभिन्न आसनों पर किया जाता है, प्रत्येक आसन की कठिनाई रेटिंग 1 से 5 तक होती है। यदि औसत कठिनाई रेटिंग 4 है, तो 6 आसनों के लिए कुल कठिनाई स्कोर क्या है?</v>
      </c>
      <c r="H15" s="5" t="str">
        <f>IFERROR(__xludf.DUMMYFUNCTION("GOOGLETRANSLATE(C15, ""en"", ""hi"")"),"ए) 24, बी) 30, सी) 28, डी) 22")</f>
        <v>ए) 24, बी) 30, सी) 28, डी) 22</v>
      </c>
      <c r="I15" s="5" t="str">
        <f>IFERROR(__xludf.DUMMYFUNCTION("GOOGLETRANSLATE(D15, ""en"", ""hi"")"),"सी) 28")</f>
        <v>सी) 28</v>
      </c>
    </row>
    <row r="16" ht="22.5" customHeight="1">
      <c r="A16" s="2">
        <v>15.0</v>
      </c>
      <c r="B16" s="3" t="s">
        <v>9997</v>
      </c>
      <c r="C16" s="3" t="s">
        <v>9998</v>
      </c>
      <c r="D16" s="3" t="s">
        <v>9961</v>
      </c>
      <c r="F16" s="5" t="str">
        <f>IFERROR(__xludf.DUMMYFUNCTION("GOOGLETRANSLATE(A16, ""en"", ""hi"")"),"15")</f>
        <v>15</v>
      </c>
      <c r="G16" s="5" t="str">
        <f>IFERROR(__xludf.DUMMYFUNCTION("GOOGLETRANSLATE(B16, ""en"", ""hi"")"),"8 टीमों वाली एक टीम मलखम्ब प्रतियोगिता में, यदि प्रत्येक टीम 3 रूटीन प्रदर्शन करती है, और शीर्ष 3 टीमों को पदक दिए जाते हैं, तो कितने टीमों को पदक दिए जाते हैं?")</f>
        <v>8 टीमों वाली एक टीम मलखम्ब प्रतियोगिता में, यदि प्रत्येक टीम 3 रूटीन प्रदर्शन करती है, और शीर्ष 3 टीमों को पदक दिए जाते हैं, तो कितने टीमों को पदक दिए जाते हैं?</v>
      </c>
      <c r="H16" s="5" t="str">
        <f>IFERROR(__xludf.DUMMYFUNCTION("GOOGLETRANSLATE(C16, ""en"", ""hi"")"),"ए) 1/4, बी) 1/3, सी) 1/2, डी) 1/8")</f>
        <v>ए) 1/4, बी) 1/3, सी) 1/2, डी) 1/8</v>
      </c>
      <c r="I16" s="5" t="str">
        <f>IFERROR(__xludf.DUMMYFUNCTION("GOOGLETRANSLATE(D16, ""en"", ""hi"")"),"ए) 1/4")</f>
        <v>ए) 1/4</v>
      </c>
    </row>
    <row r="17" ht="22.5" customHeight="1">
      <c r="A17" s="2">
        <v>16.0</v>
      </c>
      <c r="B17" s="3" t="s">
        <v>9999</v>
      </c>
      <c r="C17" s="3" t="s">
        <v>10000</v>
      </c>
      <c r="D17" s="3" t="s">
        <v>10001</v>
      </c>
      <c r="F17" s="5" t="str">
        <f>IFERROR(__xludf.DUMMYFUNCTION("GOOGLETRANSLATE(A17, ""en"", ""hi"")"),"16")</f>
        <v>16</v>
      </c>
      <c r="G17" s="5" t="str">
        <f>IFERROR(__xludf.DUMMYFUNCTION("GOOGLETRANSLATE(B17, ""en"", ""hi"")"),"मलखम्ब प्रदर्शन के दौरान, एक कलाकार 15 अलग-अलग मुद्राएँ करता है। यदि प्रत्येक मुद्रा की समय सीमा 30 सेकंड है और कलाकार प्रत्येक मुद्रा में समायोजन के लिए 5 सेकंड का समय लेता है, तो केवल समायोजन में कितना समय लगता है?")</f>
        <v>मलखम्ब प्रदर्शन के दौरान, एक कलाकार 15 अलग-अलग मुद्राएँ करता है। यदि प्रत्येक मुद्रा की समय सीमा 30 सेकंड है और कलाकार प्रत्येक मुद्रा में समायोजन के लिए 5 सेकंड का समय लेता है, तो केवल समायोजन में कितना समय लगता है?</v>
      </c>
      <c r="H17" s="5" t="str">
        <f>IFERROR(__xludf.DUMMYFUNCTION("GOOGLETRANSLATE(C17, ""en"", ""hi"")"),"A) 50 सेकंड, B) 75 सेकंड, C) 60 सेकंड, D) 100 सेकंड")</f>
        <v>A) 50 सेकंड, B) 75 सेकंड, C) 60 सेकंड, D) 100 सेकंड</v>
      </c>
      <c r="I17" s="5" t="str">
        <f>IFERROR(__xludf.DUMMYFUNCTION("GOOGLETRANSLATE(D17, ""en"", ""hi"")"),"बी) 75 सेकंड")</f>
        <v>बी) 75 सेकंड</v>
      </c>
    </row>
    <row r="18" ht="22.5" customHeight="1">
      <c r="A18" s="2">
        <v>17.0</v>
      </c>
      <c r="B18" s="3" t="s">
        <v>10002</v>
      </c>
      <c r="C18" s="3" t="s">
        <v>10003</v>
      </c>
      <c r="D18" s="3" t="s">
        <v>10004</v>
      </c>
      <c r="F18" s="5" t="str">
        <f>IFERROR(__xludf.DUMMYFUNCTION("GOOGLETRANSLATE(A18, ""en"", ""hi"")"),"17")</f>
        <v>17</v>
      </c>
      <c r="G18" s="5" t="str">
        <f>IFERROR(__xludf.DUMMYFUNCTION("GOOGLETRANSLATE(B18, ""en"", ""hi"")"),"मलखंभ प्रतियोगिता में, एक कलाकार को तीन रूटीन पूरे करने होते हैं। यदि प्रत्येक रूटीन का मूल्यांकन अधिकतम 50 अंकों के आधार पर किया जाए और कलाकार क्रमशः 45, 48 और 43 अंक प्राप्त करता है, तो उसका कुल स्कोर क्या होगा?")</f>
        <v>मलखंभ प्रतियोगिता में, एक कलाकार को तीन रूटीन पूरे करने होते हैं। यदि प्रत्येक रूटीन का मूल्यांकन अधिकतम 50 अंकों के आधार पर किया जाए और कलाकार क्रमशः 45, 48 और 43 अंक प्राप्त करता है, तो उसका कुल स्कोर क्या होगा?</v>
      </c>
      <c r="H18" s="5" t="str">
        <f>IFERROR(__xludf.DUMMYFUNCTION("GOOGLETRANSLATE(C18, ""en"", ""hi"")"),"ए) 136, बी) 140, सी) 135, डी) 150")</f>
        <v>ए) 136, बी) 140, सी) 135, डी) 150</v>
      </c>
      <c r="I18" s="5" t="str">
        <f>IFERROR(__xludf.DUMMYFUNCTION("GOOGLETRANSLATE(D18, ""en"", ""hi"")"),"ए) 136")</f>
        <v>ए) 136</v>
      </c>
    </row>
    <row r="19" ht="22.5" customHeight="1">
      <c r="A19" s="2">
        <v>18.0</v>
      </c>
      <c r="B19" s="3" t="s">
        <v>10005</v>
      </c>
      <c r="C19" s="3" t="s">
        <v>10006</v>
      </c>
      <c r="D19" s="3" t="s">
        <v>10007</v>
      </c>
      <c r="F19" s="5" t="str">
        <f>IFERROR(__xludf.DUMMYFUNCTION("GOOGLETRANSLATE(A19, ""en"", ""hi"")"),"18")</f>
        <v>18</v>
      </c>
      <c r="G19" s="5" t="str">
        <f>IFERROR(__xludf.DUMMYFUNCTION("GOOGLETRANSLATE(B19, ""en"", ""hi"")"),"मलखम्ब स्पर्धा के दौरान, प्रत्येक प्रतियोगी 10 आसनों की एक श्रृंखला करता है। यदि प्रत्येक आसन में औसतन 15 सेकंड लगते हैं, और आसनों के बीच 5 सेकंड का विराम होता है, तो प्रदर्शन की कुल अवधि क्या है?")</f>
        <v>मलखम्ब स्पर्धा के दौरान, प्रत्येक प्रतियोगी 10 आसनों की एक श्रृंखला करता है। यदि प्रत्येक आसन में औसतन 15 सेकंड लगते हैं, और आसनों के बीच 5 सेकंड का विराम होता है, तो प्रदर्शन की कुल अवधि क्या है?</v>
      </c>
      <c r="H19" s="5" t="str">
        <f>IFERROR(__xludf.DUMMYFUNCTION("GOOGLETRANSLATE(C19, ""en"", ""hi"")"),"A) 200 सेकंड, B) 180 सेकंड, C) 150 सेकंड, D) 170 सेकंड")</f>
        <v>A) 200 सेकंड, B) 180 सेकंड, C) 150 सेकंड, D) 170 सेकंड</v>
      </c>
      <c r="I19" s="5" t="str">
        <f>IFERROR(__xludf.DUMMYFUNCTION("GOOGLETRANSLATE(D19, ""en"", ""hi"")"),"डी) 170 सेकंड")</f>
        <v>डी) 170 सेकंड</v>
      </c>
    </row>
    <row r="20" ht="22.5" customHeight="1">
      <c r="A20" s="2">
        <v>19.0</v>
      </c>
      <c r="B20" s="3" t="s">
        <v>10008</v>
      </c>
      <c r="C20" s="3" t="s">
        <v>10009</v>
      </c>
      <c r="D20" s="3" t="s">
        <v>10010</v>
      </c>
      <c r="F20" s="5" t="str">
        <f>IFERROR(__xludf.DUMMYFUNCTION("GOOGLETRANSLATE(A20, ""en"", ""hi"")"),"19")</f>
        <v>19</v>
      </c>
      <c r="G20" s="5" t="str">
        <f>IFERROR(__xludf.DUMMYFUNCTION("GOOGLETRANSLATE(B20, ""en"", ""hi"")"),"मलखम्ब प्रदर्शन में पाँच आसन शामिल होते हैं, जिनमें से प्रत्येक की सफलता दर 80% होती है। यदि कोई कलाकार प्रत्येक आसन को दो बार करता है, तो औसतन कितने सफल प्रयास अपेक्षित हैं?")</f>
        <v>मलखम्ब प्रदर्शन में पाँच आसन शामिल होते हैं, जिनमें से प्रत्येक की सफलता दर 80% होती है। यदि कोई कलाकार प्रत्येक आसन को दो बार करता है, तो औसतन कितने सफल प्रयास अपेक्षित हैं?</v>
      </c>
      <c r="H20" s="5" t="str">
        <f>IFERROR(__xludf.DUMMYFUNCTION("GOOGLETRANSLATE(C20, ""en"", ""hi"")"),"ए) 8, बी) 7, सी) 9, डी) 6")</f>
        <v>ए) 8, बी) 7, सी) 9, डी) 6</v>
      </c>
      <c r="I20" s="5" t="str">
        <f>IFERROR(__xludf.DUMMYFUNCTION("GOOGLETRANSLATE(D20, ""en"", ""hi"")"),"ए) 8")</f>
        <v>ए) 8</v>
      </c>
    </row>
    <row r="21" ht="22.5" customHeight="1">
      <c r="A21" s="2">
        <v>20.0</v>
      </c>
      <c r="B21" s="3" t="s">
        <v>10011</v>
      </c>
      <c r="C21" s="3" t="s">
        <v>10012</v>
      </c>
      <c r="D21" s="3" t="s">
        <v>4011</v>
      </c>
      <c r="F21" s="5" t="str">
        <f>IFERROR(__xludf.DUMMYFUNCTION("GOOGLETRANSLATE(A21, ""en"", ""hi"")"),"20")</f>
        <v>20</v>
      </c>
      <c r="G21" s="5" t="str">
        <f>IFERROR(__xludf.DUMMYFUNCTION("GOOGLETRANSLATE(B21, ""en"", ""hi"")"),"मलखंभ प्रतियोगिता में, एक कलाकार को अपने अभ्यास से पहले 20 मिनट का समय मिलता है। यदि प्रत्येक अभ्यास सत्र 4 मिनट का हो और सत्रों के बीच 1 मिनट का ब्रेक हो, तो कलाकार कितने अभ्यास सत्र पूरे कर सकता है?")</f>
        <v>मलखंभ प्रतियोगिता में, एक कलाकार को अपने अभ्यास से पहले 20 मिनट का समय मिलता है। यदि प्रत्येक अभ्यास सत्र 4 मिनट का हो और सत्रों के बीच 1 मिनट का ब्रेक हो, तो कलाकार कितने अभ्यास सत्र पूरे कर सकता है?</v>
      </c>
      <c r="H21" s="5" t="str">
        <f>IFERROR(__xludf.DUMMYFUNCTION("GOOGLETRANSLATE(C21, ""en"", ""hi"")"),"ए) 4, बी) 5, सी) 3, डी) 6")</f>
        <v>ए) 4, बी) 5, सी) 3, डी) 6</v>
      </c>
      <c r="I21" s="5" t="str">
        <f>IFERROR(__xludf.DUMMYFUNCTION("GOOGLETRANSLATE(D21, ""en"", ""hi"")"),"बी) 5")</f>
        <v>बी) 5</v>
      </c>
    </row>
    <row r="22" ht="22.5" customHeight="1">
      <c r="A22" s="2">
        <v>21.0</v>
      </c>
      <c r="B22" s="3" t="s">
        <v>10013</v>
      </c>
      <c r="C22" s="3" t="s">
        <v>10014</v>
      </c>
      <c r="D22" s="3" t="s">
        <v>10010</v>
      </c>
      <c r="F22" s="5" t="str">
        <f>IFERROR(__xludf.DUMMYFUNCTION("GOOGLETRANSLATE(A22, ""en"", ""hi"")"),"21")</f>
        <v>21</v>
      </c>
      <c r="G22" s="5" t="str">
        <f>IFERROR(__xludf.DUMMYFUNCTION("GOOGLETRANSLATE(B22, ""en"", ""hi"")"),"मलखम्ब स्पर्धा के दौरान, कलाकार को तीन मानदंडों के आधार पर अंक दिए जाते हैं: कठिनाई, निष्पादन और प्रस्तुति। प्रत्येक मानदंड को 1 से 10 तक आंका जाता है। यदि कलाकार को कठिनाई में 9, निष्पादन में 8 और प्रस्तुति में 7 अंक मिलते हैं, तो उसका औसत अंक क्या होगा?")</f>
        <v>मलखम्ब स्पर्धा के दौरान, कलाकार को तीन मानदंडों के आधार पर अंक दिए जाते हैं: कठिनाई, निष्पादन और प्रस्तुति। प्रत्येक मानदंड को 1 से 10 तक आंका जाता है। यदि कलाकार को कठिनाई में 9, निष्पादन में 8 और प्रस्तुति में 7 अंक मिलते हैं, तो उसका औसत अंक क्या होगा?</v>
      </c>
      <c r="H22" s="5" t="str">
        <f>IFERROR(__xludf.DUMMYFUNCTION("GOOGLETRANSLATE(C22, ""en"", ""hi"")"),"ए) 8, बी) 8.5, सी) 7.5, डी) 7")</f>
        <v>ए) 8, बी) 8.5, सी) 7.5, डी) 7</v>
      </c>
      <c r="I22" s="5" t="str">
        <f>IFERROR(__xludf.DUMMYFUNCTION("GOOGLETRANSLATE(D22, ""en"", ""hi"")"),"ए) 8")</f>
        <v>ए) 8</v>
      </c>
    </row>
    <row r="23" ht="22.5" customHeight="1">
      <c r="A23" s="2">
        <v>22.0</v>
      </c>
      <c r="B23" s="3" t="s">
        <v>10015</v>
      </c>
      <c r="C23" s="3" t="s">
        <v>10016</v>
      </c>
      <c r="D23" s="3" t="s">
        <v>10017</v>
      </c>
      <c r="F23" s="5" t="str">
        <f>IFERROR(__xludf.DUMMYFUNCTION("GOOGLETRANSLATE(A23, ""en"", ""hi"")"),"22")</f>
        <v>22</v>
      </c>
      <c r="G23" s="5" t="str">
        <f>IFERROR(__xludf.DUMMYFUNCTION("GOOGLETRANSLATE(B23, ""en"", ""hi"")"),"एक मलखम्ब कलाकार को 4 अलग-अलग करतब दिखाने होते हैं। यदि प्रत्येक करतब के लिए अधिकतम 25 अंक दिए जाएँ, और कलाकार को चारों करतबों में क्रमशः 20, 22, 18 और 23 अंक प्राप्त हों, तो प्रत्येक करतब का औसत स्कोर क्या होगा?")</f>
        <v>एक मलखम्ब कलाकार को 4 अलग-अलग करतब दिखाने होते हैं। यदि प्रत्येक करतब के लिए अधिकतम 25 अंक दिए जाएँ, और कलाकार को चारों करतबों में क्रमशः 20, 22, 18 और 23 अंक प्राप्त हों, तो प्रत्येक करतब का औसत स्कोर क्या होगा?</v>
      </c>
      <c r="H23" s="5" t="str">
        <f>IFERROR(__xludf.DUMMYFUNCTION("GOOGLETRANSLATE(C23, ""en"", ""hi"")"),"ए) 20.75, बी) 21.0, सी) 21.5, डी) 22.0")</f>
        <v>ए) 20.75, बी) 21.0, सी) 21.5, डी) 22.0</v>
      </c>
      <c r="I23" s="5" t="str">
        <f>IFERROR(__xludf.DUMMYFUNCTION("GOOGLETRANSLATE(D23, ""en"", ""hi"")"),"ए) 20.75")</f>
        <v>ए) 20.75</v>
      </c>
    </row>
    <row r="24" ht="22.5" customHeight="1">
      <c r="A24" s="2">
        <v>23.0</v>
      </c>
      <c r="B24" s="3" t="s">
        <v>10018</v>
      </c>
      <c r="C24" s="3" t="s">
        <v>10019</v>
      </c>
      <c r="D24" s="3" t="s">
        <v>10020</v>
      </c>
      <c r="F24" s="5" t="str">
        <f>IFERROR(__xludf.DUMMYFUNCTION("GOOGLETRANSLATE(A24, ""en"", ""hi"")"),"23")</f>
        <v>23</v>
      </c>
      <c r="G24" s="5" t="str">
        <f>IFERROR(__xludf.DUMMYFUNCTION("GOOGLETRANSLATE(B24, ""en"", ""hi"")"),"मलखम्ब प्रतियोगिता के दौरान यदि कोई कलाकार 10 प्रयासों में से 7 आसन सफलतापूर्वक पूरे कर लेता है, तो उसकी सफलता दर का प्रतिशत क्या होगा?")</f>
        <v>मलखम्ब प्रतियोगिता के दौरान यदि कोई कलाकार 10 प्रयासों में से 7 आसन सफलतापूर्वक पूरे कर लेता है, तो उसकी सफलता दर का प्रतिशत क्या होगा?</v>
      </c>
      <c r="H24" s="5" t="str">
        <f>IFERROR(__xludf.DUMMYFUNCTION("GOOGLETRANSLATE(C24, ""en"", ""hi"")"),"ए) 60%, बी) 70%, सी) 75%, डी) 80%")</f>
        <v>ए) 60%, बी) 70%, सी) 75%, डी) 80%</v>
      </c>
      <c r="I24" s="5" t="str">
        <f>IFERROR(__xludf.DUMMYFUNCTION("GOOGLETRANSLATE(D24, ""en"", ""hi"")"),"डी) 70%")</f>
        <v>डी) 70%</v>
      </c>
    </row>
    <row r="25" ht="22.5" customHeight="1">
      <c r="A25" s="2">
        <v>24.0</v>
      </c>
      <c r="B25" s="3" t="s">
        <v>10021</v>
      </c>
      <c r="C25" s="3" t="s">
        <v>10022</v>
      </c>
      <c r="D25" s="3" t="s">
        <v>10023</v>
      </c>
      <c r="F25" s="5" t="str">
        <f>IFERROR(__xludf.DUMMYFUNCTION("GOOGLETRANSLATE(A25, ""en"", ""hi"")"),"24")</f>
        <v>24</v>
      </c>
      <c r="G25" s="5" t="str">
        <f>IFERROR(__xludf.DUMMYFUNCTION("GOOGLETRANSLATE(B25, ""en"", ""hi"")"),"मलखम्ब प्रतियोगिता में, एक कलाकार 6 आसन करता है, प्रत्येक आसन में 5 आसन होते हैं। यदि प्रत्येक आसन 25 सेकंड तक किया जाता है, तो एक आसन पर कुल कितना समय व्यतीत होता है?")</f>
        <v>मलखम्ब प्रतियोगिता में, एक कलाकार 6 आसन करता है, प्रत्येक आसन में 5 आसन होते हैं। यदि प्रत्येक आसन 25 सेकंड तक किया जाता है, तो एक आसन पर कुल कितना समय व्यतीत होता है?</v>
      </c>
      <c r="H25" s="5" t="str">
        <f>IFERROR(__xludf.DUMMYFUNCTION("GOOGLETRANSLATE(C25, ""en"", ""hi"")"),"A) 125 सेकंड, B) 150 सेकंड, C) 100 सेकंड, D) 200 सेकंड")</f>
        <v>A) 125 सेकंड, B) 150 सेकंड, C) 100 सेकंड, D) 200 सेकंड</v>
      </c>
      <c r="I25" s="5" t="str">
        <f>IFERROR(__xludf.DUMMYFUNCTION("GOOGLETRANSLATE(D25, ""en"", ""hi"")"),"ए) 125 सेकंड")</f>
        <v>ए) 125 सेकंड</v>
      </c>
    </row>
    <row r="26" ht="22.5" customHeight="1">
      <c r="A26" s="2">
        <v>25.0</v>
      </c>
      <c r="B26" s="3" t="s">
        <v>10024</v>
      </c>
      <c r="C26" s="3" t="s">
        <v>10025</v>
      </c>
      <c r="D26" s="3" t="s">
        <v>10010</v>
      </c>
      <c r="F26" s="5" t="str">
        <f>IFERROR(__xludf.DUMMYFUNCTION("GOOGLETRANSLATE(A26, ""en"", ""hi"")"),"25")</f>
        <v>25</v>
      </c>
      <c r="G26" s="5" t="str">
        <f>IFERROR(__xludf.DUMMYFUNCTION("GOOGLETRANSLATE(B26, ""en"", ""hi"")"),"एक मलखम्ब प्रतियोगिता में 10 निर्णायक होते हैं। यदि प्रत्येक निर्णायक 10 अंकों में से किसी प्रदर्शन का मूल्यांकन करता है और उच्चतम तथा निम्नतम अंकों को हटा दिया जाता है, तो अंतिम अंक की गणना के लिए कितने निर्णायकों के अंकों का उपयोग किया जाएगा?")</f>
        <v>एक मलखम्ब प्रतियोगिता में 10 निर्णायक होते हैं। यदि प्रत्येक निर्णायक 10 अंकों में से किसी प्रदर्शन का मूल्यांकन करता है और उच्चतम तथा निम्नतम अंकों को हटा दिया जाता है, तो अंतिम अंक की गणना के लिए कितने निर्णायकों के अंकों का उपयोग किया जाएगा?</v>
      </c>
      <c r="H26" s="5" t="str">
        <f>IFERROR(__xludf.DUMMYFUNCTION("GOOGLETRANSLATE(C26, ""en"", ""hi"")"),"ए) 8, बी) 9, सी) 7, डी) 10")</f>
        <v>ए) 8, बी) 9, सी) 7, डी) 10</v>
      </c>
      <c r="I26" s="5" t="str">
        <f>IFERROR(__xludf.DUMMYFUNCTION("GOOGLETRANSLATE(D26, ""en"", ""hi"")"),"ए) 8")</f>
        <v>ए) 8</v>
      </c>
    </row>
    <row r="27" ht="22.5" customHeight="1">
      <c r="A27" s="2">
        <v>26.0</v>
      </c>
      <c r="B27" s="3" t="s">
        <v>10026</v>
      </c>
      <c r="C27" s="3" t="s">
        <v>10027</v>
      </c>
      <c r="D27" s="3" t="s">
        <v>10028</v>
      </c>
      <c r="F27" s="5" t="str">
        <f>IFERROR(__xludf.DUMMYFUNCTION("GOOGLETRANSLATE(A27, ""en"", ""hi"")"),"26")</f>
        <v>26</v>
      </c>
      <c r="G27" s="5" t="str">
        <f>IFERROR(__xludf.DUMMYFUNCTION("GOOGLETRANSLATE(B27, ""en"", ""hi"")"),"मलखंभ प्रतियोगिता में, एक कलाकार का मूल्यांकन 5 अलग-अलग मुद्राओं के आधार पर किया जाता है। यदि प्रत्येक मुद्रा को 1 से 10 के पैमाने पर आंका जाए और 5 मुद्राओं के लिए अधिकतम संभव कुल अंक 50 हों, तो प्रत्येक मुद्रा का अधिकतम संभव औसत अंक क्या होगा?")</f>
        <v>मलखंभ प्रतियोगिता में, एक कलाकार का मूल्यांकन 5 अलग-अलग मुद्राओं के आधार पर किया जाता है। यदि प्रत्येक मुद्रा को 1 से 10 के पैमाने पर आंका जाए और 5 मुद्राओं के लिए अधिकतम संभव कुल अंक 50 हों, तो प्रत्येक मुद्रा का अधिकतम संभव औसत अंक क्या होगा?</v>
      </c>
      <c r="H27" s="5" t="str">
        <f>IFERROR(__xludf.DUMMYFUNCTION("GOOGLETRANSLATE(C27, ""en"", ""hi"")"),"ए) 10, बी) 9, सी) 8, डी) 7")</f>
        <v>ए) 10, बी) 9, सी) 8, डी) 7</v>
      </c>
      <c r="I27" s="5" t="str">
        <f>IFERROR(__xludf.DUMMYFUNCTION("GOOGLETRANSLATE(D27, ""en"", ""hi"")"),"ए) 10")</f>
        <v>ए) 10</v>
      </c>
    </row>
    <row r="28" ht="22.5" customHeight="1">
      <c r="A28" s="2">
        <v>27.0</v>
      </c>
      <c r="B28" s="3" t="s">
        <v>10029</v>
      </c>
      <c r="C28" s="3" t="s">
        <v>10030</v>
      </c>
      <c r="D28" s="3" t="s">
        <v>10031</v>
      </c>
      <c r="F28" s="5" t="str">
        <f>IFERROR(__xludf.DUMMYFUNCTION("GOOGLETRANSLATE(A28, ""en"", ""hi"")"),"27")</f>
        <v>27</v>
      </c>
      <c r="G28" s="5" t="str">
        <f>IFERROR(__xludf.DUMMYFUNCTION("GOOGLETRANSLATE(B28, ""en"", ""hi"")"),"मलखम्ब अभ्यास के दौरान, एक कलाकार चार आसन करता है। यदि प्रत्येक आसन कम से कम 15 सेकंड तक करना आवश्यक है और कुल समय 1 मिनट है, तो आसनों के बीच परिवर्तन के लिए कितने सेकंड आवंटित किए जाते हैं?")</f>
        <v>मलखम्ब अभ्यास के दौरान, एक कलाकार चार आसन करता है। यदि प्रत्येक आसन कम से कम 15 सेकंड तक करना आवश्यक है और कुल समय 1 मिनट है, तो आसनों के बीच परिवर्तन के लिए कितने सेकंड आवंटित किए जाते हैं?</v>
      </c>
      <c r="H28" s="5" t="str">
        <f>IFERROR(__xludf.DUMMYFUNCTION("GOOGLETRANSLATE(C28, ""en"", ""hi"")"),"A) 15 सेकंड, B) 20 सेकंड, C) 10 सेकंड, D) 25 सेकंड")</f>
        <v>A) 15 सेकंड, B) 20 सेकंड, C) 10 सेकंड, D) 25 सेकंड</v>
      </c>
      <c r="I28" s="5" t="str">
        <f>IFERROR(__xludf.DUMMYFUNCTION("GOOGLETRANSLATE(D28, ""en"", ""hi"")"),"ए) 15 सेकंड")</f>
        <v>ए) 15 सेकंड</v>
      </c>
    </row>
    <row r="29" ht="22.5" customHeight="1">
      <c r="A29" s="2">
        <v>28.0</v>
      </c>
      <c r="B29" s="3" t="s">
        <v>10032</v>
      </c>
      <c r="C29" s="3" t="s">
        <v>10033</v>
      </c>
      <c r="D29" s="3" t="s">
        <v>10034</v>
      </c>
      <c r="F29" s="5" t="str">
        <f>IFERROR(__xludf.DUMMYFUNCTION("GOOGLETRANSLATE(A29, ""en"", ""hi"")"),"28")</f>
        <v>28</v>
      </c>
      <c r="G29" s="5" t="str">
        <f>IFERROR(__xludf.DUMMYFUNCTION("GOOGLETRANSLATE(B29, ""en"", ""hi"")"),"एक मलखंभ कलाकार 5 स्पर्धाओं में भाग लेता है। प्रत्येक स्पर्धा का मूल्यांकन अधिकतम 30 अंकों के आधार पर किया जाता है। यदि कलाकार 28, 25, 30, 27 और 29 अंक प्राप्त करता है, तो उसका कुल स्कोर क्या होगा?")</f>
        <v>एक मलखंभ कलाकार 5 स्पर्धाओं में भाग लेता है। प्रत्येक स्पर्धा का मूल्यांकन अधिकतम 30 अंकों के आधार पर किया जाता है। यदि कलाकार 28, 25, 30, 27 और 29 अंक प्राप्त करता है, तो उसका कुल स्कोर क्या होगा?</v>
      </c>
      <c r="H29" s="5" t="str">
        <f>IFERROR(__xludf.DUMMYFUNCTION("GOOGLETRANSLATE(C29, ""en"", ""hi"")"),"ए) 139, बी) 130, सी) 145, डी) 140")</f>
        <v>ए) 139, बी) 130, सी) 145, डी) 140</v>
      </c>
      <c r="I29" s="5" t="str">
        <f>IFERROR(__xludf.DUMMYFUNCTION("GOOGLETRANSLATE(D29, ""en"", ""hi"")"),"डी) 140")</f>
        <v>डी) 140</v>
      </c>
    </row>
    <row r="30" ht="22.5" customHeight="1">
      <c r="A30" s="2">
        <v>29.0</v>
      </c>
      <c r="B30" s="3" t="s">
        <v>10035</v>
      </c>
      <c r="C30" s="3" t="s">
        <v>10036</v>
      </c>
      <c r="D30" s="3" t="s">
        <v>10037</v>
      </c>
      <c r="F30" s="5" t="str">
        <f>IFERROR(__xludf.DUMMYFUNCTION("GOOGLETRANSLATE(A30, ""en"", ""hi"")"),"29")</f>
        <v>29</v>
      </c>
      <c r="G30" s="5" t="str">
        <f>IFERROR(__xludf.DUMMYFUNCTION("GOOGLETRANSLATE(B30, ""en"", ""hi"")"),"मलखम्ब प्रतियोगिता में, एक कलाकार को 8 आसन करने होते हैं, और प्रत्येक आसन की सफलता की संभावना 85% होती है। यदि कलाकार प्रत्येक आसन को 5 बार करता है, तो औसतन कितने सफल आसन अपेक्षित हैं?")</f>
        <v>मलखम्ब प्रतियोगिता में, एक कलाकार को 8 आसन करने होते हैं, और प्रत्येक आसन की सफलता की संभावना 85% होती है। यदि कलाकार प्रत्येक आसन को 5 बार करता है, तो औसतन कितने सफल आसन अपेक्षित हैं?</v>
      </c>
      <c r="H30" s="5" t="str">
        <f>IFERROR(__xludf.DUMMYFUNCTION("GOOGLETRANSLATE(C30, ""en"", ""hi"")"),"ए) 34, बी) 30, सी) 32, डी) 28")</f>
        <v>ए) 34, बी) 30, सी) 32, डी) 28</v>
      </c>
      <c r="I30" s="5" t="str">
        <f>IFERROR(__xludf.DUMMYFUNCTION("GOOGLETRANSLATE(D30, ""en"", ""hi"")"),"सी) 32")</f>
        <v>सी) 32</v>
      </c>
    </row>
    <row r="31" ht="22.5" customHeight="1">
      <c r="A31" s="2">
        <v>30.0</v>
      </c>
      <c r="B31" s="3" t="s">
        <v>10038</v>
      </c>
      <c r="C31" s="3" t="s">
        <v>10039</v>
      </c>
      <c r="D31" s="3" t="s">
        <v>10040</v>
      </c>
      <c r="F31" s="5" t="str">
        <f>IFERROR(__xludf.DUMMYFUNCTION("GOOGLETRANSLATE(A31, ""en"", ""hi"")"),"30")</f>
        <v>30</v>
      </c>
      <c r="G31" s="5" t="str">
        <f>IFERROR(__xludf.DUMMYFUNCTION("GOOGLETRANSLATE(B31, ""en"", ""hi"")"),"मलखम्ब अभ्यास के दौरान, कलाकार को तीन मानदंडों के आधार पर 1 से 20 के पैमाने पर अंक दिए जाते हैं: कठिनाई, निष्पादन और प्रस्तुति। यदि कलाकार को कठिनाई में 15, निष्पादन में 18 और प्रस्तुति में 17 अंक मिलते हैं, तो उसका कुल स्कोर क्या होगा?")</f>
        <v>मलखम्ब अभ्यास के दौरान, कलाकार को तीन मानदंडों के आधार पर 1 से 20 के पैमाने पर अंक दिए जाते हैं: कठिनाई, निष्पादन और प्रस्तुति। यदि कलाकार को कठिनाई में 15, निष्पादन में 18 और प्रस्तुति में 17 अंक मिलते हैं, तो उसका कुल स्कोर क्या होगा?</v>
      </c>
      <c r="H31" s="5" t="str">
        <f>IFERROR(__xludf.DUMMYFUNCTION("GOOGLETRANSLATE(C31, ""en"", ""hi"")"),"ए) 50, बी) 48, सी) 49, डी) 45")</f>
        <v>ए) 50, बी) 48, सी) 49, डी) 45</v>
      </c>
      <c r="I31" s="5" t="str">
        <f>IFERROR(__xludf.DUMMYFUNCTION("GOOGLETRANSLATE(D31, ""en"", ""hi"")"),"बी) 50")</f>
        <v>बी) 50</v>
      </c>
    </row>
    <row r="32" ht="22.5" customHeight="1">
      <c r="A32" s="2">
        <v>31.0</v>
      </c>
      <c r="B32" s="3" t="s">
        <v>10041</v>
      </c>
      <c r="C32" s="3" t="s">
        <v>10042</v>
      </c>
      <c r="D32" s="3" t="s">
        <v>10043</v>
      </c>
      <c r="F32" s="5" t="str">
        <f>IFERROR(__xludf.DUMMYFUNCTION("GOOGLETRANSLATE(A32, ""en"", ""hi"")"),"31")</f>
        <v>31</v>
      </c>
      <c r="G32" s="5" t="str">
        <f>IFERROR(__xludf.DUMMYFUNCTION("GOOGLETRANSLATE(B32, ""en"", ""hi"")"),"एक मलखंभ कलाकार को एक अभ्यास में 6 आसन करने होते हैं, और प्रत्येक आसन 20 सेकंड तक करना होता है। यदि 5-5 सेकंड के 3 विराम हों, तो अभ्यास की कुल अवधि क्या है?")</f>
        <v>एक मलखंभ कलाकार को एक अभ्यास में 6 आसन करने होते हैं, और प्रत्येक आसन 20 सेकंड तक करना होता है। यदि 5-5 सेकंड के 3 विराम हों, तो अभ्यास की कुल अवधि क्या है?</v>
      </c>
      <c r="H32" s="5" t="str">
        <f>IFERROR(__xludf.DUMMYFUNCTION("GOOGLETRANSLATE(C32, ""en"", ""hi"")"),"A) 140 सेकंड, B) 120 सेकंड, C) 130 सेकंड, D) 110 सेकंड")</f>
        <v>A) 140 सेकंड, B) 120 सेकंड, C) 130 सेकंड, D) 110 सेकंड</v>
      </c>
      <c r="I32" s="5" t="str">
        <f>IFERROR(__xludf.DUMMYFUNCTION("GOOGLETRANSLATE(D32, ""en"", ""hi"")"),"ए) 140 सेकंड")</f>
        <v>ए) 140 सेकंड</v>
      </c>
    </row>
    <row r="33" ht="22.5" customHeight="1">
      <c r="A33" s="2">
        <v>32.0</v>
      </c>
      <c r="B33" s="3" t="s">
        <v>10044</v>
      </c>
      <c r="C33" s="3" t="s">
        <v>10045</v>
      </c>
      <c r="D33" s="3" t="s">
        <v>10046</v>
      </c>
      <c r="F33" s="5" t="str">
        <f>IFERROR(__xludf.DUMMYFUNCTION("GOOGLETRANSLATE(A33, ""en"", ""hi"")"),"32")</f>
        <v>32</v>
      </c>
      <c r="G33" s="5" t="str">
        <f>IFERROR(__xludf.DUMMYFUNCTION("GOOGLETRANSLATE(B33, ""en"", ""hi"")"),"मलखंभ स्पर्धा में, एक कलाकार को 50 अंकों में से एक अंक दिया जाता है। यदि कलाकार को तीन अलग-अलग स्पर्धाओं में क्रमशः 40, 42 और 38 अंक प्राप्त होते हैं, तो औसत अंक क्या होगा?")</f>
        <v>मलखंभ स्पर्धा में, एक कलाकार को 50 अंकों में से एक अंक दिया जाता है। यदि कलाकार को तीन अलग-अलग स्पर्धाओं में क्रमशः 40, 42 और 38 अंक प्राप्त होते हैं, तो औसत अंक क्या होगा?</v>
      </c>
      <c r="H33" s="5" t="str">
        <f>IFERROR(__xludf.DUMMYFUNCTION("GOOGLETRANSLATE(C33, ""en"", ""hi"")"),"ए) 40, बी) 41, सी) 42, डी) 39")</f>
        <v>ए) 40, बी) 41, सी) 42, डी) 39</v>
      </c>
      <c r="I33" s="5" t="str">
        <f>IFERROR(__xludf.DUMMYFUNCTION("GOOGLETRANSLATE(D33, ""en"", ""hi"")"),"बी) 40")</f>
        <v>बी) 40</v>
      </c>
    </row>
    <row r="34" ht="22.5" customHeight="1">
      <c r="A34" s="2">
        <v>33.0</v>
      </c>
      <c r="B34" s="3" t="s">
        <v>10047</v>
      </c>
      <c r="C34" s="3" t="s">
        <v>10048</v>
      </c>
      <c r="D34" s="3" t="s">
        <v>10049</v>
      </c>
      <c r="F34" s="5" t="str">
        <f>IFERROR(__xludf.DUMMYFUNCTION("GOOGLETRANSLATE(A34, ""en"", ""hi"")"),"33")</f>
        <v>33</v>
      </c>
      <c r="G34" s="5" t="str">
        <f>IFERROR(__xludf.DUMMYFUNCTION("GOOGLETRANSLATE(B34, ""en"", ""hi"")"),"मलखंभ प्रदर्शन के दौरान, एक कलाकार 7 मुद्राओं का प्रदर्शन करता है। यदि प्रत्येक मुद्रा में औसतन 12 सेकंड लगते हैं और मुद्राओं के बीच 3 सेकंड का अंतर होता है, तो इस प्रदर्शन में कुल कितना समय लगता है?")</f>
        <v>मलखंभ प्रदर्शन के दौरान, एक कलाकार 7 मुद्राओं का प्रदर्शन करता है। यदि प्रत्येक मुद्रा में औसतन 12 सेकंड लगते हैं और मुद्राओं के बीच 3 सेकंड का अंतर होता है, तो इस प्रदर्शन में कुल कितना समय लगता है?</v>
      </c>
      <c r="H34" s="5" t="str">
        <f>IFERROR(__xludf.DUMMYFUNCTION("GOOGLETRANSLATE(C34, ""en"", ""hi"")"),"A) 90 सेकंड, B) 100 सेकंड, C) 84 सेकंड, D) 96 सेकंड")</f>
        <v>A) 90 सेकंड, B) 100 सेकंड, C) 84 सेकंड, D) 96 सेकंड</v>
      </c>
      <c r="I34" s="5" t="str">
        <f>IFERROR(__xludf.DUMMYFUNCTION("GOOGLETRANSLATE(D34, ""en"", ""hi"")"),"डी) 96 सेकंड")</f>
        <v>डी) 96 सेकंड</v>
      </c>
    </row>
    <row r="35" ht="22.5" customHeight="1">
      <c r="A35" s="2">
        <v>34.0</v>
      </c>
      <c r="B35" s="3" t="s">
        <v>10050</v>
      </c>
      <c r="C35" s="3" t="s">
        <v>10051</v>
      </c>
      <c r="D35" s="3" t="s">
        <v>10052</v>
      </c>
      <c r="F35" s="5" t="str">
        <f>IFERROR(__xludf.DUMMYFUNCTION("GOOGLETRANSLATE(A35, ""en"", ""hi"")"),"34")</f>
        <v>34</v>
      </c>
      <c r="G35" s="5" t="str">
        <f>IFERROR(__xludf.DUMMYFUNCTION("GOOGLETRANSLATE(B35, ""en"", ""hi"")"),"एक मलखंभ प्रतियोगिता में, एक कलाकार 12 आसन करने का प्रयास करता है। यदि प्रत्येक आसन की सफलता दर 75% है, तो सफल आसनों की अपेक्षित संख्या क्या है?")</f>
        <v>एक मलखंभ प्रतियोगिता में, एक कलाकार 12 आसन करने का प्रयास करता है। यदि प्रत्येक आसन की सफलता दर 75% है, तो सफल आसनों की अपेक्षित संख्या क्या है?</v>
      </c>
      <c r="H35" s="5" t="str">
        <f>IFERROR(__xludf.DUMMYFUNCTION("GOOGLETRANSLATE(C35, ""en"", ""hi"")"),"ए) 9, बी) 10, सी) 8, डी) 11")</f>
        <v>ए) 9, बी) 10, सी) 8, डी) 11</v>
      </c>
      <c r="I35" s="5" t="str">
        <f>IFERROR(__xludf.DUMMYFUNCTION("GOOGLETRANSLATE(D35, ""en"", ""hi"")"),"ए) 9")</f>
        <v>ए) 9</v>
      </c>
    </row>
    <row r="36" ht="22.5" customHeight="1">
      <c r="A36" s="2">
        <v>35.0</v>
      </c>
      <c r="B36" s="3" t="s">
        <v>10053</v>
      </c>
      <c r="C36" s="3" t="s">
        <v>10054</v>
      </c>
      <c r="D36" s="3" t="s">
        <v>10055</v>
      </c>
      <c r="F36" s="5" t="str">
        <f>IFERROR(__xludf.DUMMYFUNCTION("GOOGLETRANSLATE(A36, ""en"", ""hi"")"),"35")</f>
        <v>35</v>
      </c>
      <c r="G36" s="5" t="str">
        <f>IFERROR(__xludf.DUMMYFUNCTION("GOOGLETRANSLATE(B36, ""en"", ""hi"")"),"मलखम्ब अभ्यास में 9 आसन होते हैं, प्रत्येक आसन 10 सेकंड का होता है, और प्रत्येक आसन के बीच 5 सेकंड का अंतराल होता है। इस अभ्यास को पूरा करने में कुल कितना समय लगता है?")</f>
        <v>मलखम्ब अभ्यास में 9 आसन होते हैं, प्रत्येक आसन 10 सेकंड का होता है, और प्रत्येक आसन के बीच 5 सेकंड का अंतराल होता है। इस अभ्यास को पूरा करने में कुल कितना समय लगता है?</v>
      </c>
      <c r="H36" s="5" t="str">
        <f>IFERROR(__xludf.DUMMYFUNCTION("GOOGLETRANSLATE(C36, ""en"", ""hi"")"),"A) 95 सेकंड, B) 90 सेकंड, C) 85 सेकंड, D) 100 सेकंड")</f>
        <v>A) 95 सेकंड, B) 90 सेकंड, C) 85 सेकंड, D) 100 सेकंड</v>
      </c>
      <c r="I36" s="5" t="str">
        <f>IFERROR(__xludf.DUMMYFUNCTION("GOOGLETRANSLATE(D36, ""en"", ""hi"")"),"ए) 95 सेकंड")</f>
        <v>ए) 95 सेकंड</v>
      </c>
    </row>
    <row r="37" ht="22.5" customHeight="1">
      <c r="A37" s="2">
        <v>36.0</v>
      </c>
      <c r="B37" s="3" t="s">
        <v>10056</v>
      </c>
      <c r="C37" s="3" t="s">
        <v>10057</v>
      </c>
      <c r="D37" s="3" t="s">
        <v>10058</v>
      </c>
      <c r="F37" s="5" t="str">
        <f>IFERROR(__xludf.DUMMYFUNCTION("GOOGLETRANSLATE(A37, ""en"", ""hi"")"),"36")</f>
        <v>36</v>
      </c>
      <c r="G37" s="5" t="str">
        <f>IFERROR(__xludf.DUMMYFUNCTION("GOOGLETRANSLATE(B37, ""en"", ""hi"")"),"मलखम्ब स्पर्धा में, एक कलाकार को कठिनाई, निष्पादन और प्रस्तुति में क्रमशः 6, 7, 8, 9 और 10 अंक प्राप्त होते हैं। यदि न्यूनतम और अधिकतम अंकों को हटा दिया जाए, तो शेष अंकों का औसत क्या है?")</f>
        <v>मलखम्ब स्पर्धा में, एक कलाकार को कठिनाई, निष्पादन और प्रस्तुति में क्रमशः 6, 7, 8, 9 और 10 अंक प्राप्त होते हैं। यदि न्यूनतम और अधिकतम अंकों को हटा दिया जाए, तो शेष अंकों का औसत क्या है?</v>
      </c>
      <c r="H37" s="5" t="str">
        <f>IFERROR(__xludf.DUMMYFUNCTION("GOOGLETRANSLATE(C37, ""en"", ""hi"")"),"ए) 7.5, बी) 8, सी) 8.5, डी) 9")</f>
        <v>ए) 7.5, बी) 8, सी) 8.5, डी) 9</v>
      </c>
      <c r="I37" s="5" t="str">
        <f>IFERROR(__xludf.DUMMYFUNCTION("GOOGLETRANSLATE(D37, ""en"", ""hi"")"),"बी) 8")</f>
        <v>बी) 8</v>
      </c>
    </row>
    <row r="38" ht="22.5" customHeight="1">
      <c r="A38" s="2">
        <v>37.0</v>
      </c>
      <c r="B38" s="3" t="s">
        <v>10059</v>
      </c>
      <c r="C38" s="3" t="s">
        <v>10060</v>
      </c>
      <c r="D38" s="3" t="s">
        <v>10061</v>
      </c>
      <c r="F38" s="5" t="str">
        <f>IFERROR(__xludf.DUMMYFUNCTION("GOOGLETRANSLATE(A38, ""en"", ""hi"")"),"37")</f>
        <v>37</v>
      </c>
      <c r="G38" s="5" t="str">
        <f>IFERROR(__xludf.DUMMYFUNCTION("GOOGLETRANSLATE(B38, ""en"", ""hi"")"),"एक मलखम्ब कलाकार 4 करतबों की एक श्रृंखला करता है। यदि प्रत्येक करतब के लिए 40 अंक दिए जाएँ और कलाकार क्रमशः 35, 38, 33 और 40 अंक प्राप्त करता है, तो प्रत्येक करतब का औसत स्कोर क्या है?")</f>
        <v>एक मलखम्ब कलाकार 4 करतबों की एक श्रृंखला करता है। यदि प्रत्येक करतब के लिए 40 अंक दिए जाएँ और कलाकार क्रमशः 35, 38, 33 और 40 अंक प्राप्त करता है, तो प्रत्येक करतब का औसत स्कोर क्या है?</v>
      </c>
      <c r="H38" s="5" t="str">
        <f>IFERROR(__xludf.DUMMYFUNCTION("GOOGLETRANSLATE(C38, ""en"", ""hi"")"),"ए) 36.5, बी) 37, सी) 35.5, डी) 34")</f>
        <v>ए) 36.5, बी) 37, सी) 35.5, डी) 34</v>
      </c>
      <c r="I38" s="5" t="str">
        <f>IFERROR(__xludf.DUMMYFUNCTION("GOOGLETRANSLATE(D38, ""en"", ""hi"")"),"ए) 36.5")</f>
        <v>ए) 36.5</v>
      </c>
    </row>
    <row r="39" ht="22.5" customHeight="1">
      <c r="A39" s="2">
        <v>38.0</v>
      </c>
      <c r="B39" s="3" t="s">
        <v>10062</v>
      </c>
      <c r="C39" s="3" t="s">
        <v>10063</v>
      </c>
      <c r="D39" s="3" t="s">
        <v>10064</v>
      </c>
      <c r="F39" s="5" t="str">
        <f>IFERROR(__xludf.DUMMYFUNCTION("GOOGLETRANSLATE(A39, ""en"", ""hi"")"),"38")</f>
        <v>38</v>
      </c>
      <c r="G39" s="5" t="str">
        <f>IFERROR(__xludf.DUMMYFUNCTION("GOOGLETRANSLATE(B39, ""en"", ""hi"")"),"मलखंभ प्रतियोगिता के दौरान, एक कलाकार 8 में से 5 प्रयास सफलतापूर्वक पूरे करता है। प्रतिशत में उनकी सफलता दर क्या है?")</f>
        <v>मलखंभ प्रतियोगिता के दौरान, एक कलाकार 8 में से 5 प्रयास सफलतापूर्वक पूरे करता है। प्रतिशत में उनकी सफलता दर क्या है?</v>
      </c>
      <c r="H39" s="5" t="str">
        <f>IFERROR(__xludf.DUMMYFUNCTION("GOOGLETRANSLATE(C39, ""en"", ""hi"")"),"ए) 62.5%, बी) 65%, सी) 70%, डी) 60%")</f>
        <v>ए) 62.5%, बी) 65%, सी) 70%, डी) 60%</v>
      </c>
      <c r="I39" s="5" t="str">
        <f>IFERROR(__xludf.DUMMYFUNCTION("GOOGLETRANSLATE(D39, ""en"", ""hi"")"),"ए) 62.5%")</f>
        <v>ए) 62.5%</v>
      </c>
    </row>
    <row r="40" ht="22.5" customHeight="1">
      <c r="A40" s="2">
        <v>39.0</v>
      </c>
      <c r="B40" s="3" t="s">
        <v>10065</v>
      </c>
      <c r="C40" s="3" t="s">
        <v>10066</v>
      </c>
      <c r="D40" s="3" t="s">
        <v>10067</v>
      </c>
      <c r="F40" s="5" t="str">
        <f>IFERROR(__xludf.DUMMYFUNCTION("GOOGLETRANSLATE(A40, ""en"", ""hi"")"),"39")</f>
        <v>39</v>
      </c>
      <c r="G40" s="5" t="str">
        <f>IFERROR(__xludf.DUMMYFUNCTION("GOOGLETRANSLATE(B40, ""en"", ""hi"")"),"एक मलखम्ब प्रतियोगिता में, 5 प्रतियोगी होते हैं और प्रत्येक प्रतियोगी 4 रूटीन करता है। यदि प्रत्येक रूटीन के लिए 30 अंक निर्धारित किए जाते हैं, और शीर्ष 2 अंकों का औसत निकाला जाता है, तो एक प्रतियोगी को प्राप्त होने वाला अधिकतम औसत अंक क्या होगा?")</f>
        <v>एक मलखम्ब प्रतियोगिता में, 5 प्रतियोगी होते हैं और प्रत्येक प्रतियोगी 4 रूटीन करता है। यदि प्रत्येक रूटीन के लिए 30 अंक निर्धारित किए जाते हैं, और शीर्ष 2 अंकों का औसत निकाला जाता है, तो एक प्रतियोगी को प्राप्त होने वाला अधिकतम औसत अंक क्या होगा?</v>
      </c>
      <c r="H40" s="5" t="str">
        <f>IFERROR(__xludf.DUMMYFUNCTION("GOOGLETRANSLATE(C40, ""en"", ""hi"")"),"ए) 30, बी) 25, सी) 28, डी) 20")</f>
        <v>ए) 30, बी) 25, सी) 28, डी) 20</v>
      </c>
      <c r="I40" s="5" t="str">
        <f>IFERROR(__xludf.DUMMYFUNCTION("GOOGLETRANSLATE(D40, ""en"", ""hi"")"),"ए) 30")</f>
        <v>ए) 30</v>
      </c>
    </row>
    <row r="41" ht="22.5" customHeight="1">
      <c r="A41" s="2">
        <v>40.0</v>
      </c>
      <c r="B41" s="3" t="s">
        <v>10068</v>
      </c>
      <c r="C41" s="3" t="s">
        <v>10069</v>
      </c>
      <c r="D41" s="3" t="s">
        <v>10070</v>
      </c>
      <c r="F41" s="5" t="str">
        <f>IFERROR(__xludf.DUMMYFUNCTION("GOOGLETRANSLATE(A41, ""en"", ""hi"")"),"40")</f>
        <v>40</v>
      </c>
      <c r="G41" s="5" t="str">
        <f>IFERROR(__xludf.DUMMYFUNCTION("GOOGLETRANSLATE(B41, ""en"", ""hi"")"),"एक मलखंभ कलाकार 5 आसन करता है, जिनमें से प्रत्येक 15 सेकंड का होता है। यदि आसन के बीच 10 सेकंड का विश्राम दिया जाए, तो इस अभ्यास के लिए कुल कितना समय आवंटित किया गया है?")</f>
        <v>एक मलखंभ कलाकार 5 आसन करता है, जिनमें से प्रत्येक 15 सेकंड का होता है। यदि आसन के बीच 10 सेकंड का विश्राम दिया जाए, तो इस अभ्यास के लिए कुल कितना समय आवंटित किया गया है?</v>
      </c>
      <c r="H41" s="5" t="str">
        <f>IFERROR(__xludf.DUMMYFUNCTION("GOOGLETRANSLATE(C41, ""en"", ""hi"")"),"A) 85 सेकंड, B) 75 सेकंड, C) 70 सेकंड, D) 80 सेकंड")</f>
        <v>A) 85 सेकंड, B) 75 सेकंड, C) 70 सेकंड, D) 80 सेकंड</v>
      </c>
      <c r="I41" s="5" t="str">
        <f>IFERROR(__xludf.DUMMYFUNCTION("GOOGLETRANSLATE(D41, ""en"", ""hi"")"),"ए) 85 सेकंड")</f>
        <v>ए) 85 सेकंड</v>
      </c>
    </row>
    <row r="42" ht="22.5" customHeight="1">
      <c r="A42" s="2">
        <v>41.0</v>
      </c>
      <c r="B42" s="3" t="s">
        <v>10071</v>
      </c>
      <c r="C42" s="3" t="s">
        <v>10072</v>
      </c>
      <c r="D42" s="3" t="s">
        <v>10073</v>
      </c>
      <c r="F42" s="5" t="str">
        <f>IFERROR(__xludf.DUMMYFUNCTION("GOOGLETRANSLATE(A42, ""en"", ""hi"")"),"41")</f>
        <v>41</v>
      </c>
      <c r="G42" s="5" t="str">
        <f>IFERROR(__xludf.DUMMYFUNCTION("GOOGLETRANSLATE(B42, ""en"", ""hi"")"),"एक मलखंभ प्रतियोगिता में, एक कलाकार को 4 अलग-अलग करतब दिखाने का मौका मिलता है। यदि प्रत्येक करतब के अधिकतम अंक 25 हैं और कलाकार क्रमशः 22, 20, 24 और 23 अंक प्राप्त करता है, तो उसका कुल स्कोर क्या है?")</f>
        <v>एक मलखंभ प्रतियोगिता में, एक कलाकार को 4 अलग-अलग करतब दिखाने का मौका मिलता है। यदि प्रत्येक करतब के अधिकतम अंक 25 हैं और कलाकार क्रमशः 22, 20, 24 और 23 अंक प्राप्त करता है, तो उसका कुल स्कोर क्या है?</v>
      </c>
      <c r="H42" s="5" t="str">
        <f>IFERROR(__xludf.DUMMYFUNCTION("GOOGLETRANSLATE(C42, ""en"", ""hi"")"),"ए) 89, बी) 90, सी) 91, डी) 92")</f>
        <v>ए) 89, बी) 90, सी) 91, डी) 92</v>
      </c>
      <c r="I42" s="5" t="str">
        <f>IFERROR(__xludf.DUMMYFUNCTION("GOOGLETRANSLATE(D42, ""en"", ""hi"")"),"ए) 89")</f>
        <v>ए) 89</v>
      </c>
    </row>
    <row r="43" ht="22.5" customHeight="1">
      <c r="A43" s="2">
        <v>42.0</v>
      </c>
      <c r="B43" s="3" t="s">
        <v>10074</v>
      </c>
      <c r="C43" s="3" t="s">
        <v>10075</v>
      </c>
      <c r="D43" s="3" t="s">
        <v>10067</v>
      </c>
      <c r="F43" s="5" t="str">
        <f>IFERROR(__xludf.DUMMYFUNCTION("GOOGLETRANSLATE(A43, ""en"", ""hi"")"),"42")</f>
        <v>42</v>
      </c>
      <c r="G43" s="5" t="str">
        <f>IFERROR(__xludf.DUMMYFUNCTION("GOOGLETRANSLATE(B43, ""en"", ""hi"")"),"मलखम्ब स्पर्धा के दौरान, एक कलाकार को कठिनाई, निष्पादन और प्रस्तुति में क्रमशः 7, 8, 9 और 10 अंक मिलते हैं। वे अधिकतम कितने अंक प्राप्त कर सकते हैं?")</f>
        <v>मलखम्ब स्पर्धा के दौरान, एक कलाकार को कठिनाई, निष्पादन और प्रस्तुति में क्रमशः 7, 8, 9 और 10 अंक मिलते हैं। वे अधिकतम कितने अंक प्राप्त कर सकते हैं?</v>
      </c>
      <c r="H43" s="5" t="str">
        <f>IFERROR(__xludf.DUMMYFUNCTION("GOOGLETRANSLATE(C43, ""en"", ""hi"")"),"ए) 30, बी) 25, सी) 28, डी) 24")</f>
        <v>ए) 30, बी) 25, सी) 28, डी) 24</v>
      </c>
      <c r="I43" s="5" t="str">
        <f>IFERROR(__xludf.DUMMYFUNCTION("GOOGLETRANSLATE(D43, ""en"", ""hi"")"),"ए) 30")</f>
        <v>ए) 30</v>
      </c>
    </row>
    <row r="44" ht="22.5" customHeight="1">
      <c r="A44" s="2">
        <v>43.0</v>
      </c>
      <c r="B44" s="3" t="s">
        <v>10076</v>
      </c>
      <c r="C44" s="3" t="s">
        <v>10077</v>
      </c>
      <c r="D44" s="3" t="s">
        <v>10078</v>
      </c>
      <c r="F44" s="5" t="str">
        <f>IFERROR(__xludf.DUMMYFUNCTION("GOOGLETRANSLATE(A44, ""en"", ""hi"")"),"43")</f>
        <v>43</v>
      </c>
      <c r="G44" s="5" t="str">
        <f>IFERROR(__xludf.DUMMYFUNCTION("GOOGLETRANSLATE(B44, ""en"", ""hi"")"),"एक मलखंभ कलाकार 6 अलग-अलग आसन करता है। यदि प्रत्येक आसन की सफलता की औसत संभावना 90% है और कलाकार प्रत्येक आसन को दो बार करता है, तो कितने सफल आसन अपेक्षित हैं?")</f>
        <v>एक मलखंभ कलाकार 6 अलग-अलग आसन करता है। यदि प्रत्येक आसन की सफलता की औसत संभावना 90% है और कलाकार प्रत्येक आसन को दो बार करता है, तो कितने सफल आसन अपेक्षित हैं?</v>
      </c>
      <c r="H44" s="5" t="str">
        <f>IFERROR(__xludf.DUMMYFUNCTION("GOOGLETRANSLATE(C44, ""en"", ""hi"")"),"ए) 11, बी) 12, सी) 10, डी) 9")</f>
        <v>ए) 11, बी) 12, सी) 10, डी) 9</v>
      </c>
      <c r="I44" s="5" t="str">
        <f>IFERROR(__xludf.DUMMYFUNCTION("GOOGLETRANSLATE(D44, ""en"", ""hi"")"),"ए) 11")</f>
        <v>ए) 11</v>
      </c>
    </row>
    <row r="45" ht="22.5" customHeight="1">
      <c r="A45" s="2">
        <v>44.0</v>
      </c>
      <c r="B45" s="3" t="s">
        <v>10079</v>
      </c>
      <c r="C45" s="3" t="s">
        <v>10080</v>
      </c>
      <c r="D45" s="3" t="s">
        <v>10081</v>
      </c>
      <c r="F45" s="5" t="str">
        <f>IFERROR(__xludf.DUMMYFUNCTION("GOOGLETRANSLATE(A45, ""en"", ""hi"")"),"44")</f>
        <v>44</v>
      </c>
      <c r="G45" s="5" t="str">
        <f>IFERROR(__xludf.DUMMYFUNCTION("GOOGLETRANSLATE(B45, ""en"", ""hi"")"),"मलखम्ब अभ्यास में, कलाकार को 4 आसन पूरे करने होते हैं, प्रत्येक आसन को 25 सेकंड तक करना होता है, और हर आसन के बीच 10 सेकंड का अंतराल होता है। इस अभ्यास में कुल कितना समय लगता है?")</f>
        <v>मलखम्ब अभ्यास में, कलाकार को 4 आसन पूरे करने होते हैं, प्रत्येक आसन को 25 सेकंड तक करना होता है, और हर आसन के बीच 10 सेकंड का अंतराल होता है। इस अभ्यास में कुल कितना समय लगता है?</v>
      </c>
      <c r="H45" s="5" t="str">
        <f>IFERROR(__xludf.DUMMYFUNCTION("GOOGLETRANSLATE(C45, ""en"", ""hi"")"),"A) 110 सेकंड, B) 120 सेकंड, C) 100 सेकंड, D) 90 सेकंड")</f>
        <v>A) 110 सेकंड, B) 120 सेकंड, C) 100 सेकंड, D) 90 सेकंड</v>
      </c>
      <c r="I45" s="5" t="str">
        <f>IFERROR(__xludf.DUMMYFUNCTION("GOOGLETRANSLATE(D45, ""en"", ""hi"")"),"ए) 110 सेकंड")</f>
        <v>ए) 110 सेकंड</v>
      </c>
    </row>
    <row r="46" ht="22.5" customHeight="1">
      <c r="A46" s="2">
        <v>45.0</v>
      </c>
      <c r="B46" s="3" t="s">
        <v>10082</v>
      </c>
      <c r="C46" s="3" t="s">
        <v>10083</v>
      </c>
      <c r="D46" s="3" t="s">
        <v>9993</v>
      </c>
      <c r="F46" s="5" t="str">
        <f>IFERROR(__xludf.DUMMYFUNCTION("GOOGLETRANSLATE(A46, ""en"", ""hi"")"),"45")</f>
        <v>45</v>
      </c>
      <c r="G46" s="5" t="str">
        <f>IFERROR(__xludf.DUMMYFUNCTION("GOOGLETRANSLATE(B46, ""en"", ""hi"")"),"मलखम्ब प्रतियोगिता के दौरान, एक कलाकार को 5 विभिन्न मानदंडों पर आंका जाता है, प्रत्येक मानदंड के लिए 1 से 10 तक अंक दिए जाते हैं। यदि उच्चतम और निम्नतम स्कोर को हटा दिया जाए, तो अधिकतम संभावित कुल स्कोर क्या होगा?")</f>
        <v>मलखम्ब प्रतियोगिता के दौरान, एक कलाकार को 5 विभिन्न मानदंडों पर आंका जाता है, प्रत्येक मानदंड के लिए 1 से 10 तक अंक दिए जाते हैं। यदि उच्चतम और निम्नतम स्कोर को हटा दिया जाए, तो अधिकतम संभावित कुल स्कोर क्या होगा?</v>
      </c>
      <c r="H46" s="5" t="str">
        <f>IFERROR(__xludf.DUMMYFUNCTION("GOOGLETRANSLATE(C46, ""en"", ""hi"")"),"ए) 40, बी) 45, सी) 50, डी) 35")</f>
        <v>ए) 40, बी) 45, सी) 50, डी) 35</v>
      </c>
      <c r="I46" s="5" t="str">
        <f>IFERROR(__xludf.DUMMYFUNCTION("GOOGLETRANSLATE(D46, ""en"", ""hi"")"),"ए) 40")</f>
        <v>ए) 40</v>
      </c>
    </row>
    <row r="47" ht="22.5" customHeight="1">
      <c r="A47" s="2">
        <v>46.0</v>
      </c>
      <c r="B47" s="3" t="s">
        <v>10084</v>
      </c>
      <c r="C47" s="3" t="s">
        <v>10085</v>
      </c>
      <c r="D47" s="3" t="s">
        <v>10086</v>
      </c>
      <c r="F47" s="5" t="str">
        <f>IFERROR(__xludf.DUMMYFUNCTION("GOOGLETRANSLATE(A47, ""en"", ""hi"")"),"46")</f>
        <v>46</v>
      </c>
      <c r="G47" s="5" t="str">
        <f>IFERROR(__xludf.DUMMYFUNCTION("GOOGLETRANSLATE(B47, ""en"", ""hi"")"),"एक मलखंभ कलाकार का मूल्यांकन 6 अलग-अलग आसनों के आधार पर किया जाता है। यदि प्रत्येक आसन की सफलता की संभावना 80% है और कलाकार प्रत्येक आसन में 3 आसन करता है, तो कितने सफल आसनों की उम्मीद की जा सकती है?")</f>
        <v>एक मलखंभ कलाकार का मूल्यांकन 6 अलग-अलग आसनों के आधार पर किया जाता है। यदि प्रत्येक आसन की सफलता की संभावना 80% है और कलाकार प्रत्येक आसन में 3 आसन करता है, तो कितने सफल आसनों की उम्मीद की जा सकती है?</v>
      </c>
      <c r="H47" s="5" t="str">
        <f>IFERROR(__xludf.DUMMYFUNCTION("GOOGLETRANSLATE(C47, ""en"", ""hi"")"),"ए) 14, बी) 12, सी) 16, डी) 10")</f>
        <v>ए) 14, बी) 12, सी) 16, डी) 10</v>
      </c>
      <c r="I47" s="5" t="str">
        <f>IFERROR(__xludf.DUMMYFUNCTION("GOOGLETRANSLATE(D47, ""en"", ""hi"")"),"ए) 14")</f>
        <v>ए) 14</v>
      </c>
    </row>
    <row r="48" ht="22.5" customHeight="1">
      <c r="A48" s="2">
        <v>47.0</v>
      </c>
      <c r="B48" s="3" t="s">
        <v>10087</v>
      </c>
      <c r="C48" s="3" t="s">
        <v>10088</v>
      </c>
      <c r="D48" s="3" t="s">
        <v>10089</v>
      </c>
      <c r="F48" s="5" t="str">
        <f>IFERROR(__xludf.DUMMYFUNCTION("GOOGLETRANSLATE(A48, ""en"", ""hi"")"),"47")</f>
        <v>47</v>
      </c>
      <c r="G48" s="5" t="str">
        <f>IFERROR(__xludf.DUMMYFUNCTION("GOOGLETRANSLATE(B48, ""en"", ""hi"")"),"मलखम्ब स्पर्धा में, एक कलाकार को 3 अलग-अलग रूटीन करने होते हैं। यदि प्रत्येक रूटीन के लिए अधिकतम 35 अंक दिए जाते हैं, और कलाकार को क्रमशः 30, 32 और 29 अंक मिलते हैं, तो प्रत्येक रूटीन का औसत स्कोर क्या है?")</f>
        <v>मलखम्ब स्पर्धा में, एक कलाकार को 3 अलग-अलग रूटीन करने होते हैं। यदि प्रत्येक रूटीन के लिए अधिकतम 35 अंक दिए जाते हैं, और कलाकार को क्रमशः 30, 32 और 29 अंक मिलते हैं, तो प्रत्येक रूटीन का औसत स्कोर क्या है?</v>
      </c>
      <c r="H48" s="5" t="str">
        <f>IFERROR(__xludf.DUMMYFUNCTION("GOOGLETRANSLATE(C48, ""en"", ""hi"")"),"ए) 30.5, बी) 31, सी) 32, डी) 29.5")</f>
        <v>ए) 30.5, बी) 31, सी) 32, डी) 29.5</v>
      </c>
      <c r="I48" s="5" t="str">
        <f>IFERROR(__xludf.DUMMYFUNCTION("GOOGLETRANSLATE(D48, ""en"", ""hi"")"),"ए) 30.5")</f>
        <v>ए) 30.5</v>
      </c>
    </row>
    <row r="49" ht="22.5" customHeight="1">
      <c r="A49" s="2">
        <v>48.0</v>
      </c>
      <c r="B49" s="3" t="s">
        <v>10090</v>
      </c>
      <c r="C49" s="3" t="s">
        <v>10091</v>
      </c>
      <c r="D49" s="3" t="s">
        <v>10092</v>
      </c>
      <c r="F49" s="5" t="str">
        <f>IFERROR(__xludf.DUMMYFUNCTION("GOOGLETRANSLATE(A49, ""en"", ""hi"")"),"48")</f>
        <v>48</v>
      </c>
      <c r="G49" s="5" t="str">
        <f>IFERROR(__xludf.DUMMYFUNCTION("GOOGLETRANSLATE(B49, ""en"", ""hi"")"),"मलखम्ब प्रदर्शन के दौरान, यदि कोई कलाकार 8 आसन पूरे करता है, और प्रत्येक आसन की कठिनाई रेटिंग 4 है, तो प्रदर्शन के लिए कुल कठिनाई स्कोर क्या है?")</f>
        <v>मलखम्ब प्रदर्शन के दौरान, यदि कोई कलाकार 8 आसन पूरे करता है, और प्रत्येक आसन की कठिनाई रेटिंग 4 है, तो प्रदर्शन के लिए कुल कठिनाई स्कोर क्या है?</v>
      </c>
      <c r="H49" s="5" t="str">
        <f>IFERROR(__xludf.DUMMYFUNCTION("GOOGLETRANSLATE(C49, ""en"", ""hi"")"),"ए) 32, बी) 28, सी) 36, डी) 40")</f>
        <v>ए) 32, बी) 28, सी) 36, डी) 40</v>
      </c>
      <c r="I49" s="5" t="str">
        <f>IFERROR(__xludf.DUMMYFUNCTION("GOOGLETRANSLATE(D49, ""en"", ""hi"")"),"ए) 32")</f>
        <v>ए) 32</v>
      </c>
    </row>
    <row r="50" ht="22.5" customHeight="1">
      <c r="A50" s="2">
        <v>49.0</v>
      </c>
      <c r="B50" s="3" t="s">
        <v>10093</v>
      </c>
      <c r="C50" s="3" t="s">
        <v>1058</v>
      </c>
      <c r="D50" s="3" t="s">
        <v>1059</v>
      </c>
      <c r="F50" s="5" t="str">
        <f>IFERROR(__xludf.DUMMYFUNCTION("GOOGLETRANSLATE(A50, ""en"", ""hi"")"),"49")</f>
        <v>49</v>
      </c>
      <c r="G50" s="5" t="str">
        <f>IFERROR(__xludf.DUMMYFUNCTION("GOOGLETRANSLATE(B50, ""en"", ""hi"")"),"मलखंभ प्रतियोगिता में एक कलाकार 10 आसन करता है। यदि प्रत्येक आसन की सफलता दर 70% है, तो औसतन कितने सफल आसन अपेक्षित हैं?")</f>
        <v>मलखंभ प्रतियोगिता में एक कलाकार 10 आसन करता है। यदि प्रत्येक आसन की सफलता दर 70% है, तो औसतन कितने सफल आसन अपेक्षित हैं?</v>
      </c>
      <c r="H50" s="5" t="str">
        <f>IFERROR(__xludf.DUMMYFUNCTION("GOOGLETRANSLATE(C50, ""en"", ""hi"")"),"ए) 7, बी) 6, सी) 8, डी) 5")</f>
        <v>ए) 7, बी) 6, सी) 8, डी) 5</v>
      </c>
      <c r="I50" s="5" t="str">
        <f>IFERROR(__xludf.DUMMYFUNCTION("GOOGLETRANSLATE(D50, ""en"", ""hi"")"),"ए) 7")</f>
        <v>ए) 7</v>
      </c>
    </row>
    <row r="51" ht="22.5" customHeight="1">
      <c r="A51" s="2">
        <v>50.0</v>
      </c>
      <c r="B51" s="3" t="s">
        <v>10094</v>
      </c>
      <c r="C51" s="3" t="s">
        <v>10095</v>
      </c>
      <c r="D51" s="3" t="s">
        <v>10096</v>
      </c>
      <c r="F51" s="5" t="str">
        <f>IFERROR(__xludf.DUMMYFUNCTION("GOOGLETRANSLATE(A51, ""en"", ""hi"")"),"50")</f>
        <v>50</v>
      </c>
      <c r="G51" s="5" t="str">
        <f>IFERROR(__xludf.DUMMYFUNCTION("GOOGLETRANSLATE(B51, ""en"", ""hi"")"),"एक मलखम्ब स्पर्धा में 12 प्रतियोगी होते हैं। यदि प्रत्येक प्रतियोगी 4 रूटीन करता है और प्रत्येक प्रतियोगी के लिए सबसे अधिक स्कोर वाले रूटीन को अंतिम रैंकिंग के लिए चुना जाता है, तो रैंकिंग के लिए रूटीन की अधिकतम संख्या कितनी मानी जाएगी?")</f>
        <v>एक मलखम्ब स्पर्धा में 12 प्रतियोगी होते हैं। यदि प्रत्येक प्रतियोगी 4 रूटीन करता है और प्रत्येक प्रतियोगी के लिए सबसे अधिक स्कोर वाले रूटीन को अंतिम रैंकिंग के लिए चुना जाता है, तो रैंकिंग के लिए रूटीन की अधिकतम संख्या कितनी मानी जाएगी?</v>
      </c>
      <c r="H51" s="5" t="str">
        <f>IFERROR(__xludf.DUMMYFUNCTION("GOOGLETRANSLATE(C51, ""en"", ""hi"")"),"ए) 12, बी) 48, सी) 4, डी) 36")</f>
        <v>ए) 12, बी) 48, सी) 4, डी) 36</v>
      </c>
      <c r="I51" s="5" t="str">
        <f>IFERROR(__xludf.DUMMYFUNCTION("GOOGLETRANSLATE(D51, ""en"", ""hi"")"),"बी) 48")</f>
        <v>बी) 48</v>
      </c>
    </row>
    <row r="52" ht="22.5" customHeight="1">
      <c r="A52" s="2">
        <v>51.0</v>
      </c>
      <c r="B52" s="3" t="s">
        <v>10097</v>
      </c>
      <c r="C52" s="3" t="s">
        <v>10098</v>
      </c>
      <c r="D52" s="3" t="s">
        <v>10023</v>
      </c>
      <c r="F52" s="5" t="str">
        <f>IFERROR(__xludf.DUMMYFUNCTION("GOOGLETRANSLATE(A52, ""en"", ""hi"")"),"51")</f>
        <v>51</v>
      </c>
      <c r="G52" s="5" t="str">
        <f>IFERROR(__xludf.DUMMYFUNCTION("GOOGLETRANSLATE(B52, ""en"", ""hi"")"),"मलखंभ प्रतियोगिता के दौरान, एक कलाकार 7 आसन करता है, प्रत्येक आसन की समय सीमा 15 सेकंड होती है, और आसनों के बीच 5 सेकंड का विराम होता है। इस अभ्यास में कुल कितना समय लगता है?")</f>
        <v>मलखंभ प्रतियोगिता के दौरान, एक कलाकार 7 आसन करता है, प्रत्येक आसन की समय सीमा 15 सेकंड होती है, और आसनों के बीच 5 सेकंड का विराम होता है। इस अभ्यास में कुल कितना समय लगता है?</v>
      </c>
      <c r="H52" s="5" t="str">
        <f>IFERROR(__xludf.DUMMYFUNCTION("GOOGLETRANSLATE(C52, ""en"", ""hi"")"),"A) 125 सेकंड, B) 120 सेकंड, C) 130 सेकंड, D) 115 सेकंड")</f>
        <v>A) 125 सेकंड, B) 120 सेकंड, C) 130 सेकंड, D) 115 सेकंड</v>
      </c>
      <c r="I52" s="5" t="str">
        <f>IFERROR(__xludf.DUMMYFUNCTION("GOOGLETRANSLATE(D52, ""en"", ""hi"")"),"ए) 125 सेकंड")</f>
        <v>ए) 125 सेकंड</v>
      </c>
    </row>
    <row r="53" ht="22.5" customHeight="1">
      <c r="A53" s="2">
        <v>52.0</v>
      </c>
      <c r="B53" s="3" t="s">
        <v>10099</v>
      </c>
      <c r="C53" s="3" t="s">
        <v>10100</v>
      </c>
      <c r="D53" s="3" t="s">
        <v>10101</v>
      </c>
      <c r="F53" s="5" t="str">
        <f>IFERROR(__xludf.DUMMYFUNCTION("GOOGLETRANSLATE(A53, ""en"", ""hi"")"),"52")</f>
        <v>52</v>
      </c>
      <c r="G53" s="5" t="str">
        <f>IFERROR(__xludf.DUMMYFUNCTION("GOOGLETRANSLATE(B53, ""en"", ""hi"")"),"एक मलखंभ कलाकार के 5 अलग-अलग करतब होते हैं, जिनमें से प्रत्येक का अधिकतम स्कोर 50 अंक होता है। यदि कलाकार को 45, 47, 50, 42 और 48 अंक मिलते हैं, तो उनका औसत स्कोर क्या है?")</f>
        <v>एक मलखंभ कलाकार के 5 अलग-अलग करतब होते हैं, जिनमें से प्रत्येक का अधिकतम स्कोर 50 अंक होता है। यदि कलाकार को 45, 47, 50, 42 और 48 अंक मिलते हैं, तो उनका औसत स्कोर क्या है?</v>
      </c>
      <c r="H53" s="5" t="str">
        <f>IFERROR(__xludf.DUMMYFUNCTION("GOOGLETRANSLATE(C53, ""en"", ""hi"")"),"ए) 46.4, बी) 46, सी) 47, डी) 45.5")</f>
        <v>ए) 46.4, बी) 46, सी) 47, डी) 45.5</v>
      </c>
      <c r="I53" s="5" t="str">
        <f>IFERROR(__xludf.DUMMYFUNCTION("GOOGLETRANSLATE(D53, ""en"", ""hi"")"),"ए) 46.4")</f>
        <v>ए) 46.4</v>
      </c>
    </row>
    <row r="54" ht="22.5" customHeight="1">
      <c r="A54" s="2">
        <v>53.0</v>
      </c>
      <c r="B54" s="3" t="s">
        <v>10102</v>
      </c>
      <c r="C54" s="3" t="s">
        <v>10103</v>
      </c>
      <c r="D54" s="3" t="s">
        <v>10104</v>
      </c>
      <c r="F54" s="5" t="str">
        <f>IFERROR(__xludf.DUMMYFUNCTION("GOOGLETRANSLATE(A54, ""en"", ""hi"")"),"53")</f>
        <v>53</v>
      </c>
      <c r="G54" s="5" t="str">
        <f>IFERROR(__xludf.DUMMYFUNCTION("GOOGLETRANSLATE(B54, ""en"", ""hi"")"),"मलखम्ब प्रदर्शन में, कलाकार को 4 आसन पूरे करने होते हैं, प्रत्येक आसन 20 सेकंड तक करना होता है। यदि कलाकार आसनों के बीच 10 सेकंड आराम करता है, तो आराम सहित प्रदर्शन के लिए कुल कितना समय आवंटित किया जाता है?")</f>
        <v>मलखम्ब प्रदर्शन में, कलाकार को 4 आसन पूरे करने होते हैं, प्रत्येक आसन 20 सेकंड तक करना होता है। यदि कलाकार आसनों के बीच 10 सेकंड आराम करता है, तो आराम सहित प्रदर्शन के लिए कुल कितना समय आवंटित किया जाता है?</v>
      </c>
      <c r="H54" s="5" t="str">
        <f>IFERROR(__xludf.DUMMYFUNCTION("GOOGLETRANSLATE(C54, ""en"", ""hi"")"),"A) 90 सेकंड, B) 80 सेकंड, C) 70 सेकंड, D) 60 सेकंड")</f>
        <v>A) 90 सेकंड, B) 80 सेकंड, C) 70 सेकंड, D) 60 सेकंड</v>
      </c>
      <c r="I54" s="5" t="str">
        <f>IFERROR(__xludf.DUMMYFUNCTION("GOOGLETRANSLATE(D54, ""en"", ""hi"")"),"ए) 90 सेकंड")</f>
        <v>ए) 90 सेकंड</v>
      </c>
    </row>
    <row r="55" ht="22.5" customHeight="1">
      <c r="A55" s="2">
        <v>54.0</v>
      </c>
      <c r="B55" s="3" t="s">
        <v>10105</v>
      </c>
      <c r="C55" s="3" t="s">
        <v>10106</v>
      </c>
      <c r="D55" s="3" t="s">
        <v>10107</v>
      </c>
      <c r="F55" s="5" t="str">
        <f>IFERROR(__xludf.DUMMYFUNCTION("GOOGLETRANSLATE(A55, ""en"", ""hi"")"),"54")</f>
        <v>54</v>
      </c>
      <c r="G55" s="5" t="str">
        <f>IFERROR(__xludf.DUMMYFUNCTION("GOOGLETRANSLATE(B55, ""en"", ""hi"")"),"मलखम्ब स्पर्धा के दौरान, प्रत्येक मुद्रा के लिए 1 से 10 तक अंक दिए जाते हैं। यदि कोई कलाकार 8 मुद्राएं पूरी करता है और उसे 7, 8, 9, 10, 6, 7, 8 और 9 अंक मिलते हैं, तो उस मुद्रा के लिए कुल अंक क्या है?")</f>
        <v>मलखम्ब स्पर्धा के दौरान, प्रत्येक मुद्रा के लिए 1 से 10 तक अंक दिए जाते हैं। यदि कोई कलाकार 8 मुद्राएं पूरी करता है और उसे 7, 8, 9, 10, 6, 7, 8 और 9 अंक मिलते हैं, तो उस मुद्रा के लिए कुल अंक क्या है?</v>
      </c>
      <c r="H55" s="5" t="str">
        <f>IFERROR(__xludf.DUMMYFUNCTION("GOOGLETRANSLATE(C55, ""en"", ""hi"")"),"ए) 74, बी) 76, सी) 72, डी) 78")</f>
        <v>ए) 74, बी) 76, सी) 72, डी) 78</v>
      </c>
      <c r="I55" s="5" t="str">
        <f>IFERROR(__xludf.DUMMYFUNCTION("GOOGLETRANSLATE(D55, ""en"", ""hi"")"),"बी) 76")</f>
        <v>बी) 76</v>
      </c>
    </row>
    <row r="56" ht="22.5" customHeight="1">
      <c r="A56" s="2">
        <v>55.0</v>
      </c>
      <c r="B56" s="3" t="s">
        <v>10108</v>
      </c>
      <c r="C56" s="3" t="s">
        <v>10109</v>
      </c>
      <c r="D56" s="3" t="s">
        <v>10052</v>
      </c>
      <c r="F56" s="5" t="str">
        <f>IFERROR(__xludf.DUMMYFUNCTION("GOOGLETRANSLATE(A56, ""en"", ""hi"")"),"55")</f>
        <v>55</v>
      </c>
      <c r="G56" s="5" t="str">
        <f>IFERROR(__xludf.DUMMYFUNCTION("GOOGLETRANSLATE(B56, ""en"", ""hi"")"),"मलखंभ प्रतियोगिता में, एक कलाकार को 5 आसन पूरे करने होते हैं। यदि प्रत्येक आसन की सफलता की संभावना 85% है और कलाकार प्रत्येक आसन को दो बार करने का प्रयास करता है, तो कितने सफल प्रयासों की उम्मीद की जा सकती है?")</f>
        <v>मलखंभ प्रतियोगिता में, एक कलाकार को 5 आसन पूरे करने होते हैं। यदि प्रत्येक आसन की सफलता की संभावना 85% है और कलाकार प्रत्येक आसन को दो बार करने का प्रयास करता है, तो कितने सफल प्रयासों की उम्मीद की जा सकती है?</v>
      </c>
      <c r="H56" s="5" t="str">
        <f>IFERROR(__xludf.DUMMYFUNCTION("GOOGLETRANSLATE(C56, ""en"", ""hi"")"),"ए) 9, बी) 8, सी) 10, डी) 7")</f>
        <v>ए) 9, बी) 8, सी) 10, डी) 7</v>
      </c>
      <c r="I56" s="5" t="str">
        <f>IFERROR(__xludf.DUMMYFUNCTION("GOOGLETRANSLATE(D56, ""en"", ""hi"")"),"ए) 9")</f>
        <v>ए) 9</v>
      </c>
    </row>
    <row r="57" ht="22.5" customHeight="1">
      <c r="A57" s="2">
        <v>56.0</v>
      </c>
      <c r="B57" s="3" t="s">
        <v>10110</v>
      </c>
      <c r="C57" s="3" t="s">
        <v>10111</v>
      </c>
      <c r="D57" s="3" t="s">
        <v>10023</v>
      </c>
      <c r="F57" s="5" t="str">
        <f>IFERROR(__xludf.DUMMYFUNCTION("GOOGLETRANSLATE(A57, ""en"", ""hi"")"),"56")</f>
        <v>56</v>
      </c>
      <c r="G57" s="5" t="str">
        <f>IFERROR(__xludf.DUMMYFUNCTION("GOOGLETRANSLATE(B57, ""en"", ""hi"")"),"एक मलखम्ब कलाकार 6 आसनों का अभ्यास करता है। यदि प्रत्येक आसन को 20 सेकंड तक करना है और प्रत्येक आसन के बीच 5 सेकंड का ब्रेक है, तो अभ्यास की कुल अवधि क्या है?")</f>
        <v>एक मलखम्ब कलाकार 6 आसनों का अभ्यास करता है। यदि प्रत्येक आसन को 20 सेकंड तक करना है और प्रत्येक आसन के बीच 5 सेकंड का ब्रेक है, तो अभ्यास की कुल अवधि क्या है?</v>
      </c>
      <c r="H57" s="5" t="str">
        <f>IFERROR(__xludf.DUMMYFUNCTION("GOOGLETRANSLATE(C57, ""en"", ""hi"")"),"A) 125 सेकंड, B) 130 सेकंड, C) 140 सेकंड, D) 120 सेकंड")</f>
        <v>A) 125 सेकंड, B) 130 सेकंड, C) 140 सेकंड, D) 120 सेकंड</v>
      </c>
      <c r="I57" s="5" t="str">
        <f>IFERROR(__xludf.DUMMYFUNCTION("GOOGLETRANSLATE(D57, ""en"", ""hi"")"),"ए) 125 सेकंड")</f>
        <v>ए) 125 सेकंड</v>
      </c>
    </row>
    <row r="58" ht="22.5" customHeight="1">
      <c r="A58" s="2">
        <v>57.0</v>
      </c>
      <c r="B58" s="3" t="s">
        <v>10112</v>
      </c>
      <c r="C58" s="3" t="s">
        <v>10113</v>
      </c>
      <c r="D58" s="3" t="s">
        <v>10114</v>
      </c>
      <c r="F58" s="5" t="str">
        <f>IFERROR(__xludf.DUMMYFUNCTION("GOOGLETRANSLATE(A58, ""en"", ""hi"")"),"57")</f>
        <v>57</v>
      </c>
      <c r="G58" s="5" t="str">
        <f>IFERROR(__xludf.DUMMYFUNCTION("GOOGLETRANSLATE(B58, ""en"", ""hi"")"),"मलखम्ब स्पर्धा में, यदि किसी कलाकार को 4 अलग-अलग स्पर्धाओं में 35 में से 28, 30, 32 और 29 अंक प्राप्त होते हैं, तो प्रत्येक स्पर्धा में उनका औसत अंक क्या है?")</f>
        <v>मलखम्ब स्पर्धा में, यदि किसी कलाकार को 4 अलग-अलग स्पर्धाओं में 35 में से 28, 30, 32 और 29 अंक प्राप्त होते हैं, तो प्रत्येक स्पर्धा में उनका औसत अंक क्या है?</v>
      </c>
      <c r="H58" s="5" t="str">
        <f>IFERROR(__xludf.DUMMYFUNCTION("GOOGLETRANSLATE(C58, ""en"", ""hi"")"),"ए) 29.75, बी) 30, सी) 30.5, डी) 31")</f>
        <v>ए) 29.75, बी) 30, सी) 30.5, डी) 31</v>
      </c>
      <c r="I58" s="5" t="str">
        <f>IFERROR(__xludf.DUMMYFUNCTION("GOOGLETRANSLATE(D58, ""en"", ""hi"")"),"ए) 29.75")</f>
        <v>ए) 29.75</v>
      </c>
    </row>
    <row r="59" ht="22.5" customHeight="1">
      <c r="A59" s="2">
        <v>58.0</v>
      </c>
      <c r="B59" s="3" t="s">
        <v>10115</v>
      </c>
      <c r="C59" s="3" t="s">
        <v>10116</v>
      </c>
      <c r="D59" s="3" t="s">
        <v>10117</v>
      </c>
      <c r="F59" s="5" t="str">
        <f>IFERROR(__xludf.DUMMYFUNCTION("GOOGLETRANSLATE(A59, ""en"", ""hi"")"),"58")</f>
        <v>58</v>
      </c>
      <c r="G59" s="5" t="str">
        <f>IFERROR(__xludf.DUMMYFUNCTION("GOOGLETRANSLATE(B59, ""en"", ""hi"")"),"मलखंभ प्रतियोगिता के दौरान, एक कलाकार का मूल्यांकन चार मानदंडों के आधार पर किया जाता है, प्रत्येक मानदंड के अनुसार 10 अंक दिए जाते हैं। यदि कलाकार को कठिनाई में 9, निष्पादन में 8, प्रस्तुति में 7 और रचनात्मकता में 10 अंक मिलते हैं, तो उसका कुल स्कोर क्या "&amp;"होगा?")</f>
        <v>मलखंभ प्रतियोगिता के दौरान, एक कलाकार का मूल्यांकन चार मानदंडों के आधार पर किया जाता है, प्रत्येक मानदंड के अनुसार 10 अंक दिए जाते हैं। यदि कलाकार को कठिनाई में 9, निष्पादन में 8, प्रस्तुति में 7 और रचनात्मकता में 10 अंक मिलते हैं, तो उसका कुल स्कोर क्या होगा?</v>
      </c>
      <c r="H59" s="5" t="str">
        <f>IFERROR(__xludf.DUMMYFUNCTION("GOOGLETRANSLATE(C59, ""en"", ""hi"")"),"ए) 34, बी) 32, सी) 30, डी) 36")</f>
        <v>ए) 34, बी) 32, सी) 30, डी) 36</v>
      </c>
      <c r="I59" s="5" t="str">
        <f>IFERROR(__xludf.DUMMYFUNCTION("GOOGLETRANSLATE(D59, ""en"", ""hi"")"),"ए) 34")</f>
        <v>ए) 34</v>
      </c>
    </row>
    <row r="60" ht="22.5" customHeight="1">
      <c r="A60" s="2">
        <v>59.0</v>
      </c>
      <c r="B60" s="3" t="s">
        <v>10118</v>
      </c>
      <c r="C60" s="3" t="s">
        <v>10119</v>
      </c>
      <c r="D60" s="3" t="s">
        <v>10120</v>
      </c>
      <c r="F60" s="5" t="str">
        <f>IFERROR(__xludf.DUMMYFUNCTION("GOOGLETRANSLATE(A60, ""en"", ""hi"")"),"59")</f>
        <v>59</v>
      </c>
      <c r="G60" s="5" t="str">
        <f>IFERROR(__xludf.DUMMYFUNCTION("GOOGLETRANSLATE(B60, ""en"", ""hi"")"),"एक मलखम्ब कलाकार एक अभ्यास में 8 आसन करता है। यदि प्रत्येक आसन में 12 सेकंड लगते हैं और प्रत्येक आसन के बीच 4 सेकंड का संक्रमण होता है, तो केवल संक्रमण पर ही कुल कितना समय व्यतीत होता है?")</f>
        <v>एक मलखम्ब कलाकार एक अभ्यास में 8 आसन करता है। यदि प्रत्येक आसन में 12 सेकंड लगते हैं और प्रत्येक आसन के बीच 4 सेकंड का संक्रमण होता है, तो केवल संक्रमण पर ही कुल कितना समय व्यतीत होता है?</v>
      </c>
      <c r="H60" s="5" t="str">
        <f>IFERROR(__xludf.DUMMYFUNCTION("GOOGLETRANSLATE(C60, ""en"", ""hi"")"),"A) 28 सेकंड, B) 32 सेकंड, C) 24 सेकंड, D) 36 सेकंड")</f>
        <v>A) 28 सेकंड, B) 32 सेकंड, C) 24 सेकंड, D) 36 सेकंड</v>
      </c>
      <c r="I60" s="5" t="str">
        <f>IFERROR(__xludf.DUMMYFUNCTION("GOOGLETRANSLATE(D60, ""en"", ""hi"")"),"ए) 28 सेकंड")</f>
        <v>ए) 28 सेकंड</v>
      </c>
    </row>
    <row r="61" ht="22.5" customHeight="1">
      <c r="A61" s="2">
        <v>60.0</v>
      </c>
      <c r="B61" s="3" t="s">
        <v>10121</v>
      </c>
      <c r="C61" s="3" t="s">
        <v>10122</v>
      </c>
      <c r="D61" s="3" t="s">
        <v>10123</v>
      </c>
      <c r="F61" s="5" t="str">
        <f>IFERROR(__xludf.DUMMYFUNCTION("GOOGLETRANSLATE(A61, ""en"", ""hi"")"),"60")</f>
        <v>60</v>
      </c>
      <c r="G61" s="5" t="str">
        <f>IFERROR(__xludf.DUMMYFUNCTION("GOOGLETRANSLATE(B61, ""en"", ""hi"")"),"मलखम्ब स्पर्धा में, यदि किसी कलाकार को 5 अभ्यासों में से प्रत्येक में 40 अंक दिए जाते हैं, और स्कोर 35, 38, 32, 30 और 37 हैं, तो उच्चतम संभावित औसत स्कोर क्या है?")</f>
        <v>मलखम्ब स्पर्धा में, यदि किसी कलाकार को 5 अभ्यासों में से प्रत्येक में 40 अंक दिए जाते हैं, और स्कोर 35, 38, 32, 30 और 37 हैं, तो उच्चतम संभावित औसत स्कोर क्या है?</v>
      </c>
      <c r="H61" s="5" t="str">
        <f>IFERROR(__xludf.DUMMYFUNCTION("GOOGLETRANSLATE(C61, ""en"", ""hi"")"),"ए) 35.4, बी) 36, सी) 34, डी) 37")</f>
        <v>ए) 35.4, बी) 36, सी) 34, डी) 37</v>
      </c>
      <c r="I61" s="5" t="str">
        <f>IFERROR(__xludf.DUMMYFUNCTION("GOOGLETRANSLATE(D61, ""en"", ""hi"")"),"ए) 35.4")</f>
        <v>ए) 35.4</v>
      </c>
    </row>
    <row r="62" ht="22.5" customHeight="1">
      <c r="A62" s="2">
        <v>61.0</v>
      </c>
      <c r="B62" s="3" t="s">
        <v>10124</v>
      </c>
      <c r="C62" s="3" t="s">
        <v>10125</v>
      </c>
      <c r="D62" s="3" t="s">
        <v>10126</v>
      </c>
      <c r="F62" s="5" t="str">
        <f>IFERROR(__xludf.DUMMYFUNCTION("GOOGLETRANSLATE(A62, ""en"", ""hi"")"),"61")</f>
        <v>61</v>
      </c>
      <c r="G62" s="5" t="str">
        <f>IFERROR(__xludf.DUMMYFUNCTION("GOOGLETRANSLATE(B62, ""en"", ""hi"")"),"मलखम्ब प्रदर्शन के दौरान, कलाकार को चार मुद्राएँ करनी होती हैं, प्रत्येक मुद्रा को 18 सेकंड तक बनाए रखना होता है। यदि प्रदर्शन का कुल समय 1 मिनट है, तो मुद्राओं के बीच परिवर्तन के लिए कितने सेकंड आवंटित किए जाते हैं?")</f>
        <v>मलखम्ब प्रदर्शन के दौरान, कलाकार को चार मुद्राएँ करनी होती हैं, प्रत्येक मुद्रा को 18 सेकंड तक बनाए रखना होता है। यदि प्रदर्शन का कुल समय 1 मिनट है, तो मुद्राओं के बीच परिवर्तन के लिए कितने सेकंड आवंटित किए जाते हैं?</v>
      </c>
      <c r="H62" s="5" t="str">
        <f>IFERROR(__xludf.DUMMYFUNCTION("GOOGLETRANSLATE(C62, ""en"", ""hi"")"),"A) 16 सेकंड, B) 12 सेकंड, C) 20 सेकंड, D) 22 सेकंड")</f>
        <v>A) 16 सेकंड, B) 12 सेकंड, C) 20 सेकंड, D) 22 सेकंड</v>
      </c>
      <c r="I62" s="5" t="str">
        <f>IFERROR(__xludf.DUMMYFUNCTION("GOOGLETRANSLATE(D62, ""en"", ""hi"")"),"ए) 16 सेकंड")</f>
        <v>ए) 16 सेकंड</v>
      </c>
    </row>
    <row r="63" ht="22.5" customHeight="1">
      <c r="A63" s="2">
        <v>62.0</v>
      </c>
      <c r="B63" s="3" t="s">
        <v>10127</v>
      </c>
      <c r="C63" s="3" t="s">
        <v>10128</v>
      </c>
      <c r="D63" s="3" t="s">
        <v>10129</v>
      </c>
      <c r="F63" s="5" t="str">
        <f>IFERROR(__xludf.DUMMYFUNCTION("GOOGLETRANSLATE(A63, ""en"", ""hi"")"),"62")</f>
        <v>62</v>
      </c>
      <c r="G63" s="5" t="str">
        <f>IFERROR(__xludf.DUMMYFUNCTION("GOOGLETRANSLATE(B63, ""en"", ""hi"")"),"एक मलखंभ कलाकार तीन स्पर्धाओं में भाग लेता है। यदि प्रत्येक स्पर्धा में 30 अंक दिए जाएँ और कलाकार को क्रमशः 27, 29 और 25 अंक प्राप्त हों, तो सभी स्पर्धाओं में उसका औसत स्कोर क्या है?")</f>
        <v>एक मलखंभ कलाकार तीन स्पर्धाओं में भाग लेता है। यदि प्रत्येक स्पर्धा में 30 अंक दिए जाएँ और कलाकार को क्रमशः 27, 29 और 25 अंक प्राप्त हों, तो सभी स्पर्धाओं में उसका औसत स्कोर क्या है?</v>
      </c>
      <c r="H63" s="5" t="str">
        <f>IFERROR(__xludf.DUMMYFUNCTION("GOOGLETRANSLATE(C63, ""en"", ""hi"")"),"ए) 27, बी) 26.5, सी) 28, डी) 25.5")</f>
        <v>ए) 27, बी) 26.5, सी) 28, डी) 25.5</v>
      </c>
      <c r="I63" s="5" t="str">
        <f>IFERROR(__xludf.DUMMYFUNCTION("GOOGLETRANSLATE(D63, ""en"", ""hi"")"),"ए) 27")</f>
        <v>ए) 27</v>
      </c>
    </row>
    <row r="64" ht="22.5" customHeight="1">
      <c r="A64" s="2">
        <v>63.0</v>
      </c>
      <c r="B64" s="3" t="s">
        <v>10130</v>
      </c>
      <c r="C64" s="3" t="s">
        <v>10131</v>
      </c>
      <c r="D64" s="3" t="s">
        <v>10132</v>
      </c>
      <c r="F64" s="5" t="str">
        <f>IFERROR(__xludf.DUMMYFUNCTION("GOOGLETRANSLATE(A64, ""en"", ""hi"")"),"63")</f>
        <v>63</v>
      </c>
      <c r="G64" s="5" t="str">
        <f>IFERROR(__xludf.DUMMYFUNCTION("GOOGLETRANSLATE(B64, ""en"", ""hi"")"),"मलखंभ प्रतियोगिता में, एक कलाकार को 9 आसन पूरे करने होते हैं। यदि प्रत्येक आसन में 20 सेकंड लगते हैं और प्रत्येक आसन के बीच 10 सेकंड का अंतराल होता है, तो प्रदर्शन के लिए कुल कितना समय लगेगा?")</f>
        <v>मलखंभ प्रतियोगिता में, एक कलाकार को 9 आसन पूरे करने होते हैं। यदि प्रत्येक आसन में 20 सेकंड लगते हैं और प्रत्येक आसन के बीच 10 सेकंड का अंतराल होता है, तो प्रदर्शन के लिए कुल कितना समय लगेगा?</v>
      </c>
      <c r="H64" s="5" t="str">
        <f>IFERROR(__xludf.DUMMYFUNCTION("GOOGLETRANSLATE(C64, ""en"", ""hi"")"),"A) 210 सेकंड, B) 200 सेकंड, C) 220 सेकंड, D) 230 सेकंड")</f>
        <v>A) 210 सेकंड, B) 200 सेकंड, C) 220 सेकंड, D) 230 सेकंड</v>
      </c>
      <c r="I64" s="5" t="str">
        <f>IFERROR(__xludf.DUMMYFUNCTION("GOOGLETRANSLATE(D64, ""en"", ""hi"")"),"ए) 210 सेकंड")</f>
        <v>ए) 210 सेकंड</v>
      </c>
    </row>
    <row r="65" ht="22.5" customHeight="1">
      <c r="A65" s="2">
        <v>64.0</v>
      </c>
      <c r="B65" s="3" t="s">
        <v>10133</v>
      </c>
      <c r="C65" s="3" t="s">
        <v>10134</v>
      </c>
      <c r="D65" s="3" t="s">
        <v>10135</v>
      </c>
      <c r="F65" s="5" t="str">
        <f>IFERROR(__xludf.DUMMYFUNCTION("GOOGLETRANSLATE(A65, ""en"", ""hi"")"),"64")</f>
        <v>64</v>
      </c>
      <c r="G65" s="5" t="str">
        <f>IFERROR(__xludf.DUMMYFUNCTION("GOOGLETRANSLATE(B65, ""en"", ""hi"")"),"मलखम्ब स्पर्धा के दौरान, कलाकार को पाँच मानदंडों के आधार पर अंक दिए जाते हैं: तकनीक, संतुलन, कठिनाई, निष्पादन और प्रस्तुति। यदि प्रत्येक मानदंड के लिए 10 अंकों में से अंक दिए जाएँ, तो एक कलाकार द्वारा प्राप्त किया जा सकने वाला अधिकतम कुल अंक क्या होगा?")</f>
        <v>मलखम्ब स्पर्धा के दौरान, कलाकार को पाँच मानदंडों के आधार पर अंक दिए जाते हैं: तकनीक, संतुलन, कठिनाई, निष्पादन और प्रस्तुति। यदि प्रत्येक मानदंड के लिए 10 अंकों में से अंक दिए जाएँ, तो एक कलाकार द्वारा प्राप्त किया जा सकने वाला अधिकतम कुल अंक क्या होगा?</v>
      </c>
      <c r="H65" s="5" t="str">
        <f>IFERROR(__xludf.DUMMYFUNCTION("GOOGLETRANSLATE(C65, ""en"", ""hi"")"),"ए) 50, बी) 40, सी) 45, डी) 55")</f>
        <v>ए) 50, बी) 40, सी) 45, डी) 55</v>
      </c>
      <c r="I65" s="5" t="str">
        <f>IFERROR(__xludf.DUMMYFUNCTION("GOOGLETRANSLATE(D65, ""en"", ""hi"")"),"ए) 50")</f>
        <v>ए) 50</v>
      </c>
    </row>
    <row r="66" ht="22.5" customHeight="1">
      <c r="A66" s="2">
        <v>65.0</v>
      </c>
      <c r="B66" s="3" t="s">
        <v>10136</v>
      </c>
      <c r="C66" s="3" t="s">
        <v>10137</v>
      </c>
      <c r="D66" s="3" t="s">
        <v>10138</v>
      </c>
      <c r="F66" s="5" t="str">
        <f>IFERROR(__xludf.DUMMYFUNCTION("GOOGLETRANSLATE(A66, ""en"", ""hi"")"),"65")</f>
        <v>65</v>
      </c>
      <c r="G66" s="5" t="str">
        <f>IFERROR(__xludf.DUMMYFUNCTION("GOOGLETRANSLATE(B66, ""en"", ""hi"")"),"एक मलखम्ब कलाकार अपने अभ्यास में क्रमशः 25, 28, 30, 27 और 29 अंक प्राप्त करता है। यदि उच्चतम और निम्नतम अंक हटा दिए जाएँ, तो शेष अंकों का औसत क्या है?")</f>
        <v>एक मलखम्ब कलाकार अपने अभ्यास में क्रमशः 25, 28, 30, 27 और 29 अंक प्राप्त करता है। यदि उच्चतम और निम्नतम अंक हटा दिए जाएँ, तो शेष अंकों का औसत क्या है?</v>
      </c>
      <c r="H66" s="5" t="str">
        <f>IFERROR(__xludf.DUMMYFUNCTION("GOOGLETRANSLATE(C66, ""en"", ""hi"")"),"ए) 27.5, बी) 28, सी) 29, डी) 30")</f>
        <v>ए) 27.5, बी) 28, सी) 29, डी) 30</v>
      </c>
      <c r="I66" s="5" t="str">
        <f>IFERROR(__xludf.DUMMYFUNCTION("GOOGLETRANSLATE(D66, ""en"", ""hi"")"),"ए) 27.5")</f>
        <v>ए) 27.5</v>
      </c>
    </row>
    <row r="67" ht="22.5" customHeight="1">
      <c r="A67" s="2">
        <v>66.0</v>
      </c>
      <c r="B67" s="3" t="s">
        <v>10139</v>
      </c>
      <c r="C67" s="3" t="s">
        <v>10140</v>
      </c>
      <c r="D67" s="3" t="s">
        <v>10117</v>
      </c>
      <c r="F67" s="5" t="str">
        <f>IFERROR(__xludf.DUMMYFUNCTION("GOOGLETRANSLATE(A67, ""en"", ""hi"")"),"66")</f>
        <v>66</v>
      </c>
      <c r="G67" s="5" t="str">
        <f>IFERROR(__xludf.DUMMYFUNCTION("GOOGLETRANSLATE(B67, ""en"", ""hi"")"),"मलखम्ब स्पर्धा में, एक कलाकार को 4 विभिन्न मानदंडों के आधार पर आंका जाता है, जिसमें 10 में से 9, 8, 7 और 10 अंक दिए जाते हैं। यदि प्रत्येक मानदंड के लिए अधिकतम अंक 10 हैं, तो उनका कुल स्कोर क्या है?")</f>
        <v>मलखम्ब स्पर्धा में, एक कलाकार को 4 विभिन्न मानदंडों के आधार पर आंका जाता है, जिसमें 10 में से 9, 8, 7 और 10 अंक दिए जाते हैं। यदि प्रत्येक मानदंड के लिए अधिकतम अंक 10 हैं, तो उनका कुल स्कोर क्या है?</v>
      </c>
      <c r="H67" s="5" t="str">
        <f>IFERROR(__xludf.DUMMYFUNCTION("GOOGLETRANSLATE(C67, ""en"", ""hi"")"),"ए) 34, बी) 32, सी) 36, डी) 30")</f>
        <v>ए) 34, बी) 32, सी) 36, डी) 30</v>
      </c>
      <c r="I67" s="5" t="str">
        <f>IFERROR(__xludf.DUMMYFUNCTION("GOOGLETRANSLATE(D67, ""en"", ""hi"")"),"ए) 34")</f>
        <v>ए) 34</v>
      </c>
    </row>
    <row r="68" ht="22.5" customHeight="1">
      <c r="A68" s="2">
        <v>67.0</v>
      </c>
      <c r="B68" s="3" t="s">
        <v>10141</v>
      </c>
      <c r="C68" s="3" t="s">
        <v>10142</v>
      </c>
      <c r="D68" s="3" t="s">
        <v>10143</v>
      </c>
      <c r="F68" s="5" t="str">
        <f>IFERROR(__xludf.DUMMYFUNCTION("GOOGLETRANSLATE(A68, ""en"", ""hi"")"),"67")</f>
        <v>67</v>
      </c>
      <c r="G68" s="5" t="str">
        <f>IFERROR(__xludf.DUMMYFUNCTION("GOOGLETRANSLATE(B68, ""en"", ""hi"")"),"मलखम्ब प्रदर्शन के दौरान, एक कलाकार 7 आसन करता है। यदि प्रत्येक आसन की समय सीमा 15 सेकंड है और कलाकार प्रत्येक आसन के बीच 5 सेकंड का विश्राम करता है, तो प्रदर्शन की कुल अवधि क्या है?")</f>
        <v>मलखम्ब प्रदर्शन के दौरान, एक कलाकार 7 आसन करता है। यदि प्रत्येक आसन की समय सीमा 15 सेकंड है और कलाकार प्रत्येक आसन के बीच 5 सेकंड का विश्राम करता है, तो प्रदर्शन की कुल अवधि क्या है?</v>
      </c>
      <c r="H68" s="5" t="str">
        <f>IFERROR(__xludf.DUMMYFUNCTION("GOOGLETRANSLATE(C68, ""en"", ""hi"")"),"A) 120 सेकंड, B) 125 सेकंड, C) 130 सेकंड, D) 115 सेकंड")</f>
        <v>A) 120 सेकंड, B) 125 सेकंड, C) 130 सेकंड, D) 115 सेकंड</v>
      </c>
      <c r="I68" s="5" t="str">
        <f>IFERROR(__xludf.DUMMYFUNCTION("GOOGLETRANSLATE(D68, ""en"", ""hi"")"),"ए) 120 सेकंड")</f>
        <v>ए) 120 सेकंड</v>
      </c>
    </row>
    <row r="69" ht="22.5" customHeight="1">
      <c r="A69" s="2">
        <v>68.0</v>
      </c>
      <c r="B69" s="3" t="s">
        <v>10144</v>
      </c>
      <c r="C69" s="3" t="s">
        <v>10145</v>
      </c>
      <c r="D69" s="3" t="s">
        <v>10146</v>
      </c>
      <c r="F69" s="5" t="str">
        <f>IFERROR(__xludf.DUMMYFUNCTION("GOOGLETRANSLATE(A69, ""en"", ""hi"")"),"68")</f>
        <v>68</v>
      </c>
      <c r="G69" s="5" t="str">
        <f>IFERROR(__xludf.DUMMYFUNCTION("GOOGLETRANSLATE(B69, ""en"", ""hi"")"),"एक मलखम्ब कलाकार 4 रूटीन में भाग लेता है। यदि प्रत्येक रूटीन को 20 अंकों में से अंक दिए जाएँ और कलाकार को क्रमशः 18, 15, 17 और 19 अंक प्राप्त हों, तो प्रत्येक रूटीन का औसत स्कोर क्या है?")</f>
        <v>एक मलखम्ब कलाकार 4 रूटीन में भाग लेता है। यदि प्रत्येक रूटीन को 20 अंकों में से अंक दिए जाएँ और कलाकार को क्रमशः 18, 15, 17 और 19 अंक प्राप्त हों, तो प्रत्येक रूटीन का औसत स्कोर क्या है?</v>
      </c>
      <c r="H69" s="5" t="str">
        <f>IFERROR(__xludf.DUMMYFUNCTION("GOOGLETRANSLATE(C69, ""en"", ""hi"")"),"ए) 17.25, बी) 17.5, सी) 18, डी) 16.5")</f>
        <v>ए) 17.25, बी) 17.5, सी) 18, डी) 16.5</v>
      </c>
      <c r="I69" s="5" t="str">
        <f>IFERROR(__xludf.DUMMYFUNCTION("GOOGLETRANSLATE(D69, ""en"", ""hi"")"),"ए) 17.25")</f>
        <v>ए) 17.25</v>
      </c>
    </row>
    <row r="70" ht="22.5" customHeight="1">
      <c r="A70" s="2">
        <v>69.0</v>
      </c>
      <c r="B70" s="3" t="s">
        <v>10147</v>
      </c>
      <c r="C70" s="3" t="s">
        <v>10148</v>
      </c>
      <c r="D70" s="3" t="s">
        <v>1072</v>
      </c>
      <c r="F70" s="5" t="str">
        <f>IFERROR(__xludf.DUMMYFUNCTION("GOOGLETRANSLATE(A70, ""en"", ""hi"")"),"69")</f>
        <v>69</v>
      </c>
      <c r="G70" s="5" t="str">
        <f>IFERROR(__xludf.DUMMYFUNCTION("GOOGLETRANSLATE(B70, ""en"", ""hi"")"),"मलखंभ प्रतियोगिता में, एक कलाकार 5 आसन करता है। यदि प्रत्येक आसन 30 सेकंड तक किया जाता है और कुल प्रदर्शन समय 2 मिनट है, तो आसनों के बीच परिवर्तन के लिए कितने सेकंड आवंटित किए जाते हैं?")</f>
        <v>मलखंभ प्रतियोगिता में, एक कलाकार 5 आसन करता है। यदि प्रत्येक आसन 30 सेकंड तक किया जाता है और कुल प्रदर्शन समय 2 मिनट है, तो आसनों के बीच परिवर्तन के लिए कितने सेकंड आवंटित किए जाते हैं?</v>
      </c>
      <c r="H70" s="5" t="str">
        <f>IFERROR(__xludf.DUMMYFUNCTION("GOOGLETRANSLATE(C70, ""en"", ""hi"")"),"A) 30 सेकंड, B) 40 सेकंड, C) 20 सेकंड, D) 25 सेकंड")</f>
        <v>A) 30 सेकंड, B) 40 सेकंड, C) 20 सेकंड, D) 25 सेकंड</v>
      </c>
      <c r="I70" s="5" t="str">
        <f>IFERROR(__xludf.DUMMYFUNCTION("GOOGLETRANSLATE(D70, ""en"", ""hi"")"),"ए) 30 सेकंड")</f>
        <v>ए) 30 सेकंड</v>
      </c>
    </row>
    <row r="71" ht="22.5" customHeight="1">
      <c r="A71" s="2">
        <v>70.0</v>
      </c>
      <c r="B71" s="3" t="s">
        <v>10149</v>
      </c>
      <c r="C71" s="3" t="s">
        <v>10150</v>
      </c>
      <c r="D71" s="3" t="s">
        <v>10010</v>
      </c>
      <c r="F71" s="5" t="str">
        <f>IFERROR(__xludf.DUMMYFUNCTION("GOOGLETRANSLATE(A71, ""en"", ""hi"")"),"70")</f>
        <v>70</v>
      </c>
      <c r="G71" s="5" t="str">
        <f>IFERROR(__xludf.DUMMYFUNCTION("GOOGLETRANSLATE(B71, ""en"", ""hi"")"),"मलखंभ स्पर्धा के दौरान, एक कलाकार को विभिन्न मानदंडों पर 8, 9, 7, 10 और 6 अंक प्राप्त होते हैं। यदि न्यूनतम और अधिकतम अंकों को हटा दिया जाए, तो शेष अंकों का औसत क्या है?")</f>
        <v>मलखंभ स्पर्धा के दौरान, एक कलाकार को विभिन्न मानदंडों पर 8, 9, 7, 10 और 6 अंक प्राप्त होते हैं। यदि न्यूनतम और अधिकतम अंकों को हटा दिया जाए, तो शेष अंकों का औसत क्या है?</v>
      </c>
      <c r="H71" s="5" t="str">
        <f>IFERROR(__xludf.DUMMYFUNCTION("GOOGLETRANSLATE(C71, ""en"", ""hi"")"),"ए) 8, बी) 7.5, सी) 9, डी) 8.5")</f>
        <v>ए) 8, बी) 7.5, सी) 9, डी) 8.5</v>
      </c>
      <c r="I71" s="5" t="str">
        <f>IFERROR(__xludf.DUMMYFUNCTION("GOOGLETRANSLATE(D71, ""en"", ""hi"")"),"ए) 8")</f>
        <v>ए) 8</v>
      </c>
    </row>
    <row r="72" ht="22.5" customHeight="1">
      <c r="A72" s="2">
        <v>71.0</v>
      </c>
      <c r="B72" s="3" t="s">
        <v>10151</v>
      </c>
      <c r="C72" s="3" t="s">
        <v>10152</v>
      </c>
      <c r="D72" s="3" t="s">
        <v>10153</v>
      </c>
      <c r="F72" s="5" t="str">
        <f>IFERROR(__xludf.DUMMYFUNCTION("GOOGLETRANSLATE(A72, ""en"", ""hi"")"),"71")</f>
        <v>71</v>
      </c>
      <c r="G72" s="5" t="str">
        <f>IFERROR(__xludf.DUMMYFUNCTION("GOOGLETRANSLATE(B72, ""en"", ""hi"")"),"एक मलखंभ कलाकार को एक अभ्यास में 6 आसन पूरे करने होते हैं। यदि प्रत्येक आसन की सफलता दर 85% है और कलाकार प्रत्येक आसन को दो बार करता है, तो कितने सफल प्रयास अपेक्षित हैं?")</f>
        <v>एक मलखंभ कलाकार को एक अभ्यास में 6 आसन पूरे करने होते हैं। यदि प्रत्येक आसन की सफलता दर 85% है और कलाकार प्रत्येक आसन को दो बार करता है, तो कितने सफल प्रयास अपेक्षित हैं?</v>
      </c>
      <c r="H72" s="5" t="str">
        <f>IFERROR(__xludf.DUMMYFUNCTION("GOOGLETRANSLATE(C72, ""en"", ""hi"")"),"ए) 10, बी) 11, सी) 12, डी) 9")</f>
        <v>ए) 10, बी) 11, सी) 12, डी) 9</v>
      </c>
      <c r="I72" s="5" t="str">
        <f>IFERROR(__xludf.DUMMYFUNCTION("GOOGLETRANSLATE(D72, ""en"", ""hi"")"),"बी) 11")</f>
        <v>बी) 11</v>
      </c>
    </row>
    <row r="73" ht="22.5" customHeight="1">
      <c r="A73" s="2">
        <v>72.0</v>
      </c>
      <c r="B73" s="3" t="s">
        <v>10154</v>
      </c>
      <c r="C73" s="3" t="s">
        <v>10155</v>
      </c>
      <c r="D73" s="3" t="s">
        <v>10156</v>
      </c>
      <c r="F73" s="5" t="str">
        <f>IFERROR(__xludf.DUMMYFUNCTION("GOOGLETRANSLATE(A73, ""en"", ""hi"")"),"72")</f>
        <v>72</v>
      </c>
      <c r="G73" s="5" t="str">
        <f>IFERROR(__xludf.DUMMYFUNCTION("GOOGLETRANSLATE(B73, ""en"", ""hi"")"),"मलखम्ब प्रतियोगिता में, एक कलाकार 8 आसन करता है। यदि प्रत्येक आसन में 10 सेकंड लगते हैं और आसनों के बीच 4 सेकंड का परिवर्तन होता है, तो परिवर्तन सहित पूरे अभ्यास में कुल कितना समय लगेगा?")</f>
        <v>मलखम्ब प्रतियोगिता में, एक कलाकार 8 आसन करता है। यदि प्रत्येक आसन में 10 सेकंड लगते हैं और आसनों के बीच 4 सेकंड का परिवर्तन होता है, तो परिवर्तन सहित पूरे अभ्यास में कुल कितना समय लगेगा?</v>
      </c>
      <c r="H73" s="5" t="str">
        <f>IFERROR(__xludf.DUMMYFUNCTION("GOOGLETRANSLATE(C73, ""en"", ""hi"")"),"A) 92 सेकंड, B) 88 सेकंड, C) 90 सेकंड, D) 85 सेकंड")</f>
        <v>A) 92 सेकंड, B) 88 सेकंड, C) 90 सेकंड, D) 85 सेकंड</v>
      </c>
      <c r="I73" s="5" t="str">
        <f>IFERROR(__xludf.DUMMYFUNCTION("GOOGLETRANSLATE(D73, ""en"", ""hi"")"),"ए) 92 सेकंड")</f>
        <v>ए) 92 सेकंड</v>
      </c>
    </row>
    <row r="74" ht="22.5" customHeight="1">
      <c r="A74" s="2">
        <v>73.0</v>
      </c>
      <c r="B74" s="3" t="s">
        <v>10157</v>
      </c>
      <c r="C74" s="3" t="s">
        <v>10158</v>
      </c>
      <c r="D74" s="3" t="s">
        <v>10135</v>
      </c>
      <c r="F74" s="5" t="str">
        <f>IFERROR(__xludf.DUMMYFUNCTION("GOOGLETRANSLATE(A74, ""en"", ""hi"")"),"73")</f>
        <v>73</v>
      </c>
      <c r="G74" s="5" t="str">
        <f>IFERROR(__xludf.DUMMYFUNCTION("GOOGLETRANSLATE(B74, ""en"", ""hi"")"),"मलखम्ब स्पर्धा के दौरान, किसी कलाकार का मूल्यांकन पाँच मानदंडों के आधार पर किया जाता है: कठिनाई, निष्पादन, प्रस्तुति, रचनात्मकता और तकनीक। यदि प्रत्येक मानदंड को 1 से 10 तक आंका जाए, तो एक कलाकार द्वारा प्राप्त किया जा सकने वाला अधिकतम स्कोर क्या होगा?")</f>
        <v>मलखम्ब स्पर्धा के दौरान, किसी कलाकार का मूल्यांकन पाँच मानदंडों के आधार पर किया जाता है: कठिनाई, निष्पादन, प्रस्तुति, रचनात्मकता और तकनीक। यदि प्रत्येक मानदंड को 1 से 10 तक आंका जाए, तो एक कलाकार द्वारा प्राप्त किया जा सकने वाला अधिकतम स्कोर क्या होगा?</v>
      </c>
      <c r="H74" s="5" t="str">
        <f>IFERROR(__xludf.DUMMYFUNCTION("GOOGLETRANSLATE(C74, ""en"", ""hi"")"),"ए) 50, बी) 40, सी) 45, डी) 60")</f>
        <v>ए) 50, बी) 40, सी) 45, डी) 60</v>
      </c>
      <c r="I74" s="5" t="str">
        <f>IFERROR(__xludf.DUMMYFUNCTION("GOOGLETRANSLATE(D74, ""en"", ""hi"")"),"ए) 50")</f>
        <v>ए) 50</v>
      </c>
    </row>
    <row r="75" ht="22.5" customHeight="1">
      <c r="A75" s="2">
        <v>74.0</v>
      </c>
      <c r="B75" s="3" t="s">
        <v>10159</v>
      </c>
      <c r="C75" s="3" t="s">
        <v>10160</v>
      </c>
      <c r="D75" s="3" t="s">
        <v>10161</v>
      </c>
      <c r="F75" s="5" t="str">
        <f>IFERROR(__xludf.DUMMYFUNCTION("GOOGLETRANSLATE(A75, ""en"", ""hi"")"),"74")</f>
        <v>74</v>
      </c>
      <c r="G75" s="5" t="str">
        <f>IFERROR(__xludf.DUMMYFUNCTION("GOOGLETRANSLATE(B75, ""en"", ""hi"")"),"एक मलखम्ब कलाकार ने 4 अभ्यासों में अधिकतम 40 में से 32, 35, 30 और 28 अंक प्राप्त किए। उनका औसत स्कोर क्या है?")</f>
        <v>एक मलखम्ब कलाकार ने 4 अभ्यासों में अधिकतम 40 में से 32, 35, 30 और 28 अंक प्राप्त किए। उनका औसत स्कोर क्या है?</v>
      </c>
      <c r="H75" s="5" t="str">
        <f>IFERROR(__xludf.DUMMYFUNCTION("GOOGLETRANSLATE(C75, ""en"", ""hi"")"),"ए) 31.25, बी) 32, सी) 30.5, डी) 31.5")</f>
        <v>ए) 31.25, बी) 32, सी) 30.5, डी) 31.5</v>
      </c>
      <c r="I75" s="5" t="str">
        <f>IFERROR(__xludf.DUMMYFUNCTION("GOOGLETRANSLATE(D75, ""en"", ""hi"")"),"ए) 31.25")</f>
        <v>ए) 31.25</v>
      </c>
    </row>
    <row r="76" ht="22.5" customHeight="1">
      <c r="A76" s="2">
        <v>75.0</v>
      </c>
      <c r="B76" s="3" t="s">
        <v>10162</v>
      </c>
      <c r="C76" s="3" t="s">
        <v>10163</v>
      </c>
      <c r="D76" s="3" t="s">
        <v>10023</v>
      </c>
      <c r="F76" s="5" t="str">
        <f>IFERROR(__xludf.DUMMYFUNCTION("GOOGLETRANSLATE(A76, ""en"", ""hi"")"),"75")</f>
        <v>75</v>
      </c>
      <c r="G76" s="5" t="str">
        <f>IFERROR(__xludf.DUMMYFUNCTION("GOOGLETRANSLATE(B76, ""en"", ""hi"")"),"मलखम्ब प्रदर्शन में, एक कलाकार 10 मुद्राएँ करता है। यदि प्रत्येक मुद्रा 12 सेकंड तक की जाती है और मुद्राओं के बीच 5 सेकंड का विराम होता है, तो विराम सहित प्रदर्शन की कुल अवधि कितनी है?")</f>
        <v>मलखम्ब प्रदर्शन में, एक कलाकार 10 मुद्राएँ करता है। यदि प्रत्येक मुद्रा 12 सेकंड तक की जाती है और मुद्राओं के बीच 5 सेकंड का विराम होता है, तो विराम सहित प्रदर्शन की कुल अवधि कितनी है?</v>
      </c>
      <c r="H76" s="5" t="str">
        <f>IFERROR(__xludf.DUMMYFUNCTION("GOOGLETRANSLATE(C76, ""en"", ""hi"")"),"A) 125 सेकंड, B) 130 सेकंड, C) 140 सेकंड, D) 115 सेकंड")</f>
        <v>A) 125 सेकंड, B) 130 सेकंड, C) 140 सेकंड, D) 115 सेकंड</v>
      </c>
      <c r="I76" s="5" t="str">
        <f>IFERROR(__xludf.DUMMYFUNCTION("GOOGLETRANSLATE(D76, ""en"", ""hi"")"),"ए) 125 सेकंड")</f>
        <v>ए) 125 सेकंड</v>
      </c>
    </row>
    <row r="77" ht="22.5" customHeight="1">
      <c r="A77" s="2">
        <v>76.0</v>
      </c>
      <c r="B77" s="3" t="s">
        <v>10164</v>
      </c>
      <c r="C77" s="3" t="s">
        <v>10165</v>
      </c>
      <c r="D77" s="3" t="s">
        <v>10166</v>
      </c>
      <c r="F77" s="5" t="str">
        <f>IFERROR(__xludf.DUMMYFUNCTION("GOOGLETRANSLATE(A77, ""en"", ""hi"")"),"76")</f>
        <v>76</v>
      </c>
      <c r="G77" s="5" t="str">
        <f>IFERROR(__xludf.DUMMYFUNCTION("GOOGLETRANSLATE(B77, ""en"", ""hi"")"),"मलखम्ब प्रतियोगिता के दौरान, यदि किसी कलाकार को 4 मानदंडों पर आंका जाता है और उसे 10 में से 7, 8, 9 और 10 अंक प्राप्त होते हैं, तो सबसे कम और सबसे अधिक अंक हटा दिए जाने पर उसका कुल स्कोर क्या होगा?")</f>
        <v>मलखम्ब प्रतियोगिता के दौरान, यदि किसी कलाकार को 4 मानदंडों पर आंका जाता है और उसे 10 में से 7, 8, 9 और 10 अंक प्राप्त होते हैं, तो सबसे कम और सबसे अधिक अंक हटा दिए जाने पर उसका कुल स्कोर क्या होगा?</v>
      </c>
      <c r="H77" s="5" t="str">
        <f>IFERROR(__xludf.DUMMYFUNCTION("GOOGLETRANSLATE(C77, ""en"", ""hi"")"),"ए) 15, बी) 16, सी) 17, डी) 14")</f>
        <v>ए) 15, बी) 16, सी) 17, डी) 14</v>
      </c>
      <c r="I77" s="5" t="str">
        <f>IFERROR(__xludf.DUMMYFUNCTION("GOOGLETRANSLATE(D77, ""en"", ""hi"")"),"ए) 15")</f>
        <v>ए) 15</v>
      </c>
    </row>
    <row r="78" ht="22.5" customHeight="1">
      <c r="A78" s="2">
        <v>77.0</v>
      </c>
      <c r="B78" s="3" t="s">
        <v>10167</v>
      </c>
      <c r="C78" s="3" t="s">
        <v>10168</v>
      </c>
      <c r="D78" s="3" t="s">
        <v>10169</v>
      </c>
      <c r="F78" s="5" t="str">
        <f>IFERROR(__xludf.DUMMYFUNCTION("GOOGLETRANSLATE(A78, ""en"", ""hi"")"),"77")</f>
        <v>77</v>
      </c>
      <c r="G78" s="5" t="str">
        <f>IFERROR(__xludf.DUMMYFUNCTION("GOOGLETRANSLATE(B78, ""en"", ""hi"")"),"एक मलखंभ कलाकार के 6 अलग-अलग रूटीन होते हैं। यदि प्रत्येक रूटीन के लिए 35 अंक दिए जाएँ, और कलाकार को क्रमशः 30, 32, 28, 29, 34 और 31 अंक मिलते हैं, तो उनका अधिकतम संभावित औसत स्कोर क्या होगा?")</f>
        <v>एक मलखंभ कलाकार के 6 अलग-अलग रूटीन होते हैं। यदि प्रत्येक रूटीन के लिए 35 अंक दिए जाएँ, और कलाकार को क्रमशः 30, 32, 28, 29, 34 और 31 अंक मिलते हैं, तो उनका अधिकतम संभावित औसत स्कोर क्या होगा?</v>
      </c>
      <c r="H78" s="5" t="str">
        <f>IFERROR(__xludf.DUMMYFUNCTION("GOOGLETRANSLATE(C78, ""en"", ""hi"")"),"ए) 31.5, बी) 32, सी) 30, डी) 29.5")</f>
        <v>ए) 31.5, बी) 32, सी) 30, डी) 29.5</v>
      </c>
      <c r="I78" s="5" t="str">
        <f>IFERROR(__xludf.DUMMYFUNCTION("GOOGLETRANSLATE(D78, ""en"", ""hi"")"),"ए) 31.5")</f>
        <v>ए) 31.5</v>
      </c>
    </row>
    <row r="79" ht="22.5" customHeight="1">
      <c r="A79" s="2">
        <v>78.0</v>
      </c>
      <c r="B79" s="3" t="s">
        <v>10170</v>
      </c>
      <c r="C79" s="3" t="s">
        <v>10171</v>
      </c>
      <c r="D79" s="3" t="s">
        <v>10078</v>
      </c>
      <c r="F79" s="5" t="str">
        <f>IFERROR(__xludf.DUMMYFUNCTION("GOOGLETRANSLATE(A79, ""en"", ""hi"")"),"78")</f>
        <v>78</v>
      </c>
      <c r="G79" s="5" t="str">
        <f>IFERROR(__xludf.DUMMYFUNCTION("GOOGLETRANSLATE(B79, ""en"", ""hi"")"),"मलखम्ब स्पर्धा में, एक कलाकार 7 आसन करता है और उसकी औसत सफलता दर 80% होती है। यदि प्रत्येक आसन को दो बार किया जाए, तो कितने सफल आसनों की अपेक्षा की जा सकती है?")</f>
        <v>मलखम्ब स्पर्धा में, एक कलाकार 7 आसन करता है और उसकी औसत सफलता दर 80% होती है। यदि प्रत्येक आसन को दो बार किया जाए, तो कितने सफल आसनों की अपेक्षा की जा सकती है?</v>
      </c>
      <c r="H79" s="5" t="str">
        <f>IFERROR(__xludf.DUMMYFUNCTION("GOOGLETRANSLATE(C79, ""en"", ""hi"")"),"ए) 11, बी) 10, सी) 12, डी) 9")</f>
        <v>ए) 11, बी) 10, सी) 12, डी) 9</v>
      </c>
      <c r="I79" s="5" t="str">
        <f>IFERROR(__xludf.DUMMYFUNCTION("GOOGLETRANSLATE(D79, ""en"", ""hi"")"),"ए) 11")</f>
        <v>ए) 11</v>
      </c>
    </row>
    <row r="80" ht="22.5" customHeight="1">
      <c r="A80" s="2">
        <v>79.0</v>
      </c>
      <c r="B80" s="3" t="s">
        <v>10172</v>
      </c>
      <c r="C80" s="3" t="s">
        <v>10173</v>
      </c>
      <c r="D80" s="3" t="s">
        <v>10174</v>
      </c>
      <c r="F80" s="5" t="str">
        <f>IFERROR(__xludf.DUMMYFUNCTION("GOOGLETRANSLATE(A80, ""en"", ""hi"")"),"79")</f>
        <v>79</v>
      </c>
      <c r="G80" s="5" t="str">
        <f>IFERROR(__xludf.DUMMYFUNCTION("GOOGLETRANSLATE(B80, ""en"", ""hi"")"),"मलखंभ कलाकार को एक निश्चित समय सीमा के भीतर कई आसन पूरे करने होते हैं। अगर वे अच्छा प्रदर्शन कर रहे हैं, लेकिन कुछ आसन करने से चूक गए हैं, तो भविष्य में अपने प्रदर्शन को बेहतर बनाने के लिए उन्हें किस पर ध्यान केंद्रित करना चाहिए?")</f>
        <v>मलखंभ कलाकार को एक निश्चित समय सीमा के भीतर कई आसन पूरे करने होते हैं। अगर वे अच्छा प्रदर्शन कर रहे हैं, लेकिन कुछ आसन करने से चूक गए हैं, तो भविष्य में अपने प्रदर्शन को बेहतर बनाने के लिए उन्हें किस पर ध्यान केंद्रित करना चाहिए?</v>
      </c>
      <c r="H80" s="5" t="str">
        <f>IFERROR(__xludf.DUMMYFUNCTION("GOOGLETRANSLATE(C80, ""en"", ""hi"")"),"A) समय प्रबंधन, B) मुद्रा सटीकता, C) प्रस्तुति कौशल, D) दर्शकों की सहभागिता")</f>
        <v>A) समय प्रबंधन, B) मुद्रा सटीकता, C) प्रस्तुति कौशल, D) दर्शकों की सहभागिता</v>
      </c>
      <c r="I80" s="5" t="str">
        <f>IFERROR(__xludf.DUMMYFUNCTION("GOOGLETRANSLATE(D80, ""en"", ""hi"")"),"बी) मुद्रा सटीकता")</f>
        <v>बी) मुद्रा सटीकता</v>
      </c>
    </row>
    <row r="81" ht="22.5" customHeight="1">
      <c r="A81" s="2">
        <v>80.0</v>
      </c>
      <c r="B81" s="3" t="s">
        <v>10175</v>
      </c>
      <c r="C81" s="3" t="s">
        <v>10176</v>
      </c>
      <c r="D81" s="3" t="s">
        <v>10177</v>
      </c>
      <c r="F81" s="5" t="str">
        <f>IFERROR(__xludf.DUMMYFUNCTION("GOOGLETRANSLATE(A81, ""en"", ""hi"")"),"80")</f>
        <v>80</v>
      </c>
      <c r="G81" s="5" t="str">
        <f>IFERROR(__xludf.DUMMYFUNCTION("GOOGLETRANSLATE(B81, ""en"", ""hi"")"),"मलखम्ब प्रतियोगिता के दौरान, यदि किसी कलाकार को अनुचित तकनीक के लिए दंडित किया जाता है, तो इससे उसके अंतिम स्कोर पर क्या प्रभाव पड़ेगा?")</f>
        <v>मलखम्ब प्रतियोगिता के दौरान, यदि किसी कलाकार को अनुचित तकनीक के लिए दंडित किया जाता है, तो इससे उसके अंतिम स्कोर पर क्या प्रभाव पड़ेगा?</v>
      </c>
      <c r="H81" s="5" t="str">
        <f>IFERROR(__xludf.DUMMYFUNCTION("GOOGLETRANSLATE(C81, ""en"", ""hi"")"),"A) इससे उनका स्कोर बढ़ेगा, B) इससे उनके स्कोर पर कोई प्रभाव नहीं पड़ेगा, C) इससे उनका स्कोर घटेगा, D) इससे केवल उनके प्रेजेंटेशन स्कोर पर प्रभाव पड़ेगा")</f>
        <v>A) इससे उनका स्कोर बढ़ेगा, B) इससे उनके स्कोर पर कोई प्रभाव नहीं पड़ेगा, C) इससे उनका स्कोर घटेगा, D) इससे केवल उनके प्रेजेंटेशन स्कोर पर प्रभाव पड़ेगा</v>
      </c>
      <c r="I81" s="5" t="str">
        <f>IFERROR(__xludf.DUMMYFUNCTION("GOOGLETRANSLATE(D81, ""en"", ""hi"")"),"C) इससे उनका स्कोर कम हो जाएगा")</f>
        <v>C) इससे उनका स्कोर कम हो जाएगा</v>
      </c>
    </row>
    <row r="82" ht="22.5" customHeight="1">
      <c r="A82" s="2">
        <v>81.0</v>
      </c>
      <c r="B82" s="3" t="s">
        <v>10178</v>
      </c>
      <c r="C82" s="3" t="s">
        <v>10179</v>
      </c>
      <c r="D82" s="3" t="s">
        <v>10180</v>
      </c>
      <c r="F82" s="5" t="str">
        <f>IFERROR(__xludf.DUMMYFUNCTION("GOOGLETRANSLATE(A82, ""en"", ""hi"")"),"81")</f>
        <v>81</v>
      </c>
      <c r="G82" s="5" t="str">
        <f>IFERROR(__xludf.DUMMYFUNCTION("GOOGLETRANSLATE(B82, ""en"", ""hi"")"),"मलखम्ब प्रदर्शन के दौरान यदि किसी कलाकार को अप्रत्याशित कठिनाइयों का सामना करना पड़ता है, तो उन्हें अपने प्रदर्शन की गुणवत्ता बनाए रखने के लिए किस प्रकार अनुकूलन करना चाहिए?")</f>
        <v>मलखम्ब प्रदर्शन के दौरान यदि किसी कलाकार को अप्रत्याशित कठिनाइयों का सामना करना पड़ता है, तो उन्हें अपने प्रदर्शन की गुणवत्ता बनाए रखने के लिए किस प्रकार अनुकूलन करना चाहिए?</v>
      </c>
      <c r="H82" s="5" t="str">
        <f>IFERROR(__xludf.DUMMYFUNCTION("GOOGLETRANSLATE(C82, ""en"", ""hi"")"),"A) दिनचर्या में तेजी लाना, B) धैर्य बनाए रखना और दिनचर्या को अनुकूल बनाना, C) दिनचर्या को रोकना और पुनः शुरू करना, D) कठिनाइयों को अनदेखा करना और योजना के अनुसार जारी रखना")</f>
        <v>A) दिनचर्या में तेजी लाना, B) धैर्य बनाए रखना और दिनचर्या को अनुकूल बनाना, C) दिनचर्या को रोकना और पुनः शुरू करना, D) कठिनाइयों को अनदेखा करना और योजना के अनुसार जारी रखना</v>
      </c>
      <c r="I82" s="5" t="str">
        <f>IFERROR(__xludf.DUMMYFUNCTION("GOOGLETRANSLATE(D82, ""en"", ""hi"")"),"बी) धैर्य बनाए रखें और दिनचर्या को अनुकूलित करें")</f>
        <v>बी) धैर्य बनाए रखें और दिनचर्या को अनुकूलित करें</v>
      </c>
    </row>
    <row r="83" ht="22.5" customHeight="1">
      <c r="A83" s="2">
        <v>82.0</v>
      </c>
      <c r="B83" s="3" t="s">
        <v>10181</v>
      </c>
      <c r="C83" s="3" t="s">
        <v>10182</v>
      </c>
      <c r="D83" s="3" t="s">
        <v>10183</v>
      </c>
      <c r="F83" s="5" t="str">
        <f>IFERROR(__xludf.DUMMYFUNCTION("GOOGLETRANSLATE(A83, ""en"", ""hi"")"),"82")</f>
        <v>82</v>
      </c>
      <c r="G83" s="5" t="str">
        <f>IFERROR(__xludf.DUMMYFUNCTION("GOOGLETRANSLATE(B83, ""en"", ""hi"")"),"मलखम्ब कार्यक्रम के दौरान, कलाकार को रचनात्मकता के लिए उच्च अंक मिलते हैं, लेकिन निष्पादन के लिए कम अंक मिलते हैं। उन्हें अपने अगले प्रदर्शन के लिए किन चीज़ों में सुधार पर ध्यान केंद्रित करना चाहिए?")</f>
        <v>मलखम्ब कार्यक्रम के दौरान, कलाकार को रचनात्मकता के लिए उच्च अंक मिलते हैं, लेकिन निष्पादन के लिए कम अंक मिलते हैं। उन्हें अपने अगले प्रदर्शन के लिए किन चीज़ों में सुधार पर ध्यान केंद्रित करना चाहिए?</v>
      </c>
      <c r="H83" s="5" t="str">
        <f>IFERROR(__xludf.DUMMYFUNCTION("GOOGLETRANSLATE(C83, ""en"", ""hi"")"),"A) रचनात्मकता, B) प्रस्तुति, C) निष्पादन, D) समय प्रबंधन")</f>
        <v>A) रचनात्मकता, B) प्रस्तुति, C) निष्पादन, D) समय प्रबंधन</v>
      </c>
      <c r="I83" s="5" t="str">
        <f>IFERROR(__xludf.DUMMYFUNCTION("GOOGLETRANSLATE(D83, ""en"", ""hi"")"),"सी) निष्पादन")</f>
        <v>सी) निष्पादन</v>
      </c>
    </row>
    <row r="84" ht="22.5" customHeight="1">
      <c r="A84" s="2">
        <v>83.0</v>
      </c>
      <c r="B84" s="3" t="s">
        <v>10184</v>
      </c>
      <c r="C84" s="3" t="s">
        <v>10185</v>
      </c>
      <c r="D84" s="3" t="s">
        <v>10186</v>
      </c>
      <c r="F84" s="5" t="str">
        <f>IFERROR(__xludf.DUMMYFUNCTION("GOOGLETRANSLATE(A84, ""en"", ""hi"")"),"83")</f>
        <v>83</v>
      </c>
      <c r="G84" s="5" t="str">
        <f>IFERROR(__xludf.DUMMYFUNCTION("GOOGLETRANSLATE(B84, ""en"", ""hi"")"),"एक मलखंभ कलाकार एक ऐसी प्रतियोगिता की तैयारी कर रहा है जिसमें निर्णायक मानदंड तकनीक, संतुलन और कठिनाई हैं। उन्हें अपने अभ्यास सत्रों में किस चीज़ को प्राथमिकता देनी चाहिए?")</f>
        <v>एक मलखंभ कलाकार एक ऐसी प्रतियोगिता की तैयारी कर रहा है जिसमें निर्णायक मानदंड तकनीक, संतुलन और कठिनाई हैं। उन्हें अपने अभ्यास सत्रों में किस चीज़ को प्राथमिकता देनी चाहिए?</v>
      </c>
      <c r="H84" s="5" t="str">
        <f>IFERROR(__xludf.DUMMYFUNCTION("GOOGLETRANSLATE(C84, ""en"", ""hi"")"),"A) संतुलन और तकनीक, B) कठिनाई और रचनात्मकता, C) प्रस्तुति और तकनीक, D) तकनीक और कठिनाई")</f>
        <v>A) संतुलन और तकनीक, B) कठिनाई और रचनात्मकता, C) प्रस्तुति और तकनीक, D) तकनीक और कठिनाई</v>
      </c>
      <c r="I84" s="5" t="str">
        <f>IFERROR(__xludf.DUMMYFUNCTION("GOOGLETRANSLATE(D84, ""en"", ""hi"")"),"D) तकनीक और कठिनाई")</f>
        <v>D) तकनीक और कठिनाई</v>
      </c>
    </row>
    <row r="85" ht="22.5" customHeight="1">
      <c r="A85" s="2">
        <v>84.0</v>
      </c>
      <c r="B85" s="3" t="s">
        <v>10187</v>
      </c>
      <c r="C85" s="3" t="s">
        <v>10188</v>
      </c>
      <c r="D85" s="3" t="s">
        <v>10189</v>
      </c>
      <c r="F85" s="5" t="str">
        <f>IFERROR(__xludf.DUMMYFUNCTION("GOOGLETRANSLATE(A85, ""en"", ""hi"")"),"84")</f>
        <v>84</v>
      </c>
      <c r="G85" s="5" t="str">
        <f>IFERROR(__xludf.DUMMYFUNCTION("GOOGLETRANSLATE(B85, ""en"", ""hi"")"),"यदि मलखम्ब कलाकार का मूल्यांकन उनकी विभिन्न मुद्राओं के बीच सहजता से परिवर्तन करने की क्षमता के आधार पर किया जाता है, तो वे इस क्षेत्र में अपने प्रदर्शन को कैसे बेहतर बना सकते हैं?")</f>
        <v>यदि मलखम्ब कलाकार का मूल्यांकन उनकी विभिन्न मुद्राओं के बीच सहजता से परिवर्तन करने की क्षमता के आधार पर किया जाता है, तो वे इस क्षेत्र में अपने प्रदर्शन को कैसे बेहतर बना सकते हैं?</v>
      </c>
      <c r="H85" s="5" t="str">
        <f>IFERROR(__xludf.DUMMYFUNCTION("GOOGLETRANSLATE(C85, ""en"", ""hi"")"),"A) दिनचर्या का अधिक बार अभ्यास करें, B) समग्र प्रदर्शन समय पर ध्यान केंद्रित करें, C) आसनों की संख्या बढ़ाएँ, D) आसनों के बीच संक्रमण पर ध्यान दें")</f>
        <v>A) दिनचर्या का अधिक बार अभ्यास करें, B) समग्र प्रदर्शन समय पर ध्यान केंद्रित करें, C) आसनों की संख्या बढ़ाएँ, D) आसनों के बीच संक्रमण पर ध्यान दें</v>
      </c>
      <c r="I85" s="5" t="str">
        <f>IFERROR(__xludf.DUMMYFUNCTION("GOOGLETRANSLATE(D85, ""en"", ""hi"")"),"D) पोज़ के बीच संक्रमण पर ध्यान दें")</f>
        <v>D) पोज़ के बीच संक्रमण पर ध्यान दें</v>
      </c>
    </row>
    <row r="86" ht="22.5" customHeight="1">
      <c r="A86" s="2">
        <v>85.0</v>
      </c>
      <c r="B86" s="3" t="s">
        <v>10190</v>
      </c>
      <c r="C86" s="3" t="s">
        <v>10191</v>
      </c>
      <c r="D86" s="3" t="s">
        <v>10192</v>
      </c>
      <c r="F86" s="5" t="str">
        <f>IFERROR(__xludf.DUMMYFUNCTION("GOOGLETRANSLATE(A86, ""en"", ""hi"")"),"85")</f>
        <v>85</v>
      </c>
      <c r="G86" s="5" t="str">
        <f>IFERROR(__xludf.DUMMYFUNCTION("GOOGLETRANSLATE(B86, ""en"", ""hi"")"),"मलखम्ब प्रतियोगिता के दौरान, यदि किसी कलाकार को अपनी प्रस्तुति में सुधार के बारे में फीडबैक मिलता है, तो उन्हें किस विशिष्ट पहलू पर काम करना चाहिए?")</f>
        <v>मलखम्ब प्रतियोगिता के दौरान, यदि किसी कलाकार को अपनी प्रस्तुति में सुधार के बारे में फीडबैक मिलता है, तो उन्हें किस विशिष्ट पहलू पर काम करना चाहिए?</v>
      </c>
      <c r="H86" s="5" t="str">
        <f>IFERROR(__xludf.DUMMYFUNCTION("GOOGLETRANSLATE(C86, ""en"", ""hi"")"),"ए) पोज़ की सटीकता, बी) दर्शकों की सहभागिता, सी) नियमित जटिलता, डी) पोज़ की अवधि")</f>
        <v>ए) पोज़ की सटीकता, बी) दर्शकों की सहभागिता, सी) नियमित जटिलता, डी) पोज़ की अवधि</v>
      </c>
      <c r="I86" s="5" t="str">
        <f>IFERROR(__xludf.DUMMYFUNCTION("GOOGLETRANSLATE(D86, ""en"", ""hi"")"),"बी) दर्शकों की बातचीत")</f>
        <v>बी) दर्शकों की बातचीत</v>
      </c>
    </row>
    <row r="87" ht="22.5" customHeight="1">
      <c r="A87" s="2">
        <v>86.0</v>
      </c>
      <c r="B87" s="3" t="s">
        <v>10193</v>
      </c>
      <c r="C87" s="3" t="s">
        <v>10194</v>
      </c>
      <c r="D87" s="3" t="s">
        <v>10195</v>
      </c>
      <c r="F87" s="5" t="str">
        <f>IFERROR(__xludf.DUMMYFUNCTION("GOOGLETRANSLATE(A87, ""en"", ""hi"")"),"86")</f>
        <v>86</v>
      </c>
      <c r="G87" s="5" t="str">
        <f>IFERROR(__xludf.DUMMYFUNCTION("GOOGLETRANSLATE(B87, ""en"", ""hi"")"),"मलखम्ब प्रदर्शन में यदि कोई कलाकार उत्कृष्ट कठिनाई लेकिन खराब तकनीक का प्रदर्शन करता है, तो इससे उसके समग्र प्रभाव पर क्या प्रभाव पड़ेगा?")</f>
        <v>मलखम्ब प्रदर्शन में यदि कोई कलाकार उत्कृष्ट कठिनाई लेकिन खराब तकनीक का प्रदर्शन करता है, तो इससे उसके समग्र प्रभाव पर क्या प्रभाव पड़ेगा?</v>
      </c>
      <c r="H87" s="5" t="str">
        <f>IFERROR(__xludf.DUMMYFUNCTION("GOOGLETRANSLATE(C87, ""en"", ""hi"")"),"A) इसका कोई प्रभाव नहीं पड़ेगा, B) यह उनके समग्र प्रभाव को कम कर सकता है, C) यह उनके समग्र प्रभाव को बढ़ाएगा, D) यह केवल उनके कठिनाई स्कोर को प्रभावित करेगा")</f>
        <v>A) इसका कोई प्रभाव नहीं पड़ेगा, B) यह उनके समग्र प्रभाव को कम कर सकता है, C) यह उनके समग्र प्रभाव को बढ़ाएगा, D) यह केवल उनके कठिनाई स्कोर को प्रभावित करेगा</v>
      </c>
      <c r="I87" s="5" t="str">
        <f>IFERROR(__xludf.DUMMYFUNCTION("GOOGLETRANSLATE(D87, ""en"", ""hi"")"),"B) इससे उनकी समग्र धारणा ख़राब हो सकती है")</f>
        <v>B) इससे उनकी समग्र धारणा ख़राब हो सकती है</v>
      </c>
    </row>
    <row r="88" ht="22.5" customHeight="1">
      <c r="A88" s="2">
        <v>87.0</v>
      </c>
      <c r="B88" s="3" t="s">
        <v>10196</v>
      </c>
      <c r="C88" s="3" t="s">
        <v>10197</v>
      </c>
      <c r="D88" s="3" t="s">
        <v>10198</v>
      </c>
      <c r="F88" s="5" t="str">
        <f>IFERROR(__xludf.DUMMYFUNCTION("GOOGLETRANSLATE(A88, ""en"", ""hi"")"),"87")</f>
        <v>87</v>
      </c>
      <c r="G88" s="5" t="str">
        <f>IFERROR(__xludf.DUMMYFUNCTION("GOOGLETRANSLATE(B88, ""en"", ""hi"")"),"मलखंभ कलाकार को एक ऐसा अभ्यास करने के लिए कहा जाता है जिसमें संतुलन और तकनीक पर ज़ोर दिया जाता है। तैयारी के दौरान उनका मुख्य ध्यान किस पर होना चाहिए?")</f>
        <v>मलखंभ कलाकार को एक ऐसा अभ्यास करने के लिए कहा जाता है जिसमें संतुलन और तकनीक पर ज़ोर दिया जाता है। तैयारी के दौरान उनका मुख्य ध्यान किस पर होना चाहिए?</v>
      </c>
      <c r="H88" s="5" t="str">
        <f>IFERROR(__xludf.DUMMYFUNCTION("GOOGLETRANSLATE(C88, ""en"", ""hi"")"),"A) कठिनाई, B) संतुलन, C) प्रस्तुति, D) दिनचर्या की लंबाई")</f>
        <v>A) कठिनाई, B) संतुलन, C) प्रस्तुति, D) दिनचर्या की लंबाई</v>
      </c>
      <c r="I88" s="5" t="str">
        <f>IFERROR(__xludf.DUMMYFUNCTION("GOOGLETRANSLATE(D88, ""en"", ""hi"")"),"बी) संतुलन")</f>
        <v>बी) संतुलन</v>
      </c>
    </row>
    <row r="89" ht="22.5" customHeight="1">
      <c r="A89" s="2">
        <v>88.0</v>
      </c>
      <c r="B89" s="3" t="s">
        <v>10199</v>
      </c>
      <c r="C89" s="3" t="s">
        <v>10200</v>
      </c>
      <c r="D89" s="3" t="s">
        <v>10201</v>
      </c>
      <c r="F89" s="5" t="str">
        <f>IFERROR(__xludf.DUMMYFUNCTION("GOOGLETRANSLATE(A89, ""en"", ""hi"")"),"88")</f>
        <v>88</v>
      </c>
      <c r="G89" s="5" t="str">
        <f>IFERROR(__xludf.DUMMYFUNCTION("GOOGLETRANSLATE(B89, ""en"", ""hi"")"),"मलखम्ब स्पर्धा के दौरान यदि कोई कलाकार आवश्यक संख्या में आसन करने में असफल रहता है, तो इससे उसके अंतिम स्कोर पर क्या प्रभाव पड़ेगा?")</f>
        <v>मलखम्ब स्पर्धा के दौरान यदि कोई कलाकार आवश्यक संख्या में आसन करने में असफल रहता है, तो इससे उसके अंतिम स्कोर पर क्या प्रभाव पड़ेगा?</v>
      </c>
      <c r="H89" s="5" t="str">
        <f>IFERROR(__xludf.DUMMYFUNCTION("GOOGLETRANSLATE(C89, ""en"", ""hi"")"),"A) उनके अंक प्रभावित नहीं होंगे, B) उनके अंक कम हो सकते हैं, C) उन्हें अयोग्य घोषित कर दिया जाएगा, D) उनके अंक बढ़ा दिए जाएंगे")</f>
        <v>A) उनके अंक प्रभावित नहीं होंगे, B) उनके अंक कम हो सकते हैं, C) उन्हें अयोग्य घोषित कर दिया जाएगा, D) उनके अंक बढ़ा दिए जाएंगे</v>
      </c>
      <c r="I89" s="5" t="str">
        <f>IFERROR(__xludf.DUMMYFUNCTION("GOOGLETRANSLATE(D89, ""en"", ""hi"")"),"B) उनका स्कोर कम हो सकता है")</f>
        <v>B) उनका स्कोर कम हो सकता है</v>
      </c>
    </row>
    <row r="90" ht="22.5" customHeight="1">
      <c r="A90" s="2">
        <v>89.0</v>
      </c>
      <c r="B90" s="3" t="s">
        <v>10202</v>
      </c>
      <c r="C90" s="3" t="s">
        <v>10203</v>
      </c>
      <c r="D90" s="3" t="s">
        <v>10204</v>
      </c>
      <c r="F90" s="5" t="str">
        <f>IFERROR(__xludf.DUMMYFUNCTION("GOOGLETRANSLATE(A90, ""en"", ""hi"")"),"89")</f>
        <v>89</v>
      </c>
      <c r="G90" s="5" t="str">
        <f>IFERROR(__xludf.DUMMYFUNCTION("GOOGLETRANSLATE(B90, ""en"", ""hi"")"),"यदि किसी मलखम्ब कलाकार को रचनात्मकता के लिए कम अंक प्राप्त होते हैं, तो वे भविष्य के प्रदर्शनों में इस पहलू को बढ़ाने के लिए क्या कर सकते हैं?")</f>
        <v>यदि किसी मलखम्ब कलाकार को रचनात्मकता के लिए कम अंक प्राप्त होते हैं, तो वे भविष्य के प्रदर्शनों में इस पहलू को बढ़ाने के लिए क्या कर सकते हैं?</v>
      </c>
      <c r="H90" s="5" t="str">
        <f>IFERROR(__xludf.DUMMYFUNCTION("GOOGLETRANSLATE(C90, ""en"", ""hi"")"),"A) अधिक आसन का अभ्यास करें, B) अनोखे और मूल आसन पर काम करें, C) तकनीक में सुधार करें, D) प्रदर्शन की गति बढ़ाएँ")</f>
        <v>A) अधिक आसन का अभ्यास करें, B) अनोखे और मूल आसन पर काम करें, C) तकनीक में सुधार करें, D) प्रदर्शन की गति बढ़ाएँ</v>
      </c>
      <c r="I90" s="5" t="str">
        <f>IFERROR(__xludf.DUMMYFUNCTION("GOOGLETRANSLATE(D90, ""en"", ""hi"")"),"बी) अद्वितीय और मूल पोज़ पर काम करें")</f>
        <v>बी) अद्वितीय और मूल पोज़ पर काम करें</v>
      </c>
    </row>
    <row r="91" ht="22.5" customHeight="1">
      <c r="A91" s="2">
        <v>90.0</v>
      </c>
      <c r="B91" s="3" t="s">
        <v>10205</v>
      </c>
      <c r="C91" s="3" t="s">
        <v>10206</v>
      </c>
      <c r="D91" s="3" t="s">
        <v>10207</v>
      </c>
      <c r="F91" s="5" t="str">
        <f>IFERROR(__xludf.DUMMYFUNCTION("GOOGLETRANSLATE(A91, ""en"", ""hi"")"),"90")</f>
        <v>90</v>
      </c>
      <c r="G91" s="5" t="str">
        <f>IFERROR(__xludf.DUMMYFUNCTION("GOOGLETRANSLATE(B91, ""en"", ""hi"")"),"मलखंभ के दौरान, कलाकार का मूल्यांकन कठिनाई और निष्पादन, दोनों के आधार पर किया जाता है। अगर वे कठिनाई में तो बेहतर हैं, लेकिन निष्पादन में कठिनाई महसूस करते हैं, तो उन्हें किस चीज़ में सुधार करने पर ध्यान केंद्रित करना चाहिए?")</f>
        <v>मलखंभ के दौरान, कलाकार का मूल्यांकन कठिनाई और निष्पादन, दोनों के आधार पर किया जाता है। अगर वे कठिनाई में तो बेहतर हैं, लेकिन निष्पादन में कठिनाई महसूस करते हैं, तो उन्हें किस चीज़ में सुधार करने पर ध्यान केंद्रित करना चाहिए?</v>
      </c>
      <c r="H91" s="5" t="str">
        <f>IFERROR(__xludf.DUMMYFUNCTION("GOOGLETRANSLATE(C91, ""en"", ""hi"")"),"A) कठिनाई, B) निष्पादन, C) प्रस्तुति, D) समय")</f>
        <v>A) कठिनाई, B) निष्पादन, C) प्रस्तुति, D) समय</v>
      </c>
      <c r="I91" s="5" t="str">
        <f>IFERROR(__xludf.DUMMYFUNCTION("GOOGLETRANSLATE(D91, ""en"", ""hi"")"),"बी) निष्पादन")</f>
        <v>बी) निष्पादन</v>
      </c>
    </row>
    <row r="92" ht="22.5" customHeight="1">
      <c r="A92" s="2">
        <v>91.0</v>
      </c>
      <c r="B92" s="3" t="s">
        <v>10208</v>
      </c>
      <c r="C92" s="3" t="s">
        <v>10209</v>
      </c>
      <c r="D92" s="3" t="s">
        <v>10210</v>
      </c>
      <c r="F92" s="5" t="str">
        <f>IFERROR(__xludf.DUMMYFUNCTION("GOOGLETRANSLATE(A92, ""en"", ""hi"")"),"91")</f>
        <v>91</v>
      </c>
      <c r="G92" s="5" t="str">
        <f>IFERROR(__xludf.DUMMYFUNCTION("GOOGLETRANSLATE(B92, ""en"", ""hi"")"),"मलखंभ कलाकारों की उनके कार्यक्रम के दौरान खराब प्रस्तुति के लिए आलोचना की जाती है। इस समस्या के समाधान के लिए उन्हें क्या करना चाहिए?")</f>
        <v>मलखंभ कलाकारों की उनके कार्यक्रम के दौरान खराब प्रस्तुति के लिए आलोचना की जाती है। इस समस्या के समाधान के लिए उन्हें क्या करना चाहिए?</v>
      </c>
      <c r="H92" s="5" t="str">
        <f>IFERROR(__xludf.DUMMYFUNCTION("GOOGLETRANSLATE(C92, ""en"", ""hi"")"),"ए) पोज़ की संख्या बढ़ाएँ, बी) दर्शकों की सहभागिता और अभिव्यक्ति बढ़ाएँ, सी) अधिक जटिल पोज़ का अभ्यास करें, डी) नियमित लंबाई कम करें")</f>
        <v>ए) पोज़ की संख्या बढ़ाएँ, बी) दर्शकों की सहभागिता और अभिव्यक्ति बढ़ाएँ, सी) अधिक जटिल पोज़ का अभ्यास करें, डी) नियमित लंबाई कम करें</v>
      </c>
      <c r="I92" s="5" t="str">
        <f>IFERROR(__xludf.DUMMYFUNCTION("GOOGLETRANSLATE(D92, ""en"", ""hi"")"),"बी) अपने दर्शकों की सहभागिता और अभिव्यक्ति को बढ़ाना")</f>
        <v>बी) अपने दर्शकों की सहभागिता और अभिव्यक्ति को बढ़ाना</v>
      </c>
    </row>
    <row r="93" ht="22.5" customHeight="1">
      <c r="A93" s="2">
        <v>92.0</v>
      </c>
      <c r="B93" s="3" t="s">
        <v>10211</v>
      </c>
      <c r="C93" s="3" t="s">
        <v>10212</v>
      </c>
      <c r="D93" s="3" t="s">
        <v>10213</v>
      </c>
      <c r="F93" s="5" t="str">
        <f>IFERROR(__xludf.DUMMYFUNCTION("GOOGLETRANSLATE(A93, ""en"", ""hi"")"),"92")</f>
        <v>92</v>
      </c>
      <c r="G93" s="5" t="str">
        <f>IFERROR(__xludf.DUMMYFUNCTION("GOOGLETRANSLATE(B93, ""en"", ""hi"")"),"यदि किसी मलखम्ब कलाकार को उसके संतुलन के बारे में फीडबैक दिया जाए, तो उसे अपने अभ्यास के किस पहलू पर ध्यान केंद्रित करना चाहिए?")</f>
        <v>यदि किसी मलखम्ब कलाकार को उसके संतुलन के बारे में फीडबैक दिया जाए, तो उसे अपने अभ्यास के किस पहलू पर ध्यान केंद्रित करना चाहिए?</v>
      </c>
      <c r="H93" s="5" t="str">
        <f>IFERROR(__xludf.DUMMYFUNCTION("GOOGLETRANSLATE(C93, ""en"", ""hi"")"),"ए) मुद्रा की जटिलता, बी) मुद्रा की अवधि, सी) मुद्रा के दौरान स्थिरता, डी) नियमित परिवर्तन")</f>
        <v>ए) मुद्रा की जटिलता, बी) मुद्रा की अवधि, सी) मुद्रा के दौरान स्थिरता, डी) नियमित परिवर्तन</v>
      </c>
      <c r="I93" s="5" t="str">
        <f>IFERROR(__xludf.DUMMYFUNCTION("GOOGLETRANSLATE(D93, ""en"", ""hi"")"),"C) आसन के दौरान स्थिरता")</f>
        <v>C) आसन के दौरान स्थिरता</v>
      </c>
    </row>
    <row r="94" ht="22.5" customHeight="1">
      <c r="A94" s="2">
        <v>93.0</v>
      </c>
      <c r="B94" s="3" t="s">
        <v>10214</v>
      </c>
      <c r="C94" s="3" t="s">
        <v>10215</v>
      </c>
      <c r="D94" s="3" t="s">
        <v>10216</v>
      </c>
      <c r="F94" s="5" t="str">
        <f>IFERROR(__xludf.DUMMYFUNCTION("GOOGLETRANSLATE(A94, ""en"", ""hi"")"),"93")</f>
        <v>93</v>
      </c>
      <c r="G94" s="5" t="str">
        <f>IFERROR(__xludf.DUMMYFUNCTION("GOOGLETRANSLATE(B94, ""en"", ""hi"")"),"मलखम्ब प्रतियोगिता में यदि कोई कलाकार किसी विशिष्ट मुद्रा को करने में असफल रहता है, लेकिन अन्य मुद्राओं में अच्छा प्रदर्शन करता है, तो इससे उसके कुल स्कोर पर क्या प्रभाव पड़ेगा?")</f>
        <v>मलखम्ब प्रतियोगिता में यदि कोई कलाकार किसी विशिष्ट मुद्रा को करने में असफल रहता है, लेकिन अन्य मुद्राओं में अच्छा प्रदर्शन करता है, तो इससे उसके कुल स्कोर पर क्या प्रभाव पड़ेगा?</v>
      </c>
      <c r="H94" s="5" t="str">
        <f>IFERROR(__xludf.DUMMYFUNCTION("GOOGLETRANSLATE(C94, ""en"", ""hi"")"),"A) उनके स्कोर पर कोई प्रभाव नहीं पड़ेगा, B) उनके स्कोर पर केवल थोड़ा प्रभाव पड़ेगा, C) उनके स्कोर पर महत्वपूर्ण प्रभाव पड़ेगा, D) उनके स्कोर में वृद्धि होगी")</f>
        <v>A) उनके स्कोर पर कोई प्रभाव नहीं पड़ेगा, B) उनके स्कोर पर केवल थोड़ा प्रभाव पड़ेगा, C) उनके स्कोर पर महत्वपूर्ण प्रभाव पड़ेगा, D) उनके स्कोर में वृद्धि होगी</v>
      </c>
      <c r="I94" s="5" t="str">
        <f>IFERROR(__xludf.DUMMYFUNCTION("GOOGLETRANSLATE(D94, ""en"", ""hi"")"),"C) उनके स्कोर पर महत्वपूर्ण प्रभाव पड़ेगा")</f>
        <v>C) उनके स्कोर पर महत्वपूर्ण प्रभाव पड़ेगा</v>
      </c>
    </row>
    <row r="95" ht="22.5" customHeight="1">
      <c r="A95" s="2">
        <v>94.0</v>
      </c>
      <c r="B95" s="3" t="s">
        <v>10217</v>
      </c>
      <c r="C95" s="3" t="s">
        <v>10218</v>
      </c>
      <c r="D95" s="3" t="s">
        <v>10219</v>
      </c>
      <c r="F95" s="5" t="str">
        <f>IFERROR(__xludf.DUMMYFUNCTION("GOOGLETRANSLATE(A95, ""en"", ""hi"")"),"94")</f>
        <v>94</v>
      </c>
      <c r="G95" s="5" t="str">
        <f>IFERROR(__xludf.DUMMYFUNCTION("GOOGLETRANSLATE(B95, ""en"", ""hi"")"),"मलखंभ कार्यक्रम के दौरान, कलाकार की तकनीकी कुशलता की तो प्रशंसा की जाती है, लेकिन रचनात्मकता के लिए उसे कम अंक मिलते हैं। अगले प्रदर्शन में इस समस्या से निपटने के लिए उन्हें क्या करना चाहिए?")</f>
        <v>मलखंभ कार्यक्रम के दौरान, कलाकार की तकनीकी कुशलता की तो प्रशंसा की जाती है, लेकिन रचनात्मकता के लिए उसे कम अंक मिलते हैं। अगले प्रदर्शन में इस समस्या से निपटने के लिए उन्हें क्या करना चाहिए?</v>
      </c>
      <c r="H95" s="5" t="str">
        <f>IFERROR(__xludf.DUMMYFUNCTION("GOOGLETRANSLATE(C95, ""en"", ""hi"")"),"A) तकनीकी कौशल को निखारने पर ध्यान केंद्रित करें, B) अपनी दिनचर्या में अधिक अनूठे तत्वों को शामिल करें, C) पोज़ की संख्या बढ़ाएँ, D) अपनी प्रस्तुति में सुधार करें")</f>
        <v>A) तकनीकी कौशल को निखारने पर ध्यान केंद्रित करें, B) अपनी दिनचर्या में अधिक अनूठे तत्वों को शामिल करें, C) पोज़ की संख्या बढ़ाएँ, D) अपनी प्रस्तुति में सुधार करें</v>
      </c>
      <c r="I95" s="5" t="str">
        <f>IFERROR(__xludf.DUMMYFUNCTION("GOOGLETRANSLATE(D95, ""en"", ""hi"")"),"बी) अपनी दिनचर्या में अधिक अनोखे तत्वों को शामिल करें")</f>
        <v>बी) अपनी दिनचर्या में अधिक अनोखे तत्वों को शामिल करें</v>
      </c>
    </row>
    <row r="96" ht="22.5" customHeight="1">
      <c r="A96" s="2">
        <v>95.0</v>
      </c>
      <c r="B96" s="3" t="s">
        <v>10220</v>
      </c>
      <c r="C96" s="3" t="s">
        <v>10221</v>
      </c>
      <c r="D96" s="3" t="s">
        <v>10222</v>
      </c>
      <c r="F96" s="5" t="str">
        <f>IFERROR(__xludf.DUMMYFUNCTION("GOOGLETRANSLATE(A96, ""en"", ""hi"")"),"95")</f>
        <v>95</v>
      </c>
      <c r="G96" s="5" t="str">
        <f>IFERROR(__xludf.DUMMYFUNCTION("GOOGLETRANSLATE(B96, ""en"", ""hi"")"),"मलखम्ब कलाकार दर्शकों के साथ बेहतरीन संवाद के लिए जाने जाते हैं, लेकिन उन्हें अपने तकनीकी प्रदर्शन में सुधार की आवश्यकता है। अभ्यास में उनका प्राथमिक ध्यान किस पर होना चाहिए?")</f>
        <v>मलखम्ब कलाकार दर्शकों के साथ बेहतरीन संवाद के लिए जाने जाते हैं, लेकिन उन्हें अपने तकनीकी प्रदर्शन में सुधार की आवश्यकता है। अभ्यास में उनका प्राथमिक ध्यान किस पर होना चाहिए?</v>
      </c>
      <c r="H96" s="5" t="str">
        <f>IFERROR(__xludf.DUMMYFUNCTION("GOOGLETRANSLATE(C96, ""en"", ""hi"")"),"ए) दर्शकों की सहभागिता, बी) तकनीकी निष्पादन, सी) नियमित जटिलता, डी) पोज़ की अवधि")</f>
        <v>ए) दर्शकों की सहभागिता, बी) तकनीकी निष्पादन, सी) नियमित जटिलता, डी) पोज़ की अवधि</v>
      </c>
      <c r="I96" s="5" t="str">
        <f>IFERROR(__xludf.DUMMYFUNCTION("GOOGLETRANSLATE(D96, ""en"", ""hi"")"),"बी) तकनीकी निष्पादन")</f>
        <v>बी) तकनीकी निष्पादन</v>
      </c>
    </row>
    <row r="97" ht="22.5" customHeight="1">
      <c r="A97" s="2">
        <v>96.0</v>
      </c>
      <c r="B97" s="3" t="s">
        <v>10223</v>
      </c>
      <c r="C97" s="3" t="s">
        <v>10224</v>
      </c>
      <c r="D97" s="3" t="s">
        <v>10225</v>
      </c>
      <c r="F97" s="5" t="str">
        <f>IFERROR(__xludf.DUMMYFUNCTION("GOOGLETRANSLATE(A97, ""en"", ""hi"")"),"96")</f>
        <v>96</v>
      </c>
      <c r="G97" s="5" t="str">
        <f>IFERROR(__xludf.DUMMYFUNCTION("GOOGLETRANSLATE(B97, ""en"", ""hi"")"),"यदि कोई मलखंभ कलाकार किसी ऐसी प्रतियोगिता की तैयारी कर रहा है, जहां निर्णायक निष्पादन और कठिनाई पर ध्यान केंद्रित कर रहे हैं, तो अभ्यास सत्रों के दौरान उनका मुख्य ध्यान किस पर होना चाहिए?")</f>
        <v>यदि कोई मलखंभ कलाकार किसी ऐसी प्रतियोगिता की तैयारी कर रहा है, जहां निर्णायक निष्पादन और कठिनाई पर ध्यान केंद्रित कर रहे हैं, तो अभ्यास सत्रों के दौरान उनका मुख्य ध्यान किस पर होना चाहिए?</v>
      </c>
      <c r="H97" s="5" t="str">
        <f>IFERROR(__xludf.DUMMYFUNCTION("GOOGLETRANSLATE(C97, ""en"", ""hi"")"),"ए) तकनीक और प्रस्तुति, बी) निष्पादन और कठिनाई, सी) रचनात्मकता और संतुलन, डी) दिनचर्या की लंबाई और परिवर्तन")</f>
        <v>ए) तकनीक और प्रस्तुति, बी) निष्पादन और कठिनाई, सी) रचनात्मकता और संतुलन, डी) दिनचर्या की लंबाई और परिवर्तन</v>
      </c>
      <c r="I97" s="5" t="str">
        <f>IFERROR(__xludf.DUMMYFUNCTION("GOOGLETRANSLATE(D97, ""en"", ""hi"")"),"बी) निष्पादन और कठिनाई")</f>
        <v>बी) निष्पादन और कठिनाई</v>
      </c>
    </row>
    <row r="98" ht="22.5" customHeight="1">
      <c r="A98" s="2">
        <v>97.0</v>
      </c>
      <c r="B98" s="3" t="s">
        <v>10226</v>
      </c>
      <c r="C98" s="3" t="s">
        <v>10227</v>
      </c>
      <c r="D98" s="3" t="s">
        <v>10228</v>
      </c>
      <c r="F98" s="5" t="str">
        <f>IFERROR(__xludf.DUMMYFUNCTION("GOOGLETRANSLATE(A98, ""en"", ""hi"")"),"97")</f>
        <v>97</v>
      </c>
      <c r="G98" s="5" t="str">
        <f>IFERROR(__xludf.DUMMYFUNCTION("GOOGLETRANSLATE(B98, ""en"", ""hi"")"),"मलखम्ब प्रतियोगिता में यदि किसी कलाकार से कहा जाए कि उन्हें अपनी दिनचर्या में सुधार करने की आवश्यकता है, तो उन्हें अपनी दिनचर्या के किस विशिष्ट पहलू का अधिक अभ्यास करना चाहिए?")</f>
        <v>मलखम्ब प्रतियोगिता में यदि किसी कलाकार से कहा जाए कि उन्हें अपनी दिनचर्या में सुधार करने की आवश्यकता है, तो उन्हें अपनी दिनचर्या के किस विशिष्ट पहलू का अधिक अभ्यास करना चाहिए?</v>
      </c>
      <c r="H98" s="5" t="str">
        <f>IFERROR(__xludf.DUMMYFUNCTION("GOOGLETRANSLATE(C98, ""en"", ""hi"")"),"ए) पोज़ की सटीकता, बी) पोज़ के बीच संक्रमण की सहजता, सी) पोज़ की अवधि, डी) दर्शकों की सहभागिता")</f>
        <v>ए) पोज़ की सटीकता, बी) पोज़ के बीच संक्रमण की सहजता, सी) पोज़ की अवधि, डी) दर्शकों की सहभागिता</v>
      </c>
      <c r="I98" s="5" t="str">
        <f>IFERROR(__xludf.DUMMYFUNCTION("GOOGLETRANSLATE(D98, ""en"", ""hi"")"),"बी) पोज़ के बीच संक्रमण की सहजता")</f>
        <v>बी) पोज़ के बीच संक्रमण की सहजता</v>
      </c>
    </row>
    <row r="99" ht="22.5" customHeight="1">
      <c r="A99" s="2">
        <v>98.0</v>
      </c>
      <c r="B99" s="3" t="s">
        <v>10229</v>
      </c>
      <c r="C99" s="3" t="s">
        <v>10230</v>
      </c>
      <c r="D99" s="3" t="s">
        <v>10231</v>
      </c>
      <c r="F99" s="5" t="str">
        <f>IFERROR(__xludf.DUMMYFUNCTION("GOOGLETRANSLATE(A99, ""en"", ""hi"")"),"98")</f>
        <v>98</v>
      </c>
      <c r="G99" s="5" t="str">
        <f>IFERROR(__xludf.DUMMYFUNCTION("GOOGLETRANSLATE(B99, ""en"", ""hi"")"),"मलखम्ब प्रदर्शन के दौरान, यदि किसी कलाकार को उसकी समग्र प्रस्तुति पर फीडबैक मिलता है, तो इस फीडबैक में क्या शामिल हो सकता है?")</f>
        <v>मलखम्ब प्रदर्शन के दौरान, यदि किसी कलाकार को उसकी समग्र प्रस्तुति पर फीडबैक मिलता है, तो इस फीडबैक में क्या शामिल हो सकता है?</v>
      </c>
      <c r="H99" s="5" t="str">
        <f>IFERROR(__xludf.DUMMYFUNCTION("GOOGLETRANSLATE(C99, ""en"", ""hi"")"),"ए) पोज़ की सटीकता, बी) दर्शकों की सहभागिता और अभिव्यक्ति, सी) रूटीन की लंबाई, डी) पोज़ की जटिलता")</f>
        <v>ए) पोज़ की सटीकता, बी) दर्शकों की सहभागिता और अभिव्यक्ति, सी) रूटीन की लंबाई, डी) पोज़ की जटिलता</v>
      </c>
      <c r="I99" s="5" t="str">
        <f>IFERROR(__xludf.DUMMYFUNCTION("GOOGLETRANSLATE(D99, ""en"", ""hi"")"),"बी) दर्शकों की सहभागिता और अभिव्यक्ति")</f>
        <v>बी) दर्शकों की सहभागिता और अभिव्यक्ति</v>
      </c>
    </row>
    <row r="100" ht="22.5" customHeight="1">
      <c r="A100" s="2">
        <v>99.0</v>
      </c>
      <c r="B100" s="3" t="s">
        <v>10232</v>
      </c>
      <c r="C100" s="3" t="s">
        <v>10233</v>
      </c>
      <c r="D100" s="3" t="s">
        <v>10234</v>
      </c>
      <c r="F100" s="5" t="str">
        <f>IFERROR(__xludf.DUMMYFUNCTION("GOOGLETRANSLATE(A100, ""en"", ""hi"")"),"99")</f>
        <v>99</v>
      </c>
      <c r="G100" s="5" t="str">
        <f>IFERROR(__xludf.DUMMYFUNCTION("GOOGLETRANSLATE(B100, ""en"", ""hi"")"),"एक मलखंभ कलाकार एक ऐसी प्रतियोगिता में भाग ले रहा है जिसमें रचनात्मकता पर ज़ोर दिया जाता है। इस क्षेत्र में अलग दिखने के लिए उन्हें किस पर ध्यान केंद्रित करना चाहिए?")</f>
        <v>एक मलखंभ कलाकार एक ऐसी प्रतियोगिता में भाग ले रहा है जिसमें रचनात्मकता पर ज़ोर दिया जाता है। इस क्षेत्र में अलग दिखने के लिए उन्हें किस पर ध्यान केंद्रित करना चाहिए?</v>
      </c>
      <c r="H100" s="5" t="str">
        <f>IFERROR(__xludf.DUMMYFUNCTION("GOOGLETRANSLATE(C100, ""en"", ""hi"")"),"A) अधिक पोज़ का अभ्यास करें, B) अद्वितीय और अभिनव दिनचर्या विकसित करें, C) तकनीकी कौशल में सुधार करें, D) अपनी प्रस्तुति कौशल को बढ़ाएँ")</f>
        <v>A) अधिक पोज़ का अभ्यास करें, B) अद्वितीय और अभिनव दिनचर्या विकसित करें, C) तकनीकी कौशल में सुधार करें, D) अपनी प्रस्तुति कौशल को बढ़ाएँ</v>
      </c>
      <c r="I100" s="5" t="str">
        <f>IFERROR(__xludf.DUMMYFUNCTION("GOOGLETRANSLATE(D100, ""en"", ""hi"")"),"बी) अद्वितीय और अभिनव दिनचर्या विकसित करें")</f>
        <v>बी) अद्वितीय और अभिनव दिनचर्या विकसित करें</v>
      </c>
    </row>
    <row r="101" ht="22.5" customHeight="1">
      <c r="A101" s="2">
        <v>100.0</v>
      </c>
      <c r="B101" s="3" t="s">
        <v>10235</v>
      </c>
      <c r="C101" s="3" t="s">
        <v>10236</v>
      </c>
      <c r="D101" s="3" t="s">
        <v>10237</v>
      </c>
      <c r="F101" s="5" t="str">
        <f>IFERROR(__xludf.DUMMYFUNCTION("GOOGLETRANSLATE(A101, ""en"", ""hi"")"),"100")</f>
        <v>100</v>
      </c>
      <c r="G101" s="5" t="str">
        <f>IFERROR(__xludf.DUMMYFUNCTION("GOOGLETRANSLATE(B101, ""en"", ""hi"")"),"यदि किसी मलखम्ब कलाकार को तकनीक के लिए कम अंक प्राप्त हों, लेकिन रचनात्मकता के लिए उच्च अंक प्राप्त हों, तो सुधार के लिए अच्छी रणनीति क्या हो सकती है?")</f>
        <v>यदि किसी मलखम्ब कलाकार को तकनीक के लिए कम अंक प्राप्त हों, लेकिन रचनात्मकता के लिए उच्च अंक प्राप्त हों, तो सुधार के लिए अच्छी रणनीति क्या हो सकती है?</v>
      </c>
      <c r="H101" s="5" t="str">
        <f>IFERROR(__xludf.DUMMYFUNCTION("GOOGLETRANSLATE(C101, ""en"", ""hi"")"),"A) रचनात्मक तत्वों पर अधिक ध्यान केंद्रित करें, B) उनके तकनीकी निष्पादन को परिष्कृत करने पर काम करें, C) पोज़ की संख्या बढ़ाएँ, D) नियमित बदलावों का अभ्यास करें")</f>
        <v>A) रचनात्मक तत्वों पर अधिक ध्यान केंद्रित करें, B) उनके तकनीकी निष्पादन को परिष्कृत करने पर काम करें, C) पोज़ की संख्या बढ़ाएँ, D) नियमित बदलावों का अभ्यास करें</v>
      </c>
      <c r="I101" s="5" t="str">
        <f>IFERROR(__xludf.DUMMYFUNCTION("GOOGLETRANSLATE(D101, ""en"", ""hi"")"),"बी) उनके तकनीकी निष्पादन को परिष्कृत करने पर काम करना")</f>
        <v>बी) उनके तकनीकी निष्पादन को परिष्कृत करने पर काम करना</v>
      </c>
    </row>
    <row r="102" ht="22.5" customHeight="1">
      <c r="A102" s="2">
        <v>101.0</v>
      </c>
      <c r="B102" s="3" t="s">
        <v>10238</v>
      </c>
      <c r="C102" s="3" t="s">
        <v>10239</v>
      </c>
      <c r="D102" s="3" t="s">
        <v>10240</v>
      </c>
      <c r="F102" s="5" t="str">
        <f>IFERROR(__xludf.DUMMYFUNCTION("GOOGLETRANSLATE(A102, ""en"", ""hi"")"),"101")</f>
        <v>101</v>
      </c>
      <c r="G102" s="5" t="str">
        <f>IFERROR(__xludf.DUMMYFUNCTION("GOOGLETRANSLATE(B102, ""en"", ""hi"")"),"मलखंभ के दौरान, कलाकार को अपनी मुद्राओं में संतुलन बनाए रखने में कठिनाई होती है। इस समस्या से निपटने के लिए उन्हें अपने अभ्यास में क्या प्राथमिकता देनी चाहिए?")</f>
        <v>मलखंभ के दौरान, कलाकार को अपनी मुद्राओं में संतुलन बनाए रखने में कठिनाई होती है। इस समस्या से निपटने के लिए उन्हें अपने अभ्यास में क्या प्राथमिकता देनी चाहिए?</v>
      </c>
      <c r="H102" s="5" t="str">
        <f>IFERROR(__xludf.DUMMYFUNCTION("GOOGLETRANSLATE(C102, ""en"", ""hi"")"),"A) मुद्रा की जटिलता बढ़ाना, B) संतुलन और स्थिरता बढ़ाना, C) प्रस्तुति पर काम करना, D) नियमित समय को कम करना")</f>
        <v>A) मुद्रा की जटिलता बढ़ाना, B) संतुलन और स्थिरता बढ़ाना, C) प्रस्तुति पर काम करना, D) नियमित समय को कम करना</v>
      </c>
      <c r="I102" s="5" t="str">
        <f>IFERROR(__xludf.DUMMYFUNCTION("GOOGLETRANSLATE(D102, ""en"", ""hi"")"),"बी) संतुलन और स्थिरता को बढ़ाना")</f>
        <v>बी) संतुलन और स्थिरता को बढ़ाना</v>
      </c>
    </row>
    <row r="103" ht="22.5" customHeight="1">
      <c r="A103" s="2">
        <v>102.0</v>
      </c>
      <c r="B103" s="3" t="s">
        <v>10241</v>
      </c>
      <c r="C103" s="3" t="s">
        <v>10242</v>
      </c>
      <c r="D103" s="3" t="s">
        <v>10207</v>
      </c>
      <c r="F103" s="5" t="str">
        <f>IFERROR(__xludf.DUMMYFUNCTION("GOOGLETRANSLATE(A103, ""en"", ""hi"")"),"102")</f>
        <v>102</v>
      </c>
      <c r="G103" s="5" t="str">
        <f>IFERROR(__xludf.DUMMYFUNCTION("GOOGLETRANSLATE(B103, ""en"", ""hi"")"),"मलखम्ब प्रतियोगिता में यदि किसी कलाकार को उत्कृष्ट अभ्यास अवधि, लेकिन खराब निष्पादन के लिए जाना जाता है, तो उन्हें किस पहलू में सुधार करने पर ध्यान केंद्रित करना चाहिए?")</f>
        <v>मलखम्ब प्रतियोगिता में यदि किसी कलाकार को उत्कृष्ट अभ्यास अवधि, लेकिन खराब निष्पादन के लिए जाना जाता है, तो उन्हें किस पहलू में सुधार करने पर ध्यान केंद्रित करना चाहिए?</v>
      </c>
      <c r="H103" s="5" t="str">
        <f>IFERROR(__xludf.DUMMYFUNCTION("GOOGLETRANSLATE(C103, ""en"", ""hi"")"),"ए) नियमित अवधि, बी) निष्पादन, सी) पोज़ की जटिलता, डी) दर्शकों की सहभागिता")</f>
        <v>ए) नियमित अवधि, बी) निष्पादन, सी) पोज़ की जटिलता, डी) दर्शकों की सहभागिता</v>
      </c>
      <c r="I103" s="5" t="str">
        <f>IFERROR(__xludf.DUMMYFUNCTION("GOOGLETRANSLATE(D103, ""en"", ""hi"")"),"बी) निष्पादन")</f>
        <v>बी) निष्पादन</v>
      </c>
    </row>
    <row r="104" ht="22.5" customHeight="1">
      <c r="A104" s="2">
        <v>103.0</v>
      </c>
      <c r="B104" s="3" t="s">
        <v>10243</v>
      </c>
      <c r="C104" s="3" t="s">
        <v>10244</v>
      </c>
      <c r="D104" s="3" t="s">
        <v>10245</v>
      </c>
      <c r="F104" s="5" t="str">
        <f>IFERROR(__xludf.DUMMYFUNCTION("GOOGLETRANSLATE(A104, ""en"", ""hi"")"),"103")</f>
        <v>103</v>
      </c>
      <c r="G104" s="5" t="str">
        <f>IFERROR(__xludf.DUMMYFUNCTION("GOOGLETRANSLATE(B104, ""en"", ""hi"")"),"एक मलखंभ कलाकार एक ऐसी प्रतियोगिता की तैयारी कर रहा है जहाँ तकनीक का बहुत महत्व है। उन्हें अपनी तैयारी में किस बात पर ज़ोर देना चाहिए?")</f>
        <v>एक मलखंभ कलाकार एक ऐसी प्रतियोगिता की तैयारी कर रहा है जहाँ तकनीक का बहुत महत्व है। उन्हें अपनी तैयारी में किस बात पर ज़ोर देना चाहिए?</v>
      </c>
      <c r="H104" s="5" t="str">
        <f>IFERROR(__xludf.DUMMYFUNCTION("GOOGLETRANSLATE(C104, ""en"", ""hi"")"),"ए) नियमित रचनात्मकता, बी) मुद्रा की सटीकता और तकनीक, सी) दर्शकों की सहभागिता, डी) नियमित लंबाई")</f>
        <v>ए) नियमित रचनात्मकता, बी) मुद्रा की सटीकता और तकनीक, सी) दर्शकों की सहभागिता, डी) नियमित लंबाई</v>
      </c>
      <c r="I104" s="5" t="str">
        <f>IFERROR(__xludf.DUMMYFUNCTION("GOOGLETRANSLATE(D104, ""en"", ""hi"")"),"बी) मुद्रा सटीकता और तकनीक")</f>
        <v>बी) मुद्रा सटीकता और तकनीक</v>
      </c>
    </row>
    <row r="105" ht="22.5" customHeight="1">
      <c r="A105" s="2">
        <v>104.0</v>
      </c>
      <c r="B105" s="3" t="s">
        <v>10246</v>
      </c>
      <c r="C105" s="3" t="s">
        <v>10247</v>
      </c>
      <c r="D105" s="3" t="s">
        <v>10248</v>
      </c>
      <c r="F105" s="5" t="str">
        <f>IFERROR(__xludf.DUMMYFUNCTION("GOOGLETRANSLATE(A105, ""en"", ""hi"")"),"104")</f>
        <v>104</v>
      </c>
      <c r="G105" s="5" t="str">
        <f>IFERROR(__xludf.DUMMYFUNCTION("GOOGLETRANSLATE(B105, ""en"", ""hi"")"),"मलखम्ब के दौरान, यदि कोई कलाकार दर्शकों के साथ अपने मजबूत जुड़ाव के लिए जाना जाता है, लेकिन मुद्रा परिवर्तन में कमजोर है, तो उन्हें भविष्य के प्रदर्शन के लिए क्या काम करना चाहिए?")</f>
        <v>मलखम्ब के दौरान, यदि कोई कलाकार दर्शकों के साथ अपने मजबूत जुड़ाव के लिए जाना जाता है, लेकिन मुद्रा परिवर्तन में कमजोर है, तो उन्हें भविष्य के प्रदर्शन के लिए क्या काम करना चाहिए?</v>
      </c>
      <c r="H105" s="5" t="str">
        <f>IFERROR(__xludf.DUMMYFUNCTION("GOOGLETRANSLATE(C105, ""en"", ""hi"")"),"ए) दर्शकों से जुड़ाव, बी) मुद्रा परिवर्तन, सी) मुद्रा जटिलता, डी) नियमित लंबाई")</f>
        <v>ए) दर्शकों से जुड़ाव, बी) मुद्रा परिवर्तन, सी) मुद्रा जटिलता, डी) नियमित लंबाई</v>
      </c>
      <c r="I105" s="5" t="str">
        <f>IFERROR(__xludf.DUMMYFUNCTION("GOOGLETRANSLATE(D105, ""en"", ""hi"")"),"बी) मुद्रा परिवर्तन")</f>
        <v>बी) मुद्रा परिवर्तन</v>
      </c>
    </row>
    <row r="106" ht="22.5" customHeight="1">
      <c r="A106" s="2">
        <v>105.0</v>
      </c>
      <c r="B106" s="3" t="s">
        <v>10249</v>
      </c>
      <c r="C106" s="3" t="s">
        <v>10250</v>
      </c>
      <c r="D106" s="3" t="s">
        <v>10251</v>
      </c>
      <c r="F106" s="5" t="str">
        <f>IFERROR(__xludf.DUMMYFUNCTION("GOOGLETRANSLATE(A106, ""en"", ""hi"")"),"105")</f>
        <v>105</v>
      </c>
      <c r="G106" s="5" t="str">
        <f>IFERROR(__xludf.DUMMYFUNCTION("GOOGLETRANSLATE(B106, ""en"", ""hi"")"),"यदि किसी मलखम्ब कलाकार को आसन के दौरान अपने संतुलन में सुधार के बारे में फीडबैक मिलता है, तो उन्हें अपने अभ्यास की दिनचर्या को किस प्रकार समायोजित करना चाहिए?")</f>
        <v>यदि किसी मलखम्ब कलाकार को आसन के दौरान अपने संतुलन में सुधार के बारे में फीडबैक मिलता है, तो उन्हें अपने अभ्यास की दिनचर्या को किस प्रकार समायोजित करना चाहिए?</v>
      </c>
      <c r="H106" s="5" t="str">
        <f>IFERROR(__xludf.DUMMYFUNCTION("GOOGLETRANSLATE(C106, ""en"", ""hi"")"),"A) अधिक जटिल आसन का अभ्यास करें, B) संतुलन अभ्यास और तकनीकों पर ध्यान केंद्रित करें, C) नियमित गति बढ़ाएँ, D) प्रस्तुति कौशल में वृद्धि करें")</f>
        <v>A) अधिक जटिल आसन का अभ्यास करें, B) संतुलन अभ्यास और तकनीकों पर ध्यान केंद्रित करें, C) नियमित गति बढ़ाएँ, D) प्रस्तुति कौशल में वृद्धि करें</v>
      </c>
      <c r="I106" s="5" t="str">
        <f>IFERROR(__xludf.DUMMYFUNCTION("GOOGLETRANSLATE(D106, ""en"", ""hi"")"),"बी) संतुलन अभ्यास और तकनीकों पर ध्यान केंद्रित करें")</f>
        <v>बी) संतुलन अभ्यास और तकनीकों पर ध्यान केंद्रित करें</v>
      </c>
    </row>
    <row r="107" ht="22.5" customHeight="1">
      <c r="A107" s="2">
        <v>106.0</v>
      </c>
      <c r="B107" s="3" t="s">
        <v>10252</v>
      </c>
      <c r="C107" s="3" t="s">
        <v>10253</v>
      </c>
      <c r="D107" s="3" t="s">
        <v>10254</v>
      </c>
      <c r="F107" s="5" t="str">
        <f>IFERROR(__xludf.DUMMYFUNCTION("GOOGLETRANSLATE(A107, ""en"", ""hi"")"),"106")</f>
        <v>106</v>
      </c>
      <c r="G107" s="5" t="str">
        <f>IFERROR(__xludf.DUMMYFUNCTION("GOOGLETRANSLATE(B107, ""en"", ""hi"")"),"मलखम्ब प्रतियोगिता में, यदि किसी कलाकार की उसकी रचनात्मकता के लिए प्रशंसा की जाती है, लेकिन प्रदर्शन के लिए उसे कम अंक मिलते हैं, तो उसके अभ्यास सत्र में क्या शामिल होना चाहिए?")</f>
        <v>मलखम्ब प्रतियोगिता में, यदि किसी कलाकार की उसकी रचनात्मकता के लिए प्रशंसा की जाती है, लेकिन प्रदर्शन के लिए उसे कम अंक मिलते हैं, तो उसके अभ्यास सत्र में क्या शामिल होना चाहिए?</v>
      </c>
      <c r="H107" s="5" t="str">
        <f>IFERROR(__xludf.DUMMYFUNCTION("GOOGLETRANSLATE(C107, ""en"", ""hi"")"),"ए) अधिक रचनात्मक पोज़, बी) बेहतर निष्पादन तकनीक, सी) बेहतर प्रस्तुति, डी) दिनचर्या की लंबाई में वृद्धि")</f>
        <v>ए) अधिक रचनात्मक पोज़, बी) बेहतर निष्पादन तकनीक, सी) बेहतर प्रस्तुति, डी) दिनचर्या की लंबाई में वृद्धि</v>
      </c>
      <c r="I107" s="5" t="str">
        <f>IFERROR(__xludf.DUMMYFUNCTION("GOOGLETRANSLATE(D107, ""en"", ""hi"")"),"बी) बेहतर निष्पादन तकनीक")</f>
        <v>बी) बेहतर निष्पादन तकनीक</v>
      </c>
    </row>
    <row r="108" ht="22.5" customHeight="1">
      <c r="A108" s="2">
        <v>107.0</v>
      </c>
      <c r="B108" s="3" t="s">
        <v>10255</v>
      </c>
      <c r="C108" s="3" t="s">
        <v>10256</v>
      </c>
      <c r="D108" s="3" t="s">
        <v>10257</v>
      </c>
      <c r="F108" s="5" t="str">
        <f>IFERROR(__xludf.DUMMYFUNCTION("GOOGLETRANSLATE(A108, ""en"", ""hi"")"),"107")</f>
        <v>107</v>
      </c>
      <c r="G108" s="5" t="str">
        <f>IFERROR(__xludf.DUMMYFUNCTION("GOOGLETRANSLATE(B108, ""en"", ""hi"")"),"एक मलखंभ कलाकार एक प्रतियोगिता में भाग ले रहा है जहाँ निर्णायक समग्र प्रदर्शन की गुणवत्ता पर ध्यान केंद्रित कर रहे हैं। उन्हें अपने समग्र स्कोर को बेहतर बनाने के लिए क्या सुनिश्चित करना चाहिए?")</f>
        <v>एक मलखंभ कलाकार एक प्रतियोगिता में भाग ले रहा है जहाँ निर्णायक समग्र प्रदर्शन की गुणवत्ता पर ध्यान केंद्रित कर रहे हैं। उन्हें अपने समग्र स्कोर को बेहतर बनाने के लिए क्या सुनिश्चित करना चाहिए?</v>
      </c>
      <c r="H108" s="5" t="str">
        <f>IFERROR(__xludf.DUMMYFUNCTION("GOOGLETRANSLATE(C108, ""en"", ""hi"")"),"A) उच्च रचनात्मकता, B) सहज परिवर्तन और तकनीकी निष्पादन, C) नियमित लंबाई, D) दर्शकों के साथ बातचीत")</f>
        <v>A) उच्च रचनात्मकता, B) सहज परिवर्तन और तकनीकी निष्पादन, C) नियमित लंबाई, D) दर्शकों के साथ बातचीत</v>
      </c>
      <c r="I108" s="5" t="str">
        <f>IFERROR(__xludf.DUMMYFUNCTION("GOOGLETRANSLATE(D108, ""en"", ""hi"")"),"बी) सुचारू संक्रमण और तकनीकी निष्पादन")</f>
        <v>बी) सुचारू संक्रमण और तकनीकी निष्पादन</v>
      </c>
    </row>
    <row r="109" ht="22.5" customHeight="1">
      <c r="A109" s="2">
        <v>108.0</v>
      </c>
      <c r="B109" s="3" t="s">
        <v>10258</v>
      </c>
      <c r="C109" s="3" t="s">
        <v>10259</v>
      </c>
      <c r="D109" s="3" t="s">
        <v>10260</v>
      </c>
      <c r="F109" s="5" t="str">
        <f>IFERROR(__xludf.DUMMYFUNCTION("GOOGLETRANSLATE(A109, ""en"", ""hi"")"),"108")</f>
        <v>108</v>
      </c>
      <c r="G109" s="5" t="str">
        <f>IFERROR(__xludf.DUMMYFUNCTION("GOOGLETRANSLATE(B109, ""en"", ""hi"")"),"मलखम्ब कार्यक्रम के दौरान, यदि किसी कलाकार को उसके मजबूत प्रदर्शन, लेकिन कमजोर प्रस्तुति के लिए जाना जाता है, तो उसे भविष्य के प्रदर्शन के लिए कैसे तैयारी करनी चाहिए?")</f>
        <v>मलखम्ब कार्यक्रम के दौरान, यदि किसी कलाकार को उसके मजबूत प्रदर्शन, लेकिन कमजोर प्रस्तुति के लिए जाना जाता है, तो उसे भविष्य के प्रदर्शन के लिए कैसे तैयारी करनी चाहिए?</v>
      </c>
      <c r="H109" s="5" t="str">
        <f>IFERROR(__xludf.DUMMYFUNCTION("GOOGLETRANSLATE(C109, ""en"", ""hi"")"),"A) निष्पादन में वृद्धि, B) प्रस्तुति और दर्शकों की बातचीत में सुधार, C) मुद्रा की जटिलता में वृद्धि, D) दिनचर्या की लंबाई कम करना")</f>
        <v>A) निष्पादन में वृद्धि, B) प्रस्तुति और दर्शकों की बातचीत में सुधार, C) मुद्रा की जटिलता में वृद्धि, D) दिनचर्या की लंबाई कम करना</v>
      </c>
      <c r="I109" s="5" t="str">
        <f>IFERROR(__xludf.DUMMYFUNCTION("GOOGLETRANSLATE(D109, ""en"", ""hi"")"),"बी) प्रस्तुति और दर्शकों के साथ बातचीत में सुधार")</f>
        <v>बी) प्रस्तुति और दर्शकों के साथ बातचीत में सुधार</v>
      </c>
    </row>
    <row r="110" ht="22.5" customHeight="1">
      <c r="A110" s="2">
        <v>109.0</v>
      </c>
      <c r="B110" s="3" t="s">
        <v>10261</v>
      </c>
      <c r="C110" s="3" t="s">
        <v>10262</v>
      </c>
      <c r="D110" s="3" t="s">
        <v>10263</v>
      </c>
      <c r="F110" s="5" t="str">
        <f>IFERROR(__xludf.DUMMYFUNCTION("GOOGLETRANSLATE(A110, ""en"", ""hi"")"),"109")</f>
        <v>109</v>
      </c>
      <c r="G110" s="5" t="str">
        <f>IFERROR(__xludf.DUMMYFUNCTION("GOOGLETRANSLATE(B110, ""en"", ""hi"")"),"यदि किसी मलखम्ब कलाकार को अपने कठिनाई स्तर में सुधार के बारे में फीडबैक मिलता है, तो उन्हें अपने अगले अभ्यास सत्र में क्या करना चाहिए?")</f>
        <v>यदि किसी मलखम्ब कलाकार को अपने कठिनाई स्तर में सुधार के बारे में फीडबैक मिलता है, तो उन्हें अपने अगले अभ्यास सत्र में क्या करना चाहिए?</v>
      </c>
      <c r="H110" s="5" t="str">
        <f>IFERROR(__xludf.DUMMYFUNCTION("GOOGLETRANSLATE(C110, ""en"", ""hi"")"),"A) सरल आसन का अभ्यास करें, B) अधिक चुनौतीपूर्ण और जटिल आसन शामिल करें, C) प्रस्तुति कौशल पर काम करें, D) नियमित समय कम करें")</f>
        <v>A) सरल आसन का अभ्यास करें, B) अधिक चुनौतीपूर्ण और जटिल आसन शामिल करें, C) प्रस्तुति कौशल पर काम करें, D) नियमित समय कम करें</v>
      </c>
      <c r="I110" s="5" t="str">
        <f>IFERROR(__xludf.DUMMYFUNCTION("GOOGLETRANSLATE(D110, ""en"", ""hi"")"),"बी) अधिक चुनौतीपूर्ण और जटिल मुद्राओं को शामिल करें")</f>
        <v>बी) अधिक चुनौतीपूर्ण और जटिल मुद्राओं को शामिल करें</v>
      </c>
    </row>
    <row r="111" ht="22.5" customHeight="1">
      <c r="A111" s="2">
        <v>110.0</v>
      </c>
      <c r="B111" s="3" t="s">
        <v>10264</v>
      </c>
      <c r="C111" s="3" t="s">
        <v>10265</v>
      </c>
      <c r="D111" s="3" t="s">
        <v>10266</v>
      </c>
      <c r="F111" s="5" t="str">
        <f>IFERROR(__xludf.DUMMYFUNCTION("GOOGLETRANSLATE(A111, ""en"", ""hi"")"),"110")</f>
        <v>110</v>
      </c>
      <c r="G111" s="5" t="str">
        <f>IFERROR(__xludf.DUMMYFUNCTION("GOOGLETRANSLATE(B111, ""en"", ""hi"")"),"मलखम्ब प्रतियोगिता में यदि किसी कलाकार को उसके संतुलन के लिए प्रशंसा मिलती है, लेकिन रचनात्मकता के लिए कम अंक मिलते हैं, तो उन्हें किस पहलू पर ध्यान देना चाहिए?")</f>
        <v>मलखम्ब प्रतियोगिता में यदि किसी कलाकार को उसके संतुलन के लिए प्रशंसा मिलती है, लेकिन रचनात्मकता के लिए कम अंक मिलते हैं, तो उन्हें किस पहलू पर ध्यान देना चाहिए?</v>
      </c>
      <c r="H111" s="5" t="str">
        <f>IFERROR(__xludf.DUMMYFUNCTION("GOOGLETRANSLATE(C111, ""en"", ""hi"")"),"A) संतुलन, B) रचनात्मकता और मौलिकता, C) मुद्रा निष्पादन, D) दर्शकों की सहभागिता")</f>
        <v>A) संतुलन, B) रचनात्मकता और मौलिकता, C) मुद्रा निष्पादन, D) दर्शकों की सहभागिता</v>
      </c>
      <c r="I111" s="5" t="str">
        <f>IFERROR(__xludf.DUMMYFUNCTION("GOOGLETRANSLATE(D111, ""en"", ""hi"")"),"बी) रचनात्मकता और मौलिकता")</f>
        <v>बी) रचनात्मकता और मौलिकता</v>
      </c>
    </row>
    <row r="112" ht="22.5" customHeight="1">
      <c r="A112" s="2">
        <v>111.0</v>
      </c>
      <c r="B112" s="3" t="s">
        <v>10267</v>
      </c>
      <c r="C112" s="3" t="s">
        <v>10268</v>
      </c>
      <c r="D112" s="3" t="s">
        <v>10269</v>
      </c>
      <c r="F112" s="5" t="str">
        <f>IFERROR(__xludf.DUMMYFUNCTION("GOOGLETRANSLATE(A112, ""en"", ""hi"")"),"111")</f>
        <v>111</v>
      </c>
      <c r="G112" s="5" t="str">
        <f>IFERROR(__xludf.DUMMYFUNCTION("GOOGLETRANSLATE(B112, ""en"", ""hi"")"),"मलखम्ब कलाकार अपनी मज़बूत तकनीकी कुशलता के लिए जाने जाते हैं, लेकिन उन्हें अपनी समग्र प्रस्तुति में सुधार करने की ज़रूरत है। उन्हें किन चीज़ों पर काम करना चाहिए?")</f>
        <v>मलखम्ब कलाकार अपनी मज़बूत तकनीकी कुशलता के लिए जाने जाते हैं, लेकिन उन्हें अपनी समग्र प्रस्तुति में सुधार करने की ज़रूरत है। उन्हें किन चीज़ों पर काम करना चाहिए?</v>
      </c>
      <c r="H112" s="5" t="str">
        <f>IFERROR(__xludf.DUMMYFUNCTION("GOOGLETRANSLATE(C112, ""en"", ""hi"")"),"ए) तकनीकी कौशल, बी) दर्शकों के साथ बातचीत और अभिव्यक्ति, सी) मुद्रा की जटिलता, डी) दिनचर्या की लंबाई")</f>
        <v>ए) तकनीकी कौशल, बी) दर्शकों के साथ बातचीत और अभिव्यक्ति, सी) मुद्रा की जटिलता, डी) दिनचर्या की लंबाई</v>
      </c>
      <c r="I112" s="5" t="str">
        <f>IFERROR(__xludf.DUMMYFUNCTION("GOOGLETRANSLATE(D112, ""en"", ""hi"")"),"बी) दर्शकों की बातचीत और अभिव्यक्ति")</f>
        <v>बी) दर्शकों की बातचीत और अभिव्यक्ति</v>
      </c>
    </row>
    <row r="113" ht="22.5" customHeight="1">
      <c r="A113" s="2">
        <v>112.0</v>
      </c>
      <c r="B113" s="3" t="s">
        <v>10270</v>
      </c>
      <c r="C113" s="3" t="s">
        <v>10271</v>
      </c>
      <c r="D113" s="3" t="s">
        <v>10272</v>
      </c>
      <c r="F113" s="5" t="str">
        <f>IFERROR(__xludf.DUMMYFUNCTION("GOOGLETRANSLATE(A113, ""en"", ""hi"")"),"112")</f>
        <v>112</v>
      </c>
      <c r="G113" s="5" t="str">
        <f>IFERROR(__xludf.DUMMYFUNCTION("GOOGLETRANSLATE(B113, ""en"", ""hi"")"),"मलखम्ब कार्यक्रम के दौरान, यदि किसी कलाकार की समय सीमा का पालन न करने के लिए आलोचना की जाती है, तो वे नियमों का पालन करने के लिए अपने प्रदर्शन को कैसे समायोजित कर सकते हैं?")</f>
        <v>मलखम्ब कार्यक्रम के दौरान, यदि किसी कलाकार की समय सीमा का पालन न करने के लिए आलोचना की जाती है, तो वे नियमों का पालन करने के लिए अपने प्रदर्शन को कैसे समायोजित कर सकते हैं?</v>
      </c>
      <c r="H113" s="5" t="str">
        <f>IFERROR(__xludf.DUMMYFUNCTION("GOOGLETRANSLATE(C113, ""en"", ""hi"")"),"ए) दिनचर्या की लंबाई बढ़ाएं, बी) यह सुनिश्चित करने के लिए अभ्यास करें कि वे समय सीमा के भीतर पूरा करें, सी) कम आसन पर ध्यान केंद्रित करें, डी) दिनचर्या की गति बढ़ाएं")</f>
        <v>ए) दिनचर्या की लंबाई बढ़ाएं, बी) यह सुनिश्चित करने के लिए अभ्यास करें कि वे समय सीमा के भीतर पूरा करें, सी) कम आसन पर ध्यान केंद्रित करें, डी) दिनचर्या की गति बढ़ाएं</v>
      </c>
      <c r="I113" s="5" t="str">
        <f>IFERROR(__xludf.DUMMYFUNCTION("GOOGLETRANSLATE(D113, ""en"", ""hi"")"),"बी) यह सुनिश्चित करने के लिए अभ्यास करें कि वे समय सीमा के भीतर पूरा करें")</f>
        <v>बी) यह सुनिश्चित करने के लिए अभ्यास करें कि वे समय सीमा के भीतर पूरा करें</v>
      </c>
    </row>
    <row r="114" ht="22.5" customHeight="1">
      <c r="A114" s="2">
        <v>113.0</v>
      </c>
      <c r="B114" s="3" t="s">
        <v>10273</v>
      </c>
      <c r="C114" s="3" t="s">
        <v>10274</v>
      </c>
      <c r="D114" s="3" t="s">
        <v>10275</v>
      </c>
      <c r="F114" s="5" t="str">
        <f>IFERROR(__xludf.DUMMYFUNCTION("GOOGLETRANSLATE(A114, ""en"", ""hi"")"),"113")</f>
        <v>113</v>
      </c>
      <c r="G114" s="5" t="str">
        <f>IFERROR(__xludf.DUMMYFUNCTION("GOOGLETRANSLATE(B114, ""en"", ""hi"")"),"यदि कोई मलखम्ब कलाकार तकनीक पर ध्यान केंद्रित करते हुए किसी प्रतियोगिता की तैयारी कर रहा है, तो प्रशिक्षण में उनका प्राथमिक ध्यान किस पर होना चाहिए?")</f>
        <v>यदि कोई मलखम्ब कलाकार तकनीक पर ध्यान केंद्रित करते हुए किसी प्रतियोगिता की तैयारी कर रहा है, तो प्रशिक्षण में उनका प्राथमिक ध्यान किस पर होना चाहिए?</v>
      </c>
      <c r="H114" s="5" t="str">
        <f>IFERROR(__xludf.DUMMYFUNCTION("GOOGLETRANSLATE(C114, ""en"", ""hi"")"),"ए) नियमित रचनात्मकता, बी) तकनीकी सटीकता और निष्पादन, सी) दर्शकों की सहभागिता, डी) पोज़ की अवधि")</f>
        <v>ए) नियमित रचनात्मकता, बी) तकनीकी सटीकता और निष्पादन, सी) दर्शकों की सहभागिता, डी) पोज़ की अवधि</v>
      </c>
      <c r="I114" s="5" t="str">
        <f>IFERROR(__xludf.DUMMYFUNCTION("GOOGLETRANSLATE(D114, ""en"", ""hi"")"),"बी) तकनीकी सटीकता और निष्पादन")</f>
        <v>बी) तकनीकी सटीकता और निष्पादन</v>
      </c>
    </row>
    <row r="115" ht="22.5" customHeight="1">
      <c r="A115" s="2">
        <v>114.0</v>
      </c>
      <c r="B115" s="3" t="s">
        <v>10276</v>
      </c>
      <c r="C115" s="3" t="s">
        <v>10277</v>
      </c>
      <c r="D115" s="3" t="s">
        <v>10278</v>
      </c>
      <c r="F115" s="5" t="str">
        <f>IFERROR(__xludf.DUMMYFUNCTION("GOOGLETRANSLATE(A115, ""en"", ""hi"")"),"114")</f>
        <v>114</v>
      </c>
      <c r="G115" s="5" t="str">
        <f>IFERROR(__xludf.DUMMYFUNCTION("GOOGLETRANSLATE(B115, ""en"", ""hi"")"),"मलखम्ब प्रदर्शन के दौरान, यदि किसी कलाकार को उसके अभ्यास के कठिनाई स्तर के बारे में फीडबैक दिया जाता है, तो उसे अपने अभ्यास में किस चीज़ को प्राथमिकता देनी चाहिए?")</f>
        <v>मलखम्ब प्रदर्शन के दौरान, यदि किसी कलाकार को उसके अभ्यास के कठिनाई स्तर के बारे में फीडबैक दिया जाता है, तो उसे अपने अभ्यास में किस चीज़ को प्राथमिकता देनी चाहिए?</v>
      </c>
      <c r="H115" s="5" t="str">
        <f>IFERROR(__xludf.DUMMYFUNCTION("GOOGLETRANSLATE(C115, ""en"", ""hi"")"),"A) दिनचर्या की जटिलता बढ़ाना, B) संतुलन और स्थिरता बढ़ाना, C) प्रस्तुति कौशल पर काम करना, D) मुद्रा परिवर्तन में सुधार करना")</f>
        <v>A) दिनचर्या की जटिलता बढ़ाना, B) संतुलन और स्थिरता बढ़ाना, C) प्रस्तुति कौशल पर काम करना, D) मुद्रा परिवर्तन में सुधार करना</v>
      </c>
      <c r="I115" s="5" t="str">
        <f>IFERROR(__xludf.DUMMYFUNCTION("GOOGLETRANSLATE(D115, ""en"", ""hi"")"),"A) बढ़ती दिनचर्या जटिलता")</f>
        <v>A) बढ़ती दिनचर्या जटिलता</v>
      </c>
    </row>
    <row r="116" ht="22.5" customHeight="1">
      <c r="A116" s="2">
        <v>115.0</v>
      </c>
      <c r="B116" s="3" t="s">
        <v>10279</v>
      </c>
      <c r="C116" s="3" t="s">
        <v>10280</v>
      </c>
      <c r="D116" s="3" t="s">
        <v>10281</v>
      </c>
      <c r="F116" s="5" t="str">
        <f>IFERROR(__xludf.DUMMYFUNCTION("GOOGLETRANSLATE(A116, ""en"", ""hi"")"),"115")</f>
        <v>115</v>
      </c>
      <c r="G116" s="5" t="str">
        <f>IFERROR(__xludf.DUMMYFUNCTION("GOOGLETRANSLATE(B116, ""en"", ""hi"")"),"एक मलखंभ कलाकार को अपनी रचनात्मकता के लिए उच्च अंक मिल रहे हैं, लेकिन उसे अपनी तकनीक में सुधार करने की आवश्यकता है। अगले प्रदर्शन के लिए उन्हें किन बातों पर ध्यान देना चाहिए?")</f>
        <v>एक मलखंभ कलाकार को अपनी रचनात्मकता के लिए उच्च अंक मिल रहे हैं, लेकिन उसे अपनी तकनीक में सुधार करने की आवश्यकता है। अगले प्रदर्शन के लिए उन्हें किन बातों पर ध्यान देना चाहिए?</v>
      </c>
      <c r="H116" s="5" t="str">
        <f>IFERROR(__xludf.DUMMYFUNCTION("GOOGLETRANSLATE(C116, ""en"", ""hi"")"),"ए) रचनात्मकता, बी) तकनीकी निष्पादन और सटीकता, सी) दर्शकों की सहभागिता, डी) पोज़ की अवधि")</f>
        <v>ए) रचनात्मकता, बी) तकनीकी निष्पादन और सटीकता, सी) दर्शकों की सहभागिता, डी) पोज़ की अवधि</v>
      </c>
      <c r="I116" s="5" t="str">
        <f>IFERROR(__xludf.DUMMYFUNCTION("GOOGLETRANSLATE(D116, ""en"", ""hi"")"),"बी) तकनीकी निष्पादन और सटीकता")</f>
        <v>बी) तकनीकी निष्पादन और सटीकता</v>
      </c>
    </row>
    <row r="117" ht="22.5" customHeight="1">
      <c r="A117" s="2">
        <v>116.0</v>
      </c>
      <c r="B117" s="3" t="s">
        <v>10282</v>
      </c>
      <c r="C117" s="3" t="s">
        <v>10283</v>
      </c>
      <c r="D117" s="3" t="s">
        <v>10284</v>
      </c>
      <c r="F117" s="5" t="str">
        <f>IFERROR(__xludf.DUMMYFUNCTION("GOOGLETRANSLATE(A117, ""en"", ""hi"")"),"116")</f>
        <v>116</v>
      </c>
      <c r="G117" s="5" t="str">
        <f>IFERROR(__xludf.DUMMYFUNCTION("GOOGLETRANSLATE(B117, ""en"", ""hi"")"),"यदि किसी मलखम्ब कलाकार को अपने नियमित परिवर्तनों में सुधार के बारे में फीडबैक मिलता है, तो उन्हें अभ्यास के दौरान किस पर ध्यान केंद्रित करना चाहिए?")</f>
        <v>यदि किसी मलखम्ब कलाकार को अपने नियमित परिवर्तनों में सुधार के बारे में फीडबैक मिलता है, तो उन्हें अभ्यास के दौरान किस पर ध्यान केंद्रित करना चाहिए?</v>
      </c>
      <c r="H117" s="5" t="str">
        <f>IFERROR(__xludf.DUMMYFUNCTION("GOOGLETRANSLATE(C117, ""en"", ""hi"")"),"A) व्यक्तिगत मुद्राओं को बढ़ाना, B) मुद्राओं के बीच सहज संक्रमण, C) मुद्रा की कठिनाई को बढ़ाना, D) दर्शकों की बातचीत में सुधार करना")</f>
        <v>A) व्यक्तिगत मुद्राओं को बढ़ाना, B) मुद्राओं के बीच सहज संक्रमण, C) मुद्रा की कठिनाई को बढ़ाना, D) दर्शकों की बातचीत में सुधार करना</v>
      </c>
      <c r="I117" s="5" t="str">
        <f>IFERROR(__xludf.DUMMYFUNCTION("GOOGLETRANSLATE(D117, ""en"", ""hi"")"),"बी) पोज़ के बीच सहज संक्रमण")</f>
        <v>बी) पोज़ के बीच सहज संक्रमण</v>
      </c>
    </row>
    <row r="118" ht="22.5" customHeight="1">
      <c r="A118" s="2">
        <v>117.0</v>
      </c>
      <c r="B118" s="3" t="s">
        <v>10285</v>
      </c>
      <c r="C118" s="3" t="s">
        <v>10286</v>
      </c>
      <c r="D118" s="3" t="s">
        <v>10281</v>
      </c>
      <c r="F118" s="5" t="str">
        <f>IFERROR(__xludf.DUMMYFUNCTION("GOOGLETRANSLATE(A118, ""en"", ""hi"")"),"117")</f>
        <v>117</v>
      </c>
      <c r="G118" s="5" t="str">
        <f>IFERROR(__xludf.DUMMYFUNCTION("GOOGLETRANSLATE(B118, ""en"", ""hi"")"),"मलखम्ब प्रतियोगिता के दौरान, यदि कोई कलाकार दर्शकों को आकर्षित करने में तो उत्कृष्ट है, लेकिन तकनीकी निष्पादन में संघर्ष करता है, तो उन्हें अपनी तैयारी में किस पर ध्यान केंद्रित करना चाहिए?")</f>
        <v>मलखम्ब प्रतियोगिता के दौरान, यदि कोई कलाकार दर्शकों को आकर्षित करने में तो उत्कृष्ट है, लेकिन तकनीकी निष्पादन में संघर्ष करता है, तो उन्हें अपनी तैयारी में किस पर ध्यान केंद्रित करना चाहिए?</v>
      </c>
      <c r="H118" s="5" t="str">
        <f>IFERROR(__xludf.DUMMYFUNCTION("GOOGLETRANSLATE(C118, ""en"", ""hi"")"),"ए) दर्शकों की सहभागिता, बी) तकनीकी निष्पादन और सटीकता, सी) पोज़ रचनात्मकता, डी) दिनचर्या की लंबाई")</f>
        <v>ए) दर्शकों की सहभागिता, बी) तकनीकी निष्पादन और सटीकता, सी) पोज़ रचनात्मकता, डी) दिनचर्या की लंबाई</v>
      </c>
      <c r="I118" s="5" t="str">
        <f>IFERROR(__xludf.DUMMYFUNCTION("GOOGLETRANSLATE(D118, ""en"", ""hi"")"),"बी) तकनीकी निष्पादन और सटीकता")</f>
        <v>बी) तकनीकी निष्पादन और सटीकता</v>
      </c>
    </row>
    <row r="119" ht="22.5" customHeight="1">
      <c r="A119" s="2">
        <v>118.0</v>
      </c>
      <c r="B119" s="3" t="s">
        <v>10287</v>
      </c>
      <c r="C119" s="3" t="s">
        <v>10288</v>
      </c>
      <c r="D119" s="3" t="s">
        <v>10289</v>
      </c>
      <c r="F119" s="5" t="str">
        <f>IFERROR(__xludf.DUMMYFUNCTION("GOOGLETRANSLATE(A119, ""en"", ""hi"")"),"118")</f>
        <v>118</v>
      </c>
      <c r="G119" s="5" t="str">
        <f>IFERROR(__xludf.DUMMYFUNCTION("GOOGLETRANSLATE(B119, ""en"", ""hi"")"),"मलखम्ब कलाकार अपने मज़बूत संतुलन के लिए जाने जाते हैं, लेकिन उन्हें अपनी लय की जटिलता सुधारने के लिए फीडबैक भी मिलता है। उन्हें किस पर ध्यान केंद्रित करना चाहिए?")</f>
        <v>मलखम्ब कलाकार अपने मज़बूत संतुलन के लिए जाने जाते हैं, लेकिन उन्हें अपनी लय की जटिलता सुधारने के लिए फीडबैक भी मिलता है। उन्हें किस पर ध्यान केंद्रित करना चाहिए?</v>
      </c>
      <c r="H119" s="5" t="str">
        <f>IFERROR(__xludf.DUMMYFUNCTION("GOOGLETRANSLATE(C119, ""en"", ""hi"")"),"A) संतुलन, B) आसन की कठिनाई बढ़ाना, C) प्रस्तुति कौशल, D) नियमित अवधि")</f>
        <v>A) संतुलन, B) आसन की कठिनाई बढ़ाना, C) प्रस्तुति कौशल, D) नियमित अवधि</v>
      </c>
      <c r="I119" s="5" t="str">
        <f>IFERROR(__xludf.DUMMYFUNCTION("GOOGLETRANSLATE(D119, ""en"", ""hi"")"),"बी) आसन की कठिनाई बढ़ाना")</f>
        <v>बी) आसन की कठिनाई बढ़ाना</v>
      </c>
    </row>
    <row r="120" ht="22.5" customHeight="1">
      <c r="A120" s="2">
        <v>119.0</v>
      </c>
      <c r="B120" s="3" t="s">
        <v>10290</v>
      </c>
      <c r="C120" s="3" t="s">
        <v>10291</v>
      </c>
      <c r="D120" s="3" t="s">
        <v>10292</v>
      </c>
      <c r="F120" s="5" t="str">
        <f>IFERROR(__xludf.DUMMYFUNCTION("GOOGLETRANSLATE(A120, ""en"", ""hi"")"),"119")</f>
        <v>119</v>
      </c>
      <c r="G120" s="5" t="str">
        <f>IFERROR(__xludf.DUMMYFUNCTION("GOOGLETRANSLATE(B120, ""en"", ""hi"")"),"यदि किसी मलखम्ब कलाकार की प्रस्तुति की प्रशंसा की जाती है, लेकिन उसे अपने तकनीकी कौशल में सुधार करने की आवश्यकता है, तो उनका ध्यान किस ओर होना चाहिए?")</f>
        <v>यदि किसी मलखम्ब कलाकार की प्रस्तुति की प्रशंसा की जाती है, लेकिन उसे अपने तकनीकी कौशल में सुधार करने की आवश्यकता है, तो उनका ध्यान किस ओर होना चाहिए?</v>
      </c>
      <c r="H120" s="5" t="str">
        <f>IFERROR(__xludf.DUMMYFUNCTION("GOOGLETRANSLATE(C120, ""en"", ""hi"")"),"ए) प्रस्तुति, बी) तकनीकी कौशल और निष्पादन, सी) मुद्रा रचनात्मकता, डी) दिनचर्या की लंबाई")</f>
        <v>ए) प्रस्तुति, बी) तकनीकी कौशल और निष्पादन, सी) मुद्रा रचनात्मकता, डी) दिनचर्या की लंबाई</v>
      </c>
      <c r="I120" s="5" t="str">
        <f>IFERROR(__xludf.DUMMYFUNCTION("GOOGLETRANSLATE(D120, ""en"", ""hi"")"),"बी) तकनीकी कौशल और निष्पादन")</f>
        <v>बी) तकनीकी कौशल और निष्पादन</v>
      </c>
    </row>
    <row r="121" ht="22.5" customHeight="1">
      <c r="A121" s="2">
        <v>120.0</v>
      </c>
      <c r="B121" s="3" t="s">
        <v>10293</v>
      </c>
      <c r="C121" s="3" t="s">
        <v>10294</v>
      </c>
      <c r="D121" s="3" t="s">
        <v>10295</v>
      </c>
      <c r="F121" s="5" t="str">
        <f>IFERROR(__xludf.DUMMYFUNCTION("GOOGLETRANSLATE(A121, ""en"", ""hi"")"),"120")</f>
        <v>120</v>
      </c>
      <c r="G121" s="5" t="str">
        <f>IFERROR(__xludf.DUMMYFUNCTION("GOOGLETRANSLATE(B121, ""en"", ""hi"")"),"मलखम्ब कार्यक्रम के दौरान यदि किसी कलाकार को दबाव में संयम बनाए रखने में कठिनाई होती है, तो वे अपने प्रदर्शन को बेहतर बनाने के लिए क्या कर सकते हैं?")</f>
        <v>मलखम्ब कार्यक्रम के दौरान यदि किसी कलाकार को दबाव में संयम बनाए रखने में कठिनाई होती है, तो वे अपने प्रदर्शन को बेहतर बनाने के लिए क्या कर सकते हैं?</v>
      </c>
      <c r="H121" s="5" t="str">
        <f>IFERROR(__xludf.DUMMYFUNCTION("GOOGLETRANSLATE(C121, ""en"", ""hi"")"),"A) अधिक बार अभ्यास करें, B) विश्राम तकनीकों और मानसिक तैयारी पर काम करें, C) आसन की कठिनाई बढ़ाएँ, D) दर्शकों के साथ बातचीत पर ध्यान केंद्रित करें")</f>
        <v>A) अधिक बार अभ्यास करें, B) विश्राम तकनीकों और मानसिक तैयारी पर काम करें, C) आसन की कठिनाई बढ़ाएँ, D) दर्शकों के साथ बातचीत पर ध्यान केंद्रित करें</v>
      </c>
      <c r="I121" s="5" t="str">
        <f>IFERROR(__xludf.DUMMYFUNCTION("GOOGLETRANSLATE(D121, ""en"", ""hi"")"),"बी) विश्राम तकनीकों और मानसिक तैयारी पर काम करें")</f>
        <v>बी) विश्राम तकनीकों और मानसिक तैयारी पर काम करें</v>
      </c>
    </row>
    <row r="122" ht="22.5" customHeight="1">
      <c r="A122" s="2">
        <v>121.0</v>
      </c>
      <c r="B122" s="3" t="s">
        <v>10296</v>
      </c>
      <c r="C122" s="3" t="s">
        <v>10297</v>
      </c>
      <c r="D122" s="3" t="s">
        <v>10298</v>
      </c>
      <c r="F122" s="5" t="str">
        <f>IFERROR(__xludf.DUMMYFUNCTION("GOOGLETRANSLATE(A122, ""en"", ""hi"")"),"121")</f>
        <v>121</v>
      </c>
      <c r="G122" s="5" t="str">
        <f>IFERROR(__xludf.DUMMYFUNCTION("GOOGLETRANSLATE(B122, ""en"", ""hi"")"),"मलखंभ कलाकारों को यह फीडबैक मिलता है कि उनके प्रदर्शन में मौलिकता का अभाव है। उन्हें अपने प्रदर्शन को बेहतर बनाने के लिए किस पर ध्यान केंद्रित करना चाहिए?")</f>
        <v>मलखंभ कलाकारों को यह फीडबैक मिलता है कि उनके प्रदर्शन में मौलिकता का अभाव है। उन्हें अपने प्रदर्शन को बेहतर बनाने के लिए किस पर ध्यान केंद्रित करना चाहिए?</v>
      </c>
      <c r="H122" s="5" t="str">
        <f>IFERROR(__xludf.DUMMYFUNCTION("GOOGLETRANSLATE(C122, ""en"", ""hi"")"),"A) अधिक अनोखे पोज़ जोड़ना, B) निष्पादन में सुधार करना, C) संतुलन बढ़ाना, D) दिनचर्या की अवधि बढ़ाना")</f>
        <v>A) अधिक अनोखे पोज़ जोड़ना, B) निष्पादन में सुधार करना, C) संतुलन बढ़ाना, D) दिनचर्या की अवधि बढ़ाना</v>
      </c>
      <c r="I122" s="5" t="str">
        <f>IFERROR(__xludf.DUMMYFUNCTION("GOOGLETRANSLATE(D122, ""en"", ""hi"")"),"A) अधिक अनोखे पोज़ जोड़ना")</f>
        <v>A) अधिक अनोखे पोज़ जोड़ना</v>
      </c>
    </row>
    <row r="123" ht="22.5" customHeight="1">
      <c r="A123" s="2">
        <v>122.0</v>
      </c>
      <c r="B123" s="3" t="s">
        <v>10299</v>
      </c>
      <c r="C123" s="3" t="s">
        <v>10300</v>
      </c>
      <c r="D123" s="3" t="s">
        <v>10269</v>
      </c>
      <c r="F123" s="5" t="str">
        <f>IFERROR(__xludf.DUMMYFUNCTION("GOOGLETRANSLATE(A123, ""en"", ""hi"")"),"122")</f>
        <v>122</v>
      </c>
      <c r="G123" s="5" t="str">
        <f>IFERROR(__xludf.DUMMYFUNCTION("GOOGLETRANSLATE(B123, ""en"", ""hi"")"),"मलखम्ब प्रतियोगिता में यदि कोई कलाकार अपने उत्कृष्ट प्रदर्शन के लिए जाना जाता है, लेकिन उसे अपनी प्रस्तुति में सुधार की आवश्यकता है, तो उसे किस पहलू पर काम करना चाहिए?")</f>
        <v>मलखम्ब प्रतियोगिता में यदि कोई कलाकार अपने उत्कृष्ट प्रदर्शन के लिए जाना जाता है, लेकिन उसे अपनी प्रस्तुति में सुधार की आवश्यकता है, तो उसे किस पहलू पर काम करना चाहिए?</v>
      </c>
      <c r="H123" s="5" t="str">
        <f>IFERROR(__xludf.DUMMYFUNCTION("GOOGLETRANSLATE(C123, ""en"", ""hi"")"),"ए) निष्पादन, बी) दर्शकों की बातचीत और अभिव्यक्ति, सी) मुद्रा की कठिनाई, डी) दिनचर्या की लंबाई")</f>
        <v>ए) निष्पादन, बी) दर्शकों की बातचीत और अभिव्यक्ति, सी) मुद्रा की कठिनाई, डी) दिनचर्या की लंबाई</v>
      </c>
      <c r="I123" s="5" t="str">
        <f>IFERROR(__xludf.DUMMYFUNCTION("GOOGLETRANSLATE(D123, ""en"", ""hi"")"),"बी) दर्शकों की बातचीत और अभिव्यक्ति")</f>
        <v>बी) दर्शकों की बातचीत और अभिव्यक्ति</v>
      </c>
    </row>
    <row r="124" ht="22.5" customHeight="1">
      <c r="A124" s="2">
        <v>123.0</v>
      </c>
      <c r="B124" s="3" t="s">
        <v>10301</v>
      </c>
      <c r="C124" s="3" t="s">
        <v>10302</v>
      </c>
      <c r="D124" s="3" t="s">
        <v>10303</v>
      </c>
      <c r="F124" s="5" t="str">
        <f>IFERROR(__xludf.DUMMYFUNCTION("GOOGLETRANSLATE(A124, ""en"", ""hi"")"),"123")</f>
        <v>123</v>
      </c>
      <c r="G124" s="5" t="str">
        <f>IFERROR(__xludf.DUMMYFUNCTION("GOOGLETRANSLATE(B124, ""en"", ""hi"")"),"यदि किसी मलखम्ब कलाकार की मुद्राओं के बीच सहज परिवर्तन की कमी के लिए आलोचना की जाती है, तो उन्हें अपने अभ्यास सत्रों में इसका समाधान कैसे करना चाहिए?")</f>
        <v>यदि किसी मलखम्ब कलाकार की मुद्राओं के बीच सहज परिवर्तन की कमी के लिए आलोचना की जाती है, तो उन्हें अपने अभ्यास सत्रों में इसका समाधान कैसे करना चाहिए?</v>
      </c>
      <c r="H124" s="5" t="str">
        <f>IFERROR(__xludf.DUMMYFUNCTION("GOOGLETRANSLATE(C124, ""en"", ""hi"")"),"ए) पोज़ की संख्या बढ़ाएँ, बी) पोज़ के बीच संक्रमण का अभ्यास करने पर ध्यान केंद्रित करें, सी) दर्शकों की सहभागिता बढ़ाएँ, डी) नियमित समय कम करें")</f>
        <v>ए) पोज़ की संख्या बढ़ाएँ, बी) पोज़ के बीच संक्रमण का अभ्यास करने पर ध्यान केंद्रित करें, सी) दर्शकों की सहभागिता बढ़ाएँ, डी) नियमित समय कम करें</v>
      </c>
      <c r="I124" s="5" t="str">
        <f>IFERROR(__xludf.DUMMYFUNCTION("GOOGLETRANSLATE(D124, ""en"", ""hi"")"),"बी) आसनों के बीच संक्रमण का अभ्यास करने पर ध्यान केंद्रित करें")</f>
        <v>बी) आसनों के बीच संक्रमण का अभ्यास करने पर ध्यान केंद्रित करें</v>
      </c>
    </row>
    <row r="125" ht="22.5" customHeight="1">
      <c r="A125" s="2">
        <v>124.0</v>
      </c>
      <c r="B125" s="3" t="s">
        <v>10304</v>
      </c>
      <c r="C125" s="3" t="s">
        <v>10305</v>
      </c>
      <c r="D125" s="3" t="s">
        <v>10306</v>
      </c>
      <c r="F125" s="5" t="str">
        <f>IFERROR(__xludf.DUMMYFUNCTION("GOOGLETRANSLATE(A125, ""en"", ""hi"")"),"124")</f>
        <v>124</v>
      </c>
      <c r="G125" s="5" t="str">
        <f>IFERROR(__xludf.DUMMYFUNCTION("GOOGLETRANSLATE(B125, ""en"", ""hi"")"),"एक मलखंभ कलाकार कठिनाई और संतुलन पर केंद्रित एक प्रतियोगिता में भाग ले रहा है। अभ्यास के दौरान उनका प्राथमिक ध्यान किस पर होना चाहिए?")</f>
        <v>एक मलखंभ कलाकार कठिनाई और संतुलन पर केंद्रित एक प्रतियोगिता में भाग ले रहा है। अभ्यास के दौरान उनका प्राथमिक ध्यान किस पर होना चाहिए?</v>
      </c>
      <c r="H125" s="5" t="str">
        <f>IFERROR(__xludf.DUMMYFUNCTION("GOOGLETRANSLATE(C125, ""en"", ""hi"")"),"ए) दिनचर्या की लंबाई, बी) मुद्रा की कठिनाई और संतुलन, सी) दर्शकों के साथ बातचीत, डी) प्रस्तुति कौशल")</f>
        <v>ए) दिनचर्या की लंबाई, बी) मुद्रा की कठिनाई और संतुलन, सी) दर्शकों के साथ बातचीत, डी) प्रस्तुति कौशल</v>
      </c>
      <c r="I125" s="5" t="str">
        <f>IFERROR(__xludf.DUMMYFUNCTION("GOOGLETRANSLATE(D125, ""en"", ""hi"")"),"बी) कठिनाई और संतुलन मुद्रा")</f>
        <v>बी) कठिनाई और संतुलन मुद्रा</v>
      </c>
    </row>
    <row r="126" ht="22.5" customHeight="1">
      <c r="A126" s="2">
        <v>125.0</v>
      </c>
      <c r="B126" s="3" t="s">
        <v>10307</v>
      </c>
      <c r="C126" s="3" t="s">
        <v>10308</v>
      </c>
      <c r="D126" s="3" t="s">
        <v>10309</v>
      </c>
      <c r="F126" s="5" t="str">
        <f>IFERROR(__xludf.DUMMYFUNCTION("GOOGLETRANSLATE(A126, ""en"", ""hi"")"),"125")</f>
        <v>125</v>
      </c>
      <c r="G126" s="5" t="str">
        <f>IFERROR(__xludf.DUMMYFUNCTION("GOOGLETRANSLATE(B126, ""en"", ""hi"")"),"मलखम्ब कार्यक्रम के दौरान, यदि कोई कलाकार दर्शकों के साथ अपने मजबूत जुड़ाव के लिए जाना जाता है, लेकिन तकनीकी निष्पादन में संघर्ष करता है, तो उन्हें अपनी तैयारी में किस बात को प्राथमिकता देनी चाहिए?")</f>
        <v>मलखम्ब कार्यक्रम के दौरान, यदि कोई कलाकार दर्शकों के साथ अपने मजबूत जुड़ाव के लिए जाना जाता है, लेकिन तकनीकी निष्पादन में संघर्ष करता है, तो उन्हें अपनी तैयारी में किस बात को प्राथमिकता देनी चाहिए?</v>
      </c>
      <c r="H126" s="5" t="str">
        <f>IFERROR(__xludf.DUMMYFUNCTION("GOOGLETRANSLATE(C126, ""en"", ""hi"")"),"ए) दर्शकों से जुड़ाव, बी) तकनीकी निष्पादन और तकनीक, सी) मुद्रा रचनात्मकता, डी) दिनचर्या की लंबाई")</f>
        <v>ए) दर्शकों से जुड़ाव, बी) तकनीकी निष्पादन और तकनीक, सी) मुद्रा रचनात्मकता, डी) दिनचर्या की लंबाई</v>
      </c>
      <c r="I126" s="5" t="str">
        <f>IFERROR(__xludf.DUMMYFUNCTION("GOOGLETRANSLATE(D126, ""en"", ""hi"")"),"बी) तकनीकी निष्पादन और तकनीक")</f>
        <v>बी) तकनीकी निष्पादन और तकनीक</v>
      </c>
    </row>
    <row r="127" ht="22.5" customHeight="1">
      <c r="A127" s="2">
        <v>126.0</v>
      </c>
      <c r="B127" s="3" t="s">
        <v>10310</v>
      </c>
      <c r="C127" s="3" t="s">
        <v>10311</v>
      </c>
      <c r="D127" s="3" t="s">
        <v>10312</v>
      </c>
      <c r="F127" s="5" t="str">
        <f>IFERROR(__xludf.DUMMYFUNCTION("GOOGLETRANSLATE(A127, ""en"", ""hi"")"),"126")</f>
        <v>126</v>
      </c>
      <c r="G127" s="5" t="str">
        <f>IFERROR(__xludf.DUMMYFUNCTION("GOOGLETRANSLATE(B127, ""en"", ""hi"")"),"यदि किसी मलखम्ब कलाकार को अपनी दिनचर्या की जटिलता में सुधार की आवश्यकता के बारे में फीडबैक प्राप्त होता है, तो उन्हें किस पर ध्यान केंद्रित करना चाहिए?")</f>
        <v>यदि किसी मलखम्ब कलाकार को अपनी दिनचर्या की जटिलता में सुधार की आवश्यकता के बारे में फीडबैक प्राप्त होता है, तो उन्हें किस पर ध्यान केंद्रित करना चाहिए?</v>
      </c>
      <c r="H127" s="5" t="str">
        <f>IFERROR(__xludf.DUMMYFUNCTION("GOOGLETRANSLATE(C127, ""en"", ""hi"")"),"A) पोज़ की संख्या बढ़ाना, B) अपनी दिनचर्या में अधिक चुनौतीपूर्ण तत्व जोड़ना, C) प्रस्तुति कौशल में सुधार करना, D) संतुलन बढ़ाना")</f>
        <v>A) पोज़ की संख्या बढ़ाना, B) अपनी दिनचर्या में अधिक चुनौतीपूर्ण तत्व जोड़ना, C) प्रस्तुति कौशल में सुधार करना, D) संतुलन बढ़ाना</v>
      </c>
      <c r="I127" s="5" t="str">
        <f>IFERROR(__xludf.DUMMYFUNCTION("GOOGLETRANSLATE(D127, ""en"", ""hi"")"),"बी) अपनी दिनचर्या में अधिक चुनौतीपूर्ण तत्व जोड़ना")</f>
        <v>बी) अपनी दिनचर्या में अधिक चुनौतीपूर्ण तत्व जोड़ना</v>
      </c>
    </row>
    <row r="128" ht="22.5" customHeight="1">
      <c r="A128" s="2">
        <v>127.0</v>
      </c>
      <c r="B128" s="3" t="s">
        <v>10313</v>
      </c>
      <c r="C128" s="3" t="s">
        <v>10314</v>
      </c>
      <c r="D128" s="3" t="s">
        <v>10315</v>
      </c>
      <c r="F128" s="5" t="str">
        <f>IFERROR(__xludf.DUMMYFUNCTION("GOOGLETRANSLATE(A128, ""en"", ""hi"")"),"127")</f>
        <v>127</v>
      </c>
      <c r="G128" s="5" t="str">
        <f>IFERROR(__xludf.DUMMYFUNCTION("GOOGLETRANSLATE(B128, ""en"", ""hi"")"),"एक मलखंभ कलाकार एक ऐसी प्रतियोगिता की तैयारी कर रहा है जिसमें रचनात्मकता पर बहुत ज़ोर दिया जाता है। इस पहलू में उत्कृष्टता प्राप्त करने के लिए उन्हें किस पर ध्यान केंद्रित करना चाहिए?")</f>
        <v>एक मलखंभ कलाकार एक ऐसी प्रतियोगिता की तैयारी कर रहा है जिसमें रचनात्मकता पर बहुत ज़ोर दिया जाता है। इस पहलू में उत्कृष्टता प्राप्त करने के लिए उन्हें किस पर ध्यान केंद्रित करना चाहिए?</v>
      </c>
      <c r="H128" s="5" t="str">
        <f>IFERROR(__xludf.DUMMYFUNCTION("GOOGLETRANSLATE(C128, ""en"", ""hi"")"),"A) तकनीकी कौशल को बढ़ाना, B) अद्वितीय और रचनात्मक दिनचर्या विकसित करना, C) मुद्रा की कठिनाई को बढ़ाना, D) दर्शकों के साथ बातचीत में सुधार करना")</f>
        <v>A) तकनीकी कौशल को बढ़ाना, B) अद्वितीय और रचनात्मक दिनचर्या विकसित करना, C) मुद्रा की कठिनाई को बढ़ाना, D) दर्शकों के साथ बातचीत में सुधार करना</v>
      </c>
      <c r="I128" s="5" t="str">
        <f>IFERROR(__xludf.DUMMYFUNCTION("GOOGLETRANSLATE(D128, ""en"", ""hi"")"),"बी) अद्वितीय और रचनात्मक दिनचर्या विकसित करना")</f>
        <v>बी) अद्वितीय और रचनात्मक दिनचर्या विकसित करना</v>
      </c>
    </row>
    <row r="129" ht="22.5" customHeight="1">
      <c r="A129" s="2">
        <v>128.0</v>
      </c>
      <c r="B129" s="3" t="s">
        <v>10316</v>
      </c>
      <c r="C129" s="3" t="s">
        <v>10317</v>
      </c>
      <c r="D129" s="3" t="s">
        <v>10318</v>
      </c>
      <c r="F129" s="5" t="str">
        <f>IFERROR(__xludf.DUMMYFUNCTION("GOOGLETRANSLATE(A129, ""en"", ""hi"")"),"128")</f>
        <v>128</v>
      </c>
      <c r="G129" s="5" t="str">
        <f>IFERROR(__xludf.DUMMYFUNCTION("GOOGLETRANSLATE(B129, ""en"", ""hi"")"),"मलखम्ब प्रदर्शन के दौरान, यदि किसी कलाकार को तकनीकी निष्पादन के लिए उच्च अंक प्राप्त होते हैं, लेकिन रचनात्मकता के लिए कम अंक मिलते हैं, तो उन्हें अपने समग्र स्कोर को बेहतर बनाने के लिए क्या करना चाहिए?")</f>
        <v>मलखम्ब प्रदर्शन के दौरान, यदि किसी कलाकार को तकनीकी निष्पादन के लिए उच्च अंक प्राप्त होते हैं, लेकिन रचनात्मकता के लिए कम अंक मिलते हैं, तो उन्हें अपने समग्र स्कोर को बेहतर बनाने के लिए क्या करना चाहिए?</v>
      </c>
      <c r="H129" s="5" t="str">
        <f>IFERROR(__xludf.DUMMYFUNCTION("GOOGLETRANSLATE(C129, ""en"", ""hi"")"),"A) तकनीकी निष्पादन पर ध्यान केंद्रित करें, B) अपने पोज़ की रचनात्मकता को बढ़ाएँ, C) संतुलन पर काम करें, D) प्रस्तुति कौशल को बढ़ाएँ")</f>
        <v>A) तकनीकी निष्पादन पर ध्यान केंद्रित करें, B) अपने पोज़ की रचनात्मकता को बढ़ाएँ, C) संतुलन पर काम करें, D) प्रस्तुति कौशल को बढ़ाएँ</v>
      </c>
      <c r="I129" s="5" t="str">
        <f>IFERROR(__xludf.DUMMYFUNCTION("GOOGLETRANSLATE(D129, ""en"", ""hi"")"),"बी) उनकी मुद्राओं की रचनात्मकता को बढ़ाना")</f>
        <v>बी) उनकी मुद्राओं की रचनात्मकता को बढ़ाना</v>
      </c>
    </row>
    <row r="130" ht="22.5" customHeight="1">
      <c r="A130" s="2">
        <v>129.0</v>
      </c>
      <c r="B130" s="3" t="s">
        <v>10319</v>
      </c>
      <c r="C130" s="3" t="s">
        <v>10320</v>
      </c>
      <c r="D130" s="3" t="s">
        <v>10321</v>
      </c>
      <c r="F130" s="5" t="str">
        <f>IFERROR(__xludf.DUMMYFUNCTION("GOOGLETRANSLATE(A130, ""en"", ""hi"")"),"129")</f>
        <v>129</v>
      </c>
      <c r="G130" s="5" t="str">
        <f>IFERROR(__xludf.DUMMYFUNCTION("GOOGLETRANSLATE(B130, ""en"", ""hi"")"),"मलखंभ कलाकार को यह फीडबैक मिलता है कि उनकी दिनचर्या में सहज बदलाव की कमी है। इस फीडबैक को संबोधित करने के लिए उनका ध्यान किस पर होना चाहिए?")</f>
        <v>मलखंभ कलाकार को यह फीडबैक मिलता है कि उनकी दिनचर्या में सहज बदलाव की कमी है। इस फीडबैक को संबोधित करने के लिए उनका ध्यान किस पर होना चाहिए?</v>
      </c>
      <c r="H130" s="5" t="str">
        <f>IFERROR(__xludf.DUMMYFUNCTION("GOOGLETRANSLATE(C130, ""en"", ""hi"")"),"ए) अधिक आसन का अभ्यास करें, बी) आसन के बीच संक्रमण को बेहतर बनाने पर काम करें, सी) तकनीकी निष्पादन को बढ़ाएं, डी) नियमित लंबाई बढ़ाएं")</f>
        <v>ए) अधिक आसन का अभ्यास करें, बी) आसन के बीच संक्रमण को बेहतर बनाने पर काम करें, सी) तकनीकी निष्पादन को बढ़ाएं, डी) नियमित लंबाई बढ़ाएं</v>
      </c>
      <c r="I130" s="5" t="str">
        <f>IFERROR(__xludf.DUMMYFUNCTION("GOOGLETRANSLATE(D130, ""en"", ""hi"")"),"बी) पोज़ के बीच संक्रमण को बेहतर बनाने पर काम करें")</f>
        <v>बी) पोज़ के बीच संक्रमण को बेहतर बनाने पर काम करें</v>
      </c>
    </row>
    <row r="131" ht="22.5" customHeight="1">
      <c r="A131" s="2">
        <v>130.0</v>
      </c>
      <c r="B131" s="3" t="s">
        <v>10322</v>
      </c>
      <c r="C131" s="3" t="s">
        <v>10323</v>
      </c>
      <c r="D131" s="3" t="s">
        <v>10324</v>
      </c>
      <c r="F131" s="5" t="str">
        <f>IFERROR(__xludf.DUMMYFUNCTION("GOOGLETRANSLATE(A131, ""en"", ""hi"")"),"130")</f>
        <v>130</v>
      </c>
      <c r="G131" s="5" t="str">
        <f>IFERROR(__xludf.DUMMYFUNCTION("GOOGLETRANSLATE(B131, ""en"", ""hi"")"),"मलखंभ प्रतियोगिता के दौरान, एक कलाकार हवाई पोज़ का एक प्रभावशाली सेट पूरा करता है, लेकिन समय के साथ संघर्ष करता है। सुधार के लिए उन्हें किस पर ध्यान केंद्रित करना चाहिए?")</f>
        <v>मलखंभ प्रतियोगिता के दौरान, एक कलाकार हवाई पोज़ का एक प्रभावशाली सेट पूरा करता है, लेकिन समय के साथ संघर्ष करता है। सुधार के लिए उन्हें किस पर ध्यान केंद्रित करना चाहिए?</v>
      </c>
      <c r="H131" s="5" t="str">
        <f>IFERROR(__xludf.DUMMYFUNCTION("GOOGLETRANSLATE(C131, ""en"", ""hi"")"),"ए) हवाई कठिनाई में वृद्धि, बी) समय और समन्वय में सुधार, सी) अधिक पोज़ जोड़ना, डी) रूटीन की लंबाई बढ़ाना")</f>
        <v>ए) हवाई कठिनाई में वृद्धि, बी) समय और समन्वय में सुधार, सी) अधिक पोज़ जोड़ना, डी) रूटीन की लंबाई बढ़ाना</v>
      </c>
      <c r="I131" s="5" t="str">
        <f>IFERROR(__xludf.DUMMYFUNCTION("GOOGLETRANSLATE(D131, ""en"", ""hi"")"),"बी) समय और समन्वय में सुधार")</f>
        <v>बी) समय और समन्वय में सुधार</v>
      </c>
    </row>
    <row r="132" ht="22.5" customHeight="1">
      <c r="A132" s="2">
        <v>131.0</v>
      </c>
      <c r="B132" s="3" t="s">
        <v>10325</v>
      </c>
      <c r="C132" s="3" t="s">
        <v>10326</v>
      </c>
      <c r="D132" s="3" t="s">
        <v>10327</v>
      </c>
      <c r="F132" s="5" t="str">
        <f>IFERROR(__xludf.DUMMYFUNCTION("GOOGLETRANSLATE(A132, ""en"", ""hi"")"),"131")</f>
        <v>131</v>
      </c>
      <c r="G132" s="5" t="str">
        <f>IFERROR(__xludf.DUMMYFUNCTION("GOOGLETRANSLATE(B132, ""en"", ""hi"")"),"मलखम्ब कलाकार अपने लचीलेपन के लिए जाने जाते हैं, लेकिन अपने अभ्यास के अंत में उनमें सहनशक्ति की कमी हो जाती है। उन्हें किस पर काम करना चाहिए?")</f>
        <v>मलखम्ब कलाकार अपने लचीलेपन के लिए जाने जाते हैं, लेकिन अपने अभ्यास के अंत में उनमें सहनशक्ति की कमी हो जाती है। उन्हें किस पर काम करना चाहिए?</v>
      </c>
      <c r="H132" s="5" t="str">
        <f>IFERROR(__xludf.DUMMYFUNCTION("GOOGLETRANSLATE(C132, ""en"", ""hi"")"),"ए) लचीलापन, बी) सहनशक्ति और धीरज, सी) मुद्रा में कठिनाई, डी) नियमित रचनात्मकता")</f>
        <v>ए) लचीलापन, बी) सहनशक्ति और धीरज, सी) मुद्रा में कठिनाई, डी) नियमित रचनात्मकता</v>
      </c>
      <c r="I132" s="5" t="str">
        <f>IFERROR(__xludf.DUMMYFUNCTION("GOOGLETRANSLATE(D132, ""en"", ""hi"")"),"बी) सहनशक्ति और धीरज")</f>
        <v>बी) सहनशक्ति और धीरज</v>
      </c>
    </row>
    <row r="133" ht="22.5" customHeight="1">
      <c r="A133" s="2">
        <v>132.0</v>
      </c>
      <c r="B133" s="3" t="s">
        <v>10328</v>
      </c>
      <c r="C133" s="3" t="s">
        <v>10329</v>
      </c>
      <c r="D133" s="3" t="s">
        <v>10231</v>
      </c>
      <c r="F133" s="5" t="str">
        <f>IFERROR(__xludf.DUMMYFUNCTION("GOOGLETRANSLATE(A133, ""en"", ""hi"")"),"132")</f>
        <v>132</v>
      </c>
      <c r="G133" s="5" t="str">
        <f>IFERROR(__xludf.DUMMYFUNCTION("GOOGLETRANSLATE(B133, ""en"", ""hi"")"),"मलखंभ कार्यक्रम के दौरान, कलाकार की मुद्राओं की प्रशंसा की जाती है, लेकिन दर्शकों के साथ संवाद बढ़ाने के लिए उन्हें फीडबैक भी दिया जाता है। उन्हें किस चीज़ को प्राथमिकता देनी चाहिए?")</f>
        <v>मलखंभ कार्यक्रम के दौरान, कलाकार की मुद्राओं की प्रशंसा की जाती है, लेकिन दर्शकों के साथ संवाद बढ़ाने के लिए उन्हें फीडबैक भी दिया जाता है। उन्हें किस चीज़ को प्राथमिकता देनी चाहिए?</v>
      </c>
      <c r="H133" s="5" t="str">
        <f>IFERROR(__xludf.DUMMYFUNCTION("GOOGLETRANSLATE(C133, ""en"", ""hi"")"),"ए) पोज़ की जटिलता, बी) दर्शकों की सहभागिता और अभिव्यक्ति, सी) रूटीन की गति बढ़ाना, डी) पोज़ की अवधि कम करना")</f>
        <v>ए) पोज़ की जटिलता, बी) दर्शकों की सहभागिता और अभिव्यक्ति, सी) रूटीन की गति बढ़ाना, डी) पोज़ की अवधि कम करना</v>
      </c>
      <c r="I133" s="5" t="str">
        <f>IFERROR(__xludf.DUMMYFUNCTION("GOOGLETRANSLATE(D133, ""en"", ""hi"")"),"बी) दर्शकों की सहभागिता और अभिव्यक्ति")</f>
        <v>बी) दर्शकों की सहभागिता और अभिव्यक्ति</v>
      </c>
    </row>
    <row r="134" ht="22.5" customHeight="1">
      <c r="A134" s="2">
        <v>133.0</v>
      </c>
      <c r="B134" s="3" t="s">
        <v>10330</v>
      </c>
      <c r="C134" s="3" t="s">
        <v>10331</v>
      </c>
      <c r="D134" s="3" t="s">
        <v>10332</v>
      </c>
      <c r="F134" s="5" t="str">
        <f>IFERROR(__xludf.DUMMYFUNCTION("GOOGLETRANSLATE(A134, ""en"", ""hi"")"),"133")</f>
        <v>133</v>
      </c>
      <c r="G134" s="5" t="str">
        <f>IFERROR(__xludf.DUMMYFUNCTION("GOOGLETRANSLATE(B134, ""en"", ""hi"")"),"मलखंभ कलाकार को ऊपरी शरीर की ताकत के लिए ज़्यादा अंक मिलते हैं, लेकिन रचनात्मकता के लिए कम अंक मिलते हैं। भविष्य में उन्हें किस पर ध्यान केंद्रित करना चाहिए?")</f>
        <v>मलखंभ कलाकार को ऊपरी शरीर की ताकत के लिए ज़्यादा अंक मिलते हैं, लेकिन रचनात्मकता के लिए कम अंक मिलते हैं। भविष्य में उन्हें किस पर ध्यान केंद्रित करना चाहिए?</v>
      </c>
      <c r="H134" s="5" t="str">
        <f>IFERROR(__xludf.DUMMYFUNCTION("GOOGLETRANSLATE(C134, ""en"", ""hi"")"),"A) रचनात्मकता और मौलिकता, B) शक्ति, C) मुद्रा की अवधि बढ़ाना, D) संतुलन में सुधार")</f>
        <v>A) रचनात्मकता और मौलिकता, B) शक्ति, C) मुद्रा की अवधि बढ़ाना, D) संतुलन में सुधार</v>
      </c>
      <c r="I134" s="5" t="str">
        <f>IFERROR(__xludf.DUMMYFUNCTION("GOOGLETRANSLATE(D134, ""en"", ""hi"")"),"ए) रचनात्मकता और मौलिकता")</f>
        <v>ए) रचनात्मकता और मौलिकता</v>
      </c>
    </row>
    <row r="135" ht="22.5" customHeight="1">
      <c r="A135" s="2">
        <v>134.0</v>
      </c>
      <c r="B135" s="3" t="s">
        <v>10333</v>
      </c>
      <c r="C135" s="3" t="s">
        <v>10334</v>
      </c>
      <c r="D135" s="3" t="s">
        <v>10335</v>
      </c>
      <c r="F135" s="5" t="str">
        <f>IFERROR(__xludf.DUMMYFUNCTION("GOOGLETRANSLATE(A135, ""en"", ""hi"")"),"134")</f>
        <v>134</v>
      </c>
      <c r="G135" s="5" t="str">
        <f>IFERROR(__xludf.DUMMYFUNCTION("GOOGLETRANSLATE(B135, ""en"", ""hi"")"),"मलखंभ प्रदर्शन के दौरान, कलाकार कठिन मुद्राएँ तो करता है, लेकिन सहज परिवर्तन करने में उसे कठिनाई होती है। उन्हें किस पर काम करना चाहिए?")</f>
        <v>मलखंभ प्रदर्शन के दौरान, कलाकार कठिन मुद्राएँ तो करता है, लेकिन सहज परिवर्तन करने में उसे कठिनाई होती है। उन्हें किस पर काम करना चाहिए?</v>
      </c>
      <c r="H135" s="5" t="str">
        <f>IFERROR(__xludf.DUMMYFUNCTION("GOOGLETRANSLATE(C135, ""en"", ""hi"")"),"ए) मुद्रा की जटिलता, बी) मुद्राओं के बीच संक्रमण, सी) दर्शकों के साथ बातचीत, डी) शक्ति प्रशिक्षण")</f>
        <v>ए) मुद्रा की जटिलता, बी) मुद्राओं के बीच संक्रमण, सी) दर्शकों के साथ बातचीत, डी) शक्ति प्रशिक्षण</v>
      </c>
      <c r="I135" s="5" t="str">
        <f>IFERROR(__xludf.DUMMYFUNCTION("GOOGLETRANSLATE(D135, ""en"", ""hi"")"),"बी) पोज़ के बीच संक्रमण")</f>
        <v>बी) पोज़ के बीच संक्रमण</v>
      </c>
    </row>
    <row r="136" ht="22.5" customHeight="1">
      <c r="A136" s="2">
        <v>135.0</v>
      </c>
      <c r="B136" s="3" t="s">
        <v>10336</v>
      </c>
      <c r="C136" s="3" t="s">
        <v>10337</v>
      </c>
      <c r="D136" s="3" t="s">
        <v>10338</v>
      </c>
      <c r="F136" s="5" t="str">
        <f>IFERROR(__xludf.DUMMYFUNCTION("GOOGLETRANSLATE(A136, ""en"", ""hi"")"),"135")</f>
        <v>135</v>
      </c>
      <c r="G136" s="5" t="str">
        <f>IFERROR(__xludf.DUMMYFUNCTION("GOOGLETRANSLATE(B136, ""en"", ""hi"")"),"एक कलाकार मलखम्ब पोल पर अपनी मज़बूत पकड़ के लिए जाना जाता है, लेकिन उसके पैरों की चाल में कुशलता का अभाव होता है। उसे किस क्षेत्र पर ध्यान केंद्रित करना चाहिए?")</f>
        <v>एक कलाकार मलखम्ब पोल पर अपनी मज़बूत पकड़ के लिए जाना जाता है, लेकिन उसके पैरों की चाल में कुशलता का अभाव होता है। उसे किस क्षेत्र पर ध्यान केंद्रित करना चाहिए?</v>
      </c>
      <c r="H136" s="5" t="str">
        <f>IFERROR(__xludf.DUMMYFUNCTION("GOOGLETRANSLATE(C136, ""en"", ""hi"")"),"A) पैर समन्वय, B) पकड़ शक्ति, C) ऊपरी शरीर की शक्ति, D) मुद्रा विविधता")</f>
        <v>A) पैर समन्वय, B) पकड़ शक्ति, C) ऊपरी शरीर की शक्ति, D) मुद्रा विविधता</v>
      </c>
      <c r="I136" s="5" t="str">
        <f>IFERROR(__xludf.DUMMYFUNCTION("GOOGLETRANSLATE(D136, ""en"", ""hi"")"),"ए) पैर समन्वय")</f>
        <v>ए) पैर समन्वय</v>
      </c>
    </row>
    <row r="137" ht="22.5" customHeight="1">
      <c r="A137" s="2">
        <v>136.0</v>
      </c>
      <c r="B137" s="3" t="s">
        <v>10339</v>
      </c>
      <c r="C137" s="3" t="s">
        <v>10340</v>
      </c>
      <c r="D137" s="3" t="s">
        <v>10192</v>
      </c>
      <c r="F137" s="5" t="str">
        <f>IFERROR(__xludf.DUMMYFUNCTION("GOOGLETRANSLATE(A137, ""en"", ""hi"")"),"136")</f>
        <v>136</v>
      </c>
      <c r="G137" s="5" t="str">
        <f>IFERROR(__xludf.DUMMYFUNCTION("GOOGLETRANSLATE(B137, ""en"", ""hi"")"),"मलखंभ प्रतियोगिता में कलाकार सटीक मुद्राएँ तो करता है, लेकिन दर्शकों के साथ उसका जुड़ाव कम होता है। उन्हें किसमें सुधार करना चाहिए?")</f>
        <v>मलखंभ प्रतियोगिता में कलाकार सटीक मुद्राएँ तो करता है, लेकिन दर्शकों के साथ उसका जुड़ाव कम होता है। उन्हें किसमें सुधार करना चाहिए?</v>
      </c>
      <c r="H137" s="5" t="str">
        <f>IFERROR(__xludf.DUMMYFUNCTION("GOOGLETRANSLATE(C137, ""en"", ""hi"")"),"ए) मुद्रा परिवर्तन, बी) दर्शकों के साथ बातचीत, सी) गति की सटीकता, डी) नियमित गति में वृद्धि")</f>
        <v>ए) मुद्रा परिवर्तन, बी) दर्शकों के साथ बातचीत, सी) गति की सटीकता, डी) नियमित गति में वृद्धि</v>
      </c>
      <c r="I137" s="5" t="str">
        <f>IFERROR(__xludf.DUMMYFUNCTION("GOOGLETRANSLATE(D137, ""en"", ""hi"")"),"बी) दर्शकों की बातचीत")</f>
        <v>बी) दर्शकों की बातचीत</v>
      </c>
    </row>
    <row r="138" ht="22.5" customHeight="1">
      <c r="A138" s="2">
        <v>137.0</v>
      </c>
      <c r="B138" s="3" t="s">
        <v>10341</v>
      </c>
      <c r="C138" s="3" t="s">
        <v>10342</v>
      </c>
      <c r="D138" s="3" t="s">
        <v>10343</v>
      </c>
      <c r="F138" s="5" t="str">
        <f>IFERROR(__xludf.DUMMYFUNCTION("GOOGLETRANSLATE(A138, ""en"", ""hi"")"),"137")</f>
        <v>137</v>
      </c>
      <c r="G138" s="5" t="str">
        <f>IFERROR(__xludf.DUMMYFUNCTION("GOOGLETRANSLATE(B138, ""en"", ""hi"")"),"मलखंभ कलाकार को कुछ आसनों के दौरान अपनी मुद्रा सुधारने के लिए फीडबैक मिलता है। उनके अगले अभ्यास सत्र में किस पर ध्यान केंद्रित किया जाना चाहिए?")</f>
        <v>मलखंभ कलाकार को कुछ आसनों के दौरान अपनी मुद्रा सुधारने के लिए फीडबैक मिलता है। उनके अगले अभ्यास सत्र में किस पर ध्यान केंद्रित किया जाना चाहिए?</v>
      </c>
      <c r="H138" s="5" t="str">
        <f>IFERROR(__xludf.DUMMYFUNCTION("GOOGLETRANSLATE(C138, ""en"", ""hi"")"),"ए) आसन की कठिनाई बढ़ाना, बी) आसन और संरेखण में सुधार करना, सी) नियमित लंबाई, डी) शक्ति प्रशिक्षण")</f>
        <v>ए) आसन की कठिनाई बढ़ाना, बी) आसन और संरेखण में सुधार करना, सी) नियमित लंबाई, डी) शक्ति प्रशिक्षण</v>
      </c>
      <c r="I138" s="5" t="str">
        <f>IFERROR(__xludf.DUMMYFUNCTION("GOOGLETRANSLATE(D138, ""en"", ""hi"")"),"बी) मुद्रा और संरेखण में सुधार")</f>
        <v>बी) मुद्रा और संरेखण में सुधार</v>
      </c>
    </row>
    <row r="139" ht="22.5" customHeight="1">
      <c r="A139" s="2">
        <v>138.0</v>
      </c>
      <c r="B139" s="3" t="s">
        <v>10344</v>
      </c>
      <c r="C139" s="3" t="s">
        <v>10345</v>
      </c>
      <c r="D139" s="3" t="s">
        <v>10346</v>
      </c>
      <c r="F139" s="5" t="str">
        <f>IFERROR(__xludf.DUMMYFUNCTION("GOOGLETRANSLATE(A139, ""en"", ""hi"")"),"138")</f>
        <v>138</v>
      </c>
      <c r="G139" s="5" t="str">
        <f>IFERROR(__xludf.DUMMYFUNCTION("GOOGLETRANSLATE(B139, ""en"", ""hi"")"),"मलखंभ प्रतियोगिता के दौरान, कलाकार की गति की तो प्रशंसा की जाती है, लेकिन उसे संतुलन बनाए रखने में दिक्कत होती है। प्रशिक्षण के दौरान उन्हें किस बात पर ध्यान देना चाहिए?")</f>
        <v>मलखंभ प्रतियोगिता के दौरान, कलाकार की गति की तो प्रशंसा की जाती है, लेकिन उसे संतुलन बनाए रखने में दिक्कत होती है। प्रशिक्षण के दौरान उन्हें किस बात पर ध्यान देना चाहिए?</v>
      </c>
      <c r="H139" s="5" t="str">
        <f>IFERROR(__xludf.DUMMYFUNCTION("GOOGLETRANSLATE(C139, ""en"", ""hi"")"),"A) गति, B) संतुलन और स्थिरता, C) बढ़ती हुई मुद्रा जटिलता, D) नियमित लंबाई")</f>
        <v>A) गति, B) संतुलन और स्थिरता, C) बढ़ती हुई मुद्रा जटिलता, D) नियमित लंबाई</v>
      </c>
      <c r="I139" s="5" t="str">
        <f>IFERROR(__xludf.DUMMYFUNCTION("GOOGLETRANSLATE(D139, ""en"", ""hi"")"),"बी) संतुलन और स्थिरता")</f>
        <v>बी) संतुलन और स्थिरता</v>
      </c>
    </row>
    <row r="140" ht="22.5" customHeight="1">
      <c r="A140" s="2">
        <v>139.0</v>
      </c>
      <c r="B140" s="3" t="s">
        <v>10347</v>
      </c>
      <c r="C140" s="3" t="s">
        <v>10348</v>
      </c>
      <c r="D140" s="3" t="s">
        <v>10349</v>
      </c>
      <c r="F140" s="5" t="str">
        <f>IFERROR(__xludf.DUMMYFUNCTION("GOOGLETRANSLATE(A140, ""en"", ""hi"")"),"139")</f>
        <v>139</v>
      </c>
      <c r="G140" s="5" t="str">
        <f>IFERROR(__xludf.DUMMYFUNCTION("GOOGLETRANSLATE(B140, ""en"", ""hi"")"),"एक कलाकार को अपने मलखंभ अभ्यास के दौरान ऊर्जा बनाए रखने में कठिनाई होती है। उन्हें किसमें सुधार करना चाहिए?")</f>
        <v>एक कलाकार को अपने मलखंभ अभ्यास के दौरान ऊर्जा बनाए रखने में कठिनाई होती है। उन्हें किसमें सुधार करना चाहिए?</v>
      </c>
      <c r="H140" s="5" t="str">
        <f>IFERROR(__xludf.DUMMYFUNCTION("GOOGLETRANSLATE(C140, ""en"", ""hi"")"),"ए) सहनशक्ति और धीरज, बी) मुद्रा रचनात्मकता, सी) नियमित समय, डी) संतुलन")</f>
        <v>ए) सहनशक्ति और धीरज, बी) मुद्रा रचनात्मकता, सी) नियमित समय, डी) संतुलन</v>
      </c>
      <c r="I140" s="5" t="str">
        <f>IFERROR(__xludf.DUMMYFUNCTION("GOOGLETRANSLATE(D140, ""en"", ""hi"")"),"A) सहनशक्ति और धीरज")</f>
        <v>A) सहनशक्ति और धीरज</v>
      </c>
    </row>
    <row r="141" ht="22.5" customHeight="1">
      <c r="A141" s="2">
        <v>140.0</v>
      </c>
      <c r="B141" s="3" t="s">
        <v>10350</v>
      </c>
      <c r="C141" s="3" t="s">
        <v>10351</v>
      </c>
      <c r="D141" s="3" t="s">
        <v>10352</v>
      </c>
      <c r="F141" s="5" t="str">
        <f>IFERROR(__xludf.DUMMYFUNCTION("GOOGLETRANSLATE(A141, ""en"", ""hi"")"),"140")</f>
        <v>140</v>
      </c>
      <c r="G141" s="5" t="str">
        <f>IFERROR(__xludf.DUMMYFUNCTION("GOOGLETRANSLATE(B141, ""en"", ""hi"")"),"मलखंभ प्रदर्शन के दौरान, कलाकार कठिन मुद्राओं का प्रदर्शन तो मज़बूत करता है, लेकिन उनके बदलाव अचानक होते हैं। उन्हें किस पर काम करना चाहिए?")</f>
        <v>मलखंभ प्रदर्शन के दौरान, कलाकार कठिन मुद्राओं का प्रदर्शन तो मज़बूत करता है, लेकिन उनके बदलाव अचानक होते हैं। उन्हें किस पर काम करना चाहिए?</v>
      </c>
      <c r="H141" s="5" t="str">
        <f>IFERROR(__xludf.DUMMYFUNCTION("GOOGLETRANSLATE(C141, ""en"", ""hi"")"),"ए) मुद्रा की कठिनाई, बी) सहज संक्रमण, सी) दर्शकों के साथ बातचीत, डी) ऊपरी शरीर की ताकत")</f>
        <v>ए) मुद्रा की कठिनाई, बी) सहज संक्रमण, सी) दर्शकों के साथ बातचीत, डी) ऊपरी शरीर की ताकत</v>
      </c>
      <c r="I141" s="5" t="str">
        <f>IFERROR(__xludf.DUMMYFUNCTION("GOOGLETRANSLATE(D141, ""en"", ""hi"")"),"बी) सहज संक्रमण")</f>
        <v>बी) सहज संक्रमण</v>
      </c>
    </row>
    <row r="142" ht="22.5" customHeight="1">
      <c r="A142" s="2">
        <v>141.0</v>
      </c>
      <c r="B142" s="3" t="s">
        <v>10353</v>
      </c>
      <c r="C142" s="3" t="s">
        <v>10354</v>
      </c>
      <c r="D142" s="3" t="s">
        <v>10355</v>
      </c>
      <c r="F142" s="5" t="str">
        <f>IFERROR(__xludf.DUMMYFUNCTION("GOOGLETRANSLATE(A142, ""en"", ""hi"")"),"141")</f>
        <v>141</v>
      </c>
      <c r="G142" s="5" t="str">
        <f>IFERROR(__xludf.DUMMYFUNCTION("GOOGLETRANSLATE(B142, ""en"", ""hi"")"),"मलखंभ कलाकार अपनी रचनात्मकता के लिए जाने जाते हैं, लेकिन उनमें तकनीकी सटीकता का अभाव होता है। उन्हें किस चीज़ को प्राथमिकता देनी चाहिए?")</f>
        <v>मलखंभ कलाकार अपनी रचनात्मकता के लिए जाने जाते हैं, लेकिन उनमें तकनीकी सटीकता का अभाव होता है। उन्हें किस चीज़ को प्राथमिकता देनी चाहिए?</v>
      </c>
      <c r="H142" s="5" t="str">
        <f>IFERROR(__xludf.DUMMYFUNCTION("GOOGLETRANSLATE(C142, ""en"", ""hi"")"),"A) रचनात्मकता, B) तकनीकी सटीकता, C) गति, D) दर्शकों की सहभागिता")</f>
        <v>A) रचनात्मकता, B) तकनीकी सटीकता, C) गति, D) दर्शकों की सहभागिता</v>
      </c>
      <c r="I142" s="5" t="str">
        <f>IFERROR(__xludf.DUMMYFUNCTION("GOOGLETRANSLATE(D142, ""en"", ""hi"")"),"बी) तकनीकी परिशुद्धता")</f>
        <v>बी) तकनीकी परिशुद्धता</v>
      </c>
    </row>
    <row r="143" ht="22.5" customHeight="1">
      <c r="A143" s="2">
        <v>142.0</v>
      </c>
      <c r="B143" s="3" t="s">
        <v>10356</v>
      </c>
      <c r="C143" s="3" t="s">
        <v>10357</v>
      </c>
      <c r="D143" s="3" t="s">
        <v>10358</v>
      </c>
      <c r="F143" s="5" t="str">
        <f>IFERROR(__xludf.DUMMYFUNCTION("GOOGLETRANSLATE(A143, ""en"", ""hi"")"),"142")</f>
        <v>142</v>
      </c>
      <c r="G143" s="5" t="str">
        <f>IFERROR(__xludf.DUMMYFUNCTION("GOOGLETRANSLATE(B143, ""en"", ""hi"")"),"मलखंभ स्पर्धा के दौरान कलाकार अपनी ताकत के लिए प्रशंसा पाते हैं, लेकिन उन्हें अपने लचीलेपन में सुधार करने की ज़रूरत होती है। उन्हें अपने प्रशिक्षण में क्या शामिल करना चाहिए?")</f>
        <v>मलखंभ स्पर्धा के दौरान कलाकार अपनी ताकत के लिए प्रशंसा पाते हैं, लेकिन उन्हें अपने लचीलेपन में सुधार करने की ज़रूरत होती है। उन्हें अपने प्रशिक्षण में क्या शामिल करना चाहिए?</v>
      </c>
      <c r="H143" s="5" t="str">
        <f>IFERROR(__xludf.DUMMYFUNCTION("GOOGLETRANSLATE(C143, ""en"", ""hi"")"),"ए) मजबूती बढ़ाने वाले व्यायाम, बी) लचीलापन प्रशिक्षण, सी) गति अभ्यास, डी) मुद्रा अवधि")</f>
        <v>ए) मजबूती बढ़ाने वाले व्यायाम, बी) लचीलापन प्रशिक्षण, सी) गति अभ्यास, डी) मुद्रा अवधि</v>
      </c>
      <c r="I143" s="5" t="str">
        <f>IFERROR(__xludf.DUMMYFUNCTION("GOOGLETRANSLATE(D143, ""en"", ""hi"")"),"बी) लचीलापन प्रशिक्षण")</f>
        <v>बी) लचीलापन प्रशिक्षण</v>
      </c>
    </row>
    <row r="144" ht="22.5" customHeight="1">
      <c r="A144" s="2">
        <v>143.0</v>
      </c>
      <c r="B144" s="3" t="s">
        <v>10359</v>
      </c>
      <c r="C144" s="3" t="s">
        <v>10360</v>
      </c>
      <c r="D144" s="3" t="s">
        <v>10361</v>
      </c>
      <c r="F144" s="5" t="str">
        <f>IFERROR(__xludf.DUMMYFUNCTION("GOOGLETRANSLATE(A144, ""en"", ""hi"")"),"143")</f>
        <v>143</v>
      </c>
      <c r="G144" s="5" t="str">
        <f>IFERROR(__xludf.DUMMYFUNCTION("GOOGLETRANSLATE(B144, ""en"", ""hi"")"),"मलखंभ प्रदर्शन के दौरान, कलाकार संतुलन में उत्कृष्ट प्रदर्शन करता है, लेकिन उसे और अधिक गतिशील गतिविधियाँ जोड़ने के लिए प्रतिक्रिया भी मिलती है। उन्हें किस पर काम करना चाहिए?")</f>
        <v>मलखंभ प्रदर्शन के दौरान, कलाकार संतुलन में उत्कृष्ट प्रदर्शन करता है, लेकिन उसे और अधिक गतिशील गतिविधियाँ जोड़ने के लिए प्रतिक्रिया भी मिलती है। उन्हें किस पर काम करना चाहिए?</v>
      </c>
      <c r="H144" s="5" t="str">
        <f>IFERROR(__xludf.DUMMYFUNCTION("GOOGLETRANSLATE(C144, ""en"", ""hi"")"),"A) संतुलन, B) गतिशील और तरल गति, C) दर्शकों के साथ बातचीत, D) नियमित समय")</f>
        <v>A) संतुलन, B) गतिशील और तरल गति, C) दर्शकों के साथ बातचीत, D) नियमित समय</v>
      </c>
      <c r="I144" s="5" t="str">
        <f>IFERROR(__xludf.DUMMYFUNCTION("GOOGLETRANSLATE(D144, ""en"", ""hi"")"),"बी) गतिशील और तरल गतियाँ")</f>
        <v>बी) गतिशील और तरल गतियाँ</v>
      </c>
    </row>
    <row r="145" ht="22.5" customHeight="1">
      <c r="A145" s="2">
        <v>144.0</v>
      </c>
      <c r="B145" s="3" t="s">
        <v>10362</v>
      </c>
      <c r="C145" s="3" t="s">
        <v>10363</v>
      </c>
      <c r="D145" s="3" t="s">
        <v>10364</v>
      </c>
      <c r="F145" s="5" t="str">
        <f>IFERROR(__xludf.DUMMYFUNCTION("GOOGLETRANSLATE(A145, ""en"", ""hi"")"),"144")</f>
        <v>144</v>
      </c>
      <c r="G145" s="5" t="str">
        <f>IFERROR(__xludf.DUMMYFUNCTION("GOOGLETRANSLATE(B145, ""en"", ""hi"")"),"मलखम्ब कलाकार अपने सुंदर प्रदर्शन के लिए जाने जाते हैं, लेकिन उन्हें अपनी कला की तीव्रता में सुधार करने की आवश्यकता है। उन्हें किस पर ध्यान केंद्रित करना चाहिए?")</f>
        <v>मलखम्ब कलाकार अपने सुंदर प्रदर्शन के लिए जाने जाते हैं, लेकिन उन्हें अपनी कला की तीव्रता में सुधार करने की आवश्यकता है। उन्हें किस पर ध्यान केंद्रित करना चाहिए?</v>
      </c>
      <c r="H145" s="5" t="str">
        <f>IFERROR(__xludf.DUMMYFUNCTION("GOOGLETRANSLATE(C145, ""en"", ""hi"")"),"A) दिनचर्या की जटिलता बढ़ाना, B) तीव्रता और ऊर्जा बढ़ाना, C) दिनचर्या की लंबाई, D) दर्शकों के साथ बातचीत")</f>
        <v>A) दिनचर्या की जटिलता बढ़ाना, B) तीव्रता और ऊर्जा बढ़ाना, C) दिनचर्या की लंबाई, D) दर्शकों के साथ बातचीत</v>
      </c>
      <c r="I145" s="5" t="str">
        <f>IFERROR(__xludf.DUMMYFUNCTION("GOOGLETRANSLATE(D145, ""en"", ""hi"")"),"बी) तीव्रता और ऊर्जा में वृद्धि")</f>
        <v>बी) तीव्रता और ऊर्जा में वृद्धि</v>
      </c>
    </row>
    <row r="146" ht="22.5" customHeight="1">
      <c r="A146" s="2">
        <v>145.0</v>
      </c>
      <c r="B146" s="3" t="s">
        <v>10365</v>
      </c>
      <c r="C146" s="3" t="s">
        <v>10366</v>
      </c>
      <c r="D146" s="3" t="s">
        <v>10367</v>
      </c>
      <c r="F146" s="5" t="str">
        <f>IFERROR(__xludf.DUMMYFUNCTION("GOOGLETRANSLATE(A146, ""en"", ""hi"")"),"145")</f>
        <v>145</v>
      </c>
      <c r="G146" s="5" t="str">
        <f>IFERROR(__xludf.DUMMYFUNCTION("GOOGLETRANSLATE(B146, ""en"", ""hi"")"),"मलखंभ कार्यक्रम के दौरान, कलाकार की तकनीक की प्रशंसा की जाती है, लेकिन उससे दर्शकों के साथ जुड़ाव बेहतर करने के लिए कहा जाता है। उन्हें किस पर काम करना चाहिए?")</f>
        <v>मलखंभ कार्यक्रम के दौरान, कलाकार की तकनीक की प्रशंसा की जाती है, लेकिन उससे दर्शकों के साथ जुड़ाव बेहतर करने के लिए कहा जाता है। उन्हें किस पर काम करना चाहिए?</v>
      </c>
      <c r="H146" s="5" t="str">
        <f>IFERROR(__xludf.DUMMYFUNCTION("GOOGLETRANSLATE(C146, ""en"", ""hi"")"),"ए) तकनीक, बी) दर्शकों से जुड़ाव और अभिव्यक्ति, सी) ताकत, डी) मुद्रा की कठिनाई")</f>
        <v>ए) तकनीक, बी) दर्शकों से जुड़ाव और अभिव्यक्ति, सी) ताकत, डी) मुद्रा की कठिनाई</v>
      </c>
      <c r="I146" s="5" t="str">
        <f>IFERROR(__xludf.DUMMYFUNCTION("GOOGLETRANSLATE(D146, ""en"", ""hi"")"),"बी) दर्शकों से जुड़ाव और अभिव्यक्ति")</f>
        <v>बी) दर्शकों से जुड़ाव और अभिव्यक्ति</v>
      </c>
    </row>
    <row r="147" ht="22.5" customHeight="1">
      <c r="A147" s="2">
        <v>146.0</v>
      </c>
      <c r="B147" s="3" t="s">
        <v>10368</v>
      </c>
      <c r="C147" s="3" t="s">
        <v>10369</v>
      </c>
      <c r="D147" s="3" t="s">
        <v>10370</v>
      </c>
      <c r="F147" s="5" t="str">
        <f>IFERROR(__xludf.DUMMYFUNCTION("GOOGLETRANSLATE(A147, ""en"", ""hi"")"),"146")</f>
        <v>146</v>
      </c>
      <c r="G147" s="5" t="str">
        <f>IFERROR(__xludf.DUMMYFUNCTION("GOOGLETRANSLATE(B147, ""en"", ""hi"")"),"मलखंभ कलाकार को अभ्यास के दौरान जगह के बेहतर इस्तेमाल के लिए फीडबैक मिलता है। उन्हें किस पर ध्यान केंद्रित करना चाहिए?")</f>
        <v>मलखंभ कलाकार को अभ्यास के दौरान जगह के बेहतर इस्तेमाल के लिए फीडबैक मिलता है। उन्हें किस पर ध्यान केंद्रित करना चाहिए?</v>
      </c>
      <c r="H147" s="5" t="str">
        <f>IFERROR(__xludf.DUMMYFUNCTION("GOOGLETRANSLATE(C147, ""en"", ""hi"")"),"A) मुद्रा की कठिनाई बढ़ाना, B) प्रदर्शन स्थान का बेहतर उपयोग करना, C) दर्शकों की सहभागिता, D) शक्ति प्रशिक्षण")</f>
        <v>A) मुद्रा की कठिनाई बढ़ाना, B) प्रदर्शन स्थान का बेहतर उपयोग करना, C) दर्शकों की सहभागिता, D) शक्ति प्रशिक्षण</v>
      </c>
      <c r="I147" s="5" t="str">
        <f>IFERROR(__xludf.DUMMYFUNCTION("GOOGLETRANSLATE(D147, ""en"", ""hi"")"),"बी) प्रदर्शन स्थान का बेहतर उपयोग करना")</f>
        <v>बी) प्रदर्शन स्थान का बेहतर उपयोग करना</v>
      </c>
    </row>
    <row r="148" ht="22.5" customHeight="1">
      <c r="A148" s="2">
        <v>147.0</v>
      </c>
      <c r="B148" s="3" t="s">
        <v>10371</v>
      </c>
      <c r="C148" s="3" t="s">
        <v>10372</v>
      </c>
      <c r="D148" s="3" t="s">
        <v>10373</v>
      </c>
      <c r="F148" s="5" t="str">
        <f>IFERROR(__xludf.DUMMYFUNCTION("GOOGLETRANSLATE(A148, ""en"", ""hi"")"),"147")</f>
        <v>147</v>
      </c>
      <c r="G148" s="5" t="str">
        <f>IFERROR(__xludf.DUMMYFUNCTION("GOOGLETRANSLATE(B148, ""en"", ""hi"")"),"मलखंभ प्रतियोगिता के दौरान, कलाकार अपनी मुद्राओं में निरंतरता बनाए रखने के लिए संघर्ष करते हैं। अभ्यास में उन्हें किस चीज़ को प्राथमिकता देनी चाहिए?")</f>
        <v>मलखंभ प्रतियोगिता के दौरान, कलाकार अपनी मुद्राओं में निरंतरता बनाए रखने के लिए संघर्ष करते हैं। अभ्यास में उन्हें किस चीज़ को प्राथमिकता देनी चाहिए?</v>
      </c>
      <c r="H148" s="5" t="str">
        <f>IFERROR(__xludf.DUMMYFUNCTION("GOOGLETRANSLATE(C148, ""en"", ""hi"")"),"ए) मुद्रा निष्पादन में स्थिरता, बी) गति, सी) दर्शकों की बातचीत, डी) नियमित लंबाई")</f>
        <v>ए) मुद्रा निष्पादन में स्थिरता, बी) गति, सी) दर्शकों की बातचीत, डी) नियमित लंबाई</v>
      </c>
      <c r="I148" s="5" t="str">
        <f>IFERROR(__xludf.DUMMYFUNCTION("GOOGLETRANSLATE(D148, ""en"", ""hi"")"),"A) मुद्रा निष्पादन में निरंतरता")</f>
        <v>A) मुद्रा निष्पादन में निरंतरता</v>
      </c>
    </row>
    <row r="149" ht="22.5" customHeight="1">
      <c r="A149" s="2">
        <v>148.0</v>
      </c>
      <c r="B149" s="3" t="s">
        <v>10374</v>
      </c>
      <c r="C149" s="3" t="s">
        <v>10375</v>
      </c>
      <c r="D149" s="3" t="s">
        <v>10376</v>
      </c>
      <c r="F149" s="5" t="str">
        <f>IFERROR(__xludf.DUMMYFUNCTION("GOOGLETRANSLATE(A149, ""en"", ""hi"")"),"148")</f>
        <v>148</v>
      </c>
      <c r="G149" s="5" t="str">
        <f>IFERROR(__xludf.DUMMYFUNCTION("GOOGLETRANSLATE(B149, ""en"", ""hi"")"),"मलखम्ब कलाकार की सहनशक्ति की प्रशंसा की जाती है, लेकिन उन्हें अपनी तकनीक पर काम करने की ज़रूरत होती है। उन्हें अगले अभ्यास पर किस पर ध्यान केंद्रित करना चाहिए?")</f>
        <v>मलखम्ब कलाकार की सहनशक्ति की प्रशंसा की जाती है, लेकिन उन्हें अपनी तकनीक पर काम करने की ज़रूरत होती है। उन्हें अगले अभ्यास पर किस पर ध्यान केंद्रित करना चाहिए?</v>
      </c>
      <c r="H149" s="5" t="str">
        <f>IFERROR(__xludf.DUMMYFUNCTION("GOOGLETRANSLATE(C149, ""en"", ""hi"")"),"ए) सहनशक्ति, बी) तकनीकी सटीकता, सी) दिनचर्या की लंबाई, डी) दर्शकों की सहभागिता")</f>
        <v>ए) सहनशक्ति, बी) तकनीकी सटीकता, सी) दिनचर्या की लंबाई, डी) दर्शकों की सहभागिता</v>
      </c>
      <c r="I149" s="5" t="str">
        <f>IFERROR(__xludf.DUMMYFUNCTION("GOOGLETRANSLATE(D149, ""en"", ""hi"")"),"बी) तकनीकी सटीकता")</f>
        <v>बी) तकनीकी सटीकता</v>
      </c>
    </row>
    <row r="150" ht="22.5" customHeight="1">
      <c r="A150" s="2">
        <v>149.0</v>
      </c>
      <c r="B150" s="3" t="s">
        <v>10377</v>
      </c>
      <c r="C150" s="3" t="s">
        <v>10378</v>
      </c>
      <c r="D150" s="3" t="s">
        <v>10379</v>
      </c>
      <c r="F150" s="5" t="str">
        <f>IFERROR(__xludf.DUMMYFUNCTION("GOOGLETRANSLATE(A150, ""en"", ""hi"")"),"149")</f>
        <v>149</v>
      </c>
      <c r="G150" s="5" t="str">
        <f>IFERROR(__xludf.DUMMYFUNCTION("GOOGLETRANSLATE(B150, ""en"", ""hi"")"),"मलखंभ स्पर्धा के दौरान, कलाकार कठिन आसन तो अच्छी तरह कर लेता है, लेकिन ध्यान केंद्रित करने में उसे परेशानी होती है। उन्हें किसमें सुधार करना चाहिए?")</f>
        <v>मलखंभ स्पर्धा के दौरान, कलाकार कठिन आसन तो अच्छी तरह कर लेता है, लेकिन ध्यान केंद्रित करने में उसे परेशानी होती है। उन्हें किसमें सुधार करना चाहिए?</v>
      </c>
      <c r="H150" s="5" t="str">
        <f>IFERROR(__xludf.DUMMYFUNCTION("GOOGLETRANSLATE(C150, ""en"", ""hi"")"),"A) फोकस और एकाग्रता, B) मुद्रा की कठिनाई, C) शक्ति, D) दर्शकों के साथ बातचीत")</f>
        <v>A) फोकस और एकाग्रता, B) मुद्रा की कठिनाई, C) शक्ति, D) दर्शकों के साथ बातचीत</v>
      </c>
      <c r="I150" s="5" t="str">
        <f>IFERROR(__xludf.DUMMYFUNCTION("GOOGLETRANSLATE(D150, ""en"", ""hi"")"),"ए) फोकस और एकाग्रता")</f>
        <v>ए) फोकस और एकाग्रता</v>
      </c>
    </row>
    <row r="151" ht="22.5" customHeight="1">
      <c r="A151" s="2">
        <v>150.0</v>
      </c>
      <c r="B151" s="3" t="s">
        <v>10380</v>
      </c>
      <c r="C151" s="3" t="s">
        <v>10381</v>
      </c>
      <c r="D151" s="3" t="s">
        <v>10382</v>
      </c>
      <c r="F151" s="5" t="str">
        <f>IFERROR(__xludf.DUMMYFUNCTION("GOOGLETRANSLATE(A151, ""en"", ""hi"")"),"150")</f>
        <v>150</v>
      </c>
      <c r="G151" s="5" t="str">
        <f>IFERROR(__xludf.DUMMYFUNCTION("GOOGLETRANSLATE(B151, ""en"", ""hi"")"),"मलखंभ कलाकार को लंबे अभ्यास के दौरान सहनशक्ति की कमी का सामना करना पड़ता है। उन्हें अपने प्रशिक्षण में क्या शामिल करना चाहिए?")</f>
        <v>मलखंभ कलाकार को लंबे अभ्यास के दौरान सहनशक्ति की कमी का सामना करना पड़ता है। उन्हें अपने प्रशिक्षण में क्या शामिल करना चाहिए?</v>
      </c>
      <c r="H151" s="5" t="str">
        <f>IFERROR(__xludf.DUMMYFUNCTION("GOOGLETRANSLATE(C151, ""en"", ""hi"")"),"ए) धीरज अभ्यास, बी) छोटी दिनचर्या, सी) मुद्रा रचनात्मकता, डी) दर्शकों की सहभागिता")</f>
        <v>ए) धीरज अभ्यास, बी) छोटी दिनचर्या, सी) मुद्रा रचनात्मकता, डी) दर्शकों की सहभागिता</v>
      </c>
      <c r="I151" s="5" t="str">
        <f>IFERROR(__xludf.DUMMYFUNCTION("GOOGLETRANSLATE(D151, ""en"", ""hi"")"),"ए) धीरज व्यायाम")</f>
        <v>ए) धीरज व्यायाम</v>
      </c>
    </row>
    <row r="152" ht="22.5" customHeight="1">
      <c r="A152" s="2">
        <v>151.0</v>
      </c>
      <c r="B152" s="3" t="s">
        <v>10383</v>
      </c>
      <c r="C152" s="3" t="s">
        <v>10384</v>
      </c>
      <c r="D152" s="3" t="s">
        <v>10346</v>
      </c>
      <c r="F152" s="5" t="str">
        <f>IFERROR(__xludf.DUMMYFUNCTION("GOOGLETRANSLATE(A152, ""en"", ""hi"")"),"151")</f>
        <v>151</v>
      </c>
      <c r="G152" s="5" t="str">
        <f>IFERROR(__xludf.DUMMYFUNCTION("GOOGLETRANSLATE(B152, ""en"", ""hi"")"),"मलखंभ कार्यक्रम के दौरान, कलाकार को अपने संतुलन में गड़बड़ी के बारे में फीडबैक मिलता है। उनके प्रशिक्षण में किस चीज़ को प्राथमिकता दी जानी चाहिए?")</f>
        <v>मलखंभ कार्यक्रम के दौरान, कलाकार को अपने संतुलन में गड़बड़ी के बारे में फीडबैक मिलता है। उनके प्रशिक्षण में किस चीज़ को प्राथमिकता दी जानी चाहिए?</v>
      </c>
      <c r="H152" s="5" t="str">
        <f>IFERROR(__xludf.DUMMYFUNCTION("GOOGLETRANSLATE(C152, ""en"", ""hi"")"),"A) गति, B) संतुलन और स्थिरता, C) मुद्रा की कठिनाई, D) नियमित रचनात्मकता")</f>
        <v>A) गति, B) संतुलन और स्थिरता, C) मुद्रा की कठिनाई, D) नियमित रचनात्मकता</v>
      </c>
      <c r="I152" s="5" t="str">
        <f>IFERROR(__xludf.DUMMYFUNCTION("GOOGLETRANSLATE(D152, ""en"", ""hi"")"),"बी) संतुलन और स्थिरता")</f>
        <v>बी) संतुलन और स्थिरता</v>
      </c>
    </row>
    <row r="153" ht="22.5" customHeight="1">
      <c r="A153" s="2">
        <v>152.0</v>
      </c>
      <c r="B153" s="3" t="s">
        <v>10385</v>
      </c>
      <c r="C153" s="3" t="s">
        <v>10386</v>
      </c>
      <c r="D153" s="3" t="s">
        <v>10387</v>
      </c>
      <c r="F153" s="5" t="str">
        <f>IFERROR(__xludf.DUMMYFUNCTION("GOOGLETRANSLATE(A153, ""en"", ""hi"")"),"152")</f>
        <v>152</v>
      </c>
      <c r="G153" s="5" t="str">
        <f>IFERROR(__xludf.DUMMYFUNCTION("GOOGLETRANSLATE(B153, ""en"", ""hi"")"),"एक कलाकार रचनात्मक पोज़ में उत्कृष्ट है, लेकिन उसे बेहतर टाइमिंग की ज़रूरत के बारे में फीडबैक मिलता है। उन्हें किस पर काम करना चाहिए?")</f>
        <v>एक कलाकार रचनात्मक पोज़ में उत्कृष्ट है, लेकिन उसे बेहतर टाइमिंग की ज़रूरत के बारे में फीडबैक मिलता है। उन्हें किस पर काम करना चाहिए?</v>
      </c>
      <c r="H153" s="5" t="str">
        <f>IFERROR(__xludf.DUMMYFUNCTION("GOOGLETRANSLATE(C153, ""en"", ""hi"")"),"ए) रचनात्मकता, बी) समय और समन्वय, सी) शक्ति, डी) मुद्रा परिवर्तन")</f>
        <v>ए) रचनात्मकता, बी) समय और समन्वय, सी) शक्ति, डी) मुद्रा परिवर्तन</v>
      </c>
      <c r="I153" s="5" t="str">
        <f>IFERROR(__xludf.DUMMYFUNCTION("GOOGLETRANSLATE(D153, ""en"", ""hi"")"),"बी) समय और समन्वय")</f>
        <v>बी) समय और समन्वय</v>
      </c>
    </row>
    <row r="154" ht="22.5" customHeight="1">
      <c r="A154" s="2">
        <v>153.0</v>
      </c>
      <c r="B154" s="3" t="s">
        <v>10388</v>
      </c>
      <c r="C154" s="3" t="s">
        <v>10389</v>
      </c>
      <c r="D154" s="3" t="s">
        <v>10390</v>
      </c>
      <c r="F154" s="5" t="str">
        <f>IFERROR(__xludf.DUMMYFUNCTION("GOOGLETRANSLATE(A154, ""en"", ""hi"")"),"153")</f>
        <v>153</v>
      </c>
      <c r="G154" s="5" t="str">
        <f>IFERROR(__xludf.DUMMYFUNCTION("GOOGLETRANSLATE(B154, ""en"", ""hi"")"),"मलखम्ब प्रतियोगिता के दौरान, कलाकार को मलखम्ब उपकरण के उपयोग के लिए प्रशंसा मिलती है, लेकिन उसे अपने फुटवर्क में सुधार करने की आवश्यकता होती है। उन्हें क्या अभ्यास करना चाहिए?")</f>
        <v>मलखम्ब प्रतियोगिता के दौरान, कलाकार को मलखम्ब उपकरण के उपयोग के लिए प्रशंसा मिलती है, लेकिन उसे अपने फुटवर्क में सुधार करने की आवश्यकता होती है। उन्हें क्या अभ्यास करना चाहिए?</v>
      </c>
      <c r="H154" s="5" t="str">
        <f>IFERROR(__xludf.DUMMYFUNCTION("GOOGLETRANSLATE(C154, ""en"", ""hi"")"),"ए) पैरों की गति और निचले शरीर का समन्वय, बी) पकड़ की मजबूती, सी) ऊपरी शरीर का लचीलापन, डी) दर्शकों के साथ बातचीत")</f>
        <v>ए) पैरों की गति और निचले शरीर का समन्वय, बी) पकड़ की मजबूती, सी) ऊपरी शरीर का लचीलापन, डी) दर्शकों के साथ बातचीत</v>
      </c>
      <c r="I154" s="5" t="str">
        <f>IFERROR(__xludf.DUMMYFUNCTION("GOOGLETRANSLATE(D154, ""en"", ""hi"")"),"A) फुटवर्क और निचले शरीर का समन्वय")</f>
        <v>A) फुटवर्क और निचले शरीर का समन्वय</v>
      </c>
    </row>
    <row r="155" ht="22.5" customHeight="1">
      <c r="A155" s="2">
        <v>154.0</v>
      </c>
      <c r="B155" s="3" t="s">
        <v>10391</v>
      </c>
      <c r="C155" s="3" t="s">
        <v>10392</v>
      </c>
      <c r="D155" s="3" t="s">
        <v>10393</v>
      </c>
      <c r="F155" s="5" t="str">
        <f>IFERROR(__xludf.DUMMYFUNCTION("GOOGLETRANSLATE(A155, ""en"", ""hi"")"),"154")</f>
        <v>154</v>
      </c>
      <c r="G155" s="5" t="str">
        <f>IFERROR(__xludf.DUMMYFUNCTION("GOOGLETRANSLATE(B155, ""en"", ""hi"")"),"एक कलाकार मलखंभ की रस्सी पर अपनी मज़बूत पकड़ के लिए जाना जाता है, लेकिन उसकी गतिविधियों में लचीलापन नहीं होता। उन्हें किस पर काम करना चाहिए?")</f>
        <v>एक कलाकार मलखंभ की रस्सी पर अपनी मज़बूत पकड़ के लिए जाना जाता है, लेकिन उसकी गतिविधियों में लचीलापन नहीं होता। उन्हें किस पर काम करना चाहिए?</v>
      </c>
      <c r="H155" s="5" t="str">
        <f>IFERROR(__xludf.DUMMYFUNCTION("GOOGLETRANSLATE(C155, ""en"", ""hi"")"),"ए) पकड़ की मजबूती, बी) गतिविधियों में तरलता, सी) मुद्रा की जटिलता, डी) नियमित समय")</f>
        <v>ए) पकड़ की मजबूती, बी) गतिविधियों में तरलता, सी) मुद्रा की जटिलता, डी) नियमित समय</v>
      </c>
      <c r="I155" s="5" t="str">
        <f>IFERROR(__xludf.DUMMYFUNCTION("GOOGLETRANSLATE(D155, ""en"", ""hi"")"),"बी) गतिविधियों में तरलता")</f>
        <v>बी) गतिविधियों में तरलता</v>
      </c>
    </row>
    <row r="156" ht="22.5" customHeight="1">
      <c r="A156" s="2">
        <v>155.0</v>
      </c>
      <c r="B156" s="3" t="s">
        <v>10394</v>
      </c>
      <c r="C156" s="3" t="s">
        <v>10395</v>
      </c>
      <c r="D156" s="3" t="s">
        <v>10396</v>
      </c>
      <c r="F156" s="5" t="str">
        <f>IFERROR(__xludf.DUMMYFUNCTION("GOOGLETRANSLATE(A156, ""en"", ""hi"")"),"155")</f>
        <v>155</v>
      </c>
      <c r="G156" s="5" t="str">
        <f>IFERROR(__xludf.DUMMYFUNCTION("GOOGLETRANSLATE(B156, ""en"", ""hi"")"),"मलखंभ कार्यक्रम में, कलाकार की मुद्राएँ अच्छी तरह से निष्पादित होती हैं, लेकिन प्रतिक्रिया से रचनात्मकता में सुधार का सुझाव मिलता है। उन्हें किस पर ध्यान केंद्रित करना चाहिए?")</f>
        <v>मलखंभ कार्यक्रम में, कलाकार की मुद्राएँ अच्छी तरह से निष्पादित होती हैं, लेकिन प्रतिक्रिया से रचनात्मकता में सुधार का सुझाव मिलता है। उन्हें किस पर ध्यान केंद्रित करना चाहिए?</v>
      </c>
      <c r="H156" s="5" t="str">
        <f>IFERROR(__xludf.DUMMYFUNCTION("GOOGLETRANSLATE(C156, ""en"", ""hi"")"),"A) बढ़ती हुई मुद्रा की कठिनाई, B) रचनात्मकता और दिनचर्या की विशिष्टता, C) दर्शकों की सहभागिता, D) समय और समन्वय")</f>
        <v>A) बढ़ती हुई मुद्रा की कठिनाई, B) रचनात्मकता और दिनचर्या की विशिष्टता, C) दर्शकों की सहभागिता, D) समय और समन्वय</v>
      </c>
      <c r="I156" s="5" t="str">
        <f>IFERROR(__xludf.DUMMYFUNCTION("GOOGLETRANSLATE(D156, ""en"", ""hi"")"),"बी) रचनात्मकता और दिनचर्या की विशिष्टता")</f>
        <v>बी) रचनात्मकता और दिनचर्या की विशिष्टता</v>
      </c>
    </row>
    <row r="157" ht="22.5" customHeight="1">
      <c r="A157" s="2">
        <v>156.0</v>
      </c>
      <c r="B157" s="3" t="s">
        <v>10397</v>
      </c>
      <c r="C157" s="3" t="s">
        <v>10398</v>
      </c>
      <c r="D157" s="3" t="s">
        <v>10399</v>
      </c>
      <c r="F157" s="5" t="str">
        <f>IFERROR(__xludf.DUMMYFUNCTION("GOOGLETRANSLATE(A157, ""en"", ""hi"")"),"156")</f>
        <v>156</v>
      </c>
      <c r="G157" s="5" t="str">
        <f>IFERROR(__xludf.DUMMYFUNCTION("GOOGLETRANSLATE(B157, ""en"", ""hi"")"),"मलखंभ प्रतियोगिता के दौरान, कलाकार शक्तिशाली चालों में तो उत्कृष्ट प्रदर्शन करता है, लेकिन लचीलेपन में कठिनाई महसूस करता है। उन्हें अपने प्रशिक्षण में क्या शामिल करना चाहिए?")</f>
        <v>मलखंभ प्रतियोगिता के दौरान, कलाकार शक्तिशाली चालों में तो उत्कृष्ट प्रदर्शन करता है, लेकिन लचीलेपन में कठिनाई महसूस करता है। उन्हें अपने प्रशिक्षण में क्या शामिल करना चाहिए?</v>
      </c>
      <c r="H157" s="5" t="str">
        <f>IFERROR(__xludf.DUMMYFUNCTION("GOOGLETRANSLATE(C157, ""en"", ""hi"")"),"ए) पावर मूव्स, बी) लचीलापन व्यायाम, सी) शक्ति प्रशिक्षण, डी) नियमित लंबाई")</f>
        <v>ए) पावर मूव्स, बी) लचीलापन व्यायाम, सी) शक्ति प्रशिक्षण, डी) नियमित लंबाई</v>
      </c>
      <c r="I157" s="5" t="str">
        <f>IFERROR(__xludf.DUMMYFUNCTION("GOOGLETRANSLATE(D157, ""en"", ""hi"")"),"बी) लचीलापन व्यायाम")</f>
        <v>बी) लचीलापन व्यायाम</v>
      </c>
    </row>
    <row r="158" ht="22.5" customHeight="1">
      <c r="A158" s="2">
        <v>157.0</v>
      </c>
      <c r="B158" s="3" t="s">
        <v>10400</v>
      </c>
      <c r="C158" s="3" t="s">
        <v>10401</v>
      </c>
      <c r="D158" s="3" t="s">
        <v>10402</v>
      </c>
      <c r="F158" s="5" t="str">
        <f>IFERROR(__xludf.DUMMYFUNCTION("GOOGLETRANSLATE(A158, ""en"", ""hi"")"),"157")</f>
        <v>157</v>
      </c>
      <c r="G158" s="5" t="str">
        <f>IFERROR(__xludf.DUMMYFUNCTION("GOOGLETRANSLATE(B158, ""en"", ""hi"")"),"मलखंभ प्रदर्शन करने वालों को उनके प्रदर्शन के लिए प्रशंसा मिलती है, लेकिन उन्हें अपनी सहनशक्ति में सुधार करने की ज़रूरत है। उन्हें किस पर ध्यान केंद्रित करना चाहिए?")</f>
        <v>मलखंभ प्रदर्शन करने वालों को उनके प्रदर्शन के लिए प्रशंसा मिलती है, लेकिन उन्हें अपनी सहनशक्ति में सुधार करने की ज़रूरत है। उन्हें किस पर ध्यान केंद्रित करना चाहिए?</v>
      </c>
      <c r="H158" s="5" t="str">
        <f>IFERROR(__xludf.DUMMYFUNCTION("GOOGLETRANSLATE(C158, ""en"", ""hi"")"),"ए) सहनशक्ति प्रशिक्षण, बी) मुद्रा जटिलता, सी) दर्शकों की सहभागिता, डी) पकड़ की ताकत")</f>
        <v>ए) सहनशक्ति प्रशिक्षण, बी) मुद्रा जटिलता, सी) दर्शकों की सहभागिता, डी) पकड़ की ताकत</v>
      </c>
      <c r="I158" s="5" t="str">
        <f>IFERROR(__xludf.DUMMYFUNCTION("GOOGLETRANSLATE(D158, ""en"", ""hi"")"),"ए) धीरज प्रशिक्षण")</f>
        <v>ए) धीरज प्रशिक्षण</v>
      </c>
    </row>
    <row r="159" ht="22.5" customHeight="1">
      <c r="A159" s="2">
        <v>158.0</v>
      </c>
      <c r="B159" s="3" t="s">
        <v>10403</v>
      </c>
      <c r="C159" s="3" t="s">
        <v>10404</v>
      </c>
      <c r="D159" s="3" t="s">
        <v>10405</v>
      </c>
      <c r="F159" s="5" t="str">
        <f>IFERROR(__xludf.DUMMYFUNCTION("GOOGLETRANSLATE(A159, ""en"", ""hi"")"),"158")</f>
        <v>158</v>
      </c>
      <c r="G159" s="5" t="str">
        <f>IFERROR(__xludf.DUMMYFUNCTION("GOOGLETRANSLATE(B159, ""en"", ""hi"")"),"मलखंभ कार्यक्रम के दौरान, कलाकार को अपने बदलावों के समय पर काम करने के लिए फीडबैक मिलता है। उनके अगले अभ्यास पर किस चीज़ पर ध्यान केंद्रित होना चाहिए?")</f>
        <v>मलखंभ कार्यक्रम के दौरान, कलाकार को अपने बदलावों के समय पर काम करने के लिए फीडबैक मिलता है। उनके अगले अभ्यास पर किस चीज़ पर ध्यान केंद्रित होना चाहिए?</v>
      </c>
      <c r="H159" s="5" t="str">
        <f>IFERROR(__xludf.DUMMYFUNCTION("GOOGLETRANSLATE(C159, ""en"", ""hi"")"),"ए) संक्रमण का समय और तरलता, बी) मुद्रा की कठिनाई, सी) दर्शकों की सहभागिता, डी) शक्ति प्रशिक्षण")</f>
        <v>ए) संक्रमण का समय और तरलता, बी) मुद्रा की कठिनाई, सी) दर्शकों की सहभागिता, डी) शक्ति प्रशिक्षण</v>
      </c>
      <c r="I159" s="5" t="str">
        <f>IFERROR(__xludf.DUMMYFUNCTION("GOOGLETRANSLATE(D159, ""en"", ""hi"")"),"A) संक्रमण का समय और तरलता")</f>
        <v>A) संक्रमण का समय और तरलता</v>
      </c>
    </row>
    <row r="160" ht="22.5" customHeight="1">
      <c r="A160" s="2">
        <v>159.0</v>
      </c>
      <c r="B160" s="3" t="s">
        <v>10406</v>
      </c>
      <c r="C160" s="3" t="s">
        <v>10407</v>
      </c>
      <c r="D160" s="3" t="s">
        <v>10408</v>
      </c>
      <c r="F160" s="5" t="str">
        <f>IFERROR(__xludf.DUMMYFUNCTION("GOOGLETRANSLATE(A160, ""en"", ""hi"")"),"159")</f>
        <v>159</v>
      </c>
      <c r="G160" s="5" t="str">
        <f>IFERROR(__xludf.DUMMYFUNCTION("GOOGLETRANSLATE(B160, ""en"", ""hi"")"),"एक कलाकार अपने ऊपरी शरीर की मज़बूती के लिए जाना जाता है, लेकिन उसे निचले शरीर के समन्वय में सुधार की ज़रूरत होती है। उनके प्रशिक्षण में किस पर ध्यान केंद्रित होना चाहिए?")</f>
        <v>एक कलाकार अपने ऊपरी शरीर की मज़बूती के लिए जाना जाता है, लेकिन उसे निचले शरीर के समन्वय में सुधार की ज़रूरत होती है। उनके प्रशिक्षण में किस पर ध्यान केंद्रित होना चाहिए?</v>
      </c>
      <c r="H160" s="5" t="str">
        <f>IFERROR(__xludf.DUMMYFUNCTION("GOOGLETRANSLATE(C160, ""en"", ""hi"")"),"A) ऊपरी शरीर की ताकत, B) निचले शरीर का समन्वय, C) आसन की कठिनाई, D) समय")</f>
        <v>A) ऊपरी शरीर की ताकत, B) निचले शरीर का समन्वय, C) आसन की कठिनाई, D) समय</v>
      </c>
      <c r="I160" s="5" t="str">
        <f>IFERROR(__xludf.DUMMYFUNCTION("GOOGLETRANSLATE(D160, ""en"", ""hi"")"),"बी) निचले शरीर का समन्वय")</f>
        <v>बी) निचले शरीर का समन्वय</v>
      </c>
    </row>
    <row r="161" ht="22.5" customHeight="1">
      <c r="A161" s="2">
        <v>160.0</v>
      </c>
      <c r="B161" s="3" t="s">
        <v>10409</v>
      </c>
      <c r="C161" s="3" t="s">
        <v>10410</v>
      </c>
      <c r="D161" s="3" t="s">
        <v>10411</v>
      </c>
      <c r="F161" s="5" t="str">
        <f>IFERROR(__xludf.DUMMYFUNCTION("GOOGLETRANSLATE(A161, ""en"", ""hi"")"),"160")</f>
        <v>160</v>
      </c>
      <c r="G161" s="5" t="str">
        <f>IFERROR(__xludf.DUMMYFUNCTION("GOOGLETRANSLATE(B161, ""en"", ""hi"")"),"मलखंभ स्पर्धा में, कलाकार को अपने अभ्यास के दौरान ध्यान केंद्रित रखने में कठिनाई होती है। उन्हें किस पर काम करना चाहिए?")</f>
        <v>मलखंभ स्पर्धा में, कलाकार को अपने अभ्यास के दौरान ध्यान केंद्रित रखने में कठिनाई होती है। उन्हें किस पर काम करना चाहिए?</v>
      </c>
      <c r="H161" s="5" t="str">
        <f>IFERROR(__xludf.DUMMYFUNCTION("GOOGLETRANSLATE(C161, ""en"", ""hi"")"),"A) फोकस और मानसिक अनुशासन, B) मुद्रा की जटिलता, C) दर्शकों की सहभागिता, D) नियमित रचनात्मकता")</f>
        <v>A) फोकस और मानसिक अनुशासन, B) मुद्रा की जटिलता, C) दर्शकों की सहभागिता, D) नियमित रचनात्मकता</v>
      </c>
      <c r="I161" s="5" t="str">
        <f>IFERROR(__xludf.DUMMYFUNCTION("GOOGLETRANSLATE(D161, ""en"", ""hi"")"),"A) फोकस और मानसिक अनुशासन")</f>
        <v>A) फोकस और मानसिक अनुशासन</v>
      </c>
    </row>
    <row r="162" ht="22.5" customHeight="1">
      <c r="A162" s="2">
        <v>161.0</v>
      </c>
      <c r="B162" s="3" t="s">
        <v>10412</v>
      </c>
      <c r="C162" s="3" t="s">
        <v>10413</v>
      </c>
      <c r="D162" s="3" t="s">
        <v>10414</v>
      </c>
      <c r="F162" s="5" t="str">
        <f>IFERROR(__xludf.DUMMYFUNCTION("GOOGLETRANSLATE(A162, ""en"", ""hi"")"),"161")</f>
        <v>161</v>
      </c>
      <c r="G162" s="5" t="str">
        <f>IFERROR(__xludf.DUMMYFUNCTION("GOOGLETRANSLATE(B162, ""en"", ""hi"")"),"मलखंभ प्रदर्शन के दौरान, कलाकार को स्थान के उपयोग के लिए प्रशंसा मिलती है, लेकिन उसे बदलाव पर भी ध्यान देना होता है। अभ्यास में उन्हें किस चीज़ को प्राथमिकता देनी चाहिए?")</f>
        <v>मलखंभ प्रदर्शन के दौरान, कलाकार को स्थान के उपयोग के लिए प्रशंसा मिलती है, लेकिन उसे बदलाव पर भी ध्यान देना होता है। अभ्यास में उन्हें किस चीज़ को प्राथमिकता देनी चाहिए?</v>
      </c>
      <c r="H162" s="5" t="str">
        <f>IFERROR(__xludf.DUMMYFUNCTION("GOOGLETRANSLATE(C162, ""en"", ""hi"")"),"ए) मुद्रा परिवर्तन, बी) स्थान का उपयोग, सी) नियमित गति, डी) शक्ति प्रशिक्षण")</f>
        <v>ए) मुद्रा परिवर्तन, बी) स्थान का उपयोग, सी) नियमित गति, डी) शक्ति प्रशिक्षण</v>
      </c>
      <c r="I162" s="5" t="str">
        <f>IFERROR(__xludf.DUMMYFUNCTION("GOOGLETRANSLATE(D162, ""en"", ""hi"")"),"A) मुद्रा परिवर्तन")</f>
        <v>A) मुद्रा परिवर्तन</v>
      </c>
    </row>
    <row r="163" ht="22.5" customHeight="1">
      <c r="A163" s="2">
        <v>162.0</v>
      </c>
      <c r="B163" s="3" t="s">
        <v>10415</v>
      </c>
      <c r="C163" s="3" t="s">
        <v>10416</v>
      </c>
      <c r="D163" s="3" t="s">
        <v>10417</v>
      </c>
      <c r="F163" s="5" t="str">
        <f>IFERROR(__xludf.DUMMYFUNCTION("GOOGLETRANSLATE(A163, ""en"", ""hi"")"),"162")</f>
        <v>162</v>
      </c>
      <c r="G163" s="5" t="str">
        <f>IFERROR(__xludf.DUMMYFUNCTION("GOOGLETRANSLATE(B163, ""en"", ""hi"")"),"मलखम्ब कलाकार को स्थिर और गतिशील गतियों के बीच संतुलन बनाने में कठिनाई होती है। उनके अभ्यास का ध्यान किस पर होना चाहिए?")</f>
        <v>मलखम्ब कलाकार को स्थिर और गतिशील गतियों के बीच संतुलन बनाने में कठिनाई होती है। उनके अभ्यास का ध्यान किस पर होना चाहिए?</v>
      </c>
      <c r="H163" s="5" t="str">
        <f>IFERROR(__xludf.DUMMYFUNCTION("GOOGLETRANSLATE(C163, ""en"", ""hi"")"),"ए) स्थिर और गतिशील मुद्राओं के बीच संतुलन, बी) मुद्रा की कठिनाई, सी) गति, डी) नियमित लंबाई")</f>
        <v>ए) स्थिर और गतिशील मुद्राओं के बीच संतुलन, बी) मुद्रा की कठिनाई, सी) गति, डी) नियमित लंबाई</v>
      </c>
      <c r="I163" s="5" t="str">
        <f>IFERROR(__xludf.DUMMYFUNCTION("GOOGLETRANSLATE(D163, ""en"", ""hi"")"),"A) स्थिर और गतिशील मुद्राओं के बीच संतुलन")</f>
        <v>A) स्थिर और गतिशील मुद्राओं के बीच संतुलन</v>
      </c>
    </row>
    <row r="164" ht="22.5" customHeight="1">
      <c r="A164" s="2">
        <v>163.0</v>
      </c>
      <c r="B164" s="3" t="s">
        <v>10418</v>
      </c>
      <c r="C164" s="3" t="s">
        <v>10419</v>
      </c>
      <c r="D164" s="3" t="s">
        <v>10266</v>
      </c>
      <c r="F164" s="5" t="str">
        <f>IFERROR(__xludf.DUMMYFUNCTION("GOOGLETRANSLATE(A164, ""en"", ""hi"")"),"163")</f>
        <v>163</v>
      </c>
      <c r="G164" s="5" t="str">
        <f>IFERROR(__xludf.DUMMYFUNCTION("GOOGLETRANSLATE(B164, ""en"", ""hi"")"),"मलखंभ प्रतियोगिता के दौरान, कलाकार को उसके संतुलन के लिए सराहा जाता है, लेकिन उसे अपनी रचनात्मकता में सुधार करने की ज़रूरत होती है। उन्हें किस पर काम करना चाहिए?")</f>
        <v>मलखंभ प्रतियोगिता के दौरान, कलाकार को उसके संतुलन के लिए सराहा जाता है, लेकिन उसे अपनी रचनात्मकता में सुधार करने की ज़रूरत होती है। उन्हें किस पर काम करना चाहिए?</v>
      </c>
      <c r="H164" s="5" t="str">
        <f>IFERROR(__xludf.DUMMYFUNCTION("GOOGLETRANSLATE(C164, ""en"", ""hi"")"),"A) संतुलन, B) रचनात्मकता और मौलिकता, C) दर्शकों के साथ बातचीत, D) दिनचर्या की लंबाई")</f>
        <v>A) संतुलन, B) रचनात्मकता और मौलिकता, C) दर्शकों के साथ बातचीत, D) दिनचर्या की लंबाई</v>
      </c>
      <c r="I164" s="5" t="str">
        <f>IFERROR(__xludf.DUMMYFUNCTION("GOOGLETRANSLATE(D164, ""en"", ""hi"")"),"बी) रचनात्मकता और मौलिकता")</f>
        <v>बी) रचनात्मकता और मौलिकता</v>
      </c>
    </row>
    <row r="165" ht="22.5" customHeight="1">
      <c r="A165" s="2">
        <v>164.0</v>
      </c>
      <c r="B165" s="3" t="s">
        <v>10420</v>
      </c>
      <c r="C165" s="3" t="s">
        <v>10421</v>
      </c>
      <c r="D165" s="3" t="s">
        <v>10422</v>
      </c>
      <c r="F165" s="5" t="str">
        <f>IFERROR(__xludf.DUMMYFUNCTION("GOOGLETRANSLATE(A165, ""en"", ""hi"")"),"164")</f>
        <v>164</v>
      </c>
      <c r="G165" s="5" t="str">
        <f>IFERROR(__xludf.DUMMYFUNCTION("GOOGLETRANSLATE(B165, ""en"", ""hi"")"),"एक कलाकार का कार्यक्रम अपनी जटिलता के लिए जाना जाता है, लेकिन उसमें सुचारू निष्पादन का अभाव होता है। उन्हें किस चीज़ को प्राथमिकता देनी चाहिए?")</f>
        <v>एक कलाकार का कार्यक्रम अपनी जटिलता के लिए जाना जाता है, लेकिन उसमें सुचारू निष्पादन का अभाव होता है। उन्हें किस चीज़ को प्राथमिकता देनी चाहिए?</v>
      </c>
      <c r="H165" s="5" t="str">
        <f>IFERROR(__xludf.DUMMYFUNCTION("GOOGLETRANSLATE(C165, ""en"", ""hi"")"),"A) पोज़ का सहज निष्पादन, B) बढ़ती जटिलता, C) दर्शकों की सहभागिता, D) नियमित गति")</f>
        <v>A) पोज़ का सहज निष्पादन, B) बढ़ती जटिलता, C) दर्शकों की सहभागिता, D) नियमित गति</v>
      </c>
      <c r="I165" s="5" t="str">
        <f>IFERROR(__xludf.DUMMYFUNCTION("GOOGLETRANSLATE(D165, ""en"", ""hi"")"),"A) आसनों का सुचारू निष्पादन")</f>
        <v>A) आसनों का सुचारू निष्पादन</v>
      </c>
    </row>
    <row r="166" ht="22.5" customHeight="1">
      <c r="A166" s="2">
        <v>165.0</v>
      </c>
      <c r="B166" s="3" t="s">
        <v>10423</v>
      </c>
      <c r="C166" s="3" t="s">
        <v>10424</v>
      </c>
      <c r="D166" s="3" t="s">
        <v>10425</v>
      </c>
      <c r="F166" s="5" t="str">
        <f>IFERROR(__xludf.DUMMYFUNCTION("GOOGLETRANSLATE(A166, ""en"", ""hi"")"),"165")</f>
        <v>165</v>
      </c>
      <c r="G166" s="5" t="str">
        <f>IFERROR(__xludf.DUMMYFUNCTION("GOOGLETRANSLATE(B166, ""en"", ""hi"")"),"मलखंभ के दौरान, कलाकार स्थिर मुद्राओं में तो उत्कृष्ट प्रदर्शन करता है, लेकिन उसे तरल गतियों पर काम करने की ज़रूरत होती है। उन्हें किस पर ध्यान केंद्रित करना चाहिए?")</f>
        <v>मलखंभ के दौरान, कलाकार स्थिर मुद्राओं में तो उत्कृष्ट प्रदर्शन करता है, लेकिन उसे तरल गतियों पर काम करने की ज़रूरत होती है। उन्हें किस पर ध्यान केंद्रित करना चाहिए?</v>
      </c>
      <c r="H166" s="5" t="str">
        <f>IFERROR(__xludf.DUMMYFUNCTION("GOOGLETRANSLATE(C166, ""en"", ""hi"")"),"A) गतिविधियों में तरलता, B) स्थैतिक मुद्रा शक्ति, C) नियमित लंबाई, D) गति")</f>
        <v>A) गतिविधियों में तरलता, B) स्थैतिक मुद्रा शक्ति, C) नियमित लंबाई, D) गति</v>
      </c>
      <c r="I166" s="5" t="str">
        <f>IFERROR(__xludf.DUMMYFUNCTION("GOOGLETRANSLATE(D166, ""en"", ""hi"")"),"A) गतिविधियों में तरलता")</f>
        <v>A) गतिविधियों में तरलता</v>
      </c>
    </row>
    <row r="167" ht="22.5" customHeight="1">
      <c r="A167" s="2">
        <v>166.0</v>
      </c>
      <c r="B167" s="3" t="s">
        <v>10426</v>
      </c>
      <c r="C167" s="3" t="s">
        <v>10427</v>
      </c>
      <c r="D167" s="3" t="s">
        <v>10428</v>
      </c>
      <c r="F167" s="5" t="str">
        <f>IFERROR(__xludf.DUMMYFUNCTION("GOOGLETRANSLATE(A167, ""en"", ""hi"")"),"166")</f>
        <v>166</v>
      </c>
      <c r="G167" s="5" t="str">
        <f>IFERROR(__xludf.DUMMYFUNCTION("GOOGLETRANSLATE(B167, ""en"", ""hi"")"),"मलखंभ के शानदार समापन के लिए कलाकार की प्रशंसा की जाती है, लेकिन शुरुआत में सुधार के लिए उसे फीडबैक भी मिलता है। उन्हें किस पर काम करना चाहिए?")</f>
        <v>मलखंभ के शानदार समापन के लिए कलाकार की प्रशंसा की जाती है, लेकिन शुरुआत में सुधार के लिए उसे फीडबैक भी मिलता है। उन्हें किस पर काम करना चाहिए?</v>
      </c>
      <c r="H167" s="5" t="str">
        <f>IFERROR(__xludf.DUMMYFUNCTION("GOOGLETRANSLATE(C167, ""en"", ""hi"")"),"ए) प्रारंभिक मुद्रा और परिचय, बी) नियमित अंत, सी) मुद्रा परिवर्तन, डी) दर्शकों के साथ बातचीत")</f>
        <v>ए) प्रारंभिक मुद्रा और परिचय, बी) नियमित अंत, सी) मुद्रा परिवर्तन, डी) दर्शकों के साथ बातचीत</v>
      </c>
      <c r="I167" s="5" t="str">
        <f>IFERROR(__xludf.DUMMYFUNCTION("GOOGLETRANSLATE(D167, ""en"", ""hi"")"),"ए) प्रारंभिक मुद्रा और परिचय")</f>
        <v>ए) प्रारंभिक मुद्रा और परिचय</v>
      </c>
    </row>
    <row r="168" ht="22.5" customHeight="1">
      <c r="A168" s="2">
        <v>167.0</v>
      </c>
      <c r="B168" s="3" t="s">
        <v>10429</v>
      </c>
      <c r="C168" s="3" t="s">
        <v>10430</v>
      </c>
      <c r="D168" s="3" t="s">
        <v>10431</v>
      </c>
      <c r="F168" s="5" t="str">
        <f>IFERROR(__xludf.DUMMYFUNCTION("GOOGLETRANSLATE(A168, ""en"", ""hi"")"),"167")</f>
        <v>167</v>
      </c>
      <c r="G168" s="5" t="str">
        <f>IFERROR(__xludf.DUMMYFUNCTION("GOOGLETRANSLATE(B168, ""en"", ""hi"")"),"मलखंभ प्रतियोगिता के दौरान, त्वरित बदलावों के दौरान कलाकार की टाइमिंग गड़बड़ा जाती है। उन्हें किस पर काम करना चाहिए?")</f>
        <v>मलखंभ प्रतियोगिता के दौरान, त्वरित बदलावों के दौरान कलाकार की टाइमिंग गड़बड़ा जाती है। उन्हें किस पर काम करना चाहिए?</v>
      </c>
      <c r="H168" s="5" t="str">
        <f>IFERROR(__xludf.DUMMYFUNCTION("GOOGLETRANSLATE(C168, ""en"", ""hi"")"),"ए) संक्रमण के दौरान समय, बी) मुद्रा की कठिनाई, सी) नियमित गति, डी) दर्शकों की सहभागिता")</f>
        <v>ए) संक्रमण के दौरान समय, बी) मुद्रा की कठिनाई, सी) नियमित गति, डी) दर्शकों की सहभागिता</v>
      </c>
      <c r="I168" s="5" t="str">
        <f>IFERROR(__xludf.DUMMYFUNCTION("GOOGLETRANSLATE(D168, ""en"", ""hi"")"),"A) संक्रमण के दौरान समय")</f>
        <v>A) संक्रमण के दौरान समय</v>
      </c>
    </row>
    <row r="169" ht="22.5" customHeight="1">
      <c r="A169" s="2">
        <v>168.0</v>
      </c>
      <c r="B169" s="3" t="s">
        <v>10432</v>
      </c>
      <c r="C169" s="3" t="s">
        <v>10433</v>
      </c>
      <c r="D169" s="3" t="s">
        <v>10434</v>
      </c>
      <c r="F169" s="5" t="str">
        <f>IFERROR(__xludf.DUMMYFUNCTION("GOOGLETRANSLATE(A169, ""en"", ""hi"")"),"168")</f>
        <v>168</v>
      </c>
      <c r="G169" s="5" t="str">
        <f>IFERROR(__xludf.DUMMYFUNCTION("GOOGLETRANSLATE(B169, ""en"", ""hi"")"),"मलखंभ कलाकार को अपनी मुद्राओं की जटिलता बढ़ाने के लिए फीडबैक मिलता है। उन्हें किस पर ध्यान केंद्रित करना चाहिए?")</f>
        <v>मलखंभ कलाकार को अपनी मुद्राओं की जटिलता बढ़ाने के लिए फीडबैक मिलता है। उन्हें किस पर ध्यान केंद्रित करना चाहिए?</v>
      </c>
      <c r="H169" s="5" t="str">
        <f>IFERROR(__xludf.DUMMYFUNCTION("GOOGLETRANSLATE(C169, ""en"", ""hi"")"),"ए) बढ़ती हुई मुद्रा जटिलता, बी) गति, सी) शक्ति, डी) नियमित लंबाई")</f>
        <v>ए) बढ़ती हुई मुद्रा जटिलता, बी) गति, सी) शक्ति, डी) नियमित लंबाई</v>
      </c>
      <c r="I169" s="5" t="str">
        <f>IFERROR(__xludf.DUMMYFUNCTION("GOOGLETRANSLATE(D169, ""en"", ""hi"")"),"A) बढ़ती हुई मुद्रा जटिलता")</f>
        <v>A) बढ़ती हुई मुद्रा जटिलता</v>
      </c>
    </row>
    <row r="170" ht="22.5" customHeight="1">
      <c r="A170" s="2">
        <v>169.0</v>
      </c>
      <c r="B170" s="3" t="s">
        <v>10435</v>
      </c>
      <c r="C170" s="3" t="s">
        <v>10436</v>
      </c>
      <c r="D170" s="3" t="s">
        <v>10437</v>
      </c>
      <c r="F170" s="5" t="str">
        <f>IFERROR(__xludf.DUMMYFUNCTION("GOOGLETRANSLATE(A170, ""en"", ""hi"")"),"169")</f>
        <v>169</v>
      </c>
      <c r="G170" s="5" t="str">
        <f>IFERROR(__xludf.DUMMYFUNCTION("GOOGLETRANSLATE(B170, ""en"", ""hi"")"),"मलखंभ स्पर्धा के दौरान, कलाकार शक्ति-आधारित आसनों में उत्कृष्टता प्राप्त करता है, लेकिन उसे अपनी चपलता में सुधार करने की आवश्यकता होती है। उसे अपने अभ्यास में क्या शामिल करना चाहिए?")</f>
        <v>मलखंभ स्पर्धा के दौरान, कलाकार शक्ति-आधारित आसनों में उत्कृष्टता प्राप्त करता है, लेकिन उसे अपनी चपलता में सुधार करने की आवश्यकता होती है। उसे अपने अभ्यास में क्या शामिल करना चाहिए?</v>
      </c>
      <c r="H170" s="5" t="str">
        <f>IFERROR(__xludf.DUMMYFUNCTION("GOOGLETRANSLATE(C170, ""en"", ""hi"")"),"ए) चपलता अभ्यास, बी) सुदृढ़ीकरण व्यायाम, सी) मुद्रा परिवर्तन, डी) संतुलन प्रशिक्षण")</f>
        <v>ए) चपलता अभ्यास, बी) सुदृढ़ीकरण व्यायाम, सी) मुद्रा परिवर्तन, डी) संतुलन प्रशिक्षण</v>
      </c>
      <c r="I170" s="5" t="str">
        <f>IFERROR(__xludf.DUMMYFUNCTION("GOOGLETRANSLATE(D170, ""en"", ""hi"")"),"ए) चपलता अभ्यास")</f>
        <v>ए) चपलता अभ्यास</v>
      </c>
    </row>
    <row r="171" ht="22.5" customHeight="1">
      <c r="A171" s="2">
        <v>170.0</v>
      </c>
      <c r="B171" s="3" t="s">
        <v>10438</v>
      </c>
      <c r="C171" s="3" t="s">
        <v>10439</v>
      </c>
      <c r="D171" s="3" t="s">
        <v>10440</v>
      </c>
      <c r="F171" s="5" t="str">
        <f>IFERROR(__xludf.DUMMYFUNCTION("GOOGLETRANSLATE(A171, ""en"", ""hi"")"),"170")</f>
        <v>170</v>
      </c>
      <c r="G171" s="5" t="str">
        <f>IFERROR(__xludf.DUMMYFUNCTION("GOOGLETRANSLATE(B171, ""en"", ""hi"")"),"मलखंभ करने वाले कलाकार अपने लचीलेपन के लिए उच्च अंक प्राप्त करते हैं, लेकिन कुछ आसनों में उन्हें ताकत के साथ संघर्ष करना पड़ता है। उन्हें प्रशिक्षण में किस चीज़ को प्राथमिकता देनी चाहिए?")</f>
        <v>मलखंभ करने वाले कलाकार अपने लचीलेपन के लिए उच्च अंक प्राप्त करते हैं, लेकिन कुछ आसनों में उन्हें ताकत के साथ संघर्ष करना पड़ता है। उन्हें प्रशिक्षण में किस चीज़ को प्राथमिकता देनी चाहिए?</v>
      </c>
      <c r="H171" s="5" t="str">
        <f>IFERROR(__xludf.DUMMYFUNCTION("GOOGLETRANSLATE(C171, ""en"", ""hi"")"),"ए) शक्ति प्रशिक्षण, बी) लचीलापन, सी) आसन की कठिनाई, डी) नियमित गति")</f>
        <v>ए) शक्ति प्रशिक्षण, बी) लचीलापन, सी) आसन की कठिनाई, डी) नियमित गति</v>
      </c>
      <c r="I171" s="5" t="str">
        <f>IFERROR(__xludf.DUMMYFUNCTION("GOOGLETRANSLATE(D171, ""en"", ""hi"")"),"ए) शक्ति प्रशिक्षण")</f>
        <v>ए) शक्ति प्रशिक्षण</v>
      </c>
    </row>
    <row r="172" ht="22.5" customHeight="1">
      <c r="A172" s="2">
        <v>171.0</v>
      </c>
      <c r="B172" s="3" t="s">
        <v>10441</v>
      </c>
      <c r="C172" s="3" t="s">
        <v>10442</v>
      </c>
      <c r="D172" s="3" t="s">
        <v>10443</v>
      </c>
      <c r="F172" s="5" t="str">
        <f>IFERROR(__xludf.DUMMYFUNCTION("GOOGLETRANSLATE(A172, ""en"", ""hi"")"),"171")</f>
        <v>171</v>
      </c>
      <c r="G172" s="5" t="str">
        <f>IFERROR(__xludf.DUMMYFUNCTION("GOOGLETRANSLATE(B172, ""en"", ""hi"")"),"मलखंभ प्रतियोगिता के दौरान, कलाकार अपनी तकनीक में उत्कृष्ट प्रदर्शन करता है, लेकिन उसे दर्शकों से जुड़ाव पर ध्यान देने की सलाह दी जाती है। उन्हें किस पर ध्यान केंद्रित करना चाहिए?")</f>
        <v>मलखंभ प्रतियोगिता के दौरान, कलाकार अपनी तकनीक में उत्कृष्ट प्रदर्शन करता है, लेकिन उसे दर्शकों से जुड़ाव पर ध्यान देने की सलाह दी जाती है। उन्हें किस पर ध्यान केंद्रित करना चाहिए?</v>
      </c>
      <c r="H172" s="5" t="str">
        <f>IFERROR(__xludf.DUMMYFUNCTION("GOOGLETRANSLATE(C172, ""en"", ""hi"")"),"ए) तकनीक, बी) दर्शकों से जुड़ाव और जुड़ाव, सी) गति, डी) मुद्रा की जटिलता")</f>
        <v>ए) तकनीक, बी) दर्शकों से जुड़ाव और जुड़ाव, सी) गति, डी) मुद्रा की जटिलता</v>
      </c>
      <c r="I172" s="5" t="str">
        <f>IFERROR(__xludf.DUMMYFUNCTION("GOOGLETRANSLATE(D172, ""en"", ""hi"")"),"बी) दर्शकों से जुड़ाव और सहभागिता")</f>
        <v>बी) दर्शकों से जुड़ाव और सहभागिता</v>
      </c>
    </row>
    <row r="173" ht="22.5" customHeight="1">
      <c r="A173" s="2">
        <v>172.0</v>
      </c>
      <c r="B173" s="3" t="s">
        <v>10444</v>
      </c>
      <c r="C173" s="3" t="s">
        <v>10445</v>
      </c>
      <c r="D173" s="3" t="s">
        <v>10446</v>
      </c>
      <c r="F173" s="5" t="str">
        <f>IFERROR(__xludf.DUMMYFUNCTION("GOOGLETRANSLATE(A173, ""en"", ""hi"")"),"172")</f>
        <v>172</v>
      </c>
      <c r="G173" s="5" t="str">
        <f>IFERROR(__xludf.DUMMYFUNCTION("GOOGLETRANSLATE(B173, ""en"", ""hi"")"),"मलखंभ करते समय कलाकार को लय बनाए रखने में दिक्कत होती है। उन्हें क्या सुधार करना चाहिए?")</f>
        <v>मलखंभ करते समय कलाकार को लय बनाए रखने में दिक्कत होती है। उन्हें क्या सुधार करना चाहिए?</v>
      </c>
      <c r="H173" s="5" t="str">
        <f>IFERROR(__xludf.DUMMYFUNCTION("GOOGLETRANSLATE(C173, ""en"", ""hi"")"),"A) लय और समन्वय, B) आसन की कठिनाई, C) लचीलापन, D) शक्ति")</f>
        <v>A) लय और समन्वय, B) आसन की कठिनाई, C) लचीलापन, D) शक्ति</v>
      </c>
      <c r="I173" s="5" t="str">
        <f>IFERROR(__xludf.DUMMYFUNCTION("GOOGLETRANSLATE(D173, ""en"", ""hi"")"),"A) लय और समन्वय")</f>
        <v>A) लय और समन्वय</v>
      </c>
    </row>
    <row r="174" ht="22.5" customHeight="1">
      <c r="A174" s="2">
        <v>173.0</v>
      </c>
      <c r="B174" s="3" t="s">
        <v>10447</v>
      </c>
      <c r="C174" s="3" t="s">
        <v>10448</v>
      </c>
      <c r="D174" s="3" t="s">
        <v>10449</v>
      </c>
      <c r="F174" s="5" t="str">
        <f>IFERROR(__xludf.DUMMYFUNCTION("GOOGLETRANSLATE(A174, ""en"", ""hi"")"),"173")</f>
        <v>173</v>
      </c>
      <c r="G174" s="5" t="str">
        <f>IFERROR(__xludf.DUMMYFUNCTION("GOOGLETRANSLATE(B174, ""en"", ""hi"")"),"मलखंभ प्रदर्शन के दौरान, एक प्रतिभागी जटिल अभ्यास के दौरान अपनी पकड़ खो देता है। अगली बार बेहतर पकड़ बनाए रखने में उन्हें क्या मदद कर सकता है?")</f>
        <v>मलखंभ प्रदर्शन के दौरान, एक प्रतिभागी जटिल अभ्यास के दौरान अपनी पकड़ खो देता है। अगली बार बेहतर पकड़ बनाए रखने में उन्हें क्या मदद कर सकता है?</v>
      </c>
      <c r="H174" s="5" t="str">
        <f>IFERROR(__xludf.DUMMYFUNCTION("GOOGLETRANSLATE(C174, ""en"", ""hi"")"),"A) अग्रबाहु की मांसपेशियों को मजबूत करना, B) दिनचर्या को छोटा करना, C) अधिक आसन जोड़ना, D) पोशाक बदलना")</f>
        <v>A) अग्रबाहु की मांसपेशियों को मजबूत करना, B) दिनचर्या को छोटा करना, C) अधिक आसन जोड़ना, D) पोशाक बदलना</v>
      </c>
      <c r="I174" s="5" t="str">
        <f>IFERROR(__xludf.DUMMYFUNCTION("GOOGLETRANSLATE(D174, ""en"", ""hi"")"),"A) अग्रबाहु की मांसपेशियों को मजबूत करना")</f>
        <v>A) अग्रबाहु की मांसपेशियों को मजबूत करना</v>
      </c>
    </row>
    <row r="175" ht="22.5" customHeight="1">
      <c r="A175" s="2">
        <v>174.0</v>
      </c>
      <c r="B175" s="3" t="s">
        <v>10450</v>
      </c>
      <c r="C175" s="3" t="s">
        <v>10451</v>
      </c>
      <c r="D175" s="3" t="s">
        <v>10452</v>
      </c>
      <c r="F175" s="5" t="str">
        <f>IFERROR(__xludf.DUMMYFUNCTION("GOOGLETRANSLATE(A175, ""en"", ""hi"")"),"174")</f>
        <v>174</v>
      </c>
      <c r="G175" s="5" t="str">
        <f>IFERROR(__xludf.DUMMYFUNCTION("GOOGLETRANSLATE(B175, ""en"", ""hi"")"),"मलखम्ब एथलीट एक पोज़ से दूसरे पोज़ में जाते समय लगातार संतुलन खो देता है। उनके इस बदलाव को कैसे बेहतर बनाया जा सकता है?")</f>
        <v>मलखम्ब एथलीट एक पोज़ से दूसरे पोज़ में जाते समय लगातार संतुलन खो देता है। उनके इस बदलाव को कैसे बेहतर बनाया जा सकता है?</v>
      </c>
      <c r="H175" s="5" t="str">
        <f>IFERROR(__xludf.DUMMYFUNCTION("GOOGLETRANSLATE(C175, ""en"", ""hi"")"),"A) कोर ताकत में सुधार, B) नियमित गति में वृद्धि, C) स्थिर मुद्रा का अभ्यास, D) पकड़ के लिए चाक का उपयोग करना")</f>
        <v>A) कोर ताकत में सुधार, B) नियमित गति में वृद्धि, C) स्थिर मुद्रा का अभ्यास, D) पकड़ के लिए चाक का उपयोग करना</v>
      </c>
      <c r="I175" s="5" t="str">
        <f>IFERROR(__xludf.DUMMYFUNCTION("GOOGLETRANSLATE(D175, ""en"", ""hi"")"),"A) कोर ताकत में सुधार")</f>
        <v>A) कोर ताकत में सुधार</v>
      </c>
    </row>
    <row r="176" ht="22.5" customHeight="1">
      <c r="A176" s="2">
        <v>175.0</v>
      </c>
      <c r="B176" s="3" t="s">
        <v>10453</v>
      </c>
      <c r="C176" s="3" t="s">
        <v>10454</v>
      </c>
      <c r="D176" s="3" t="s">
        <v>10455</v>
      </c>
      <c r="F176" s="5" t="str">
        <f>IFERROR(__xludf.DUMMYFUNCTION("GOOGLETRANSLATE(A176, ""en"", ""hi"")"),"175")</f>
        <v>175</v>
      </c>
      <c r="G176" s="5" t="str">
        <f>IFERROR(__xludf.DUMMYFUNCTION("GOOGLETRANSLATE(B176, ""en"", ""hi"")"),"राष्ट्रीय मलखंभ प्रतियोगिता के दौरान, एक कलाकार कठिन करतब तो करता है, लेकिन उसकी पीठ में लचीलापन कम होता है। उसे किस चीज़ में सुधार करने पर ध्यान देना चाहिए?")</f>
        <v>राष्ट्रीय मलखंभ प्रतियोगिता के दौरान, एक कलाकार कठिन करतब तो करता है, लेकिन उसकी पीठ में लचीलापन कम होता है। उसे किस चीज़ में सुधार करने पर ध्यान देना चाहिए?</v>
      </c>
      <c r="H176" s="5" t="str">
        <f>IFERROR(__xludf.DUMMYFUNCTION("GOOGLETRANSLATE(C176, ""en"", ""hi"")"),"ए) पीठ के लचीलेपन के व्यायाम, बी) दिनचर्या को छोटा करना, सी) संक्रमण को तेज करना, डी) बाहों को मजबूत करना")</f>
        <v>ए) पीठ के लचीलेपन के व्यायाम, बी) दिनचर्या को छोटा करना, सी) संक्रमण को तेज करना, डी) बाहों को मजबूत करना</v>
      </c>
      <c r="I176" s="5" t="str">
        <f>IFERROR(__xludf.DUMMYFUNCTION("GOOGLETRANSLATE(D176, ""en"", ""hi"")"),"A) पीठ लचीलेपन के व्यायाम")</f>
        <v>A) पीठ लचीलेपन के व्यायाम</v>
      </c>
    </row>
    <row r="177" ht="22.5" customHeight="1">
      <c r="A177" s="2">
        <v>176.0</v>
      </c>
      <c r="B177" s="3" t="s">
        <v>10456</v>
      </c>
      <c r="C177" s="3" t="s">
        <v>10457</v>
      </c>
      <c r="D177" s="3" t="s">
        <v>10458</v>
      </c>
      <c r="F177" s="5" t="str">
        <f>IFERROR(__xludf.DUMMYFUNCTION("GOOGLETRANSLATE(A177, ""en"", ""hi"")"),"176")</f>
        <v>176</v>
      </c>
      <c r="G177" s="5" t="str">
        <f>IFERROR(__xludf.DUMMYFUNCTION("GOOGLETRANSLATE(B177, ""en"", ""hi"")"),"मलखम्ब एथलीट में ताकत तो बहुत होती है, लेकिन अक्सर अभ्यास के दौरान वह अपनी सुंदरता में चूक जाता है। वे किस पहलू में सुधार कर सकते हैं?")</f>
        <v>मलखम्ब एथलीट में ताकत तो बहुत होती है, लेकिन अक्सर अभ्यास के दौरान वह अपनी सुंदरता में चूक जाता है। वे किस पहलू में सुधार कर सकते हैं?</v>
      </c>
      <c r="H177" s="5" t="str">
        <f>IFERROR(__xludf.DUMMYFUNCTION("GOOGLETRANSLATE(C177, ""en"", ""hi"")"),"ए) तरलता और सुंदरता पर ध्यान केंद्रित करना, बी) अधिक शक्ति-आधारित चालें जोड़ना, सी) दिनचर्या को लंबा करना, डी) तेजी से प्रदर्शन करना")</f>
        <v>ए) तरलता और सुंदरता पर ध्यान केंद्रित करना, बी) अधिक शक्ति-आधारित चालें जोड़ना, सी) दिनचर्या को लंबा करना, डी) तेजी से प्रदर्शन करना</v>
      </c>
      <c r="I177" s="5" t="str">
        <f>IFERROR(__xludf.DUMMYFUNCTION("GOOGLETRANSLATE(D177, ""en"", ""hi"")"),"A) तरलता और सुंदरता पर ध्यान केंद्रित करें")</f>
        <v>A) तरलता और सुंदरता पर ध्यान केंद्रित करें</v>
      </c>
    </row>
    <row r="178" ht="22.5" customHeight="1">
      <c r="A178" s="2">
        <v>177.0</v>
      </c>
      <c r="B178" s="3" t="s">
        <v>10459</v>
      </c>
      <c r="C178" s="3" t="s">
        <v>10460</v>
      </c>
      <c r="D178" s="3" t="s">
        <v>10461</v>
      </c>
      <c r="F178" s="5" t="str">
        <f>IFERROR(__xludf.DUMMYFUNCTION("GOOGLETRANSLATE(A178, ""en"", ""hi"")"),"177")</f>
        <v>177</v>
      </c>
      <c r="G178" s="5" t="str">
        <f>IFERROR(__xludf.DUMMYFUNCTION("GOOGLETRANSLATE(B178, ""en"", ""hi"")"),"उच्च-दांव वाले मलखंभ प्रदर्शन के दौरान, एक एथलीट शक्ति-आधारित पकड़ में तो उत्कृष्ट होता है, लेकिन गतिशील गतिविधियों को शामिल करने में उसे कठिनाई होती है। उन्हें क्या अभ्यास करना चाहिए?")</f>
        <v>उच्च-दांव वाले मलखंभ प्रदर्शन के दौरान, एक एथलीट शक्ति-आधारित पकड़ में तो उत्कृष्ट होता है, लेकिन गतिशील गतिविधियों को शामिल करने में उसे कठिनाई होती है। उन्हें क्या अभ्यास करना चाहिए?</v>
      </c>
      <c r="H178" s="5" t="str">
        <f>IFERROR(__xludf.DUMMYFUNCTION("GOOGLETRANSLATE(C178, ""en"", ""hi"")"),"ए) गतिशील और प्रवाहपूर्ण परिवर्तन, बी) अधिक शक्ति-आधारित आसन, सी) नियमित जटिलता में कमी, डी) लचीलेपन के व्यायाम")</f>
        <v>ए) गतिशील और प्रवाहपूर्ण परिवर्तन, बी) अधिक शक्ति-आधारित आसन, सी) नियमित जटिलता में कमी, डी) लचीलेपन के व्यायाम</v>
      </c>
      <c r="I178" s="5" t="str">
        <f>IFERROR(__xludf.DUMMYFUNCTION("GOOGLETRANSLATE(D178, ""en"", ""hi"")"),"A) गतिशील और प्रवाहपूर्ण संक्रमण")</f>
        <v>A) गतिशील और प्रवाहपूर्ण संक्रमण</v>
      </c>
    </row>
    <row r="179" ht="22.5" customHeight="1">
      <c r="A179" s="2">
        <v>178.0</v>
      </c>
      <c r="B179" s="3" t="s">
        <v>10462</v>
      </c>
      <c r="C179" s="3" t="s">
        <v>10463</v>
      </c>
      <c r="D179" s="3" t="s">
        <v>10464</v>
      </c>
      <c r="F179" s="5" t="str">
        <f>IFERROR(__xludf.DUMMYFUNCTION("GOOGLETRANSLATE(A179, ""en"", ""hi"")"),"178")</f>
        <v>178</v>
      </c>
      <c r="G179" s="5" t="str">
        <f>IFERROR(__xludf.DUMMYFUNCTION("GOOGLETRANSLATE(B179, ""en"", ""hi"")"),"एक एथलीट को लगता है कि उसका प्रदर्शन बहुत ज़्यादा अनुमानित है क्योंकि वह एक ही तरह की गतिविधियों पर निर्भर करता है। अपने अगले मलखंभ प्रदर्शन में अलग दिखने के लिए वे क्या कर सकते हैं?")</f>
        <v>एक एथलीट को लगता है कि उसका प्रदर्शन बहुत ज़्यादा अनुमानित है क्योंकि वह एक ही तरह की गतिविधियों पर निर्भर करता है। अपने अगले मलखंभ प्रदर्शन में अलग दिखने के लिए वे क्या कर सकते हैं?</v>
      </c>
      <c r="H179" s="5" t="str">
        <f>IFERROR(__xludf.DUMMYFUNCTION("GOOGLETRANSLATE(C179, ""en"", ""hi"")"),"A) नवीन और रचनात्मक चालों को शामिल करें, B) शक्ति प्रशिक्षण बढ़ाएँ, C) चालों की संख्या कम करें, D) नियमित गति कम करें")</f>
        <v>A) नवीन और रचनात्मक चालों को शामिल करें, B) शक्ति प्रशिक्षण बढ़ाएँ, C) चालों की संख्या कम करें, D) नियमित गति कम करें</v>
      </c>
      <c r="I179" s="5" t="str">
        <f>IFERROR(__xludf.DUMMYFUNCTION("GOOGLETRANSLATE(D179, ""en"", ""hi"")"),"A) नवीन और रचनात्मक कदमों को शामिल करें")</f>
        <v>A) नवीन और रचनात्मक कदमों को शामिल करें</v>
      </c>
    </row>
    <row r="180" ht="22.5" customHeight="1">
      <c r="A180" s="2">
        <v>179.0</v>
      </c>
      <c r="B180" s="3" t="s">
        <v>10465</v>
      </c>
      <c r="C180" s="3" t="s">
        <v>10466</v>
      </c>
      <c r="D180" s="3" t="s">
        <v>10467</v>
      </c>
      <c r="F180" s="5" t="str">
        <f>IFERROR(__xludf.DUMMYFUNCTION("GOOGLETRANSLATE(A180, ""en"", ""hi"")"),"179")</f>
        <v>179</v>
      </c>
      <c r="G180" s="5" t="str">
        <f>IFERROR(__xludf.DUMMYFUNCTION("GOOGLETRANSLATE(B180, ""en"", ""hi"")"),"मलखम्ब प्रतियोगी तेज़ गति से चलने में माहिर होता है, लेकिन स्थिर मुद्रा में लंबे समय तक टिके रहने में उसे दिक्कत होती है। उन्हें किस पर ध्यान केंद्रित करना चाहिए?")</f>
        <v>मलखम्ब प्रतियोगी तेज़ गति से चलने में माहिर होता है, लेकिन स्थिर मुद्रा में लंबे समय तक टिके रहने में उसे दिक्कत होती है। उन्हें किस पर ध्यान केंद्रित करना चाहिए?</v>
      </c>
      <c r="H180" s="5" t="str">
        <f>IFERROR(__xludf.DUMMYFUNCTION("GOOGLETRANSLATE(C180, ""en"", ""hi"")"),"A) लंबे समय तक स्थिर मुद्रा बनाए रखना, B) अधिक गति जोड़ना, C) लचीलेपन में सुधार करना, D) अधिक कठिन परिवर्तन जोड़ना")</f>
        <v>A) लंबे समय तक स्थिर मुद्रा बनाए रखना, B) अधिक गति जोड़ना, C) लचीलेपन में सुधार करना, D) अधिक कठिन परिवर्तन जोड़ना</v>
      </c>
      <c r="I180" s="5" t="str">
        <f>IFERROR(__xludf.DUMMYFUNCTION("GOOGLETRANSLATE(D180, ""en"", ""hi"")"),"A) लंबे समय तक स्थिर मुद्रा में रहना")</f>
        <v>A) लंबे समय तक स्थिर मुद्रा में रहना</v>
      </c>
    </row>
    <row r="181" ht="22.5" customHeight="1">
      <c r="A181" s="2">
        <v>180.0</v>
      </c>
      <c r="B181" s="3" t="s">
        <v>10468</v>
      </c>
      <c r="C181" s="3" t="s">
        <v>10469</v>
      </c>
      <c r="D181" s="3" t="s">
        <v>10470</v>
      </c>
      <c r="F181" s="5" t="str">
        <f>IFERROR(__xludf.DUMMYFUNCTION("GOOGLETRANSLATE(A181, ""en"", ""hi"")"),"180")</f>
        <v>180</v>
      </c>
      <c r="G181" s="5" t="str">
        <f>IFERROR(__xludf.DUMMYFUNCTION("GOOGLETRANSLATE(B181, ""en"", ""hi"")"),"मलखम्ब कलाकार संक्रमण में तो उत्कृष्ट होते हैं, लेकिन उनका समग्र संतुलन कमज़ोर होता है। उनके अगले प्रशिक्षण में किस पर ध्यान केंद्रित किया जाना चाहिए?")</f>
        <v>मलखम्ब कलाकार संक्रमण में तो उत्कृष्ट होते हैं, लेकिन उनका समग्र संतुलन कमज़ोर होता है। उनके अगले प्रशिक्षण में किस पर ध्यान केंद्रित किया जाना चाहिए?</v>
      </c>
      <c r="H181" s="5" t="str">
        <f>IFERROR(__xludf.DUMMYFUNCTION("GOOGLETRANSLATE(C181, ""en"", ""hi"")"),"A) संतुलन और स्थिरता, B) तेज़ गतिविधियाँ, C) नियमित जटिलता में वृद्धि, D) नए आसन जोड़ना")</f>
        <v>A) संतुलन और स्थिरता, B) तेज़ गतिविधियाँ, C) नियमित जटिलता में वृद्धि, D) नए आसन जोड़ना</v>
      </c>
      <c r="I181" s="5" t="str">
        <f>IFERROR(__xludf.DUMMYFUNCTION("GOOGLETRANSLATE(D181, ""en"", ""hi"")"),"A) संतुलन और स्थिरता")</f>
        <v>A) संतुलन और स्थिरता</v>
      </c>
    </row>
    <row r="182" ht="22.5" customHeight="1">
      <c r="A182" s="2">
        <v>181.0</v>
      </c>
      <c r="B182" s="3" t="s">
        <v>10471</v>
      </c>
      <c r="C182" s="3" t="s">
        <v>10472</v>
      </c>
      <c r="D182" s="3" t="s">
        <v>10473</v>
      </c>
      <c r="F182" s="5" t="str">
        <f>IFERROR(__xludf.DUMMYFUNCTION("GOOGLETRANSLATE(A182, ""en"", ""hi"")"),"181")</f>
        <v>181</v>
      </c>
      <c r="G182" s="5" t="str">
        <f>IFERROR(__xludf.DUMMYFUNCTION("GOOGLETRANSLATE(B182, ""en"", ""hi"")"),"एक कलाकार को मलखंभ करते समय बहुत ज़्यादा अकड़न महसूस होने की शिकायत मिलती है। उन्हें किस क्षेत्र में सुधार करना चाहिए?")</f>
        <v>एक कलाकार को मलखंभ करते समय बहुत ज़्यादा अकड़न महसूस होने की शिकायत मिलती है। उन्हें किस क्षेत्र में सुधार करना चाहिए?</v>
      </c>
      <c r="H182" s="5" t="str">
        <f>IFERROR(__xludf.DUMMYFUNCTION("GOOGLETRANSLATE(C182, ""en"", ""hi"")"),"ए) लचीलापन और तरलता, बी) ताकत, सी) नियमित गति, डी) पकड़ की ताकत")</f>
        <v>ए) लचीलापन और तरलता, बी) ताकत, सी) नियमित गति, डी) पकड़ की ताकत</v>
      </c>
      <c r="I182" s="5" t="str">
        <f>IFERROR(__xludf.DUMMYFUNCTION("GOOGLETRANSLATE(D182, ""en"", ""hi"")"),"ए) लचीलापन और तरलता")</f>
        <v>ए) लचीलापन और तरलता</v>
      </c>
    </row>
    <row r="183" ht="22.5" customHeight="1">
      <c r="A183" s="2">
        <v>182.0</v>
      </c>
      <c r="B183" s="3" t="s">
        <v>10474</v>
      </c>
      <c r="C183" s="3" t="s">
        <v>10475</v>
      </c>
      <c r="D183" s="3" t="s">
        <v>10476</v>
      </c>
      <c r="F183" s="5" t="str">
        <f>IFERROR(__xludf.DUMMYFUNCTION("GOOGLETRANSLATE(A183, ""en"", ""hi"")"),"182")</f>
        <v>182</v>
      </c>
      <c r="G183" s="5" t="str">
        <f>IFERROR(__xludf.DUMMYFUNCTION("GOOGLETRANSLATE(B183, ""en"", ""hi"")"),"मलखंभ प्रदर्शन के दौरान, एथलीट का प्रदर्शन लगभग दोषरहित होता है, लेकिन दर्शकों की रुचि कम हो जाती है। इसमें क्या सुधार किया जा सकता है?")</f>
        <v>मलखंभ प्रदर्शन के दौरान, एथलीट का प्रदर्शन लगभग दोषरहित होता है, लेकिन दर्शकों की रुचि कम हो जाती है। इसमें क्या सुधार किया जा सकता है?</v>
      </c>
      <c r="H183" s="5" t="str">
        <f>IFERROR(__xludf.DUMMYFUNCTION("GOOGLETRANSLATE(C183, ""en"", ""hi"")"),"ए) दर्शकों के साथ बातचीत, बी) अधिक कठिन चालें जोड़ना, सी) कोर को मजबूत करना, डी) तेजी से मुद्रा परिवर्तन")</f>
        <v>ए) दर्शकों के साथ बातचीत, बी) अधिक कठिन चालें जोड़ना, सी) कोर को मजबूत करना, डी) तेजी से मुद्रा परिवर्तन</v>
      </c>
      <c r="I183" s="5" t="str">
        <f>IFERROR(__xludf.DUMMYFUNCTION("GOOGLETRANSLATE(D183, ""en"", ""hi"")"),"A) दर्शकों की बातचीत")</f>
        <v>A) दर्शकों की बातचीत</v>
      </c>
    </row>
    <row r="184" ht="22.5" customHeight="1">
      <c r="A184" s="2">
        <v>183.0</v>
      </c>
      <c r="B184" s="3" t="s">
        <v>10477</v>
      </c>
      <c r="C184" s="3" t="s">
        <v>10478</v>
      </c>
      <c r="D184" s="3" t="s">
        <v>10479</v>
      </c>
      <c r="F184" s="5" t="str">
        <f>IFERROR(__xludf.DUMMYFUNCTION("GOOGLETRANSLATE(A184, ""en"", ""hi"")"),"183")</f>
        <v>183</v>
      </c>
      <c r="G184" s="5" t="str">
        <f>IFERROR(__xludf.DUMMYFUNCTION("GOOGLETRANSLATE(B184, ""en"", ""hi"")"),"मलखम्ब एथलीट रस्सी पर तो अच्छा प्रदर्शन करता है, लेकिन पोल पर प्रदर्शन करते समय उसे दिक्कत होती है। उन्हें किस पर ध्यान केंद्रित करना चाहिए?")</f>
        <v>मलखम्ब एथलीट रस्सी पर तो अच्छा प्रदर्शन करता है, लेकिन पोल पर प्रदर्शन करते समय उसे दिक्कत होती है। उन्हें किस पर ध्यान केंद्रित करना चाहिए?</v>
      </c>
      <c r="H184" s="5" t="str">
        <f>IFERROR(__xludf.DUMMYFUNCTION("GOOGLETRANSLATE(C184, ""en"", ""hi"")"),"ए) पोल-विशिष्ट तकनीकें, बी) रस्सी-विशिष्ट अभ्यास, सी) बाहों को मजबूत करना, डी) लचीलेपन में सुधार")</f>
        <v>ए) पोल-विशिष्ट तकनीकें, बी) रस्सी-विशिष्ट अभ्यास, सी) बाहों को मजबूत करना, डी) लचीलेपन में सुधार</v>
      </c>
      <c r="I184" s="5" t="str">
        <f>IFERROR(__xludf.DUMMYFUNCTION("GOOGLETRANSLATE(D184, ""en"", ""hi"")"),"A) ध्रुव-विशिष्ट तकनीकें")</f>
        <v>A) ध्रुव-विशिष्ट तकनीकें</v>
      </c>
    </row>
    <row r="185" ht="22.5" customHeight="1">
      <c r="A185" s="2">
        <v>184.0</v>
      </c>
      <c r="B185" s="3" t="s">
        <v>10480</v>
      </c>
      <c r="C185" s="3" t="s">
        <v>10481</v>
      </c>
      <c r="D185" s="3" t="s">
        <v>10482</v>
      </c>
      <c r="F185" s="5" t="str">
        <f>IFERROR(__xludf.DUMMYFUNCTION("GOOGLETRANSLATE(A185, ""en"", ""hi"")"),"184")</f>
        <v>184</v>
      </c>
      <c r="G185" s="5" t="str">
        <f>IFERROR(__xludf.DUMMYFUNCTION("GOOGLETRANSLATE(B185, ""en"", ""hi"")"),"मलखंभ प्रतियोगिता में, एक कलाकार मुद्राएँ तो अच्छी तरह से बनाए रखता है, लेकिन समय के साथ संघर्ष करता है। क्या सुधार किया जाना चाहिए?")</f>
        <v>मलखंभ प्रतियोगिता में, एक कलाकार मुद्राएँ तो अच्छी तरह से बनाए रखता है, लेकिन समय के साथ संघर्ष करता है। क्या सुधार किया जाना चाहिए?</v>
      </c>
      <c r="H185" s="5" t="str">
        <f>IFERROR(__xludf.DUMMYFUNCTION("GOOGLETRANSLATE(C185, ""en"", ""hi"")"),"ए) समय और समन्वय, बी) ताकत, सी) आसन की कठिनाई, डी) लचीलापन")</f>
        <v>ए) समय और समन्वय, बी) ताकत, सी) आसन की कठिनाई, डी) लचीलापन</v>
      </c>
      <c r="I185" s="5" t="str">
        <f>IFERROR(__xludf.DUMMYFUNCTION("GOOGLETRANSLATE(D185, ""en"", ""hi"")"),"ए) समय और समन्वय")</f>
        <v>ए) समय और समन्वय</v>
      </c>
    </row>
    <row r="186" ht="22.5" customHeight="1">
      <c r="A186" s="2">
        <v>185.0</v>
      </c>
      <c r="B186" s="3" t="s">
        <v>10483</v>
      </c>
      <c r="C186" s="3" t="s">
        <v>10484</v>
      </c>
      <c r="D186" s="3" t="s">
        <v>10485</v>
      </c>
      <c r="F186" s="5" t="str">
        <f>IFERROR(__xludf.DUMMYFUNCTION("GOOGLETRANSLATE(A186, ""en"", ""hi"")"),"185")</f>
        <v>185</v>
      </c>
      <c r="G186" s="5" t="str">
        <f>IFERROR(__xludf.DUMMYFUNCTION("GOOGLETRANSLATE(B186, ""en"", ""hi"")"),"एक कलाकार मलखंभ पर हवाई मुद्राओं के बीच बदलाव करने में संघर्ष कर रहा है। तरलता में सुधार के लिए उन्हें क्या करना चाहिए?")</f>
        <v>एक कलाकार मलखंभ पर हवाई मुद्राओं के बीच बदलाव करने में संघर्ष कर रहा है। तरलता में सुधार के लिए उन्हें क्या करना चाहिए?</v>
      </c>
      <c r="H186" s="5" t="str">
        <f>IFERROR(__xludf.DUMMYFUNCTION("GOOGLETRANSLATE(C186, ""en"", ""hi"")"),"ए) लचीलापन और चपलता, बी) शक्ति प्रशिक्षण, सी) नियमित लंबाई, डी) स्थिर धारण")</f>
        <v>ए) लचीलापन और चपलता, बी) शक्ति प्रशिक्षण, सी) नियमित लंबाई, डी) स्थिर धारण</v>
      </c>
      <c r="I186" s="5" t="str">
        <f>IFERROR(__xludf.DUMMYFUNCTION("GOOGLETRANSLATE(D186, ""en"", ""hi"")"),"ए) लचीलापन और चपलता")</f>
        <v>ए) लचीलापन और चपलता</v>
      </c>
    </row>
    <row r="187" ht="22.5" customHeight="1">
      <c r="A187" s="2">
        <v>186.0</v>
      </c>
      <c r="B187" s="3" t="s">
        <v>10486</v>
      </c>
      <c r="C187" s="3" t="s">
        <v>10487</v>
      </c>
      <c r="D187" s="3" t="s">
        <v>10488</v>
      </c>
      <c r="F187" s="5" t="str">
        <f>IFERROR(__xludf.DUMMYFUNCTION("GOOGLETRANSLATE(A187, ""en"", ""hi"")"),"186")</f>
        <v>186</v>
      </c>
      <c r="G187" s="5" t="str">
        <f>IFERROR(__xludf.DUMMYFUNCTION("GOOGLETRANSLATE(B187, ""en"", ""hi"")"),"मलखंभ कलाकार के ऊपरी शरीर की ताकत तो मज़बूत होती है, लेकिन पैरों के समन्वय में दिक्कत होती है। प्रशिक्षण के दौरान उनका ध्यान किस पर होना चाहिए?")</f>
        <v>मलखंभ कलाकार के ऊपरी शरीर की ताकत तो मज़बूत होती है, लेकिन पैरों के समन्वय में दिक्कत होती है। प्रशिक्षण के दौरान उनका ध्यान किस पर होना चाहिए?</v>
      </c>
      <c r="H187" s="5" t="str">
        <f>IFERROR(__xludf.DUMMYFUNCTION("GOOGLETRANSLATE(C187, ""en"", ""hi"")"),"ए) निचले शरीर का समन्वय और ताकत, बी) ऊपरी शरीर के व्यायाम को बढ़ाना, सी) नियमित लंबाई को कम करना, डी) स्थिर मुद्रा")</f>
        <v>ए) निचले शरीर का समन्वय और ताकत, बी) ऊपरी शरीर के व्यायाम को बढ़ाना, सी) नियमित लंबाई को कम करना, डी) स्थिर मुद्रा</v>
      </c>
      <c r="I187" s="5" t="str">
        <f>IFERROR(__xludf.DUMMYFUNCTION("GOOGLETRANSLATE(D187, ""en"", ""hi"")"),"ए) निचले शरीर का समन्वय और शक्ति")</f>
        <v>ए) निचले शरीर का समन्वय और शक्ति</v>
      </c>
    </row>
    <row r="188" ht="22.5" customHeight="1">
      <c r="A188" s="2">
        <v>187.0</v>
      </c>
      <c r="B188" s="3" t="s">
        <v>10489</v>
      </c>
      <c r="C188" s="3" t="s">
        <v>10490</v>
      </c>
      <c r="D188" s="3" t="s">
        <v>10491</v>
      </c>
      <c r="F188" s="5" t="str">
        <f>IFERROR(__xludf.DUMMYFUNCTION("GOOGLETRANSLATE(A188, ""en"", ""hi"")"),"187")</f>
        <v>187</v>
      </c>
      <c r="G188" s="5" t="str">
        <f>IFERROR(__xludf.DUMMYFUNCTION("GOOGLETRANSLATE(B188, ""en"", ""hi"")"),"मलखंभ करते समय, कलाकार की गतिविधियों में स्थिरता का अभाव होता है। उन्हें किस पर काम करना चाहिए?")</f>
        <v>मलखंभ करते समय, कलाकार की गतिविधियों में स्थिरता का अभाव होता है। उन्हें किस पर काम करना चाहिए?</v>
      </c>
      <c r="H188" s="5" t="str">
        <f>IFERROR(__xludf.DUMMYFUNCTION("GOOGLETRANSLATE(C188, ""en"", ""hi"")"),"ए) लगातार परिवर्तन और तरल गति, बी) स्थैतिक पकड़, सी) ताकत, डी) जटिलता को कम करना")</f>
        <v>ए) लगातार परिवर्तन और तरल गति, बी) स्थैतिक पकड़, सी) ताकत, डी) जटिलता को कम करना</v>
      </c>
      <c r="I188" s="5" t="str">
        <f>IFERROR(__xludf.DUMMYFUNCTION("GOOGLETRANSLATE(D188, ""en"", ""hi"")"),"A) लगातार संक्रमण और तरल गति")</f>
        <v>A) लगातार संक्रमण और तरल गति</v>
      </c>
    </row>
    <row r="189" ht="22.5" customHeight="1">
      <c r="A189" s="2">
        <v>188.0</v>
      </c>
      <c r="B189" s="3" t="s">
        <v>10492</v>
      </c>
      <c r="C189" s="3" t="s">
        <v>10493</v>
      </c>
      <c r="D189" s="3" t="s">
        <v>10494</v>
      </c>
      <c r="F189" s="5" t="str">
        <f>IFERROR(__xludf.DUMMYFUNCTION("GOOGLETRANSLATE(A189, ""en"", ""hi"")"),"188")</f>
        <v>188</v>
      </c>
      <c r="G189" s="5" t="str">
        <f>IFERROR(__xludf.DUMMYFUNCTION("GOOGLETRANSLATE(B189, ""en"", ""hi"")"),"मलखम्ब कलाकार में उत्कृष्ट शक्ति होती है, लेकिन जटिल अभ्यासों के दौरान उसे संतुलन बनाने में कठिनाई होती है। उन्हें किसमें सुधार करना चाहिए?")</f>
        <v>मलखम्ब कलाकार में उत्कृष्ट शक्ति होती है, लेकिन जटिल अभ्यासों के दौरान उसे संतुलन बनाने में कठिनाई होती है। उन्हें किसमें सुधार करना चाहिए?</v>
      </c>
      <c r="H189" s="5" t="str">
        <f>IFERROR(__xludf.DUMMYFUNCTION("GOOGLETRANSLATE(C189, ""en"", ""hi"")"),"A) संतुलन और नियंत्रण, B) नियमित लंबाई बढ़ाना, C) बाहों को मजबूत करना, D) नियमित जटिलता को कम करना")</f>
        <v>A) संतुलन और नियंत्रण, B) नियमित लंबाई बढ़ाना, C) बाहों को मजबूत करना, D) नियमित जटिलता को कम करना</v>
      </c>
      <c r="I189" s="5" t="str">
        <f>IFERROR(__xludf.DUMMYFUNCTION("GOOGLETRANSLATE(D189, ""en"", ""hi"")"),"A) संतुलन और नियंत्रण")</f>
        <v>A) संतुलन और नियंत्रण</v>
      </c>
    </row>
    <row r="190" ht="22.5" customHeight="1">
      <c r="A190" s="2">
        <v>189.0</v>
      </c>
      <c r="B190" s="3" t="s">
        <v>10495</v>
      </c>
      <c r="C190" s="3" t="s">
        <v>10496</v>
      </c>
      <c r="D190" s="3" t="s">
        <v>10497</v>
      </c>
      <c r="F190" s="5" t="str">
        <f>IFERROR(__xludf.DUMMYFUNCTION("GOOGLETRANSLATE(A190, ""en"", ""hi"")"),"189")</f>
        <v>189</v>
      </c>
      <c r="G190" s="5" t="str">
        <f>IFERROR(__xludf.DUMMYFUNCTION("GOOGLETRANSLATE(B190, ""en"", ""hi"")"),"मलखंभ अभ्यास के दौरान गतिशील गतिविधियों के दौरान एक एथलीट अपनी गति खो देता है। उन्हें किसमें सुधार करना चाहिए?")</f>
        <v>मलखंभ अभ्यास के दौरान गतिशील गतिविधियों के दौरान एक एथलीट अपनी गति खो देता है। उन्हें किसमें सुधार करना चाहिए?</v>
      </c>
      <c r="H190" s="5" t="str">
        <f>IFERROR(__xludf.DUMMYFUNCTION("GOOGLETRANSLATE(C190, ""en"", ""hi"")"),"A) निरंतर गति बनाए रखें, B) शक्ति प्रशिक्षण, C) स्थिर पकड़ पर ध्यान केंद्रित करें, D) गतिविधियों की संख्या कम करें")</f>
        <v>A) निरंतर गति बनाए रखें, B) शक्ति प्रशिक्षण, C) स्थिर पकड़ पर ध्यान केंद्रित करें, D) गतिविधियों की संख्या कम करें</v>
      </c>
      <c r="I190" s="5" t="str">
        <f>IFERROR(__xludf.DUMMYFUNCTION("GOOGLETRANSLATE(D190, ""en"", ""hi"")"),"A) निरंतर गति बनाए रखें")</f>
        <v>A) निरंतर गति बनाए रखें</v>
      </c>
    </row>
    <row r="191" ht="22.5" customHeight="1">
      <c r="A191" s="2">
        <v>190.0</v>
      </c>
      <c r="B191" s="3" t="s">
        <v>10498</v>
      </c>
      <c r="C191" s="3" t="s">
        <v>10499</v>
      </c>
      <c r="D191" s="3" t="s">
        <v>10500</v>
      </c>
      <c r="F191" s="5" t="str">
        <f>IFERROR(__xludf.DUMMYFUNCTION("GOOGLETRANSLATE(A191, ""en"", ""hi"")"),"190")</f>
        <v>190</v>
      </c>
      <c r="G191" s="5" t="str">
        <f>IFERROR(__xludf.DUMMYFUNCTION("GOOGLETRANSLATE(B191, ""en"", ""hi"")"),"एक कलाकार का प्रदर्शन सटीक तो होता है, लेकिन उसमें नवीनता का अभाव होता है। वे अपने मलखंभ प्रदर्शन को और अनोखा बनाने के लिए क्या कर सकते हैं?")</f>
        <v>एक कलाकार का प्रदर्शन सटीक तो होता है, लेकिन उसमें नवीनता का अभाव होता है। वे अपने मलखंभ प्रदर्शन को और अनोखा बनाने के लिए क्या कर सकते हैं?</v>
      </c>
      <c r="H191" s="5" t="str">
        <f>IFERROR(__xludf.DUMMYFUNCTION("GOOGLETRANSLATE(C191, ""en"", ""hi"")"),"A) रचनात्मक और अनोखे मूव्स जोड़ें, B) मौजूदा पोज़ की जटिलता बढ़ाएँ, C) गति पर ध्यान केंद्रित करें, D) लंबे रूटीन करें")</f>
        <v>A) रचनात्मक और अनोखे मूव्स जोड़ें, B) मौजूदा पोज़ की जटिलता बढ़ाएँ, C) गति पर ध्यान केंद्रित करें, D) लंबे रूटीन करें</v>
      </c>
      <c r="I191" s="5" t="str">
        <f>IFERROR(__xludf.DUMMYFUNCTION("GOOGLETRANSLATE(D191, ""en"", ""hi"")"),"A) रचनात्मक और अद्वितीय चालें जोड़ें")</f>
        <v>A) रचनात्मक और अद्वितीय चालें जोड़ें</v>
      </c>
    </row>
    <row r="192" ht="22.5" customHeight="1">
      <c r="A192" s="2">
        <v>191.0</v>
      </c>
      <c r="B192" s="3" t="s">
        <v>10501</v>
      </c>
      <c r="C192" s="3" t="s">
        <v>10502</v>
      </c>
      <c r="D192" s="3" t="s">
        <v>10503</v>
      </c>
      <c r="F192" s="5" t="str">
        <f>IFERROR(__xludf.DUMMYFUNCTION("GOOGLETRANSLATE(A192, ""en"", ""hi"")"),"191")</f>
        <v>191</v>
      </c>
      <c r="G192" s="5" t="str">
        <f>IFERROR(__xludf.DUMMYFUNCTION("GOOGLETRANSLATE(B192, ""en"", ""hi"")"),"मलखंभ प्रतियोगिता के दौरान, कलाकार जटिल चालों में तो उत्कृष्ट प्रदर्शन करता है, लेकिन अंत में अपनी सहनशक्ति बनाए रखने में असमर्थ हो जाता है। उन्हें किस पर ध्यान केंद्रित करना चाहिए?")</f>
        <v>मलखंभ प्रतियोगिता के दौरान, कलाकार जटिल चालों में तो उत्कृष्ट प्रदर्शन करता है, लेकिन अंत में अपनी सहनशक्ति बनाए रखने में असमर्थ हो जाता है। उन्हें किस पर ध्यान केंद्रित करना चाहिए?</v>
      </c>
      <c r="H192" s="5" t="str">
        <f>IFERROR(__xludf.DUMMYFUNCTION("GOOGLETRANSLATE(C192, ""en"", ""hi"")"),"ए) सहनशक्ति और धीरज प्रशिक्षण, बी) अधिक गतिशील आंदोलनों को जोड़ना, सी) नियमित जटिलता में वृद्धि, डी) बाहों को मजबूत करना")</f>
        <v>ए) सहनशक्ति और धीरज प्रशिक्षण, बी) अधिक गतिशील आंदोलनों को जोड़ना, सी) नियमित जटिलता में वृद्धि, डी) बाहों को मजबूत करना</v>
      </c>
      <c r="I192" s="5" t="str">
        <f>IFERROR(__xludf.DUMMYFUNCTION("GOOGLETRANSLATE(D192, ""en"", ""hi"")"),"ए) सहनशक्ति और धीरज प्रशिक्षण")</f>
        <v>ए) सहनशक्ति और धीरज प्रशिक्षण</v>
      </c>
    </row>
    <row r="193" ht="22.5" customHeight="1">
      <c r="A193" s="2">
        <v>192.0</v>
      </c>
      <c r="B193" s="3" t="s">
        <v>10504</v>
      </c>
      <c r="C193" s="3" t="s">
        <v>10505</v>
      </c>
      <c r="D193" s="3" t="s">
        <v>10506</v>
      </c>
      <c r="F193" s="5" t="str">
        <f>IFERROR(__xludf.DUMMYFUNCTION("GOOGLETRANSLATE(A193, ""en"", ""hi"")"),"192")</f>
        <v>192</v>
      </c>
      <c r="G193" s="5" t="str">
        <f>IFERROR(__xludf.DUMMYFUNCTION("GOOGLETRANSLATE(B193, ""en"", ""hi"")"),"एक मलखम्ब खिलाड़ी संगीत के साथ अपनी गतिविधियों का तालमेल बिठाने में संघर्ष कर रहा है। उन्हें क्या अभ्यास करना चाहिए?")</f>
        <v>एक मलखम्ब खिलाड़ी संगीत के साथ अपनी गतिविधियों का तालमेल बिठाने में संघर्ष कर रहा है। उन्हें क्या अभ्यास करना चाहिए?</v>
      </c>
      <c r="H193" s="5" t="str">
        <f>IFERROR(__xludf.DUMMYFUNCTION("GOOGLETRANSLATE(C193, ""en"", ""hi"")"),"A) लय के साथ गतिविधियों को सिंक्रनाइज़ करना, B) अधिक कठिन चालें जोड़ना, C) नियमित गति बढ़ाना, D) एक अलग उपकरण का उपयोग करना")</f>
        <v>A) लय के साथ गतिविधियों को सिंक्रनाइज़ करना, B) अधिक कठिन चालें जोड़ना, C) नियमित गति बढ़ाना, D) एक अलग उपकरण का उपयोग करना</v>
      </c>
      <c r="I193" s="5" t="str">
        <f>IFERROR(__xludf.DUMMYFUNCTION("GOOGLETRANSLATE(D193, ""en"", ""hi"")"),"A) लय के साथ गतिविधियों का समन्वय")</f>
        <v>A) लय के साथ गतिविधियों का समन्वय</v>
      </c>
    </row>
    <row r="194" ht="22.5" customHeight="1">
      <c r="A194" s="2">
        <v>193.0</v>
      </c>
      <c r="B194" s="3" t="s">
        <v>10507</v>
      </c>
      <c r="C194" s="3" t="s">
        <v>10508</v>
      </c>
      <c r="D194" s="3" t="s">
        <v>10509</v>
      </c>
      <c r="F194" s="5" t="str">
        <f>IFERROR(__xludf.DUMMYFUNCTION("GOOGLETRANSLATE(A194, ""en"", ""hi"")"),"193")</f>
        <v>193</v>
      </c>
      <c r="G194" s="5" t="str">
        <f>IFERROR(__xludf.DUMMYFUNCTION("GOOGLETRANSLATE(B194, ""en"", ""hi"")"),"एक एथलीट का मलखंभ अभ्यास तो मज़बूत होता है, लेकिन उन्हें आसनों के बीच गतिशील बदलाव करने में दिक्कत होती है। उनकी इस अभ्यास को और बेहतर कैसे बनाया जा सकता है?")</f>
        <v>एक एथलीट का मलखंभ अभ्यास तो मज़बूत होता है, लेकिन उन्हें आसनों के बीच गतिशील बदलाव करने में दिक्कत होती है। उनकी इस अभ्यास को और बेहतर कैसे बनाया जा सकता है?</v>
      </c>
      <c r="H194" s="5" t="str">
        <f>IFERROR(__xludf.DUMMYFUNCTION("GOOGLETRANSLATE(C194, ""en"", ""hi"")"),"A) गतिशील बदलावों पर ध्यान केंद्रित करें, B) अधिक स्थिर पकड़ जोड़ें, C) नियमित लंबाई कम करें, D) मुद्रा की जटिलता बढ़ाएं")</f>
        <v>A) गतिशील बदलावों पर ध्यान केंद्रित करें, B) अधिक स्थिर पकड़ जोड़ें, C) नियमित लंबाई कम करें, D) मुद्रा की जटिलता बढ़ाएं</v>
      </c>
      <c r="I194" s="5" t="str">
        <f>IFERROR(__xludf.DUMMYFUNCTION("GOOGLETRANSLATE(D194, ""en"", ""hi"")"),"A) गतिशील बदलावों पर ध्यान केंद्रित करें")</f>
        <v>A) गतिशील बदलावों पर ध्यान केंद्रित करें</v>
      </c>
    </row>
    <row r="195" ht="22.5" customHeight="1">
      <c r="A195" s="2">
        <v>194.0</v>
      </c>
      <c r="B195" s="3" t="s">
        <v>10510</v>
      </c>
      <c r="C195" s="3" t="s">
        <v>10511</v>
      </c>
      <c r="D195" s="3" t="s">
        <v>10512</v>
      </c>
      <c r="F195" s="5" t="str">
        <f>IFERROR(__xludf.DUMMYFUNCTION("GOOGLETRANSLATE(A195, ""en"", ""hi"")"),"194")</f>
        <v>194</v>
      </c>
      <c r="G195" s="5" t="str">
        <f>IFERROR(__xludf.DUMMYFUNCTION("GOOGLETRANSLATE(B195, ""en"", ""hi"")"),"मलखम्ब एथलीट को अपनी मुद्राओं में सुंदरता बनाए रखने में कठिनाई होती है। वे अपनी मुद्राओं में सुंदरता लाने के लिए क्या कर सकते हैं?")</f>
        <v>मलखम्ब एथलीट को अपनी मुद्राओं में सुंदरता बनाए रखने में कठिनाई होती है। वे अपनी मुद्राओं में सुंदरता लाने के लिए क्या कर सकते हैं?</v>
      </c>
      <c r="H195" s="5" t="str">
        <f>IFERROR(__xludf.DUMMYFUNCTION("GOOGLETRANSLATE(C195, ""en"", ""hi"")"),"ए) सुंदर मुद्राओं और तरल आंदोलनों का अभ्यास करें, बी) शक्ति प्रशिक्षण बढ़ाएं, सी) अधिक शक्ति-आधारित चालें जोड़ें, डी) तेजी से बदलाव करें")</f>
        <v>ए) सुंदर मुद्राओं और तरल आंदोलनों का अभ्यास करें, बी) शक्ति प्रशिक्षण बढ़ाएं, सी) अधिक शक्ति-आधारित चालें जोड़ें, डी) तेजी से बदलाव करें</v>
      </c>
      <c r="I195" s="5" t="str">
        <f>IFERROR(__xludf.DUMMYFUNCTION("GOOGLETRANSLATE(D195, ""en"", ""hi"")"),"A) सुंदर मुद्राओं और तरल गतियों का अभ्यास करें")</f>
        <v>A) सुंदर मुद्राओं और तरल गतियों का अभ्यास करें</v>
      </c>
    </row>
    <row r="196" ht="22.5" customHeight="1">
      <c r="A196" s="2">
        <v>195.0</v>
      </c>
      <c r="B196" s="3" t="s">
        <v>10513</v>
      </c>
      <c r="C196" s="3" t="s">
        <v>10514</v>
      </c>
      <c r="D196" s="3" t="s">
        <v>10515</v>
      </c>
      <c r="F196" s="5" t="str">
        <f>IFERROR(__xludf.DUMMYFUNCTION("GOOGLETRANSLATE(A196, ""en"", ""hi"")"),"195")</f>
        <v>195</v>
      </c>
      <c r="G196" s="5" t="str">
        <f>IFERROR(__xludf.DUMMYFUNCTION("GOOGLETRANSLATE(B196, ""en"", ""hi"")"),"मलखम्ब के दौरान, कलाकार अपनी लय में चूक जाते हैं। उन्हें किस पहलू में सुधार करना चाहिए?")</f>
        <v>मलखम्ब के दौरान, कलाकार अपनी लय में चूक जाते हैं। उन्हें किस पहलू में सुधार करना चाहिए?</v>
      </c>
      <c r="H196" s="5" t="str">
        <f>IFERROR(__xludf.DUMMYFUNCTION("GOOGLETRANSLATE(C196, ""en"", ""hi"")"),"A) संक्रमण की लय और समन्वय, B) गति बढ़ाना, C) अधिक स्थिर मुद्राएँ जोड़ना, D) कोर को मजबूत करना")</f>
        <v>A) संक्रमण की लय और समन्वय, B) गति बढ़ाना, C) अधिक स्थिर मुद्राएँ जोड़ना, D) कोर को मजबूत करना</v>
      </c>
      <c r="I196" s="5" t="str">
        <f>IFERROR(__xludf.DUMMYFUNCTION("GOOGLETRANSLATE(D196, ""en"", ""hi"")"),"A) संक्रमणों की लय और समन्वय")</f>
        <v>A) संक्रमणों की लय और समन्वय</v>
      </c>
    </row>
    <row r="197" ht="22.5" customHeight="1">
      <c r="A197" s="2">
        <v>196.0</v>
      </c>
      <c r="B197" s="3" t="s">
        <v>10516</v>
      </c>
      <c r="C197" s="3" t="s">
        <v>10517</v>
      </c>
      <c r="D197" s="3" t="s">
        <v>10518</v>
      </c>
      <c r="F197" s="5" t="str">
        <f>IFERROR(__xludf.DUMMYFUNCTION("GOOGLETRANSLATE(A197, ""en"", ""hi"")"),"196")</f>
        <v>196</v>
      </c>
      <c r="G197" s="5" t="str">
        <f>IFERROR(__xludf.DUMMYFUNCTION("GOOGLETRANSLATE(B197, ""en"", ""hi"")"),"मलखम्ब प्रतियोगी अपनी प्रभावशाली शक्ति के लिए जाने जाते हैं, लेकिन सटीकता बनाए रखने में उन्हें दिक्कत होती है। उन्हें किस पर ध्यान केंद्रित करना चाहिए?")</f>
        <v>मलखम्ब प्रतियोगी अपनी प्रभावशाली शक्ति के लिए जाने जाते हैं, लेकिन सटीकता बनाए रखने में उन्हें दिक्कत होती है। उन्हें किस पर ध्यान केंद्रित करना चाहिए?</v>
      </c>
      <c r="H197" s="5" t="str">
        <f>IFERROR(__xludf.DUMMYFUNCTION("GOOGLETRANSLATE(C197, ""en"", ""hi"")"),"ए) सटीकता और शुद्धता में सुधार, बी) अधिक शक्ति-आधारित चालें जोड़ना, सी) नियमित लंबाई को कम करना, डी) तेज बदलाव जोड़ना")</f>
        <v>ए) सटीकता और शुद्धता में सुधार, बी) अधिक शक्ति-आधारित चालें जोड़ना, सी) नियमित लंबाई को कम करना, डी) तेज बदलाव जोड़ना</v>
      </c>
      <c r="I197" s="5" t="str">
        <f>IFERROR(__xludf.DUMMYFUNCTION("GOOGLETRANSLATE(D197, ""en"", ""hi"")"),"A) परिशुद्धता और शुद्धता में सुधार")</f>
        <v>A) परिशुद्धता और शुद्धता में सुधार</v>
      </c>
    </row>
    <row r="198" ht="22.5" customHeight="1">
      <c r="A198" s="2">
        <v>197.0</v>
      </c>
      <c r="B198" s="3" t="s">
        <v>10519</v>
      </c>
      <c r="C198" s="3" t="s">
        <v>10520</v>
      </c>
      <c r="D198" s="3" t="s">
        <v>10521</v>
      </c>
      <c r="F198" s="5" t="str">
        <f>IFERROR(__xludf.DUMMYFUNCTION("GOOGLETRANSLATE(A198, ""en"", ""hi"")"),"197")</f>
        <v>197</v>
      </c>
      <c r="G198" s="5" t="str">
        <f>IFERROR(__xludf.DUMMYFUNCTION("GOOGLETRANSLATE(B198, ""en"", ""hi"")"),"मलखंभ कलाकार जटिल मुद्राएँ तो अच्छी तरह से कर लेते हैं, लेकिन उनमें निरंतरता का अभाव होता है। अपने समग्र प्रदर्शन को बेहतर बनाने के लिए वे क्या कर सकते हैं?")</f>
        <v>मलखंभ कलाकार जटिल मुद्राएँ तो अच्छी तरह से कर लेते हैं, लेकिन उनमें निरंतरता का अभाव होता है। अपने समग्र प्रदर्शन को बेहतर बनाने के लिए वे क्या कर सकते हैं?</v>
      </c>
      <c r="H198" s="5" t="str">
        <f>IFERROR(__xludf.DUMMYFUNCTION("GOOGLETRANSLATE(C198, ""en"", ""hi"")"),"ए) स्थिरता और तरलता, बी) आसन की कठिनाई, सी) नियमित लंबाई, डी) बाहों को मजबूत करना")</f>
        <v>ए) स्थिरता और तरलता, बी) आसन की कठिनाई, सी) नियमित लंबाई, डी) बाहों को मजबूत करना</v>
      </c>
      <c r="I198" s="5" t="str">
        <f>IFERROR(__xludf.DUMMYFUNCTION("GOOGLETRANSLATE(D198, ""en"", ""hi"")"),"A) स्थिरता और तरलता")</f>
        <v>A) स्थिरता और तरलता</v>
      </c>
    </row>
    <row r="199" ht="22.5" customHeight="1">
      <c r="A199" s="2">
        <v>198.0</v>
      </c>
      <c r="B199" s="3" t="s">
        <v>10522</v>
      </c>
      <c r="C199" s="3" t="s">
        <v>10523</v>
      </c>
      <c r="D199" s="3" t="s">
        <v>10524</v>
      </c>
      <c r="F199" s="5" t="str">
        <f>IFERROR(__xludf.DUMMYFUNCTION("GOOGLETRANSLATE(A199, ""en"", ""hi"")"),"198")</f>
        <v>198</v>
      </c>
      <c r="G199" s="5" t="str">
        <f>IFERROR(__xludf.DUMMYFUNCTION("GOOGLETRANSLATE(B199, ""en"", ""hi"")"),"मलखम्ब स्पर्धा के दौरान, एथलीट की गति धीमी होती है और उन्हें समय के लिए अंक गंवाने पड़ते हैं। उन्हें किसमें सुधार करना चाहिए?")</f>
        <v>मलखम्ब स्पर्धा के दौरान, एथलीट की गति धीमी होती है और उन्हें समय के लिए अंक गंवाने पड़ते हैं। उन्हें किसमें सुधार करना चाहिए?</v>
      </c>
      <c r="H199" s="5" t="str">
        <f>IFERROR(__xludf.DUMMYFUNCTION("GOOGLETRANSLATE(C199, ""en"", ""hi"")"),"ए) समय और गति, बी) मुद्रा जटिलता, सी) शक्ति प्रशिक्षण, डी) दिनचर्या की लंबाई में वृद्धि")</f>
        <v>ए) समय और गति, बी) मुद्रा जटिलता, सी) शक्ति प्रशिक्षण, डी) दिनचर्या की लंबाई में वृद्धि</v>
      </c>
      <c r="I199" s="5" t="str">
        <f>IFERROR(__xludf.DUMMYFUNCTION("GOOGLETRANSLATE(D199, ""en"", ""hi"")"),"A) समय और गति")</f>
        <v>A) समय और गति</v>
      </c>
    </row>
    <row r="200" ht="22.5" customHeight="1">
      <c r="A200" s="2">
        <v>199.0</v>
      </c>
      <c r="B200" s="3" t="s">
        <v>10525</v>
      </c>
      <c r="C200" s="3" t="s">
        <v>10526</v>
      </c>
      <c r="D200" s="3" t="s">
        <v>10527</v>
      </c>
      <c r="F200" s="5" t="str">
        <f>IFERROR(__xludf.DUMMYFUNCTION("GOOGLETRANSLATE(A200, ""en"", ""hi"")"),"199")</f>
        <v>199</v>
      </c>
      <c r="G200" s="5" t="str">
        <f>IFERROR(__xludf.DUMMYFUNCTION("GOOGLETRANSLATE(B200, ""en"", ""hi"")"),"मलखम्ब में कलाकार की रचनात्मकता की प्रशंसा होती है, लेकिन बदलाव के दौरान उसे संतुलन बनाने में दिक्कत होती है। उन्हें किस पर ध्यान केंद्रित करना चाहिए?")</f>
        <v>मलखम्ब में कलाकार की रचनात्मकता की प्रशंसा होती है, लेकिन बदलाव के दौरान उसे संतुलन बनाने में दिक्कत होती है। उन्हें किस पर ध्यान केंद्रित करना चाहिए?</v>
      </c>
      <c r="H200" s="5" t="str">
        <f>IFERROR(__xludf.DUMMYFUNCTION("GOOGLETRANSLATE(C200, ""en"", ""hi"")"),"A) संक्रमण के दौरान संतुलन और नियंत्रण, B) रचनात्मकता में वृद्धि, C) दिनचर्या की जटिलता को कम करना, D) गतिविधियों में तेजी लाना")</f>
        <v>A) संक्रमण के दौरान संतुलन और नियंत्रण, B) रचनात्मकता में वृद्धि, C) दिनचर्या की जटिलता को कम करना, D) गतिविधियों में तेजी लाना</v>
      </c>
      <c r="I200" s="5" t="str">
        <f>IFERROR(__xludf.DUMMYFUNCTION("GOOGLETRANSLATE(D200, ""en"", ""hi"")"),"A) संक्रमण के दौरान संतुलन और नियंत्रण")</f>
        <v>A) संक्रमण के दौरान संतुलन और नियंत्रण</v>
      </c>
    </row>
    <row r="201" ht="22.5" customHeight="1">
      <c r="A201" s="2">
        <v>200.0</v>
      </c>
      <c r="B201" s="3" t="s">
        <v>10528</v>
      </c>
      <c r="C201" s="3" t="s">
        <v>10529</v>
      </c>
      <c r="D201" s="3" t="s">
        <v>10530</v>
      </c>
      <c r="F201" s="5" t="str">
        <f>IFERROR(__xludf.DUMMYFUNCTION("GOOGLETRANSLATE(A201, ""en"", ""hi"")"),"200")</f>
        <v>200</v>
      </c>
      <c r="G201" s="5" t="str">
        <f>IFERROR(__xludf.DUMMYFUNCTION("GOOGLETRANSLATE(B201, ""en"", ""hi"")"),"मलखम्ब एथलीट का अभ्यास तो अच्छी तरह से किया जाता है, लेकिन उनके बदलावों में सहजता का अभाव होता है। इसे बेहतर बनाने के लिए उन्हें क्या करना चाहिए?")</f>
        <v>मलखम्ब एथलीट का अभ्यास तो अच्छी तरह से किया जाता है, लेकिन उनके बदलावों में सहजता का अभाव होता है। इसे बेहतर बनाने के लिए उन्हें क्या करना चाहिए?</v>
      </c>
      <c r="H201" s="5" t="str">
        <f>IFERROR(__xludf.DUMMYFUNCTION("GOOGLETRANSLATE(C201, ""en"", ""hi"")"),"A) सहज बदलावों पर ध्यान केंद्रित करें, B) नियमित कठिनाई बढ़ाएं, C) नियमित लंबाई कम करें, D) शक्ति प्रशिक्षण बढ़ाएं")</f>
        <v>A) सहज बदलावों पर ध्यान केंद्रित करें, B) नियमित कठिनाई बढ़ाएं, C) नियमित लंबाई कम करें, D) शक्ति प्रशिक्षण बढ़ाएं</v>
      </c>
      <c r="I201" s="5" t="str">
        <f>IFERROR(__xludf.DUMMYFUNCTION("GOOGLETRANSLATE(D201, ""en"", ""hi"")"),"A) सहज संक्रमण पर ध्यान केंद्रित करें")</f>
        <v>A) सहज संक्रमण पर ध्यान केंद्रित करें</v>
      </c>
    </row>
    <row r="202" ht="22.5" customHeight="1">
      <c r="A202" s="2">
        <v>201.0</v>
      </c>
      <c r="B202" s="3" t="s">
        <v>10531</v>
      </c>
      <c r="C202" s="3" t="s">
        <v>10532</v>
      </c>
      <c r="D202" s="3" t="s">
        <v>10533</v>
      </c>
      <c r="F202" s="5" t="str">
        <f>IFERROR(__xludf.DUMMYFUNCTION("GOOGLETRANSLATE(A202, ""en"", ""hi"")"),"201")</f>
        <v>201</v>
      </c>
      <c r="G202" s="5" t="str">
        <f>IFERROR(__xludf.DUMMYFUNCTION("GOOGLETRANSLATE(B202, ""en"", ""hi"")"),"मलखंभ में एक एथलीट को गतिशील गतिविधियों के बीच सहजता से बदलाव करने में परेशानी हो रही है। उन्हें किस पर ध्यान केंद्रित करना चाहिए?")</f>
        <v>मलखंभ में एक एथलीट को गतिशील गतिविधियों के बीच सहजता से बदलाव करने में परेशानी हो रही है। उन्हें किस पर ध्यान केंद्रित करना चाहिए?</v>
      </c>
      <c r="H202" s="5" t="str">
        <f>IFERROR(__xludf.DUMMYFUNCTION("GOOGLETRANSLATE(C202, ""en"", ""hi"")"),"A) गतिशील गति संक्रमण में सुधार, B) स्थिर मुद्रा को अधिक समय तक बनाए रखना, C) तेजी से प्रदर्शन करना, D) दिनचर्या की जटिलता को बढ़ाना")</f>
        <v>A) गतिशील गति संक्रमण में सुधार, B) स्थिर मुद्रा को अधिक समय तक बनाए रखना, C) तेजी से प्रदर्शन करना, D) दिनचर्या की जटिलता को बढ़ाना</v>
      </c>
      <c r="I202" s="5" t="str">
        <f>IFERROR(__xludf.DUMMYFUNCTION("GOOGLETRANSLATE(D202, ""en"", ""hi"")"),"A) गतिशील गति संक्रमण में सुधार")</f>
        <v>A) गतिशील गति संक्रमण में सुधार</v>
      </c>
    </row>
    <row r="203" ht="22.5" customHeight="1">
      <c r="A203" s="2">
        <v>202.0</v>
      </c>
      <c r="B203" s="3" t="s">
        <v>10534</v>
      </c>
      <c r="C203" s="3" t="s">
        <v>10535</v>
      </c>
      <c r="D203" s="3" t="s">
        <v>10536</v>
      </c>
      <c r="F203" s="5" t="str">
        <f>IFERROR(__xludf.DUMMYFUNCTION("GOOGLETRANSLATE(A203, ""en"", ""hi"")"),"202")</f>
        <v>202</v>
      </c>
      <c r="G203" s="5" t="str">
        <f>IFERROR(__xludf.DUMMYFUNCTION("GOOGLETRANSLATE(B203, ""en"", ""hi"")"),"मलखंभ स्पर्धा के दौरान, कलाकार की ताकत की तो तारीफ़ की जाती है, लेकिन लचीलेपन पर ध्यान केंद्रित करने में कमी होती है। उन्हें अपने प्रशिक्षण में किस चीज़ को प्राथमिकता देनी चाहिए?")</f>
        <v>मलखंभ स्पर्धा के दौरान, कलाकार की ताकत की तो तारीफ़ की जाती है, लेकिन लचीलेपन पर ध्यान केंद्रित करने में कमी होती है। उन्हें अपने प्रशिक्षण में किस चीज़ को प्राथमिकता देनी चाहिए?</v>
      </c>
      <c r="H203" s="5" t="str">
        <f>IFERROR(__xludf.DUMMYFUNCTION("GOOGLETRANSLATE(C203, ""en"", ""hi"")"),"ए) लचीलेपन वाले व्यायाम, बी) अधिक शक्ति प्रशिक्षण, सी) नियमित गति कम करना, डी) संतुलन पर ध्यान केंद्रित करना")</f>
        <v>ए) लचीलेपन वाले व्यायाम, बी) अधिक शक्ति प्रशिक्षण, सी) नियमित गति कम करना, डी) संतुलन पर ध्यान केंद्रित करना</v>
      </c>
      <c r="I203" s="5" t="str">
        <f>IFERROR(__xludf.DUMMYFUNCTION("GOOGLETRANSLATE(D203, ""en"", ""hi"")"),"ए) लचीलापन व्यायाम")</f>
        <v>ए) लचीलापन व्यायाम</v>
      </c>
    </row>
    <row r="204" ht="22.5" customHeight="1">
      <c r="A204" s="2">
        <v>203.0</v>
      </c>
      <c r="B204" s="3" t="s">
        <v>10537</v>
      </c>
      <c r="C204" s="3" t="s">
        <v>10538</v>
      </c>
      <c r="D204" s="3" t="s">
        <v>10539</v>
      </c>
      <c r="F204" s="5" t="str">
        <f>IFERROR(__xludf.DUMMYFUNCTION("GOOGLETRANSLATE(A204, ""en"", ""hi"")"),"203")</f>
        <v>203</v>
      </c>
      <c r="G204" s="5" t="str">
        <f>IFERROR(__xludf.DUMMYFUNCTION("GOOGLETRANSLATE(B204, ""en"", ""hi"")"),"एक कलाकार को यह फीडबैक मिलता है कि उनका मलखंभ अभ्यास तो अच्छा है, लेकिन मुद्राओं में विविधता का अभाव है। उन्हें किस पर काम करना चाहिए?")</f>
        <v>एक कलाकार को यह फीडबैक मिलता है कि उनका मलखंभ अभ्यास तो अच्छा है, लेकिन मुद्राओं में विविधता का अभाव है। उन्हें किस पर काम करना चाहिए?</v>
      </c>
      <c r="H204" s="5" t="str">
        <f>IFERROR(__xludf.DUMMYFUNCTION("GOOGLETRANSLATE(C204, ""en"", ""hi"")"),"ए) विभिन्न प्रकार के आसन जोड़ें, बी) नियमित लंबाई बढ़ाएं, सी) शक्ति-आधारित चालें बढ़ाएं, डी) नियमित जटिलता कम करें")</f>
        <v>ए) विभिन्न प्रकार के आसन जोड़ें, बी) नियमित लंबाई बढ़ाएं, सी) शक्ति-आधारित चालें बढ़ाएं, डी) नियमित जटिलता कम करें</v>
      </c>
      <c r="I204" s="5" t="str">
        <f>IFERROR(__xludf.DUMMYFUNCTION("GOOGLETRANSLATE(D204, ""en"", ""hi"")"),"A) विभिन्न प्रकार की मुद्राएँ जोड़ें")</f>
        <v>A) विभिन्न प्रकार की मुद्राएँ जोड़ें</v>
      </c>
    </row>
    <row r="205" ht="22.5" customHeight="1">
      <c r="A205" s="2">
        <v>204.0</v>
      </c>
      <c r="B205" s="3" t="s">
        <v>10540</v>
      </c>
      <c r="C205" s="3" t="s">
        <v>10541</v>
      </c>
      <c r="D205" s="3" t="s">
        <v>10542</v>
      </c>
      <c r="F205" s="5" t="str">
        <f>IFERROR(__xludf.DUMMYFUNCTION("GOOGLETRANSLATE(A205, ""en"", ""hi"")"),"204")</f>
        <v>204</v>
      </c>
      <c r="G205" s="5" t="str">
        <f>IFERROR(__xludf.DUMMYFUNCTION("GOOGLETRANSLATE(B205, ""en"", ""hi"")"),"एक एथलीट का मलखंभ अभ्यास तो दोषरहित होता है, लेकिन उन्हें लंबे समय तक प्रदर्शन के लिए अपनी सहनशक्ति बढ़ाने की सलाह दी जाती है। उन्हें क्या करना चाहिए?")</f>
        <v>एक एथलीट का मलखंभ अभ्यास तो दोषरहित होता है, लेकिन उन्हें लंबे समय तक प्रदर्शन के लिए अपनी सहनशक्ति बढ़ाने की सलाह दी जाती है। उन्हें क्या करना चाहिए?</v>
      </c>
      <c r="H205" s="5" t="str">
        <f>IFERROR(__xludf.DUMMYFUNCTION("GOOGLETRANSLATE(C205, ""en"", ""hi"")"),"ए) धीरज और सहनशक्ति प्रशिक्षण पर ध्यान केंद्रित करें, बी) दिनचर्या को छोटा करें, सी) अधिक शक्ति अभ्यास जोड़ें, डी) लचीलापन प्रशिक्षण बढ़ाएं")</f>
        <v>ए) धीरज और सहनशक्ति प्रशिक्षण पर ध्यान केंद्रित करें, बी) दिनचर्या को छोटा करें, सी) अधिक शक्ति अभ्यास जोड़ें, डी) लचीलापन प्रशिक्षण बढ़ाएं</v>
      </c>
      <c r="I205" s="5" t="str">
        <f>IFERROR(__xludf.DUMMYFUNCTION("GOOGLETRANSLATE(D205, ""en"", ""hi"")"),"A) सहनशक्ति और सहनशक्ति प्रशिक्षण पर ध्यान केंद्रित करें")</f>
        <v>A) सहनशक्ति और सहनशक्ति प्रशिक्षण पर ध्यान केंद्रित करें</v>
      </c>
    </row>
    <row r="206" ht="22.5" customHeight="1">
      <c r="A206" s="2">
        <v>205.0</v>
      </c>
      <c r="B206" s="3" t="s">
        <v>10543</v>
      </c>
      <c r="C206" s="3" t="s">
        <v>10544</v>
      </c>
      <c r="D206" s="3" t="s">
        <v>10349</v>
      </c>
      <c r="F206" s="5" t="str">
        <f>IFERROR(__xludf.DUMMYFUNCTION("GOOGLETRANSLATE(A206, ""en"", ""hi"")"),"205")</f>
        <v>205</v>
      </c>
      <c r="G206" s="5" t="str">
        <f>IFERROR(__xludf.DUMMYFUNCTION("GOOGLETRANSLATE(B206, ""en"", ""hi"")"),"एक कलाकार अपने मलखंभ के शुरुआती हिस्से को अच्छी तरह से करता है, लेकिन अंत में उसे संघर्ष करना पड़ता है। उनके प्रदर्शन को कैसे बेहतर बनाया जा सकता है?")</f>
        <v>एक कलाकार अपने मलखंभ के शुरुआती हिस्से को अच्छी तरह से करता है, लेकिन अंत में उसे संघर्ष करना पड़ता है। उनके प्रदर्शन को कैसे बेहतर बनाया जा सकता है?</v>
      </c>
      <c r="H206" s="5" t="str">
        <f>IFERROR(__xludf.DUMMYFUNCTION("GOOGLETRANSLATE(C206, ""en"", ""hi"")"),"ए) सहनशक्ति और धीरज, बी) बढ़ती हुई आसन कठिनाई, सी) गति, डी) नियमित रचनात्मकता")</f>
        <v>ए) सहनशक्ति और धीरज, बी) बढ़ती हुई आसन कठिनाई, सी) गति, डी) नियमित रचनात्मकता</v>
      </c>
      <c r="I206" s="5" t="str">
        <f>IFERROR(__xludf.DUMMYFUNCTION("GOOGLETRANSLATE(D206, ""en"", ""hi"")"),"A) सहनशक्ति और धीरज")</f>
        <v>A) सहनशक्ति और धीरज</v>
      </c>
    </row>
    <row r="207" ht="22.5" customHeight="1">
      <c r="A207" s="2">
        <v>206.0</v>
      </c>
      <c r="B207" s="3" t="s">
        <v>10545</v>
      </c>
      <c r="C207" s="3" t="s">
        <v>10546</v>
      </c>
      <c r="D207" s="3" t="s">
        <v>10547</v>
      </c>
      <c r="F207" s="5" t="str">
        <f>IFERROR(__xludf.DUMMYFUNCTION("GOOGLETRANSLATE(A207, ""en"", ""hi"")"),"206")</f>
        <v>206</v>
      </c>
      <c r="G207" s="5" t="str">
        <f>IFERROR(__xludf.DUMMYFUNCTION("GOOGLETRANSLATE(B207, ""en"", ""hi"")"),"मलखंभ प्रतियोगिता के दौरान, एक कलाकार के ऊपरी शरीर की ताकत तो बहुत ज़्यादा होती है, लेकिन निचले शरीर में समन्वय कमज़ोर होता है। उन्हें किस पर ध्यान केंद्रित करना चाहिए?")</f>
        <v>मलखंभ प्रतियोगिता के दौरान, एक कलाकार के ऊपरी शरीर की ताकत तो बहुत ज़्यादा होती है, लेकिन निचले शरीर में समन्वय कमज़ोर होता है। उन्हें किस पर ध्यान केंद्रित करना चाहिए?</v>
      </c>
      <c r="H207" s="5" t="str">
        <f>IFERROR(__xludf.DUMMYFUNCTION("GOOGLETRANSLATE(C207, ""en"", ""hi"")"),"A) निचले शरीर का समन्वय, B) ऊपरी शरीर की ताकत में वृद्धि, C) तेज़ बदलाव, D) संतुलन में सुधार")</f>
        <v>A) निचले शरीर का समन्वय, B) ऊपरी शरीर की ताकत में वृद्धि, C) तेज़ बदलाव, D) संतुलन में सुधार</v>
      </c>
      <c r="I207" s="5" t="str">
        <f>IFERROR(__xludf.DUMMYFUNCTION("GOOGLETRANSLATE(D207, ""en"", ""hi"")"),"A) निचले शरीर का समन्वय")</f>
        <v>A) निचले शरीर का समन्वय</v>
      </c>
    </row>
    <row r="208" ht="22.5" customHeight="1">
      <c r="A208" s="2">
        <v>207.0</v>
      </c>
      <c r="B208" s="3" t="s">
        <v>10548</v>
      </c>
      <c r="C208" s="3" t="s">
        <v>10549</v>
      </c>
      <c r="D208" s="3" t="s">
        <v>10550</v>
      </c>
      <c r="F208" s="5" t="str">
        <f>IFERROR(__xludf.DUMMYFUNCTION("GOOGLETRANSLATE(A208, ""en"", ""hi"")"),"207")</f>
        <v>207</v>
      </c>
      <c r="G208" s="5" t="str">
        <f>IFERROR(__xludf.DUMMYFUNCTION("GOOGLETRANSLATE(B208, ""en"", ""hi"")"),"एक मलखंभ कलाकार को अनोखे और अलग दिखने वाले पोज़ बनाने में दिक्कत हो रही है। वे अपने कार्यक्रम में और ज़्यादा मौलिकता लाने के लिए क्या कर सकते हैं?")</f>
        <v>एक मलखंभ कलाकार को अनोखे और अलग दिखने वाले पोज़ बनाने में दिक्कत हो रही है। वे अपने कार्यक्रम में और ज़्यादा मौलिकता लाने के लिए क्या कर सकते हैं?</v>
      </c>
      <c r="H208" s="5" t="str">
        <f>IFERROR(__xludf.DUMMYFUNCTION("GOOGLETRANSLATE(C208, ""en"", ""hi"")"),"ए) रचनात्मक और मूल आसन जोड़ना, बी) शक्ति व्यायाम बढ़ाना, सी) आसन की कठिनाई कम करना, डी) नियमित लंबाई कम करना")</f>
        <v>ए) रचनात्मक और मूल आसन जोड़ना, बी) शक्ति व्यायाम बढ़ाना, सी) आसन की कठिनाई कम करना, डी) नियमित लंबाई कम करना</v>
      </c>
      <c r="I208" s="5" t="str">
        <f>IFERROR(__xludf.DUMMYFUNCTION("GOOGLETRANSLATE(D208, ""en"", ""hi"")"),"A) रचनात्मक और मौलिक पोज़ जोड़ना")</f>
        <v>A) रचनात्मक और मौलिक पोज़ जोड़ना</v>
      </c>
    </row>
    <row r="209" ht="22.5" customHeight="1">
      <c r="A209" s="2">
        <v>208.0</v>
      </c>
      <c r="B209" s="3" t="s">
        <v>10551</v>
      </c>
      <c r="C209" s="3" t="s">
        <v>10552</v>
      </c>
      <c r="D209" s="3" t="s">
        <v>10553</v>
      </c>
      <c r="F209" s="5" t="str">
        <f>IFERROR(__xludf.DUMMYFUNCTION("GOOGLETRANSLATE(A209, ""en"", ""hi"")"),"208")</f>
        <v>208</v>
      </c>
      <c r="G209" s="5" t="str">
        <f>IFERROR(__xludf.DUMMYFUNCTION("GOOGLETRANSLATE(B209, ""en"", ""hi"")"),"एक एथलीट अपने शक्ति-आधारित मलखंभ प्रदर्शन में उत्कृष्ट प्रदर्शन कर रहा है, लेकिन उसे रचनात्मकता पर अधिक ध्यान केंद्रित करने की सलाह दी जाती है। उन्हें अपनी दिनचर्या में क्या शामिल करना चाहिए?")</f>
        <v>एक एथलीट अपने शक्ति-आधारित मलखंभ प्रदर्शन में उत्कृष्ट प्रदर्शन कर रहा है, लेकिन उसे रचनात्मकता पर अधिक ध्यान केंद्रित करने की सलाह दी जाती है। उन्हें अपनी दिनचर्या में क्या शामिल करना चाहिए?</v>
      </c>
      <c r="H209" s="5" t="str">
        <f>IFERROR(__xludf.DUMMYFUNCTION("GOOGLETRANSLATE(C209, ""en"", ""hi"")"),"ए) अधिक रचनात्मक और अनोखे मूव्स, बी) नियमित गति में वृद्धि, सी) अधिक शक्ति-आधारित व्यायाम, डी) अधिक स्थिर पकड़ जोड़ना")</f>
        <v>ए) अधिक रचनात्मक और अनोखे मूव्स, बी) नियमित गति में वृद्धि, सी) अधिक शक्ति-आधारित व्यायाम, डी) अधिक स्थिर पकड़ जोड़ना</v>
      </c>
      <c r="I209" s="5" t="str">
        <f>IFERROR(__xludf.DUMMYFUNCTION("GOOGLETRANSLATE(D209, ""en"", ""hi"")"),"A) अधिक रचनात्मक और अनोखी चालें")</f>
        <v>A) अधिक रचनात्मक और अनोखी चालें</v>
      </c>
    </row>
    <row r="210" ht="22.5" customHeight="1">
      <c r="A210" s="2">
        <v>209.0</v>
      </c>
      <c r="B210" s="3" t="s">
        <v>10554</v>
      </c>
      <c r="C210" s="3" t="s">
        <v>10555</v>
      </c>
      <c r="D210" s="3" t="s">
        <v>10556</v>
      </c>
      <c r="F210" s="5" t="str">
        <f>IFERROR(__xludf.DUMMYFUNCTION("GOOGLETRANSLATE(A210, ""en"", ""hi"")"),"209")</f>
        <v>209</v>
      </c>
      <c r="G210" s="5" t="str">
        <f>IFERROR(__xludf.DUMMYFUNCTION("GOOGLETRANSLATE(B210, ""en"", ""hi"")"),"मलखंभ कार्यक्रम के दौरान, कलाकार को अपनी गति में सुधार के लिए फीडबैक मिलता है। इसके लिए वे क्या कर सकते हैं?")</f>
        <v>मलखंभ कार्यक्रम के दौरान, कलाकार को अपनी गति में सुधार के लिए फीडबैक मिलता है। इसके लिए वे क्या कर सकते हैं?</v>
      </c>
      <c r="H210" s="5" t="str">
        <f>IFERROR(__xludf.DUMMYFUNCTION("GOOGLETRANSLATE(C210, ""en"", ""hi"")"),"A) मुद्रा परिवर्तन में तेजी लाना, B) नियमित लंबाई बढ़ाना, C) जटिलता कम करना, D) अधिक कठिन मुद्राएं जोड़ना")</f>
        <v>A) मुद्रा परिवर्तन में तेजी लाना, B) नियमित लंबाई बढ़ाना, C) जटिलता कम करना, D) अधिक कठिन मुद्राएं जोड़ना</v>
      </c>
      <c r="I210" s="5" t="str">
        <f>IFERROR(__xludf.DUMMYFUNCTION("GOOGLETRANSLATE(D210, ""en"", ""hi"")"),"A) मुद्रा परिवर्तन में तेजी लाना")</f>
        <v>A) मुद्रा परिवर्तन में तेजी लाना</v>
      </c>
    </row>
    <row r="211" ht="22.5" customHeight="1">
      <c r="A211" s="2">
        <v>210.0</v>
      </c>
      <c r="B211" s="3" t="s">
        <v>10557</v>
      </c>
      <c r="C211" s="3" t="s">
        <v>10558</v>
      </c>
      <c r="D211" s="3" t="s">
        <v>10559</v>
      </c>
      <c r="F211" s="5" t="str">
        <f>IFERROR(__xludf.DUMMYFUNCTION("GOOGLETRANSLATE(A211, ""en"", ""hi"")"),"210")</f>
        <v>210</v>
      </c>
      <c r="G211" s="5" t="str">
        <f>IFERROR(__xludf.DUMMYFUNCTION("GOOGLETRANSLATE(B211, ""en"", ""hi"")"),"मलखम्ब एथलीट की ताकत की तो तारीफ़ की जाती है, लेकिन उन्हें अपनी दिनचर्या की जटिलता से जूझना पड़ता है। उन्हें किस पर काम करना चाहिए?")</f>
        <v>मलखम्ब एथलीट की ताकत की तो तारीफ़ की जाती है, लेकिन उन्हें अपनी दिनचर्या की जटिलता से जूझना पड़ता है। उन्हें किस पर काम करना चाहिए?</v>
      </c>
      <c r="H211" s="5" t="str">
        <f>IFERROR(__xludf.DUMMYFUNCTION("GOOGLETRANSLATE(C211, ""en"", ""hi"")"),"A) दिनचर्या को सरल बनाना, B) अधिक शक्ति व्यायाम जोड़ना, C) लचीलापन बढ़ाना, D) मुद्रा परिवर्तन में सुधार करना")</f>
        <v>A) दिनचर्या को सरल बनाना, B) अधिक शक्ति व्यायाम जोड़ना, C) लचीलापन बढ़ाना, D) मुद्रा परिवर्तन में सुधार करना</v>
      </c>
      <c r="I211" s="5" t="str">
        <f>IFERROR(__xludf.DUMMYFUNCTION("GOOGLETRANSLATE(D211, ""en"", ""hi"")"),"A) दिनचर्या को सरल बनाना")</f>
        <v>A) दिनचर्या को सरल बनाना</v>
      </c>
    </row>
    <row r="212" ht="22.5" customHeight="1">
      <c r="A212" s="2">
        <v>211.0</v>
      </c>
      <c r="B212" s="3" t="s">
        <v>10560</v>
      </c>
      <c r="C212" s="3" t="s">
        <v>10561</v>
      </c>
      <c r="D212" s="3" t="s">
        <v>10562</v>
      </c>
      <c r="F212" s="5" t="str">
        <f>IFERROR(__xludf.DUMMYFUNCTION("GOOGLETRANSLATE(A212, ""en"", ""hi"")"),"211")</f>
        <v>211</v>
      </c>
      <c r="G212" s="5" t="str">
        <f>IFERROR(__xludf.DUMMYFUNCTION("GOOGLETRANSLATE(B212, ""en"", ""hi"")"),"एक कलाकार का मलखम्ब तकनीकी रूप से तो मज़बूत है, लेकिन उसमें भावनात्मक जुड़ाव की कमी है। उनके प्रदर्शन को और बेहतर कैसे बनाया जा सकता है?")</f>
        <v>एक कलाकार का मलखम्ब तकनीकी रूप से तो मज़बूत है, लेकिन उसमें भावनात्मक जुड़ाव की कमी है। उनके प्रदर्शन को और बेहतर कैसे बनाया जा सकता है?</v>
      </c>
      <c r="H212" s="5" t="str">
        <f>IFERROR(__xludf.DUMMYFUNCTION("GOOGLETRANSLATE(C212, ""en"", ""hi"")"),"ए) दिनचर्या के दौरान भावनात्मक अभिव्यक्ति पर ध्यान केंद्रित करें, बी) गति बढ़ाएं, सी) अधिक कठिन आसन जोड़ें, डी) शक्ति अभ्यास बढ़ाएं")</f>
        <v>ए) दिनचर्या के दौरान भावनात्मक अभिव्यक्ति पर ध्यान केंद्रित करें, बी) गति बढ़ाएं, सी) अधिक कठिन आसन जोड़ें, डी) शक्ति अभ्यास बढ़ाएं</v>
      </c>
      <c r="I212" s="5" t="str">
        <f>IFERROR(__xludf.DUMMYFUNCTION("GOOGLETRANSLATE(D212, ""en"", ""hi"")"),"A) दिनचर्या के दौरान भावनात्मक अभिव्यक्ति पर ध्यान केंद्रित करें")</f>
        <v>A) दिनचर्या के दौरान भावनात्मक अभिव्यक्ति पर ध्यान केंद्रित करें</v>
      </c>
    </row>
    <row r="213" ht="22.5" customHeight="1">
      <c r="A213" s="2">
        <v>212.0</v>
      </c>
      <c r="B213" s="3" t="s">
        <v>10563</v>
      </c>
      <c r="C213" s="3" t="s">
        <v>10564</v>
      </c>
      <c r="D213" s="3" t="s">
        <v>10565</v>
      </c>
      <c r="F213" s="5" t="str">
        <f>IFERROR(__xludf.DUMMYFUNCTION("GOOGLETRANSLATE(A213, ""en"", ""hi"")"),"212")</f>
        <v>212</v>
      </c>
      <c r="G213" s="5" t="str">
        <f>IFERROR(__xludf.DUMMYFUNCTION("GOOGLETRANSLATE(B213, ""en"", ""hi"")"),"मलखम्ब एथलीट को बदलाव करने में दिक्कत होती है, लेकिन स्थिर मुद्राएँ मज़बूत होती हैं। उन्हें किस चीज़ को प्राथमिकता देनी चाहिए?")</f>
        <v>मलखम्ब एथलीट को बदलाव करने में दिक्कत होती है, लेकिन स्थिर मुद्राएँ मज़बूत होती हैं। उन्हें किस चीज़ को प्राथमिकता देनी चाहिए?</v>
      </c>
      <c r="H213" s="5" t="str">
        <f>IFERROR(__xludf.DUMMYFUNCTION("GOOGLETRANSLATE(C213, ""en"", ""hi"")"),"ए) सहज संक्रमण, बी) स्थिर मुद्रा शक्ति, सी) दिनचर्या की जटिलता को कम करना, डी) दिनचर्या की लंबाई बढ़ाना")</f>
        <v>ए) सहज संक्रमण, बी) स्थिर मुद्रा शक्ति, सी) दिनचर्या की जटिलता को कम करना, डी) दिनचर्या की लंबाई बढ़ाना</v>
      </c>
      <c r="I213" s="5" t="str">
        <f>IFERROR(__xludf.DUMMYFUNCTION("GOOGLETRANSLATE(D213, ""en"", ""hi"")"),"A) सहज संक्रमण")</f>
        <v>A) सहज संक्रमण</v>
      </c>
    </row>
    <row r="214" ht="22.5" customHeight="1">
      <c r="A214" s="2">
        <v>213.0</v>
      </c>
      <c r="B214" s="3" t="s">
        <v>10566</v>
      </c>
      <c r="C214" s="3" t="s">
        <v>10567</v>
      </c>
      <c r="D214" s="3" t="s">
        <v>10568</v>
      </c>
      <c r="F214" s="5" t="str">
        <f>IFERROR(__xludf.DUMMYFUNCTION("GOOGLETRANSLATE(A214, ""en"", ""hi"")"),"213")</f>
        <v>213</v>
      </c>
      <c r="G214" s="5" t="str">
        <f>IFERROR(__xludf.DUMMYFUNCTION("GOOGLETRANSLATE(B214, ""en"", ""hi"")"),"एक कलाकार अपने वाद्ययंत्रों के बेहतरीन इस्तेमाल के लिए जाना जाता है, लेकिन अपने पैरों के साथ संघर्ष करता है। उसे किस पर ध्यान केंद्रित करना चाहिए?")</f>
        <v>एक कलाकार अपने वाद्ययंत्रों के बेहतरीन इस्तेमाल के लिए जाना जाता है, लेकिन अपने पैरों के साथ संघर्ष करता है। उसे किस पर ध्यान केंद्रित करना चाहिए?</v>
      </c>
      <c r="H214" s="5" t="str">
        <f>IFERROR(__xludf.DUMMYFUNCTION("GOOGLETRANSLATE(C214, ""en"", ""hi"")"),"ए) फुटवर्क में सुधार, बी) कोर को मजबूत करना, सी) अधिक कठिन चालें जोड़ना, डी) नियमित लंबाई को कम करना")</f>
        <v>ए) फुटवर्क में सुधार, बी) कोर को मजबूत करना, सी) अधिक कठिन चालें जोड़ना, डी) नियमित लंबाई को कम करना</v>
      </c>
      <c r="I214" s="5" t="str">
        <f>IFERROR(__xludf.DUMMYFUNCTION("GOOGLETRANSLATE(D214, ""en"", ""hi"")"),"A) फुटवर्क में सुधार")</f>
        <v>A) फुटवर्क में सुधार</v>
      </c>
    </row>
    <row r="215" ht="22.5" customHeight="1">
      <c r="A215" s="2">
        <v>214.0</v>
      </c>
      <c r="B215" s="3" t="s">
        <v>10569</v>
      </c>
      <c r="C215" s="3" t="s">
        <v>10570</v>
      </c>
      <c r="D215" s="3" t="s">
        <v>10571</v>
      </c>
      <c r="F215" s="5" t="str">
        <f>IFERROR(__xludf.DUMMYFUNCTION("GOOGLETRANSLATE(A215, ""en"", ""hi"")"),"214")</f>
        <v>214</v>
      </c>
      <c r="G215" s="5" t="str">
        <f>IFERROR(__xludf.DUMMYFUNCTION("GOOGLETRANSLATE(B215, ""en"", ""hi"")"),"एक एथलीट शक्ति-आधारित चालों में तो उत्कृष्ट होता है, लेकिन मलखंभ अभ्यास के दौरान लचीलेपन के साथ संघर्ष करता है। उन्हें अपने प्रशिक्षण में क्या शामिल करना चाहिए?")</f>
        <v>एक एथलीट शक्ति-आधारित चालों में तो उत्कृष्ट होता है, लेकिन मलखंभ अभ्यास के दौरान लचीलेपन के साथ संघर्ष करता है। उन्हें अपने प्रशिक्षण में क्या शामिल करना चाहिए?</v>
      </c>
      <c r="H215" s="5" t="str">
        <f>IFERROR(__xludf.DUMMYFUNCTION("GOOGLETRANSLATE(C215, ""en"", ""hi"")"),"ए) लचीलापन प्रशिक्षण, बी) शक्ति प्रशिक्षण में वृद्धि, सी) नियमित गति को कम करना, डी) अधिक स्थिर पकड़ जोड़ना")</f>
        <v>ए) लचीलापन प्रशिक्षण, बी) शक्ति प्रशिक्षण में वृद्धि, सी) नियमित गति को कम करना, डी) अधिक स्थिर पकड़ जोड़ना</v>
      </c>
      <c r="I215" s="5" t="str">
        <f>IFERROR(__xludf.DUMMYFUNCTION("GOOGLETRANSLATE(D215, ""en"", ""hi"")"),"ए) लचीलापन प्रशिक्षण")</f>
        <v>ए) लचीलापन प्रशिक्षण</v>
      </c>
    </row>
    <row r="216" ht="22.5" customHeight="1">
      <c r="A216" s="2">
        <v>215.0</v>
      </c>
      <c r="B216" s="3" t="s">
        <v>10572</v>
      </c>
      <c r="C216" s="3" t="s">
        <v>10573</v>
      </c>
      <c r="D216" s="3" t="s">
        <v>10574</v>
      </c>
      <c r="F216" s="5" t="str">
        <f>IFERROR(__xludf.DUMMYFUNCTION("GOOGLETRANSLATE(A216, ""en"", ""hi"")"),"215")</f>
        <v>215</v>
      </c>
      <c r="G216" s="5" t="str">
        <f>IFERROR(__xludf.DUMMYFUNCTION("GOOGLETRANSLATE(B216, ""en"", ""hi"")"),"मलखंभ प्रदर्शन के दौरान, कलाकार अपनी ताकत का प्रदर्शन तो करता है, लेकिन उसे दर्शकों को आकर्षित करने पर भी ध्यान देने की सलाह दी जाती है। वे इसमें क्या सुधार कर सकते हैं?")</f>
        <v>मलखंभ प्रदर्शन के दौरान, कलाकार अपनी ताकत का प्रदर्शन तो करता है, लेकिन उसे दर्शकों को आकर्षित करने पर भी ध्यान देने की सलाह दी जाती है। वे इसमें क्या सुधार कर सकते हैं?</v>
      </c>
      <c r="H216" s="5" t="str">
        <f>IFERROR(__xludf.DUMMYFUNCTION("GOOGLETRANSLATE(C216, ""en"", ""hi"")"),"ए) दर्शकों की बातचीत और जुड़ाव, बी) अधिक शक्ति-आधारित चालें जोड़ना, सी) नियमित गति बढ़ाना, डी) नियमित को छोटा करना")</f>
        <v>ए) दर्शकों की बातचीत और जुड़ाव, बी) अधिक शक्ति-आधारित चालें जोड़ना, सी) नियमित गति बढ़ाना, डी) नियमित को छोटा करना</v>
      </c>
      <c r="I216" s="5" t="str">
        <f>IFERROR(__xludf.DUMMYFUNCTION("GOOGLETRANSLATE(D216, ""en"", ""hi"")"),"A) दर्शकों की बातचीत और जुड़ाव")</f>
        <v>A) दर्शकों की बातचीत और जुड़ाव</v>
      </c>
    </row>
    <row r="217" ht="22.5" customHeight="1">
      <c r="A217" s="2">
        <v>216.0</v>
      </c>
      <c r="B217" s="3" t="s">
        <v>10575</v>
      </c>
      <c r="C217" s="3" t="s">
        <v>10576</v>
      </c>
      <c r="D217" s="3" t="s">
        <v>10577</v>
      </c>
      <c r="F217" s="5" t="str">
        <f>IFERROR(__xludf.DUMMYFUNCTION("GOOGLETRANSLATE(A217, ""en"", ""hi"")"),"216")</f>
        <v>216</v>
      </c>
      <c r="G217" s="5" t="str">
        <f>IFERROR(__xludf.DUMMYFUNCTION("GOOGLETRANSLATE(B217, ""en"", ""hi"")"),"मलखंभ कलाकारों की चपलता की हमेशा प्रशंसा की जाती रही है, लेकिन स्थिर मुद्राएँ बनाए रखने में उन्हें दिक्कत होती है। उन्हें किस चीज़ में सुधार करने पर ध्यान देना चाहिए?")</f>
        <v>मलखंभ कलाकारों की चपलता की हमेशा प्रशंसा की जाती रही है, लेकिन स्थिर मुद्राएँ बनाए रखने में उन्हें दिक्कत होती है। उन्हें किस चीज़ में सुधार करने पर ध्यान देना चाहिए?</v>
      </c>
      <c r="H217" s="5" t="str">
        <f>IFERROR(__xludf.DUMMYFUNCTION("GOOGLETRANSLATE(C217, ""en"", ""hi"")"),"ए) स्थिर मुद्रा सहनशक्ति बढ़ाएँ, बी) अधिक गतिशील चालें जोड़ें, सी) मुद्रा की कठिनाई कम करें, डी) नियमित अवधि को छोटा करें")</f>
        <v>ए) स्थिर मुद्रा सहनशक्ति बढ़ाएँ, बी) अधिक गतिशील चालें जोड़ें, सी) मुद्रा की कठिनाई कम करें, डी) नियमित अवधि को छोटा करें</v>
      </c>
      <c r="I217" s="5" t="str">
        <f>IFERROR(__xludf.DUMMYFUNCTION("GOOGLETRANSLATE(D217, ""en"", ""hi"")"),"A) स्थैतिक मुद्रा सहनशक्ति में वृद्धि")</f>
        <v>A) स्थैतिक मुद्रा सहनशक्ति में वृद्धि</v>
      </c>
    </row>
    <row r="218" ht="22.5" customHeight="1">
      <c r="A218" s="2">
        <v>217.0</v>
      </c>
      <c r="B218" s="3" t="s">
        <v>10578</v>
      </c>
      <c r="C218" s="3" t="s">
        <v>10579</v>
      </c>
      <c r="D218" s="3" t="s">
        <v>10580</v>
      </c>
      <c r="F218" s="5" t="str">
        <f>IFERROR(__xludf.DUMMYFUNCTION("GOOGLETRANSLATE(A218, ""en"", ""hi"")"),"217")</f>
        <v>217</v>
      </c>
      <c r="G218" s="5" t="str">
        <f>IFERROR(__xludf.DUMMYFUNCTION("GOOGLETRANSLATE(B218, ""en"", ""hi"")"),"अभ्यास के दौरान, मलखम्ब एथलीट उच्च-तीव्रता वाले मूव्स करते समय रस्सी पर पकड़ लगातार खो देते हैं। उन्हें किस पर काम करना चाहिए?")</f>
        <v>अभ्यास के दौरान, मलखम्ब एथलीट उच्च-तीव्रता वाले मूव्स करते समय रस्सी पर पकड़ लगातार खो देते हैं। उन्हें किस पर काम करना चाहिए?</v>
      </c>
      <c r="H218" s="5" t="str">
        <f>IFERROR(__xludf.DUMMYFUNCTION("GOOGLETRANSLATE(C218, ""en"", ""hi"")"),"A) पकड़ मजबूत करना, B) दिनचर्या को छोटा करना, C) आसान चालें जोड़ना, D) लचीलापन बढ़ाना")</f>
        <v>A) पकड़ मजबूत करना, B) दिनचर्या को छोटा करना, C) आसान चालें जोड़ना, D) लचीलापन बढ़ाना</v>
      </c>
      <c r="I218" s="5" t="str">
        <f>IFERROR(__xludf.DUMMYFUNCTION("GOOGLETRANSLATE(D218, ""en"", ""hi"")"),"A) पकड़ मजबूत करना")</f>
        <v>A) पकड़ मजबूत करना</v>
      </c>
    </row>
    <row r="219" ht="22.5" customHeight="1">
      <c r="A219" s="2">
        <v>218.0</v>
      </c>
      <c r="B219" s="3" t="s">
        <v>10581</v>
      </c>
      <c r="C219" s="3" t="s">
        <v>10582</v>
      </c>
      <c r="D219" s="3" t="s">
        <v>10583</v>
      </c>
      <c r="F219" s="5" t="str">
        <f>IFERROR(__xludf.DUMMYFUNCTION("GOOGLETRANSLATE(A219, ""en"", ""hi"")"),"218")</f>
        <v>218</v>
      </c>
      <c r="G219" s="5" t="str">
        <f>IFERROR(__xludf.DUMMYFUNCTION("GOOGLETRANSLATE(B219, ""en"", ""hi"")"),"एक एथलीट अपनी चालें त्रुटिहीन ढंग से कर रहा है, लेकिन उसे बेहतर नियंत्रण के लिए अपनी गति धीमी करने की सलाह दी जाती है। उसे किस पर काम करना चाहिए?")</f>
        <v>एक एथलीट अपनी चालें त्रुटिहीन ढंग से कर रहा है, लेकिन उसे बेहतर नियंत्रण के लिए अपनी गति धीमी करने की सलाह दी जाती है। उसे किस पर काम करना चाहिए?</v>
      </c>
      <c r="H219" s="5" t="str">
        <f>IFERROR(__xludf.DUMMYFUNCTION("GOOGLETRANSLATE(C219, ""en"", ""hi"")"),"ए) संक्रमण के दौरान नियंत्रण में सुधार, बी) नियमित गति में वृद्धि, सी) अधिक शक्ति-आधारित चालें जोड़ना, डी) नियमित अवधि को बढ़ाना")</f>
        <v>ए) संक्रमण के दौरान नियंत्रण में सुधार, बी) नियमित गति में वृद्धि, सी) अधिक शक्ति-आधारित चालें जोड़ना, डी) नियमित अवधि को बढ़ाना</v>
      </c>
      <c r="I219" s="5" t="str">
        <f>IFERROR(__xludf.DUMMYFUNCTION("GOOGLETRANSLATE(D219, ""en"", ""hi"")"),"A) संक्रमण के दौरान नियंत्रण में सुधार")</f>
        <v>A) संक्रमण के दौरान नियंत्रण में सुधार</v>
      </c>
    </row>
    <row r="220" ht="22.5" customHeight="1">
      <c r="A220" s="2">
        <v>219.0</v>
      </c>
      <c r="B220" s="3" t="s">
        <v>10584</v>
      </c>
      <c r="C220" s="3" t="s">
        <v>10585</v>
      </c>
      <c r="D220" s="3" t="s">
        <v>10586</v>
      </c>
      <c r="F220" s="5" t="str">
        <f>IFERROR(__xludf.DUMMYFUNCTION("GOOGLETRANSLATE(A220, ""en"", ""hi"")"),"219")</f>
        <v>219</v>
      </c>
      <c r="G220" s="5" t="str">
        <f>IFERROR(__xludf.DUMMYFUNCTION("GOOGLETRANSLATE(B220, ""en"", ""hi"")"),"मलखंभ कलाकार अपने उच्च-स्तरीय लचीलेपन के लिए प्रशंसित हैं, लेकिन हवाई चालों के दौरान समन्वय में कठिनाई होती है। उन्हें किस पर ध्यान केंद्रित करना चाहिए?")</f>
        <v>मलखंभ कलाकार अपने उच्च-स्तरीय लचीलेपन के लिए प्रशंसित हैं, लेकिन हवाई चालों के दौरान समन्वय में कठिनाई होती है। उन्हें किस पर ध्यान केंद्रित करना चाहिए?</v>
      </c>
      <c r="H220" s="5" t="str">
        <f>IFERROR(__xludf.DUMMYFUNCTION("GOOGLETRANSLATE(C220, ""en"", ""hi"")"),"ए) हवाई चाल के दौरान समन्वय में सुधार, बी) लचीलापन प्रशिक्षण में वृद्धि, सी) अधिक स्थिर पकड़ जोड़ें, डी) हवाई खंडों को छोटा करें")</f>
        <v>ए) हवाई चाल के दौरान समन्वय में सुधार, बी) लचीलापन प्रशिक्षण में वृद्धि, सी) अधिक स्थिर पकड़ जोड़ें, डी) हवाई खंडों को छोटा करें</v>
      </c>
      <c r="I220" s="5" t="str">
        <f>IFERROR(__xludf.DUMMYFUNCTION("GOOGLETRANSLATE(D220, ""en"", ""hi"")"),"A) हवाई गतिविधियों के दौरान समन्वय में सुधार")</f>
        <v>A) हवाई गतिविधियों के दौरान समन्वय में सुधार</v>
      </c>
    </row>
    <row r="221" ht="22.5" customHeight="1">
      <c r="A221" s="2">
        <v>220.0</v>
      </c>
      <c r="B221" s="3" t="s">
        <v>10587</v>
      </c>
      <c r="C221" s="3" t="s">
        <v>10588</v>
      </c>
      <c r="D221" s="3" t="s">
        <v>10589</v>
      </c>
      <c r="F221" s="5" t="str">
        <f>IFERROR(__xludf.DUMMYFUNCTION("GOOGLETRANSLATE(A221, ""en"", ""hi"")"),"220")</f>
        <v>220</v>
      </c>
      <c r="G221" s="5" t="str">
        <f>IFERROR(__xludf.DUMMYFUNCTION("GOOGLETRANSLATE(B221, ""en"", ""hi"")"),"एक कलाकार के कार्यक्रम में रचनात्मक और कठिन पोज़ होते हैं, लेकिन प्रवाह में असंगति के लिए उनकी आलोचना की जाती है। उन्हें किस चीज़ को प्राथमिकता देनी चाहिए?")</f>
        <v>एक कलाकार के कार्यक्रम में रचनात्मक और कठिन पोज़ होते हैं, लेकिन प्रवाह में असंगति के लिए उनकी आलोचना की जाती है। उन्हें किस चीज़ को प्राथमिकता देनी चाहिए?</v>
      </c>
      <c r="H221" s="5" t="str">
        <f>IFERROR(__xludf.DUMMYFUNCTION("GOOGLETRANSLATE(C221, ""en"", ""hi"")"),"ए) आसनों के बीच प्रवाह में सुधार, बी) आसन की कठिनाई में वृद्धि, सी) अधिक शक्ति व्यायाम जोड़ें, डी) नियमित लंबाई कम करें")</f>
        <v>ए) आसनों के बीच प्रवाह में सुधार, बी) आसन की कठिनाई में वृद्धि, सी) अधिक शक्ति व्यायाम जोड़ें, डी) नियमित लंबाई कम करें</v>
      </c>
      <c r="I221" s="5" t="str">
        <f>IFERROR(__xludf.DUMMYFUNCTION("GOOGLETRANSLATE(D221, ""en"", ""hi"")"),"A) पोज़ के बीच प्रवाह में सुधार")</f>
        <v>A) पोज़ के बीच प्रवाह में सुधार</v>
      </c>
    </row>
    <row r="222" ht="22.5" customHeight="1">
      <c r="A222" s="2">
        <v>221.0</v>
      </c>
      <c r="B222" s="3" t="s">
        <v>10590</v>
      </c>
      <c r="C222" s="3" t="s">
        <v>10591</v>
      </c>
      <c r="D222" s="3" t="s">
        <v>10592</v>
      </c>
      <c r="F222" s="5" t="str">
        <f>IFERROR(__xludf.DUMMYFUNCTION("GOOGLETRANSLATE(A222, ""en"", ""hi"")"),"221")</f>
        <v>221</v>
      </c>
      <c r="G222" s="5" t="str">
        <f>IFERROR(__xludf.DUMMYFUNCTION("GOOGLETRANSLATE(B222, ""en"", ""hi"")"),"एक एथलीट शक्ति-आधारित मलखम्ब में उत्कृष्ट है, लेकिन अक्सर एक चाल से दूसरी चाल में बदलाव करते समय लड़खड़ा जाता है। उन्हें किस पर ध्यान केंद्रित करना चाहिए?")</f>
        <v>एक एथलीट शक्ति-आधारित मलखम्ब में उत्कृष्ट है, लेकिन अक्सर एक चाल से दूसरी चाल में बदलाव करते समय लड़खड़ा जाता है। उन्हें किस पर ध्यान केंद्रित करना चाहिए?</v>
      </c>
      <c r="H222" s="5" t="str">
        <f>IFERROR(__xludf.DUMMYFUNCTION("GOOGLETRANSLATE(C222, ""en"", ""hi"")"),"A) चालों के बीच अधिक सहज संक्रमण, B) शक्ति चालों में वृद्धि, C) अधिक स्थिर पकड़ जोड़ना, D) मुद्रा की कठिनाई को कम करना")</f>
        <v>A) चालों के बीच अधिक सहज संक्रमण, B) शक्ति चालों में वृद्धि, C) अधिक स्थिर पकड़ जोड़ना, D) मुद्रा की कठिनाई को कम करना</v>
      </c>
      <c r="I222" s="5" t="str">
        <f>IFERROR(__xludf.DUMMYFUNCTION("GOOGLETRANSLATE(D222, ""en"", ""hi"")"),"A) चालों के बीच सहज संक्रमण")</f>
        <v>A) चालों के बीच सहज संक्रमण</v>
      </c>
    </row>
    <row r="223" ht="22.5" customHeight="1">
      <c r="A223" s="2">
        <v>222.0</v>
      </c>
      <c r="B223" s="3" t="s">
        <v>10593</v>
      </c>
      <c r="C223" s="3" t="s">
        <v>10594</v>
      </c>
      <c r="D223" s="3" t="s">
        <v>10595</v>
      </c>
      <c r="F223" s="5" t="str">
        <f>IFERROR(__xludf.DUMMYFUNCTION("GOOGLETRANSLATE(A223, ""en"", ""hi"")"),"222")</f>
        <v>222</v>
      </c>
      <c r="G223" s="5" t="str">
        <f>IFERROR(__xludf.DUMMYFUNCTION("GOOGLETRANSLATE(B223, ""en"", ""hi"")"),"एक कलाकार को यह फीडबैक मिलता है कि उनका कार्यक्रम तकनीकी रूप से तो उत्तम है, लेकिन दर्शकों की रुचि उसमें कम है। उनके प्रदर्शन को कैसे बेहतर बनाया जा सकता है?")</f>
        <v>एक कलाकार को यह फीडबैक मिलता है कि उनका कार्यक्रम तकनीकी रूप से तो उत्तम है, लेकिन दर्शकों की रुचि उसमें कम है। उनके प्रदर्शन को कैसे बेहतर बनाया जा सकता है?</v>
      </c>
      <c r="H223" s="5" t="str">
        <f>IFERROR(__xludf.DUMMYFUNCTION("GOOGLETRANSLATE(C223, ""en"", ""hi"")"),"ए) प्रदर्शन करिश्मा जोड़ने पर ध्यान केंद्रित करें, बी) मुद्रा की कठिनाई बढ़ाएं, सी) दिनचर्या को छोटा करें, डी) लचीलापन बढ़ाएं")</f>
        <v>ए) प्रदर्शन करिश्मा जोड़ने पर ध्यान केंद्रित करें, बी) मुद्रा की कठिनाई बढ़ाएं, सी) दिनचर्या को छोटा करें, डी) लचीलापन बढ़ाएं</v>
      </c>
      <c r="I223" s="5" t="str">
        <f>IFERROR(__xludf.DUMMYFUNCTION("GOOGLETRANSLATE(D223, ""en"", ""hi"")"),"A) प्रदर्शन करिश्मा जोड़ने पर ध्यान केंद्रित करें")</f>
        <v>A) प्रदर्शन करिश्मा जोड़ने पर ध्यान केंद्रित करें</v>
      </c>
    </row>
    <row r="224" ht="22.5" customHeight="1">
      <c r="A224" s="2">
        <v>223.0</v>
      </c>
      <c r="B224" s="3" t="s">
        <v>10596</v>
      </c>
      <c r="C224" s="3" t="s">
        <v>10597</v>
      </c>
      <c r="D224" s="3" t="s">
        <v>10598</v>
      </c>
      <c r="F224" s="5" t="str">
        <f>IFERROR(__xludf.DUMMYFUNCTION("GOOGLETRANSLATE(A224, ""en"", ""hi"")"),"223")</f>
        <v>223</v>
      </c>
      <c r="G224" s="5" t="str">
        <f>IFERROR(__xludf.DUMMYFUNCTION("GOOGLETRANSLATE(B224, ""en"", ""hi"")"),"मलखंभ के दौरान, कलाकार अपने संतुलन के लिए जाने जाते हैं, लेकिन उनकी चाल धीमी दिखाई देती है। उन्हें किस पर काम करना चाहिए?")</f>
        <v>मलखंभ के दौरान, कलाकार अपने संतुलन के लिए जाने जाते हैं, लेकिन उनकी चाल धीमी दिखाई देती है। उन्हें किस पर काम करना चाहिए?</v>
      </c>
      <c r="H224" s="5" t="str">
        <f>IFERROR(__xludf.DUMMYFUNCTION("GOOGLETRANSLATE(C224, ""en"", ""hi"")"),"ए) बदलावों को तेज़ करें, बी) संतुलन बढ़ाने पर ध्यान केंद्रित करें, सी) अधिक कठिन पोज़ जोड़ें, डी) नियमित लंबाई बढ़ाएँ")</f>
        <v>ए) बदलावों को तेज़ करें, बी) संतुलन बढ़ाने पर ध्यान केंद्रित करें, सी) अधिक कठिन पोज़ जोड़ें, डी) नियमित लंबाई बढ़ाएँ</v>
      </c>
      <c r="I224" s="5" t="str">
        <f>IFERROR(__xludf.DUMMYFUNCTION("GOOGLETRANSLATE(D224, ""en"", ""hi"")"),"A) संक्रमण को गति देना")</f>
        <v>A) संक्रमण को गति देना</v>
      </c>
    </row>
    <row r="225" ht="22.5" customHeight="1">
      <c r="A225" s="2">
        <v>224.0</v>
      </c>
      <c r="B225" s="3" t="s">
        <v>10599</v>
      </c>
      <c r="C225" s="3" t="s">
        <v>10600</v>
      </c>
      <c r="D225" s="3" t="s">
        <v>10601</v>
      </c>
      <c r="F225" s="5" t="str">
        <f>IFERROR(__xludf.DUMMYFUNCTION("GOOGLETRANSLATE(A225, ""en"", ""hi"")"),"224")</f>
        <v>224</v>
      </c>
      <c r="G225" s="5" t="str">
        <f>IFERROR(__xludf.DUMMYFUNCTION("GOOGLETRANSLATE(B225, ""en"", ""hi"")"),"मलखम्ब एथलीट की दिनचर्या तो संतुलित होती है, लेकिन गतिशील क्रमों के दौरान उनका फुटवर्क कमज़ोर होता है। उन्हें अपने प्रशिक्षण में किस चीज़ को प्राथमिकता देनी चाहिए?")</f>
        <v>मलखम्ब एथलीट की दिनचर्या तो संतुलित होती है, लेकिन गतिशील क्रमों के दौरान उनका फुटवर्क कमज़ोर होता है। उन्हें अपने प्रशिक्षण में किस चीज़ को प्राथमिकता देनी चाहिए?</v>
      </c>
      <c r="H225" s="5" t="str">
        <f>IFERROR(__xludf.DUMMYFUNCTION("GOOGLETRANSLATE(C225, ""en"", ""hi"")"),"ए) फुटवर्क में सुधार, बी) अधिक स्थिर पकड़ जोड़ें, सी) मुद्रा की जटिलता कम करें, डी) नियमित गति बढ़ाएं")</f>
        <v>ए) फुटवर्क में सुधार, बी) अधिक स्थिर पकड़ जोड़ें, सी) मुद्रा की जटिलता कम करें, डी) नियमित गति बढ़ाएं</v>
      </c>
      <c r="I225" s="5" t="str">
        <f>IFERROR(__xludf.DUMMYFUNCTION("GOOGLETRANSLATE(D225, ""en"", ""hi"")"),"A) फुटवर्क में सुधार")</f>
        <v>A) फुटवर्क में सुधार</v>
      </c>
    </row>
    <row r="226" ht="22.5" customHeight="1">
      <c r="A226" s="2">
        <v>225.0</v>
      </c>
      <c r="B226" s="3" t="s">
        <v>10602</v>
      </c>
      <c r="C226" s="3" t="s">
        <v>10603</v>
      </c>
      <c r="D226" s="3" t="s">
        <v>10604</v>
      </c>
      <c r="F226" s="5" t="str">
        <f>IFERROR(__xludf.DUMMYFUNCTION("GOOGLETRANSLATE(A226, ""en"", ""hi"")"),"225")</f>
        <v>225</v>
      </c>
      <c r="G226" s="5" t="str">
        <f>IFERROR(__xludf.DUMMYFUNCTION("GOOGLETRANSLATE(B226, ""en"", ""hi"")"),"एक एथलीट को बताया जाता है कि उनकी दिनचर्या मलखंभ उपकरण के साथ तालमेल नहीं बिठा पा रही है। इसे सुधारने के लिए वे किस पर ध्यान केंद्रित कर सकते हैं?")</f>
        <v>एक एथलीट को बताया जाता है कि उनकी दिनचर्या मलखंभ उपकरण के साथ तालमेल नहीं बिठा पा रही है। इसे सुधारने के लिए वे किस पर ध्यान केंद्रित कर सकते हैं?</v>
      </c>
      <c r="H226" s="5" t="str">
        <f>IFERROR(__xludf.DUMMYFUNCTION("GOOGLETRANSLATE(C226, ""en"", ""hi"")"),"ए) उपकरण के साथ बेहतर समन्वय, बी) अधिक शक्ति-आधारित चालें जोड़ना, सी) नियमित जटिलता बढ़ाना, डी) नियमित गति कम करना")</f>
        <v>ए) उपकरण के साथ बेहतर समन्वय, बी) अधिक शक्ति-आधारित चालें जोड़ना, सी) नियमित जटिलता बढ़ाना, डी) नियमित गति कम करना</v>
      </c>
      <c r="I226" s="5" t="str">
        <f>IFERROR(__xludf.DUMMYFUNCTION("GOOGLETRANSLATE(D226, ""en"", ""hi"")"),"A) उपकरण के साथ बेहतर समन्वय")</f>
        <v>A) उपकरण के साथ बेहतर समन्वय</v>
      </c>
    </row>
    <row r="227" ht="22.5" customHeight="1">
      <c r="A227" s="2">
        <v>226.0</v>
      </c>
      <c r="B227" s="3" t="s">
        <v>10605</v>
      </c>
      <c r="C227" s="3" t="s">
        <v>10606</v>
      </c>
      <c r="D227" s="3" t="s">
        <v>10607</v>
      </c>
      <c r="F227" s="5" t="str">
        <f>IFERROR(__xludf.DUMMYFUNCTION("GOOGLETRANSLATE(A227, ""en"", ""hi"")"),"226")</f>
        <v>226</v>
      </c>
      <c r="G227" s="5" t="str">
        <f>IFERROR(__xludf.DUMMYFUNCTION("GOOGLETRANSLATE(B227, ""en"", ""hi"")"),"मलखंभ प्रतियोगिता के दौरान, कलाकार की ऊपरी शरीर की मज़बूती की तो प्रशंसा की जाती है, लेकिन निचले शरीर में कमज़ोरी होती है। उन्हें किस पर काम करना चाहिए?")</f>
        <v>मलखंभ प्रतियोगिता के दौरान, कलाकार की ऊपरी शरीर की मज़बूती की तो प्रशंसा की जाती है, लेकिन निचले शरीर में कमज़ोरी होती है। उन्हें किस पर काम करना चाहिए?</v>
      </c>
      <c r="H227" s="5" t="str">
        <f>IFERROR(__xludf.DUMMYFUNCTION("GOOGLETRANSLATE(C227, ""en"", ""hi"")"),"ए) निचले शरीर के समन्वय को मजबूत करें, बी) ऊपरी शरीर की अधिक गतिविधियाँ जोड़ें, सी) दिनचर्या को छोटा करें, डी) लचीलापन बढ़ाएँ")</f>
        <v>ए) निचले शरीर के समन्वय को मजबूत करें, बी) ऊपरी शरीर की अधिक गतिविधियाँ जोड़ें, सी) दिनचर्या को छोटा करें, डी) लचीलापन बढ़ाएँ</v>
      </c>
      <c r="I227" s="5" t="str">
        <f>IFERROR(__xludf.DUMMYFUNCTION("GOOGLETRANSLATE(D227, ""en"", ""hi"")"),"A) निचले शरीर के समन्वय को मजबूत करना")</f>
        <v>A) निचले शरीर के समन्वय को मजबूत करना</v>
      </c>
    </row>
    <row r="228" ht="22.5" customHeight="1">
      <c r="A228" s="2">
        <v>227.0</v>
      </c>
      <c r="B228" s="3" t="s">
        <v>10608</v>
      </c>
      <c r="C228" s="3" t="s">
        <v>10609</v>
      </c>
      <c r="D228" s="3" t="s">
        <v>10610</v>
      </c>
      <c r="F228" s="5" t="str">
        <f>IFERROR(__xludf.DUMMYFUNCTION("GOOGLETRANSLATE(A228, ""en"", ""hi"")"),"227")</f>
        <v>227</v>
      </c>
      <c r="G228" s="5" t="str">
        <f>IFERROR(__xludf.DUMMYFUNCTION("GOOGLETRANSLATE(B228, ""en"", ""hi"")"),"मलखम्ब कलाकार स्थिर मुद्राओं में तो कुशल होता है, लेकिन तेज़ गति से बदलाव करने में उसे दिक्कत होती है। उन्हें किस चीज़ को प्राथमिकता देनी चाहिए?")</f>
        <v>मलखम्ब कलाकार स्थिर मुद्राओं में तो कुशल होता है, लेकिन तेज़ गति से बदलाव करने में उसे दिक्कत होती है। उन्हें किस चीज़ को प्राथमिकता देनी चाहिए?</v>
      </c>
      <c r="H228" s="5" t="str">
        <f>IFERROR(__xludf.DUMMYFUNCTION("GOOGLETRANSLATE(C228, ""en"", ""hi"")"),"A) तेज़ बदलावों पर ध्यान केंद्रित करें, B) अधिक स्थिर पकड़ जोड़ें, C) शक्ति व्यायाम बढ़ाएँ, D) नियमित लंबाई कम करें")</f>
        <v>A) तेज़ बदलावों पर ध्यान केंद्रित करें, B) अधिक स्थिर पकड़ जोड़ें, C) शक्ति व्यायाम बढ़ाएँ, D) नियमित लंबाई कम करें</v>
      </c>
      <c r="I228" s="5" t="str">
        <f>IFERROR(__xludf.DUMMYFUNCTION("GOOGLETRANSLATE(D228, ""en"", ""hi"")"),"A) तीव्र बदलाव पर ध्यान केंद्रित करें")</f>
        <v>A) तीव्र बदलाव पर ध्यान केंद्रित करें</v>
      </c>
    </row>
    <row r="229" ht="22.5" customHeight="1">
      <c r="A229" s="2">
        <v>228.0</v>
      </c>
      <c r="B229" s="3" t="s">
        <v>10611</v>
      </c>
      <c r="C229" s="3" t="s">
        <v>10612</v>
      </c>
      <c r="D229" s="3" t="s">
        <v>10613</v>
      </c>
      <c r="F229" s="5" t="str">
        <f>IFERROR(__xludf.DUMMYFUNCTION("GOOGLETRANSLATE(A229, ""en"", ""hi"")"),"228")</f>
        <v>228</v>
      </c>
      <c r="G229" s="5" t="str">
        <f>IFERROR(__xludf.DUMMYFUNCTION("GOOGLETRANSLATE(B229, ""en"", ""hi"")"),"एक कलाकार का रूटीन तो दमदार है, लेकिन पोज़ में मौलिकता का अभाव है। उन्हें अलग दिखने के लिए किस पर ध्यान देना चाहिए?")</f>
        <v>एक कलाकार का रूटीन तो दमदार है, लेकिन पोज़ में मौलिकता का अभाव है। उन्हें अलग दिखने के लिए किस पर ध्यान देना चाहिए?</v>
      </c>
      <c r="H229" s="5" t="str">
        <f>IFERROR(__xludf.DUMMYFUNCTION("GOOGLETRANSLATE(C229, ""en"", ""hi"")"),"A) अधिक अनोखे और रचनात्मक आसन प्रस्तुत करें, B) शक्ति व्यायाम बढ़ाएँ, C) आसन की कठिनाई कम करें, D) दिनचर्या की अवधि कम करें")</f>
        <v>A) अधिक अनोखे और रचनात्मक आसन प्रस्तुत करें, B) शक्ति व्यायाम बढ़ाएँ, C) आसन की कठिनाई कम करें, D) दिनचर्या की अवधि कम करें</v>
      </c>
      <c r="I229" s="5" t="str">
        <f>IFERROR(__xludf.DUMMYFUNCTION("GOOGLETRANSLATE(D229, ""en"", ""hi"")"),"A) अधिक अनोखे और रचनात्मक पोज़ प्रस्तुत करें")</f>
        <v>A) अधिक अनोखे और रचनात्मक पोज़ प्रस्तुत करें</v>
      </c>
    </row>
    <row r="230" ht="22.5" customHeight="1">
      <c r="A230" s="2">
        <v>229.0</v>
      </c>
      <c r="B230" s="3" t="s">
        <v>10614</v>
      </c>
      <c r="C230" s="3" t="s">
        <v>10615</v>
      </c>
      <c r="D230" s="3" t="s">
        <v>10616</v>
      </c>
      <c r="F230" s="5" t="str">
        <f>IFERROR(__xludf.DUMMYFUNCTION("GOOGLETRANSLATE(A230, ""en"", ""hi"")"),"229")</f>
        <v>229</v>
      </c>
      <c r="G230" s="5" t="str">
        <f>IFERROR(__xludf.DUMMYFUNCTION("GOOGLETRANSLATE(B230, ""en"", ""hi"")"),"एक एथलीट उन्नत आसन कर रहा है, लेकिन उच्च-तीव्रता वाले व्यायामों के दौरान संतुलन बनाए रखने में कठिनाई महसूस करता है। उनके प्रदर्शन को कैसे बेहतर बनाया जा सकता है?")</f>
        <v>एक एथलीट उन्नत आसन कर रहा है, लेकिन उच्च-तीव्रता वाले व्यायामों के दौरान संतुलन बनाए रखने में कठिनाई महसूस करता है। उनके प्रदर्शन को कैसे बेहतर बनाया जा सकता है?</v>
      </c>
      <c r="H230" s="5" t="str">
        <f>IFERROR(__xludf.DUMMYFUNCTION("GOOGLETRANSLATE(C230, ""en"", ""hi"")"),"A) उच्च तीव्रता वाले मूव्स के दौरान संतुलन पर ध्यान केंद्रित करें, B) आसान पोज़ जोड़ें, C) रूटीन की लंबाई कम करें, D) लचीलापन बढ़ाएँ")</f>
        <v>A) उच्च तीव्रता वाले मूव्स के दौरान संतुलन पर ध्यान केंद्रित करें, B) आसान पोज़ जोड़ें, C) रूटीन की लंबाई कम करें, D) लचीलापन बढ़ाएँ</v>
      </c>
      <c r="I230" s="5" t="str">
        <f>IFERROR(__xludf.DUMMYFUNCTION("GOOGLETRANSLATE(D230, ""en"", ""hi"")"),"A) उच्च तीव्रता वाले व्यायाम के दौरान संतुलन पर ध्यान केंद्रित करें")</f>
        <v>A) उच्च तीव्रता वाले व्यायाम के दौरान संतुलन पर ध्यान केंद्रित करें</v>
      </c>
    </row>
    <row r="231" ht="22.5" customHeight="1">
      <c r="A231" s="2">
        <v>230.0</v>
      </c>
      <c r="B231" s="3" t="s">
        <v>10617</v>
      </c>
      <c r="C231" s="3" t="s">
        <v>10618</v>
      </c>
      <c r="D231" s="3" t="s">
        <v>10619</v>
      </c>
      <c r="F231" s="5" t="str">
        <f>IFERROR(__xludf.DUMMYFUNCTION("GOOGLETRANSLATE(A231, ""en"", ""hi"")"),"230")</f>
        <v>230</v>
      </c>
      <c r="G231" s="5" t="str">
        <f>IFERROR(__xludf.DUMMYFUNCTION("GOOGLETRANSLATE(B231, ""en"", ""hi"")"),"मलखंभ कार्यक्रम के दौरान, कलाकार की लय तो मज़बूत होती है, लेकिन हवाई कलाबाज़ी में सहजता नहीं होती। उन्हें किस चीज़ को प्राथमिकता देनी चाहिए?")</f>
        <v>मलखंभ कार्यक्रम के दौरान, कलाकार की लय तो मज़बूत होती है, लेकिन हवाई कलाबाज़ी में सहजता नहीं होती। उन्हें किस चीज़ को प्राथमिकता देनी चाहिए?</v>
      </c>
      <c r="H231" s="5" t="str">
        <f>IFERROR(__xludf.DUMMYFUNCTION("GOOGLETRANSLATE(C231, ""en"", ""hi"")"),"ए) हवाई संक्रमण में सुधार, बी) नियमित जटिलता में वृद्धि, सी) शक्ति-आधारित चालों पर ध्यान केंद्रित करना, डी) अधिक स्थिर पकड़ जोड़ना")</f>
        <v>ए) हवाई संक्रमण में सुधार, बी) नियमित जटिलता में वृद्धि, सी) शक्ति-आधारित चालों पर ध्यान केंद्रित करना, डी) अधिक स्थिर पकड़ जोड़ना</v>
      </c>
      <c r="I231" s="5" t="str">
        <f>IFERROR(__xludf.DUMMYFUNCTION("GOOGLETRANSLATE(D231, ""en"", ""hi"")"),"A) हवाई संक्रमण में सुधार")</f>
        <v>A) हवाई संक्रमण में सुधार</v>
      </c>
    </row>
    <row r="232" ht="22.5" customHeight="1">
      <c r="A232" s="2">
        <v>231.0</v>
      </c>
      <c r="B232" s="3" t="s">
        <v>10620</v>
      </c>
      <c r="C232" s="3" t="s">
        <v>10621</v>
      </c>
      <c r="D232" s="3" t="s">
        <v>10622</v>
      </c>
      <c r="F232" s="5" t="str">
        <f>IFERROR(__xludf.DUMMYFUNCTION("GOOGLETRANSLATE(A232, ""en"", ""hi"")"),"231")</f>
        <v>231</v>
      </c>
      <c r="G232" s="5" t="str">
        <f>IFERROR(__xludf.DUMMYFUNCTION("GOOGLETRANSLATE(B232, ""en"", ""hi"")"),"मलखम्ब एथलीट अपनी चाल की सटीकता के लिए संघर्ष करते हैं, लेकिन उनकी ताकत की प्रशंसा की जाती है। उन्हें किस पर ध्यान केंद्रित करना चाहिए?")</f>
        <v>मलखम्ब एथलीट अपनी चाल की सटीकता के लिए संघर्ष करते हैं, लेकिन उनकी ताकत की प्रशंसा की जाती है। उन्हें किस पर ध्यान केंद्रित करना चाहिए?</v>
      </c>
      <c r="H232" s="5" t="str">
        <f>IFERROR(__xludf.DUMMYFUNCTION("GOOGLETRANSLATE(C232, ""en"", ""hi"")"),"ए) गति की सटीकता में सुधार, बी) अधिक शक्ति अभ्यास जोड़ें, सी) नियमित गति बढ़ाएं, डी) नियमित जटिलता कम करें")</f>
        <v>ए) गति की सटीकता में सुधार, बी) अधिक शक्ति अभ्यास जोड़ें, सी) नियमित गति बढ़ाएं, डी) नियमित जटिलता कम करें</v>
      </c>
      <c r="I232" s="5" t="str">
        <f>IFERROR(__xludf.DUMMYFUNCTION("GOOGLETRANSLATE(D232, ""en"", ""hi"")"),"A) गति की सटीकता में सुधार")</f>
        <v>A) गति की सटीकता में सुधार</v>
      </c>
    </row>
    <row r="233" ht="22.5" customHeight="1">
      <c r="A233" s="2">
        <v>232.0</v>
      </c>
      <c r="B233" s="3" t="s">
        <v>10623</v>
      </c>
      <c r="C233" s="3" t="s">
        <v>10624</v>
      </c>
      <c r="D233" s="3" t="s">
        <v>10625</v>
      </c>
      <c r="F233" s="5" t="str">
        <f>IFERROR(__xludf.DUMMYFUNCTION("GOOGLETRANSLATE(A233, ""en"", ""hi"")"),"232")</f>
        <v>232</v>
      </c>
      <c r="G233" s="5" t="str">
        <f>IFERROR(__xludf.DUMMYFUNCTION("GOOGLETRANSLATE(B233, ""en"", ""hi"")"),"एक कलाकार जटिल गतिविधियों को करने में तो कुशल है, लेकिन बदलाव के दौरान संतुलन बनाए रखने में उसे दिक्कत होती है। उन्हें किस पर काम करना चाहिए?")</f>
        <v>एक कलाकार जटिल गतिविधियों को करने में तो कुशल है, लेकिन बदलाव के दौरान संतुलन बनाए रखने में उसे दिक्कत होती है। उन्हें किस पर काम करना चाहिए?</v>
      </c>
      <c r="H233" s="5" t="str">
        <f>IFERROR(__xludf.DUMMYFUNCTION("GOOGLETRANSLATE(C233, ""en"", ""hi"")"),"A) संक्रमण के दौरान संतुलन में सुधार, B) अधिक गतिशील चालें जोड़ना, C) नियमित कठिनाई को कम करना, D) नियमित गति को बढ़ाना")</f>
        <v>A) संक्रमण के दौरान संतुलन में सुधार, B) अधिक गतिशील चालें जोड़ना, C) नियमित कठिनाई को कम करना, D) नियमित गति को बढ़ाना</v>
      </c>
      <c r="I233" s="5" t="str">
        <f>IFERROR(__xludf.DUMMYFUNCTION("GOOGLETRANSLATE(D233, ""en"", ""hi"")"),"A) संक्रमण के दौरान संतुलन में सुधार")</f>
        <v>A) संक्रमण के दौरान संतुलन में सुधार</v>
      </c>
    </row>
    <row r="234" ht="22.5" customHeight="1">
      <c r="A234" s="2">
        <v>233.0</v>
      </c>
      <c r="B234" s="3" t="s">
        <v>10626</v>
      </c>
      <c r="C234" s="3" t="s">
        <v>10627</v>
      </c>
      <c r="D234" s="3" t="s">
        <v>10628</v>
      </c>
      <c r="F234" s="5" t="str">
        <f>IFERROR(__xludf.DUMMYFUNCTION("GOOGLETRANSLATE(A234, ""en"", ""hi"")"),"233")</f>
        <v>233</v>
      </c>
      <c r="G234" s="5" t="str">
        <f>IFERROR(__xludf.DUMMYFUNCTION("GOOGLETRANSLATE(B234, ""en"", ""hi"")"),"एक एथलीट एक बेहतरीन अभ्यास कर रहा है, लेकिन उसे कुछ गतिविधियों को बेहतर ढंग से करने के लिए अपनी लचीलापन बढ़ाने की सलाह दी जाती है। उसे क्या करना चाहिए?")</f>
        <v>एक एथलीट एक बेहतरीन अभ्यास कर रहा है, लेकिन उसे कुछ गतिविधियों को बेहतर ढंग से करने के लिए अपनी लचीलापन बढ़ाने की सलाह दी जाती है। उसे क्या करना चाहिए?</v>
      </c>
      <c r="H234" s="5" t="str">
        <f>IFERROR(__xludf.DUMMYFUNCTION("GOOGLETRANSLATE(C234, ""en"", ""hi"")"),"ए) लचीलेपन का प्रशिक्षण बढ़ाएँ, बी) नियमित अवधि कम करें, सी) अधिक शक्ति व्यायाम जोड़ें, डी) नियमित गति बढ़ाएँ")</f>
        <v>ए) लचीलेपन का प्रशिक्षण बढ़ाएँ, बी) नियमित अवधि कम करें, सी) अधिक शक्ति व्यायाम जोड़ें, डी) नियमित गति बढ़ाएँ</v>
      </c>
      <c r="I234" s="5" t="str">
        <f>IFERROR(__xludf.DUMMYFUNCTION("GOOGLETRANSLATE(D234, ""en"", ""hi"")"),"A) लचीलेपन का प्रशिक्षण बढ़ाएँ")</f>
        <v>A) लचीलेपन का प्रशिक्षण बढ़ाएँ</v>
      </c>
    </row>
    <row r="235" ht="22.5" customHeight="1">
      <c r="A235" s="2">
        <v>234.0</v>
      </c>
      <c r="B235" s="3" t="s">
        <v>10629</v>
      </c>
      <c r="C235" s="3" t="s">
        <v>10630</v>
      </c>
      <c r="D235" s="3" t="s">
        <v>10631</v>
      </c>
      <c r="F235" s="5" t="str">
        <f>IFERROR(__xludf.DUMMYFUNCTION("GOOGLETRANSLATE(A235, ""en"", ""hi"")"),"234")</f>
        <v>234</v>
      </c>
      <c r="G235" s="5" t="str">
        <f>IFERROR(__xludf.DUMMYFUNCTION("GOOGLETRANSLATE(B235, ""en"", ""hi"")"),"अभ्यास के दौरान, कलाकार अक्सर ऐसे आसन करने में कठिनाई महसूस करते हैं जिनमें ऊपरी शरीर की ताकत की आवश्यकता होती है। उन्हें किस पर ध्यान केंद्रित करना चाहिए?")</f>
        <v>अभ्यास के दौरान, कलाकार अक्सर ऐसे आसन करने में कठिनाई महसूस करते हैं जिनमें ऊपरी शरीर की ताकत की आवश्यकता होती है। उन्हें किस पर ध्यान केंद्रित करना चाहिए?</v>
      </c>
      <c r="H235" s="5" t="str">
        <f>IFERROR(__xludf.DUMMYFUNCTION("GOOGLETRANSLATE(C235, ""en"", ""hi"")"),"ए) ऊपरी शरीर को मजबूत करना, बी) आसन की कठिनाई को कम करना, सी) लचीलापन बढ़ाना, डी) दिनचर्या की अवधि को छोटा करना")</f>
        <v>ए) ऊपरी शरीर को मजबूत करना, बी) आसन की कठिनाई को कम करना, सी) लचीलापन बढ़ाना, डी) दिनचर्या की अवधि को छोटा करना</v>
      </c>
      <c r="I235" s="5" t="str">
        <f>IFERROR(__xludf.DUMMYFUNCTION("GOOGLETRANSLATE(D235, ""en"", ""hi"")"),"A) ऊपरी शरीर को मजबूत करें")</f>
        <v>A) ऊपरी शरीर को मजबूत करें</v>
      </c>
    </row>
    <row r="236" ht="22.5" customHeight="1">
      <c r="A236" s="2">
        <v>235.0</v>
      </c>
      <c r="B236" s="3" t="s">
        <v>10632</v>
      </c>
      <c r="C236" s="3" t="s">
        <v>10633</v>
      </c>
      <c r="D236" s="3" t="s">
        <v>10634</v>
      </c>
      <c r="F236" s="5" t="str">
        <f>IFERROR(__xludf.DUMMYFUNCTION("GOOGLETRANSLATE(A236, ""en"", ""hi"")"),"235")</f>
        <v>235</v>
      </c>
      <c r="G236" s="5" t="str">
        <f>IFERROR(__xludf.DUMMYFUNCTION("GOOGLETRANSLATE(B236, ""en"", ""hi"")"),"मलखम्ब एथलीट रचनात्मक मुद्राएँ तो करता है, लेकिन गतिशील क्रमों के दौरान नियंत्रण की कमी महसूस करता है। वे किस पर काम कर सकते हैं?")</f>
        <v>मलखम्ब एथलीट रचनात्मक मुद्राएँ तो करता है, लेकिन गतिशील क्रमों के दौरान नियंत्रण की कमी महसूस करता है। वे किस पर काम कर सकते हैं?</v>
      </c>
      <c r="H236" s="5" t="str">
        <f>IFERROR(__xludf.DUMMYFUNCTION("GOOGLETRANSLATE(C236, ""en"", ""hi"")"),"A) गतिशील अनुक्रमों के दौरान नियंत्रण में सुधार, B) अधिक स्थिर पोज़ जोड़ना, C) नियमित जटिलता को कम करना, D) नियमित गति को बढ़ाना")</f>
        <v>A) गतिशील अनुक्रमों के दौरान नियंत्रण में सुधार, B) अधिक स्थिर पोज़ जोड़ना, C) नियमित जटिलता को कम करना, D) नियमित गति को बढ़ाना</v>
      </c>
      <c r="I236" s="5" t="str">
        <f>IFERROR(__xludf.DUMMYFUNCTION("GOOGLETRANSLATE(D236, ""en"", ""hi"")"),"A) गतिशील अनुक्रमों के दौरान नियंत्रण में सुधार")</f>
        <v>A) गतिशील अनुक्रमों के दौरान नियंत्रण में सुधार</v>
      </c>
    </row>
    <row r="237" ht="22.5" customHeight="1">
      <c r="A237" s="2">
        <v>236.0</v>
      </c>
      <c r="B237" s="3" t="s">
        <v>10635</v>
      </c>
      <c r="C237" s="3" t="s">
        <v>10636</v>
      </c>
      <c r="D237" s="3" t="s">
        <v>10637</v>
      </c>
      <c r="F237" s="5" t="str">
        <f>IFERROR(__xludf.DUMMYFUNCTION("GOOGLETRANSLATE(A237, ""en"", ""hi"")"),"236")</f>
        <v>236</v>
      </c>
      <c r="G237" s="5" t="str">
        <f>IFERROR(__xludf.DUMMYFUNCTION("GOOGLETRANSLATE(B237, ""en"", ""hi"")"),"एक कलाकार का रूटीन मज़बूत होता है, लेकिन उन्हें बेहतर स्थिरता के लिए अपनी कोर स्ट्रेंथ पर काम करने की सलाह दी जाती है। उन्हें किस पर ध्यान केंद्रित करना चाहिए?")</f>
        <v>एक कलाकार का रूटीन मज़बूत होता है, लेकिन उन्हें बेहतर स्थिरता के लिए अपनी कोर स्ट्रेंथ पर काम करने की सलाह दी जाती है। उन्हें किस पर ध्यान केंद्रित करना चाहिए?</v>
      </c>
      <c r="H237" s="5" t="str">
        <f>IFERROR(__xludf.DUMMYFUNCTION("GOOGLETRANSLATE(C237, ""en"", ""hi"")"),"ए) कोर ताकत अभ्यास, बी) नियमित जटिलता को कम करना, सी) अधिक गतिशील चालें जोड़ना, डी) नियमित लंबाई बढ़ाना")</f>
        <v>ए) कोर ताकत अभ्यास, बी) नियमित जटिलता को कम करना, सी) अधिक गतिशील चालें जोड़ना, डी) नियमित लंबाई बढ़ाना</v>
      </c>
      <c r="I237" s="5" t="str">
        <f>IFERROR(__xludf.DUMMYFUNCTION("GOOGLETRANSLATE(D237, ""en"", ""hi"")"),"ए) कोर शक्ति व्यायाम")</f>
        <v>ए) कोर शक्ति व्यायाम</v>
      </c>
    </row>
    <row r="238" ht="22.5" customHeight="1">
      <c r="A238" s="2">
        <v>237.0</v>
      </c>
      <c r="B238" s="3" t="s">
        <v>10638</v>
      </c>
      <c r="C238" s="3" t="s">
        <v>10639</v>
      </c>
      <c r="D238" s="3" t="s">
        <v>10440</v>
      </c>
      <c r="F238" s="5" t="str">
        <f>IFERROR(__xludf.DUMMYFUNCTION("GOOGLETRANSLATE(A238, ""en"", ""hi"")"),"237")</f>
        <v>237</v>
      </c>
      <c r="G238" s="5" t="str">
        <f>IFERROR(__xludf.DUMMYFUNCTION("GOOGLETRANSLATE(B238, ""en"", ""hi"")"),"एक एथलीट तरल संक्रमण में तो माहिर होता है, लेकिन उच्च-तीव्रता वाले आसनों में, जिनमें ताकत की ज़रूरत होती है, उसे दिक्कत होती है। उन्हें किस पर काम करना चाहिए?")</f>
        <v>एक एथलीट तरल संक्रमण में तो माहिर होता है, लेकिन उच्च-तीव्रता वाले आसनों में, जिनमें ताकत की ज़रूरत होती है, उसे दिक्कत होती है। उन्हें किस पर काम करना चाहिए?</v>
      </c>
      <c r="H238" s="5" t="str">
        <f>IFERROR(__xludf.DUMMYFUNCTION("GOOGLETRANSLATE(C238, ""en"", ""hi"")"),"ए) शक्ति प्रशिक्षण, बी) नियमित गति बढ़ाएं, सी) अधिक रचनात्मक आसन जोड़ें, डी) लचीलेपन पर ध्यान केंद्रित करें")</f>
        <v>ए) शक्ति प्रशिक्षण, बी) नियमित गति बढ़ाएं, सी) अधिक रचनात्मक आसन जोड़ें, डी) लचीलेपन पर ध्यान केंद्रित करें</v>
      </c>
      <c r="I238" s="5" t="str">
        <f>IFERROR(__xludf.DUMMYFUNCTION("GOOGLETRANSLATE(D238, ""en"", ""hi"")"),"ए) शक्ति प्रशिक्षण")</f>
        <v>ए) शक्ति प्रशिक्षण</v>
      </c>
    </row>
    <row r="239" ht="22.5" customHeight="1">
      <c r="A239" s="2">
        <v>238.0</v>
      </c>
      <c r="B239" s="3" t="s">
        <v>10640</v>
      </c>
      <c r="C239" s="3" t="s">
        <v>10641</v>
      </c>
      <c r="D239" s="3" t="s">
        <v>10642</v>
      </c>
      <c r="F239" s="5" t="str">
        <f>IFERROR(__xludf.DUMMYFUNCTION("GOOGLETRANSLATE(A239, ""en"", ""hi"")"),"238")</f>
        <v>238</v>
      </c>
      <c r="G239" s="5" t="str">
        <f>IFERROR(__xludf.DUMMYFUNCTION("GOOGLETRANSLATE(B239, ""en"", ""hi"")"),"मलखंभ प्रदर्शन के दौरान, एक एथलीट का रूटीन तकनीकी रूप से मज़बूत होता है, लेकिन उसमें विविधता का अभाव होता है। अपने प्रदर्शन में और गहराई लाने के लिए उन्हें किस पर ध्यान केंद्रित करना चाहिए?")</f>
        <v>मलखंभ प्रदर्शन के दौरान, एक एथलीट का रूटीन तकनीकी रूप से मज़बूत होता है, लेकिन उसमें विविधता का अभाव होता है। अपने प्रदर्शन में और गहराई लाने के लिए उन्हें किस पर ध्यान केंद्रित करना चाहिए?</v>
      </c>
      <c r="H239" s="5" t="str">
        <f>IFERROR(__xludf.DUMMYFUNCTION("GOOGLETRANSLATE(C239, ""en"", ""hi"")"),"ए) विविध और रचनात्मक चालें शामिल करें, बी) अधिक शक्ति-आधारित चालें जोड़ें, सी) नियमित लंबाई कम करें, डी) लचीलापन बढ़ाएं")</f>
        <v>ए) विविध और रचनात्मक चालें शामिल करें, बी) अधिक शक्ति-आधारित चालें जोड़ें, सी) नियमित लंबाई कम करें, डी) लचीलापन बढ़ाएं</v>
      </c>
      <c r="I239" s="5" t="str">
        <f>IFERROR(__xludf.DUMMYFUNCTION("GOOGLETRANSLATE(D239, ""en"", ""hi"")"),"A) विविध और रचनात्मक चालों को शामिल करें")</f>
        <v>A) विविध और रचनात्मक चालों को शामिल करें</v>
      </c>
    </row>
    <row r="240" ht="22.5" customHeight="1">
      <c r="A240" s="2">
        <v>239.0</v>
      </c>
      <c r="B240" s="3" t="s">
        <v>10643</v>
      </c>
      <c r="C240" s="3" t="s">
        <v>10644</v>
      </c>
      <c r="D240" s="3" t="s">
        <v>10598</v>
      </c>
      <c r="F240" s="5" t="str">
        <f>IFERROR(__xludf.DUMMYFUNCTION("GOOGLETRANSLATE(A240, ""en"", ""hi"")"),"239")</f>
        <v>239</v>
      </c>
      <c r="G240" s="5" t="str">
        <f>IFERROR(__xludf.DUMMYFUNCTION("GOOGLETRANSLATE(B240, ""en"", ""hi"")"),"एक कलाकार कठिन पोज़ कर रहा है, लेकिन उसे अपनी गति में बदलाव करने में दिक्कत हो रही है। उसे किस पर ध्यान केंद्रित करना चाहिए?")</f>
        <v>एक कलाकार कठिन पोज़ कर रहा है, लेकिन उसे अपनी गति में बदलाव करने में दिक्कत हो रही है। उसे किस पर ध्यान केंद्रित करना चाहिए?</v>
      </c>
      <c r="H240" s="5" t="str">
        <f>IFERROR(__xludf.DUMMYFUNCTION("GOOGLETRANSLATE(C240, ""en"", ""hi"")"),"A) संक्रमण की गति बढ़ाना, B) अधिक स्थिर मुद्राएँ जोड़ना, C) नियमित कठिनाई को कम करना, D) नियमित अवधि को छोटा करना")</f>
        <v>A) संक्रमण की गति बढ़ाना, B) अधिक स्थिर मुद्राएँ जोड़ना, C) नियमित कठिनाई को कम करना, D) नियमित अवधि को छोटा करना</v>
      </c>
      <c r="I240" s="5" t="str">
        <f>IFERROR(__xludf.DUMMYFUNCTION("GOOGLETRANSLATE(D240, ""en"", ""hi"")"),"A) संक्रमण को गति देना")</f>
        <v>A) संक्रमण को गति देना</v>
      </c>
    </row>
    <row r="241" ht="22.5" customHeight="1">
      <c r="A241" s="2">
        <v>240.0</v>
      </c>
      <c r="B241" s="3" t="s">
        <v>10645</v>
      </c>
      <c r="C241" s="3" t="s">
        <v>10646</v>
      </c>
      <c r="D241" s="3" t="s">
        <v>10647</v>
      </c>
      <c r="F241" s="5" t="str">
        <f>IFERROR(__xludf.DUMMYFUNCTION("GOOGLETRANSLATE(A241, ""en"", ""hi"")"),"240")</f>
        <v>240</v>
      </c>
      <c r="G241" s="5" t="str">
        <f>IFERROR(__xludf.DUMMYFUNCTION("GOOGLETRANSLATE(B241, ""en"", ""hi"")"),"एक मलखम्ब खिलाड़ी जटिल मुद्राओं में तो उत्कृष्ट है, लेकिन उल्टे आसनों के दौरान संतुलन की कमी महसूस करता है। उन्हें किस चीज़ को प्राथमिकता देनी चाहिए?")</f>
        <v>एक मलखम्ब खिलाड़ी जटिल मुद्राओं में तो उत्कृष्ट है, लेकिन उल्टे आसनों के दौरान संतुलन की कमी महसूस करता है। उन्हें किस चीज़ को प्राथमिकता देनी चाहिए?</v>
      </c>
      <c r="H241" s="5" t="str">
        <f>IFERROR(__xludf.DUMMYFUNCTION("GOOGLETRANSLATE(C241, ""en"", ""hi"")"),"ए) उल्टे आसन में संतुलन सुधारें, बी) अधिक कठिन आसन जोड़ें, सी) नियमित गति बढ़ाएँ, डी) शक्ति प्रशिक्षण पर ध्यान केंद्रित करें")</f>
        <v>ए) उल्टे आसन में संतुलन सुधारें, बी) अधिक कठिन आसन जोड़ें, सी) नियमित गति बढ़ाएँ, डी) शक्ति प्रशिक्षण पर ध्यान केंद्रित करें</v>
      </c>
      <c r="I241" s="5" t="str">
        <f>IFERROR(__xludf.DUMMYFUNCTION("GOOGLETRANSLATE(D241, ""en"", ""hi"")"),"A) उल्टे आसन में संतुलन में सुधार")</f>
        <v>A) उल्टे आसन में संतुलन में सुधार</v>
      </c>
    </row>
    <row r="242" ht="22.5" customHeight="1">
      <c r="A242" s="2">
        <v>241.0</v>
      </c>
      <c r="B242" s="3" t="s">
        <v>10648</v>
      </c>
      <c r="C242" s="3" t="s">
        <v>10649</v>
      </c>
      <c r="D242" s="3" t="s">
        <v>10650</v>
      </c>
      <c r="F242" s="5" t="str">
        <f>IFERROR(__xludf.DUMMYFUNCTION("GOOGLETRANSLATE(A242, ""en"", ""hi"")"),"241")</f>
        <v>241</v>
      </c>
      <c r="G242" s="5" t="str">
        <f>IFERROR(__xludf.DUMMYFUNCTION("GOOGLETRANSLATE(B242, ""en"", ""hi"")"),"मलखंभ प्रतियोगिता के दौरान, कलाकार की रचनात्मकता की प्रशंसा की जाती है, लेकिन बेहतर नियंत्रण के लिए उसे धीमी गति से प्रदर्शन करने की सलाह दी जाती है। उन्हें किस पर ध्यान केंद्रित करना चाहिए?")</f>
        <v>मलखंभ प्रतियोगिता के दौरान, कलाकार की रचनात्मकता की प्रशंसा की जाती है, लेकिन बेहतर नियंत्रण के लिए उसे धीमी गति से प्रदर्शन करने की सलाह दी जाती है। उन्हें किस पर ध्यान केंद्रित करना चाहिए?</v>
      </c>
      <c r="H242" s="5" t="str">
        <f>IFERROR(__xludf.DUMMYFUNCTION("GOOGLETRANSLATE(C242, ""en"", ""hi"")"),"ए) धीमी गतिविधियों के दौरान नियंत्रण बढ़ाना, बी) अधिक गतिशील चालें जोड़ना, सी) नियमित जटिलता कम करना, डी) शक्ति-आधारित चालें बढ़ाना")</f>
        <v>ए) धीमी गतिविधियों के दौरान नियंत्रण बढ़ाना, बी) अधिक गतिशील चालें जोड़ना, सी) नियमित जटिलता कम करना, डी) शक्ति-आधारित चालें बढ़ाना</v>
      </c>
      <c r="I242" s="5" t="str">
        <f>IFERROR(__xludf.DUMMYFUNCTION("GOOGLETRANSLATE(D242, ""en"", ""hi"")"),"A) धीमी गति के दौरान नियंत्रण बढ़ाना")</f>
        <v>A) धीमी गति के दौरान नियंत्रण बढ़ाना</v>
      </c>
    </row>
    <row r="243" ht="22.5" customHeight="1">
      <c r="A243" s="2">
        <v>242.0</v>
      </c>
      <c r="B243" s="3" t="s">
        <v>10651</v>
      </c>
      <c r="C243" s="3" t="s">
        <v>10652</v>
      </c>
      <c r="D243" s="3" t="s">
        <v>10653</v>
      </c>
      <c r="F243" s="5" t="str">
        <f>IFERROR(__xludf.DUMMYFUNCTION("GOOGLETRANSLATE(A243, ""en"", ""hi"")"),"242")</f>
        <v>242</v>
      </c>
      <c r="G243" s="5" t="str">
        <f>IFERROR(__xludf.DUMMYFUNCTION("GOOGLETRANSLATE(B243, ""en"", ""hi"")"),"एक एथलीट उच्च-स्तरीय शक्ति-आधारित चालें करता है, लेकिन कुछ बदलावों में लचीलेपन के साथ संघर्ष करता है। उन्हें किसमें सुधार करने पर ध्यान केंद्रित करना चाहिए?")</f>
        <v>एक एथलीट उच्च-स्तरीय शक्ति-आधारित चालें करता है, लेकिन कुछ बदलावों में लचीलेपन के साथ संघर्ष करता है। उन्हें किसमें सुधार करने पर ध्यान केंद्रित करना चाहिए?</v>
      </c>
      <c r="H243" s="5" t="str">
        <f>IFERROR(__xludf.DUMMYFUNCTION("GOOGLETRANSLATE(C243, ""en"", ""hi"")"),"ए) लचीलापन, बी) शक्ति प्रशिक्षण में वृद्धि, सी) नियमित जटिलता को कम करना, डी) अधिक गतिशील चालें जोड़ना")</f>
        <v>ए) लचीलापन, बी) शक्ति प्रशिक्षण में वृद्धि, सी) नियमित जटिलता को कम करना, डी) अधिक गतिशील चालें जोड़ना</v>
      </c>
      <c r="I243" s="5" t="str">
        <f>IFERROR(__xludf.DUMMYFUNCTION("GOOGLETRANSLATE(D243, ""en"", ""hi"")"),"ए) लचीलापन")</f>
        <v>ए) लचीलापन</v>
      </c>
    </row>
    <row r="244" ht="22.5" customHeight="1">
      <c r="A244" s="2">
        <v>243.0</v>
      </c>
      <c r="B244" s="3" t="s">
        <v>10654</v>
      </c>
      <c r="C244" s="3" t="s">
        <v>10655</v>
      </c>
      <c r="D244" s="3" t="s">
        <v>10656</v>
      </c>
      <c r="F244" s="5" t="str">
        <f>IFERROR(__xludf.DUMMYFUNCTION("GOOGLETRANSLATE(A244, ""en"", ""hi"")"),"243")</f>
        <v>243</v>
      </c>
      <c r="G244" s="5" t="str">
        <f>IFERROR(__xludf.DUMMYFUNCTION("GOOGLETRANSLATE(B244, ""en"", ""hi"")"),"मलखंभ कलाकार कठिन गतिविधियों को करने में तो माहिर होते हैं, लेकिन अपनी कला में आत्मविश्वास की कमी होती है। उन्हें किस पर काम करना चाहिए?")</f>
        <v>मलखंभ कलाकार कठिन गतिविधियों को करने में तो माहिर होते हैं, लेकिन अपनी कला में आत्मविश्वास की कमी होती है। उन्हें किस पर काम करना चाहिए?</v>
      </c>
      <c r="H244" s="5" t="str">
        <f>IFERROR(__xludf.DUMMYFUNCTION("GOOGLETRANSLATE(C244, ""en"", ""hi"")"),"ए) प्रदर्शन आत्मविश्वास बढ़ाना, बी) आसान चालें जोड़ना, सी) नियमित लंबाई बढ़ाना, डी) संतुलन अभ्यास पर ध्यान केंद्रित करना")</f>
        <v>ए) प्रदर्शन आत्मविश्वास बढ़ाना, बी) आसान चालें जोड़ना, सी) नियमित लंबाई बढ़ाना, डी) संतुलन अभ्यास पर ध्यान केंद्रित करना</v>
      </c>
      <c r="I244" s="5" t="str">
        <f>IFERROR(__xludf.DUMMYFUNCTION("GOOGLETRANSLATE(D244, ""en"", ""hi"")"),"A) प्रदर्शन आत्मविश्वास को बढ़ावा देना")</f>
        <v>A) प्रदर्शन आत्मविश्वास को बढ़ावा देना</v>
      </c>
    </row>
    <row r="245" ht="22.5" customHeight="1">
      <c r="A245" s="2">
        <v>244.0</v>
      </c>
      <c r="B245" s="3" t="s">
        <v>10657</v>
      </c>
      <c r="C245" s="3" t="s">
        <v>10658</v>
      </c>
      <c r="D245" s="3" t="s">
        <v>10440</v>
      </c>
      <c r="F245" s="5" t="str">
        <f>IFERROR(__xludf.DUMMYFUNCTION("GOOGLETRANSLATE(A245, ""en"", ""hi"")"),"244")</f>
        <v>244</v>
      </c>
      <c r="G245" s="5" t="str">
        <f>IFERROR(__xludf.DUMMYFUNCTION("GOOGLETRANSLATE(B245, ""en"", ""hi"")"),"अभ्यास के दौरान, एक एथलीट लचीलेपन पर आधारित चालों में तो महारत हासिल कर लेता है, लेकिन ताकत पर आधारित चालें करने में उसे दिक्कत होती है। वे किस पर ध्यान केंद्रित कर सकते हैं?")</f>
        <v>अभ्यास के दौरान, एक एथलीट लचीलेपन पर आधारित चालों में तो महारत हासिल कर लेता है, लेकिन ताकत पर आधारित चालें करने में उसे दिक्कत होती है। वे किस पर ध्यान केंद्रित कर सकते हैं?</v>
      </c>
      <c r="H245" s="5" t="str">
        <f>IFERROR(__xludf.DUMMYFUNCTION("GOOGLETRANSLATE(C245, ""en"", ""hi"")"),"ए) शक्ति प्रशिक्षण, बी) लचीलेपन के व्यायामों को बढ़ाना, सी) नियमित जटिलता को कम करना, डी) अधिक स्थिर मुद्राएँ जोड़ना")</f>
        <v>ए) शक्ति प्रशिक्षण, बी) लचीलेपन के व्यायामों को बढ़ाना, सी) नियमित जटिलता को कम करना, डी) अधिक स्थिर मुद्राएँ जोड़ना</v>
      </c>
      <c r="I245" s="5" t="str">
        <f>IFERROR(__xludf.DUMMYFUNCTION("GOOGLETRANSLATE(D245, ""en"", ""hi"")"),"ए) शक्ति प्रशिक्षण")</f>
        <v>ए) शक्ति प्रशिक्षण</v>
      </c>
    </row>
    <row r="246" ht="22.5" customHeight="1">
      <c r="A246" s="2">
        <v>245.0</v>
      </c>
      <c r="B246" s="3" t="s">
        <v>10659</v>
      </c>
      <c r="C246" s="3" t="s">
        <v>10660</v>
      </c>
      <c r="D246" s="3" t="s">
        <v>10661</v>
      </c>
      <c r="F246" s="5" t="str">
        <f>IFERROR(__xludf.DUMMYFUNCTION("GOOGLETRANSLATE(A246, ""en"", ""hi"")"),"245")</f>
        <v>245</v>
      </c>
      <c r="G246" s="5" t="str">
        <f>IFERROR(__xludf.DUMMYFUNCTION("GOOGLETRANSLATE(B246, ""en"", ""hi"")"),"एक मलखम्ब एथलीट एक बेहतरीन अभ्यास कर रहा है, लेकिन उसे अपने ऊपरी शरीर के समन्वय में सुधार करने की सलाह दी जाती है। उन्हें किस पर ध्यान केंद्रित करना चाहिए?")</f>
        <v>एक मलखम्ब एथलीट एक बेहतरीन अभ्यास कर रहा है, लेकिन उसे अपने ऊपरी शरीर के समन्वय में सुधार करने की सलाह दी जाती है। उन्हें किस पर ध्यान केंद्रित करना चाहिए?</v>
      </c>
      <c r="H246" s="5" t="str">
        <f>IFERROR(__xludf.DUMMYFUNCTION("GOOGLETRANSLATE(C246, ""en"", ""hi"")"),"ए) ऊपरी शरीर का समन्वय, बी) नियमित गति में वृद्धि, सी) अधिक शक्ति-आधारित आसन जोड़ना, डी) लचीलापन बढ़ाना")</f>
        <v>ए) ऊपरी शरीर का समन्वय, बी) नियमित गति में वृद्धि, सी) अधिक शक्ति-आधारित आसन जोड़ना, डी) लचीलापन बढ़ाना</v>
      </c>
      <c r="I246" s="5" t="str">
        <f>IFERROR(__xludf.DUMMYFUNCTION("GOOGLETRANSLATE(D246, ""en"", ""hi"")"),"A) ऊपरी शरीर का समन्वय")</f>
        <v>A) ऊपरी शरीर का समन्वय</v>
      </c>
    </row>
    <row r="247" ht="22.5" customHeight="1">
      <c r="A247" s="2">
        <v>246.0</v>
      </c>
      <c r="B247" s="3" t="s">
        <v>10662</v>
      </c>
      <c r="C247" s="3" t="s">
        <v>10663</v>
      </c>
      <c r="D247" s="3" t="s">
        <v>10664</v>
      </c>
      <c r="F247" s="5" t="str">
        <f>IFERROR(__xludf.DUMMYFUNCTION("GOOGLETRANSLATE(A247, ""en"", ""hi"")"),"246")</f>
        <v>246</v>
      </c>
      <c r="G247" s="5" t="str">
        <f>IFERROR(__xludf.DUMMYFUNCTION("GOOGLETRANSLATE(B247, ""en"", ""hi"")"),"मलखम्ब एथलीट अपने लचीलेपन के लिए जाने जाते हैं, लेकिन शक्ति-आधारित मुद्राओं को लंबे समय तक बनाए रखने में उन्हें कठिनाई होती है। प्रदर्शन के दौरान, जजों को उनकी यह कमज़ोरी नज़र आती है। उन्हें किसमें सुधार करने पर ध्यान देना चाहिए?")</f>
        <v>मलखम्ब एथलीट अपने लचीलेपन के लिए जाने जाते हैं, लेकिन शक्ति-आधारित मुद्राओं को लंबे समय तक बनाए रखने में उन्हें कठिनाई होती है। प्रदर्शन के दौरान, जजों को उनकी यह कमज़ोरी नज़र आती है। उन्हें किसमें सुधार करने पर ध्यान देना चाहिए?</v>
      </c>
      <c r="H247" s="5" t="str">
        <f>IFERROR(__xludf.DUMMYFUNCTION("GOOGLETRANSLATE(C247, ""en"", ""hi"")"),"ए) शक्ति सहनशक्ति, बी) लचीलापन बढ़ाना, सी) अधिक संक्रमण जोड़ना, डी) दिनचर्या की अवधि कम करना")</f>
        <v>ए) शक्ति सहनशक्ति, बी) लचीलापन बढ़ाना, सी) अधिक संक्रमण जोड़ना, डी) दिनचर्या की अवधि कम करना</v>
      </c>
      <c r="I247" s="5" t="str">
        <f>IFERROR(__xludf.DUMMYFUNCTION("GOOGLETRANSLATE(D247, ""en"", ""hi"")"),"ए) शक्ति सहनशक्ति")</f>
        <v>ए) शक्ति सहनशक्ति</v>
      </c>
    </row>
    <row r="248" ht="22.5" customHeight="1">
      <c r="A248" s="2">
        <v>247.0</v>
      </c>
      <c r="B248" s="3" t="s">
        <v>10665</v>
      </c>
      <c r="C248" s="3" t="s">
        <v>10666</v>
      </c>
      <c r="D248" s="3" t="s">
        <v>10625</v>
      </c>
      <c r="F248" s="5" t="str">
        <f>IFERROR(__xludf.DUMMYFUNCTION("GOOGLETRANSLATE(A248, ""en"", ""hi"")"),"247")</f>
        <v>247</v>
      </c>
      <c r="G248" s="5" t="str">
        <f>IFERROR(__xludf.DUMMYFUNCTION("GOOGLETRANSLATE(B248, ""en"", ""hi"")"),"मलखंभ प्रतियोगिता के दौरान, एक एथलीट को एक हवाई मुद्रा से दूसरी हवाई मुद्रा में जाते समय संतुलन बनाए रखने में कठिनाई होती है। प्रशिक्षण के दौरान उन्हें किस पहलू पर ध्यान देना चाहिए?")</f>
        <v>मलखंभ प्रतियोगिता के दौरान, एक एथलीट को एक हवाई मुद्रा से दूसरी हवाई मुद्रा में जाते समय संतुलन बनाए रखने में कठिनाई होती है। प्रशिक्षण के दौरान उन्हें किस पहलू पर ध्यान देना चाहिए?</v>
      </c>
      <c r="H248" s="5" t="str">
        <f>IFERROR(__xludf.DUMMYFUNCTION("GOOGLETRANSLATE(C248, ""en"", ""hi"")"),"A) संक्रमण के दौरान संतुलन में सुधार, B) हवाई ताकत में वृद्धि, C) अधिक स्थैतिक पकड़ जोड़ना, D) संक्रमण की गति को कम करना")</f>
        <v>A) संक्रमण के दौरान संतुलन में सुधार, B) हवाई ताकत में वृद्धि, C) अधिक स्थैतिक पकड़ जोड़ना, D) संक्रमण की गति को कम करना</v>
      </c>
      <c r="I248" s="5" t="str">
        <f>IFERROR(__xludf.DUMMYFUNCTION("GOOGLETRANSLATE(D248, ""en"", ""hi"")"),"A) संक्रमण के दौरान संतुलन में सुधार")</f>
        <v>A) संक्रमण के दौरान संतुलन में सुधार</v>
      </c>
    </row>
    <row r="249" ht="22.5" customHeight="1">
      <c r="A249" s="2">
        <v>248.0</v>
      </c>
      <c r="B249" s="3" t="s">
        <v>10667</v>
      </c>
      <c r="C249" s="3" t="s">
        <v>10668</v>
      </c>
      <c r="D249" s="3" t="s">
        <v>10669</v>
      </c>
      <c r="F249" s="5" t="str">
        <f>IFERROR(__xludf.DUMMYFUNCTION("GOOGLETRANSLATE(A249, ""en"", ""hi"")"),"248")</f>
        <v>248</v>
      </c>
      <c r="G249" s="5" t="str">
        <f>IFERROR(__xludf.DUMMYFUNCTION("GOOGLETRANSLATE(B249, ""en"", ""hi"")"),"एक मलखंभ कलाकार अपने अभ्यास में उत्कृष्ट प्रदर्शन कर रहा है, लेकिन उसे स्थिर मुद्राओं के दौरान अपने पैरों की स्थिति पर ध्यान देने की आवश्यकता बताई गई है। उसे किस पर ध्यान केंद्रित करना चाहिए?")</f>
        <v>एक मलखंभ कलाकार अपने अभ्यास में उत्कृष्ट प्रदर्शन कर रहा है, लेकिन उसे स्थिर मुद्राओं के दौरान अपने पैरों की स्थिति पर ध्यान देने की आवश्यकता बताई गई है। उसे किस पर ध्यान केंद्रित करना चाहिए?</v>
      </c>
      <c r="H249" s="5" t="str">
        <f>IFERROR(__xludf.DUMMYFUNCTION("GOOGLETRANSLATE(C249, ""en"", ""hi"")"),"ए) पैर की स्थिति को परिष्कृत करना, बी) आसन की कठिनाई को बढ़ाना, सी) ऊपरी शरीर की ताकत में सुधार करना, डी) संक्रमण को तेज करना")</f>
        <v>ए) पैर की स्थिति को परिष्कृत करना, बी) आसन की कठिनाई को बढ़ाना, सी) ऊपरी शरीर की ताकत में सुधार करना, डी) संक्रमण को तेज करना</v>
      </c>
      <c r="I249" s="5" t="str">
        <f>IFERROR(__xludf.DUMMYFUNCTION("GOOGLETRANSLATE(D249, ""en"", ""hi"")"),"A) पैर की स्थिति को परिष्कृत करना")</f>
        <v>A) पैर की स्थिति को परिष्कृत करना</v>
      </c>
    </row>
    <row r="250" ht="22.5" customHeight="1">
      <c r="A250" s="2">
        <v>249.0</v>
      </c>
      <c r="B250" s="3" t="s">
        <v>10670</v>
      </c>
      <c r="C250" s="3" t="s">
        <v>10671</v>
      </c>
      <c r="D250" s="3" t="s">
        <v>10672</v>
      </c>
      <c r="F250" s="5" t="str">
        <f>IFERROR(__xludf.DUMMYFUNCTION("GOOGLETRANSLATE(A250, ""en"", ""hi"")"),"249")</f>
        <v>249</v>
      </c>
      <c r="G250" s="5" t="str">
        <f>IFERROR(__xludf.DUMMYFUNCTION("GOOGLETRANSLATE(B250, ""en"", ""hi"")"),"अभ्यास सत्र के दौरान, एक कलाकार का ट्रांज़िशन तो बहुत अच्छा होता है, लेकिन जटिल पावर मूव्स के दौरान उसका नियंत्रण कम होता है। उन्हें किसमें सुधार करने पर ध्यान देना चाहिए?")</f>
        <v>अभ्यास सत्र के दौरान, एक कलाकार का ट्रांज़िशन तो बहुत अच्छा होता है, लेकिन जटिल पावर मूव्स के दौरान उसका नियंत्रण कम होता है। उन्हें किसमें सुधार करने पर ध्यान देना चाहिए?</v>
      </c>
      <c r="H250" s="5" t="str">
        <f>IFERROR(__xludf.DUMMYFUNCTION("GOOGLETRANSLATE(C250, ""en"", ""hi"")"),"A) पावर मूव्स में नियंत्रण, B) संक्रमण की गति, C) लचीलेपन में वृद्धि, D) दिनचर्या को छोटा करना")</f>
        <v>A) पावर मूव्स में नियंत्रण, B) संक्रमण की गति, C) लचीलेपन में वृद्धि, D) दिनचर्या को छोटा करना</v>
      </c>
      <c r="I250" s="5" t="str">
        <f>IFERROR(__xludf.DUMMYFUNCTION("GOOGLETRANSLATE(D250, ""en"", ""hi"")"),"A) शक्ति चालों में नियंत्रण")</f>
        <v>A) शक्ति चालों में नियंत्रण</v>
      </c>
    </row>
    <row r="251" ht="22.5" customHeight="1">
      <c r="A251" s="2">
        <v>250.0</v>
      </c>
      <c r="B251" s="3" t="s">
        <v>10673</v>
      </c>
      <c r="C251" s="3" t="s">
        <v>10674</v>
      </c>
      <c r="D251" s="3" t="s">
        <v>10675</v>
      </c>
      <c r="F251" s="5" t="str">
        <f>IFERROR(__xludf.DUMMYFUNCTION("GOOGLETRANSLATE(A251, ""en"", ""hi"")"),"250")</f>
        <v>250</v>
      </c>
      <c r="G251" s="5" t="str">
        <f>IFERROR(__xludf.DUMMYFUNCTION("GOOGLETRANSLATE(B251, ""en"", ""hi"")"),"मलखम्ब कलाकार गतिशील मुद्राओं में तो निरंतर रहता है, लेकिन शक्ति-आधारित मुद्राओं के बीच सहज परिवर्तन करने में उसे कठिनाई होती है। उन्हें किस पर काम करना चाहिए?")</f>
        <v>मलखम्ब कलाकार गतिशील मुद्राओं में तो निरंतर रहता है, लेकिन शक्ति-आधारित मुद्राओं के बीच सहज परिवर्तन करने में उसे कठिनाई होती है। उन्हें किस पर काम करना चाहिए?</v>
      </c>
      <c r="H251" s="5" t="str">
        <f>IFERROR(__xludf.DUMMYFUNCTION("GOOGLETRANSLATE(C251, ""en"", ""hi"")"),"A) संक्रमण की तरलता में सुधार, B) अधिक स्थिर पोज़ जोड़ना, C) पोज़ की जटिलता को कम करना, D) नियमित गति में वृद्धि")</f>
        <v>A) संक्रमण की तरलता में सुधार, B) अधिक स्थिर पोज़ जोड़ना, C) पोज़ की जटिलता को कम करना, D) नियमित गति में वृद्धि</v>
      </c>
      <c r="I251" s="5" t="str">
        <f>IFERROR(__xludf.DUMMYFUNCTION("GOOGLETRANSLATE(D251, ""en"", ""hi"")"),"A) संक्रमण तरलता में सुधार")</f>
        <v>A) संक्रमण तरलता में सुधार</v>
      </c>
    </row>
    <row r="252" ht="22.5" customHeight="1">
      <c r="A252" s="2">
        <v>251.0</v>
      </c>
      <c r="B252" s="3" t="s">
        <v>10676</v>
      </c>
      <c r="C252" s="3" t="s">
        <v>10677</v>
      </c>
      <c r="D252" s="3" t="s">
        <v>10678</v>
      </c>
      <c r="F252" s="5" t="str">
        <f>IFERROR(__xludf.DUMMYFUNCTION("GOOGLETRANSLATE(A252, ""en"", ""hi"")"),"251")</f>
        <v>251</v>
      </c>
      <c r="G252" s="5" t="str">
        <f>IFERROR(__xludf.DUMMYFUNCTION("GOOGLETRANSLATE(B252, ""en"", ""hi"")"),"रस्सी पर मलखंभ के जटिल अभ्यास करते समय खिलाड़ी अक्सर अपनी पकड़ खो देते हैं। उन्हें किस क्षेत्र में सुधार करना चाहिए?")</f>
        <v>रस्सी पर मलखंभ के जटिल अभ्यास करते समय खिलाड़ी अक्सर अपनी पकड़ खो देते हैं। उन्हें किस क्षेत्र में सुधार करना चाहिए?</v>
      </c>
      <c r="H252" s="5" t="str">
        <f>IFERROR(__xludf.DUMMYFUNCTION("GOOGLETRANSLATE(C252, ""en"", ""hi"")"),"ए) पकड़ मजबूत करें, बी) लचीलेपन पर ध्यान केंद्रित करें, सी) मुद्रा की विविधता बढ़ाएं, डी) दिनचर्या की अवधि कम करें")</f>
        <v>ए) पकड़ मजबूत करें, बी) लचीलेपन पर ध्यान केंद्रित करें, सी) मुद्रा की विविधता बढ़ाएं, डी) दिनचर्या की अवधि कम करें</v>
      </c>
      <c r="I252" s="5" t="str">
        <f>IFERROR(__xludf.DUMMYFUNCTION("GOOGLETRANSLATE(D252, ""en"", ""hi"")"),"A) पकड़ मजबूत करें")</f>
        <v>A) पकड़ मजबूत करें</v>
      </c>
    </row>
    <row r="253" ht="22.5" customHeight="1">
      <c r="A253" s="2">
        <v>252.0</v>
      </c>
      <c r="B253" s="3" t="s">
        <v>10679</v>
      </c>
      <c r="C253" s="3" t="s">
        <v>10680</v>
      </c>
      <c r="D253" s="3" t="s">
        <v>10681</v>
      </c>
      <c r="F253" s="5" t="str">
        <f>IFERROR(__xludf.DUMMYFUNCTION("GOOGLETRANSLATE(A253, ""en"", ""hi"")"),"252")</f>
        <v>252</v>
      </c>
      <c r="G253" s="5" t="str">
        <f>IFERROR(__xludf.DUMMYFUNCTION("GOOGLETRANSLATE(B253, ""en"", ""hi"")"),"उच्च स्तरीय मलखंभ प्रतियोगिता के दौरान, किसी खिलाड़ी का प्रदर्शन तो बेहतरीन होता है, लेकिन दर्शकों के साथ जुड़ाव न होने के कारण उसकी आलोचना होती है। उनके प्रदर्शन में क्या सुधार किया जा सकता है?")</f>
        <v>उच्च स्तरीय मलखंभ प्रतियोगिता के दौरान, किसी खिलाड़ी का प्रदर्शन तो बेहतरीन होता है, लेकिन दर्शकों के साथ जुड़ाव न होने के कारण उसकी आलोचना होती है। उनके प्रदर्शन में क्या सुधार किया जा सकता है?</v>
      </c>
      <c r="H253" s="5" t="str">
        <f>IFERROR(__xludf.DUMMYFUNCTION("GOOGLETRANSLATE(C253, ""en"", ""hi"")"),"A) दर्शकों की सहभागिता बढ़ाना, B) अधिक कठिन चालें जोड़ना, C) दिनचर्या को छोटा करना, D) मुद्रा की जटिलता में सुधार करना")</f>
        <v>A) दर्शकों की सहभागिता बढ़ाना, B) अधिक कठिन चालें जोड़ना, C) दिनचर्या को छोटा करना, D) मुद्रा की जटिलता में सुधार करना</v>
      </c>
      <c r="I253" s="5" t="str">
        <f>IFERROR(__xludf.DUMMYFUNCTION("GOOGLETRANSLATE(D253, ""en"", ""hi"")"),"A) दर्शकों की सहभागिता बढ़ाना")</f>
        <v>A) दर्शकों की सहभागिता बढ़ाना</v>
      </c>
    </row>
    <row r="254" ht="22.5" customHeight="1">
      <c r="A254" s="2">
        <v>253.0</v>
      </c>
      <c r="B254" s="3" t="s">
        <v>10682</v>
      </c>
      <c r="C254" s="3" t="s">
        <v>10683</v>
      </c>
      <c r="D254" s="3" t="s">
        <v>10684</v>
      </c>
      <c r="F254" s="5" t="str">
        <f>IFERROR(__xludf.DUMMYFUNCTION("GOOGLETRANSLATE(A254, ""en"", ""hi"")"),"253")</f>
        <v>253</v>
      </c>
      <c r="G254" s="5" t="str">
        <f>IFERROR(__xludf.DUMMYFUNCTION("GOOGLETRANSLATE(B254, ""en"", ""hi"")"),"एक एथलीट का रूटीन तकनीकी रूप से मज़बूत होता है, लेकिन उसे पोल पर कुछ पोज़ को ऊँचे स्तर पर बनाए रखने में दिक्कत होती है। उसे किस पर काम करना चाहिए?")</f>
        <v>एक एथलीट का रूटीन तकनीकी रूप से मज़बूत होता है, लेकिन उसे पोल पर कुछ पोज़ को ऊँचे स्तर पर बनाए रखने में दिक्कत होती है। उसे किस पर काम करना चाहिए?</v>
      </c>
      <c r="H254" s="5" t="str">
        <f>IFERROR(__xludf.DUMMYFUNCTION("GOOGLETRANSLATE(C254, ""en"", ""hi"")"),"ए) कोर स्थिरता को मजबूत करें, बी) लचीलापन बढ़ाएं, सी) दिनचर्या को गति दें, डी) अधिक संक्रमण जोड़ें")</f>
        <v>ए) कोर स्थिरता को मजबूत करें, बी) लचीलापन बढ़ाएं, सी) दिनचर्या को गति दें, डी) अधिक संक्रमण जोड़ें</v>
      </c>
      <c r="I254" s="5" t="str">
        <f>IFERROR(__xludf.DUMMYFUNCTION("GOOGLETRANSLATE(D254, ""en"", ""hi"")"),"A) कोर स्थिरता को मजबूत करना")</f>
        <v>A) कोर स्थिरता को मजबूत करना</v>
      </c>
    </row>
    <row r="255" ht="22.5" customHeight="1">
      <c r="A255" s="2">
        <v>254.0</v>
      </c>
      <c r="B255" s="3" t="s">
        <v>10685</v>
      </c>
      <c r="C255" s="3" t="s">
        <v>10686</v>
      </c>
      <c r="D255" s="3" t="s">
        <v>10687</v>
      </c>
      <c r="F255" s="5" t="str">
        <f>IFERROR(__xludf.DUMMYFUNCTION("GOOGLETRANSLATE(A255, ""en"", ""hi"")"),"254")</f>
        <v>254</v>
      </c>
      <c r="G255" s="5" t="str">
        <f>IFERROR(__xludf.DUMMYFUNCTION("GOOGLETRANSLATE(B255, ""en"", ""hi"")"),"मलखंभ कलाकार अपनी गतिशील गतिविधियों के लिए प्रशंसित हैं, लेकिन इस अभ्यास के दौरान लचीलापन बनाए रखना उनके लिए चुनौतीपूर्ण होता है। उन्हें किस पर ध्यान केंद्रित करना चाहिए?")</f>
        <v>मलखंभ कलाकार अपनी गतिशील गतिविधियों के लिए प्रशंसित हैं, लेकिन इस अभ्यास के दौरान लचीलापन बनाए रखना उनके लिए चुनौतीपूर्ण होता है। उन्हें किस पर ध्यान केंद्रित करना चाहिए?</v>
      </c>
      <c r="H255" s="5" t="str">
        <f>IFERROR(__xludf.DUMMYFUNCTION("GOOGLETRANSLATE(C255, ""en"", ""hi"")"),"ए) गतिशील चालों के दौरान लचीलापन बढ़ाना, बी) शक्ति चालों को बढ़ाना, सी) नियमित जटिलता को कम करना, डी) अधिक स्थिर मुद्राएँ जोड़ना")</f>
        <v>ए) गतिशील चालों के दौरान लचीलापन बढ़ाना, बी) शक्ति चालों को बढ़ाना, सी) नियमित जटिलता को कम करना, डी) अधिक स्थिर मुद्राएँ जोड़ना</v>
      </c>
      <c r="I255" s="5" t="str">
        <f>IFERROR(__xludf.DUMMYFUNCTION("GOOGLETRANSLATE(D255, ""en"", ""hi"")"),"A) गतिशील चाल के दौरान लचीलापन बढ़ाना")</f>
        <v>A) गतिशील चाल के दौरान लचीलापन बढ़ाना</v>
      </c>
    </row>
    <row r="256" ht="22.5" customHeight="1">
      <c r="A256" s="2">
        <v>255.0</v>
      </c>
      <c r="B256" s="3" t="s">
        <v>10688</v>
      </c>
      <c r="C256" s="3" t="s">
        <v>10689</v>
      </c>
      <c r="D256" s="3" t="s">
        <v>10690</v>
      </c>
      <c r="F256" s="5" t="str">
        <f>IFERROR(__xludf.DUMMYFUNCTION("GOOGLETRANSLATE(A256, ""en"", ""hi"")"),"255")</f>
        <v>255</v>
      </c>
      <c r="G256" s="5" t="str">
        <f>IFERROR(__xludf.DUMMYFUNCTION("GOOGLETRANSLATE(B256, ""en"", ""hi"")"),"एक एथलीट जटिल चालों का एक क्रम करता है, लेकिन स्थिर पकड़ के दौरान पोल मलखंभ पर संतुलन बनाए रखने में उसे परेशानी होती है। उन्हें किस चीज़ को प्राथमिकता देनी चाहिए?")</f>
        <v>एक एथलीट जटिल चालों का एक क्रम करता है, लेकिन स्थिर पकड़ के दौरान पोल मलखंभ पर संतुलन बनाए रखने में उसे परेशानी होती है। उन्हें किस चीज़ को प्राथमिकता देनी चाहिए?</v>
      </c>
      <c r="H256" s="5" t="str">
        <f>IFERROR(__xludf.DUMMYFUNCTION("GOOGLETRANSLATE(C256, ""en"", ""hi"")"),"ए) स्थिर पकड़ के दौरान संतुलन पर ध्यान केंद्रित करें, बी) गतिशील चालों को बढ़ाएं, सी) संक्रमणों को गति दें, डी) दिनचर्या को छोटा करें")</f>
        <v>ए) स्थिर पकड़ के दौरान संतुलन पर ध्यान केंद्रित करें, बी) गतिशील चालों को बढ़ाएं, सी) संक्रमणों को गति दें, डी) दिनचर्या को छोटा करें</v>
      </c>
      <c r="I256" s="5" t="str">
        <f>IFERROR(__xludf.DUMMYFUNCTION("GOOGLETRANSLATE(D256, ""en"", ""hi"")"),"A) स्थिर पकड़ के दौरान संतुलन पर ध्यान केंद्रित करें")</f>
        <v>A) स्थिर पकड़ के दौरान संतुलन पर ध्यान केंद्रित करें</v>
      </c>
    </row>
    <row r="257" ht="22.5" customHeight="1">
      <c r="A257" s="2">
        <v>256.0</v>
      </c>
      <c r="B257" s="3" t="s">
        <v>10691</v>
      </c>
      <c r="C257" s="3" t="s">
        <v>10692</v>
      </c>
      <c r="D257" s="3" t="s">
        <v>10693</v>
      </c>
      <c r="F257" s="5" t="str">
        <f>IFERROR(__xludf.DUMMYFUNCTION("GOOGLETRANSLATE(A257, ""en"", ""hi"")"),"256")</f>
        <v>256</v>
      </c>
      <c r="G257" s="5" t="str">
        <f>IFERROR(__xludf.DUMMYFUNCTION("GOOGLETRANSLATE(B257, ""en"", ""hi"")"),"मलखंभ प्रदर्शन के दौरान, एथलीट सभी चालें तो बखूबी निभाता है, लेकिन पूरे अभ्यास के दौरान सहनशक्ति बनाए रखने में उसे संघर्ष करना पड़ता है। उन्हें किस पर काम करना चाहिए?")</f>
        <v>मलखंभ प्रदर्शन के दौरान, एथलीट सभी चालें तो बखूबी निभाता है, लेकिन पूरे अभ्यास के दौरान सहनशक्ति बनाए रखने में उसे संघर्ष करना पड़ता है। उन्हें किस पर काम करना चाहिए?</v>
      </c>
      <c r="H257" s="5" t="str">
        <f>IFERROR(__xludf.DUMMYFUNCTION("GOOGLETRANSLATE(C257, ""en"", ""hi"")"),"ए) सहनशक्ति में सुधार, बी) शक्ति प्रशिक्षण में वृद्धि, सी) अधिक लचीलेपन वाले व्यायाम जोड़ें, डी) नियमित लंबाई कम करें")</f>
        <v>ए) सहनशक्ति में सुधार, बी) शक्ति प्रशिक्षण में वृद्धि, सी) अधिक लचीलेपन वाले व्यायाम जोड़ें, डी) नियमित लंबाई कम करें</v>
      </c>
      <c r="I257" s="5" t="str">
        <f>IFERROR(__xludf.DUMMYFUNCTION("GOOGLETRANSLATE(D257, ""en"", ""hi"")"),"A) सहनशक्ति में सुधार")</f>
        <v>A) सहनशक्ति में सुधार</v>
      </c>
    </row>
    <row r="258" ht="22.5" customHeight="1">
      <c r="A258" s="2">
        <v>257.0</v>
      </c>
      <c r="B258" s="3" t="s">
        <v>10694</v>
      </c>
      <c r="C258" s="3" t="s">
        <v>10695</v>
      </c>
      <c r="D258" s="3" t="s">
        <v>10696</v>
      </c>
      <c r="F258" s="5" t="str">
        <f>IFERROR(__xludf.DUMMYFUNCTION("GOOGLETRANSLATE(A258, ""en"", ""hi"")"),"257")</f>
        <v>257</v>
      </c>
      <c r="G258" s="5" t="str">
        <f>IFERROR(__xludf.DUMMYFUNCTION("GOOGLETRANSLATE(B258, ""en"", ""hi"")"),"एक कलाकार को सलाह दी जाती है कि वह अपनी प्रस्तुति में रचनात्मकता बढ़ाए, क्योंकि उनका प्रदर्शन तो त्रुटिहीन होता है, लेकिन उसमें मौलिकता का अभाव होता है। उनकी प्रस्तुति को और बेहतर कैसे बनाया जा सकता है?")</f>
        <v>एक कलाकार को सलाह दी जाती है कि वह अपनी प्रस्तुति में रचनात्मकता बढ़ाए, क्योंकि उनका प्रदर्शन तो त्रुटिहीन होता है, लेकिन उसमें मौलिकता का अभाव होता है। उनकी प्रस्तुति को और बेहतर कैसे बनाया जा सकता है?</v>
      </c>
      <c r="H258" s="5" t="str">
        <f>IFERROR(__xludf.DUMMYFUNCTION("GOOGLETRANSLATE(C258, ""en"", ""hi"")"),"ए) अधिक रचनात्मक पोज़ जोड़ें, बी) संक्रमण की गति बढ़ाएँ, सी) पावर मूव्स पर ध्यान केंद्रित करें, डी) दिनचर्या को छोटा करें")</f>
        <v>ए) अधिक रचनात्मक पोज़ जोड़ें, बी) संक्रमण की गति बढ़ाएँ, सी) पावर मूव्स पर ध्यान केंद्रित करें, डी) दिनचर्या को छोटा करें</v>
      </c>
      <c r="I258" s="5" t="str">
        <f>IFERROR(__xludf.DUMMYFUNCTION("GOOGLETRANSLATE(D258, ""en"", ""hi"")"),"A) अधिक रचनात्मक पोज़ जोड़ें")</f>
        <v>A) अधिक रचनात्मक पोज़ जोड़ें</v>
      </c>
    </row>
    <row r="259" ht="22.5" customHeight="1">
      <c r="A259" s="2">
        <v>258.0</v>
      </c>
      <c r="B259" s="3" t="s">
        <v>10697</v>
      </c>
      <c r="C259" s="3" t="s">
        <v>10698</v>
      </c>
      <c r="D259" s="3" t="s">
        <v>10699</v>
      </c>
      <c r="F259" s="5" t="str">
        <f>IFERROR(__xludf.DUMMYFUNCTION("GOOGLETRANSLATE(A259, ""en"", ""hi"")"),"258")</f>
        <v>258</v>
      </c>
      <c r="G259" s="5" t="str">
        <f>IFERROR(__xludf.DUMMYFUNCTION("GOOGLETRANSLATE(B259, ""en"", ""hi"")"),"एक एथलीट अपनी ताकत के लिए जाना जाता है, लेकिन रस्सी मलखंभ पर बदलाव के दौरान अपनी गतिविधियों में समन्वय बनाने में उसे दिक्कत होती है। उन्हें किसमें सुधार करना चाहिए?")</f>
        <v>एक एथलीट अपनी ताकत के लिए जाना जाता है, लेकिन रस्सी मलखंभ पर बदलाव के दौरान अपनी गतिविधियों में समन्वय बनाने में उसे दिक्कत होती है। उन्हें किसमें सुधार करना चाहिए?</v>
      </c>
      <c r="H259" s="5" t="str">
        <f>IFERROR(__xludf.DUMMYFUNCTION("GOOGLETRANSLATE(C259, ""en"", ""hi"")"),"A) संक्रमण के दौरान समन्वय, B) लचीलापन बढ़ाना, C) अधिक स्थिर मुद्राएँ जोड़ना, D) दिनचर्या की अवधि कम करना")</f>
        <v>A) संक्रमण के दौरान समन्वय, B) लचीलापन बढ़ाना, C) अधिक स्थिर मुद्राएँ जोड़ना, D) दिनचर्या की अवधि कम करना</v>
      </c>
      <c r="I259" s="5" t="str">
        <f>IFERROR(__xludf.DUMMYFUNCTION("GOOGLETRANSLATE(D259, ""en"", ""hi"")"),"A) संक्रमण के दौरान समन्वय")</f>
        <v>A) संक्रमण के दौरान समन्वय</v>
      </c>
    </row>
    <row r="260" ht="22.5" customHeight="1">
      <c r="A260" s="2">
        <v>259.0</v>
      </c>
      <c r="B260" s="3" t="s">
        <v>10700</v>
      </c>
      <c r="C260" s="3" t="s">
        <v>10701</v>
      </c>
      <c r="D260" s="3" t="s">
        <v>10702</v>
      </c>
      <c r="F260" s="5" t="str">
        <f>IFERROR(__xludf.DUMMYFUNCTION("GOOGLETRANSLATE(A260, ""en"", ""hi"")"),"259")</f>
        <v>259</v>
      </c>
      <c r="G260" s="5" t="str">
        <f>IFERROR(__xludf.DUMMYFUNCTION("GOOGLETRANSLATE(B260, ""en"", ""hi"")"),"एक प्रतियोगिता के दौरान, मलखंभ कलाकार की हवाई कला की प्रशंसा की जाती है, लेकिन उसकी कमज़ोर लैंडिंग के लिए उसकी आलोचना की जाती है। उन्हें किसमें सुधार करने पर ध्यान देना चाहिए?")</f>
        <v>एक प्रतियोगिता के दौरान, मलखंभ कलाकार की हवाई कला की प्रशंसा की जाती है, लेकिन उसकी कमज़ोर लैंडिंग के लिए उसकी आलोचना की जाती है। उन्हें किसमें सुधार करने पर ध्यान देना चाहिए?</v>
      </c>
      <c r="H260" s="5" t="str">
        <f>IFERROR(__xludf.DUMMYFUNCTION("GOOGLETRANSLATE(C260, ""en"", ""hi"")"),"ए) नियंत्रित लैंडिंग पर ध्यान केंद्रित करें, बी) हवाई कठिनाई बढ़ाएं, सी) अधिक शक्ति-आधारित चालें जोड़ें, डी) दिनचर्या को लंबा करें")</f>
        <v>ए) नियंत्रित लैंडिंग पर ध्यान केंद्रित करें, बी) हवाई कठिनाई बढ़ाएं, सी) अधिक शक्ति-आधारित चालें जोड़ें, डी) दिनचर्या को लंबा करें</v>
      </c>
      <c r="I260" s="5" t="str">
        <f>IFERROR(__xludf.DUMMYFUNCTION("GOOGLETRANSLATE(D260, ""en"", ""hi"")"),"A) नियंत्रित लैंडिंग पर ध्यान केंद्रित करें")</f>
        <v>A) नियंत्रित लैंडिंग पर ध्यान केंद्रित करें</v>
      </c>
    </row>
    <row r="261" ht="22.5" customHeight="1">
      <c r="A261" s="2">
        <v>260.0</v>
      </c>
      <c r="B261" s="3" t="s">
        <v>10703</v>
      </c>
      <c r="C261" s="3" t="s">
        <v>10704</v>
      </c>
      <c r="D261" s="3" t="s">
        <v>10705</v>
      </c>
      <c r="F261" s="5" t="str">
        <f>IFERROR(__xludf.DUMMYFUNCTION("GOOGLETRANSLATE(A261, ""en"", ""hi"")"),"260")</f>
        <v>260</v>
      </c>
      <c r="G261" s="5" t="str">
        <f>IFERROR(__xludf.DUMMYFUNCTION("GOOGLETRANSLATE(B261, ""en"", ""hi"")"),"मलखम्ब एथलीट गतिशील मुद्राओं की एक श्रृंखला करता है, लेकिन उसे स्थिर मुद्राओं के दौरान अपनी मुद्रा सुधारने के लिए कहा जाता है। उन्हें किन चीज़ों पर काम करना चाहिए?")</f>
        <v>मलखम्ब एथलीट गतिशील मुद्राओं की एक श्रृंखला करता है, लेकिन उसे स्थिर मुद्राओं के दौरान अपनी मुद्रा सुधारने के लिए कहा जाता है। उन्हें किन चीज़ों पर काम करना चाहिए?</v>
      </c>
      <c r="H261" s="5" t="str">
        <f>IFERROR(__xludf.DUMMYFUNCTION("GOOGLETRANSLATE(C261, ""en"", ""hi"")"),"ए) स्थिर मुद्राओं के दौरान मुद्रा में सुधार, बी) अधिक गतिशील परिवर्तन जोड़ना, सी) लचीलेपन का प्रशिक्षण बढ़ाना, डी) मुद्रा की कठिनाई कम करना")</f>
        <v>ए) स्थिर मुद्राओं के दौरान मुद्रा में सुधार, बी) अधिक गतिशील परिवर्तन जोड़ना, सी) लचीलेपन का प्रशिक्षण बढ़ाना, डी) मुद्रा की कठिनाई कम करना</v>
      </c>
      <c r="I261" s="5" t="str">
        <f>IFERROR(__xludf.DUMMYFUNCTION("GOOGLETRANSLATE(D261, ""en"", ""hi"")"),"A) स्थिर मुद्रा के दौरान मुद्रा में सुधार")</f>
        <v>A) स्थिर मुद्रा के दौरान मुद्रा में सुधार</v>
      </c>
    </row>
    <row r="262" ht="22.5" customHeight="1">
      <c r="A262" s="2">
        <v>261.0</v>
      </c>
      <c r="B262" s="3" t="s">
        <v>10706</v>
      </c>
      <c r="C262" s="3" t="s">
        <v>10707</v>
      </c>
      <c r="D262" s="3" t="s">
        <v>10708</v>
      </c>
      <c r="F262" s="5" t="str">
        <f>IFERROR(__xludf.DUMMYFUNCTION("GOOGLETRANSLATE(A262, ""en"", ""hi"")"),"261")</f>
        <v>261</v>
      </c>
      <c r="G262" s="5" t="str">
        <f>IFERROR(__xludf.DUMMYFUNCTION("GOOGLETRANSLATE(B262, ""en"", ""hi"")"),"एक कलाकार गतिशील बदलावों में तो उत्कृष्ट है, लेकिन पोल पर मज़बूत पकड़ के दौरान अक्सर लड़खड़ा जाता है। वे किस पर काम कर सकते हैं?")</f>
        <v>एक कलाकार गतिशील बदलावों में तो उत्कृष्ट है, लेकिन पोल पर मज़बूत पकड़ के दौरान अक्सर लड़खड़ा जाता है। वे किस पर काम कर सकते हैं?</v>
      </c>
      <c r="H262" s="5" t="str">
        <f>IFERROR(__xludf.DUMMYFUNCTION("GOOGLETRANSLATE(C262, ""en"", ""hi"")"),"ए) स्थिर पकड़ के लिए ताकत बनाएं, बी) मुद्रा की जटिलता कम करें, सी) नियमित गति बढ़ाएं, डी) अधिक लचीलेपन-आधारित चालें जोड़ें")</f>
        <v>ए) स्थिर पकड़ के लिए ताकत बनाएं, बी) मुद्रा की जटिलता कम करें, सी) नियमित गति बढ़ाएं, डी) अधिक लचीलेपन-आधारित चालें जोड़ें</v>
      </c>
      <c r="I262" s="5" t="str">
        <f>IFERROR(__xludf.DUMMYFUNCTION("GOOGLETRANSLATE(D262, ""en"", ""hi"")"),"A) स्थैतिक पकड़ के लिए ताकत का निर्माण")</f>
        <v>A) स्थैतिक पकड़ के लिए ताकत का निर्माण</v>
      </c>
    </row>
    <row r="263" ht="22.5" customHeight="1">
      <c r="A263" s="2">
        <v>262.0</v>
      </c>
      <c r="B263" s="3" t="s">
        <v>10709</v>
      </c>
      <c r="C263" s="3" t="s">
        <v>10710</v>
      </c>
      <c r="D263" s="3" t="s">
        <v>10711</v>
      </c>
      <c r="F263" s="5" t="str">
        <f>IFERROR(__xludf.DUMMYFUNCTION("GOOGLETRANSLATE(A263, ""en"", ""hi"")"),"262")</f>
        <v>262</v>
      </c>
      <c r="G263" s="5" t="str">
        <f>IFERROR(__xludf.DUMMYFUNCTION("GOOGLETRANSLATE(B263, ""en"", ""hi"")"),"अभ्यास के दौरान, मलखम्ब एथलीट को तेज़ गति वाले आसनों के बीच बदलाव करते हुए पोल पर टिके रहने में कठिनाई होती है। उन्हें किस पर ध्यान केंद्रित करना चाहिए?")</f>
        <v>अभ्यास के दौरान, मलखम्ब एथलीट को तेज़ गति वाले आसनों के बीच बदलाव करते हुए पोल पर टिके रहने में कठिनाई होती है। उन्हें किस पर ध्यान केंद्रित करना चाहिए?</v>
      </c>
      <c r="H263" s="5" t="str">
        <f>IFERROR(__xludf.DUMMYFUNCTION("GOOGLETRANSLATE(C263, ""en"", ""hi"")"),"A) तीव्र बदलाव के दौरान पकड़ की शक्ति में सुधार, B) अधिक स्थिर मुद्राएं जोड़ना, C) लचीलापन बढ़ाना, D) नियमित अवधि कम करना")</f>
        <v>A) तीव्र बदलाव के दौरान पकड़ की शक्ति में सुधार, B) अधिक स्थिर मुद्राएं जोड़ना, C) लचीलापन बढ़ाना, D) नियमित अवधि कम करना</v>
      </c>
      <c r="I263" s="5" t="str">
        <f>IFERROR(__xludf.DUMMYFUNCTION("GOOGLETRANSLATE(D263, ""en"", ""hi"")"),"A) तेज़ बदलाव के दौरान पकड़ की शक्ति में सुधार")</f>
        <v>A) तेज़ बदलाव के दौरान पकड़ की शक्ति में सुधार</v>
      </c>
    </row>
    <row r="264" ht="22.5" customHeight="1">
      <c r="A264" s="2">
        <v>263.0</v>
      </c>
      <c r="B264" s="3" t="s">
        <v>10712</v>
      </c>
      <c r="C264" s="3" t="s">
        <v>10713</v>
      </c>
      <c r="D264" s="3" t="s">
        <v>10714</v>
      </c>
      <c r="F264" s="5" t="str">
        <f>IFERROR(__xludf.DUMMYFUNCTION("GOOGLETRANSLATE(A264, ""en"", ""hi"")"),"263")</f>
        <v>263</v>
      </c>
      <c r="G264" s="5" t="str">
        <f>IFERROR(__xludf.DUMMYFUNCTION("GOOGLETRANSLATE(B264, ""en"", ""hi"")"),"एक एथलीट मलखंभ रस्सी पर जटिल हवाई चालें करता है, लेकिन उतरते समय संतुलन बनाए रखने में कठिनाई महसूस करता है। उन्हें किसमें सुधार करना चाहिए?")</f>
        <v>एक एथलीट मलखंभ रस्सी पर जटिल हवाई चालें करता है, लेकिन उतरते समय संतुलन बनाए रखने में कठिनाई महसूस करता है। उन्हें किसमें सुधार करना चाहिए?</v>
      </c>
      <c r="H264" s="5" t="str">
        <f>IFERROR(__xludf.DUMMYFUNCTION("GOOGLETRANSLATE(C264, ""en"", ""hi"")"),"ए) लैंडिंग के दौरान संतुलन, बी) अधिक हवाई पोज़ जोड़ना, सी) नियमित गति बढ़ाना, डी) शक्ति प्रशिक्षण पर ध्यान केंद्रित करना")</f>
        <v>ए) लैंडिंग के दौरान संतुलन, बी) अधिक हवाई पोज़ जोड़ना, सी) नियमित गति बढ़ाना, डी) शक्ति प्रशिक्षण पर ध्यान केंद्रित करना</v>
      </c>
      <c r="I264" s="5" t="str">
        <f>IFERROR(__xludf.DUMMYFUNCTION("GOOGLETRANSLATE(D264, ""en"", ""hi"")"),"A) लैंडिंग के दौरान संतुलन")</f>
        <v>A) लैंडिंग के दौरान संतुलन</v>
      </c>
    </row>
    <row r="265" ht="22.5" customHeight="1">
      <c r="A265" s="2">
        <v>264.0</v>
      </c>
      <c r="B265" s="3" t="s">
        <v>10715</v>
      </c>
      <c r="C265" s="3" t="s">
        <v>10716</v>
      </c>
      <c r="D265" s="3" t="s">
        <v>10717</v>
      </c>
      <c r="F265" s="5" t="str">
        <f>IFERROR(__xludf.DUMMYFUNCTION("GOOGLETRANSLATE(A265, ""en"", ""hi"")"),"264")</f>
        <v>264</v>
      </c>
      <c r="G265" s="5" t="str">
        <f>IFERROR(__xludf.DUMMYFUNCTION("GOOGLETRANSLATE(B265, ""en"", ""hi"")"),"मलखम्ब कलाकार में असाधारण शक्ति होती है, लेकिन उनकी दिनचर्या में प्रवाह की कमी होती है, जिससे उनके परिवर्तन कठोर लगते हैं। उन्हें किस चीज़ को प्राथमिकता देनी चाहिए?")</f>
        <v>मलखम्ब कलाकार में असाधारण शक्ति होती है, लेकिन उनकी दिनचर्या में प्रवाह की कमी होती है, जिससे उनके परिवर्तन कठोर लगते हैं। उन्हें किस चीज़ को प्राथमिकता देनी चाहिए?</v>
      </c>
      <c r="H265" s="5" t="str">
        <f>IFERROR(__xludf.DUMMYFUNCTION("GOOGLETRANSLATE(C265, ""en"", ""hi"")"),"ए) तरल संक्रमण पर ध्यान केंद्रित करें, बी) अधिक शक्ति-आधारित चालें जोड़ें, सी) नियमित गति कम करें, डी) लचीलापन बढ़ाएं")</f>
        <v>ए) तरल संक्रमण पर ध्यान केंद्रित करें, बी) अधिक शक्ति-आधारित चालें जोड़ें, सी) नियमित गति कम करें, डी) लचीलापन बढ़ाएं</v>
      </c>
      <c r="I265" s="5" t="str">
        <f>IFERROR(__xludf.DUMMYFUNCTION("GOOGLETRANSLATE(D265, ""en"", ""hi"")"),"A) द्रव संक्रमण पर ध्यान केंद्रित करें")</f>
        <v>A) द्रव संक्रमण पर ध्यान केंद्रित करें</v>
      </c>
    </row>
    <row r="266" ht="22.5" customHeight="1">
      <c r="A266" s="2">
        <v>265.0</v>
      </c>
      <c r="B266" s="3" t="s">
        <v>10718</v>
      </c>
      <c r="C266" s="3" t="s">
        <v>10719</v>
      </c>
      <c r="D266" s="3" t="s">
        <v>10720</v>
      </c>
      <c r="F266" s="5" t="str">
        <f>IFERROR(__xludf.DUMMYFUNCTION("GOOGLETRANSLATE(A266, ""en"", ""hi"")"),"265")</f>
        <v>265</v>
      </c>
      <c r="G266" s="5" t="str">
        <f>IFERROR(__xludf.DUMMYFUNCTION("GOOGLETRANSLATE(B266, ""en"", ""hi"")"),"एक प्रतियोगिता के दौरान, एक मलखम्ब खिलाड़ी एक बेहतरीन प्रदर्शन करता है, लेकिन पृष्ठभूमि संगीत की लय के साथ तालमेल बिठाने में असफल रहता है। उनके प्रदर्शन को कैसे बेहतर बनाया जा सकता है?")</f>
        <v>एक प्रतियोगिता के दौरान, एक मलखम्ब खिलाड़ी एक बेहतरीन प्रदर्शन करता है, लेकिन पृष्ठभूमि संगीत की लय के साथ तालमेल बिठाने में असफल रहता है। उनके प्रदर्शन को कैसे बेहतर बनाया जा सकता है?</v>
      </c>
      <c r="H266" s="5" t="str">
        <f>IFERROR(__xludf.DUMMYFUNCTION("GOOGLETRANSLATE(C266, ""en"", ""hi"")"),"ए) संगीत के साथ गतिविधियों को सिंक्रनाइज़ करें, बी) अधिक शक्ति-आधारित चालें जोड़ें, सी) दिनचर्या को गति दें, डी) लचीलापन बढ़ाएं")</f>
        <v>ए) संगीत के साथ गतिविधियों को सिंक्रनाइज़ करें, बी) अधिक शक्ति-आधारित चालें जोड़ें, सी) दिनचर्या को गति दें, डी) लचीलापन बढ़ाएं</v>
      </c>
      <c r="I266" s="5" t="str">
        <f>IFERROR(__xludf.DUMMYFUNCTION("GOOGLETRANSLATE(D266, ""en"", ""hi"")"),"A) संगीत के साथ गतिविधियों को सिंक्रनाइज़ करें")</f>
        <v>A) संगीत के साथ गतिविधियों को सिंक्रनाइज़ करें</v>
      </c>
    </row>
    <row r="267" ht="22.5" customHeight="1">
      <c r="A267" s="2">
        <v>266.0</v>
      </c>
      <c r="B267" s="3" t="s">
        <v>10721</v>
      </c>
      <c r="C267" s="3" t="s">
        <v>10722</v>
      </c>
      <c r="D267" s="3" t="s">
        <v>10723</v>
      </c>
      <c r="F267" s="5" t="str">
        <f>IFERROR(__xludf.DUMMYFUNCTION("GOOGLETRANSLATE(A267, ""en"", ""hi"")"),"266")</f>
        <v>266</v>
      </c>
      <c r="G267" s="5" t="str">
        <f>IFERROR(__xludf.DUMMYFUNCTION("GOOGLETRANSLATE(B267, ""en"", ""hi"")"),"एक एथलीट पोल पर स्थिर मुद्राओं में तो उत्कृष्ट है, लेकिन हवाई संक्रमण में उसकी ताकत कम है। उसे किसमें सुधार करने पर ध्यान केंद्रित करना चाहिए?")</f>
        <v>एक एथलीट पोल पर स्थिर मुद्राओं में तो उत्कृष्ट है, लेकिन हवाई संक्रमण में उसकी ताकत कम है। उसे किसमें सुधार करने पर ध्यान केंद्रित करना चाहिए?</v>
      </c>
      <c r="H267" s="5" t="str">
        <f>IFERROR(__xludf.DUMMYFUNCTION("GOOGLETRANSLATE(C267, ""en"", ""hi"")"),"ए) हवाई संक्रमण के दौरान ताकत, बी) स्थिर मुद्रा की कठिनाई में वृद्धि, सी) दिनचर्या को छोटा करना, डी) गतिशील चाल को कम करना")</f>
        <v>ए) हवाई संक्रमण के दौरान ताकत, बी) स्थिर मुद्रा की कठिनाई में वृद्धि, सी) दिनचर्या को छोटा करना, डी) गतिशील चाल को कम करना</v>
      </c>
      <c r="I267" s="5" t="str">
        <f>IFERROR(__xludf.DUMMYFUNCTION("GOOGLETRANSLATE(D267, ""en"", ""hi"")"),"ए) हवाई संक्रमण के दौरान ताकत")</f>
        <v>ए) हवाई संक्रमण के दौरान ताकत</v>
      </c>
    </row>
    <row r="268" ht="22.5" customHeight="1">
      <c r="A268" s="2">
        <v>267.0</v>
      </c>
      <c r="B268" s="3" t="s">
        <v>10724</v>
      </c>
      <c r="C268" s="3" t="s">
        <v>10725</v>
      </c>
      <c r="D268" s="3" t="s">
        <v>10726</v>
      </c>
      <c r="F268" s="5" t="str">
        <f>IFERROR(__xludf.DUMMYFUNCTION("GOOGLETRANSLATE(A268, ""en"", ""hi"")"),"267")</f>
        <v>267</v>
      </c>
      <c r="G268" s="5" t="str">
        <f>IFERROR(__xludf.DUMMYFUNCTION("GOOGLETRANSLATE(B268, ""en"", ""hi"")"),"मलखम्ब कलाकार जटिल मुद्राएँ करने में सक्षम होता है, लेकिन प्रतियोगिता के दौरान अक्सर उसे बदलाव के समय को लेकर दिक्कत होती है। उन्हें किस पर काम करना चाहिए?")</f>
        <v>मलखम्ब कलाकार जटिल मुद्राएँ करने में सक्षम होता है, लेकिन प्रतियोगिता के दौरान अक्सर उसे बदलाव के समय को लेकर दिक्कत होती है। उन्हें किस पर काम करना चाहिए?</v>
      </c>
      <c r="H268" s="5" t="str">
        <f>IFERROR(__xludf.DUMMYFUNCTION("GOOGLETRANSLATE(C268, ""en"", ""hi"")"),"A) संक्रमण के समय में सुधार, B) शक्ति प्रशिक्षण में वृद्धि, C) आसन की कठिनाई को कम करना, D) अधिक स्थिर पकड़ जोड़ना")</f>
        <v>A) संक्रमण के समय में सुधार, B) शक्ति प्रशिक्षण में वृद्धि, C) आसन की कठिनाई को कम करना, D) अधिक स्थिर पकड़ जोड़ना</v>
      </c>
      <c r="I268" s="5" t="str">
        <f>IFERROR(__xludf.DUMMYFUNCTION("GOOGLETRANSLATE(D268, ""en"", ""hi"")"),"A) संक्रमण के समय में सुधार")</f>
        <v>A) संक्रमण के समय में सुधार</v>
      </c>
    </row>
    <row r="269" ht="22.5" customHeight="1">
      <c r="A269" s="2">
        <v>268.0</v>
      </c>
      <c r="B269" s="3" t="s">
        <v>10727</v>
      </c>
      <c r="C269" s="3" t="s">
        <v>10728</v>
      </c>
      <c r="D269" s="3" t="s">
        <v>10729</v>
      </c>
      <c r="F269" s="5" t="str">
        <f>IFERROR(__xludf.DUMMYFUNCTION("GOOGLETRANSLATE(A269, ""en"", ""hi"")"),"268")</f>
        <v>268</v>
      </c>
      <c r="G269" s="5" t="str">
        <f>IFERROR(__xludf.DUMMYFUNCTION("GOOGLETRANSLATE(B269, ""en"", ""hi"")"),"अभ्यास के दौरान, एक एथलीट पावर मूव्स में तो कुशल होता है, लेकिन धीमे हिस्सों में संतुलन बनाए रखने में उसे दिक्कत होती है। उन्हें किस पर ध्यान केंद्रित करना चाहिए?")</f>
        <v>अभ्यास के दौरान, एक एथलीट पावर मूव्स में तो कुशल होता है, लेकिन धीमे हिस्सों में संतुलन बनाए रखने में उसे दिक्कत होती है। उन्हें किस पर ध्यान केंद्रित करना चाहिए?</v>
      </c>
      <c r="H269" s="5" t="str">
        <f>IFERROR(__xludf.DUMMYFUNCTION("GOOGLETRANSLATE(C269, ""en"", ""hi"")"),"ए) धीमे वर्गों के दौरान संतुलन, बी) अधिक गतिशील चालें जोड़ें, सी) शक्ति अभ्यास बढ़ाएं, डी) दिनचर्या को छोटा करें")</f>
        <v>ए) धीमे वर्गों के दौरान संतुलन, बी) अधिक गतिशील चालें जोड़ें, सी) शक्ति अभ्यास बढ़ाएं, डी) दिनचर्या को छोटा करें</v>
      </c>
      <c r="I269" s="5" t="str">
        <f>IFERROR(__xludf.DUMMYFUNCTION("GOOGLETRANSLATE(D269, ""en"", ""hi"")"),"A) धीमे खंडों के दौरान संतुलन")</f>
        <v>A) धीमे खंडों के दौरान संतुलन</v>
      </c>
    </row>
    <row r="270" ht="22.5" customHeight="1">
      <c r="A270" s="2">
        <v>269.0</v>
      </c>
      <c r="B270" s="3" t="s">
        <v>10730</v>
      </c>
      <c r="C270" s="3" t="s">
        <v>10731</v>
      </c>
      <c r="D270" s="3" t="s">
        <v>10732</v>
      </c>
      <c r="F270" s="5" t="str">
        <f>IFERROR(__xludf.DUMMYFUNCTION("GOOGLETRANSLATE(A270, ""en"", ""hi"")"),"269")</f>
        <v>269</v>
      </c>
      <c r="G270" s="5" t="str">
        <f>IFERROR(__xludf.DUMMYFUNCTION("GOOGLETRANSLATE(B270, ""en"", ""hi"")"),"मलखम्ब एथलीट की दिनचर्या तेज़ होती है, लेकिन उन्हें कुछ निश्चित मुद्राओं को निर्धारित समय तक बनाए रखने में कठिनाई होती है। उन्हें किस पर ध्यान केंद्रित करना चाहिए?")</f>
        <v>मलखम्ब एथलीट की दिनचर्या तेज़ होती है, लेकिन उन्हें कुछ निश्चित मुद्राओं को निर्धारित समय तक बनाए रखने में कठिनाई होती है। उन्हें किस पर ध्यान केंद्रित करना चाहिए?</v>
      </c>
      <c r="H270" s="5" t="str">
        <f>IFERROR(__xludf.DUMMYFUNCTION("GOOGLETRANSLATE(C270, ""en"", ""hi"")"),"A) पोज़ को लंबे समय तक बनाए रखना, B) बदलावों को तेज़ करना, C) आसान पोज़ जोड़ना, D) नियमित जटिलता को कम करना")</f>
        <v>A) पोज़ को लंबे समय तक बनाए रखना, B) बदलावों को तेज़ करना, C) आसान पोज़ जोड़ना, D) नियमित जटिलता को कम करना</v>
      </c>
      <c r="I270" s="5" t="str">
        <f>IFERROR(__xludf.DUMMYFUNCTION("GOOGLETRANSLATE(D270, ""en"", ""hi"")"),"A) लंबे समय तक पोज़ धारण करना")</f>
        <v>A) लंबे समय तक पोज़ धारण करना</v>
      </c>
    </row>
    <row r="271" ht="22.5" customHeight="1">
      <c r="A271" s="2">
        <v>270.0</v>
      </c>
      <c r="B271" s="3" t="s">
        <v>10733</v>
      </c>
      <c r="C271" s="3" t="s">
        <v>10734</v>
      </c>
      <c r="D271" s="3" t="s">
        <v>10735</v>
      </c>
      <c r="F271" s="5" t="str">
        <f>IFERROR(__xludf.DUMMYFUNCTION("GOOGLETRANSLATE(A271, ""en"", ""hi"")"),"270")</f>
        <v>270</v>
      </c>
      <c r="G271" s="5" t="str">
        <f>IFERROR(__xludf.DUMMYFUNCTION("GOOGLETRANSLATE(B271, ""en"", ""hi"")"),"एक कलाकार को रस्सी मलखम्ब पर अपनी पकड़ मज़बूत करने में लगातार दिक्कत होती है, जिससे उसके हवाई करतबों पर असर पड़ता है। उसे किस चीज़ में सुधार करने पर ध्यान देना चाहिए?")</f>
        <v>एक कलाकार को रस्सी मलखम्ब पर अपनी पकड़ मज़बूत करने में लगातार दिक्कत होती है, जिससे उसके हवाई करतबों पर असर पड़ता है। उसे किस चीज़ में सुधार करने पर ध्यान देना चाहिए?</v>
      </c>
      <c r="H271" s="5" t="str">
        <f>IFERROR(__xludf.DUMMYFUNCTION("GOOGLETRANSLATE(C271, ""en"", ""hi"")"),"ए) पकड़ की ताकत, बी) लचीलापन, सी) स्थिर मुद्रा की अवधि, डी) संक्रमण की गति")</f>
        <v>ए) पकड़ की ताकत, बी) लचीलापन, सी) स्थिर मुद्रा की अवधि, डी) संक्रमण की गति</v>
      </c>
      <c r="I271" s="5" t="str">
        <f>IFERROR(__xludf.DUMMYFUNCTION("GOOGLETRANSLATE(D271, ""en"", ""hi"")"),"A) पकड़ की ताकत")</f>
        <v>A) पकड़ की ताकत</v>
      </c>
    </row>
    <row r="272" ht="22.5" customHeight="1">
      <c r="A272" s="2">
        <v>271.0</v>
      </c>
      <c r="B272" s="3" t="s">
        <v>10736</v>
      </c>
      <c r="C272" s="3" t="s">
        <v>10737</v>
      </c>
      <c r="D272" s="3" t="s">
        <v>10738</v>
      </c>
      <c r="F272" s="5" t="str">
        <f>IFERROR(__xludf.DUMMYFUNCTION("GOOGLETRANSLATE(A272, ""en"", ""hi"")"),"271")</f>
        <v>271</v>
      </c>
      <c r="G272" s="5" t="str">
        <f>IFERROR(__xludf.DUMMYFUNCTION("GOOGLETRANSLATE(B272, ""en"", ""hi"")"),"किसी प्रतियोगिता के दौरान, किसी खिलाड़ी की ताकत की तारीफ़ तो होती है, लेकिन बदलाव में उसकी कमज़ोरी की आलोचना भी होती है। उन्हें किसमें सुधार करना चाहिए?")</f>
        <v>किसी प्रतियोगिता के दौरान, किसी खिलाड़ी की ताकत की तारीफ़ तो होती है, लेकिन बदलाव में उसकी कमज़ोरी की आलोचना भी होती है। उन्हें किसमें सुधार करना चाहिए?</v>
      </c>
      <c r="H272" s="5" t="str">
        <f>IFERROR(__xludf.DUMMYFUNCTION("GOOGLETRANSLATE(C272, ""en"", ""hi"")"),"ए) संक्रमण में तरलता, बी) शक्ति-आधारित चालों में वृद्धि, सी) अधिक लचीलापन जोड़ना, डी) नियमित गति को कम करना")</f>
        <v>ए) संक्रमण में तरलता, बी) शक्ति-आधारित चालों में वृद्धि, सी) अधिक लचीलापन जोड़ना, डी) नियमित गति को कम करना</v>
      </c>
      <c r="I272" s="5" t="str">
        <f>IFERROR(__xludf.DUMMYFUNCTION("GOOGLETRANSLATE(D272, ""en"", ""hi"")"),"A) संक्रमण में तरलता")</f>
        <v>A) संक्रमण में तरलता</v>
      </c>
    </row>
    <row r="273" ht="22.5" customHeight="1">
      <c r="A273" s="2">
        <v>272.0</v>
      </c>
      <c r="B273" s="3" t="s">
        <v>10739</v>
      </c>
      <c r="C273" s="3" t="s">
        <v>10740</v>
      </c>
      <c r="D273" s="3" t="s">
        <v>10741</v>
      </c>
      <c r="F273" s="5" t="str">
        <f>IFERROR(__xludf.DUMMYFUNCTION("GOOGLETRANSLATE(A273, ""en"", ""hi"")"),"272")</f>
        <v>272</v>
      </c>
      <c r="G273" s="5" t="str">
        <f>IFERROR(__xludf.DUMMYFUNCTION("GOOGLETRANSLATE(B273, ""en"", ""hi"")"),"मलखम्ब एथलीट को जटिल शक्ति चालों के बीच संतुलन बनाए रखना मुश्किल लगता है। उन्हें किस पर ध्यान केंद्रित करना चाहिए?")</f>
        <v>मलखम्ब एथलीट को जटिल शक्ति चालों के बीच संतुलन बनाए रखना मुश्किल लगता है। उन्हें किस पर ध्यान केंद्रित करना चाहिए?</v>
      </c>
      <c r="H273" s="5" t="str">
        <f>IFERROR(__xludf.DUMMYFUNCTION("GOOGLETRANSLATE(C273, ""en"", ""hi"")"),"ए) शक्ति परिवर्तन के दौरान संतुलन में सुधार, बी) अधिक गतिशील चालें जोड़ना, सी) लचीलापन प्रशिक्षण बढ़ाना, डी) दिनचर्या को छोटा करना")</f>
        <v>ए) शक्ति परिवर्तन के दौरान संतुलन में सुधार, बी) अधिक गतिशील चालें जोड़ना, सी) लचीलापन प्रशिक्षण बढ़ाना, डी) दिनचर्या को छोटा करना</v>
      </c>
      <c r="I273" s="5" t="str">
        <f>IFERROR(__xludf.DUMMYFUNCTION("GOOGLETRANSLATE(D273, ""en"", ""hi"")"),"A) शक्ति परिवर्तन के दौरान संतुलन में सुधार")</f>
        <v>A) शक्ति परिवर्तन के दौरान संतुलन में सुधार</v>
      </c>
    </row>
    <row r="274" ht="22.5" customHeight="1">
      <c r="A274" s="2">
        <v>273.0</v>
      </c>
      <c r="B274" s="3" t="s">
        <v>10742</v>
      </c>
      <c r="C274" s="3" t="s">
        <v>10743</v>
      </c>
      <c r="D274" s="3" t="s">
        <v>10744</v>
      </c>
      <c r="F274" s="5" t="str">
        <f>IFERROR(__xludf.DUMMYFUNCTION("GOOGLETRANSLATE(A274, ""en"", ""hi"")"),"273")</f>
        <v>273</v>
      </c>
      <c r="G274" s="5" t="str">
        <f>IFERROR(__xludf.DUMMYFUNCTION("GOOGLETRANSLATE(B274, ""en"", ""hi"")"),"एक मलखम्ब एथलीट व्यक्तिगत मुद्राओं में तो अच्छा प्रदर्शन करता है, लेकिन लंबे अभ्यास के दौरान उसे निरंतरता बनाए रखने में कठिनाई होती है। उन्हें किसमें सुधार करने पर ध्यान केंद्रित करना चाहिए?")</f>
        <v>एक मलखम्ब एथलीट व्यक्तिगत मुद्राओं में तो अच्छा प्रदर्शन करता है, लेकिन लंबे अभ्यास के दौरान उसे निरंतरता बनाए रखने में कठिनाई होती है। उन्हें किसमें सुधार करने पर ध्यान केंद्रित करना चाहिए?</v>
      </c>
      <c r="H274" s="5" t="str">
        <f>IFERROR(__xludf.DUMMYFUNCTION("GOOGLETRANSLATE(C274, ""en"", ""hi"")"),"A) नियमित स्थिरता, B) आसन की कठिनाई, C) संक्रमण की गति, D) लचीलापन")</f>
        <v>A) नियमित स्थिरता, B) आसन की कठिनाई, C) संक्रमण की गति, D) लचीलापन</v>
      </c>
      <c r="I274" s="5" t="str">
        <f>IFERROR(__xludf.DUMMYFUNCTION("GOOGLETRANSLATE(D274, ""en"", ""hi"")"),"A) नियमित स्थिरता")</f>
        <v>A) नियमित स्थिरता</v>
      </c>
    </row>
    <row r="275" ht="22.5" customHeight="1">
      <c r="A275" s="2">
        <v>274.0</v>
      </c>
      <c r="B275" s="3" t="s">
        <v>10745</v>
      </c>
      <c r="C275" s="3" t="s">
        <v>10746</v>
      </c>
      <c r="D275" s="3" t="s">
        <v>10747</v>
      </c>
      <c r="F275" s="5" t="str">
        <f>IFERROR(__xludf.DUMMYFUNCTION("GOOGLETRANSLATE(A275, ""en"", ""hi"")"),"274")</f>
        <v>274</v>
      </c>
      <c r="G275" s="5" t="str">
        <f>IFERROR(__xludf.DUMMYFUNCTION("GOOGLETRANSLATE(B275, ""en"", ""hi"")"),"किसी प्रतियोगिता के दौरान, किसी खिलाड़ी की संगीत के साथ तालमेल न बिठा पाने के कारण आलोचना की जाती है। इस विषय पर ध्यान देने योग्य मुख्य बात क्या है?")</f>
        <v>किसी प्रतियोगिता के दौरान, किसी खिलाड़ी की संगीत के साथ तालमेल न बिठा पाने के कारण आलोचना की जाती है। इस विषय पर ध्यान देने योग्य मुख्य बात क्या है?</v>
      </c>
      <c r="H275" s="5" t="str">
        <f>IFERROR(__xludf.DUMMYFUNCTION("GOOGLETRANSLATE(C275, ""en"", ""hi"")"),"A) संगीत के साथ समन्वय, B) दिनचर्या की जटिलता में वृद्धि, C) अधिक स्थिर मुद्राएँ जोड़ना, D) लचीलेपन में सुधार")</f>
        <v>A) संगीत के साथ समन्वय, B) दिनचर्या की जटिलता में वृद्धि, C) अधिक स्थिर मुद्राएँ जोड़ना, D) लचीलेपन में सुधार</v>
      </c>
      <c r="I275" s="5" t="str">
        <f>IFERROR(__xludf.DUMMYFUNCTION("GOOGLETRANSLATE(D275, ""en"", ""hi"")"),"A) संगीत के साथ समन्वय")</f>
        <v>A) संगीत के साथ समन्वय</v>
      </c>
    </row>
    <row r="276" ht="22.5" customHeight="1">
      <c r="A276" s="2">
        <v>275.0</v>
      </c>
      <c r="B276" s="3" t="s">
        <v>10748</v>
      </c>
      <c r="C276" s="3" t="s">
        <v>10749</v>
      </c>
      <c r="D276" s="3" t="s">
        <v>10750</v>
      </c>
      <c r="F276" s="5" t="str">
        <f>IFERROR(__xludf.DUMMYFUNCTION("GOOGLETRANSLATE(A276, ""en"", ""hi"")"),"275")</f>
        <v>275</v>
      </c>
      <c r="G276" s="5" t="str">
        <f>IFERROR(__xludf.DUMMYFUNCTION("GOOGLETRANSLATE(B276, ""en"", ""hi"")"),"एक एथलीट शक्ति-आधारित मुद्राओं में तो उत्कृष्ट होता है, लेकिन हवाई चालों को सुचारू रूप से करना उसके लिए चुनौतीपूर्ण होता है। उन्हें किस पर काम करना चाहिए?")</f>
        <v>एक एथलीट शक्ति-आधारित मुद्राओं में तो उत्कृष्ट होता है, लेकिन हवाई चालों को सुचारू रूप से करना उसके लिए चुनौतीपूर्ण होता है। उन्हें किस पर काम करना चाहिए?</v>
      </c>
      <c r="H276" s="5" t="str">
        <f>IFERROR(__xludf.DUMMYFUNCTION("GOOGLETRANSLATE(C276, ""en"", ""hi"")"),"ए) हवाई संक्रमण, बी) शक्ति प्रशिक्षण, सी) लचीलापन अभ्यास, डी) नियमित जटिलता को कम करना")</f>
        <v>ए) हवाई संक्रमण, बी) शक्ति प्रशिक्षण, सी) लचीलापन अभ्यास, डी) नियमित जटिलता को कम करना</v>
      </c>
      <c r="I276" s="5" t="str">
        <f>IFERROR(__xludf.DUMMYFUNCTION("GOOGLETRANSLATE(D276, ""en"", ""hi"")"),"A) हवाई संक्रमण")</f>
        <v>A) हवाई संक्रमण</v>
      </c>
    </row>
    <row r="277" ht="22.5" customHeight="1">
      <c r="A277" s="2">
        <v>276.0</v>
      </c>
      <c r="B277" s="3" t="s">
        <v>10751</v>
      </c>
      <c r="C277" s="3" t="s">
        <v>10752</v>
      </c>
      <c r="D277" s="3" t="s">
        <v>10753</v>
      </c>
      <c r="F277" s="5" t="str">
        <f>IFERROR(__xludf.DUMMYFUNCTION("GOOGLETRANSLATE(A277, ""en"", ""hi"")"),"276")</f>
        <v>276</v>
      </c>
      <c r="G277" s="5" t="str">
        <f>IFERROR(__xludf.DUMMYFUNCTION("GOOGLETRANSLATE(B277, ""en"", ""hi"")"),"एक कलाकार का प्रदर्शन तकनीकी रूप से तो अच्छा है, लेकिन उसमें कलात्मक अभिव्यक्ति का अभाव है। अपने प्रदर्शन को बेहतर बनाने के लिए उन्हें किस पर ध्यान केंद्रित करना चाहिए?")</f>
        <v>एक कलाकार का प्रदर्शन तकनीकी रूप से तो अच्छा है, लेकिन उसमें कलात्मक अभिव्यक्ति का अभाव है। अपने प्रदर्शन को बेहतर बनाने के लिए उन्हें किस पर ध्यान केंद्रित करना चाहिए?</v>
      </c>
      <c r="H277" s="5" t="str">
        <f>IFERROR(__xludf.DUMMYFUNCTION("GOOGLETRANSLATE(C277, ""en"", ""hi"")"),"ए) कलात्मक अभिव्यक्ति, बी) अधिक जटिल चालें जोड़ना, सी) शक्ति प्रशिक्षण में वृद्धि, डी) दिनचर्या में तेजी लाना")</f>
        <v>ए) कलात्मक अभिव्यक्ति, बी) अधिक जटिल चालें जोड़ना, सी) शक्ति प्रशिक्षण में वृद्धि, डी) दिनचर्या में तेजी लाना</v>
      </c>
      <c r="I277" s="5" t="str">
        <f>IFERROR(__xludf.DUMMYFUNCTION("GOOGLETRANSLATE(D277, ""en"", ""hi"")"),"ए) कलात्मक अभिव्यक्ति")</f>
        <v>ए) कलात्मक अभिव्यक्ति</v>
      </c>
    </row>
    <row r="278" ht="22.5" customHeight="1">
      <c r="A278" s="2">
        <v>277.0</v>
      </c>
      <c r="B278" s="3" t="s">
        <v>10754</v>
      </c>
      <c r="C278" s="3" t="s">
        <v>10755</v>
      </c>
      <c r="D278" s="3" t="s">
        <v>10756</v>
      </c>
      <c r="F278" s="5" t="str">
        <f>IFERROR(__xludf.DUMMYFUNCTION("GOOGLETRANSLATE(A278, ""en"", ""hi"")"),"277")</f>
        <v>277</v>
      </c>
      <c r="G278" s="5" t="str">
        <f>IFERROR(__xludf.DUMMYFUNCTION("GOOGLETRANSLATE(B278, ""en"", ""hi"")"),"अभ्यास के दौरान, एक एथलीट अक्सर स्थिर मुद्रा से गतिशील मुद्रा में जाते समय संतुलन खो देता है। सुधार करने के लिए कौन सा पहलू महत्वपूर्ण है?")</f>
        <v>अभ्यास के दौरान, एक एथलीट अक्सर स्थिर मुद्रा से गतिशील मुद्रा में जाते समय संतुलन खो देता है। सुधार करने के लिए कौन सा पहलू महत्वपूर्ण है?</v>
      </c>
      <c r="H278" s="5" t="str">
        <f>IFERROR(__xludf.DUMMYFUNCTION("GOOGLETRANSLATE(C278, ""en"", ""hi"")"),"A) संक्रमण के दौरान संतुलन, B) स्थिर मुद्राओं में शक्ति, C) लचीलापन, D) संक्रमण की गति")</f>
        <v>A) संक्रमण के दौरान संतुलन, B) स्थिर मुद्राओं में शक्ति, C) लचीलापन, D) संक्रमण की गति</v>
      </c>
      <c r="I278" s="5" t="str">
        <f>IFERROR(__xludf.DUMMYFUNCTION("GOOGLETRANSLATE(D278, ""en"", ""hi"")"),"A) संक्रमण के दौरान संतुलन")</f>
        <v>A) संक्रमण के दौरान संतुलन</v>
      </c>
    </row>
    <row r="279" ht="22.5" customHeight="1">
      <c r="A279" s="2">
        <v>278.0</v>
      </c>
      <c r="B279" s="3" t="s">
        <v>10757</v>
      </c>
      <c r="C279" s="3" t="s">
        <v>10758</v>
      </c>
      <c r="D279" s="3" t="s">
        <v>10759</v>
      </c>
      <c r="F279" s="5" t="str">
        <f>IFERROR(__xludf.DUMMYFUNCTION("GOOGLETRANSLATE(A279, ""en"", ""hi"")"),"278")</f>
        <v>278</v>
      </c>
      <c r="G279" s="5" t="str">
        <f>IFERROR(__xludf.DUMMYFUNCTION("GOOGLETRANSLATE(B279, ""en"", ""hi"")"),"एक एथलीट गतिशील गतिविधियों में तो मज़बूत होता है, लेकिन स्थिर मुद्राओं में उसे कठिनाई होती है, जिनमें सहनशक्ति की ज़रूरत होती है। उन्हें किस पर ध्यान केंद्रित करना चाहिए?")</f>
        <v>एक एथलीट गतिशील गतिविधियों में तो मज़बूत होता है, लेकिन स्थिर मुद्राओं में उसे कठिनाई होती है, जिनमें सहनशक्ति की ज़रूरत होती है। उन्हें किस पर ध्यान केंद्रित करना चाहिए?</v>
      </c>
      <c r="H279" s="5" t="str">
        <f>IFERROR(__xludf.DUMMYFUNCTION("GOOGLETRANSLATE(C279, ""en"", ""hi"")"),"ए) स्थिर मुद्राओं में धीरज, बी) गतिशील चालों में वृद्धि, सी) लचीलेपन में सुधार, डी) दिनचर्या को छोटा करना")</f>
        <v>ए) स्थिर मुद्राओं में धीरज, बी) गतिशील चालों में वृद्धि, सी) लचीलेपन में सुधार, डी) दिनचर्या को छोटा करना</v>
      </c>
      <c r="I279" s="5" t="str">
        <f>IFERROR(__xludf.DUMMYFUNCTION("GOOGLETRANSLATE(D279, ""en"", ""hi"")"),"A) स्थिर मुद्राओं में धीरज")</f>
        <v>A) स्थिर मुद्राओं में धीरज</v>
      </c>
    </row>
    <row r="280" ht="22.5" customHeight="1">
      <c r="A280" s="2">
        <v>279.0</v>
      </c>
      <c r="B280" s="3" t="s">
        <v>10760</v>
      </c>
      <c r="C280" s="3" t="s">
        <v>10761</v>
      </c>
      <c r="D280" s="3" t="s">
        <v>10735</v>
      </c>
      <c r="F280" s="5" t="str">
        <f>IFERROR(__xludf.DUMMYFUNCTION("GOOGLETRANSLATE(A280, ""en"", ""hi"")"),"279")</f>
        <v>279</v>
      </c>
      <c r="G280" s="5" t="str">
        <f>IFERROR(__xludf.DUMMYFUNCTION("GOOGLETRANSLATE(B280, ""en"", ""hi"")"),"मलखंभ करने वालों की उनके संतुलन के लिए प्रशंसा की जाती है, लेकिन उन्हें अपनी पकड़ की मज़बूती पर भी काम करने की सलाह दी जाती है। उन्हें अपने प्रशिक्षण के किस पहलू को प्राथमिकता देनी चाहिए?")</f>
        <v>मलखंभ करने वालों की उनके संतुलन के लिए प्रशंसा की जाती है, लेकिन उन्हें अपनी पकड़ की मज़बूती पर भी काम करने की सलाह दी जाती है। उन्हें अपने प्रशिक्षण के किस पहलू को प्राथमिकता देनी चाहिए?</v>
      </c>
      <c r="H280" s="5" t="str">
        <f>IFERROR(__xludf.DUMMYFUNCTION("GOOGLETRANSLATE(C280, ""en"", ""hi"")"),"A) पकड़ की मजबूती, B) संतुलन, C) लचीलापन, D) नियमित गति")</f>
        <v>A) पकड़ की मजबूती, B) संतुलन, C) लचीलापन, D) नियमित गति</v>
      </c>
      <c r="I280" s="5" t="str">
        <f>IFERROR(__xludf.DUMMYFUNCTION("GOOGLETRANSLATE(D280, ""en"", ""hi"")"),"A) पकड़ की ताकत")</f>
        <v>A) पकड़ की ताकत</v>
      </c>
    </row>
    <row r="281" ht="22.5" customHeight="1">
      <c r="A281" s="2">
        <v>280.0</v>
      </c>
      <c r="B281" s="3" t="s">
        <v>10762</v>
      </c>
      <c r="C281" s="3" t="s">
        <v>10763</v>
      </c>
      <c r="D281" s="3" t="s">
        <v>10764</v>
      </c>
      <c r="F281" s="5" t="str">
        <f>IFERROR(__xludf.DUMMYFUNCTION("GOOGLETRANSLATE(A281, ""en"", ""hi"")"),"280")</f>
        <v>280</v>
      </c>
      <c r="G281" s="5" t="str">
        <f>IFERROR(__xludf.DUMMYFUNCTION("GOOGLETRANSLATE(B281, ""en"", ""hi"")"),"किसी प्रतियोगिता के दौरान, एक खिलाड़ी का अभ्यास अभ्यास जैसा तो लगता है, लेकिन उसमें सहजता का अभाव होता है। अपने प्रदर्शन को बेहतर बनाने के लिए उन्हें किन बातों पर ध्यान देना चाहिए?")</f>
        <v>किसी प्रतियोगिता के दौरान, एक खिलाड़ी का अभ्यास अभ्यास जैसा तो लगता है, लेकिन उसमें सहजता का अभाव होता है। अपने प्रदर्शन को बेहतर बनाने के लिए उन्हें किन बातों पर ध्यान देना चाहिए?</v>
      </c>
      <c r="H281" s="5" t="str">
        <f>IFERROR(__xludf.DUMMYFUNCTION("GOOGLETRANSLATE(C281, ""en"", ""hi"")"),"A) सहजता जोड़ना, B) दिनचर्या की जटिलता बढ़ाना, C) शक्ति प्रशिक्षण को बढ़ाना, D) दिनचर्या की लंबाई कम करना")</f>
        <v>A) सहजता जोड़ना, B) दिनचर्या की जटिलता बढ़ाना, C) शक्ति प्रशिक्षण को बढ़ाना, D) दिनचर्या की लंबाई कम करना</v>
      </c>
      <c r="I281" s="5" t="str">
        <f>IFERROR(__xludf.DUMMYFUNCTION("GOOGLETRANSLATE(D281, ""en"", ""hi"")"),"A) सहजता जोड़ना")</f>
        <v>A) सहजता जोड़ना</v>
      </c>
    </row>
    <row r="282" ht="22.5" customHeight="1">
      <c r="A282" s="2">
        <v>281.0</v>
      </c>
      <c r="B282" s="3" t="s">
        <v>10765</v>
      </c>
      <c r="C282" s="3" t="s">
        <v>10766</v>
      </c>
      <c r="D282" s="3" t="s">
        <v>10767</v>
      </c>
      <c r="F282" s="5" t="str">
        <f>IFERROR(__xludf.DUMMYFUNCTION("GOOGLETRANSLATE(A282, ""en"", ""hi"")"),"281")</f>
        <v>281</v>
      </c>
      <c r="G282" s="5" t="str">
        <f>IFERROR(__xludf.DUMMYFUNCTION("GOOGLETRANSLATE(B282, ""en"", ""hi"")"),"एक एथलीट जटिल हवाई चालें तो कर सकता है, लेकिन मुद्राओं के बीच सहज बदलाव करने में उसे दिक्कत होती है। उन्हें किसमें सुधार करने पर ध्यान केंद्रित करना चाहिए?")</f>
        <v>एक एथलीट जटिल हवाई चालें तो कर सकता है, लेकिन मुद्राओं के बीच सहज बदलाव करने में उसे दिक्कत होती है। उन्हें किसमें सुधार करने पर ध्यान केंद्रित करना चाहिए?</v>
      </c>
      <c r="H282" s="5" t="str">
        <f>IFERROR(__xludf.DUMMYFUNCTION("GOOGLETRANSLATE(C282, ""en"", ""hi"")"),"ए) तरल संक्रमण, बी) हवाई चाल में ताकत, सी) लचीलापन, डी) दिनचर्या को छोटा करना")</f>
        <v>ए) तरल संक्रमण, बी) हवाई चाल में ताकत, सी) लचीलापन, डी) दिनचर्या को छोटा करना</v>
      </c>
      <c r="I282" s="5" t="str">
        <f>IFERROR(__xludf.DUMMYFUNCTION("GOOGLETRANSLATE(D282, ""en"", ""hi"")"),"A) द्रव संक्रमण")</f>
        <v>A) द्रव संक्रमण</v>
      </c>
    </row>
    <row r="283" ht="22.5" customHeight="1">
      <c r="A283" s="2">
        <v>282.0</v>
      </c>
      <c r="B283" s="3" t="s">
        <v>10768</v>
      </c>
      <c r="C283" s="3" t="s">
        <v>10769</v>
      </c>
      <c r="D283" s="3" t="s">
        <v>10770</v>
      </c>
      <c r="F283" s="5" t="str">
        <f>IFERROR(__xludf.DUMMYFUNCTION("GOOGLETRANSLATE(A283, ""en"", ""hi"")"),"282")</f>
        <v>282</v>
      </c>
      <c r="G283" s="5" t="str">
        <f>IFERROR(__xludf.DUMMYFUNCTION("GOOGLETRANSLATE(B283, ""en"", ""hi"")"),"मलखम्ब कलाकार में बहुत ताकत होती है, लेकिन धीमे, नियंत्रित आंदोलनों के दौरान उसे अपनी लय बनाए रखने में कठिनाई होती है। उन्हें किस पर काम करना चाहिए?")</f>
        <v>मलखम्ब कलाकार में बहुत ताकत होती है, लेकिन धीमे, नियंत्रित आंदोलनों के दौरान उसे अपनी लय बनाए रखने में कठिनाई होती है। उन्हें किस पर काम करना चाहिए?</v>
      </c>
      <c r="H283" s="5" t="str">
        <f>IFERROR(__xludf.DUMMYFUNCTION("GOOGLETRANSLATE(C283, ""en"", ""hi"")"),"A) नियंत्रित गतिविधियों में अनुग्रह, B) शक्ति में वृद्धि, C) अधिक गतिशील चालें जोड़ना, D) नियमित जटिलता को कम करना")</f>
        <v>A) नियंत्रित गतिविधियों में अनुग्रह, B) शक्ति में वृद्धि, C) अधिक गतिशील चालें जोड़ना, D) नियमित जटिलता को कम करना</v>
      </c>
      <c r="I283" s="5" t="str">
        <f>IFERROR(__xludf.DUMMYFUNCTION("GOOGLETRANSLATE(D283, ""en"", ""hi"")"),"A) नियंत्रित गतिविधियों में अनुग्रह")</f>
        <v>A) नियंत्रित गतिविधियों में अनुग्रह</v>
      </c>
    </row>
    <row r="284" ht="22.5" customHeight="1">
      <c r="A284" s="2">
        <v>283.0</v>
      </c>
      <c r="B284" s="3" t="s">
        <v>10771</v>
      </c>
      <c r="C284" s="3" t="s">
        <v>10772</v>
      </c>
      <c r="D284" s="3" t="s">
        <v>10773</v>
      </c>
      <c r="F284" s="5" t="str">
        <f>IFERROR(__xludf.DUMMYFUNCTION("GOOGLETRANSLATE(A284, ""en"", ""hi"")"),"283")</f>
        <v>283</v>
      </c>
      <c r="G284" s="5" t="str">
        <f>IFERROR(__xludf.DUMMYFUNCTION("GOOGLETRANSLATE(B284, ""en"", ""hi"")"),"अभ्यास के दौरान, एक एथलीट की दिनचर्या में त्वरित बदलावों के दौरान सहजता का अभाव होता है। मुख्य रूप से किस क्षेत्र पर ध्यान देना चाहिए?")</f>
        <v>अभ्यास के दौरान, एक एथलीट की दिनचर्या में त्वरित बदलावों के दौरान सहजता का अभाव होता है। मुख्य रूप से किस क्षेत्र पर ध्यान देना चाहिए?</v>
      </c>
      <c r="H284" s="5" t="str">
        <f>IFERROR(__xludf.DUMMYFUNCTION("GOOGLETRANSLATE(C284, ""en"", ""hi"")"),"A) संक्रमण में सहजता, B) मुद्रा की कठिनाई में वृद्धि, C) पकड़ की ताकत में वृद्धि, D) लचीलेपन में सुधार")</f>
        <v>A) संक्रमण में सहजता, B) मुद्रा की कठिनाई में वृद्धि, C) पकड़ की ताकत में वृद्धि, D) लचीलेपन में सुधार</v>
      </c>
      <c r="I284" s="5" t="str">
        <f>IFERROR(__xludf.DUMMYFUNCTION("GOOGLETRANSLATE(D284, ""en"", ""hi"")"),"A) संक्रमण में सहजता")</f>
        <v>A) संक्रमण में सहजता</v>
      </c>
    </row>
    <row r="285" ht="22.5" customHeight="1">
      <c r="A285" s="2">
        <v>284.0</v>
      </c>
      <c r="B285" s="3" t="s">
        <v>10774</v>
      </c>
      <c r="C285" s="3" t="s">
        <v>10775</v>
      </c>
      <c r="D285" s="3" t="s">
        <v>10776</v>
      </c>
      <c r="F285" s="5" t="str">
        <f>IFERROR(__xludf.DUMMYFUNCTION("GOOGLETRANSLATE(A285, ""en"", ""hi"")"),"284")</f>
        <v>284</v>
      </c>
      <c r="G285" s="5" t="str">
        <f>IFERROR(__xludf.DUMMYFUNCTION("GOOGLETRANSLATE(B285, ""en"", ""hi"")"),"एक कलाकार को अपने प्रदर्शन की सुंदरता बढ़ाने की सलाह दी जाती है, लेकिन उसे पोज़ के दौरान संतुलन बनाए रखने में कठिनाई होती है। उसे किस पर ध्यान केंद्रित करना चाहिए?")</f>
        <v>एक कलाकार को अपने प्रदर्शन की सुंदरता बढ़ाने की सलाह दी जाती है, लेकिन उसे पोज़ के दौरान संतुलन बनाए रखने में कठिनाई होती है। उसे किस पर ध्यान केंद्रित करना चाहिए?</v>
      </c>
      <c r="H285" s="5" t="str">
        <f>IFERROR(__xludf.DUMMYFUNCTION("GOOGLETRANSLATE(C285, ""en"", ""hi"")"),"ए) आसन के दौरान संतुलन, बी) सौंदर्य को बढ़ाना, सी) अधिक शक्ति चाल जोड़ना, डी) दिनचर्या की अवधि को छोटा करना")</f>
        <v>ए) आसन के दौरान संतुलन, बी) सौंदर्य को बढ़ाना, सी) अधिक शक्ति चाल जोड़ना, डी) दिनचर्या की अवधि को छोटा करना</v>
      </c>
      <c r="I285" s="5" t="str">
        <f>IFERROR(__xludf.DUMMYFUNCTION("GOOGLETRANSLATE(D285, ""en"", ""hi"")"),"A) आसन के दौरान संतुलन")</f>
        <v>A) आसन के दौरान संतुलन</v>
      </c>
    </row>
    <row r="286" ht="22.5" customHeight="1">
      <c r="A286" s="2">
        <v>285.0</v>
      </c>
      <c r="B286" s="3" t="s">
        <v>10777</v>
      </c>
      <c r="C286" s="3" t="s">
        <v>10778</v>
      </c>
      <c r="D286" s="3" t="s">
        <v>10779</v>
      </c>
      <c r="F286" s="5" t="str">
        <f>IFERROR(__xludf.DUMMYFUNCTION("GOOGLETRANSLATE(A286, ""en"", ""hi"")"),"285")</f>
        <v>285</v>
      </c>
      <c r="G286" s="5" t="str">
        <f>IFERROR(__xludf.DUMMYFUNCTION("GOOGLETRANSLATE(B286, ""en"", ""hi"")"),"एक एथलीट की दिनचर्या में जटिल गतिविधियाँ शामिल होती हैं, लेकिन अंत में उनकी सहनशक्ति कमज़ोर पड़ जाती है। उन्हें किसमें सुधार करना चाहिए?")</f>
        <v>एक एथलीट की दिनचर्या में जटिल गतिविधियाँ शामिल होती हैं, लेकिन अंत में उनकी सहनशक्ति कमज़ोर पड़ जाती है। उन्हें किसमें सुधार करना चाहिए?</v>
      </c>
      <c r="H286" s="5" t="str">
        <f>IFERROR(__xludf.DUMMYFUNCTION("GOOGLETRANSLATE(C286, ""en"", ""hi"")"),"A) सहनशक्ति, B) गति जटिलता, C) लचीलापन, D) संक्रमण की गति")</f>
        <v>A) सहनशक्ति, B) गति जटिलता, C) लचीलापन, D) संक्रमण की गति</v>
      </c>
      <c r="I286" s="5" t="str">
        <f>IFERROR(__xludf.DUMMYFUNCTION("GOOGLETRANSLATE(D286, ""en"", ""hi"")"),"ए) धीरज")</f>
        <v>ए) धीरज</v>
      </c>
    </row>
    <row r="287" ht="22.5" customHeight="1">
      <c r="A287" s="2">
        <v>286.0</v>
      </c>
      <c r="B287" s="3" t="s">
        <v>10780</v>
      </c>
      <c r="C287" s="3" t="s">
        <v>10781</v>
      </c>
      <c r="D287" s="3" t="s">
        <v>10782</v>
      </c>
      <c r="F287" s="5" t="str">
        <f>IFERROR(__xludf.DUMMYFUNCTION("GOOGLETRANSLATE(A287, ""en"", ""hi"")"),"286")</f>
        <v>286</v>
      </c>
      <c r="G287" s="5" t="str">
        <f>IFERROR(__xludf.DUMMYFUNCTION("GOOGLETRANSLATE(B287, ""en"", ""hi"")"),"मलखंभ प्रदर्शन के दौरान, एक एथलीट अपनी चालें तो बखूबी निभाता है, लेकिन लय बनाए रखने में उसे दिक्कत होती है। उन्हें किस पर ध्यान केंद्रित करना चाहिए?")</f>
        <v>मलखंभ प्रदर्शन के दौरान, एक एथलीट अपनी चालें तो बखूबी निभाता है, लेकिन लय बनाए रखने में उसे दिक्कत होती है। उन्हें किस पर ध्यान केंद्रित करना चाहिए?</v>
      </c>
      <c r="H287" s="5" t="str">
        <f>IFERROR(__xludf.DUMMYFUNCTION("GOOGLETRANSLATE(C287, ""en"", ""hi"")"),"A) स्थिर लय बनाए रखना, B) चाल की कठिनाई बढ़ाना, C) अधिक संक्रमण जोड़ना, D) लचीलेपन में सुधार करना")</f>
        <v>A) स्थिर लय बनाए रखना, B) चाल की कठिनाई बढ़ाना, C) अधिक संक्रमण जोड़ना, D) लचीलेपन में सुधार करना</v>
      </c>
      <c r="I287" s="5" t="str">
        <f>IFERROR(__xludf.DUMMYFUNCTION("GOOGLETRANSLATE(D287, ""en"", ""hi"")"),"A) स्थिर लय बनाए रखना")</f>
        <v>A) स्थिर लय बनाए रखना</v>
      </c>
    </row>
    <row r="288" ht="22.5" customHeight="1">
      <c r="A288" s="2">
        <v>287.0</v>
      </c>
      <c r="B288" s="3" t="s">
        <v>10783</v>
      </c>
      <c r="C288" s="3" t="s">
        <v>10784</v>
      </c>
      <c r="D288" s="3" t="s">
        <v>10785</v>
      </c>
      <c r="F288" s="5" t="str">
        <f>IFERROR(__xludf.DUMMYFUNCTION("GOOGLETRANSLATE(A288, ""en"", ""hi"")"),"287")</f>
        <v>287</v>
      </c>
      <c r="G288" s="5" t="str">
        <f>IFERROR(__xludf.DUMMYFUNCTION("GOOGLETRANSLATE(B288, ""en"", ""hi"")"),"एक कलाकार अपनी ताकत के लिए जाना जाता है, लेकिन जटिल बदलावों के दौरान उसे अपने लचीलेपन को बढ़ाने की ज़रूरत होती है। उन्हें किस चीज़ को प्राथमिकता देनी चाहिए?")</f>
        <v>एक कलाकार अपनी ताकत के लिए जाना जाता है, लेकिन जटिल बदलावों के दौरान उसे अपने लचीलेपन को बढ़ाने की ज़रूरत होती है। उन्हें किस चीज़ को प्राथमिकता देनी चाहिए?</v>
      </c>
      <c r="H288" s="5" t="str">
        <f>IFERROR(__xludf.DUMMYFUNCTION("GOOGLETRANSLATE(C288, ""en"", ""hi"")"),"A) संक्रमण में लचीलापन, B) ताकत बढ़ाना, C) अधिक स्थिर पोज़ जोड़ना, D) नियमित लंबाई कम करना")</f>
        <v>A) संक्रमण में लचीलापन, B) ताकत बढ़ाना, C) अधिक स्थिर पोज़ जोड़ना, D) नियमित लंबाई कम करना</v>
      </c>
      <c r="I288" s="5" t="str">
        <f>IFERROR(__xludf.DUMMYFUNCTION("GOOGLETRANSLATE(D288, ""en"", ""hi"")"),"A) संक्रमण में लचीलापन")</f>
        <v>A) संक्रमण में लचीलापन</v>
      </c>
    </row>
    <row r="289" ht="22.5" customHeight="1">
      <c r="A289" s="2">
        <v>288.0</v>
      </c>
      <c r="B289" s="3" t="s">
        <v>10786</v>
      </c>
      <c r="C289" s="3" t="s">
        <v>10787</v>
      </c>
      <c r="D289" s="3" t="s">
        <v>10788</v>
      </c>
      <c r="F289" s="5" t="str">
        <f>IFERROR(__xludf.DUMMYFUNCTION("GOOGLETRANSLATE(A289, ""en"", ""hi"")"),"288")</f>
        <v>288</v>
      </c>
      <c r="G289" s="5" t="str">
        <f>IFERROR(__xludf.DUMMYFUNCTION("GOOGLETRANSLATE(B289, ""en"", ""hi"")"),"एक एथलीट को कोर स्थिरता की कमी के कारण पोज़ में बने रहना चुनौतीपूर्ण लगता है। उन्हें अपने प्रदर्शन को बेहतर बनाने के लिए क्या करना चाहिए?")</f>
        <v>एक एथलीट को कोर स्थिरता की कमी के कारण पोज़ में बने रहना चुनौतीपूर्ण लगता है। उन्हें अपने प्रदर्शन को बेहतर बनाने के लिए क्या करना चाहिए?</v>
      </c>
      <c r="H289" s="5" t="str">
        <f>IFERROR(__xludf.DUMMYFUNCTION("GOOGLETRANSLATE(C289, ""en"", ""hi"")"),"ए) कोर स्थिरता, बी) शक्ति प्रशिक्षण में वृद्धि, सी) लचीलापन बढ़ाना, डी) अधिक गतिशील चालें जोड़ना")</f>
        <v>ए) कोर स्थिरता, बी) शक्ति प्रशिक्षण में वृद्धि, सी) लचीलापन बढ़ाना, डी) अधिक गतिशील चालें जोड़ना</v>
      </c>
      <c r="I289" s="5" t="str">
        <f>IFERROR(__xludf.DUMMYFUNCTION("GOOGLETRANSLATE(D289, ""en"", ""hi"")"),"ए) कोर स्थिरता")</f>
        <v>ए) कोर स्थिरता</v>
      </c>
    </row>
    <row r="290" ht="22.5" customHeight="1">
      <c r="A290" s="2">
        <v>289.0</v>
      </c>
      <c r="B290" s="3" t="s">
        <v>10789</v>
      </c>
      <c r="C290" s="3" t="s">
        <v>10790</v>
      </c>
      <c r="D290" s="3" t="s">
        <v>10753</v>
      </c>
      <c r="F290" s="5" t="str">
        <f>IFERROR(__xludf.DUMMYFUNCTION("GOOGLETRANSLATE(A290, ""en"", ""hi"")"),"289")</f>
        <v>289</v>
      </c>
      <c r="G290" s="5" t="str">
        <f>IFERROR(__xludf.DUMMYFUNCTION("GOOGLETRANSLATE(B290, ""en"", ""hi"")"),"प्रतियोगिता के दौरान, मलखंभ कलाकार शक्ति-आधारित मुद्राओं में तो मज़बूत होता है, लेकिन अपने अभ्यास के कलात्मक पहलू को लेकर संघर्ष करता है। उन्हें किसमें सुधार करना चाहिए?")</f>
        <v>प्रतियोगिता के दौरान, मलखंभ कलाकार शक्ति-आधारित मुद्राओं में तो मज़बूत होता है, लेकिन अपने अभ्यास के कलात्मक पहलू को लेकर संघर्ष करता है। उन्हें किसमें सुधार करना चाहिए?</v>
      </c>
      <c r="H290" s="5" t="str">
        <f>IFERROR(__xludf.DUMMYFUNCTION("GOOGLETRANSLATE(C290, ""en"", ""hi"")"),"A) कलात्मक अभिव्यक्ति, B) मुद्राओं में मजबूती, C) लचीलापन, D) परिवर्तन की गति")</f>
        <v>A) कलात्मक अभिव्यक्ति, B) मुद्राओं में मजबूती, C) लचीलापन, D) परिवर्तन की गति</v>
      </c>
      <c r="I290" s="5" t="str">
        <f>IFERROR(__xludf.DUMMYFUNCTION("GOOGLETRANSLATE(D290, ""en"", ""hi"")"),"ए) कलात्मक अभिव्यक्ति")</f>
        <v>ए) कलात्मक अभिव्यक्ति</v>
      </c>
    </row>
    <row r="291" ht="22.5" customHeight="1">
      <c r="A291" s="2">
        <v>290.0</v>
      </c>
      <c r="B291" s="3" t="s">
        <v>10791</v>
      </c>
      <c r="C291" s="3" t="s">
        <v>10792</v>
      </c>
      <c r="D291" s="3" t="s">
        <v>10793</v>
      </c>
      <c r="F291" s="5" t="str">
        <f>IFERROR(__xludf.DUMMYFUNCTION("GOOGLETRANSLATE(A291, ""en"", ""hi"")"),"290")</f>
        <v>290</v>
      </c>
      <c r="G291" s="5" t="str">
        <f>IFERROR(__xludf.DUMMYFUNCTION("GOOGLETRANSLATE(B291, ""en"", ""hi"")"),"मलखंभ एथलीट को रस्सी पर जटिल चालें करने में दिक्कत होती है क्योंकि उनकी पकड़ मज़बूत नहीं होती। उन्हें किस पर ध्यान केंद्रित करना चाहिए?")</f>
        <v>मलखंभ एथलीट को रस्सी पर जटिल चालें करने में दिक्कत होती है क्योंकि उनकी पकड़ मज़बूत नहीं होती। उन्हें किस पर ध्यान केंद्रित करना चाहिए?</v>
      </c>
      <c r="H291" s="5" t="str">
        <f>IFERROR(__xludf.DUMMYFUNCTION("GOOGLETRANSLATE(C291, ""en"", ""hi"")"),"ए) लगातार पकड़ की ताकत, बी) लचीलापन, सी) मुद्रा की कठिनाई, डी) नियमित गति")</f>
        <v>ए) लगातार पकड़ की ताकत, बी) लचीलापन, सी) मुद्रा की कठिनाई, डी) नियमित गति</v>
      </c>
      <c r="I291" s="5" t="str">
        <f>IFERROR(__xludf.DUMMYFUNCTION("GOOGLETRANSLATE(D291, ""en"", ""hi"")"),"A) लगातार पकड़ की ताकत")</f>
        <v>A) लगातार पकड़ की ताकत</v>
      </c>
    </row>
    <row r="292" ht="22.5" customHeight="1">
      <c r="A292" s="2">
        <v>291.0</v>
      </c>
      <c r="B292" s="3" t="s">
        <v>10794</v>
      </c>
      <c r="C292" s="3" t="s">
        <v>10795</v>
      </c>
      <c r="D292" s="3" t="s">
        <v>10796</v>
      </c>
      <c r="F292" s="5" t="str">
        <f>IFERROR(__xludf.DUMMYFUNCTION("GOOGLETRANSLATE(A292, ""en"", ""hi"")"),"291")</f>
        <v>291</v>
      </c>
      <c r="G292" s="5" t="str">
        <f>IFERROR(__xludf.DUMMYFUNCTION("GOOGLETRANSLATE(B292, ""en"", ""hi"")"),"एक एथलीट ने शानदार प्रदर्शन किया, लेकिन पूरे प्रदर्शन के दौरान ऊर्जा की कमी के लिए उसकी आलोचना की गई। उन्हें किस पर काम करना चाहिए?")</f>
        <v>एक एथलीट ने शानदार प्रदर्शन किया, लेकिन पूरे प्रदर्शन के दौरान ऊर्जा की कमी के लिए उसकी आलोचना की गई। उन्हें किस पर काम करना चाहिए?</v>
      </c>
      <c r="H292" s="5" t="str">
        <f>IFERROR(__xludf.DUMMYFUNCTION("GOOGLETRANSLATE(C292, ""en"", ""hi"")"),"A) पूरे रूटीन के दौरान ऊर्जा बनाए रखना, B) रूटीन की जटिलता बढ़ाना, C) अधिक स्थिर पकड़ जोड़ना, D) लचीलेपन में सुधार करना")</f>
        <v>A) पूरे रूटीन के दौरान ऊर्जा बनाए रखना, B) रूटीन की जटिलता बढ़ाना, C) अधिक स्थिर पकड़ जोड़ना, D) लचीलेपन में सुधार करना</v>
      </c>
      <c r="I292" s="5" t="str">
        <f>IFERROR(__xludf.DUMMYFUNCTION("GOOGLETRANSLATE(D292, ""en"", ""hi"")"),"A) पूरी दिनचर्या के दौरान ऊर्जा बनाए रखना")</f>
        <v>A) पूरी दिनचर्या के दौरान ऊर्जा बनाए रखना</v>
      </c>
    </row>
    <row r="293" ht="22.5" customHeight="1">
      <c r="A293" s="2">
        <v>292.0</v>
      </c>
      <c r="B293" s="3" t="s">
        <v>10797</v>
      </c>
      <c r="C293" s="3" t="s">
        <v>10798</v>
      </c>
      <c r="D293" s="3" t="s">
        <v>10799</v>
      </c>
      <c r="F293" s="5" t="str">
        <f>IFERROR(__xludf.DUMMYFUNCTION("GOOGLETRANSLATE(A293, ""en"", ""hi"")"),"292")</f>
        <v>292</v>
      </c>
      <c r="G293" s="5" t="str">
        <f>IFERROR(__xludf.DUMMYFUNCTION("GOOGLETRANSLATE(B293, ""en"", ""hi"")"),"मलखम्ब कलाकार को उच्च-स्तरीय शक्ति-चालों को सटीकता से करने में कठिनाई होती है। उन्हें किस क्षेत्र में सुधार पर ध्यान केंद्रित करना चाहिए?")</f>
        <v>मलखम्ब कलाकार को उच्च-स्तरीय शक्ति-चालों को सटीकता से करने में कठिनाई होती है। उन्हें किस क्षेत्र में सुधार पर ध्यान केंद्रित करना चाहिए?</v>
      </c>
      <c r="H293" s="5" t="str">
        <f>IFERROR(__xludf.DUMMYFUNCTION("GOOGLETRANSLATE(C293, ""en"", ""hi"")"),"A) ताकत की चाल में सटीकता, B) नियमित जटिलता में वृद्धि, C) लचीलापन बढ़ाना, D) नियमित लंबाई को कम करना")</f>
        <v>A) ताकत की चाल में सटीकता, B) नियमित जटिलता में वृद्धि, C) लचीलापन बढ़ाना, D) नियमित लंबाई को कम करना</v>
      </c>
      <c r="I293" s="5" t="str">
        <f>IFERROR(__xludf.DUMMYFUNCTION("GOOGLETRANSLATE(D293, ""en"", ""hi"")"),"A) ताकत की चाल में सटीकता")</f>
        <v>A) ताकत की चाल में सटीकता</v>
      </c>
    </row>
    <row r="294" ht="22.5" customHeight="1">
      <c r="A294" s="2">
        <v>293.0</v>
      </c>
      <c r="B294" s="3" t="s">
        <v>10800</v>
      </c>
      <c r="C294" s="3" t="s">
        <v>10801</v>
      </c>
      <c r="D294" s="3" t="s">
        <v>10802</v>
      </c>
      <c r="F294" s="5" t="str">
        <f>IFERROR(__xludf.DUMMYFUNCTION("GOOGLETRANSLATE(A294, ""en"", ""hi"")"),"293")</f>
        <v>293</v>
      </c>
      <c r="G294" s="5" t="str">
        <f>IFERROR(__xludf.DUMMYFUNCTION("GOOGLETRANSLATE(B294, ""en"", ""hi"")"),"अभ्यास के दौरान, एक एथलीट को पोल मलखंभ पर एक चाल से दूसरी चाल में आसानी से बदलाव करने में कठिनाई होती है। सुधार की मुख्य आवश्यकता क्या है?")</f>
        <v>अभ्यास के दौरान, एक एथलीट को पोल मलखंभ पर एक चाल से दूसरी चाल में आसानी से बदलाव करने में कठिनाई होती है। सुधार की मुख्य आवश्यकता क्या है?</v>
      </c>
      <c r="H294" s="5" t="str">
        <f>IFERROR(__xludf.DUMMYFUNCTION("GOOGLETRANSLATE(C294, ""en"", ""hi"")"),"ए) संक्रमण की सुगमता, बी) चाल की कठिनाई में वृद्धि, सी) अधिक शक्ति प्रशिक्षण जोड़ना, डी) नियमित जटिलता को कम करना")</f>
        <v>ए) संक्रमण की सुगमता, बी) चाल की कठिनाई में वृद्धि, सी) अधिक शक्ति प्रशिक्षण जोड़ना, डी) नियमित जटिलता को कम करना</v>
      </c>
      <c r="I294" s="5" t="str">
        <f>IFERROR(__xludf.DUMMYFUNCTION("GOOGLETRANSLATE(D294, ""en"", ""hi"")"),"A) संक्रमण सुगमता")</f>
        <v>A) संक्रमण सुगमता</v>
      </c>
    </row>
    <row r="295" ht="22.5" customHeight="1">
      <c r="A295" s="2">
        <v>294.0</v>
      </c>
      <c r="B295" s="3" t="s">
        <v>10803</v>
      </c>
      <c r="C295" s="3" t="s">
        <v>10804</v>
      </c>
      <c r="D295" s="3" t="s">
        <v>10805</v>
      </c>
      <c r="F295" s="5" t="str">
        <f>IFERROR(__xludf.DUMMYFUNCTION("GOOGLETRANSLATE(A295, ""en"", ""hi"")"),"294")</f>
        <v>294</v>
      </c>
      <c r="G295" s="5" t="str">
        <f>IFERROR(__xludf.DUMMYFUNCTION("GOOGLETRANSLATE(B295, ""en"", ""hi"")"),"मलखम्ब कलाकार गतिशील गतिविधियों में तो उत्कृष्ट होता है, लेकिन धीमे बदलावों के दौरान संतुलन बनाए रखने में उसे कठिनाई होती है। उन्हें किस पर ध्यान केंद्रित करना चाहिए?")</f>
        <v>मलखम्ब कलाकार गतिशील गतिविधियों में तो उत्कृष्ट होता है, लेकिन धीमे बदलावों के दौरान संतुलन बनाए रखने में उसे कठिनाई होती है। उन्हें किस पर ध्यान केंद्रित करना चाहिए?</v>
      </c>
      <c r="H295" s="5" t="str">
        <f>IFERROR(__xludf.DUMMYFUNCTION("GOOGLETRANSLATE(C295, ""en"", ""hi"")"),"ए) धीमी गति से बदलाव के दौरान संतुलन, बी) गतिशील चालों में वृद्धि, सी) अधिक शक्ति व्यायाम जोड़ना, डी) नियमित लंबाई को छोटा करना")</f>
        <v>ए) धीमी गति से बदलाव के दौरान संतुलन, बी) गतिशील चालों में वृद्धि, सी) अधिक शक्ति व्यायाम जोड़ना, डी) नियमित लंबाई को छोटा करना</v>
      </c>
      <c r="I295" s="5" t="str">
        <f>IFERROR(__xludf.DUMMYFUNCTION("GOOGLETRANSLATE(D295, ""en"", ""hi"")"),"A) धीमी गति से संक्रमण के दौरान संतुलन")</f>
        <v>A) धीमी गति से संक्रमण के दौरान संतुलन</v>
      </c>
    </row>
    <row r="296" ht="22.5" customHeight="1">
      <c r="A296" s="2">
        <v>295.0</v>
      </c>
      <c r="B296" s="3" t="s">
        <v>10806</v>
      </c>
      <c r="C296" s="3" t="s">
        <v>10807</v>
      </c>
      <c r="D296" s="3" t="s">
        <v>10808</v>
      </c>
      <c r="F296" s="5" t="str">
        <f>IFERROR(__xludf.DUMMYFUNCTION("GOOGLETRANSLATE(A296, ""en"", ""hi"")"),"295")</f>
        <v>295</v>
      </c>
      <c r="G296" s="5" t="str">
        <f>IFERROR(__xludf.DUMMYFUNCTION("GOOGLETRANSLATE(B296, ""en"", ""hi"")"),"मज़बूत तकनीकी निष्पादन के बावजूद, एक एथलीट की दिनचर्या में रचनात्मकता का अभाव होता है। अपने प्रदर्शन को बेहतर बनाने के लिए उन्हें किस पर ध्यान केंद्रित करना चाहिए?")</f>
        <v>मज़बूत तकनीकी निष्पादन के बावजूद, एक एथलीट की दिनचर्या में रचनात्मकता का अभाव होता है। अपने प्रदर्शन को बेहतर बनाने के लिए उन्हें किस पर ध्यान केंद्रित करना चाहिए?</v>
      </c>
      <c r="H296" s="5" t="str">
        <f>IFERROR(__xludf.DUMMYFUNCTION("GOOGLETRANSLATE(C296, ""en"", ""hi"")"),"A) दिनचर्या में रचनात्मकता जोड़ना, B) ताकत बढ़ाना, C) अधिक स्थिर मुद्राएँ जोड़ना, D) दिनचर्या की जटिलता को कम करना")</f>
        <v>A) दिनचर्या में रचनात्मकता जोड़ना, B) ताकत बढ़ाना, C) अधिक स्थिर मुद्राएँ जोड़ना, D) दिनचर्या की जटिलता को कम करना</v>
      </c>
      <c r="I296" s="5" t="str">
        <f>IFERROR(__xludf.DUMMYFUNCTION("GOOGLETRANSLATE(D296, ""en"", ""hi"")"),"A) दिनचर्या में रचनात्मकता जोड़ना")</f>
        <v>A) दिनचर्या में रचनात्मकता जोड़ना</v>
      </c>
    </row>
    <row r="297" ht="22.5" customHeight="1">
      <c r="A297" s="2">
        <v>296.0</v>
      </c>
      <c r="B297" s="3" t="s">
        <v>10809</v>
      </c>
      <c r="C297" s="3" t="s">
        <v>10810</v>
      </c>
      <c r="D297" s="3" t="s">
        <v>10811</v>
      </c>
      <c r="F297" s="5" t="str">
        <f>IFERROR(__xludf.DUMMYFUNCTION("GOOGLETRANSLATE(A297, ""en"", ""hi"")"),"296")</f>
        <v>296</v>
      </c>
      <c r="G297" s="5" t="str">
        <f>IFERROR(__xludf.DUMMYFUNCTION("GOOGLETRANSLATE(B297, ""en"", ""hi"")"),"मलखम्ब एथलीट की सहनशक्ति की प्रशंसा की जाती है, लेकिन उन्हें सटीक चालें करने की अपनी क्षमता पर काम करने की ज़रूरत है। उन्हें किस पर ध्यान केंद्रित करना चाहिए?")</f>
        <v>मलखम्ब एथलीट की सहनशक्ति की प्रशंसा की जाती है, लेकिन उन्हें सटीक चालें करने की अपनी क्षमता पर काम करने की ज़रूरत है। उन्हें किस पर ध्यान केंद्रित करना चाहिए?</v>
      </c>
      <c r="H297" s="5" t="str">
        <f>IFERROR(__xludf.DUMMYFUNCTION("GOOGLETRANSLATE(C297, ""en"", ""hi"")"),"A) गतिविधियों में सटीकता, B) सहनशक्ति में वृद्धि, C) अधिक गतिशील चालें जोड़ना, D) लचीलेपन में सुधार")</f>
        <v>A) गतिविधियों में सटीकता, B) सहनशक्ति में वृद्धि, C) अधिक गतिशील चालें जोड़ना, D) लचीलेपन में सुधार</v>
      </c>
      <c r="I297" s="5" t="str">
        <f>IFERROR(__xludf.DUMMYFUNCTION("GOOGLETRANSLATE(D297, ""en"", ""hi"")"),"A) गतिविधियों में सटीकता")</f>
        <v>A) गतिविधियों में सटीकता</v>
      </c>
    </row>
    <row r="298" ht="22.5" customHeight="1">
      <c r="A298" s="2">
        <v>297.0</v>
      </c>
      <c r="B298" s="3" t="s">
        <v>10812</v>
      </c>
      <c r="C298" s="3" t="s">
        <v>10813</v>
      </c>
      <c r="D298" s="3" t="s">
        <v>10814</v>
      </c>
      <c r="F298" s="5" t="str">
        <f>IFERROR(__xludf.DUMMYFUNCTION("GOOGLETRANSLATE(A298, ""en"", ""hi"")"),"297")</f>
        <v>297</v>
      </c>
      <c r="G298" s="5" t="str">
        <f>IFERROR(__xludf.DUMMYFUNCTION("GOOGLETRANSLATE(B298, ""en"", ""hi"")"),"प्रदर्शन के दौरान, एक एथलीट को जटिल मुद्राओं के दौरान सही मुद्रा बनाए रखने में कठिनाई होती है। उन्हें किस चीज़ को प्राथमिकता देनी चाहिए?")</f>
        <v>प्रदर्शन के दौरान, एक एथलीट को जटिल मुद्राओं के दौरान सही मुद्रा बनाए रखने में कठिनाई होती है। उन्हें किस चीज़ को प्राथमिकता देनी चाहिए?</v>
      </c>
      <c r="H298" s="5" t="str">
        <f>IFERROR(__xludf.DUMMYFUNCTION("GOOGLETRANSLATE(C298, ""en"", ""hi"")"),"A) जटिल आसनों में सही रूप, B) आसन की कठिनाई बढ़ाना, C) लचीलापन बढ़ाना, D) संक्रमण को तेज करना")</f>
        <v>A) जटिल आसनों में सही रूप, B) आसन की कठिनाई बढ़ाना, C) लचीलापन बढ़ाना, D) संक्रमण को तेज करना</v>
      </c>
      <c r="I298" s="5" t="str">
        <f>IFERROR(__xludf.DUMMYFUNCTION("GOOGLETRANSLATE(D298, ""en"", ""hi"")"),"A) जटिल मुद्राओं में सही रूप")</f>
        <v>A) जटिल मुद्राओं में सही रूप</v>
      </c>
    </row>
    <row r="299" ht="22.5" customHeight="1">
      <c r="A299" s="2">
        <v>298.0</v>
      </c>
      <c r="B299" s="3" t="s">
        <v>10815</v>
      </c>
      <c r="C299" s="3" t="s">
        <v>10816</v>
      </c>
      <c r="D299" s="3" t="s">
        <v>10785</v>
      </c>
      <c r="F299" s="5" t="str">
        <f>IFERROR(__xludf.DUMMYFUNCTION("GOOGLETRANSLATE(A299, ""en"", ""hi"")"),"298")</f>
        <v>298</v>
      </c>
      <c r="G299" s="5" t="str">
        <f>IFERROR(__xludf.DUMMYFUNCTION("GOOGLETRANSLATE(B299, ""en"", ""hi"")"),"एक कलाकार को सलाह दी जाती है कि वह बदलावों में अपने लचीलेपन पर काम करे, क्योंकि उसकी दिनचर्या कठोर लगती है। सुधार के लिए मुख्य ध्यान किस पर केंद्रित होना चाहिए?")</f>
        <v>एक कलाकार को सलाह दी जाती है कि वह बदलावों में अपने लचीलेपन पर काम करे, क्योंकि उसकी दिनचर्या कठोर लगती है। सुधार के लिए मुख्य ध्यान किस पर केंद्रित होना चाहिए?</v>
      </c>
      <c r="H299" s="5" t="str">
        <f>IFERROR(__xludf.DUMMYFUNCTION("GOOGLETRANSLATE(C299, ""en"", ""hi"")"),"ए) संक्रमण में लचीलापन, बी) चाल की कठिनाई में वृद्धि, सी) अधिक स्थिर पोज़ जोड़ना, डी) नियमित लंबाई को कम करना")</f>
        <v>ए) संक्रमण में लचीलापन, बी) चाल की कठिनाई में वृद्धि, सी) अधिक स्थिर पोज़ जोड़ना, डी) नियमित लंबाई को कम करना</v>
      </c>
      <c r="I299" s="5" t="str">
        <f>IFERROR(__xludf.DUMMYFUNCTION("GOOGLETRANSLATE(D299, ""en"", ""hi"")"),"A) संक्रमण में लचीलापन")</f>
        <v>A) संक्रमण में लचीलापन</v>
      </c>
    </row>
    <row r="300" ht="22.5" customHeight="1">
      <c r="A300" s="2">
        <v>299.0</v>
      </c>
      <c r="B300" s="3" t="s">
        <v>10817</v>
      </c>
      <c r="C300" s="3" t="s">
        <v>10818</v>
      </c>
      <c r="D300" s="3" t="s">
        <v>10819</v>
      </c>
      <c r="F300" s="5" t="str">
        <f>IFERROR(__xludf.DUMMYFUNCTION("GOOGLETRANSLATE(A300, ""en"", ""hi"")"),"299")</f>
        <v>299</v>
      </c>
      <c r="G300" s="5" t="str">
        <f>IFERROR(__xludf.DUMMYFUNCTION("GOOGLETRANSLATE(B300, ""en"", ""hi"")"),"एक एथलीट का प्रदर्शन तो अच्छा है, लेकिन उसकी दिनचर्या के विभिन्न हिस्सों के बीच तालमेल का अभाव है। उन्हें किस पर काम करना चाहिए?")</f>
        <v>एक एथलीट का प्रदर्शन तो अच्छा है, लेकिन उसकी दिनचर्या के विभिन्न हिस्सों के बीच तालमेल का अभाव है। उन्हें किस पर काम करना चाहिए?</v>
      </c>
      <c r="H300" s="5" t="str">
        <f>IFERROR(__xludf.DUMMYFUNCTION("GOOGLETRANSLATE(C300, ""en"", ""hi"")"),"ए) नियमित खंडों के बीच समन्वय, बी) नियमित कठिनाई में वृद्धि, सी) अधिक गतिशील चालें जोड़ना, डी) लचीलेपन में सुधार")</f>
        <v>ए) नियमित खंडों के बीच समन्वय, बी) नियमित कठिनाई में वृद्धि, सी) अधिक गतिशील चालें जोड़ना, डी) लचीलेपन में सुधार</v>
      </c>
      <c r="I300" s="5" t="str">
        <f>IFERROR(__xludf.DUMMYFUNCTION("GOOGLETRANSLATE(D300, ""en"", ""hi"")"),"A) नियमित अनुभागों के बीच समन्वय")</f>
        <v>A) नियमित अनुभागों के बीच समन्वय</v>
      </c>
    </row>
    <row r="301" ht="22.5" customHeight="1">
      <c r="A301" s="2">
        <v>300.0</v>
      </c>
      <c r="B301" s="3" t="s">
        <v>10820</v>
      </c>
      <c r="C301" s="3" t="s">
        <v>10821</v>
      </c>
      <c r="D301" s="3" t="s">
        <v>10822</v>
      </c>
      <c r="F301" s="5" t="str">
        <f>IFERROR(__xludf.DUMMYFUNCTION("GOOGLETRANSLATE(A301, ""en"", ""hi"")"),"300")</f>
        <v>300</v>
      </c>
      <c r="G301" s="5" t="str">
        <f>IFERROR(__xludf.DUMMYFUNCTION("GOOGLETRANSLATE(B301, ""en"", ""hi"")"),"मलखंभ कलाकार अपने दमदार प्रदर्शन के लिए जाने जाते हैं, लेकिन उन्हें अभ्यास के दौरान अपने चेहरे के भावों को निखारने की सलाह दी जाती है। उन्हें किस बात पर ध्यान देना चाहिए?")</f>
        <v>मलखंभ कलाकार अपने दमदार प्रदर्शन के लिए जाने जाते हैं, लेकिन उन्हें अभ्यास के दौरान अपने चेहरे के भावों को निखारने की सलाह दी जाती है। उन्हें किस बात पर ध्यान देना चाहिए?</v>
      </c>
      <c r="H301" s="5" t="str">
        <f>IFERROR(__xludf.DUMMYFUNCTION("GOOGLETRANSLATE(C301, ""en"", ""hi"")"),"A) चेहरे के भाव, B) ताकत बढ़ाना, C) अधिक जटिल चालें जोड़ना, D) लचीलेपन में सुधार")</f>
        <v>A) चेहरे के भाव, B) ताकत बढ़ाना, C) अधिक जटिल चालें जोड़ना, D) लचीलेपन में सुधार</v>
      </c>
      <c r="I301" s="5" t="str">
        <f>IFERROR(__xludf.DUMMYFUNCTION("GOOGLETRANSLATE(D301, ""en"", ""hi"")"),"A) चेहरे के भाव")</f>
        <v>A) चेहरे के भाव</v>
      </c>
    </row>
    <row r="302" ht="22.5" customHeight="1">
      <c r="A302" s="2">
        <v>301.0</v>
      </c>
      <c r="B302" s="3" t="s">
        <v>10823</v>
      </c>
      <c r="C302" s="3" t="s">
        <v>10824</v>
      </c>
      <c r="D302" s="3" t="s">
        <v>10825</v>
      </c>
      <c r="F302" s="5" t="str">
        <f>IFERROR(__xludf.DUMMYFUNCTION("GOOGLETRANSLATE(A302, ""en"", ""hi"")"),"301")</f>
        <v>301</v>
      </c>
      <c r="G302" s="5" t="str">
        <f>IFERROR(__xludf.DUMMYFUNCTION("GOOGLETRANSLATE(B302, ""en"", ""hi"")"),"एक एथलीट को लगता है कि आसन के बीच अचानक बदलाव के कारण उसकी दिनचर्या में प्रवाह की कमी है। उन्हें किस चीज़ में सुधार करना चाहिए?")</f>
        <v>एक एथलीट को लगता है कि आसन के बीच अचानक बदलाव के कारण उसकी दिनचर्या में प्रवाह की कमी है। उन्हें किस चीज़ में सुधार करना चाहिए?</v>
      </c>
      <c r="H302" s="5" t="str">
        <f>IFERROR(__xludf.DUMMYFUNCTION("GOOGLETRANSLATE(C302, ""en"", ""hi"")"),"A) सहज परिवर्तन, B) दिनचर्या की जटिलता में वृद्धि, C) शक्ति में वृद्धि, D) दिनचर्या को छोटा करना")</f>
        <v>A) सहज परिवर्तन, B) दिनचर्या की जटिलता में वृद्धि, C) शक्ति में वृद्धि, D) दिनचर्या को छोटा करना</v>
      </c>
      <c r="I302" s="5" t="str">
        <f>IFERROR(__xludf.DUMMYFUNCTION("GOOGLETRANSLATE(D302, ""en"", ""hi"")"),"A) सहज संक्रमण")</f>
        <v>A) सहज संक्रमण</v>
      </c>
    </row>
    <row r="303" ht="22.5" customHeight="1">
      <c r="A303" s="2">
        <v>302.0</v>
      </c>
      <c r="B303" s="3" t="s">
        <v>10826</v>
      </c>
      <c r="C303" s="3" t="s">
        <v>10827</v>
      </c>
      <c r="D303" s="3" t="s">
        <v>10828</v>
      </c>
      <c r="F303" s="5" t="str">
        <f>IFERROR(__xludf.DUMMYFUNCTION("GOOGLETRANSLATE(A303, ""en"", ""hi"")"),"302")</f>
        <v>302</v>
      </c>
      <c r="G303" s="5" t="str">
        <f>IFERROR(__xludf.DUMMYFUNCTION("GOOGLETRANSLATE(B303, ""en"", ""hi"")"),"मलखम्ब एथलीट शक्ति-आसनों में तो माहिर होता है, लेकिन उसे सुंदर मुद्राएँ करना चुनौतीपूर्ण लगता है। उन्हें किस पर ध्यान केंद्रित करना चाहिए?")</f>
        <v>मलखम्ब एथलीट शक्ति-आसनों में तो माहिर होता है, लेकिन उसे सुंदर मुद्राएँ करना चुनौतीपूर्ण लगता है। उन्हें किस पर ध्यान केंद्रित करना चाहिए?</v>
      </c>
      <c r="H303" s="5" t="str">
        <f>IFERROR(__xludf.DUMMYFUNCTION("GOOGLETRANSLATE(C303, ""en"", ""hi"")"),"A) सुंदर गतिविधियाँ, B) शक्तिवर्धक आसन, C) अधिक गतिशील तत्व जोड़ना, D) लचीलेपन में सुधार")</f>
        <v>A) सुंदर गतिविधियाँ, B) शक्तिवर्धक आसन, C) अधिक गतिशील तत्व जोड़ना, D) लचीलेपन में सुधार</v>
      </c>
      <c r="I303" s="5" t="str">
        <f>IFERROR(__xludf.DUMMYFUNCTION("GOOGLETRANSLATE(D303, ""en"", ""hi"")"),"A) सुंदर गतिविधियाँ")</f>
        <v>A) सुंदर गतिविधियाँ</v>
      </c>
    </row>
    <row r="304" ht="22.5" customHeight="1">
      <c r="A304" s="2">
        <v>303.0</v>
      </c>
      <c r="B304" s="3" t="s">
        <v>10829</v>
      </c>
      <c r="C304" s="3" t="s">
        <v>10830</v>
      </c>
      <c r="D304" s="3" t="s">
        <v>10831</v>
      </c>
      <c r="F304" s="5" t="str">
        <f>IFERROR(__xludf.DUMMYFUNCTION("GOOGLETRANSLATE(A304, ""en"", ""hi"")"),"303")</f>
        <v>303</v>
      </c>
      <c r="G304" s="5" t="str">
        <f>IFERROR(__xludf.DUMMYFUNCTION("GOOGLETRANSLATE(B304, ""en"", ""hi"")"),"किसी भी रूटीन के दौरान, एक एथलीट को जटिल मूव्स करते समय एकाग्रता बनाए रखने में कठिनाई होती है। इस संबंध में मुख्य बात क्या है?")</f>
        <v>किसी भी रूटीन के दौरान, एक एथलीट को जटिल मूव्स करते समय एकाग्रता बनाए रखने में कठिनाई होती है। इस संबंध में मुख्य बात क्या है?</v>
      </c>
      <c r="H304" s="5" t="str">
        <f>IFERROR(__xludf.DUMMYFUNCTION("GOOGLETRANSLATE(C304, ""en"", ""hi"")"),"A) जटिल चालों के दौरान एकाग्रता, B) चाल की कठिनाई बढ़ाना, C) ताकत बढ़ाना, D) नियमित लंबाई कम करना")</f>
        <v>A) जटिल चालों के दौरान एकाग्रता, B) चाल की कठिनाई बढ़ाना, C) ताकत बढ़ाना, D) नियमित लंबाई कम करना</v>
      </c>
      <c r="I304" s="5" t="str">
        <f>IFERROR(__xludf.DUMMYFUNCTION("GOOGLETRANSLATE(D304, ""en"", ""hi"")"),"A) जटिल चालों के दौरान एकाग्रता")</f>
        <v>A) जटिल चालों के दौरान एकाग्रता</v>
      </c>
    </row>
    <row r="305" ht="22.5" customHeight="1">
      <c r="A305" s="2">
        <v>304.0</v>
      </c>
      <c r="B305" s="3" t="s">
        <v>10832</v>
      </c>
      <c r="C305" s="3" t="s">
        <v>10833</v>
      </c>
      <c r="D305" s="3" t="s">
        <v>10834</v>
      </c>
      <c r="F305" s="5" t="str">
        <f>IFERROR(__xludf.DUMMYFUNCTION("GOOGLETRANSLATE(A305, ""en"", ""hi"")"),"304")</f>
        <v>304</v>
      </c>
      <c r="G305" s="5" t="str">
        <f>IFERROR(__xludf.DUMMYFUNCTION("GOOGLETRANSLATE(B305, ""en"", ""hi"")"),"एक एथलीट अच्छा प्रदर्शन करता है, लेकिन उसे अपने अभ्यास के दौरान अपनी भावनाओं को व्यक्त करने पर ध्यान देने की सलाह दी गई है। उसे किस पर ध्यान केंद्रित करना चाहिए?")</f>
        <v>एक एथलीट अच्छा प्रदर्शन करता है, लेकिन उसे अपने अभ्यास के दौरान अपनी भावनाओं को व्यक्त करने पर ध्यान देने की सलाह दी गई है। उसे किस पर ध्यान केंद्रित करना चाहिए?</v>
      </c>
      <c r="H305" s="5" t="str">
        <f>IFERROR(__xludf.DUMMYFUNCTION("GOOGLETRANSLATE(C305, ""en"", ""hi"")"),"A) भावना व्यक्त करना, B) नियमित कठिनाई बढ़ाना, C) अधिक गतिशील चालें जोड़ना, D) लचीलेपन में सुधार करना")</f>
        <v>A) भावना व्यक्त करना, B) नियमित कठिनाई बढ़ाना, C) अधिक गतिशील चालें जोड़ना, D) लचीलेपन में सुधार करना</v>
      </c>
      <c r="I305" s="5" t="str">
        <f>IFERROR(__xludf.DUMMYFUNCTION("GOOGLETRANSLATE(D305, ""en"", ""hi"")"),"A) भावना व्यक्त करना")</f>
        <v>A) भावना व्यक्त करना</v>
      </c>
    </row>
    <row r="306" ht="22.5" customHeight="1">
      <c r="A306" s="2">
        <v>305.0</v>
      </c>
      <c r="B306" s="3" t="s">
        <v>10835</v>
      </c>
      <c r="C306" s="3" t="s">
        <v>10836</v>
      </c>
      <c r="D306" s="3" t="s">
        <v>10837</v>
      </c>
      <c r="F306" s="5" t="str">
        <f>IFERROR(__xludf.DUMMYFUNCTION("GOOGLETRANSLATE(A306, ""en"", ""hi"")"),"305")</f>
        <v>305</v>
      </c>
      <c r="G306" s="5" t="str">
        <f>IFERROR(__xludf.DUMMYFUNCTION("GOOGLETRANSLATE(B306, ""en"", ""hi"")"),"एक कलाकार व्यक्तिगत चालों में तो उत्कृष्ट होता है, लेकिन उन्हें एक सुसंगत दिनचर्या में ढालने में कठिनाई महसूस करता है। उसे किसमें सुधार करना चाहिए?")</f>
        <v>एक कलाकार व्यक्तिगत चालों में तो उत्कृष्ट होता है, लेकिन उन्हें एक सुसंगत दिनचर्या में ढालने में कठिनाई महसूस करता है। उसे किसमें सुधार करना चाहिए?</v>
      </c>
      <c r="H306" s="5" t="str">
        <f>IFERROR(__xludf.DUMMYFUNCTION("GOOGLETRANSLATE(C306, ""en"", ""hi"")"),"ए) एक दिनचर्या में चालों का एकीकरण, बी) व्यक्तिगत चालों की कठिनाई, सी) शक्ति प्रशिक्षण, डी) नियमित गति")</f>
        <v>ए) एक दिनचर्या में चालों का एकीकरण, बी) व्यक्तिगत चालों की कठिनाई, सी) शक्ति प्रशिक्षण, डी) नियमित गति</v>
      </c>
      <c r="I306" s="5" t="str">
        <f>IFERROR(__xludf.DUMMYFUNCTION("GOOGLETRANSLATE(D306, ""en"", ""hi"")"),"A) एक दिनचर्या में चालों का एकीकरण")</f>
        <v>A) एक दिनचर्या में चालों का एकीकरण</v>
      </c>
    </row>
    <row r="307" ht="22.5" customHeight="1">
      <c r="A307" s="2">
        <v>306.0</v>
      </c>
      <c r="B307" s="3" t="s">
        <v>10838</v>
      </c>
      <c r="C307" s="3" t="s">
        <v>10839</v>
      </c>
      <c r="D307" s="3" t="s">
        <v>10840</v>
      </c>
      <c r="F307" s="5" t="str">
        <f>IFERROR(__xludf.DUMMYFUNCTION("GOOGLETRANSLATE(A307, ""en"", ""hi"")"),"306")</f>
        <v>306</v>
      </c>
      <c r="G307" s="5" t="str">
        <f>IFERROR(__xludf.DUMMYFUNCTION("GOOGLETRANSLATE(B307, ""en"", ""hi"")"),"एक मलखम्ब एथलीट को निरंतर गति बनाए रखते हुए उच्च-तीव्रता वाले मूव्स करने की अपनी क्षमता को बढ़ाने की ज़रूरत है। उन्हें किन चीज़ों पर काम करना चाहिए?")</f>
        <v>एक मलखम्ब एथलीट को निरंतर गति बनाए रखते हुए उच्च-तीव्रता वाले मूव्स करने की अपनी क्षमता को बढ़ाने की ज़रूरत है। उन्हें किन चीज़ों पर काम करना चाहिए?</v>
      </c>
      <c r="H307" s="5" t="str">
        <f>IFERROR(__xludf.DUMMYFUNCTION("GOOGLETRANSLATE(C307, ""en"", ""hi"")"),"A) उच्च तीव्रता वाले मूव्स में लगातार गति, B) मूव्स की तीव्रता बढ़ाना, C) अधिक स्थिर पोज़ जोड़ना, D) लचीलेपन में सुधार करना")</f>
        <v>A) उच्च तीव्रता वाले मूव्स में लगातार गति, B) मूव्स की तीव्रता बढ़ाना, C) अधिक स्थिर पोज़ जोड़ना, D) लचीलेपन में सुधार करना</v>
      </c>
      <c r="I307" s="5" t="str">
        <f>IFERROR(__xludf.DUMMYFUNCTION("GOOGLETRANSLATE(D307, ""en"", ""hi"")"),"A) उच्च तीव्रता वाले आंदोलनों में निरंतर गति")</f>
        <v>A) उच्च तीव्रता वाले आंदोलनों में निरंतर गति</v>
      </c>
    </row>
    <row r="308" ht="22.5" customHeight="1">
      <c r="A308" s="2">
        <v>307.0</v>
      </c>
      <c r="B308" s="3" t="s">
        <v>10841</v>
      </c>
      <c r="C308" s="3" t="s">
        <v>10842</v>
      </c>
      <c r="D308" s="3" t="s">
        <v>10843</v>
      </c>
      <c r="F308" s="5" t="str">
        <f>IFERROR(__xludf.DUMMYFUNCTION("GOOGLETRANSLATE(A308, ""en"", ""hi"")"),"307")</f>
        <v>307</v>
      </c>
      <c r="G308" s="5" t="str">
        <f>IFERROR(__xludf.DUMMYFUNCTION("GOOGLETRANSLATE(B308, ""en"", ""hi"")"),"प्रदर्शन के दौरान, एथलीट की सटीकता की प्रशंसा की जाती है, लेकिन उसे अपने समग्र ऊर्जा स्तर पर काम करने की सलाह दी जाती है। उन्हें किस पर ध्यान केंद्रित करना चाहिए?")</f>
        <v>प्रदर्शन के दौरान, एथलीट की सटीकता की प्रशंसा की जाती है, लेकिन उसे अपने समग्र ऊर्जा स्तर पर काम करने की सलाह दी जाती है। उन्हें किस पर ध्यान केंद्रित करना चाहिए?</v>
      </c>
      <c r="H308" s="5" t="str">
        <f>IFERROR(__xludf.DUMMYFUNCTION("GOOGLETRANSLATE(C308, ""en"", ""hi"")"),"ए) पूरे रूटीन के दौरान ऊर्जा का स्तर, बी) चालों में सटीकता, सी) रूटीन की जटिलता में वृद्धि, डी) लचीलेपन में वृद्धि")</f>
        <v>ए) पूरे रूटीन के दौरान ऊर्जा का स्तर, बी) चालों में सटीकता, सी) रूटीन की जटिलता में वृद्धि, डी) लचीलेपन में वृद्धि</v>
      </c>
      <c r="I308" s="5" t="str">
        <f>IFERROR(__xludf.DUMMYFUNCTION("GOOGLETRANSLATE(D308, ""en"", ""hi"")"),"A) पूरे दिनचर्या के दौरान ऊर्जा का स्तर")</f>
        <v>A) पूरे दिनचर्या के दौरान ऊर्जा का स्तर</v>
      </c>
    </row>
    <row r="309" ht="22.5" customHeight="1">
      <c r="A309" s="2">
        <v>308.0</v>
      </c>
      <c r="B309" s="3" t="s">
        <v>10844</v>
      </c>
      <c r="C309" s="3" t="s">
        <v>10845</v>
      </c>
      <c r="D309" s="3" t="s">
        <v>10846</v>
      </c>
      <c r="F309" s="5" t="str">
        <f>IFERROR(__xludf.DUMMYFUNCTION("GOOGLETRANSLATE(A309, ""en"", ""hi"")"),"308")</f>
        <v>308</v>
      </c>
      <c r="G309" s="5" t="str">
        <f>IFERROR(__xludf.DUMMYFUNCTION("GOOGLETRANSLATE(B309, ""en"", ""hi"")"),"मलखंभ कलाकार को तेज़ गति वाले व्यायाम के दौरान अपनी गतिविधियों को सुचारू बनाए रखना चुनौतीपूर्ण लगता है। उन्हें किस चीज़ में सुधार करने पर ध्यान केंद्रित करना चाहिए?")</f>
        <v>मलखंभ कलाकार को तेज़ गति वाले व्यायाम के दौरान अपनी गतिविधियों को सुचारू बनाए रखना चुनौतीपूर्ण लगता है। उन्हें किस चीज़ में सुधार करने पर ध्यान केंद्रित करना चाहिए?</v>
      </c>
      <c r="H309" s="5" t="str">
        <f>IFERROR(__xludf.DUMMYFUNCTION("GOOGLETRANSLATE(C309, ""en"", ""hi"")"),"ए) उच्च गति वाले रूटीन में तरलता, बी) चाल की कठिनाई में वृद्धि, सी) ताकत में वृद्धि, डी) रूटीन को छोटा करना")</f>
        <v>ए) उच्च गति वाले रूटीन में तरलता, बी) चाल की कठिनाई में वृद्धि, सी) ताकत में वृद्धि, डी) रूटीन को छोटा करना</v>
      </c>
      <c r="I309" s="5" t="str">
        <f>IFERROR(__xludf.DUMMYFUNCTION("GOOGLETRANSLATE(D309, ""en"", ""hi"")"),"A) उच्च गति वाली दिनचर्या में तरलता")</f>
        <v>A) उच्च गति वाली दिनचर्या में तरलता</v>
      </c>
    </row>
    <row r="310" ht="22.5" customHeight="1">
      <c r="A310" s="2">
        <v>309.0</v>
      </c>
      <c r="B310" s="3" t="s">
        <v>10847</v>
      </c>
      <c r="C310" s="3" t="s">
        <v>10848</v>
      </c>
      <c r="D310" s="3" t="s">
        <v>10849</v>
      </c>
      <c r="F310" s="5" t="str">
        <f>IFERROR(__xludf.DUMMYFUNCTION("GOOGLETRANSLATE(A310, ""en"", ""hi"")"),"309")</f>
        <v>309</v>
      </c>
      <c r="G310" s="5" t="str">
        <f>IFERROR(__xludf.DUMMYFUNCTION("GOOGLETRANSLATE(B310, ""en"", ""hi"")"),"एक एथलीट की दिनचर्या तकनीकी रूप से तो मज़बूत होती है, लेकिन उसमें रचनात्मकता की कमी होती है। उन्हें अपने प्रदर्शन को बेहतर बनाने के लिए किन चीज़ों पर काम करना चाहिए?")</f>
        <v>एक एथलीट की दिनचर्या तकनीकी रूप से तो मज़बूत होती है, लेकिन उसमें रचनात्मकता की कमी होती है। उन्हें अपने प्रदर्शन को बेहतर बनाने के लिए किन चीज़ों पर काम करना चाहिए?</v>
      </c>
      <c r="H310" s="5" t="str">
        <f>IFERROR(__xludf.DUMMYFUNCTION("GOOGLETRANSLATE(C310, ""en"", ""hi"")"),"A) दिनचर्या में रचनात्मकता, B) तकनीकी निष्पादन, C) दिनचर्या की कठिनाई में वृद्धि, D) लचीलेपन में सुधार")</f>
        <v>A) दिनचर्या में रचनात्मकता, B) तकनीकी निष्पादन, C) दिनचर्या की कठिनाई में वृद्धि, D) लचीलेपन में सुधार</v>
      </c>
      <c r="I310" s="5" t="str">
        <f>IFERROR(__xludf.DUMMYFUNCTION("GOOGLETRANSLATE(D310, ""en"", ""hi"")"),"A) दिनचर्या में रचनात्मकता")</f>
        <v>A) दिनचर्या में रचनात्मकता</v>
      </c>
    </row>
    <row r="311" ht="22.5" customHeight="1">
      <c r="A311" s="2">
        <v>310.0</v>
      </c>
      <c r="B311" s="3" t="s">
        <v>10850</v>
      </c>
      <c r="C311" s="3" t="s">
        <v>10851</v>
      </c>
      <c r="D311" s="3" t="s">
        <v>10852</v>
      </c>
      <c r="F311" s="5" t="str">
        <f>IFERROR(__xludf.DUMMYFUNCTION("GOOGLETRANSLATE(A311, ""en"", ""hi"")"),"310")</f>
        <v>310</v>
      </c>
      <c r="G311" s="5" t="str">
        <f>IFERROR(__xludf.DUMMYFUNCTION("GOOGLETRANSLATE(B311, ""en"", ""hi"")"),"अभ्यास के दौरान, एक एथलीट की दिनचर्या उसकी तकनीकी दक्षता के लिए जानी जाती है, लेकिन लय की कमी के लिए उसकी आलोचना भी होती है। ध्यान देने योग्य मुख्य क्षेत्र क्या है?")</f>
        <v>अभ्यास के दौरान, एक एथलीट की दिनचर्या उसकी तकनीकी दक्षता के लिए जानी जाती है, लेकिन लय की कमी के लिए उसकी आलोचना भी होती है। ध्यान देने योग्य मुख्य क्षेत्र क्या है?</v>
      </c>
      <c r="H311" s="5" t="str">
        <f>IFERROR(__xludf.DUMMYFUNCTION("GOOGLETRANSLATE(C311, ""en"", ""hi"")"),"ए) दिनचर्या में लय, बी) तकनीकी निष्पादन, सी) अधिक गतिशील चालें जोड़ना, डी) लचीलेपन में सुधार")</f>
        <v>ए) दिनचर्या में लय, बी) तकनीकी निष्पादन, सी) अधिक गतिशील चालें जोड़ना, डी) लचीलेपन में सुधार</v>
      </c>
      <c r="I311" s="5" t="str">
        <f>IFERROR(__xludf.DUMMYFUNCTION("GOOGLETRANSLATE(D311, ""en"", ""hi"")"),"A) दिनचर्या में लय")</f>
        <v>A) दिनचर्या में लय</v>
      </c>
    </row>
    <row r="312" ht="22.5" customHeight="1">
      <c r="A312" s="2">
        <v>311.0</v>
      </c>
      <c r="B312" s="3" t="s">
        <v>10853</v>
      </c>
      <c r="C312" s="3" t="s">
        <v>10854</v>
      </c>
      <c r="D312" s="3" t="s">
        <v>10855</v>
      </c>
      <c r="F312" s="5" t="str">
        <f>IFERROR(__xludf.DUMMYFUNCTION("GOOGLETRANSLATE(A312, ""en"", ""hi"")"),"311")</f>
        <v>311</v>
      </c>
      <c r="G312" s="5" t="str">
        <f>IFERROR(__xludf.DUMMYFUNCTION("GOOGLETRANSLATE(B312, ""en"", ""hi"")"),"मलखंभ कलाकार की ताकत की तारीफ़ की जाती है, लेकिन जटिल करतबों के दौरान उन्हें अपने संतुलन पर काम करना पड़ता है। उन्हें किस पर ध्यान केंद्रित करना चाहिए?")</f>
        <v>मलखंभ कलाकार की ताकत की तारीफ़ की जाती है, लेकिन जटिल करतबों के दौरान उन्हें अपने संतुलन पर काम करना पड़ता है। उन्हें किस पर ध्यान केंद्रित करना चाहिए?</v>
      </c>
      <c r="H312" s="5" t="str">
        <f>IFERROR(__xludf.DUMMYFUNCTION("GOOGLETRANSLATE(C312, ""en"", ""hi"")"),"A) जटिल गतिविधियों के दौरान संतुलन, B) ताकत बढ़ाना, C) अधिक स्थिर मुद्राएँ जोड़ना, D) नियमित जटिलता को कम करना")</f>
        <v>A) जटिल गतिविधियों के दौरान संतुलन, B) ताकत बढ़ाना, C) अधिक स्थिर मुद्राएँ जोड़ना, D) नियमित जटिलता को कम करना</v>
      </c>
      <c r="I312" s="5" t="str">
        <f>IFERROR(__xludf.DUMMYFUNCTION("GOOGLETRANSLATE(D312, ""en"", ""hi"")"),"A) जटिल चालों के दौरान संतुलन")</f>
        <v>A) जटिल चालों के दौरान संतुलन</v>
      </c>
    </row>
    <row r="313" ht="22.5" customHeight="1">
      <c r="A313" s="2">
        <v>312.0</v>
      </c>
      <c r="B313" s="3" t="s">
        <v>10856</v>
      </c>
      <c r="C313" s="3" t="s">
        <v>10857</v>
      </c>
      <c r="D313" s="3" t="s">
        <v>10858</v>
      </c>
      <c r="F313" s="5" t="str">
        <f>IFERROR(__xludf.DUMMYFUNCTION("GOOGLETRANSLATE(A313, ""en"", ""hi"")"),"312")</f>
        <v>312</v>
      </c>
      <c r="G313" s="5" t="str">
        <f>IFERROR(__xludf.DUMMYFUNCTION("GOOGLETRANSLATE(B313, ""en"", ""hi"")"),"एक एथलीट को उच्च दबाव वाले प्रदर्शन के दौरान संयम बनाए रखना मुश्किल लगता है। सुधार के लिए उन्हें क्या करना चाहिए?")</f>
        <v>एक एथलीट को उच्च दबाव वाले प्रदर्शन के दौरान संयम बनाए रखना मुश्किल लगता है। सुधार के लिए उन्हें क्या करना चाहिए?</v>
      </c>
      <c r="H313" s="5" t="str">
        <f>IFERROR(__xludf.DUMMYFUNCTION("GOOGLETRANSLATE(C313, ""en"", ""hi"")"),"A) दबाव में धैर्य बनाए रखना, B) दिनचर्या की कठिनाई को बढ़ाना, C) ताकत बढ़ाना, D) लचीलेपन में सुधार करना")</f>
        <v>A) दबाव में धैर्य बनाए रखना, B) दिनचर्या की कठिनाई को बढ़ाना, C) ताकत बढ़ाना, D) लचीलेपन में सुधार करना</v>
      </c>
      <c r="I313" s="5" t="str">
        <f>IFERROR(__xludf.DUMMYFUNCTION("GOOGLETRANSLATE(D313, ""en"", ""hi"")"),"A) दबाव में धैर्य")</f>
        <v>A) दबाव में धैर्य</v>
      </c>
    </row>
    <row r="314" ht="22.5" customHeight="1">
      <c r="A314" s="2">
        <v>313.0</v>
      </c>
      <c r="B314" s="3" t="s">
        <v>10859</v>
      </c>
      <c r="C314" s="3" t="s">
        <v>10860</v>
      </c>
      <c r="D314" s="3" t="s">
        <v>10738</v>
      </c>
      <c r="F314" s="5" t="str">
        <f>IFERROR(__xludf.DUMMYFUNCTION("GOOGLETRANSLATE(A314, ""en"", ""hi"")"),"313")</f>
        <v>313</v>
      </c>
      <c r="G314" s="5" t="str">
        <f>IFERROR(__xludf.DUMMYFUNCTION("GOOGLETRANSLATE(B314, ""en"", ""hi"")"),"मलखम्ब एथलीट ताकत में तो उत्कृष्ट होता है, लेकिन आसनों के बीच संक्रमण में उसे तरलता बनाए रखने में दिक्कत होती है। उन्हें किस पर ध्यान केंद्रित करना चाहिए?")</f>
        <v>मलखम्ब एथलीट ताकत में तो उत्कृष्ट होता है, लेकिन आसनों के बीच संक्रमण में उसे तरलता बनाए रखने में दिक्कत होती है। उन्हें किस पर ध्यान केंद्रित करना चाहिए?</v>
      </c>
      <c r="H314" s="5" t="str">
        <f>IFERROR(__xludf.DUMMYFUNCTION("GOOGLETRANSLATE(C314, ""en"", ""hi"")"),"ए) संक्रमण में तरलता, बी) ताकत में वृद्धि, सी) अधिक गतिशील चालें जोड़ना, डी) नियमित लंबाई को कम करना")</f>
        <v>ए) संक्रमण में तरलता, बी) ताकत में वृद्धि, सी) अधिक गतिशील चालें जोड़ना, डी) नियमित लंबाई को कम करना</v>
      </c>
      <c r="I314" s="5" t="str">
        <f>IFERROR(__xludf.DUMMYFUNCTION("GOOGLETRANSLATE(D314, ""en"", ""hi"")"),"A) संक्रमण में तरलता")</f>
        <v>A) संक्रमण में तरलता</v>
      </c>
    </row>
    <row r="315" ht="22.5" customHeight="1">
      <c r="A315" s="2">
        <v>314.0</v>
      </c>
      <c r="B315" s="3" t="s">
        <v>10861</v>
      </c>
      <c r="C315" s="3" t="s">
        <v>10862</v>
      </c>
      <c r="D315" s="3" t="s">
        <v>10863</v>
      </c>
      <c r="F315" s="5" t="str">
        <f>IFERROR(__xludf.DUMMYFUNCTION("GOOGLETRANSLATE(A315, ""en"", ""hi"")"),"314")</f>
        <v>314</v>
      </c>
      <c r="G315" s="5" t="str">
        <f>IFERROR(__xludf.DUMMYFUNCTION("GOOGLETRANSLATE(B315, ""en"", ""hi"")"),"अभ्यास के दौरान, एक कलाकार अपनी ताकत के लिए जाना जाता है, लेकिन जटिल चालों को करने में उसकी सटीकता में कमी होती है। उन्हें किसमें सुधार करना चाहिए?")</f>
        <v>अभ्यास के दौरान, एक कलाकार अपनी ताकत के लिए जाना जाता है, लेकिन जटिल चालों को करने में उसकी सटीकता में कमी होती है। उन्हें किसमें सुधार करना चाहिए?</v>
      </c>
      <c r="H315" s="5" t="str">
        <f>IFERROR(__xludf.DUMMYFUNCTION("GOOGLETRANSLATE(C315, ""en"", ""hi"")"),"A) जटिल चालों में सटीकता, B) ताकत बढ़ाना, C) अधिक स्थिर मुद्राएँ जोड़ना, D) लचीलेपन में सुधार")</f>
        <v>A) जटिल चालों में सटीकता, B) ताकत बढ़ाना, C) अधिक स्थिर मुद्राएँ जोड़ना, D) लचीलेपन में सुधार</v>
      </c>
      <c r="I315" s="5" t="str">
        <f>IFERROR(__xludf.DUMMYFUNCTION("GOOGLETRANSLATE(D315, ""en"", ""hi"")"),"A) जटिल चालों में सटीकता")</f>
        <v>A) जटिल चालों में सटीकता</v>
      </c>
    </row>
    <row r="316" ht="22.5" customHeight="1">
      <c r="A316" s="2">
        <v>315.0</v>
      </c>
      <c r="B316" s="3" t="s">
        <v>10864</v>
      </c>
      <c r="C316" s="3" t="s">
        <v>10865</v>
      </c>
      <c r="D316" s="3" t="s">
        <v>10866</v>
      </c>
      <c r="F316" s="5" t="str">
        <f>IFERROR(__xludf.DUMMYFUNCTION("GOOGLETRANSLATE(A316, ""en"", ""hi"")"),"315")</f>
        <v>315</v>
      </c>
      <c r="G316" s="5" t="str">
        <f>IFERROR(__xludf.DUMMYFUNCTION("GOOGLETRANSLATE(B316, ""en"", ""hi"")"),"मलखम्ब एथलीट को सलाह दी जाती है कि वे अपने अभ्यास के दौरान अपनी ऊर्जा के स्तर पर काम करें, जो कमज़ोर दिखाई देता है। उन्हें किस पर ध्यान केंद्रित करना चाहिए?")</f>
        <v>मलखम्ब एथलीट को सलाह दी जाती है कि वे अपने अभ्यास के दौरान अपनी ऊर्जा के स्तर पर काम करें, जो कमज़ोर दिखाई देता है। उन्हें किस पर ध्यान केंद्रित करना चाहिए?</v>
      </c>
      <c r="H316" s="5" t="str">
        <f>IFERROR(__xludf.DUMMYFUNCTION("GOOGLETRANSLATE(C316, ""en"", ""hi"")"),"ए) दिनचर्या के दौरान ऊर्जा का स्तर, बी) कठिनाई में वृद्धि, सी) अधिक शक्ति-आधारित चालें जोड़ना, डी) लचीलेपन में सुधार")</f>
        <v>ए) दिनचर्या के दौरान ऊर्जा का स्तर, बी) कठिनाई में वृद्धि, सी) अधिक शक्ति-आधारित चालें जोड़ना, डी) लचीलेपन में सुधार</v>
      </c>
      <c r="I316" s="5" t="str">
        <f>IFERROR(__xludf.DUMMYFUNCTION("GOOGLETRANSLATE(D316, ""en"", ""hi"")"),"A) दिनचर्या के दौरान ऊर्जा का स्तर")</f>
        <v>A) दिनचर्या के दौरान ऊर्जा का स्तर</v>
      </c>
    </row>
    <row r="317" ht="22.5" customHeight="1">
      <c r="A317" s="2">
        <v>316.0</v>
      </c>
      <c r="B317" s="3" t="s">
        <v>10867</v>
      </c>
      <c r="C317" s="3" t="s">
        <v>10868</v>
      </c>
      <c r="D317" s="3" t="s">
        <v>10869</v>
      </c>
      <c r="F317" s="5" t="str">
        <f>IFERROR(__xludf.DUMMYFUNCTION("GOOGLETRANSLATE(A317, ""en"", ""hi"")"),"316")</f>
        <v>316</v>
      </c>
      <c r="G317" s="5" t="str">
        <f>IFERROR(__xludf.DUMMYFUNCTION("GOOGLETRANSLATE(B317, ""en"", ""hi"")"),"समन्वय की कमी के कारण एक एथलीट को अपनी दिनचर्या में सहज बदलाव लाना चुनौतीपूर्ण लगता है। उन्हें किस पर काम करना चाहिए?")</f>
        <v>समन्वय की कमी के कारण एक एथलीट को अपनी दिनचर्या में सहज बदलाव लाना चुनौतीपूर्ण लगता है। उन्हें किस पर काम करना चाहिए?</v>
      </c>
      <c r="H317" s="5" t="str">
        <f>IFERROR(__xludf.DUMMYFUNCTION("GOOGLETRANSLATE(C317, ""en"", ""hi"")"),"A) संक्रमण में समन्वय, B) दिनचर्या की जटिलता में वृद्धि, C) शक्ति में वृद्धि, D) लचीलेपन में सुधार")</f>
        <v>A) संक्रमण में समन्वय, B) दिनचर्या की जटिलता में वृद्धि, C) शक्ति में वृद्धि, D) लचीलेपन में सुधार</v>
      </c>
      <c r="I317" s="5" t="str">
        <f>IFERROR(__xludf.DUMMYFUNCTION("GOOGLETRANSLATE(D317, ""en"", ""hi"")"),"A) संक्रमण में समन्वय")</f>
        <v>A) संक्रमण में समन्वय</v>
      </c>
    </row>
    <row r="318" ht="22.5" customHeight="1">
      <c r="A318" s="2">
        <v>317.0</v>
      </c>
      <c r="B318" s="3" t="s">
        <v>10870</v>
      </c>
      <c r="C318" s="3" t="s">
        <v>10871</v>
      </c>
      <c r="D318" s="3" t="s">
        <v>10872</v>
      </c>
      <c r="F318" s="5" t="str">
        <f>IFERROR(__xludf.DUMMYFUNCTION("GOOGLETRANSLATE(A318, ""en"", ""hi"")"),"317")</f>
        <v>317</v>
      </c>
      <c r="G318" s="5" t="str">
        <f>IFERROR(__xludf.DUMMYFUNCTION("GOOGLETRANSLATE(B318, ""en"", ""hi"")"),"एक कलाकार की प्रशंसा उसके गतिशील मूव्स के लिए होती है, लेकिन लंबे रूटीन के दौरान उसे अपनी सहनशक्ति पर काम करने की ज़रूरत होती है। उसे किस पर ध्यान केंद्रित करना चाहिए?")</f>
        <v>एक कलाकार की प्रशंसा उसके गतिशील मूव्स के लिए होती है, लेकिन लंबे रूटीन के दौरान उसे अपनी सहनशक्ति पर काम करने की ज़रूरत होती है। उसे किस पर ध्यान केंद्रित करना चाहिए?</v>
      </c>
      <c r="H318" s="5" t="str">
        <f>IFERROR(__xludf.DUMMYFUNCTION("GOOGLETRANSLATE(C318, ""en"", ""hi"")"),"A) लंबे रूटीन के दौरान धीरज, B) गतिशील चालों को बढ़ाना, C) अधिक स्थिर पोज़ जोड़ना, D) रूटीन की लंबाई कम करना")</f>
        <v>A) लंबे रूटीन के दौरान धीरज, B) गतिशील चालों को बढ़ाना, C) अधिक स्थिर पोज़ जोड़ना, D) रूटीन की लंबाई कम करना</v>
      </c>
      <c r="I318" s="5" t="str">
        <f>IFERROR(__xludf.DUMMYFUNCTION("GOOGLETRANSLATE(D318, ""en"", ""hi"")"),"A) लंबी दिनचर्या के दौरान धीरज")</f>
        <v>A) लंबी दिनचर्या के दौरान धीरज</v>
      </c>
    </row>
    <row r="319" ht="22.5" customHeight="1">
      <c r="A319" s="2">
        <v>318.0</v>
      </c>
      <c r="B319" s="3" t="s">
        <v>10873</v>
      </c>
      <c r="C319" s="3" t="s">
        <v>10874</v>
      </c>
      <c r="D319" s="3" t="s">
        <v>10875</v>
      </c>
      <c r="F319" s="5" t="str">
        <f>IFERROR(__xludf.DUMMYFUNCTION("GOOGLETRANSLATE(A319, ""en"", ""hi"")"),"318")</f>
        <v>318</v>
      </c>
      <c r="G319" s="5" t="str">
        <f>IFERROR(__xludf.DUMMYFUNCTION("GOOGLETRANSLATE(B319, ""en"", ""hi"")"),"मलखम्ब एथलीट अपनी चालों के सटीक निष्पादन के लिए जाने जाते हैं, लेकिन कुल मिलाकर उन्हें नियमित अभ्यास में सहजता बनाए रखने में दिक्कत होती है। उन्हें किसमें सुधार करना चाहिए?")</f>
        <v>मलखम्ब एथलीट अपनी चालों के सटीक निष्पादन के लिए जाने जाते हैं, लेकिन कुल मिलाकर उन्हें नियमित अभ्यास में सहजता बनाए रखने में दिक्कत होती है। उन्हें किसमें सुधार करना चाहिए?</v>
      </c>
      <c r="H319" s="5" t="str">
        <f>IFERROR(__xludf.DUMMYFUNCTION("GOOGLETRANSLATE(C319, ""en"", ""hi"")"),"A) नियमित तरलता, B) चालों में सटीकता, C) अधिक गतिशील तत्वों को जोड़ना, D) लचीलेपन को बढ़ाना")</f>
        <v>A) नियमित तरलता, B) चालों में सटीकता, C) अधिक गतिशील तत्वों को जोड़ना, D) लचीलेपन को बढ़ाना</v>
      </c>
      <c r="I319" s="5" t="str">
        <f>IFERROR(__xludf.DUMMYFUNCTION("GOOGLETRANSLATE(D319, ""en"", ""hi"")"),"A) दिनचर्या की तरलता")</f>
        <v>A) दिनचर्या की तरलता</v>
      </c>
    </row>
    <row r="320" ht="22.5" customHeight="1">
      <c r="A320" s="2">
        <v>319.0</v>
      </c>
      <c r="B320" s="3" t="s">
        <v>10876</v>
      </c>
      <c r="C320" s="3" t="s">
        <v>10877</v>
      </c>
      <c r="D320" s="3" t="s">
        <v>10878</v>
      </c>
      <c r="F320" s="5" t="str">
        <f>IFERROR(__xludf.DUMMYFUNCTION("GOOGLETRANSLATE(A320, ""en"", ""hi"")"),"319")</f>
        <v>319</v>
      </c>
      <c r="G320" s="5" t="str">
        <f>IFERROR(__xludf.DUMMYFUNCTION("GOOGLETRANSLATE(B320, ""en"", ""hi"")"),"किसी प्रदर्शन के दौरान, किसी एथलीट की अपनी प्रस्तुति में अभिव्यक्ति की कमी के लिए आलोचना की जाती है। इस विषय पर ध्यान देने योग्य मुख्य बिंदु क्या है?")</f>
        <v>किसी प्रदर्शन के दौरान, किसी एथलीट की अपनी प्रस्तुति में अभिव्यक्ति की कमी के लिए आलोचना की जाती है। इस विषय पर ध्यान देने योग्य मुख्य बिंदु क्या है?</v>
      </c>
      <c r="H320" s="5" t="str">
        <f>IFERROR(__xludf.DUMMYFUNCTION("GOOGLETRANSLATE(C320, ""en"", ""hi"")"),"ए) अभिव्यक्ति, बी) तकनीकी निष्पादन, सी) अधिक जटिल चालें जोड़ना, डी) लचीलेपन में सुधार")</f>
        <v>ए) अभिव्यक्ति, बी) तकनीकी निष्पादन, सी) अधिक जटिल चालें जोड़ना, डी) लचीलेपन में सुधार</v>
      </c>
      <c r="I320" s="5" t="str">
        <f>IFERROR(__xludf.DUMMYFUNCTION("GOOGLETRANSLATE(D320, ""en"", ""hi"")"),"ए) अभिव्यक्ति")</f>
        <v>ए) अभिव्यक्ति</v>
      </c>
    </row>
    <row r="321" ht="22.5" customHeight="1">
      <c r="A321" s="2">
        <v>320.0</v>
      </c>
      <c r="B321" s="3" t="s">
        <v>10879</v>
      </c>
      <c r="C321" s="3" t="s">
        <v>10880</v>
      </c>
      <c r="D321" s="3" t="s">
        <v>10881</v>
      </c>
      <c r="F321" s="5" t="str">
        <f>IFERROR(__xludf.DUMMYFUNCTION("GOOGLETRANSLATE(A321, ""en"", ""hi"")"),"320")</f>
        <v>320</v>
      </c>
      <c r="G321" s="5" t="str">
        <f>IFERROR(__xludf.DUMMYFUNCTION("GOOGLETRANSLATE(B321, ""en"", ""hi"")"),"मलखंभ कलाकारों के प्रदर्शन में विभिन्न वर्गों के बीच प्रवाह का अभाव होता है। उन्हें अपने प्रदर्शन को बेहतर बनाने के लिए क्या करना चाहिए?")</f>
        <v>मलखंभ कलाकारों के प्रदर्शन में विभिन्न वर्गों के बीच प्रवाह का अभाव होता है। उन्हें अपने प्रदर्शन को बेहतर बनाने के लिए क्या करना चाहिए?</v>
      </c>
      <c r="H321" s="5" t="str">
        <f>IFERROR(__xludf.DUMMYFUNCTION("GOOGLETRANSLATE(C321, ""en"", ""hi"")"),"ए) खंडों के बीच प्रवाह, बी) कठिनाई में वृद्धि, सी) अधिक गतिशील चालें जोड़ना, डी) लचीलेपन में सुधार")</f>
        <v>ए) खंडों के बीच प्रवाह, बी) कठिनाई में वृद्धि, सी) अधिक गतिशील चालें जोड़ना, डी) लचीलेपन में सुधार</v>
      </c>
      <c r="I321" s="5" t="str">
        <f>IFERROR(__xludf.DUMMYFUNCTION("GOOGLETRANSLATE(D321, ""en"", ""hi"")"),"A) खंडों के बीच प्रवाह")</f>
        <v>A) खंडों के बीच प्रवाह</v>
      </c>
    </row>
    <row r="322" ht="22.5" customHeight="1">
      <c r="A322" s="2">
        <v>321.0</v>
      </c>
      <c r="B322" s="3" t="s">
        <v>10882</v>
      </c>
      <c r="C322" s="3" t="s">
        <v>10883</v>
      </c>
      <c r="D322" s="3" t="s">
        <v>10884</v>
      </c>
      <c r="F322" s="5" t="str">
        <f>IFERROR(__xludf.DUMMYFUNCTION("GOOGLETRANSLATE(A322, ""en"", ""hi"")"),"321")</f>
        <v>321</v>
      </c>
      <c r="G322" s="5" t="str">
        <f>IFERROR(__xludf.DUMMYFUNCTION("GOOGLETRANSLATE(B322, ""en"", ""hi"")"),"एक एथलीट स्थिर मुद्राओं में तो अच्छा है, लेकिन पूरे अभ्यास के दौरान ऊर्जा बनाए रखना उसके लिए मुश्किल होता है। उसे क्या सुधार करना चाहिए?")</f>
        <v>एक एथलीट स्थिर मुद्राओं में तो अच्छा है, लेकिन पूरे अभ्यास के दौरान ऊर्जा बनाए रखना उसके लिए मुश्किल होता है। उसे क्या सुधार करना चाहिए?</v>
      </c>
      <c r="H322" s="5" t="str">
        <f>IFERROR(__xludf.DUMMYFUNCTION("GOOGLETRANSLATE(C322, ""en"", ""hi"")"),"ए) पूरे अभ्यास के दौरान ऊर्जा, बी) स्थिर मुद्राओं में शक्ति, सी) गतिशील चालों में वृद्धि, डी) अभ्यास की लंबाई में कमी")</f>
        <v>ए) पूरे अभ्यास के दौरान ऊर्जा, बी) स्थिर मुद्राओं में शक्ति, सी) गतिशील चालों में वृद्धि, डी) अभ्यास की लंबाई में कमी</v>
      </c>
      <c r="I322" s="5" t="str">
        <f>IFERROR(__xludf.DUMMYFUNCTION("GOOGLETRANSLATE(D322, ""en"", ""hi"")"),"A) पूरे दिनचर्या में ऊर्जा")</f>
        <v>A) पूरे दिनचर्या में ऊर्जा</v>
      </c>
    </row>
    <row r="323" ht="22.5" customHeight="1">
      <c r="A323" s="2">
        <v>322.0</v>
      </c>
      <c r="B323" s="3" t="s">
        <v>10885</v>
      </c>
      <c r="C323" s="3" t="s">
        <v>10886</v>
      </c>
      <c r="D323" s="3" t="s">
        <v>10887</v>
      </c>
      <c r="F323" s="5" t="str">
        <f>IFERROR(__xludf.DUMMYFUNCTION("GOOGLETRANSLATE(A323, ""en"", ""hi"")"),"322")</f>
        <v>322</v>
      </c>
      <c r="G323" s="5" t="str">
        <f>IFERROR(__xludf.DUMMYFUNCTION("GOOGLETRANSLATE(B323, ""en"", ""hi"")"),"मलखंभ प्रतियोगिता के दौरान, कलाकार अपने तकनीकी कौशल के लिए जाने जाते हैं, लेकिन उन्हें अपनी कलात्मक प्रस्तुति पर भी काम करना होता है। उन्हें किस पर ध्यान केंद्रित करना चाहिए?")</f>
        <v>मलखंभ प्रतियोगिता के दौरान, कलाकार अपने तकनीकी कौशल के लिए जाने जाते हैं, लेकिन उन्हें अपनी कलात्मक प्रस्तुति पर भी काम करना होता है। उन्हें किस पर ध्यान केंद्रित करना चाहिए?</v>
      </c>
      <c r="H323" s="5" t="str">
        <f>IFERROR(__xludf.DUMMYFUNCTION("GOOGLETRANSLATE(C323, ""en"", ""hi"")"),"A) कलात्मक प्रस्तुति, B) तकनीकी कौशल, C) दिनचर्या की जटिलता में वृद्धि, D) लचीलेपन में सुधार")</f>
        <v>A) कलात्मक प्रस्तुति, B) तकनीकी कौशल, C) दिनचर्या की जटिलता में वृद्धि, D) लचीलेपन में सुधार</v>
      </c>
      <c r="I323" s="5" t="str">
        <f>IFERROR(__xludf.DUMMYFUNCTION("GOOGLETRANSLATE(D323, ""en"", ""hi"")"),"ए) कलात्मक प्रस्तुति")</f>
        <v>ए) कलात्मक प्रस्तुति</v>
      </c>
    </row>
    <row r="324" ht="22.5" customHeight="1">
      <c r="A324" s="2">
        <v>323.0</v>
      </c>
      <c r="B324" s="3" t="s">
        <v>10888</v>
      </c>
      <c r="C324" s="3" t="s">
        <v>10889</v>
      </c>
      <c r="D324" s="3" t="s">
        <v>10735</v>
      </c>
      <c r="F324" s="5" t="str">
        <f>IFERROR(__xludf.DUMMYFUNCTION("GOOGLETRANSLATE(A324, ""en"", ""hi"")"),"323")</f>
        <v>323</v>
      </c>
      <c r="G324" s="5" t="str">
        <f>IFERROR(__xludf.DUMMYFUNCTION("GOOGLETRANSLATE(B324, ""en"", ""hi"")"),"मलखम्ब एथलीट को उच्च तीव्रता वाले मूव्स के दौरान अपनी पकड़ मज़बूत रखने में दिक्कत होती है। उनका मुख्य ध्यान किस पर होना चाहिए?")</f>
        <v>मलखम्ब एथलीट को उच्च तीव्रता वाले मूव्स के दौरान अपनी पकड़ मज़बूत रखने में दिक्कत होती है। उनका मुख्य ध्यान किस पर होना चाहिए?</v>
      </c>
      <c r="H324" s="5" t="str">
        <f>IFERROR(__xludf.DUMMYFUNCTION("GOOGLETRANSLATE(C324, ""en"", ""hi"")"),"A) पकड़ की मजबूती, B) लचीलापन, C) मुद्रा की कठिनाई, D) नियमित गति")</f>
        <v>A) पकड़ की मजबूती, B) लचीलापन, C) मुद्रा की कठिनाई, D) नियमित गति</v>
      </c>
      <c r="I324" s="5" t="str">
        <f>IFERROR(__xludf.DUMMYFUNCTION("GOOGLETRANSLATE(D324, ""en"", ""hi"")"),"A) पकड़ की ताकत")</f>
        <v>A) पकड़ की ताकत</v>
      </c>
    </row>
    <row r="325" ht="22.5" customHeight="1">
      <c r="A325" s="2">
        <v>324.0</v>
      </c>
      <c r="B325" s="3" t="s">
        <v>10890</v>
      </c>
      <c r="C325" s="3" t="s">
        <v>10891</v>
      </c>
      <c r="D325" s="3" t="s">
        <v>10892</v>
      </c>
      <c r="F325" s="5" t="str">
        <f>IFERROR(__xludf.DUMMYFUNCTION("GOOGLETRANSLATE(A325, ""en"", ""hi"")"),"324")</f>
        <v>324</v>
      </c>
      <c r="G325" s="5" t="str">
        <f>IFERROR(__xludf.DUMMYFUNCTION("GOOGLETRANSLATE(B325, ""en"", ""hi"")"),"एक एथलीट का रूटीन तकनीकी रूप से तो दोषरहित है, लेकिन दर्शकों के साथ भावनात्मक जुड़ाव की कमी है। उन्हें क्या सुधार करना चाहिए?")</f>
        <v>एक एथलीट का रूटीन तकनीकी रूप से तो दोषरहित है, लेकिन दर्शकों के साथ भावनात्मक जुड़ाव की कमी है। उन्हें क्या सुधार करना चाहिए?</v>
      </c>
      <c r="H325" s="5" t="str">
        <f>IFERROR(__xludf.DUMMYFUNCTION("GOOGLETRANSLATE(C325, ""en"", ""hi"")"),"A) दर्शकों के साथ भावनात्मक जुड़ाव, B) तकनीकी निष्पादन, C) अधिक जटिल चालें जोड़ना, D) लचीलापन बढ़ाना")</f>
        <v>A) दर्शकों के साथ भावनात्मक जुड़ाव, B) तकनीकी निष्पादन, C) अधिक जटिल चालें जोड़ना, D) लचीलापन बढ़ाना</v>
      </c>
      <c r="I325" s="5" t="str">
        <f>IFERROR(__xludf.DUMMYFUNCTION("GOOGLETRANSLATE(D325, ""en"", ""hi"")"),"A) दर्शकों के साथ भावनात्मक जुड़ाव")</f>
        <v>A) दर्शकों के साथ भावनात्मक जुड़ाव</v>
      </c>
    </row>
    <row r="326" ht="22.5" customHeight="1">
      <c r="A326" s="2">
        <v>325.0</v>
      </c>
      <c r="B326" s="3" t="s">
        <v>10893</v>
      </c>
      <c r="C326" s="3" t="s">
        <v>10894</v>
      </c>
      <c r="D326" s="3" t="s">
        <v>10895</v>
      </c>
      <c r="F326" s="5" t="str">
        <f>IFERROR(__xludf.DUMMYFUNCTION("GOOGLETRANSLATE(A326, ""en"", ""hi"")"),"325")</f>
        <v>325</v>
      </c>
      <c r="G326" s="5" t="str">
        <f>IFERROR(__xludf.DUMMYFUNCTION("GOOGLETRANSLATE(B326, ""en"", ""hi"")"),"मलखंभ कलाकारों को सलाह दी जाती है कि वे अपनी लय में अनियमितता के कारण अपने समग्र प्रवाह पर काम करें। उन्हें किस पर ध्यान केंद्रित करना चाहिए?")</f>
        <v>मलखंभ कलाकारों को सलाह दी जाती है कि वे अपनी लय में अनियमितता के कारण अपने समग्र प्रवाह पर काम करें। उन्हें किस पर ध्यान केंद्रित करना चाहिए?</v>
      </c>
      <c r="H326" s="5" t="str">
        <f>IFERROR(__xludf.DUMMYFUNCTION("GOOGLETRANSLATE(C326, ""en"", ""hi"")"),"A) लगातार गति, B) दिनचर्या की जटिलता में वृद्धि, C) ताकत में वृद्धि, D) लचीलेपन में सुधार")</f>
        <v>A) लगातार गति, B) दिनचर्या की जटिलता में वृद्धि, C) ताकत में वृद्धि, D) लचीलेपन में सुधार</v>
      </c>
      <c r="I326" s="5" t="str">
        <f>IFERROR(__xludf.DUMMYFUNCTION("GOOGLETRANSLATE(D326, ""en"", ""hi"")"),"A) लगातार गति")</f>
        <v>A) लगातार गति</v>
      </c>
    </row>
    <row r="327" ht="22.5" customHeight="1">
      <c r="A327" s="2">
        <v>326.0</v>
      </c>
      <c r="B327" s="3" t="s">
        <v>10896</v>
      </c>
      <c r="C327" s="3" t="s">
        <v>10897</v>
      </c>
      <c r="D327" s="3" t="s">
        <v>10898</v>
      </c>
      <c r="F327" s="5" t="str">
        <f>IFERROR(__xludf.DUMMYFUNCTION("GOOGLETRANSLATE(A327, ""en"", ""hi"")"),"326")</f>
        <v>326</v>
      </c>
      <c r="G327" s="5" t="str">
        <f>IFERROR(__xludf.DUMMYFUNCTION("GOOGLETRANSLATE(B327, ""en"", ""hi"")"),"अभ्यास के दौरान, एक एथलीट का प्रदर्शन उसकी सटीकता के लिए जाना जाता है, लेकिन समग्र ऊर्जा का अभाव होता है। ध्यान देने योग्य मुख्य क्षेत्र क्या है?")</f>
        <v>अभ्यास के दौरान, एक एथलीट का प्रदर्शन उसकी सटीकता के लिए जाना जाता है, लेकिन समग्र ऊर्जा का अभाव होता है। ध्यान देने योग्य मुख्य क्षेत्र क्या है?</v>
      </c>
      <c r="H327" s="5" t="str">
        <f>IFERROR(__xludf.DUMMYFUNCTION("GOOGLETRANSLATE(C327, ""en"", ""hi"")"),"ए) समग्र ऊर्जा, बी) चालों में सटीकता, सी) अधिक गतिशील तत्वों को जोड़ना, डी) लचीलेपन को बढ़ाना")</f>
        <v>ए) समग्र ऊर्जा, बी) चालों में सटीकता, सी) अधिक गतिशील तत्वों को जोड़ना, डी) लचीलेपन को बढ़ाना</v>
      </c>
      <c r="I327" s="5" t="str">
        <f>IFERROR(__xludf.DUMMYFUNCTION("GOOGLETRANSLATE(D327, ""en"", ""hi"")"),"A) समग्र ऊर्जा")</f>
        <v>A) समग्र ऊर्जा</v>
      </c>
    </row>
    <row r="328" ht="22.5" customHeight="1">
      <c r="A328" s="2">
        <v>327.0</v>
      </c>
      <c r="B328" s="3" t="s">
        <v>10899</v>
      </c>
      <c r="C328" s="3" t="s">
        <v>10900</v>
      </c>
      <c r="D328" s="3" t="s">
        <v>10901</v>
      </c>
      <c r="F328" s="5" t="str">
        <f>IFERROR(__xludf.DUMMYFUNCTION("GOOGLETRANSLATE(A328, ""en"", ""hi"")"),"327")</f>
        <v>327</v>
      </c>
      <c r="G328" s="5" t="str">
        <f>IFERROR(__xludf.DUMMYFUNCTION("GOOGLETRANSLATE(B328, ""en"", ""hi"")"),"मलखम्ब एथलीट गतिशील गतिविधियों में तो मज़बूत होता है, लेकिन लंबे अभ्यास के दौरान उसे सहनशक्ति की कमी महसूस होती है। उन्हें किसमें सुधार करने पर ध्यान देना चाहिए?")</f>
        <v>मलखम्ब एथलीट गतिशील गतिविधियों में तो मज़बूत होता है, लेकिन लंबे अभ्यास के दौरान उसे सहनशक्ति की कमी महसूस होती है। उन्हें किसमें सुधार करने पर ध्यान देना चाहिए?</v>
      </c>
      <c r="H328" s="5" t="str">
        <f>IFERROR(__xludf.DUMMYFUNCTION("GOOGLETRANSLATE(C328, ""en"", ""hi"")"),"A) विस्तारित दिनचर्या में धीरज, B) गतिशील गतिविधियों में वृद्धि, C) ताकत बढ़ाना, D) लचीलेपन में सुधार")</f>
        <v>A) विस्तारित दिनचर्या में धीरज, B) गतिशील गतिविधियों में वृद्धि, C) ताकत बढ़ाना, D) लचीलेपन में सुधार</v>
      </c>
      <c r="I328" s="5" t="str">
        <f>IFERROR(__xludf.DUMMYFUNCTION("GOOGLETRANSLATE(D328, ""en"", ""hi"")"),"A) विस्तारित दिनचर्या में धीरज")</f>
        <v>A) विस्तारित दिनचर्या में धीरज</v>
      </c>
    </row>
    <row r="329" ht="22.5" customHeight="1">
      <c r="A329" s="2">
        <v>328.0</v>
      </c>
      <c r="B329" s="3" t="s">
        <v>10902</v>
      </c>
      <c r="C329" s="3" t="s">
        <v>10903</v>
      </c>
      <c r="D329" s="3" t="s">
        <v>10904</v>
      </c>
      <c r="F329" s="5" t="str">
        <f>IFERROR(__xludf.DUMMYFUNCTION("GOOGLETRANSLATE(A329, ""en"", ""hi"")"),"328")</f>
        <v>328</v>
      </c>
      <c r="G329" s="5" t="str">
        <f>IFERROR(__xludf.DUMMYFUNCTION("GOOGLETRANSLATE(B329, ""en"", ""hi"")"),"एक एथलीट के लिए अपनी दिनचर्या में एक स्थिर लय बनाए रखना चुनौतीपूर्ण होता है। सुधार के लिए प्राथमिक ध्यान किस पर केंद्रित होना चाहिए?")</f>
        <v>एक एथलीट के लिए अपनी दिनचर्या में एक स्थिर लय बनाए रखना चुनौतीपूर्ण होता है। सुधार के लिए प्राथमिक ध्यान किस पर केंद्रित होना चाहिए?</v>
      </c>
      <c r="H329" s="5" t="str">
        <f>IFERROR(__xludf.DUMMYFUNCTION("GOOGLETRANSLATE(C329, ""en"", ""hi"")"),"A) स्थिर लय, B) चाल की कठिनाई में वृद्धि, C) शक्ति में वृद्धि, D) लचीलेपन में सुधार")</f>
        <v>A) स्थिर लय, B) चाल की कठिनाई में वृद्धि, C) शक्ति में वृद्धि, D) लचीलेपन में सुधार</v>
      </c>
      <c r="I329" s="5" t="str">
        <f>IFERROR(__xludf.DUMMYFUNCTION("GOOGLETRANSLATE(D329, ""en"", ""hi"")"),"A) स्थिर लय")</f>
        <v>A) स्थिर लय</v>
      </c>
    </row>
    <row r="330" ht="22.5" customHeight="1">
      <c r="A330" s="2">
        <v>329.0</v>
      </c>
      <c r="B330" s="3" t="s">
        <v>10905</v>
      </c>
      <c r="C330" s="3" t="s">
        <v>10906</v>
      </c>
      <c r="D330" s="3" t="s">
        <v>10907</v>
      </c>
      <c r="F330" s="5" t="str">
        <f>IFERROR(__xludf.DUMMYFUNCTION("GOOGLETRANSLATE(A330, ""en"", ""hi"")"),"329")</f>
        <v>329</v>
      </c>
      <c r="G330" s="5" t="str">
        <f>IFERROR(__xludf.DUMMYFUNCTION("GOOGLETRANSLATE(B330, ""en"", ""hi"")"),"मलखम्ब कलाकार अपनी ताकत के लिए जाने जाते हैं, लेकिन उन्हें एक-दूसरे के आसनों के बीच सुंदर बदलाव करने में दिक्कत होती है। उन्हें किस पर काम करना चाहिए?")</f>
        <v>मलखम्ब कलाकार अपनी ताकत के लिए जाने जाते हैं, लेकिन उन्हें एक-दूसरे के आसनों के बीच सुंदर बदलाव करने में दिक्कत होती है। उन्हें किस पर काम करना चाहिए?</v>
      </c>
      <c r="H330" s="5" t="str">
        <f>IFERROR(__xludf.DUMMYFUNCTION("GOOGLETRANSLATE(C330, ""en"", ""hi"")"),"ए) सुंदर परिवर्तन, बी) शक्ति में वृद्धि, सी) अधिक स्थिर मुद्राएं जोड़ना, डी) नियमित जटिलता को कम करना")</f>
        <v>ए) सुंदर परिवर्तन, बी) शक्ति में वृद्धि, सी) अधिक स्थिर मुद्राएं जोड़ना, डी) नियमित जटिलता को कम करना</v>
      </c>
      <c r="I330" s="5" t="str">
        <f>IFERROR(__xludf.DUMMYFUNCTION("GOOGLETRANSLATE(D330, ""en"", ""hi"")"),"A) सुंदर संक्रमण")</f>
        <v>A) सुंदर संक्रमण</v>
      </c>
    </row>
    <row r="331" ht="22.5" customHeight="1">
      <c r="A331" s="2">
        <v>330.0</v>
      </c>
      <c r="B331" s="3" t="s">
        <v>10908</v>
      </c>
      <c r="C331" s="3" t="s">
        <v>10909</v>
      </c>
      <c r="D331" s="3" t="s">
        <v>10910</v>
      </c>
      <c r="F331" s="5" t="str">
        <f>IFERROR(__xludf.DUMMYFUNCTION("GOOGLETRANSLATE(A331, ""en"", ""hi"")"),"330")</f>
        <v>330</v>
      </c>
      <c r="G331" s="5" t="str">
        <f>IFERROR(__xludf.DUMMYFUNCTION("GOOGLETRANSLATE(B331, ""en"", ""hi"")"),"प्रदर्शन के दौरान, एथलीट की सटीकता की प्रशंसा की जाती है, लेकिन उसे अपने समग्र समन्वय पर काम करने की ज़रूरत होती है। उन्हें किस पर ध्यान केंद्रित करना चाहिए?")</f>
        <v>प्रदर्शन के दौरान, एथलीट की सटीकता की प्रशंसा की जाती है, लेकिन उसे अपने समग्र समन्वय पर काम करने की ज़रूरत होती है। उन्हें किस पर ध्यान केंद्रित करना चाहिए?</v>
      </c>
      <c r="H331" s="5" t="str">
        <f>IFERROR(__xludf.DUMMYFUNCTION("GOOGLETRANSLATE(C331, ""en"", ""hi"")"),"A) समग्र समन्वय, B) चालों में सटीकता, C) अधिक गतिशील चालें जोड़ना, D) लचीलापन बढ़ाना")</f>
        <v>A) समग्र समन्वय, B) चालों में सटीकता, C) अधिक गतिशील चालें जोड़ना, D) लचीलापन बढ़ाना</v>
      </c>
      <c r="I331" s="5" t="str">
        <f>IFERROR(__xludf.DUMMYFUNCTION("GOOGLETRANSLATE(D331, ""en"", ""hi"")"),"ए) समग्र समन्वय")</f>
        <v>ए) समग्र समन्वय</v>
      </c>
    </row>
    <row r="332" ht="22.5" customHeight="1">
      <c r="A332" s="2">
        <v>331.0</v>
      </c>
      <c r="B332" s="3" t="s">
        <v>10911</v>
      </c>
      <c r="C332" s="3" t="s">
        <v>10857</v>
      </c>
      <c r="D332" s="3" t="s">
        <v>10858</v>
      </c>
      <c r="F332" s="5" t="str">
        <f>IFERROR(__xludf.DUMMYFUNCTION("GOOGLETRANSLATE(A332, ""en"", ""hi"")"),"331")</f>
        <v>331</v>
      </c>
      <c r="G332" s="5" t="str">
        <f>IFERROR(__xludf.DUMMYFUNCTION("GOOGLETRANSLATE(B332, ""en"", ""hi"")"),"एक मलखम्ब एथलीट को उच्च दबाव वाले अभ्यासों के दौरान संयम बनाए रखने में कठिनाई होती है। ध्यान देने योग्य मुख्य क्षेत्र क्या है?")</f>
        <v>एक मलखम्ब एथलीट को उच्च दबाव वाले अभ्यासों के दौरान संयम बनाए रखने में कठिनाई होती है। ध्यान देने योग्य मुख्य क्षेत्र क्या है?</v>
      </c>
      <c r="H332" s="5" t="str">
        <f>IFERROR(__xludf.DUMMYFUNCTION("GOOGLETRANSLATE(C332, ""en"", ""hi"")"),"A) दबाव में धैर्य बनाए रखना, B) दिनचर्या की कठिनाई को बढ़ाना, C) ताकत बढ़ाना, D) लचीलेपन में सुधार करना")</f>
        <v>A) दबाव में धैर्य बनाए रखना, B) दिनचर्या की कठिनाई को बढ़ाना, C) ताकत बढ़ाना, D) लचीलेपन में सुधार करना</v>
      </c>
      <c r="I332" s="5" t="str">
        <f>IFERROR(__xludf.DUMMYFUNCTION("GOOGLETRANSLATE(D332, ""en"", ""hi"")"),"A) दबाव में धैर्य")</f>
        <v>A) दबाव में धैर्य</v>
      </c>
    </row>
    <row r="333" ht="22.5" customHeight="1">
      <c r="A333" s="2">
        <v>332.0</v>
      </c>
      <c r="B333" s="3" t="s">
        <v>10912</v>
      </c>
      <c r="C333" s="3" t="s">
        <v>10913</v>
      </c>
      <c r="D333" s="3" t="s">
        <v>10738</v>
      </c>
      <c r="F333" s="5" t="str">
        <f>IFERROR(__xludf.DUMMYFUNCTION("GOOGLETRANSLATE(A333, ""en"", ""hi"")"),"332")</f>
        <v>332</v>
      </c>
      <c r="G333" s="5" t="str">
        <f>IFERROR(__xludf.DUMMYFUNCTION("GOOGLETRANSLATE(B333, ""en"", ""hi"")"),"एक एथलीट की दिनचर्या में ताकत तो अच्छी होती है, लेकिन बदलाव के दौरान उसमें लचीलापन नहीं होता। उन्हें क्या सुधार करना चाहिए?")</f>
        <v>एक एथलीट की दिनचर्या में ताकत तो अच्छी होती है, लेकिन बदलाव के दौरान उसमें लचीलापन नहीं होता। उन्हें क्या सुधार करना चाहिए?</v>
      </c>
      <c r="H333" s="5" t="str">
        <f>IFERROR(__xludf.DUMMYFUNCTION("GOOGLETRANSLATE(C333, ""en"", ""hi"")"),"A) संक्रमण में तरलता, B) शक्ति में वृद्धि, C) अधिक गतिशील तत्वों को जोड़ना, D) नियमित लंबाई को कम करना")</f>
        <v>A) संक्रमण में तरलता, B) शक्ति में वृद्धि, C) अधिक गतिशील तत्वों को जोड़ना, D) नियमित लंबाई को कम करना</v>
      </c>
      <c r="I333" s="5" t="str">
        <f>IFERROR(__xludf.DUMMYFUNCTION("GOOGLETRANSLATE(D333, ""en"", ""hi"")"),"A) संक्रमण में तरलता")</f>
        <v>A) संक्रमण में तरलता</v>
      </c>
    </row>
    <row r="334" ht="22.5" customHeight="1">
      <c r="A334" s="2">
        <v>333.0</v>
      </c>
      <c r="B334" s="3" t="s">
        <v>10914</v>
      </c>
      <c r="C334" s="3" t="s">
        <v>10915</v>
      </c>
      <c r="D334" s="3" t="s">
        <v>10916</v>
      </c>
      <c r="F334" s="5" t="str">
        <f>IFERROR(__xludf.DUMMYFUNCTION("GOOGLETRANSLATE(A334, ""en"", ""hi"")"),"333")</f>
        <v>333</v>
      </c>
      <c r="G334" s="5" t="str">
        <f>IFERROR(__xludf.DUMMYFUNCTION("GOOGLETRANSLATE(B334, ""en"", ""hi"")"),"एक कलाकार को जटिल मूव्स के दौरान अपना संतुलन सुधारने की सलाह दी जाती है। उनका ध्यान किस पर होना चाहिए?")</f>
        <v>एक कलाकार को जटिल मूव्स के दौरान अपना संतुलन सुधारने की सलाह दी जाती है। उनका ध्यान किस पर होना चाहिए?</v>
      </c>
      <c r="H334" s="5" t="str">
        <f>IFERROR(__xludf.DUMMYFUNCTION("GOOGLETRANSLATE(C334, ""en"", ""hi"")"),"A) जटिल चालों के दौरान संतुलन, B) चाल की कठिनाई बढ़ाना, C) ताकत बढ़ाना, D) लचीलेपन में सुधार करना")</f>
        <v>A) जटिल चालों के दौरान संतुलन, B) चाल की कठिनाई बढ़ाना, C) ताकत बढ़ाना, D) लचीलेपन में सुधार करना</v>
      </c>
      <c r="I334" s="5" t="str">
        <f>IFERROR(__xludf.DUMMYFUNCTION("GOOGLETRANSLATE(D334, ""en"", ""hi"")"),"A) जटिल चालों के दौरान संतुलन")</f>
        <v>A) जटिल चालों के दौरान संतुलन</v>
      </c>
    </row>
    <row r="335" ht="22.5" customHeight="1">
      <c r="A335" s="2">
        <v>334.0</v>
      </c>
      <c r="B335" s="3" t="s">
        <v>10917</v>
      </c>
      <c r="C335" s="3" t="s">
        <v>10918</v>
      </c>
      <c r="D335" s="3" t="s">
        <v>10919</v>
      </c>
      <c r="F335" s="5" t="str">
        <f>IFERROR(__xludf.DUMMYFUNCTION("GOOGLETRANSLATE(A335, ""en"", ""hi"")"),"334")</f>
        <v>334</v>
      </c>
      <c r="G335" s="5" t="str">
        <f>IFERROR(__xludf.DUMMYFUNCTION("GOOGLETRANSLATE(B335, ""en"", ""hi"")"),"मलखम्ब एथलीट को उच्च तीव्रता वाले मूव्स को लगातार करने में दिक्कत होती है। उन्हें किस पर काम करना चाहिए?")</f>
        <v>मलखम्ब एथलीट को उच्च तीव्रता वाले मूव्स को लगातार करने में दिक्कत होती है। उन्हें किस पर काम करना चाहिए?</v>
      </c>
      <c r="H335" s="5" t="str">
        <f>IFERROR(__xludf.DUMMYFUNCTION("GOOGLETRANSLATE(C335, ""en"", ""hi"")"),"A) उच्च तीव्रता वाले मूव्स में निरंतरता, B) तीव्रता में वृद्धि, C) अधिक स्थिर पोज़ जोड़ना, D) लचीलेपन में सुधार")</f>
        <v>A) उच्च तीव्रता वाले मूव्स में निरंतरता, B) तीव्रता में वृद्धि, C) अधिक स्थिर पोज़ जोड़ना, D) लचीलेपन में सुधार</v>
      </c>
      <c r="I335" s="5" t="str">
        <f>IFERROR(__xludf.DUMMYFUNCTION("GOOGLETRANSLATE(D335, ""en"", ""hi"")"),"A) उच्च तीव्रता वाले आंदोलनों में निरंतरता")</f>
        <v>A) उच्च तीव्रता वाले आंदोलनों में निरंतरता</v>
      </c>
    </row>
    <row r="336" ht="22.5" customHeight="1">
      <c r="A336" s="2">
        <v>335.0</v>
      </c>
      <c r="B336" s="3" t="s">
        <v>10920</v>
      </c>
      <c r="C336" s="3" t="s">
        <v>10921</v>
      </c>
      <c r="D336" s="3" t="s">
        <v>10922</v>
      </c>
      <c r="F336" s="5" t="str">
        <f>IFERROR(__xludf.DUMMYFUNCTION("GOOGLETRANSLATE(A336, ""en"", ""hi"")"),"335")</f>
        <v>335</v>
      </c>
      <c r="G336" s="5" t="str">
        <f>IFERROR(__xludf.DUMMYFUNCTION("GOOGLETRANSLATE(B336, ""en"", ""hi"")"),"किसी भी रूटीन के दौरान, एक एथलीट अपनी तकनीकी दक्षता के लिए जाना जाता है, लेकिन उसे अपनी समग्र रूटीन ऊर्जा पर भी काम करने की ज़रूरत होती है। सुधार की मुख्य दिशा क्या है?")</f>
        <v>किसी भी रूटीन के दौरान, एक एथलीट अपनी तकनीकी दक्षता के लिए जाना जाता है, लेकिन उसे अपनी समग्र रूटीन ऊर्जा पर भी काम करने की ज़रूरत होती है। सुधार की मुख्य दिशा क्या है?</v>
      </c>
      <c r="H336" s="5" t="str">
        <f>IFERROR(__xludf.DUMMYFUNCTION("GOOGLETRANSLATE(C336, ""en"", ""hi"")"),"A) समग्र दिनचर्या ऊर्जा, B) तकनीकी निष्पादन, C) बढ़ती कठिनाई, D) लचीलेपन में वृद्धि")</f>
        <v>A) समग्र दिनचर्या ऊर्जा, B) तकनीकी निष्पादन, C) बढ़ती कठिनाई, D) लचीलेपन में वृद्धि</v>
      </c>
      <c r="I336" s="5" t="str">
        <f>IFERROR(__xludf.DUMMYFUNCTION("GOOGLETRANSLATE(D336, ""en"", ""hi"")"),"A) समग्र दिनचर्या ऊर्जा")</f>
        <v>A) समग्र दिनचर्या ऊर्जा</v>
      </c>
    </row>
    <row r="337" ht="22.5" customHeight="1">
      <c r="A337" s="2">
        <v>336.0</v>
      </c>
      <c r="B337" s="3" t="s">
        <v>10923</v>
      </c>
      <c r="C337" s="3" t="s">
        <v>10924</v>
      </c>
      <c r="D337" s="3" t="s">
        <v>10753</v>
      </c>
      <c r="F337" s="5" t="str">
        <f>IFERROR(__xludf.DUMMYFUNCTION("GOOGLETRANSLATE(A337, ""en"", ""hi"")"),"336")</f>
        <v>336</v>
      </c>
      <c r="G337" s="5" t="str">
        <f>IFERROR(__xludf.DUMMYFUNCTION("GOOGLETRANSLATE(B337, ""en"", ""hi"")"),"एक एथलीट तकनीकी रूप से मज़बूत प्रदर्शन के बावजूद अपनी दिनचर्या के कलात्मक पहलू से जूझता है। उन्हें किस पर ध्यान केंद्रित करना चाहिए?")</f>
        <v>एक एथलीट तकनीकी रूप से मज़बूत प्रदर्शन के बावजूद अपनी दिनचर्या के कलात्मक पहलू से जूझता है। उन्हें किस पर ध्यान केंद्रित करना चाहिए?</v>
      </c>
      <c r="H337" s="5" t="str">
        <f>IFERROR(__xludf.DUMMYFUNCTION("GOOGLETRANSLATE(C337, ""en"", ""hi"")"),"A) कलात्मक अभिव्यक्ति, B) तकनीकी प्रदर्शन, C) अधिक जटिल चालें जोड़ना, D) लचीलेपन में सुधार")</f>
        <v>A) कलात्मक अभिव्यक्ति, B) तकनीकी प्रदर्शन, C) अधिक जटिल चालें जोड़ना, D) लचीलेपन में सुधार</v>
      </c>
      <c r="I337" s="5" t="str">
        <f>IFERROR(__xludf.DUMMYFUNCTION("GOOGLETRANSLATE(D337, ""en"", ""hi"")"),"ए) कलात्मक अभिव्यक्ति")</f>
        <v>ए) कलात्मक अभिव्यक्ति</v>
      </c>
    </row>
    <row r="338" ht="22.5" customHeight="1">
      <c r="A338" s="2">
        <v>337.0</v>
      </c>
      <c r="B338" s="3" t="s">
        <v>10925</v>
      </c>
      <c r="C338" s="3" t="s">
        <v>10926</v>
      </c>
      <c r="D338" s="3" t="s">
        <v>10819</v>
      </c>
      <c r="F338" s="5" t="str">
        <f>IFERROR(__xludf.DUMMYFUNCTION("GOOGLETRANSLATE(A338, ""en"", ""hi"")"),"337")</f>
        <v>337</v>
      </c>
      <c r="G338" s="5" t="str">
        <f>IFERROR(__xludf.DUMMYFUNCTION("GOOGLETRANSLATE(B338, ""en"", ""hi"")"),"मलखंभ कलाकारों को सलाह दी जाती है कि वे अपने अभ्यास के विभिन्न हिस्सों के बीच समन्वय बढ़ाएँ। उन्हें किन चीज़ों पर काम करना चाहिए?")</f>
        <v>मलखंभ कलाकारों को सलाह दी जाती है कि वे अपने अभ्यास के विभिन्न हिस्सों के बीच समन्वय बढ़ाएँ। उन्हें किन चीज़ों पर काम करना चाहिए?</v>
      </c>
      <c r="H338" s="5" t="str">
        <f>IFERROR(__xludf.DUMMYFUNCTION("GOOGLETRANSLATE(C338, ""en"", ""hi"")"),"A) नियमित खंडों के बीच समन्वय, B) नियमित कठिनाई में वृद्धि, C) अधिक गतिशील तत्वों को जोड़ना, D) लचीलेपन में सुधार")</f>
        <v>A) नियमित खंडों के बीच समन्वय, B) नियमित कठिनाई में वृद्धि, C) अधिक गतिशील तत्वों को जोड़ना, D) लचीलेपन में सुधार</v>
      </c>
      <c r="I338" s="5" t="str">
        <f>IFERROR(__xludf.DUMMYFUNCTION("GOOGLETRANSLATE(D338, ""en"", ""hi"")"),"A) नियमित अनुभागों के बीच समन्वय")</f>
        <v>A) नियमित अनुभागों के बीच समन्वय</v>
      </c>
    </row>
    <row r="339" ht="22.5" customHeight="1">
      <c r="A339" s="2">
        <v>338.0</v>
      </c>
      <c r="B339" s="3" t="s">
        <v>10927</v>
      </c>
      <c r="C339" s="3" t="s">
        <v>10928</v>
      </c>
      <c r="D339" s="3" t="s">
        <v>10929</v>
      </c>
      <c r="F339" s="5" t="str">
        <f>IFERROR(__xludf.DUMMYFUNCTION("GOOGLETRANSLATE(A339, ""en"", ""hi"")"),"338")</f>
        <v>338</v>
      </c>
      <c r="G339" s="5" t="str">
        <f>IFERROR(__xludf.DUMMYFUNCTION("GOOGLETRANSLATE(B339, ""en"", ""hi"")"),"अभ्यास के दौरान, एक खिलाड़ी का प्रदर्शन तो अच्छा होता है, लेकिन दर्शकों के साथ उसका भावनात्मक जुड़ाव कम होता है। उन्हें किस पर ध्यान केंद्रित करना चाहिए?")</f>
        <v>अभ्यास के दौरान, एक खिलाड़ी का प्रदर्शन तो अच्छा होता है, लेकिन दर्शकों के साथ उसका भावनात्मक जुड़ाव कम होता है। उन्हें किस पर ध्यान केंद्रित करना चाहिए?</v>
      </c>
      <c r="H339" s="5" t="str">
        <f>IFERROR(__xludf.DUMMYFUNCTION("GOOGLETRANSLATE(C339, ""en"", ""hi"")"),"ए) भावनात्मक जुड़ाव, बी) तकनीकी निष्पादन, सी) अधिक जटिल चालें जोड़ना, डी) लचीलापन बढ़ाना")</f>
        <v>ए) भावनात्मक जुड़ाव, बी) तकनीकी निष्पादन, सी) अधिक जटिल चालें जोड़ना, डी) लचीलापन बढ़ाना</v>
      </c>
      <c r="I339" s="5" t="str">
        <f>IFERROR(__xludf.DUMMYFUNCTION("GOOGLETRANSLATE(D339, ""en"", ""hi"")"),"A) भावनात्मक जुड़ाव")</f>
        <v>A) भावनात्मक जुड़ाव</v>
      </c>
    </row>
    <row r="340" ht="22.5" customHeight="1">
      <c r="A340" s="2">
        <v>339.0</v>
      </c>
      <c r="B340" s="3" t="s">
        <v>10930</v>
      </c>
      <c r="C340" s="3" t="s">
        <v>10931</v>
      </c>
      <c r="D340" s="3" t="s">
        <v>10932</v>
      </c>
      <c r="F340" s="5" t="str">
        <f>IFERROR(__xludf.DUMMYFUNCTION("GOOGLETRANSLATE(A340, ""en"", ""hi"")"),"339")</f>
        <v>339</v>
      </c>
      <c r="G340" s="5" t="str">
        <f>IFERROR(__xludf.DUMMYFUNCTION("GOOGLETRANSLATE(B340, ""en"", ""hi"")"),"मलखम्ब एथलीट को अपनी दिनचर्या के दौरान सहज लय बनाए रखने में कठिनाई होती है। उन्हें किस चीज़ में सुधार करने पर ध्यान देना चाहिए?")</f>
        <v>मलखम्ब एथलीट को अपनी दिनचर्या के दौरान सहज लय बनाए रखने में कठिनाई होती है। उन्हें किस चीज़ में सुधार करने पर ध्यान देना चाहिए?</v>
      </c>
      <c r="H340" s="5" t="str">
        <f>IFERROR(__xludf.DUMMYFUNCTION("GOOGLETRANSLATE(C340, ""en"", ""hi"")"),"A) सहज लय, B) कठिनाई में वृद्धि, C) शक्ति में वृद्धि, D) लचीलेपन में सुधार")</f>
        <v>A) सहज लय, B) कठिनाई में वृद्धि, C) शक्ति में वृद्धि, D) लचीलेपन में सुधार</v>
      </c>
      <c r="I340" s="5" t="str">
        <f>IFERROR(__xludf.DUMMYFUNCTION("GOOGLETRANSLATE(D340, ""en"", ""hi"")"),"A) सहज लय")</f>
        <v>A) सहज लय</v>
      </c>
    </row>
    <row r="341" ht="22.5" customHeight="1">
      <c r="A341" s="2">
        <v>340.0</v>
      </c>
      <c r="B341" s="3" t="s">
        <v>10933</v>
      </c>
      <c r="C341" s="3" t="s">
        <v>10934</v>
      </c>
      <c r="D341" s="3" t="s">
        <v>10935</v>
      </c>
      <c r="F341" s="5" t="str">
        <f>IFERROR(__xludf.DUMMYFUNCTION("GOOGLETRANSLATE(A341, ""en"", ""hi"")"),"340")</f>
        <v>340</v>
      </c>
      <c r="G341" s="5" t="str">
        <f>IFERROR(__xludf.DUMMYFUNCTION("GOOGLETRANSLATE(B341, ""en"", ""hi"")"),"एक एथलीट के रूटीन की तकनीकी उत्कृष्टता के लिए प्रशंसा की जाती है, लेकिन उसमें और अधिक अभिव्यंजक तत्वों की आवश्यकता होती है। उन्हें किस पर काम करना चाहिए?")</f>
        <v>एक एथलीट के रूटीन की तकनीकी उत्कृष्टता के लिए प्रशंसा की जाती है, लेकिन उसमें और अधिक अभिव्यंजक तत्वों की आवश्यकता होती है। उन्हें किस पर काम करना चाहिए?</v>
      </c>
      <c r="H341" s="5" t="str">
        <f>IFERROR(__xludf.DUMMYFUNCTION("GOOGLETRANSLATE(C341, ""en"", ""hi"")"),"A) अभिव्यंजक तत्व, B) तकनीकी उत्कृष्टता, C) नियमित जटिलता में वृद्धि, D) लचीलेपन में सुधार")</f>
        <v>A) अभिव्यंजक तत्व, B) तकनीकी उत्कृष्टता, C) नियमित जटिलता में वृद्धि, D) लचीलेपन में सुधार</v>
      </c>
      <c r="I341" s="5" t="str">
        <f>IFERROR(__xludf.DUMMYFUNCTION("GOOGLETRANSLATE(D341, ""en"", ""hi"")"),"A) अभिव्यंजक तत्व")</f>
        <v>A) अभिव्यंजक तत्व</v>
      </c>
    </row>
    <row r="342" ht="22.5" customHeight="1">
      <c r="A342" s="2">
        <v>341.0</v>
      </c>
      <c r="B342" s="3" t="s">
        <v>10936</v>
      </c>
      <c r="C342" s="3" t="s">
        <v>10937</v>
      </c>
      <c r="D342" s="3" t="s">
        <v>10938</v>
      </c>
      <c r="F342" s="5" t="str">
        <f>IFERROR(__xludf.DUMMYFUNCTION("GOOGLETRANSLATE(A342, ""en"", ""hi"")"),"341")</f>
        <v>341</v>
      </c>
      <c r="G342" s="5" t="str">
        <f>IFERROR(__xludf.DUMMYFUNCTION("GOOGLETRANSLATE(B342, ""en"", ""hi"")"),"मलखंभ कलाकार के लिए अपनी पूरी दिनचर्या में ऊर्जा का स्तर स्थिर बनाए रखना चुनौतीपूर्ण होता है। सुधार के लिए मुख्य ध्यान किस पर केंद्रित होना चाहिए?")</f>
        <v>मलखंभ कलाकार के लिए अपनी पूरी दिनचर्या में ऊर्जा का स्तर स्थिर बनाए रखना चुनौतीपूर्ण होता है। सुधार के लिए मुख्य ध्यान किस पर केंद्रित होना चाहिए?</v>
      </c>
      <c r="H342" s="5" t="str">
        <f>IFERROR(__xludf.DUMMYFUNCTION("GOOGLETRANSLATE(C342, ""en"", ""hi"")"),"ए) लगातार ऊर्जा स्तर, बी) नियमित कठिनाई में वृद्धि, सी) अधिक गतिशील चालें जोड़ना, डी) लचीलेपन में सुधार")</f>
        <v>ए) लगातार ऊर्जा स्तर, बी) नियमित कठिनाई में वृद्धि, सी) अधिक गतिशील चालें जोड़ना, डी) लचीलेपन में सुधार</v>
      </c>
      <c r="I342" s="5" t="str">
        <f>IFERROR(__xludf.DUMMYFUNCTION("GOOGLETRANSLATE(D342, ""en"", ""hi"")"),"A) लगातार ऊर्जा स्तर")</f>
        <v>A) लगातार ऊर्जा स्तर</v>
      </c>
    </row>
    <row r="343" ht="22.5" customHeight="1">
      <c r="A343" s="2">
        <v>342.0</v>
      </c>
      <c r="B343" s="3" t="s">
        <v>10939</v>
      </c>
      <c r="C343" s="3" t="s">
        <v>10940</v>
      </c>
      <c r="D343" s="3" t="s">
        <v>10941</v>
      </c>
      <c r="F343" s="5" t="str">
        <f>IFERROR(__xludf.DUMMYFUNCTION("GOOGLETRANSLATE(A343, ""en"", ""hi"")"),"342")</f>
        <v>342</v>
      </c>
      <c r="G343" s="5" t="str">
        <f>IFERROR(__xludf.DUMMYFUNCTION("GOOGLETRANSLATE(B343, ""en"", ""hi"")"),"प्रतियोगिता के दौरान, एक एथलीट को अपनी दिनचर्या में संतुलन बनाए रखने में कठिनाई होती है। उन्हें अपने प्रशिक्षण में किस चीज़ को प्राथमिकता देनी चाहिए?")</f>
        <v>प्रतियोगिता के दौरान, एक एथलीट को अपनी दिनचर्या में संतुलन बनाए रखने में कठिनाई होती है। उन्हें अपने प्रशिक्षण में किस चीज़ को प्राथमिकता देनी चाहिए?</v>
      </c>
      <c r="H343" s="5" t="str">
        <f>IFERROR(__xludf.DUMMYFUNCTION("GOOGLETRANSLATE(C343, ""en"", ""hi"")"),"A) दिनचर्या में संतुलन, B) कठिनाई में वृद्धि, C) शक्ति में वृद्धि, D) लचीलेपन में सुधार")</f>
        <v>A) दिनचर्या में संतुलन, B) कठिनाई में वृद्धि, C) शक्ति में वृद्धि, D) लचीलेपन में सुधार</v>
      </c>
      <c r="I343" s="5" t="str">
        <f>IFERROR(__xludf.DUMMYFUNCTION("GOOGLETRANSLATE(D343, ""en"", ""hi"")"),"A) दिनचर्या में संतुलन")</f>
        <v>A) दिनचर्या में संतुलन</v>
      </c>
    </row>
    <row r="344" ht="22.5" customHeight="1">
      <c r="A344" s="2">
        <v>343.0</v>
      </c>
      <c r="B344" s="3" t="s">
        <v>10942</v>
      </c>
      <c r="C344" s="3" t="s">
        <v>10943</v>
      </c>
      <c r="D344" s="3" t="s">
        <v>10767</v>
      </c>
      <c r="F344" s="5" t="str">
        <f>IFERROR(__xludf.DUMMYFUNCTION("GOOGLETRANSLATE(A344, ""en"", ""hi"")"),"343")</f>
        <v>343</v>
      </c>
      <c r="G344" s="5" t="str">
        <f>IFERROR(__xludf.DUMMYFUNCTION("GOOGLETRANSLATE(B344, ""en"", ""hi"")"),"मलखम्ब एथलीट व्यक्तिगत मुद्राओं में तो मज़बूत होता है, लेकिन उनके बीच सहज बदलाव बनाए रखना उसके लिए मुश्किल होता है। उन्हें किस पर ध्यान केंद्रित करना चाहिए?")</f>
        <v>मलखम्ब एथलीट व्यक्तिगत मुद्राओं में तो मज़बूत होता है, लेकिन उनके बीच सहज बदलाव बनाए रखना उसके लिए मुश्किल होता है। उन्हें किस पर ध्यान केंद्रित करना चाहिए?</v>
      </c>
      <c r="H344" s="5" t="str">
        <f>IFERROR(__xludf.DUMMYFUNCTION("GOOGLETRANSLATE(C344, ""en"", ""hi"")"),"ए) द्रव संक्रमण, बी) आसन की कठिनाई में वृद्धि, सी) अधिक शक्ति व्यायाम जोड़ना, डी) लचीलेपन में सुधार")</f>
        <v>ए) द्रव संक्रमण, बी) आसन की कठिनाई में वृद्धि, सी) अधिक शक्ति व्यायाम जोड़ना, डी) लचीलेपन में सुधार</v>
      </c>
      <c r="I344" s="5" t="str">
        <f>IFERROR(__xludf.DUMMYFUNCTION("GOOGLETRANSLATE(D344, ""en"", ""hi"")"),"A) द्रव संक्रमण")</f>
        <v>A) द्रव संक्रमण</v>
      </c>
    </row>
    <row r="345" ht="22.5" customHeight="1">
      <c r="A345" s="2">
        <v>344.0</v>
      </c>
      <c r="B345" s="3" t="s">
        <v>10944</v>
      </c>
      <c r="C345" s="3" t="s">
        <v>10945</v>
      </c>
      <c r="D345" s="3" t="s">
        <v>10887</v>
      </c>
      <c r="F345" s="5" t="str">
        <f>IFERROR(__xludf.DUMMYFUNCTION("GOOGLETRANSLATE(A345, ""en"", ""hi"")"),"344")</f>
        <v>344</v>
      </c>
      <c r="G345" s="5" t="str">
        <f>IFERROR(__xludf.DUMMYFUNCTION("GOOGLETRANSLATE(B345, ""en"", ""hi"")"),"एक एथलीट की तारीफ उसकी ताकत के लिए की जाती है, लेकिन उसे अपनी समग्र कलात्मक प्रस्तुति पर काम करने की ज़रूरत होती है। उनका ध्यान किस पर होना चाहिए?")</f>
        <v>एक एथलीट की तारीफ उसकी ताकत के लिए की जाती है, लेकिन उसे अपनी समग्र कलात्मक प्रस्तुति पर काम करने की ज़रूरत होती है। उनका ध्यान किस पर होना चाहिए?</v>
      </c>
      <c r="H345" s="5" t="str">
        <f>IFERROR(__xludf.DUMMYFUNCTION("GOOGLETRANSLATE(C345, ""en"", ""hi"")"),"A) कलात्मक प्रस्तुति, B) ताकत, C) अधिक गतिशील तत्वों को जोड़ना, D) लचीलेपन में सुधार")</f>
        <v>A) कलात्मक प्रस्तुति, B) ताकत, C) अधिक गतिशील तत्वों को जोड़ना, D) लचीलेपन में सुधार</v>
      </c>
      <c r="I345" s="5" t="str">
        <f>IFERROR(__xludf.DUMMYFUNCTION("GOOGLETRANSLATE(D345, ""en"", ""hi"")"),"ए) कलात्मक प्रस्तुति")</f>
        <v>ए) कलात्मक प्रस्तुति</v>
      </c>
    </row>
    <row r="346" ht="22.5" customHeight="1">
      <c r="A346" s="2">
        <v>345.0</v>
      </c>
      <c r="B346" s="3" t="s">
        <v>10946</v>
      </c>
      <c r="C346" s="3" t="s">
        <v>10947</v>
      </c>
      <c r="D346" s="3" t="s">
        <v>10875</v>
      </c>
      <c r="F346" s="5" t="str">
        <f>IFERROR(__xludf.DUMMYFUNCTION("GOOGLETRANSLATE(A346, ""en"", ""hi"")"),"345")</f>
        <v>345</v>
      </c>
      <c r="G346" s="5" t="str">
        <f>IFERROR(__xludf.DUMMYFUNCTION("GOOGLETRANSLATE(B346, ""en"", ""hi"")"),"मलखम्ब कलाकार अपने तकनीकी कौशल के लिए जाने जाते हैं, लेकिन उन्हें अपने अभ्यास की समग्र तरलता को बढ़ाने की ज़रूरत होती है। उन्हें किन चीज़ों पर काम करना चाहिए?")</f>
        <v>मलखम्ब कलाकार अपने तकनीकी कौशल के लिए जाने जाते हैं, लेकिन उन्हें अपने अभ्यास की समग्र तरलता को बढ़ाने की ज़रूरत होती है। उन्हें किन चीज़ों पर काम करना चाहिए?</v>
      </c>
      <c r="H346" s="5" t="str">
        <f>IFERROR(__xludf.DUMMYFUNCTION("GOOGLETRANSLATE(C346, ""en"", ""hi"")"),"A) दिनचर्या की तरलता, B) तकनीकी कौशल, C) कठिनाई में वृद्धि, D) लचीलेपन में सुधार")</f>
        <v>A) दिनचर्या की तरलता, B) तकनीकी कौशल, C) कठिनाई में वृद्धि, D) लचीलेपन में सुधार</v>
      </c>
      <c r="I346" s="5" t="str">
        <f>IFERROR(__xludf.DUMMYFUNCTION("GOOGLETRANSLATE(D346, ""en"", ""hi"")"),"A) दिनचर्या की तरलता")</f>
        <v>A) दिनचर्या की तरलता</v>
      </c>
    </row>
    <row r="347" ht="22.5" customHeight="1">
      <c r="A347" s="2">
        <v>346.0</v>
      </c>
      <c r="B347" s="3" t="s">
        <v>10948</v>
      </c>
      <c r="C347" s="3" t="s">
        <v>10949</v>
      </c>
      <c r="D347" s="3" t="s">
        <v>10950</v>
      </c>
      <c r="F347" s="5" t="str">
        <f>IFERROR(__xludf.DUMMYFUNCTION("GOOGLETRANSLATE(A347, ""en"", ""hi"")"),"346")</f>
        <v>346</v>
      </c>
      <c r="G347" s="5" t="str">
        <f>IFERROR(__xludf.DUMMYFUNCTION("GOOGLETRANSLATE(B347, ""en"", ""hi"")"),"अभ्यास के दौरान, मज़बूत तकनीकी प्रदर्शन के बावजूद, एक एथलीट की दिनचर्या अकड़ जाती है। उन्हें किस सुधार पर ध्यान केंद्रित करना चाहिए?")</f>
        <v>अभ्यास के दौरान, मज़बूत तकनीकी प्रदर्शन के बावजूद, एक एथलीट की दिनचर्या अकड़ जाती है। उन्हें किस सुधार पर ध्यान केंद्रित करना चाहिए?</v>
      </c>
      <c r="H347" s="5" t="str">
        <f>IFERROR(__xludf.DUMMYFUNCTION("GOOGLETRANSLATE(C347, ""en"", ""hi"")"),"A) तरलता और सुंदरता, B) तकनीकी निष्पादन, C) नियमित कठिनाई में वृद्धि, D) लचीलेपन में सुधार")</f>
        <v>A) तरलता और सुंदरता, B) तकनीकी निष्पादन, C) नियमित कठिनाई में वृद्धि, D) लचीलेपन में सुधार</v>
      </c>
      <c r="I347" s="5" t="str">
        <f>IFERROR(__xludf.DUMMYFUNCTION("GOOGLETRANSLATE(D347, ""en"", ""hi"")"),"A) तरलता और अनुग्रह")</f>
        <v>A) तरलता और अनुग्रह</v>
      </c>
    </row>
    <row r="348" ht="22.5" customHeight="1">
      <c r="A348" s="2">
        <v>347.0</v>
      </c>
      <c r="B348" s="3" t="s">
        <v>10951</v>
      </c>
      <c r="C348" s="3" t="s">
        <v>10952</v>
      </c>
      <c r="D348" s="3" t="s">
        <v>10953</v>
      </c>
      <c r="F348" s="5" t="str">
        <f>IFERROR(__xludf.DUMMYFUNCTION("GOOGLETRANSLATE(A348, ""en"", ""hi"")"),"347")</f>
        <v>347</v>
      </c>
      <c r="G348" s="5" t="str">
        <f>IFERROR(__xludf.DUMMYFUNCTION("GOOGLETRANSLATE(B348, ""en"", ""hi"")"),"एक मलखम्ब एथलीट को मध्य-दिनचर्या में अपने प्रदर्शन को बेहतर बनाने की सलाह दी गई है। उन्हें किस पर ध्यान केंद्रित करना चाहिए?")</f>
        <v>एक मलखम्ब एथलीट को मध्य-दिनचर्या में अपने प्रदर्शन को बेहतर बनाने की सलाह दी गई है। उन्हें किस पर ध्यान केंद्रित करना चाहिए?</v>
      </c>
      <c r="H348" s="5" t="str">
        <f>IFERROR(__xludf.DUMMYFUNCTION("GOOGLETRANSLATE(C348, ""en"", ""hi"")"),"ए) मध्य-दिनचर्या परिवर्तन, बी) स्थिर मुद्राओं में शक्ति, सी) दिनचर्या की लंबाई में वृद्धि, डी) लचीलेपन में सुधार")</f>
        <v>ए) मध्य-दिनचर्या परिवर्तन, बी) स्थिर मुद्राओं में शक्ति, सी) दिनचर्या की लंबाई में वृद्धि, डी) लचीलेपन में सुधार</v>
      </c>
      <c r="I348" s="5" t="str">
        <f>IFERROR(__xludf.DUMMYFUNCTION("GOOGLETRANSLATE(D348, ""en"", ""hi"")"),"A) मध्य-दिनचर्या संक्रमण")</f>
        <v>A) मध्य-दिनचर्या संक्रमण</v>
      </c>
    </row>
    <row r="349" ht="22.5" customHeight="1">
      <c r="A349" s="2">
        <v>348.0</v>
      </c>
      <c r="B349" s="3" t="s">
        <v>10954</v>
      </c>
      <c r="C349" s="3" t="s">
        <v>10955</v>
      </c>
      <c r="D349" s="3" t="s">
        <v>10956</v>
      </c>
      <c r="F349" s="5" t="str">
        <f>IFERROR(__xludf.DUMMYFUNCTION("GOOGLETRANSLATE(A349, ""en"", ""hi"")"),"348")</f>
        <v>348</v>
      </c>
      <c r="G349" s="5" t="str">
        <f>IFERROR(__xludf.DUMMYFUNCTION("GOOGLETRANSLATE(B349, ""en"", ""hi"")"),"एक एथलीट की कलात्मक प्रतिभा की प्रशंसा की जाती है, लेकिन उसे अपनी चालों की सटीकता पर भी काम करने की सलाह दी जाती है। उन्हें किसमें सुधार करना चाहिए?")</f>
        <v>एक एथलीट की कलात्मक प्रतिभा की प्रशंसा की जाती है, लेकिन उसे अपनी चालों की सटीकता पर भी काम करने की सलाह दी जाती है। उन्हें किसमें सुधार करना चाहिए?</v>
      </c>
      <c r="H349" s="5" t="str">
        <f>IFERROR(__xludf.DUMMYFUNCTION("GOOGLETRANSLATE(C349, ""en"", ""hi"")"),"A) चालों की सटीकता, B) कलात्मक स्वभाव, C) नियमित जटिलता, D) लचीलापन")</f>
        <v>A) चालों की सटीकता, B) कलात्मक स्वभाव, C) नियमित जटिलता, D) लचीलापन</v>
      </c>
      <c r="I349" s="5" t="str">
        <f>IFERROR(__xludf.DUMMYFUNCTION("GOOGLETRANSLATE(D349, ""en"", ""hi"")"),"A) चालों की सटीकता")</f>
        <v>A) चालों की सटीकता</v>
      </c>
    </row>
    <row r="350" ht="22.5" customHeight="1">
      <c r="A350" s="2">
        <v>349.0</v>
      </c>
      <c r="B350" s="3" t="s">
        <v>10957</v>
      </c>
      <c r="C350" s="3" t="s">
        <v>10958</v>
      </c>
      <c r="D350" s="3" t="s">
        <v>10959</v>
      </c>
      <c r="F350" s="5" t="str">
        <f>IFERROR(__xludf.DUMMYFUNCTION("GOOGLETRANSLATE(A350, ""en"", ""hi"")"),"349")</f>
        <v>349</v>
      </c>
      <c r="G350" s="5" t="str">
        <f>IFERROR(__xludf.DUMMYFUNCTION("GOOGLETRANSLATE(B350, ""en"", ""hi"")"),"किसी भी अभ्यास के दौरान, एक एथलीट अपने लचीलेपन के लिए जाना जाता है, लेकिन गतिशील मुद्राओं में उसे अपनी ताकत बनाए रखने में कठिनाई होती है। उन्हें किस पर ध्यान केंद्रित करना चाहिए?")</f>
        <v>किसी भी अभ्यास के दौरान, एक एथलीट अपने लचीलेपन के लिए जाना जाता है, लेकिन गतिशील मुद्राओं में उसे अपनी ताकत बनाए रखने में कठिनाई होती है। उन्हें किस पर ध्यान केंद्रित करना चाहिए?</v>
      </c>
      <c r="H350" s="5" t="str">
        <f>IFERROR(__xludf.DUMMYFUNCTION("GOOGLETRANSLATE(C350, ""en"", ""hi"")"),"A) गतिशील मुद्राओं में शक्ति, B) लचीलापन बढ़ाना, C) अधिक जटिल चालें जोड़ना, D) संतुलन में सुधार करना")</f>
        <v>A) गतिशील मुद्राओं में शक्ति, B) लचीलापन बढ़ाना, C) अधिक जटिल चालें जोड़ना, D) संतुलन में सुधार करना</v>
      </c>
      <c r="I350" s="5" t="str">
        <f>IFERROR(__xludf.DUMMYFUNCTION("GOOGLETRANSLATE(D350, ""en"", ""hi"")"),"A) गतिशील मुद्राओं में शक्ति")</f>
        <v>A) गतिशील मुद्राओं में शक्ति</v>
      </c>
    </row>
    <row r="351" ht="22.5" customHeight="1">
      <c r="A351" s="2">
        <v>350.0</v>
      </c>
      <c r="B351" s="3" t="s">
        <v>10960</v>
      </c>
      <c r="C351" s="3" t="s">
        <v>10961</v>
      </c>
      <c r="D351" s="3" t="s">
        <v>10962</v>
      </c>
      <c r="F351" s="5" t="str">
        <f>IFERROR(__xludf.DUMMYFUNCTION("GOOGLETRANSLATE(A351, ""en"", ""hi"")"),"350")</f>
        <v>350</v>
      </c>
      <c r="G351" s="5" t="str">
        <f>IFERROR(__xludf.DUMMYFUNCTION("GOOGLETRANSLATE(B351, ""en"", ""hi"")"),"एक कलाकार की दिनचर्या में विभिन्न तत्वों के बीच सामंजस्य का अभाव होता है। मुख्य बात क्या है जिस पर ध्यान देना चाहिए?")</f>
        <v>एक कलाकार की दिनचर्या में विभिन्न तत्वों के बीच सामंजस्य का अभाव होता है। मुख्य बात क्या है जिस पर ध्यान देना चाहिए?</v>
      </c>
      <c r="H351" s="5" t="str">
        <f>IFERROR(__xludf.DUMMYFUNCTION("GOOGLETRANSLATE(C351, ""en"", ""hi"")"),"ए) तत्वों के बीच सामंजस्य, बी) नियमित कठिनाई में वृद्धि, सी) अधिक गतिशील चालें जोड़ना, डी) लचीलापन बढ़ाना")</f>
        <v>ए) तत्वों के बीच सामंजस्य, बी) नियमित कठिनाई में वृद्धि, सी) अधिक गतिशील चालें जोड़ना, डी) लचीलापन बढ़ाना</v>
      </c>
      <c r="I351" s="5" t="str">
        <f>IFERROR(__xludf.DUMMYFUNCTION("GOOGLETRANSLATE(D351, ""en"", ""hi"")"),"A) तत्वों के बीच सामंजस्य")</f>
        <v>A) तत्वों के बीच सामंजस्य</v>
      </c>
    </row>
    <row r="352" ht="22.5" customHeight="1">
      <c r="A352" s="2">
        <v>351.0</v>
      </c>
      <c r="B352" s="3" t="s">
        <v>10963</v>
      </c>
      <c r="C352" s="3" t="s">
        <v>10964</v>
      </c>
      <c r="D352" s="3" t="s">
        <v>10965</v>
      </c>
      <c r="F352" s="5" t="str">
        <f>IFERROR(__xludf.DUMMYFUNCTION("GOOGLETRANSLATE(A352, ""en"", ""hi"")"),"351")</f>
        <v>351</v>
      </c>
      <c r="G352" s="5" t="str">
        <f>IFERROR(__xludf.DUMMYFUNCTION("GOOGLETRANSLATE(B352, ""en"", ""hi"")"),"एक मलखम्ब खिलाड़ी को अपने प्रदर्शन के दौरान लय बनाए रखने में कठिनाई हो रही है। उन्हें किस पर काम करना चाहिए?")</f>
        <v>एक मलखम्ब खिलाड़ी को अपने प्रदर्शन के दौरान लय बनाए रखने में कठिनाई हो रही है। उन्हें किस पर काम करना चाहिए?</v>
      </c>
      <c r="H352" s="5" t="str">
        <f>IFERROR(__xludf.DUMMYFUNCTION("GOOGLETRANSLATE(C352, ""en"", ""hi"")"),"A) पूरे प्रदर्शन के दौरान लय, B) कठिनाई में वृद्धि, C) शक्ति में वृद्धि, D) लचीलेपन में सुधार")</f>
        <v>A) पूरे प्रदर्शन के दौरान लय, B) कठिनाई में वृद्धि, C) शक्ति में वृद्धि, D) लचीलेपन में सुधार</v>
      </c>
      <c r="I352" s="5" t="str">
        <f>IFERROR(__xludf.DUMMYFUNCTION("GOOGLETRANSLATE(D352, ""en"", ""hi"")"),"A) पूरे प्रदर्शन के दौरान लय")</f>
        <v>A) पूरे प्रदर्शन के दौरान लय</v>
      </c>
    </row>
    <row r="353" ht="22.5" customHeight="1">
      <c r="A353" s="2">
        <v>352.0</v>
      </c>
      <c r="B353" s="3" t="s">
        <v>10966</v>
      </c>
      <c r="C353" s="3" t="s">
        <v>10967</v>
      </c>
      <c r="D353" s="3" t="s">
        <v>10878</v>
      </c>
      <c r="F353" s="5" t="str">
        <f>IFERROR(__xludf.DUMMYFUNCTION("GOOGLETRANSLATE(A353, ""en"", ""hi"")"),"352")</f>
        <v>352</v>
      </c>
      <c r="G353" s="5" t="str">
        <f>IFERROR(__xludf.DUMMYFUNCTION("GOOGLETRANSLATE(B353, ""en"", ""hi"")"),"एक एथलीट की दिनचर्या तकनीक में तो मज़बूत होती है, लेकिन उसमें अभिव्यक्ति की कमी होती है। उन्हें किस चीज़ को बेहतर बनाने पर ध्यान देना चाहिए?")</f>
        <v>एक एथलीट की दिनचर्या तकनीक में तो मज़बूत होती है, लेकिन उसमें अभिव्यक्ति की कमी होती है। उन्हें किस चीज़ को बेहतर बनाने पर ध्यान देना चाहिए?</v>
      </c>
      <c r="H353" s="5" t="str">
        <f>IFERROR(__xludf.DUMMYFUNCTION("GOOGLETRANSLATE(C353, ""en"", ""hi"")"),"A) अभिव्यक्तिशीलता, B) तकनीकी कौशल, C) नियमित जटिलता में वृद्धि, D) लचीलापन")</f>
        <v>A) अभिव्यक्तिशीलता, B) तकनीकी कौशल, C) नियमित जटिलता में वृद्धि, D) लचीलापन</v>
      </c>
      <c r="I353" s="5" t="str">
        <f>IFERROR(__xludf.DUMMYFUNCTION("GOOGLETRANSLATE(D353, ""en"", ""hi"")"),"ए) अभिव्यक्ति")</f>
        <v>ए) अभिव्यक्ति</v>
      </c>
    </row>
    <row r="354" ht="22.5" customHeight="1">
      <c r="A354" s="2">
        <v>353.0</v>
      </c>
      <c r="B354" s="3" t="s">
        <v>10968</v>
      </c>
      <c r="C354" s="3" t="s">
        <v>10969</v>
      </c>
      <c r="D354" s="3" t="s">
        <v>10970</v>
      </c>
      <c r="F354" s="5" t="str">
        <f>IFERROR(__xludf.DUMMYFUNCTION("GOOGLETRANSLATE(A354, ""en"", ""hi"")"),"353")</f>
        <v>353</v>
      </c>
      <c r="G354" s="5" t="str">
        <f>IFERROR(__xludf.DUMMYFUNCTION("GOOGLETRANSLATE(B354, ""en"", ""hi"")"),"मलखंभ कलाकार के लिए अपनी कला में शक्ति और लावण्य के बीच संतुलन बनाना चुनौतीपूर्ण होता है। उन्हें किस चीज़ में सुधार लाने पर ध्यान केंद्रित करना चाहिए?")</f>
        <v>मलखंभ कलाकार के लिए अपनी कला में शक्ति और लावण्य के बीच संतुलन बनाना चुनौतीपूर्ण होता है। उन्हें किस चीज़ में सुधार लाने पर ध्यान केंद्रित करना चाहिए?</v>
      </c>
      <c r="H354" s="5" t="str">
        <f>IFERROR(__xludf.DUMMYFUNCTION("GOOGLETRANSLATE(C354, ""en"", ""hi"")"),"A) शक्ति और लावण्य के बीच संतुलन, B) शक्ति में वृद्धि, C) अधिक स्थिर मुद्राएँ जोड़ना, D) लचीलेपन में सुधार")</f>
        <v>A) शक्ति और लावण्य के बीच संतुलन, B) शक्ति में वृद्धि, C) अधिक स्थिर मुद्राएँ जोड़ना, D) लचीलेपन में सुधार</v>
      </c>
      <c r="I354" s="5" t="str">
        <f>IFERROR(__xludf.DUMMYFUNCTION("GOOGLETRANSLATE(D354, ""en"", ""hi"")"),"A) शक्ति और अनुग्रह के बीच संतुलन")</f>
        <v>A) शक्ति और अनुग्रह के बीच संतुलन</v>
      </c>
    </row>
    <row r="355" ht="22.5" customHeight="1">
      <c r="A355" s="2">
        <v>354.0</v>
      </c>
      <c r="B355" s="3" t="s">
        <v>10971</v>
      </c>
      <c r="C355" s="3" t="s">
        <v>10972</v>
      </c>
      <c r="D355" s="3" t="s">
        <v>10779</v>
      </c>
      <c r="F355" s="5" t="str">
        <f>IFERROR(__xludf.DUMMYFUNCTION("GOOGLETRANSLATE(A355, ""en"", ""hi"")"),"354")</f>
        <v>354</v>
      </c>
      <c r="G355" s="5" t="str">
        <f>IFERROR(__xludf.DUMMYFUNCTION("GOOGLETRANSLATE(B355, ""en"", ""hi"")"),"अभ्यास सत्र के दौरान, एथलीट की सहजता के लिए प्रशंसा की जाती है, लेकिन उसे अपनी सहनशक्ति पर भी काम करने की सलाह दी जाती है। उन्हें किसमें सुधार करना चाहिए?")</f>
        <v>अभ्यास सत्र के दौरान, एथलीट की सहजता के लिए प्रशंसा की जाती है, लेकिन उसे अपनी सहनशक्ति पर भी काम करने की सलाह दी जाती है। उन्हें किसमें सुधार करना चाहिए?</v>
      </c>
      <c r="H355" s="5" t="str">
        <f>IFERROR(__xludf.DUMMYFUNCTION("GOOGLETRANSLATE(C355, ""en"", ""hi"")"),"A) सहनशक्ति, B) सहज परिवर्तन, C) नियमित कठिनाई में वृद्धि, D) शक्ति में वृद्धि")</f>
        <v>A) सहनशक्ति, B) सहज परिवर्तन, C) नियमित कठिनाई में वृद्धि, D) शक्ति में वृद्धि</v>
      </c>
      <c r="I355" s="5" t="str">
        <f>IFERROR(__xludf.DUMMYFUNCTION("GOOGLETRANSLATE(D355, ""en"", ""hi"")"),"ए) धीरज")</f>
        <v>ए) धीरज</v>
      </c>
    </row>
    <row r="356" ht="22.5" customHeight="1">
      <c r="A356" s="2">
        <v>355.0</v>
      </c>
      <c r="B356" s="3" t="s">
        <v>10973</v>
      </c>
      <c r="C356" s="3" t="s">
        <v>10974</v>
      </c>
      <c r="D356" s="3" t="s">
        <v>10975</v>
      </c>
      <c r="F356" s="5" t="str">
        <f>IFERROR(__xludf.DUMMYFUNCTION("GOOGLETRANSLATE(A356, ""en"", ""hi"")"),"355")</f>
        <v>355</v>
      </c>
      <c r="G356" s="5" t="str">
        <f>IFERROR(__xludf.DUMMYFUNCTION("GOOGLETRANSLATE(B356, ""en"", ""hi"")"),"एक मलखंभ खिलाड़ी अपनी दिनचर्या में विभिन्न तत्वों को शामिल करने के लिए संघर्ष कर रहा है। मुख्य क्षेत्र क्या है जिस पर ध्यान देने की आवश्यकता है?")</f>
        <v>एक मलखंभ खिलाड़ी अपनी दिनचर्या में विभिन्न तत्वों को शामिल करने के लिए संघर्ष कर रहा है। मुख्य क्षेत्र क्या है जिस पर ध्यान देने की आवश्यकता है?</v>
      </c>
      <c r="H356" s="5" t="str">
        <f>IFERROR(__xludf.DUMMYFUNCTION("GOOGLETRANSLATE(C356, ""en"", ""hi"")"),"A) तत्वों का एकीकरण, B) तकनीकी निष्पादन, C) अधिक गतिशील तत्वों को जोड़ना, D) लचीलेपन में सुधार")</f>
        <v>A) तत्वों का एकीकरण, B) तकनीकी निष्पादन, C) अधिक गतिशील तत्वों को जोड़ना, D) लचीलेपन में सुधार</v>
      </c>
      <c r="I356" s="5" t="str">
        <f>IFERROR(__xludf.DUMMYFUNCTION("GOOGLETRANSLATE(D356, ""en"", ""hi"")"),"A) तत्वों का एकीकरण")</f>
        <v>A) तत्वों का एकीकरण</v>
      </c>
    </row>
    <row r="357" ht="22.5" customHeight="1">
      <c r="A357" s="2">
        <v>356.0</v>
      </c>
      <c r="B357" s="3" t="s">
        <v>10976</v>
      </c>
      <c r="C357" s="3" t="s">
        <v>10977</v>
      </c>
      <c r="D357" s="3" t="s">
        <v>10978</v>
      </c>
      <c r="F357" s="5" t="str">
        <f>IFERROR(__xludf.DUMMYFUNCTION("GOOGLETRANSLATE(A357, ""en"", ""hi"")"),"356")</f>
        <v>356</v>
      </c>
      <c r="G357" s="5" t="str">
        <f>IFERROR(__xludf.DUMMYFUNCTION("GOOGLETRANSLATE(B357, ""en"", ""hi"")"),"एक एथलीट का प्रदर्शन उसकी मज़बूत तकनीकी निष्पादन क्षमता के लिए जाना जाता है, लेकिन उसमें रचनात्मकता का अभाव होता है। उन्हें किस चीज़ को बेहतर बनाने पर ध्यान केंद्रित करना चाहिए?")</f>
        <v>एक एथलीट का प्रदर्शन उसकी मज़बूत तकनीकी निष्पादन क्षमता के लिए जाना जाता है, लेकिन उसमें रचनात्मकता का अभाव होता है। उन्हें किस चीज़ को बेहतर बनाने पर ध्यान केंद्रित करना चाहिए?</v>
      </c>
      <c r="H357" s="5" t="str">
        <f>IFERROR(__xludf.DUMMYFUNCTION("GOOGLETRANSLATE(C357, ""en"", ""hi"")"),"A) रचनात्मकता, B) तकनीकी निष्पादन, C) कठिनाई में वृद्धि, D) लचीलेपन में सुधार")</f>
        <v>A) रचनात्मकता, B) तकनीकी निष्पादन, C) कठिनाई में वृद्धि, D) लचीलेपन में सुधार</v>
      </c>
      <c r="I357" s="5" t="str">
        <f>IFERROR(__xludf.DUMMYFUNCTION("GOOGLETRANSLATE(D357, ""en"", ""hi"")"),"ए) रचनात्मकता")</f>
        <v>ए) रचनात्मकता</v>
      </c>
    </row>
    <row r="358" ht="22.5" customHeight="1">
      <c r="A358" s="2">
        <v>357.0</v>
      </c>
      <c r="B358" s="3" t="s">
        <v>10979</v>
      </c>
      <c r="C358" s="3" t="s">
        <v>10980</v>
      </c>
      <c r="D358" s="3" t="s">
        <v>10981</v>
      </c>
      <c r="F358" s="5" t="str">
        <f>IFERROR(__xludf.DUMMYFUNCTION("GOOGLETRANSLATE(A358, ""en"", ""hi"")"),"357")</f>
        <v>357</v>
      </c>
      <c r="G358" s="5" t="str">
        <f>IFERROR(__xludf.DUMMYFUNCTION("GOOGLETRANSLATE(B358, ""en"", ""hi"")"),"एक कलाकार अपनी कलात्मक प्रस्तुति के लिए जाना जाता है, लेकिन लंबे समय तक प्रस्तुति देने के लिए उसे अपनी सहनशक्ति पर काम करने की ज़रूरत होती है। उसे किस पर ध्यान केंद्रित करना चाहिए?")</f>
        <v>एक कलाकार अपनी कलात्मक प्रस्तुति के लिए जाना जाता है, लेकिन लंबे समय तक प्रस्तुति देने के लिए उसे अपनी सहनशक्ति पर काम करने की ज़रूरत होती है। उसे किस पर ध्यान केंद्रित करना चाहिए?</v>
      </c>
      <c r="H358" s="5" t="str">
        <f>IFERROR(__xludf.DUMMYFUNCTION("GOOGLETRANSLATE(C358, ""en"", ""hi"")"),"A) लंबी दिनचर्या के लिए सहनशक्ति, B) कलात्मक प्रस्तुति, C) दिनचर्या की कठिनाई में वृद्धि, D) ताकत में वृद्धि")</f>
        <v>A) लंबी दिनचर्या के लिए सहनशक्ति, B) कलात्मक प्रस्तुति, C) दिनचर्या की कठिनाई में वृद्धि, D) ताकत में वृद्धि</v>
      </c>
      <c r="I358" s="5" t="str">
        <f>IFERROR(__xludf.DUMMYFUNCTION("GOOGLETRANSLATE(D358, ""en"", ""hi"")"),"A) लंबी दिनचर्या के लिए सहनशक्ति")</f>
        <v>A) लंबी दिनचर्या के लिए सहनशक्ति</v>
      </c>
    </row>
    <row r="359" ht="22.5" customHeight="1">
      <c r="A359" s="2">
        <v>358.0</v>
      </c>
      <c r="B359" s="3" t="s">
        <v>10982</v>
      </c>
      <c r="C359" s="3" t="s">
        <v>10983</v>
      </c>
      <c r="D359" s="3" t="s">
        <v>10984</v>
      </c>
      <c r="F359" s="5" t="str">
        <f>IFERROR(__xludf.DUMMYFUNCTION("GOOGLETRANSLATE(A359, ""en"", ""hi"")"),"358")</f>
        <v>358</v>
      </c>
      <c r="G359" s="5" t="str">
        <f>IFERROR(__xludf.DUMMYFUNCTION("GOOGLETRANSLATE(B359, ""en"", ""hi"")"),"मलखम्ब एथलीट को अपनी दिनचर्या में निरंतरता बनाए रखना मुश्किल लगता है। उन्हें किस चीज़ में सुधार करना चाहिए?")</f>
        <v>मलखम्ब एथलीट को अपनी दिनचर्या में निरंतरता बनाए रखना मुश्किल लगता है। उन्हें किस चीज़ में सुधार करना चाहिए?</v>
      </c>
      <c r="H359" s="5" t="str">
        <f>IFERROR(__xludf.DUMMYFUNCTION("GOOGLETRANSLATE(C359, ""en"", ""hi"")"),"A) स्थिरता, B) नियमित जटिलता में वृद्धि, C) अधिक गतिशील तत्वों को जोड़ना, D) लचीलेपन में वृद्धि")</f>
        <v>A) स्थिरता, B) नियमित जटिलता में वृद्धि, C) अधिक गतिशील तत्वों को जोड़ना, D) लचीलेपन में वृद्धि</v>
      </c>
      <c r="I359" s="5" t="str">
        <f>IFERROR(__xludf.DUMMYFUNCTION("GOOGLETRANSLATE(D359, ""en"", ""hi"")"),"ए) संगति")</f>
        <v>ए) संगति</v>
      </c>
    </row>
    <row r="360" ht="22.5" customHeight="1">
      <c r="A360" s="2">
        <v>359.0</v>
      </c>
      <c r="B360" s="3" t="s">
        <v>10985</v>
      </c>
      <c r="C360" s="3" t="s">
        <v>10986</v>
      </c>
      <c r="D360" s="3" t="s">
        <v>10987</v>
      </c>
      <c r="F360" s="5" t="str">
        <f>IFERROR(__xludf.DUMMYFUNCTION("GOOGLETRANSLATE(A360, ""en"", ""hi"")"),"359")</f>
        <v>359</v>
      </c>
      <c r="G360" s="5" t="str">
        <f>IFERROR(__xludf.DUMMYFUNCTION("GOOGLETRANSLATE(B360, ""en"", ""hi"")"),"एक एथलीट की दिनचर्या स्थिर मुद्राओं में तो मज़बूत होती है, लेकिन गतिशील बदलावों में सुधार की ज़रूरत होती है। उन्हें किस पर ध्यान केंद्रित करना चाहिए?")</f>
        <v>एक एथलीट की दिनचर्या स्थिर मुद्राओं में तो मज़बूत होती है, लेकिन गतिशील बदलावों में सुधार की ज़रूरत होती है। उन्हें किस पर ध्यान केंद्रित करना चाहिए?</v>
      </c>
      <c r="H360" s="5" t="str">
        <f>IFERROR(__xludf.DUMMYFUNCTION("GOOGLETRANSLATE(C360, ""en"", ""hi"")"),"A) गतिशील परिवर्तन, B) स्थिर मुद्राएँ, C) बढ़ती कठिनाई, D) लचीलेपन में सुधार")</f>
        <v>A) गतिशील परिवर्तन, B) स्थिर मुद्राएँ, C) बढ़ती कठिनाई, D) लचीलेपन में सुधार</v>
      </c>
      <c r="I360" s="5" t="str">
        <f>IFERROR(__xludf.DUMMYFUNCTION("GOOGLETRANSLATE(D360, ""en"", ""hi"")"),"A) गतिशील संक्रमण")</f>
        <v>A) गतिशील संक्रमण</v>
      </c>
    </row>
    <row r="361" ht="22.5" customHeight="1">
      <c r="A361" s="2">
        <v>360.0</v>
      </c>
      <c r="B361" s="3" t="s">
        <v>10988</v>
      </c>
      <c r="C361" s="3" t="s">
        <v>10989</v>
      </c>
      <c r="D361" s="3" t="s">
        <v>10990</v>
      </c>
      <c r="F361" s="5" t="str">
        <f>IFERROR(__xludf.DUMMYFUNCTION("GOOGLETRANSLATE(A361, ""en"", ""hi"")"),"360")</f>
        <v>360</v>
      </c>
      <c r="G361" s="5" t="str">
        <f>IFERROR(__xludf.DUMMYFUNCTION("GOOGLETRANSLATE(B361, ""en"", ""hi"")"),"मलखंभ कलाकारों को सलाह दी जाती है कि वे अपने अभ्यास के दौरान अपनी भावनात्मक अभिव्यक्ति में सुधार करें। उन्हें किस पर ध्यान केंद्रित करना चाहिए?")</f>
        <v>मलखंभ कलाकारों को सलाह दी जाती है कि वे अपने अभ्यास के दौरान अपनी भावनात्मक अभिव्यक्ति में सुधार करें। उन्हें किस पर ध्यान केंद्रित करना चाहिए?</v>
      </c>
      <c r="H361" s="5" t="str">
        <f>IFERROR(__xludf.DUMMYFUNCTION("GOOGLETRANSLATE(C361, ""en"", ""hi"")"),"A) भावनात्मक अभिव्यक्ति, B) तकनीकी निष्पादन, C) नियमित कठिनाई में वृद्धि, D) लचीलापन बढ़ाना")</f>
        <v>A) भावनात्मक अभिव्यक्ति, B) तकनीकी निष्पादन, C) नियमित कठिनाई में वृद्धि, D) लचीलापन बढ़ाना</v>
      </c>
      <c r="I361" s="5" t="str">
        <f>IFERROR(__xludf.DUMMYFUNCTION("GOOGLETRANSLATE(D361, ""en"", ""hi"")"),"A) भावनात्मक अभिव्यक्ति")</f>
        <v>A) भावनात्मक अभिव्यक्ति</v>
      </c>
    </row>
    <row r="362" ht="22.5" customHeight="1">
      <c r="A362" s="2">
        <v>361.0</v>
      </c>
      <c r="B362" s="3" t="s">
        <v>10991</v>
      </c>
      <c r="C362" s="3" t="s">
        <v>10992</v>
      </c>
      <c r="D362" s="3" t="s">
        <v>10993</v>
      </c>
      <c r="F362" s="5" t="str">
        <f>IFERROR(__xludf.DUMMYFUNCTION("GOOGLETRANSLATE(A362, ""en"", ""hi"")"),"361")</f>
        <v>361</v>
      </c>
      <c r="G362" s="5" t="str">
        <f>IFERROR(__xludf.DUMMYFUNCTION("GOOGLETRANSLATE(B362, ""en"", ""hi"")"),"एक एथलीट की दिनचर्या में गतिशीलता की कमी होती है। ध्यान देने योग्य मुख्य क्षेत्र क्या है?")</f>
        <v>एक एथलीट की दिनचर्या में गतिशीलता की कमी होती है। ध्यान देने योग्य मुख्य क्षेत्र क्या है?</v>
      </c>
      <c r="H362" s="5" t="str">
        <f>IFERROR(__xludf.DUMMYFUNCTION("GOOGLETRANSLATE(C362, ""en"", ""hi"")"),"A) गति की तरलता, B) कठिनाई में वृद्धि, C) शक्ति में वृद्धि, D) लचीलेपन में सुधार")</f>
        <v>A) गति की तरलता, B) कठिनाई में वृद्धि, C) शक्ति में वृद्धि, D) लचीलेपन में सुधार</v>
      </c>
      <c r="I362" s="5" t="str">
        <f>IFERROR(__xludf.DUMMYFUNCTION("GOOGLETRANSLATE(D362, ""en"", ""hi"")"),"A) गति की तरलता")</f>
        <v>A) गति की तरलता</v>
      </c>
    </row>
    <row r="363" ht="22.5" customHeight="1">
      <c r="A363" s="2">
        <v>362.0</v>
      </c>
      <c r="B363" s="3" t="s">
        <v>10994</v>
      </c>
      <c r="C363" s="3" t="s">
        <v>10995</v>
      </c>
      <c r="D363" s="3" t="s">
        <v>10855</v>
      </c>
      <c r="F363" s="5" t="str">
        <f>IFERROR(__xludf.DUMMYFUNCTION("GOOGLETRANSLATE(A363, ""en"", ""hi"")"),"362")</f>
        <v>362</v>
      </c>
      <c r="G363" s="5" t="str">
        <f>IFERROR(__xludf.DUMMYFUNCTION("GOOGLETRANSLATE(B363, ""en"", ""hi"")"),"मलखम्ब कलाकार शक्ति मुद्राओं में तो कुशल होता है, लेकिन जटिल मुद्राओं के दौरान संतुलन बनाए रखने पर उसे काम करना पड़ता है। उन्हें किसमें सुधार करना चाहिए?")</f>
        <v>मलखम्ब कलाकार शक्ति मुद्राओं में तो कुशल होता है, लेकिन जटिल मुद्राओं के दौरान संतुलन बनाए रखने पर उसे काम करना पड़ता है। उन्हें किसमें सुधार करना चाहिए?</v>
      </c>
      <c r="H363" s="5" t="str">
        <f>IFERROR(__xludf.DUMMYFUNCTION("GOOGLETRANSLATE(C363, ""en"", ""hi"")"),"A) जटिल चालों के दौरान संतुलन, B) शक्ति मुद्राओं में वृद्धि, C) अधिक गतिशील तत्वों को जोड़ना, D) लचीलेपन में सुधार")</f>
        <v>A) जटिल चालों के दौरान संतुलन, B) शक्ति मुद्राओं में वृद्धि, C) अधिक गतिशील तत्वों को जोड़ना, D) लचीलेपन में सुधार</v>
      </c>
      <c r="I363" s="5" t="str">
        <f>IFERROR(__xludf.DUMMYFUNCTION("GOOGLETRANSLATE(D363, ""en"", ""hi"")"),"A) जटिल चालों के दौरान संतुलन")</f>
        <v>A) जटिल चालों के दौरान संतुलन</v>
      </c>
    </row>
    <row r="364" ht="22.5" customHeight="1">
      <c r="A364" s="2">
        <v>363.0</v>
      </c>
      <c r="B364" s="3" t="s">
        <v>10996</v>
      </c>
      <c r="C364" s="3" t="s">
        <v>10997</v>
      </c>
      <c r="D364" s="3" t="s">
        <v>10922</v>
      </c>
      <c r="F364" s="5" t="str">
        <f>IFERROR(__xludf.DUMMYFUNCTION("GOOGLETRANSLATE(A364, ""en"", ""hi"")"),"363")</f>
        <v>363</v>
      </c>
      <c r="G364" s="5" t="str">
        <f>IFERROR(__xludf.DUMMYFUNCTION("GOOGLETRANSLATE(B364, ""en"", ""hi"")"),"किसी भी रूटीन के दौरान, एथलीट की सटीकता की तारीफ़ की जाती है, लेकिन उसे अपनी समग्र रूटीन ऊर्जा पर काम करने की सलाह दी जाती है। उन्हें किस पर ध्यान केंद्रित करना चाहिए?")</f>
        <v>किसी भी रूटीन के दौरान, एथलीट की सटीकता की तारीफ़ की जाती है, लेकिन उसे अपनी समग्र रूटीन ऊर्जा पर काम करने की सलाह दी जाती है। उन्हें किस पर ध्यान केंद्रित करना चाहिए?</v>
      </c>
      <c r="H364" s="5" t="str">
        <f>IFERROR(__xludf.DUMMYFUNCTION("GOOGLETRANSLATE(C364, ""en"", ""hi"")"),"A) समग्र नियमित ऊर्जा, B) चालों में सटीकता, C) बढ़ती कठिनाई, D) लचीलेपन में वृद्धि")</f>
        <v>A) समग्र नियमित ऊर्जा, B) चालों में सटीकता, C) बढ़ती कठिनाई, D) लचीलेपन में वृद्धि</v>
      </c>
      <c r="I364" s="5" t="str">
        <f>IFERROR(__xludf.DUMMYFUNCTION("GOOGLETRANSLATE(D364, ""en"", ""hi"")"),"A) समग्र दिनचर्या ऊर्जा")</f>
        <v>A) समग्र दिनचर्या ऊर्जा</v>
      </c>
    </row>
    <row r="365" ht="22.5" customHeight="1">
      <c r="A365" s="2">
        <v>364.0</v>
      </c>
      <c r="B365" s="3" t="s">
        <v>10998</v>
      </c>
      <c r="C365" s="3" t="s">
        <v>10999</v>
      </c>
      <c r="D365" s="3" t="s">
        <v>10825</v>
      </c>
      <c r="F365" s="5" t="str">
        <f>IFERROR(__xludf.DUMMYFUNCTION("GOOGLETRANSLATE(A365, ""en"", ""hi"")"),"364")</f>
        <v>364</v>
      </c>
      <c r="G365" s="5" t="str">
        <f>IFERROR(__xludf.DUMMYFUNCTION("GOOGLETRANSLATE(B365, ""en"", ""hi"")"),"एक मलखम्ब एथलीट को अपनी दिनचर्या के विभिन्न पहलुओं के बीच सहजता से बदलाव करने में कठिनाई होती है। उन्हें किस सुधार पर ध्यान केंद्रित करना चाहिए?")</f>
        <v>एक मलखम्ब एथलीट को अपनी दिनचर्या के विभिन्न पहलुओं के बीच सहजता से बदलाव करने में कठिनाई होती है। उन्हें किस सुधार पर ध्यान केंद्रित करना चाहिए?</v>
      </c>
      <c r="H365" s="5" t="str">
        <f>IFERROR(__xludf.DUMMYFUNCTION("GOOGLETRANSLATE(C365, ""en"", ""hi"")"),"A) सहज परिवर्तन, B) नियमित कठिनाई में वृद्धि, C) अधिक स्थिर मुद्राएँ जोड़ना, D) लचीलापन बढ़ाना")</f>
        <v>A) सहज परिवर्तन, B) नियमित कठिनाई में वृद्धि, C) अधिक स्थिर मुद्राएँ जोड़ना, D) लचीलापन बढ़ाना</v>
      </c>
      <c r="I365" s="5" t="str">
        <f>IFERROR(__xludf.DUMMYFUNCTION("GOOGLETRANSLATE(D365, ""en"", ""hi"")"),"A) सहज संक्रमण")</f>
        <v>A) सहज संक्रमण</v>
      </c>
    </row>
    <row r="366" ht="22.5" customHeight="1">
      <c r="A366" s="2">
        <v>365.0</v>
      </c>
      <c r="B366" s="3" t="s">
        <v>11000</v>
      </c>
      <c r="C366" s="3" t="s">
        <v>11001</v>
      </c>
      <c r="D366" s="3" t="s">
        <v>11002</v>
      </c>
      <c r="F366" s="5" t="str">
        <f>IFERROR(__xludf.DUMMYFUNCTION("GOOGLETRANSLATE(A366, ""en"", ""hi"")"),"365")</f>
        <v>365</v>
      </c>
      <c r="G366" s="5" t="str">
        <f>IFERROR(__xludf.DUMMYFUNCTION("GOOGLETRANSLATE(B366, ""en"", ""hi"")"),"एक एथलीट अपनी मज़बूत तकनीक के लिए जाना जाता है, लेकिन उसे अपनी दिनचर्या में सामंजस्य बिठाने में दिक्कत होती है। उन्हें किस पर ध्यान केंद्रित करना चाहिए?")</f>
        <v>एक एथलीट अपनी मज़बूत तकनीक के लिए जाना जाता है, लेकिन उसे अपनी दिनचर्या में सामंजस्य बिठाने में दिक्कत होती है। उन्हें किस पर ध्यान केंद्रित करना चाहिए?</v>
      </c>
      <c r="H366" s="5" t="str">
        <f>IFERROR(__xludf.DUMMYFUNCTION("GOOGLETRANSLATE(C366, ""en"", ""hi"")"),"ए) नियमित सामंजस्य, बी) तकनीक, सी) अधिक गतिशील चालें जोड़ना, डी) लचीलेपन में सुधार")</f>
        <v>ए) नियमित सामंजस्य, बी) तकनीक, सी) अधिक गतिशील चालें जोड़ना, डी) लचीलेपन में सुधार</v>
      </c>
      <c r="I366" s="5" t="str">
        <f>IFERROR(__xludf.DUMMYFUNCTION("GOOGLETRANSLATE(D366, ""en"", ""hi"")"),"A) दिनचर्या सामंजस्य")</f>
        <v>A) दिनचर्या सामंजस्य</v>
      </c>
    </row>
    <row r="367" ht="22.5" customHeight="1">
      <c r="A367" s="2">
        <v>366.0</v>
      </c>
      <c r="B367" s="3" t="s">
        <v>11003</v>
      </c>
      <c r="C367" s="3" t="s">
        <v>11004</v>
      </c>
      <c r="D367" s="3" t="s">
        <v>11005</v>
      </c>
      <c r="F367" s="5" t="str">
        <f>IFERROR(__xludf.DUMMYFUNCTION("GOOGLETRANSLATE(A367, ""en"", ""hi"")"),"366")</f>
        <v>366</v>
      </c>
      <c r="G367" s="5" t="str">
        <f>IFERROR(__xludf.DUMMYFUNCTION("GOOGLETRANSLATE(B367, ""en"", ""hi"")"),"मलखंभ कलाकारों को सलाह दी जाती है कि वे अपने अभ्यास के दौरान अपनी समग्र प्रदर्शन ऊर्जा को बढ़ाएँ। उन्हें किस पर ध्यान केंद्रित करना चाहिए?")</f>
        <v>मलखंभ कलाकारों को सलाह दी जाती है कि वे अपने अभ्यास के दौरान अपनी समग्र प्रदर्शन ऊर्जा को बढ़ाएँ। उन्हें किस पर ध्यान केंद्रित करना चाहिए?</v>
      </c>
      <c r="H367" s="5" t="str">
        <f>IFERROR(__xludf.DUMMYFUNCTION("GOOGLETRANSLATE(C367, ""en"", ""hi"")"),"ए) समग्र प्रदर्शन ऊर्जा, बी) नियमित कठिनाई में वृद्धि, सी) अधिक जटिल चालें जोड़ना, डी) लचीलेपन में सुधार")</f>
        <v>ए) समग्र प्रदर्शन ऊर्जा, बी) नियमित कठिनाई में वृद्धि, सी) अधिक जटिल चालें जोड़ना, डी) लचीलेपन में सुधार</v>
      </c>
      <c r="I367" s="5" t="str">
        <f>IFERROR(__xludf.DUMMYFUNCTION("GOOGLETRANSLATE(D367, ""en"", ""hi"")"),"ए) समग्र प्रदर्शन ऊर्जा")</f>
        <v>ए) समग्र प्रदर्शन ऊर्जा</v>
      </c>
    </row>
    <row r="368" ht="22.5" customHeight="1">
      <c r="A368" s="2">
        <v>367.0</v>
      </c>
      <c r="B368" s="3" t="s">
        <v>11006</v>
      </c>
      <c r="C368" s="3" t="s">
        <v>11007</v>
      </c>
      <c r="D368" s="3" t="s">
        <v>11008</v>
      </c>
      <c r="F368" s="5" t="str">
        <f>IFERROR(__xludf.DUMMYFUNCTION("GOOGLETRANSLATE(A368, ""en"", ""hi"")"),"367")</f>
        <v>367</v>
      </c>
      <c r="G368" s="5" t="str">
        <f>IFERROR(__xludf.DUMMYFUNCTION("GOOGLETRANSLATE(B368, ""en"", ""hi"")"),"अभ्यास के दौरान, एक एथलीट की कलात्मक अभिव्यक्ति तो मज़बूत होती है, लेकिन तकनीकी निष्पादन में सुधार की ज़रूरत होती है। उन्हें किस पर ध्यान केंद्रित करना चाहिए?")</f>
        <v>अभ्यास के दौरान, एक एथलीट की कलात्मक अभिव्यक्ति तो मज़बूत होती है, लेकिन तकनीकी निष्पादन में सुधार की ज़रूरत होती है। उन्हें किस पर ध्यान केंद्रित करना चाहिए?</v>
      </c>
      <c r="H368" s="5" t="str">
        <f>IFERROR(__xludf.DUMMYFUNCTION("GOOGLETRANSLATE(C368, ""en"", ""hi"")"),"A) तकनीकी निष्पादन, B) कलात्मक अभिव्यक्ति, C) नियमित कठिनाई में वृद्धि, D) लचीलेपन में सुधार")</f>
        <v>A) तकनीकी निष्पादन, B) कलात्मक अभिव्यक्ति, C) नियमित कठिनाई में वृद्धि, D) लचीलेपन में सुधार</v>
      </c>
      <c r="I368" s="5" t="str">
        <f>IFERROR(__xludf.DUMMYFUNCTION("GOOGLETRANSLATE(D368, ""en"", ""hi"")"),"ए) तकनीकी निष्पादन")</f>
        <v>ए) तकनीकी निष्पादन</v>
      </c>
    </row>
    <row r="369" ht="22.5" customHeight="1">
      <c r="A369" s="2">
        <v>368.0</v>
      </c>
      <c r="B369" s="3" t="s">
        <v>11009</v>
      </c>
      <c r="C369" s="3" t="s">
        <v>11010</v>
      </c>
      <c r="D369" s="3" t="s">
        <v>11011</v>
      </c>
      <c r="F369" s="5" t="str">
        <f>IFERROR(__xludf.DUMMYFUNCTION("GOOGLETRANSLATE(A369, ""en"", ""hi"")"),"368")</f>
        <v>368</v>
      </c>
      <c r="G369" s="5" t="str">
        <f>IFERROR(__xludf.DUMMYFUNCTION("GOOGLETRANSLATE(B369, ""en"", ""hi"")"),"मलखम्ब एथलीट की लचीलेपन के लिए प्रशंसा की जाती है, लेकिन गतिशील आसनों के दौरान उन्हें अपनी ताकत पर काम करने की ज़रूरत होती है। उन्हें किस पर ध्यान केंद्रित करना चाहिए?")</f>
        <v>मलखम्ब एथलीट की लचीलेपन के लिए प्रशंसा की जाती है, लेकिन गतिशील आसनों के दौरान उन्हें अपनी ताकत पर काम करने की ज़रूरत होती है। उन्हें किस पर ध्यान केंद्रित करना चाहिए?</v>
      </c>
      <c r="H369" s="5" t="str">
        <f>IFERROR(__xludf.DUMMYFUNCTION("GOOGLETRANSLATE(C369, ""en"", ""hi"")"),"ए) गतिशील आसन के दौरान ताकत, बी) लचीलापन, सी) अधिक स्थिर आसन जोड़ना, डी) संतुलन में सुधार")</f>
        <v>ए) गतिशील आसन के दौरान ताकत, बी) लचीलापन, सी) अधिक स्थिर आसन जोड़ना, डी) संतुलन में सुधार</v>
      </c>
      <c r="I369" s="5" t="str">
        <f>IFERROR(__xludf.DUMMYFUNCTION("GOOGLETRANSLATE(D369, ""en"", ""hi"")"),"A) गतिशील आसन के दौरान शक्ति")</f>
        <v>A) गतिशील आसन के दौरान शक्ति</v>
      </c>
    </row>
    <row r="370" ht="22.5" customHeight="1">
      <c r="A370" s="2">
        <v>369.0</v>
      </c>
      <c r="B370" s="3" t="s">
        <v>11012</v>
      </c>
      <c r="C370" s="3" t="s">
        <v>11013</v>
      </c>
      <c r="D370" s="3" t="s">
        <v>10935</v>
      </c>
      <c r="F370" s="5" t="str">
        <f>IFERROR(__xludf.DUMMYFUNCTION("GOOGLETRANSLATE(A370, ""en"", ""hi"")"),"369")</f>
        <v>369</v>
      </c>
      <c r="G370" s="5" t="str">
        <f>IFERROR(__xludf.DUMMYFUNCTION("GOOGLETRANSLATE(B370, ""en"", ""hi"")"),"एक एथलीट की दिनचर्या उसकी तकनीकी कुशलता के लिए जानी जाती है, लेकिन उसमें अभिव्यंजक तत्वों का अभाव होता है। उन्हें क्या बढ़ावा देना चाहिए?")</f>
        <v>एक एथलीट की दिनचर्या उसकी तकनीकी कुशलता के लिए जानी जाती है, लेकिन उसमें अभिव्यंजक तत्वों का अभाव होता है। उन्हें क्या बढ़ावा देना चाहिए?</v>
      </c>
      <c r="H370" s="5" t="str">
        <f>IFERROR(__xludf.DUMMYFUNCTION("GOOGLETRANSLATE(C370, ""en"", ""hi"")"),"A) अभिव्यंजक तत्व, B) तकनीकी कौशल, C) कठिनाई में वृद्धि, D) लचीलेपन में सुधार")</f>
        <v>A) अभिव्यंजक तत्व, B) तकनीकी कौशल, C) कठिनाई में वृद्धि, D) लचीलेपन में सुधार</v>
      </c>
      <c r="I370" s="5" t="str">
        <f>IFERROR(__xludf.DUMMYFUNCTION("GOOGLETRANSLATE(D370, ""en"", ""hi"")"),"A) अभिव्यंजक तत्व")</f>
        <v>A) अभिव्यंजक तत्व</v>
      </c>
    </row>
    <row r="371" ht="22.5" customHeight="1">
      <c r="A371" s="2">
        <v>370.0</v>
      </c>
      <c r="B371" s="3" t="s">
        <v>11014</v>
      </c>
      <c r="C371" s="3" t="s">
        <v>11015</v>
      </c>
      <c r="D371" s="3" t="s">
        <v>11016</v>
      </c>
      <c r="F371" s="5" t="str">
        <f>IFERROR(__xludf.DUMMYFUNCTION("GOOGLETRANSLATE(A371, ""en"", ""hi"")"),"370")</f>
        <v>370</v>
      </c>
      <c r="G371" s="5" t="str">
        <f>IFERROR(__xludf.DUMMYFUNCTION("GOOGLETRANSLATE(B371, ""en"", ""hi"")"),"मलखम्ब कलाकार को विभिन्न नियमित खंडों को एकीकृत करने में कठिनाई होती है। उन्हें किस सुधार पर ध्यान केंद्रित करना चाहिए?")</f>
        <v>मलखम्ब कलाकार को विभिन्न नियमित खंडों को एकीकृत करने में कठिनाई होती है। उन्हें किस सुधार पर ध्यान केंद्रित करना चाहिए?</v>
      </c>
      <c r="H371" s="5" t="str">
        <f>IFERROR(__xludf.DUMMYFUNCTION("GOOGLETRANSLATE(C371, ""en"", ""hi"")"),"ए) नियमित खंडों का एकीकरण, बी) तकनीकी निष्पादन, सी) अधिक गतिशील चालें जोड़ना, डी) लचीलापन बढ़ाना")</f>
        <v>ए) नियमित खंडों का एकीकरण, बी) तकनीकी निष्पादन, सी) अधिक गतिशील चालें जोड़ना, डी) लचीलापन बढ़ाना</v>
      </c>
      <c r="I371" s="5" t="str">
        <f>IFERROR(__xludf.DUMMYFUNCTION("GOOGLETRANSLATE(D371, ""en"", ""hi"")"),"A) नियमित अनुभागों का एकीकरण")</f>
        <v>A) नियमित अनुभागों का एकीकरण</v>
      </c>
    </row>
    <row r="372" ht="22.5" customHeight="1">
      <c r="A372" s="2">
        <v>371.0</v>
      </c>
      <c r="B372" s="3" t="s">
        <v>11017</v>
      </c>
      <c r="C372" s="3" t="s">
        <v>11018</v>
      </c>
      <c r="D372" s="3" t="s">
        <v>10753</v>
      </c>
      <c r="F372" s="5" t="str">
        <f>IFERROR(__xludf.DUMMYFUNCTION("GOOGLETRANSLATE(A372, ""en"", ""hi"")"),"371")</f>
        <v>371</v>
      </c>
      <c r="G372" s="5" t="str">
        <f>IFERROR(__xludf.DUMMYFUNCTION("GOOGLETRANSLATE(B372, ""en"", ""hi"")"),"प्रदर्शन के दौरान, एक एथलीट अपनी तकनीकी दक्षता में तो मज़बूत होता है, लेकिन उसे और अधिक कलात्मक अभिव्यक्ति की आवश्यकता होती है। सुधार का मुख्य क्षेत्र क्या है?")</f>
        <v>प्रदर्शन के दौरान, एक एथलीट अपनी तकनीकी दक्षता में तो मज़बूत होता है, लेकिन उसे और अधिक कलात्मक अभिव्यक्ति की आवश्यकता होती है। सुधार का मुख्य क्षेत्र क्या है?</v>
      </c>
      <c r="H372" s="5" t="str">
        <f>IFERROR(__xludf.DUMMYFUNCTION("GOOGLETRANSLATE(C372, ""en"", ""hi"")"),"A) कलात्मक अभिव्यक्ति, B) तकनीकी निष्पादन, C) कठिनाई में वृद्धि, D) लचीलेपन में सुधार")</f>
        <v>A) कलात्मक अभिव्यक्ति, B) तकनीकी निष्पादन, C) कठिनाई में वृद्धि, D) लचीलेपन में सुधार</v>
      </c>
      <c r="I372" s="5" t="str">
        <f>IFERROR(__xludf.DUMMYFUNCTION("GOOGLETRANSLATE(D372, ""en"", ""hi"")"),"ए) कलात्मक अभिव्यक्ति")</f>
        <v>ए) कलात्मक अभिव्यक्ति</v>
      </c>
    </row>
    <row r="373" ht="22.5" customHeight="1">
      <c r="A373" s="2">
        <v>372.0</v>
      </c>
      <c r="B373" s="3" t="s">
        <v>11019</v>
      </c>
      <c r="C373" s="3" t="s">
        <v>11020</v>
      </c>
      <c r="D373" s="3" t="s">
        <v>11021</v>
      </c>
      <c r="F373" s="5" t="str">
        <f>IFERROR(__xludf.DUMMYFUNCTION("GOOGLETRANSLATE(A373, ""en"", ""hi"")"),"372")</f>
        <v>372</v>
      </c>
      <c r="G373" s="5" t="str">
        <f>IFERROR(__xludf.DUMMYFUNCTION("GOOGLETRANSLATE(B373, ""en"", ""hi"")"),"मलखम्ब एथलीट के लिए अपनी पूरी दिनचर्या में तरल गति बनाए रखना चुनौतीपूर्ण होता है। उन्हें किस पर काम करना चाहिए?")</f>
        <v>मलखम्ब एथलीट के लिए अपनी पूरी दिनचर्या में तरल गति बनाए रखना चुनौतीपूर्ण होता है। उन्हें किस पर काम करना चाहिए?</v>
      </c>
      <c r="H373" s="5" t="str">
        <f>IFERROR(__xludf.DUMMYFUNCTION("GOOGLETRANSLATE(C373, ""en"", ""hi"")"),"A) तरल गतिविधियाँ, B) दिनचर्या की जटिलता बढ़ाना, C) ताकत बढ़ाना, D) लचीलेपन में सुधार करना")</f>
        <v>A) तरल गतिविधियाँ, B) दिनचर्या की जटिलता बढ़ाना, C) ताकत बढ़ाना, D) लचीलेपन में सुधार करना</v>
      </c>
      <c r="I373" s="5" t="str">
        <f>IFERROR(__xludf.DUMMYFUNCTION("GOOGLETRANSLATE(D373, ""en"", ""hi"")"),"A) द्रव गतियाँ")</f>
        <v>A) द्रव गतियाँ</v>
      </c>
    </row>
    <row r="374" ht="22.5" customHeight="1">
      <c r="A374" s="2">
        <v>373.0</v>
      </c>
      <c r="B374" s="3" t="s">
        <v>11022</v>
      </c>
      <c r="C374" s="3" t="s">
        <v>11023</v>
      </c>
      <c r="D374" s="3" t="s">
        <v>11024</v>
      </c>
      <c r="F374" s="5" t="str">
        <f>IFERROR(__xludf.DUMMYFUNCTION("GOOGLETRANSLATE(A374, ""en"", ""hi"")"),"373")</f>
        <v>373</v>
      </c>
      <c r="G374" s="5" t="str">
        <f>IFERROR(__xludf.DUMMYFUNCTION("GOOGLETRANSLATE(B374, ""en"", ""hi"")"),"एक एथलीट की दिनचर्या में सहनशक्ति तो मज़बूत होती है, लेकिन जटिल गतिविधियों को सटीक ढंग से करने पर भी ध्यान देने की ज़रूरत होती है। उन्हें किसमें सुधार करना चाहिए?")</f>
        <v>एक एथलीट की दिनचर्या में सहनशक्ति तो मज़बूत होती है, लेकिन जटिल गतिविधियों को सटीक ढंग से करने पर भी ध्यान देने की ज़रूरत होती है। उन्हें किसमें सुधार करना चाहिए?</v>
      </c>
      <c r="H374" s="5" t="str">
        <f>IFERROR(__xludf.DUMMYFUNCTION("GOOGLETRANSLATE(C374, ""en"", ""hi"")"),"A) जटिल चालों का सटीक निष्पादन, B) धीरज, C) कठिनाई में वृद्धि, D) लचीलेपन में वृद्धि")</f>
        <v>A) जटिल चालों का सटीक निष्पादन, B) धीरज, C) कठिनाई में वृद्धि, D) लचीलेपन में वृद्धि</v>
      </c>
      <c r="I374" s="5" t="str">
        <f>IFERROR(__xludf.DUMMYFUNCTION("GOOGLETRANSLATE(D374, ""en"", ""hi"")"),"A) जटिल चालों का सटीक निष्पादन")</f>
        <v>A) जटिल चालों का सटीक निष्पादन</v>
      </c>
    </row>
    <row r="375" ht="22.5" customHeight="1">
      <c r="A375" s="2">
        <v>374.0</v>
      </c>
      <c r="B375" s="3" t="s">
        <v>11025</v>
      </c>
      <c r="C375" s="3" t="s">
        <v>11026</v>
      </c>
      <c r="D375" s="3" t="s">
        <v>11027</v>
      </c>
      <c r="F375" s="5" t="str">
        <f>IFERROR(__xludf.DUMMYFUNCTION("GOOGLETRANSLATE(A375, ""en"", ""hi"")"),"374")</f>
        <v>374</v>
      </c>
      <c r="G375" s="5" t="str">
        <f>IFERROR(__xludf.DUMMYFUNCTION("GOOGLETRANSLATE(B375, ""en"", ""hi"")"),"मलखंभ कलाकार को अपनी पूरी दिनचर्या में ऊर्जा बनाए रखने में कठिनाई होती है। सुधार के लिए मुख्य ध्यान किस पर केंद्रित होना चाहिए?")</f>
        <v>मलखंभ कलाकार को अपनी पूरी दिनचर्या में ऊर्जा बनाए रखने में कठिनाई होती है। सुधार के लिए मुख्य ध्यान किस पर केंद्रित होना चाहिए?</v>
      </c>
      <c r="H375" s="5" t="str">
        <f>IFERROR(__xludf.DUMMYFUNCTION("GOOGLETRANSLATE(C375, ""en"", ""hi"")"),"A) निरंतर ऊर्जा, B) नियमित कठिनाई में वृद्धि, C) अधिक गतिशील तत्वों को जोड़ना, D) लचीलेपन में सुधार")</f>
        <v>A) निरंतर ऊर्जा, B) नियमित कठिनाई में वृद्धि, C) अधिक गतिशील तत्वों को जोड़ना, D) लचीलेपन में सुधार</v>
      </c>
      <c r="I375" s="5" t="str">
        <f>IFERROR(__xludf.DUMMYFUNCTION("GOOGLETRANSLATE(D375, ""en"", ""hi"")"),"A) लगातार ऊर्जा")</f>
        <v>A) लगातार ऊर्जा</v>
      </c>
    </row>
    <row r="376" ht="22.5" customHeight="1">
      <c r="A376" s="2">
        <v>375.0</v>
      </c>
      <c r="B376" s="3" t="s">
        <v>11028</v>
      </c>
      <c r="C376" s="3" t="s">
        <v>11029</v>
      </c>
      <c r="D376" s="3" t="s">
        <v>10959</v>
      </c>
      <c r="F376" s="5" t="str">
        <f>IFERROR(__xludf.DUMMYFUNCTION("GOOGLETRANSLATE(A376, ""en"", ""hi"")"),"375")</f>
        <v>375</v>
      </c>
      <c r="G376" s="5" t="str">
        <f>IFERROR(__xludf.DUMMYFUNCTION("GOOGLETRANSLATE(B376, ""en"", ""hi"")"),"अभ्यास के दौरान, एक एथलीट का प्रदर्शन उसकी सुंदरता के लिए जाना जाता है, लेकिन गतिशील मुद्राओं में उसकी ताकत कम होती है। उन्हें किस पर ध्यान केंद्रित करना चाहिए?")</f>
        <v>अभ्यास के दौरान, एक एथलीट का प्रदर्शन उसकी सुंदरता के लिए जाना जाता है, लेकिन गतिशील मुद्राओं में उसकी ताकत कम होती है। उन्हें किस पर ध्यान केंद्रित करना चाहिए?</v>
      </c>
      <c r="H376" s="5" t="str">
        <f>IFERROR(__xludf.DUMMYFUNCTION("GOOGLETRANSLATE(C376, ""en"", ""hi"")"),"ए) गतिशील मुद्राओं में शक्ति, बी) अनुग्रह, सी) अधिक स्थिर मुद्राओं को जोड़ना, डी) लचीलेपन में सुधार")</f>
        <v>ए) गतिशील मुद्राओं में शक्ति, बी) अनुग्रह, सी) अधिक स्थिर मुद्राओं को जोड़ना, डी) लचीलेपन में सुधार</v>
      </c>
      <c r="I376" s="5" t="str">
        <f>IFERROR(__xludf.DUMMYFUNCTION("GOOGLETRANSLATE(D376, ""en"", ""hi"")"),"A) गतिशील मुद्राओं में शक्ति")</f>
        <v>A) गतिशील मुद्राओं में शक्ति</v>
      </c>
    </row>
    <row r="377" ht="22.5" customHeight="1">
      <c r="A377" s="2">
        <v>376.0</v>
      </c>
      <c r="B377" s="3" t="s">
        <v>11030</v>
      </c>
      <c r="C377" s="3" t="s">
        <v>11031</v>
      </c>
      <c r="D377" s="3" t="s">
        <v>11032</v>
      </c>
      <c r="F377" s="5" t="str">
        <f>IFERROR(__xludf.DUMMYFUNCTION("GOOGLETRANSLATE(A377, ""en"", ""hi"")"),"376")</f>
        <v>376</v>
      </c>
      <c r="G377" s="5" t="str">
        <f>IFERROR(__xludf.DUMMYFUNCTION("GOOGLETRANSLATE(B377, ""en"", ""hi"")"),"मलखंभ कलाकारों को सलाह दी जाती है कि वे अपनी दिनचर्या में समग्र सामंजस्य बढ़ाने पर ध्यान दें। उन्हें किस पर ध्यान केंद्रित करना चाहिए?")</f>
        <v>मलखंभ कलाकारों को सलाह दी जाती है कि वे अपनी दिनचर्या में समग्र सामंजस्य बढ़ाने पर ध्यान दें। उन्हें किस पर ध्यान केंद्रित करना चाहिए?</v>
      </c>
      <c r="H377" s="5" t="str">
        <f>IFERROR(__xludf.DUMMYFUNCTION("GOOGLETRANSLATE(C377, ""en"", ""hi"")"),"ए) समग्र दिनचर्या सामंजस्य, बी) कठिनाई में वृद्धि, सी) अधिक जटिल चालें जोड़ना, डी) लचीलेपन में सुधार")</f>
        <v>ए) समग्र दिनचर्या सामंजस्य, बी) कठिनाई में वृद्धि, सी) अधिक जटिल चालें जोड़ना, डी) लचीलेपन में सुधार</v>
      </c>
      <c r="I377" s="5" t="str">
        <f>IFERROR(__xludf.DUMMYFUNCTION("GOOGLETRANSLATE(D377, ""en"", ""hi"")"),"A) समग्र दिनचर्या सामंजस्य")</f>
        <v>A) समग्र दिनचर्या सामंजस्य</v>
      </c>
    </row>
    <row r="378" ht="22.5" customHeight="1">
      <c r="A378" s="2">
        <v>377.0</v>
      </c>
      <c r="B378" s="3" t="s">
        <v>11033</v>
      </c>
      <c r="C378" s="3" t="s">
        <v>11034</v>
      </c>
      <c r="D378" s="3" t="s">
        <v>10929</v>
      </c>
      <c r="F378" s="5" t="str">
        <f>IFERROR(__xludf.DUMMYFUNCTION("GOOGLETRANSLATE(A378, ""en"", ""hi"")"),"377")</f>
        <v>377</v>
      </c>
      <c r="G378" s="5" t="str">
        <f>IFERROR(__xludf.DUMMYFUNCTION("GOOGLETRANSLATE(B378, ""en"", ""hi"")"),"एक एथलीट की दिनचर्या तकनीकी कौशल में मज़बूत होती है, लेकिन भावनात्मक जुड़ाव में सुधार की ज़रूरत होती है। उन्हें किस पर काम करना चाहिए?")</f>
        <v>एक एथलीट की दिनचर्या तकनीकी कौशल में मज़बूत होती है, लेकिन भावनात्मक जुड़ाव में सुधार की ज़रूरत होती है। उन्हें किस पर काम करना चाहिए?</v>
      </c>
      <c r="H378" s="5" t="str">
        <f>IFERROR(__xludf.DUMMYFUNCTION("GOOGLETRANSLATE(C378, ""en"", ""hi"")"),"A) भावनात्मक जुड़ाव, B) तकनीकी कौशल, C) दिनचर्या की जटिलता में वृद्धि, D) लचीलेपन में वृद्धि")</f>
        <v>A) भावनात्मक जुड़ाव, B) तकनीकी कौशल, C) दिनचर्या की जटिलता में वृद्धि, D) लचीलेपन में वृद्धि</v>
      </c>
      <c r="I378" s="5" t="str">
        <f>IFERROR(__xludf.DUMMYFUNCTION("GOOGLETRANSLATE(D378, ""en"", ""hi"")"),"A) भावनात्मक जुड़ाव")</f>
        <v>A) भावनात्मक जुड़ाव</v>
      </c>
    </row>
    <row r="379" ht="22.5" customHeight="1">
      <c r="A379" s="2">
        <v>378.0</v>
      </c>
      <c r="B379" s="3" t="s">
        <v>11035</v>
      </c>
      <c r="C379" s="3" t="s">
        <v>11036</v>
      </c>
      <c r="D379" s="3" t="s">
        <v>10825</v>
      </c>
      <c r="F379" s="5" t="str">
        <f>IFERROR(__xludf.DUMMYFUNCTION("GOOGLETRANSLATE(A379, ""en"", ""hi"")"),"378")</f>
        <v>378</v>
      </c>
      <c r="G379" s="5" t="str">
        <f>IFERROR(__xludf.DUMMYFUNCTION("GOOGLETRANSLATE(B379, ""en"", ""hi"")"),"मलखम्ब एथलीट को एक-दूसरे के आसनों के बीच सहज बदलाव बनाए रखना मुश्किल लगता है। उन्हें किस सुधार पर ध्यान देना चाहिए?")</f>
        <v>मलखम्ब एथलीट को एक-दूसरे के आसनों के बीच सहज बदलाव बनाए रखना मुश्किल लगता है। उन्हें किस सुधार पर ध्यान देना चाहिए?</v>
      </c>
      <c r="H379" s="5" t="str">
        <f>IFERROR(__xludf.DUMMYFUNCTION("GOOGLETRANSLATE(C379, ""en"", ""hi"")"),"A) सहज परिवर्तन, B) कठिनाई में वृद्धि, C) अधिक गतिशील तत्वों को जोड़ना, D) लचीलेपन में वृद्धि")</f>
        <v>A) सहज परिवर्तन, B) कठिनाई में वृद्धि, C) अधिक गतिशील तत्वों को जोड़ना, D) लचीलेपन में वृद्धि</v>
      </c>
      <c r="I379" s="5" t="str">
        <f>IFERROR(__xludf.DUMMYFUNCTION("GOOGLETRANSLATE(D379, ""en"", ""hi"")"),"A) सहज संक्रमण")</f>
        <v>A) सहज संक्रमण</v>
      </c>
    </row>
    <row r="380" ht="22.5" customHeight="1">
      <c r="A380" s="2">
        <v>379.0</v>
      </c>
      <c r="B380" s="3" t="s">
        <v>11037</v>
      </c>
      <c r="C380" s="3" t="s">
        <v>11038</v>
      </c>
      <c r="D380" s="3" t="s">
        <v>11008</v>
      </c>
      <c r="F380" s="5" t="str">
        <f>IFERROR(__xludf.DUMMYFUNCTION("GOOGLETRANSLATE(A380, ""en"", ""hi"")"),"379")</f>
        <v>379</v>
      </c>
      <c r="G380" s="5" t="str">
        <f>IFERROR(__xludf.DUMMYFUNCTION("GOOGLETRANSLATE(B380, ""en"", ""hi"")"),"किसी प्रदर्शन के दौरान, एक एथलीट की कलात्मक प्रस्तुति की तो प्रशंसा होती है, लेकिन तकनीकी प्रदर्शन में उसे कठिनाई होती है। ध्यान देने योग्य मुख्य क्षेत्र क्या है?")</f>
        <v>किसी प्रदर्शन के दौरान, एक एथलीट की कलात्मक प्रस्तुति की तो प्रशंसा होती है, लेकिन तकनीकी प्रदर्शन में उसे कठिनाई होती है। ध्यान देने योग्य मुख्य क्षेत्र क्या है?</v>
      </c>
      <c r="H380" s="5" t="str">
        <f>IFERROR(__xludf.DUMMYFUNCTION("GOOGLETRANSLATE(C380, ""en"", ""hi"")"),"A) तकनीकी निष्पादन, B) कलात्मक प्रस्तुति, C) नियमित कठिनाई में वृद्धि, D) लचीलेपन में सुधार")</f>
        <v>A) तकनीकी निष्पादन, B) कलात्मक प्रस्तुति, C) नियमित कठिनाई में वृद्धि, D) लचीलेपन में सुधार</v>
      </c>
      <c r="I380" s="5" t="str">
        <f>IFERROR(__xludf.DUMMYFUNCTION("GOOGLETRANSLATE(D380, ""en"", ""hi"")"),"ए) तकनीकी निष्पादन")</f>
        <v>ए) तकनीकी निष्पादन</v>
      </c>
    </row>
    <row r="381" ht="22.5" customHeight="1">
      <c r="A381" s="2">
        <v>380.0</v>
      </c>
      <c r="B381" s="3" t="s">
        <v>11039</v>
      </c>
      <c r="C381" s="3" t="s">
        <v>11040</v>
      </c>
      <c r="D381" s="3" t="s">
        <v>11041</v>
      </c>
      <c r="F381" s="5" t="str">
        <f>IFERROR(__xludf.DUMMYFUNCTION("GOOGLETRANSLATE(A381, ""en"", ""hi"")"),"380")</f>
        <v>380</v>
      </c>
      <c r="G381" s="5" t="str">
        <f>IFERROR(__xludf.DUMMYFUNCTION("GOOGLETRANSLATE(B381, ""en"", ""hi"")"),"मलखंभ कलाकार अपने लचीलेपन के लिए जाने जाते हैं, लेकिन लंबे अभ्यास के लिए उन्हें अपनी सहनशक्ति पर काम करना होगा। उन्हें किस पर ध्यान केंद्रित करना चाहिए?")</f>
        <v>मलखंभ कलाकार अपने लचीलेपन के लिए जाने जाते हैं, लेकिन लंबे अभ्यास के लिए उन्हें अपनी सहनशक्ति पर काम करना होगा। उन्हें किस पर ध्यान केंद्रित करना चाहिए?</v>
      </c>
      <c r="H381" s="5" t="str">
        <f>IFERROR(__xludf.DUMMYFUNCTION("GOOGLETRANSLATE(C381, ""en"", ""hi"")"),"A) लंबी दिनचर्या के लिए सहनशक्ति, B) लचीलापन, C) दिनचर्या की जटिलता में वृद्धि, D) ताकत में वृद्धि")</f>
        <v>A) लंबी दिनचर्या के लिए सहनशक्ति, B) लचीलापन, C) दिनचर्या की जटिलता में वृद्धि, D) ताकत में वृद्धि</v>
      </c>
      <c r="I381" s="5" t="str">
        <f>IFERROR(__xludf.DUMMYFUNCTION("GOOGLETRANSLATE(D381, ""en"", ""hi"")"),"A) लंबी दिनचर्या के लिए सहनशक्ति")</f>
        <v>A) लंबी दिनचर्या के लिए सहनशक्ति</v>
      </c>
    </row>
    <row r="382" ht="22.5" customHeight="1">
      <c r="A382" s="2">
        <v>381.0</v>
      </c>
      <c r="B382" s="3" t="s">
        <v>11042</v>
      </c>
      <c r="C382" s="3" t="s">
        <v>11043</v>
      </c>
      <c r="D382" s="3" t="s">
        <v>11044</v>
      </c>
      <c r="F382" s="5" t="str">
        <f>IFERROR(__xludf.DUMMYFUNCTION("GOOGLETRANSLATE(A382, ""en"", ""hi"")"),"381")</f>
        <v>381</v>
      </c>
      <c r="G382" s="5" t="str">
        <f>IFERROR(__xludf.DUMMYFUNCTION("GOOGLETRANSLATE(B382, ""en"", ""hi"")"),"मज़बूत तकनीकी निष्पादन के बावजूद, एक एथलीट की दिनचर्या में प्रवाह की कमी होती है। उन्हें किसमें सुधार करना चाहिए?")</f>
        <v>मज़बूत तकनीकी निष्पादन के बावजूद, एक एथलीट की दिनचर्या में प्रवाह की कमी होती है। उन्हें किसमें सुधार करना चाहिए?</v>
      </c>
      <c r="H382" s="5" t="str">
        <f>IFERROR(__xludf.DUMMYFUNCTION("GOOGLETRANSLATE(C382, ""en"", ""hi"")"),"ए) तरलता, बी) तकनीकी निष्पादन, सी) अधिक गतिशील चालें जोड़ना, डी) लचीलेपन में सुधार")</f>
        <v>ए) तरलता, बी) तकनीकी निष्पादन, सी) अधिक गतिशील चालें जोड़ना, डी) लचीलेपन में सुधार</v>
      </c>
      <c r="I382" s="5" t="str">
        <f>IFERROR(__xludf.DUMMYFUNCTION("GOOGLETRANSLATE(D382, ""en"", ""hi"")"),"A) तरलता")</f>
        <v>A) तरलता</v>
      </c>
    </row>
    <row r="383" ht="22.5" customHeight="1">
      <c r="A383" s="2">
        <v>382.0</v>
      </c>
      <c r="B383" s="3" t="s">
        <v>11045</v>
      </c>
      <c r="C383" s="3" t="s">
        <v>11046</v>
      </c>
      <c r="D383" s="3" t="s">
        <v>11016</v>
      </c>
      <c r="F383" s="5" t="str">
        <f>IFERROR(__xludf.DUMMYFUNCTION("GOOGLETRANSLATE(A383, ""en"", ""hi"")"),"382")</f>
        <v>382</v>
      </c>
      <c r="G383" s="5" t="str">
        <f>IFERROR(__xludf.DUMMYFUNCTION("GOOGLETRANSLATE(B383, ""en"", ""hi"")"),"एक मलखंभ एथलीट अपनी दिनचर्या के विभिन्न हिस्सों को एक साथ लाने में संघर्ष कर रहा है। उन्हें किस पर काम करना चाहिए?")</f>
        <v>एक मलखंभ एथलीट अपनी दिनचर्या के विभिन्न हिस्सों को एक साथ लाने में संघर्ष कर रहा है। उन्हें किस पर काम करना चाहिए?</v>
      </c>
      <c r="H383" s="5" t="str">
        <f>IFERROR(__xludf.DUMMYFUNCTION("GOOGLETRANSLATE(C383, ""en"", ""hi"")"),"A) नियमित अनुभागों का एकीकरण, B) तकनीकी निष्पादन, C) कठिनाई में वृद्धि, D) लचीलेपन में वृद्धि")</f>
        <v>A) नियमित अनुभागों का एकीकरण, B) तकनीकी निष्पादन, C) कठिनाई में वृद्धि, D) लचीलेपन में वृद्धि</v>
      </c>
      <c r="I383" s="5" t="str">
        <f>IFERROR(__xludf.DUMMYFUNCTION("GOOGLETRANSLATE(D383, ""en"", ""hi"")"),"A) नियमित अनुभागों का एकीकरण")</f>
        <v>A) नियमित अनुभागों का एकीकरण</v>
      </c>
    </row>
    <row r="384" ht="22.5" customHeight="1">
      <c r="A384" s="2">
        <v>383.0</v>
      </c>
      <c r="B384" s="3" t="s">
        <v>11047</v>
      </c>
      <c r="C384" s="3" t="s">
        <v>11048</v>
      </c>
      <c r="D384" s="3" t="s">
        <v>10753</v>
      </c>
      <c r="F384" s="5" t="str">
        <f>IFERROR(__xludf.DUMMYFUNCTION("GOOGLETRANSLATE(A384, ""en"", ""hi"")"),"383")</f>
        <v>383</v>
      </c>
      <c r="G384" s="5" t="str">
        <f>IFERROR(__xludf.DUMMYFUNCTION("GOOGLETRANSLATE(B384, ""en"", ""hi"")"),"अभ्यास के दौरान, एक एथलीट अपनी ताकत के लिए जाना जाता है, लेकिन उसे कलात्मक अभिव्यक्ति पर भी काम करने की ज़रूरत होती है। सुधार के लिए मुख्य ध्यान किस पर केंद्रित होना चाहिए?")</f>
        <v>अभ्यास के दौरान, एक एथलीट अपनी ताकत के लिए जाना जाता है, लेकिन उसे कलात्मक अभिव्यक्ति पर भी काम करने की ज़रूरत होती है। सुधार के लिए मुख्य ध्यान किस पर केंद्रित होना चाहिए?</v>
      </c>
      <c r="H384" s="5" t="str">
        <f>IFERROR(__xludf.DUMMYFUNCTION("GOOGLETRANSLATE(C384, ""en"", ""hi"")"),"A) कलात्मक अभिव्यक्ति, B) शक्ति, C) दिनचर्या की जटिलता में वृद्धि, D) लचीलेपन में सुधार")</f>
        <v>A) कलात्मक अभिव्यक्ति, B) शक्ति, C) दिनचर्या की जटिलता में वृद्धि, D) लचीलेपन में सुधार</v>
      </c>
      <c r="I384" s="5" t="str">
        <f>IFERROR(__xludf.DUMMYFUNCTION("GOOGLETRANSLATE(D384, ""en"", ""hi"")"),"ए) कलात्मक अभिव्यक्ति")</f>
        <v>ए) कलात्मक अभिव्यक्ति</v>
      </c>
    </row>
    <row r="385" ht="22.5" customHeight="1">
      <c r="A385" s="2">
        <v>384.0</v>
      </c>
      <c r="B385" s="3" t="s">
        <v>11049</v>
      </c>
      <c r="C385" s="3" t="s">
        <v>11050</v>
      </c>
      <c r="D385" s="3" t="s">
        <v>11027</v>
      </c>
      <c r="F385" s="5" t="str">
        <f>IFERROR(__xludf.DUMMYFUNCTION("GOOGLETRANSLATE(A385, ""en"", ""hi"")"),"384")</f>
        <v>384</v>
      </c>
      <c r="G385" s="5" t="str">
        <f>IFERROR(__xludf.DUMMYFUNCTION("GOOGLETRANSLATE(B385, ""en"", ""hi"")"),"मलखंभ कलाकार के लिए अपनी पूरी दिनचर्या में निरंतर ऊर्जा बनाए रखना चुनौतीपूर्ण होता है। उन्हें किस पर ध्यान केंद्रित करना चाहिए?")</f>
        <v>मलखंभ कलाकार के लिए अपनी पूरी दिनचर्या में निरंतर ऊर्जा बनाए रखना चुनौतीपूर्ण होता है। उन्हें किस पर ध्यान केंद्रित करना चाहिए?</v>
      </c>
      <c r="H385" s="5" t="str">
        <f>IFERROR(__xludf.DUMMYFUNCTION("GOOGLETRANSLATE(C385, ""en"", ""hi"")"),"ए) लगातार ऊर्जा, बी) नियमित कठिनाई में वृद्धि, सी) अधिक गतिशील चालें जोड़ना, डी) लचीलेपन में सुधार")</f>
        <v>ए) लगातार ऊर्जा, बी) नियमित कठिनाई में वृद्धि, सी) अधिक गतिशील चालें जोड़ना, डी) लचीलेपन में सुधार</v>
      </c>
      <c r="I385" s="5" t="str">
        <f>IFERROR(__xludf.DUMMYFUNCTION("GOOGLETRANSLATE(D385, ""en"", ""hi"")"),"A) लगातार ऊर्जा")</f>
        <v>A) लगातार ऊर्जा</v>
      </c>
    </row>
    <row r="386" ht="22.5" customHeight="1">
      <c r="A386" s="2">
        <v>385.0</v>
      </c>
      <c r="B386" s="3" t="s">
        <v>11051</v>
      </c>
      <c r="C386" s="3" t="s">
        <v>11052</v>
      </c>
      <c r="D386" s="3" t="s">
        <v>11053</v>
      </c>
      <c r="F386" s="5" t="str">
        <f>IFERROR(__xludf.DUMMYFUNCTION("GOOGLETRANSLATE(A386, ""en"", ""hi"")"),"385")</f>
        <v>385</v>
      </c>
      <c r="G386" s="5" t="str">
        <f>IFERROR(__xludf.DUMMYFUNCTION("GOOGLETRANSLATE(B386, ""en"", ""hi"")"),"एक एथलीट की दिनचर्या कलात्मक प्रस्तुति में तो मज़बूत होती है, लेकिन तकनीकी सटीकता का अभाव होता है। उन्हें किसमें सुधार करना चाहिए?")</f>
        <v>एक एथलीट की दिनचर्या कलात्मक प्रस्तुति में तो मज़बूत होती है, लेकिन तकनीकी सटीकता का अभाव होता है। उन्हें किसमें सुधार करना चाहिए?</v>
      </c>
      <c r="H386" s="5" t="str">
        <f>IFERROR(__xludf.DUMMYFUNCTION("GOOGLETRANSLATE(C386, ""en"", ""hi"")"),"A) तकनीकी परिशुद्धता, B) कलात्मक प्रस्तुति, C) बढ़ती कठिनाई, D) लचीलेपन में वृद्धि")</f>
        <v>A) तकनीकी परिशुद्धता, B) कलात्मक प्रस्तुति, C) बढ़ती कठिनाई, D) लचीलेपन में वृद्धि</v>
      </c>
      <c r="I386" s="5" t="str">
        <f>IFERROR(__xludf.DUMMYFUNCTION("GOOGLETRANSLATE(D386, ""en"", ""hi"")"),"ए) तकनीकी परिशुद्धता")</f>
        <v>ए) तकनीकी परिशुद्धता</v>
      </c>
    </row>
    <row r="387" ht="22.5" customHeight="1">
      <c r="A387" s="2">
        <v>386.0</v>
      </c>
      <c r="B387" s="3" t="s">
        <v>11054</v>
      </c>
      <c r="C387" s="3" t="s">
        <v>11055</v>
      </c>
      <c r="D387" s="3" t="s">
        <v>11056</v>
      </c>
      <c r="F387" s="5" t="str">
        <f>IFERROR(__xludf.DUMMYFUNCTION("GOOGLETRANSLATE(A387, ""en"", ""hi"")"),"386")</f>
        <v>386</v>
      </c>
      <c r="G387" s="5" t="str">
        <f>IFERROR(__xludf.DUMMYFUNCTION("GOOGLETRANSLATE(B387, ""en"", ""hi"")"),"मलखंभ कलाकार की सुंदरता की प्रशंसा की जाती है, लेकिन जटिल मुद्राओं के दौरान उसे अपनी ताकत पर काम करने की ज़रूरत होती है। उन्हें किस पर ध्यान केंद्रित करना चाहिए?")</f>
        <v>मलखंभ कलाकार की सुंदरता की प्रशंसा की जाती है, लेकिन जटिल मुद्राओं के दौरान उसे अपनी ताकत पर काम करने की ज़रूरत होती है। उन्हें किस पर ध्यान केंद्रित करना चाहिए?</v>
      </c>
      <c r="H387" s="5" t="str">
        <f>IFERROR(__xludf.DUMMYFUNCTION("GOOGLETRANSLATE(C387, ""en"", ""hi"")"),"ए) जटिल चालों के दौरान ताकत, बी) अनुग्रह, सी) अधिक स्थिर मुद्राएँ जोड़ना, डी) लचीलेपन में सुधार")</f>
        <v>ए) जटिल चालों के दौरान ताकत, बी) अनुग्रह, सी) अधिक स्थिर मुद्राएँ जोड़ना, डी) लचीलेपन में सुधार</v>
      </c>
      <c r="I387" s="5" t="str">
        <f>IFERROR(__xludf.DUMMYFUNCTION("GOOGLETRANSLATE(D387, ""en"", ""hi"")"),"A) जटिल चालों के दौरान ताकत")</f>
        <v>A) जटिल चालों के दौरान ताकत</v>
      </c>
    </row>
    <row r="388" ht="22.5" customHeight="1">
      <c r="A388" s="2">
        <v>387.0</v>
      </c>
      <c r="B388" s="3" t="s">
        <v>11057</v>
      </c>
      <c r="C388" s="3" t="s">
        <v>11034</v>
      </c>
      <c r="D388" s="3" t="s">
        <v>10929</v>
      </c>
      <c r="F388" s="5" t="str">
        <f>IFERROR(__xludf.DUMMYFUNCTION("GOOGLETRANSLATE(A388, ""en"", ""hi"")"),"387")</f>
        <v>387</v>
      </c>
      <c r="G388" s="5" t="str">
        <f>IFERROR(__xludf.DUMMYFUNCTION("GOOGLETRANSLATE(B388, ""en"", ""hi"")"),"किसी भी रूटीन के दौरान, एक एथलीट तकनीकी कौशल में तो मज़बूत होता है, लेकिन भावनात्मक जुड़ाव बनाए रखने में उसे दिक्कत होती है। उन्हें किस पर ध्यान केंद्रित करना चाहिए?")</f>
        <v>किसी भी रूटीन के दौरान, एक एथलीट तकनीकी कौशल में तो मज़बूत होता है, लेकिन भावनात्मक जुड़ाव बनाए रखने में उसे दिक्कत होती है। उन्हें किस पर ध्यान केंद्रित करना चाहिए?</v>
      </c>
      <c r="H388" s="5" t="str">
        <f>IFERROR(__xludf.DUMMYFUNCTION("GOOGLETRANSLATE(C388, ""en"", ""hi"")"),"A) भावनात्मक जुड़ाव, B) तकनीकी कौशल, C) दिनचर्या की जटिलता में वृद्धि, D) लचीलेपन में वृद्धि")</f>
        <v>A) भावनात्मक जुड़ाव, B) तकनीकी कौशल, C) दिनचर्या की जटिलता में वृद्धि, D) लचीलेपन में वृद्धि</v>
      </c>
      <c r="I388" s="5" t="str">
        <f>IFERROR(__xludf.DUMMYFUNCTION("GOOGLETRANSLATE(D388, ""en"", ""hi"")"),"A) भावनात्मक जुड़ाव")</f>
        <v>A) भावनात्मक जुड़ाव</v>
      </c>
    </row>
    <row r="389" ht="22.5" customHeight="1">
      <c r="A389" s="2">
        <v>388.0</v>
      </c>
      <c r="B389" s="3" t="s">
        <v>11058</v>
      </c>
      <c r="C389" s="3" t="s">
        <v>11059</v>
      </c>
      <c r="D389" s="3" t="s">
        <v>11060</v>
      </c>
      <c r="F389" s="5" t="str">
        <f>IFERROR(__xludf.DUMMYFUNCTION("GOOGLETRANSLATE(A389, ""en"", ""hi"")"),"388")</f>
        <v>388</v>
      </c>
      <c r="G389" s="5" t="str">
        <f>IFERROR(__xludf.DUMMYFUNCTION("GOOGLETRANSLATE(B389, ""en"", ""hi"")"),"एक मलखम्ब एथलीट को अपनी दिनचर्या की समग्र गतिशीलता को लेकर संघर्ष करना पड़ता है। इस विषय पर ध्यान देने की मुख्य बात क्या है?")</f>
        <v>एक मलखम्ब एथलीट को अपनी दिनचर्या की समग्र गतिशीलता को लेकर संघर्ष करना पड़ता है। इस विषय पर ध्यान देने की मुख्य बात क्या है?</v>
      </c>
      <c r="H389" s="5" t="str">
        <f>IFERROR(__xludf.DUMMYFUNCTION("GOOGLETRANSLATE(C389, ""en"", ""hi"")"),"A) दिनचर्या की तरलता, B) कठिनाई में वृद्धि, C) शक्ति में वृद्धि, D) लचीलेपन में सुधार")</f>
        <v>A) दिनचर्या की तरलता, B) कठिनाई में वृद्धि, C) शक्ति में वृद्धि, D) लचीलेपन में सुधार</v>
      </c>
      <c r="I389" s="5" t="str">
        <f>IFERROR(__xludf.DUMMYFUNCTION("GOOGLETRANSLATE(D389, ""en"", ""hi"")"),"A) दिनचर्या की तरलता")</f>
        <v>A) दिनचर्या की तरलता</v>
      </c>
    </row>
    <row r="390" ht="22.5" customHeight="1">
      <c r="A390" s="2">
        <v>389.0</v>
      </c>
      <c r="B390" s="3" t="s">
        <v>11061</v>
      </c>
      <c r="C390" s="3" t="s">
        <v>11062</v>
      </c>
      <c r="D390" s="3" t="s">
        <v>10825</v>
      </c>
      <c r="F390" s="5" t="str">
        <f>IFERROR(__xludf.DUMMYFUNCTION("GOOGLETRANSLATE(A390, ""en"", ""hi"")"),"389")</f>
        <v>389</v>
      </c>
      <c r="G390" s="5" t="str">
        <f>IFERROR(__xludf.DUMMYFUNCTION("GOOGLETRANSLATE(B390, ""en"", ""hi"")"),"एक एथलीट का प्रदर्शन गतिशील चालों में तो अच्छा है, लेकिन सहज बदलाव का अभाव है। उन्हें किसमें सुधार करना चाहिए?")</f>
        <v>एक एथलीट का प्रदर्शन गतिशील चालों में तो अच्छा है, लेकिन सहज बदलाव का अभाव है। उन्हें किसमें सुधार करना चाहिए?</v>
      </c>
      <c r="H390" s="5" t="str">
        <f>IFERROR(__xludf.DUMMYFUNCTION("GOOGLETRANSLATE(C390, ""en"", ""hi"")"),"A) सहज परिवर्तन, B) गतिशील चालें, C) अधिक स्थिर मुद्राएँ जोड़ना, D) लचीलेपन में सुधार")</f>
        <v>A) सहज परिवर्तन, B) गतिशील चालें, C) अधिक स्थिर मुद्राएँ जोड़ना, D) लचीलेपन में सुधार</v>
      </c>
      <c r="I390" s="5" t="str">
        <f>IFERROR(__xludf.DUMMYFUNCTION("GOOGLETRANSLATE(D390, ""en"", ""hi"")"),"A) सहज संक्रमण")</f>
        <v>A) सहज संक्रमण</v>
      </c>
    </row>
    <row r="391" ht="22.5" customHeight="1">
      <c r="A391" s="2">
        <v>390.0</v>
      </c>
      <c r="B391" s="3" t="s">
        <v>11063</v>
      </c>
      <c r="C391" s="3" t="s">
        <v>11064</v>
      </c>
      <c r="D391" s="3" t="s">
        <v>11032</v>
      </c>
      <c r="F391" s="5" t="str">
        <f>IFERROR(__xludf.DUMMYFUNCTION("GOOGLETRANSLATE(A391, ""en"", ""hi"")"),"390")</f>
        <v>390</v>
      </c>
      <c r="G391" s="5" t="str">
        <f>IFERROR(__xludf.DUMMYFUNCTION("GOOGLETRANSLATE(B391, ""en"", ""hi"")"),"मलखम्ब कलाकार अपने लचीलेपन के लिए जाने जाते हैं, लेकिन उन्हें अपने अभ्यास में समग्र सामंजस्य बढ़ाने की ज़रूरत होती है। उन्हें किस पर ध्यान केंद्रित करना चाहिए?")</f>
        <v>मलखम्ब कलाकार अपने लचीलेपन के लिए जाने जाते हैं, लेकिन उन्हें अपने अभ्यास में समग्र सामंजस्य बढ़ाने की ज़रूरत होती है। उन्हें किस पर ध्यान केंद्रित करना चाहिए?</v>
      </c>
      <c r="H391" s="5" t="str">
        <f>IFERROR(__xludf.DUMMYFUNCTION("GOOGLETRANSLATE(C391, ""en"", ""hi"")"),"ए) समग्र दिनचर्या सामंजस्य, बी) लचीलापन, सी) दिनचर्या की कठिनाई में वृद्धि, डी) ताकत में वृद्धि")</f>
        <v>ए) समग्र दिनचर्या सामंजस्य, बी) लचीलापन, सी) दिनचर्या की कठिनाई में वृद्धि, डी) ताकत में वृद्धि</v>
      </c>
      <c r="I391" s="5" t="str">
        <f>IFERROR(__xludf.DUMMYFUNCTION("GOOGLETRANSLATE(D391, ""en"", ""hi"")"),"A) समग्र दिनचर्या सामंजस्य")</f>
        <v>A) समग्र दिनचर्या सामंजस्य</v>
      </c>
    </row>
    <row r="392" ht="22.5" customHeight="1">
      <c r="A392" s="2">
        <v>391.0</v>
      </c>
      <c r="B392" s="3" t="s">
        <v>11065</v>
      </c>
      <c r="C392" s="3" t="s">
        <v>11066</v>
      </c>
      <c r="D392" s="3" t="s">
        <v>11002</v>
      </c>
      <c r="F392" s="5" t="str">
        <f>IFERROR(__xludf.DUMMYFUNCTION("GOOGLETRANSLATE(A392, ""en"", ""hi"")"),"391")</f>
        <v>391</v>
      </c>
      <c r="G392" s="5" t="str">
        <f>IFERROR(__xludf.DUMMYFUNCTION("GOOGLETRANSLATE(B392, ""en"", ""hi"")"),"अभ्यास सत्र के दौरान, मज़बूत तकनीकी प्रदर्शन के बावजूद, एक एथलीट की दिनचर्या अव्यवस्थित दिखाई देती है। उन्हें किसमें सुधार करना चाहिए?")</f>
        <v>अभ्यास सत्र के दौरान, मज़बूत तकनीकी प्रदर्शन के बावजूद, एक एथलीट की दिनचर्या अव्यवस्थित दिखाई देती है। उन्हें किसमें सुधार करना चाहिए?</v>
      </c>
      <c r="H392" s="5" t="str">
        <f>IFERROR(__xludf.DUMMYFUNCTION("GOOGLETRANSLATE(C392, ""en"", ""hi"")"),"A) नियमित सामंजस्य, B) तकनीकी निष्पादन, C) कठिनाई में वृद्धि, D) लचीलेपन में वृद्धि")</f>
        <v>A) नियमित सामंजस्य, B) तकनीकी निष्पादन, C) कठिनाई में वृद्धि, D) लचीलेपन में वृद्धि</v>
      </c>
      <c r="I392" s="5" t="str">
        <f>IFERROR(__xludf.DUMMYFUNCTION("GOOGLETRANSLATE(D392, ""en"", ""hi"")"),"A) दिनचर्या सामंजस्य")</f>
        <v>A) दिनचर्या सामंजस्य</v>
      </c>
    </row>
    <row r="393" ht="22.5" customHeight="1">
      <c r="A393" s="2">
        <v>392.0</v>
      </c>
      <c r="B393" s="3" t="s">
        <v>11067</v>
      </c>
      <c r="C393" s="3" t="s">
        <v>11068</v>
      </c>
      <c r="D393" s="3" t="s">
        <v>10990</v>
      </c>
      <c r="F393" s="5" t="str">
        <f>IFERROR(__xludf.DUMMYFUNCTION("GOOGLETRANSLATE(A393, ""en"", ""hi"")"),"392")</f>
        <v>392</v>
      </c>
      <c r="G393" s="5" t="str">
        <f>IFERROR(__xludf.DUMMYFUNCTION("GOOGLETRANSLATE(B393, ""en"", ""hi"")"),"मलखम्ब एथलीट को सलाह दी जाती है कि वे अपने अभ्यास के दौरान अपनी भावनात्मक अभिव्यक्ति पर ध्यान दें। उन्हें किस पर ध्यान केंद्रित करना चाहिए?")</f>
        <v>मलखम्ब एथलीट को सलाह दी जाती है कि वे अपने अभ्यास के दौरान अपनी भावनात्मक अभिव्यक्ति पर ध्यान दें। उन्हें किस पर ध्यान केंद्रित करना चाहिए?</v>
      </c>
      <c r="H393" s="5" t="str">
        <f>IFERROR(__xludf.DUMMYFUNCTION("GOOGLETRANSLATE(C393, ""en"", ""hi"")"),"A) भावनात्मक अभिव्यक्ति, B) तकनीकी कौशल, C) दिनचर्या की जटिलता में वृद्धि, D) लचीलेपन में सुधार")</f>
        <v>A) भावनात्मक अभिव्यक्ति, B) तकनीकी कौशल, C) दिनचर्या की जटिलता में वृद्धि, D) लचीलेपन में सुधार</v>
      </c>
      <c r="I393" s="5" t="str">
        <f>IFERROR(__xludf.DUMMYFUNCTION("GOOGLETRANSLATE(D393, ""en"", ""hi"")"),"A) भावनात्मक अभिव्यक्ति")</f>
        <v>A) भावनात्मक अभिव्यक्ति</v>
      </c>
    </row>
    <row r="394" ht="22.5" customHeight="1">
      <c r="A394" s="2">
        <v>393.0</v>
      </c>
      <c r="B394" s="3" t="s">
        <v>11069</v>
      </c>
      <c r="C394" s="3" t="s">
        <v>11070</v>
      </c>
      <c r="D394" s="3" t="s">
        <v>11071</v>
      </c>
      <c r="F394" s="5" t="str">
        <f>IFERROR(__xludf.DUMMYFUNCTION("GOOGLETRANSLATE(A394, ""en"", ""hi"")"),"393")</f>
        <v>393</v>
      </c>
      <c r="G394" s="5" t="str">
        <f>IFERROR(__xludf.DUMMYFUNCTION("GOOGLETRANSLATE(B394, ""en"", ""hi"")"),"एक एथलीट को अपनी पूरी दिनचर्या में एक समान लय बनाए रखना मुश्किल लगता है। सुधार के लिए मुख्य क्षेत्र क्या है?")</f>
        <v>एक एथलीट को अपनी पूरी दिनचर्या में एक समान लय बनाए रखना मुश्किल लगता है। सुधार के लिए मुख्य क्षेत्र क्या है?</v>
      </c>
      <c r="H394" s="5" t="str">
        <f>IFERROR(__xludf.DUMMYFUNCTION("GOOGLETRANSLATE(C394, ""en"", ""hi"")"),"A) लगातार लय, B) कठिनाई में वृद्धि, C) ताकत में वृद्धि, D) लचीलेपन में सुधार")</f>
        <v>A) लगातार लय, B) कठिनाई में वृद्धि, C) ताकत में वृद्धि, D) लचीलेपन में सुधार</v>
      </c>
      <c r="I394" s="5" t="str">
        <f>IFERROR(__xludf.DUMMYFUNCTION("GOOGLETRANSLATE(D394, ""en"", ""hi"")"),"A) सुसंगत लय")</f>
        <v>A) सुसंगत लय</v>
      </c>
    </row>
    <row r="395" ht="22.5" customHeight="1">
      <c r="A395" s="2">
        <v>394.0</v>
      </c>
      <c r="B395" s="3" t="s">
        <v>11072</v>
      </c>
      <c r="C395" s="3" t="s">
        <v>11073</v>
      </c>
      <c r="D395" s="3" t="s">
        <v>10875</v>
      </c>
      <c r="F395" s="5" t="str">
        <f>IFERROR(__xludf.DUMMYFUNCTION("GOOGLETRANSLATE(A395, ""en"", ""hi"")"),"394")</f>
        <v>394</v>
      </c>
      <c r="G395" s="5" t="str">
        <f>IFERROR(__xludf.DUMMYFUNCTION("GOOGLETRANSLATE(B395, ""en"", ""hi"")"),"मलखम्ब कलाकार की ताकत तो मज़बूत होती है, लेकिन उसे अपनी लय में सुधार करने की ज़रूरत होती है। उन्हें किस पर ध्यान केंद्रित करना चाहिए?")</f>
        <v>मलखम्ब कलाकार की ताकत तो मज़बूत होती है, लेकिन उसे अपनी लय में सुधार करने की ज़रूरत होती है। उन्हें किस पर ध्यान केंद्रित करना चाहिए?</v>
      </c>
      <c r="H395" s="5" t="str">
        <f>IFERROR(__xludf.DUMMYFUNCTION("GOOGLETRANSLATE(C395, ""en"", ""hi"")"),"A) दिनचर्या की तरलता, B) शक्ति, C) अधिक गतिशील तत्वों को जोड़ना, D) लचीलेपन में सुधार")</f>
        <v>A) दिनचर्या की तरलता, B) शक्ति, C) अधिक गतिशील तत्वों को जोड़ना, D) लचीलेपन में सुधार</v>
      </c>
      <c r="I395" s="5" t="str">
        <f>IFERROR(__xludf.DUMMYFUNCTION("GOOGLETRANSLATE(D395, ""en"", ""hi"")"),"A) दिनचर्या की तरलता")</f>
        <v>A) दिनचर्या की तरलता</v>
      </c>
    </row>
    <row r="396" ht="22.5" customHeight="1">
      <c r="A396" s="2">
        <v>395.0</v>
      </c>
      <c r="B396" s="3" t="s">
        <v>11074</v>
      </c>
      <c r="C396" s="3" t="s">
        <v>11075</v>
      </c>
      <c r="D396" s="3" t="s">
        <v>11005</v>
      </c>
      <c r="F396" s="5" t="str">
        <f>IFERROR(__xludf.DUMMYFUNCTION("GOOGLETRANSLATE(A396, ""en"", ""hi"")"),"395")</f>
        <v>395</v>
      </c>
      <c r="G396" s="5" t="str">
        <f>IFERROR(__xludf.DUMMYFUNCTION("GOOGLETRANSLATE(B396, ""en"", ""hi"")"),"किसी भी रूटीन के दौरान, एथलीट की तकनीक की तारीफ़ की जाती है, लेकिन उसे अपनी समग्र प्रदर्शन ऊर्जा पर काम करने की ज़रूरत होती है। उन्हें किसमें सुधार करना चाहिए?")</f>
        <v>किसी भी रूटीन के दौरान, एथलीट की तकनीक की तारीफ़ की जाती है, लेकिन उसे अपनी समग्र प्रदर्शन ऊर्जा पर काम करने की ज़रूरत होती है। उन्हें किसमें सुधार करना चाहिए?</v>
      </c>
      <c r="H396" s="5" t="str">
        <f>IFERROR(__xludf.DUMMYFUNCTION("GOOGLETRANSLATE(C396, ""en"", ""hi"")"),"A) समग्र प्रदर्शन ऊर्जा, B) तकनीक, C) बढ़ती कठिनाई, D) लचीलेपन में वृद्धि")</f>
        <v>A) समग्र प्रदर्शन ऊर्जा, B) तकनीक, C) बढ़ती कठिनाई, D) लचीलेपन में वृद्धि</v>
      </c>
      <c r="I396" s="5" t="str">
        <f>IFERROR(__xludf.DUMMYFUNCTION("GOOGLETRANSLATE(D396, ""en"", ""hi"")"),"ए) समग्र प्रदर्शन ऊर्जा")</f>
        <v>ए) समग्र प्रदर्शन ऊर्जा</v>
      </c>
    </row>
    <row r="397" ht="22.5" customHeight="1">
      <c r="A397" s="2">
        <v>396.0</v>
      </c>
      <c r="B397" s="3" t="s">
        <v>11076</v>
      </c>
      <c r="C397" s="3" t="s">
        <v>11077</v>
      </c>
      <c r="D397" s="3" t="s">
        <v>11078</v>
      </c>
      <c r="F397" s="5" t="str">
        <f>IFERROR(__xludf.DUMMYFUNCTION("GOOGLETRANSLATE(A397, ""en"", ""hi"")"),"396")</f>
        <v>396</v>
      </c>
      <c r="G397" s="5" t="str">
        <f>IFERROR(__xludf.DUMMYFUNCTION("GOOGLETRANSLATE(B397, ""en"", ""hi"")"),"मलखम्ब कलाकार अपनी सुंदरता के लिए जाने जाते हैं, लेकिन गतिशील चालों के दौरान उन्हें अपनी सटीकता में सुधार करने की आवश्यकता होती है। उन्हें किन चीज़ों पर काम करना चाहिए?")</f>
        <v>मलखम्ब कलाकार अपनी सुंदरता के लिए जाने जाते हैं, लेकिन गतिशील चालों के दौरान उन्हें अपनी सटीकता में सुधार करने की आवश्यकता होती है। उन्हें किन चीज़ों पर काम करना चाहिए?</v>
      </c>
      <c r="H397" s="5" t="str">
        <f>IFERROR(__xludf.DUMMYFUNCTION("GOOGLETRANSLATE(C397, ""en"", ""hi"")"),"ए) गतिशील चालों के दौरान सटीकता, बी) अनुग्रह, सी) अधिक स्थिर मुद्राएँ जोड़ना, डी) लचीलेपन में सुधार")</f>
        <v>ए) गतिशील चालों के दौरान सटीकता, बी) अनुग्रह, सी) अधिक स्थिर मुद्राएँ जोड़ना, डी) लचीलेपन में सुधार</v>
      </c>
      <c r="I397" s="5" t="str">
        <f>IFERROR(__xludf.DUMMYFUNCTION("GOOGLETRANSLATE(D397, ""en"", ""hi"")"),"A) गतिशील चाल के दौरान सटीकता")</f>
        <v>A) गतिशील चाल के दौरान सटीकता</v>
      </c>
    </row>
    <row r="398" ht="22.5" customHeight="1">
      <c r="A398" s="2">
        <v>397.0</v>
      </c>
      <c r="B398" s="3" t="s">
        <v>11079</v>
      </c>
      <c r="C398" s="3" t="s">
        <v>11080</v>
      </c>
      <c r="D398" s="3" t="s">
        <v>10825</v>
      </c>
      <c r="F398" s="5" t="str">
        <f>IFERROR(__xludf.DUMMYFUNCTION("GOOGLETRANSLATE(A398, ""en"", ""hi"")"),"397")</f>
        <v>397</v>
      </c>
      <c r="G398" s="5" t="str">
        <f>IFERROR(__xludf.DUMMYFUNCTION("GOOGLETRANSLATE(B398, ""en"", ""hi"")"),"मज़बूत तकनीकी कौशल के बावजूद, एक एथलीट की दिनचर्या में सहज बदलाव का अभाव होता है। इस विषय पर ध्यान देने की मुख्य बात क्या है?")</f>
        <v>मज़बूत तकनीकी कौशल के बावजूद, एक एथलीट की दिनचर्या में सहज बदलाव का अभाव होता है। इस विषय पर ध्यान देने की मुख्य बात क्या है?</v>
      </c>
      <c r="H398" s="5" t="str">
        <f>IFERROR(__xludf.DUMMYFUNCTION("GOOGLETRANSLATE(C398, ""en"", ""hi"")"),"A) सहज परिवर्तन, B) तकनीकी कौशल, C) बढ़ती कठिनाई, D) लचीलेपन में वृद्धि")</f>
        <v>A) सहज परिवर्तन, B) तकनीकी कौशल, C) बढ़ती कठिनाई, D) लचीलेपन में वृद्धि</v>
      </c>
      <c r="I398" s="5" t="str">
        <f>IFERROR(__xludf.DUMMYFUNCTION("GOOGLETRANSLATE(D398, ""en"", ""hi"")"),"A) सहज संक्रमण")</f>
        <v>A) सहज संक्रमण</v>
      </c>
    </row>
    <row r="399" ht="22.5" customHeight="1">
      <c r="A399" s="2">
        <v>398.0</v>
      </c>
      <c r="B399" s="3" t="s">
        <v>11081</v>
      </c>
      <c r="C399" s="3" t="s">
        <v>11082</v>
      </c>
      <c r="D399" s="3" t="s">
        <v>11083</v>
      </c>
      <c r="F399" s="5" t="str">
        <f>IFERROR(__xludf.DUMMYFUNCTION("GOOGLETRANSLATE(A399, ""en"", ""hi"")"),"398")</f>
        <v>398</v>
      </c>
      <c r="G399" s="5" t="str">
        <f>IFERROR(__xludf.DUMMYFUNCTION("GOOGLETRANSLATE(B399, ""en"", ""hi"")"),"मलखंभ कलाकार को अपनी पूरी दिनचर्या में ऊर्जा बनाए रखने में कठिनाई होती है। उन्हें किस चीज़ में सुधार लाने पर ध्यान देना चाहिए?")</f>
        <v>मलखंभ कलाकार को अपनी पूरी दिनचर्या में ऊर्जा बनाए रखने में कठिनाई होती है। उन्हें किस चीज़ में सुधार लाने पर ध्यान देना चाहिए?</v>
      </c>
      <c r="H399" s="5" t="str">
        <f>IFERROR(__xludf.DUMMYFUNCTION("GOOGLETRANSLATE(C399, ""en"", ""hi"")"),"A) पूरे रूटीन में ऊर्जा, B) कठिनाई में वृद्धि, C) अधिक गतिशील चालें जोड़ना, D) लचीलेपन में सुधार")</f>
        <v>A) पूरे रूटीन में ऊर्जा, B) कठिनाई में वृद्धि, C) अधिक गतिशील चालें जोड़ना, D) लचीलेपन में सुधार</v>
      </c>
      <c r="I399" s="5" t="str">
        <f>IFERROR(__xludf.DUMMYFUNCTION("GOOGLETRANSLATE(D399, ""en"", ""hi"")"),"A) पूरे दिनचर्या में ऊर्जा")</f>
        <v>A) पूरे दिनचर्या में ऊर्जा</v>
      </c>
    </row>
    <row r="400" ht="22.5" customHeight="1">
      <c r="A400" s="2">
        <v>399.0</v>
      </c>
      <c r="B400" s="3" t="s">
        <v>11084</v>
      </c>
      <c r="C400" s="3" t="s">
        <v>11085</v>
      </c>
      <c r="D400" s="3" t="s">
        <v>11008</v>
      </c>
      <c r="F400" s="5" t="str">
        <f>IFERROR(__xludf.DUMMYFUNCTION("GOOGLETRANSLATE(A400, ""en"", ""hi"")"),"399")</f>
        <v>399</v>
      </c>
      <c r="G400" s="5" t="str">
        <f>IFERROR(__xludf.DUMMYFUNCTION("GOOGLETRANSLATE(B400, ""en"", ""hi"")"),"प्रदर्शन के दौरान, एक एथलीट कलात्मक अभिव्यक्ति में तो मज़बूत होता है, लेकिन उसे अपनी तकनीकी दक्षता में सुधार करने की ज़रूरत होती है। सुधार के लिए मुख्य ध्यान किस पर केंद्रित होना चाहिए?")</f>
        <v>प्रदर्शन के दौरान, एक एथलीट कलात्मक अभिव्यक्ति में तो मज़बूत होता है, लेकिन उसे अपनी तकनीकी दक्षता में सुधार करने की ज़रूरत होती है। सुधार के लिए मुख्य ध्यान किस पर केंद्रित होना चाहिए?</v>
      </c>
      <c r="H400" s="5" t="str">
        <f>IFERROR(__xludf.DUMMYFUNCTION("GOOGLETRANSLATE(C400, ""en"", ""hi"")"),"A) तकनीकी निष्पादन, B) कलात्मक अभिव्यक्ति, C) कठिनाई में वृद्धि, D) लचीलेपन में वृद्धि")</f>
        <v>A) तकनीकी निष्पादन, B) कलात्मक अभिव्यक्ति, C) कठिनाई में वृद्धि, D) लचीलेपन में वृद्धि</v>
      </c>
      <c r="I400" s="5" t="str">
        <f>IFERROR(__xludf.DUMMYFUNCTION("GOOGLETRANSLATE(D400, ""en"", ""hi"")"),"ए) तकनीकी निष्पादन")</f>
        <v>ए) तकनीकी निष्पादन</v>
      </c>
    </row>
    <row r="401" ht="22.5" customHeight="1">
      <c r="A401" s="2">
        <v>400.0</v>
      </c>
      <c r="B401" s="3" t="s">
        <v>11086</v>
      </c>
      <c r="C401" s="3" t="s">
        <v>11087</v>
      </c>
      <c r="D401" s="3" t="s">
        <v>11002</v>
      </c>
      <c r="F401" s="5" t="str">
        <f>IFERROR(__xludf.DUMMYFUNCTION("GOOGLETRANSLATE(A401, ""en"", ""hi"")"),"400")</f>
        <v>400</v>
      </c>
      <c r="G401" s="5" t="str">
        <f>IFERROR(__xludf.DUMMYFUNCTION("GOOGLETRANSLATE(B401, ""en"", ""hi"")"),"मलखम्ब एथलीट को अपनी समग्र दिनचर्या में सामंजस्य बढ़ाने की सलाह दी जाती है। उन्हें किन चीज़ों पर काम करना चाहिए?")</f>
        <v>मलखम्ब एथलीट को अपनी समग्र दिनचर्या में सामंजस्य बढ़ाने की सलाह दी जाती है। उन्हें किन चीज़ों पर काम करना चाहिए?</v>
      </c>
      <c r="H401" s="5" t="str">
        <f>IFERROR(__xludf.DUMMYFUNCTION("GOOGLETRANSLATE(C401, ""en"", ""hi"")"),"A) नियमित सामंजस्य, B) तकनीकी निष्पादन, C) कठिनाई में वृद्धि, D) लचीलेपन में सुधार")</f>
        <v>A) नियमित सामंजस्य, B) तकनीकी निष्पादन, C) कठिनाई में वृद्धि, D) लचीलेपन में सुधार</v>
      </c>
      <c r="I401" s="5" t="str">
        <f>IFERROR(__xludf.DUMMYFUNCTION("GOOGLETRANSLATE(D401, ""en"", ""hi"")"),"A) दिनचर्या सामंजस्य")</f>
        <v>A) दिनचर्या सामंजस्य</v>
      </c>
    </row>
    <row r="402" ht="22.5" customHeight="1">
      <c r="A402" s="2">
        <v>401.0</v>
      </c>
      <c r="B402" s="3" t="s">
        <v>11088</v>
      </c>
      <c r="C402" s="3" t="s">
        <v>11089</v>
      </c>
      <c r="D402" s="3" t="s">
        <v>10929</v>
      </c>
      <c r="F402" s="5" t="str">
        <f>IFERROR(__xludf.DUMMYFUNCTION("GOOGLETRANSLATE(A402, ""en"", ""hi"")"),"401")</f>
        <v>401</v>
      </c>
      <c r="G402" s="5" t="str">
        <f>IFERROR(__xludf.DUMMYFUNCTION("GOOGLETRANSLATE(B402, ""en"", ""hi"")"),"एक एथलीट की दिनचर्या तकनीकी कौशल में तो मज़बूत होती है, लेकिन भावनात्मक जुड़ाव की कमी होती है। उन्हें किस चीज़ को बेहतर बनाने पर ध्यान देना चाहिए?")</f>
        <v>एक एथलीट की दिनचर्या तकनीकी कौशल में तो मज़बूत होती है, लेकिन भावनात्मक जुड़ाव की कमी होती है। उन्हें किस चीज़ को बेहतर बनाने पर ध्यान देना चाहिए?</v>
      </c>
      <c r="H402" s="5" t="str">
        <f>IFERROR(__xludf.DUMMYFUNCTION("GOOGLETRANSLATE(C402, ""en"", ""hi"")"),"A) भावनात्मक जुड़ाव, B) तकनीकी कौशल, C) दिनचर्या की जटिलता में वृद्धि, D) लचीलेपन में सुधार")</f>
        <v>A) भावनात्मक जुड़ाव, B) तकनीकी कौशल, C) दिनचर्या की जटिलता में वृद्धि, D) लचीलेपन में सुधार</v>
      </c>
      <c r="I402" s="5" t="str">
        <f>IFERROR(__xludf.DUMMYFUNCTION("GOOGLETRANSLATE(D402, ""en"", ""hi"")"),"A) भावनात्मक जुड़ाव")</f>
        <v>A) भावनात्मक जुड़ाव</v>
      </c>
    </row>
    <row r="403" ht="22.5" customHeight="1">
      <c r="A403" s="2">
        <v>402.0</v>
      </c>
      <c r="B403" s="3" t="s">
        <v>11090</v>
      </c>
      <c r="C403" s="3" t="s">
        <v>11091</v>
      </c>
      <c r="D403" s="3" t="s">
        <v>11021</v>
      </c>
      <c r="F403" s="5" t="str">
        <f>IFERROR(__xludf.DUMMYFUNCTION("GOOGLETRANSLATE(A403, ""en"", ""hi"")"),"402")</f>
        <v>402</v>
      </c>
      <c r="G403" s="5" t="str">
        <f>IFERROR(__xludf.DUMMYFUNCTION("GOOGLETRANSLATE(B403, ""en"", ""hi"")"),"मलखंभ कलाकार के लिए अपनी पूरी दिनचर्या में सहज गति बनाए रखना चुनौतीपूर्ण होता है। उन्हें किस सुधार पर ध्यान केंद्रित करना चाहिए?")</f>
        <v>मलखंभ कलाकार के लिए अपनी पूरी दिनचर्या में सहज गति बनाए रखना चुनौतीपूर्ण होता है। उन्हें किस सुधार पर ध्यान केंद्रित करना चाहिए?</v>
      </c>
      <c r="H403" s="5" t="str">
        <f>IFERROR(__xludf.DUMMYFUNCTION("GOOGLETRANSLATE(C403, ""en"", ""hi"")"),"A) तरल गतिविधियाँ, B) नियमित कठिनाई में वृद्धि, C) शक्ति में वृद्धि, D) लचीलेपन में सुधार")</f>
        <v>A) तरल गतिविधियाँ, B) नियमित कठिनाई में वृद्धि, C) शक्ति में वृद्धि, D) लचीलेपन में सुधार</v>
      </c>
      <c r="I403" s="5" t="str">
        <f>IFERROR(__xludf.DUMMYFUNCTION("GOOGLETRANSLATE(D403, ""en"", ""hi"")"),"A) द्रव गतियाँ")</f>
        <v>A) द्रव गतियाँ</v>
      </c>
    </row>
    <row r="404" ht="22.5" customHeight="1">
      <c r="A404" s="2">
        <v>403.0</v>
      </c>
      <c r="B404" s="3" t="s">
        <v>11092</v>
      </c>
      <c r="C404" s="3" t="s">
        <v>11093</v>
      </c>
      <c r="D404" s="3" t="s">
        <v>11053</v>
      </c>
      <c r="F404" s="5" t="str">
        <f>IFERROR(__xludf.DUMMYFUNCTION("GOOGLETRANSLATE(A404, ""en"", ""hi"")"),"403")</f>
        <v>403</v>
      </c>
      <c r="G404" s="5" t="str">
        <f>IFERROR(__xludf.DUMMYFUNCTION("GOOGLETRANSLATE(B404, ""en"", ""hi"")"),"किसी भी रूटीन के दौरान, किसी एथलीट की कलात्मक प्रस्तुति की प्रशंसा की जाती है, लेकिन उसे अपनी तकनीकी सटीकता पर भी काम करने की ज़रूरत होती है। ध्यान देने योग्य मुख्य क्षेत्र क्या है?")</f>
        <v>किसी भी रूटीन के दौरान, किसी एथलीट की कलात्मक प्रस्तुति की प्रशंसा की जाती है, लेकिन उसे अपनी तकनीकी सटीकता पर भी काम करने की ज़रूरत होती है। ध्यान देने योग्य मुख्य क्षेत्र क्या है?</v>
      </c>
      <c r="H404" s="5" t="str">
        <f>IFERROR(__xludf.DUMMYFUNCTION("GOOGLETRANSLATE(C404, ""en"", ""hi"")"),"A) तकनीकी परिशुद्धता, B) कलात्मक प्रस्तुति, C) कठिनाई में वृद्धि, D) लचीलेपन में सुधार")</f>
        <v>A) तकनीकी परिशुद्धता, B) कलात्मक प्रस्तुति, C) कठिनाई में वृद्धि, D) लचीलेपन में सुधार</v>
      </c>
      <c r="I404" s="5" t="str">
        <f>IFERROR(__xludf.DUMMYFUNCTION("GOOGLETRANSLATE(D404, ""en"", ""hi"")"),"ए) तकनीकी परिशुद्धता")</f>
        <v>ए) तकनीकी परिशुद्धता</v>
      </c>
    </row>
    <row r="405" ht="22.5" customHeight="1">
      <c r="A405" s="2">
        <v>404.0</v>
      </c>
      <c r="B405" s="3" t="s">
        <v>11094</v>
      </c>
      <c r="C405" s="3" t="s">
        <v>11095</v>
      </c>
      <c r="D405" s="3" t="s">
        <v>10875</v>
      </c>
      <c r="F405" s="5" t="str">
        <f>IFERROR(__xludf.DUMMYFUNCTION("GOOGLETRANSLATE(A405, ""en"", ""hi"")"),"404")</f>
        <v>404</v>
      </c>
      <c r="G405" s="5" t="str">
        <f>IFERROR(__xludf.DUMMYFUNCTION("GOOGLETRANSLATE(B405, ""en"", ""hi"")"),"मलखम्ब एथलीट शक्ति-आसनों में तो माहिर होता है, लेकिन उसे अपनी समग्र दिनचर्या की तरलता में सुधार करने की ज़रूरत होती है। उसे किस पर ध्यान केंद्रित करना चाहिए?")</f>
        <v>मलखम्ब एथलीट शक्ति-आसनों में तो माहिर होता है, लेकिन उसे अपनी समग्र दिनचर्या की तरलता में सुधार करने की ज़रूरत होती है। उसे किस पर ध्यान केंद्रित करना चाहिए?</v>
      </c>
      <c r="H405" s="5" t="str">
        <f>IFERROR(__xludf.DUMMYFUNCTION("GOOGLETRANSLATE(C405, ""en"", ""hi"")"),"A) नियमित तरलता, B) शक्ति आसन, C) अधिक गतिशील तत्वों को जोड़ना, D) लचीलेपन में सुधार")</f>
        <v>A) नियमित तरलता, B) शक्ति आसन, C) अधिक गतिशील तत्वों को जोड़ना, D) लचीलेपन में सुधार</v>
      </c>
      <c r="I405" s="5" t="str">
        <f>IFERROR(__xludf.DUMMYFUNCTION("GOOGLETRANSLATE(D405, ""en"", ""hi"")"),"A) दिनचर्या की तरलता")</f>
        <v>A) दिनचर्या की तरलता</v>
      </c>
    </row>
    <row r="406" ht="22.5" customHeight="1">
      <c r="A406" s="2">
        <v>405.0</v>
      </c>
      <c r="B406" s="3" t="s">
        <v>11096</v>
      </c>
      <c r="C406" s="3" t="s">
        <v>11097</v>
      </c>
      <c r="D406" s="3" t="s">
        <v>11053</v>
      </c>
      <c r="F406" s="5" t="str">
        <f>IFERROR(__xludf.DUMMYFUNCTION("GOOGLETRANSLATE(A406, ""en"", ""hi"")"),"405")</f>
        <v>405</v>
      </c>
      <c r="G406" s="5" t="str">
        <f>IFERROR(__xludf.DUMMYFUNCTION("GOOGLETRANSLATE(B406, ""en"", ""hi"")"),"एक एथलीट का प्रदर्शन उसकी सुंदरता के लिए जाना जाता है, लेकिन उसमें तकनीकी सटीकता का अभाव होता है। उन्हें किस चीज़ में सुधार करने पर काम करना चाहिए?")</f>
        <v>एक एथलीट का प्रदर्शन उसकी सुंदरता के लिए जाना जाता है, लेकिन उसमें तकनीकी सटीकता का अभाव होता है। उन्हें किस चीज़ में सुधार करने पर काम करना चाहिए?</v>
      </c>
      <c r="H406" s="5" t="str">
        <f>IFERROR(__xludf.DUMMYFUNCTION("GOOGLETRANSLATE(C406, ""en"", ""hi"")"),"A) तकनीकी परिशुद्धता, B) अनुग्रह, C) बढ़ती कठिनाई, D) बढ़ती ताकत")</f>
        <v>A) तकनीकी परिशुद्धता, B) अनुग्रह, C) बढ़ती कठिनाई, D) बढ़ती ताकत</v>
      </c>
      <c r="I406" s="5" t="str">
        <f>IFERROR(__xludf.DUMMYFUNCTION("GOOGLETRANSLATE(D406, ""en"", ""hi"")"),"ए) तकनीकी परिशुद्धता")</f>
        <v>ए) तकनीकी परिशुद्धता</v>
      </c>
    </row>
    <row r="407" ht="22.5" customHeight="1">
      <c r="A407" s="2">
        <v>406.0</v>
      </c>
      <c r="B407" s="3" t="s">
        <v>11098</v>
      </c>
      <c r="C407" s="3" t="s">
        <v>11099</v>
      </c>
      <c r="D407" s="3" t="s">
        <v>10975</v>
      </c>
      <c r="F407" s="5" t="str">
        <f>IFERROR(__xludf.DUMMYFUNCTION("GOOGLETRANSLATE(A407, ""en"", ""hi"")"),"406")</f>
        <v>406</v>
      </c>
      <c r="G407" s="5" t="str">
        <f>IFERROR(__xludf.DUMMYFUNCTION("GOOGLETRANSLATE(B407, ""en"", ""hi"")"),"एक मलखम्ब कलाकार को विभिन्न नियमित तत्वों के समग्र एकीकरण में कठिनाई होती है। मुख्य क्षेत्र क्या है जिस पर ध्यान देने की आवश्यकता है?")</f>
        <v>एक मलखम्ब कलाकार को विभिन्न नियमित तत्वों के समग्र एकीकरण में कठिनाई होती है। मुख्य क्षेत्र क्या है जिस पर ध्यान देने की आवश्यकता है?</v>
      </c>
      <c r="H407" s="5" t="str">
        <f>IFERROR(__xludf.DUMMYFUNCTION("GOOGLETRANSLATE(C407, ""en"", ""hi"")"),"ए) तत्वों का एकीकरण, बी) तकनीकी निष्पादन, सी) अधिक गतिशील चालें जोड़ना, डी) लचीलेपन में सुधार")</f>
        <v>ए) तत्वों का एकीकरण, बी) तकनीकी निष्पादन, सी) अधिक गतिशील चालें जोड़ना, डी) लचीलेपन में सुधार</v>
      </c>
      <c r="I407" s="5" t="str">
        <f>IFERROR(__xludf.DUMMYFUNCTION("GOOGLETRANSLATE(D407, ""en"", ""hi"")"),"A) तत्वों का एकीकरण")</f>
        <v>A) तत्वों का एकीकरण</v>
      </c>
    </row>
    <row r="408" ht="22.5" customHeight="1">
      <c r="A408" s="2">
        <v>407.0</v>
      </c>
      <c r="B408" s="3" t="s">
        <v>11100</v>
      </c>
      <c r="C408" s="3" t="s">
        <v>11101</v>
      </c>
      <c r="D408" s="3" t="s">
        <v>11102</v>
      </c>
      <c r="F408" s="5" t="str">
        <f>IFERROR(__xludf.DUMMYFUNCTION("GOOGLETRANSLATE(A408, ""en"", ""hi"")"),"407")</f>
        <v>407</v>
      </c>
      <c r="G408" s="5" t="str">
        <f>IFERROR(__xludf.DUMMYFUNCTION("GOOGLETRANSLATE(B408, ""en"", ""hi"")"),"अभ्यास सत्र के दौरान, मज़बूत तकनीक के बावजूद, एक एथलीट की दिनचर्या में ऊर्जा की कमी होती है। उन्हें किस चीज़ में सुधार लाने पर ध्यान देना चाहिए?")</f>
        <v>अभ्यास सत्र के दौरान, मज़बूत तकनीक के बावजूद, एक एथलीट की दिनचर्या में ऊर्जा की कमी होती है। उन्हें किस चीज़ में सुधार लाने पर ध्यान देना चाहिए?</v>
      </c>
      <c r="H408" s="5" t="str">
        <f>IFERROR(__xludf.DUMMYFUNCTION("GOOGLETRANSLATE(C408, ""en"", ""hi"")"),"A) ऊर्जा, B) तकनीक, C) कठिनाई बढ़ाना, D) लचीलापन बढ़ाना")</f>
        <v>A) ऊर्जा, B) तकनीक, C) कठिनाई बढ़ाना, D) लचीलापन बढ़ाना</v>
      </c>
      <c r="I408" s="5" t="str">
        <f>IFERROR(__xludf.DUMMYFUNCTION("GOOGLETRANSLATE(D408, ""en"", ""hi"")"),"ए) ऊर्जा")</f>
        <v>ए) ऊर्जा</v>
      </c>
    </row>
    <row r="409" ht="22.5" customHeight="1">
      <c r="A409" s="2">
        <v>408.0</v>
      </c>
      <c r="B409" s="3" t="s">
        <v>11103</v>
      </c>
      <c r="C409" s="3" t="s">
        <v>11068</v>
      </c>
      <c r="D409" s="3" t="s">
        <v>10990</v>
      </c>
      <c r="F409" s="5" t="str">
        <f>IFERROR(__xludf.DUMMYFUNCTION("GOOGLETRANSLATE(A409, ""en"", ""hi"")"),"408")</f>
        <v>408</v>
      </c>
      <c r="G409" s="5" t="str">
        <f>IFERROR(__xludf.DUMMYFUNCTION("GOOGLETRANSLATE(B409, ""en"", ""hi"")"),"मलखम्ब एथलीट को सलाह दी जाती है कि वे अपनी दिनचर्या के दौरान अपनी भावनात्मक अभिव्यक्ति पर ध्यान दें। सुधार के लिए मुख्य ध्यान किस पर केंद्रित होना चाहिए?")</f>
        <v>मलखम्ब एथलीट को सलाह दी जाती है कि वे अपनी दिनचर्या के दौरान अपनी भावनात्मक अभिव्यक्ति पर ध्यान दें। सुधार के लिए मुख्य ध्यान किस पर केंद्रित होना चाहिए?</v>
      </c>
      <c r="H409" s="5" t="str">
        <f>IFERROR(__xludf.DUMMYFUNCTION("GOOGLETRANSLATE(C409, ""en"", ""hi"")"),"A) भावनात्मक अभिव्यक्ति, B) तकनीकी कौशल, C) दिनचर्या की जटिलता में वृद्धि, D) लचीलेपन में सुधार")</f>
        <v>A) भावनात्मक अभिव्यक्ति, B) तकनीकी कौशल, C) दिनचर्या की जटिलता में वृद्धि, D) लचीलेपन में सुधार</v>
      </c>
      <c r="I409" s="5" t="str">
        <f>IFERROR(__xludf.DUMMYFUNCTION("GOOGLETRANSLATE(D409, ""en"", ""hi"")"),"A) भावनात्मक अभिव्यक्ति")</f>
        <v>A) भावनात्मक अभिव्यक्ति</v>
      </c>
    </row>
    <row r="410" ht="22.5" customHeight="1">
      <c r="A410" s="2">
        <v>409.0</v>
      </c>
      <c r="B410" s="3" t="s">
        <v>11104</v>
      </c>
      <c r="C410" s="3" t="s">
        <v>11105</v>
      </c>
      <c r="D410" s="3" t="s">
        <v>10825</v>
      </c>
      <c r="F410" s="5" t="str">
        <f>IFERROR(__xludf.DUMMYFUNCTION("GOOGLETRANSLATE(A410, ""en"", ""hi"")"),"409")</f>
        <v>409</v>
      </c>
      <c r="G410" s="5" t="str">
        <f>IFERROR(__xludf.DUMMYFUNCTION("GOOGLETRANSLATE(B410, ""en"", ""hi"")"),"एक एथलीट को विभिन्न नियमित वर्गों के बीच सहज बदलाव बनाए रखना मुश्किल लगता है। उन्हें किस पर काम करना चाहिए?")</f>
        <v>एक एथलीट को विभिन्न नियमित वर्गों के बीच सहज बदलाव बनाए रखना मुश्किल लगता है। उन्हें किस पर काम करना चाहिए?</v>
      </c>
      <c r="H410" s="5" t="str">
        <f>IFERROR(__xludf.DUMMYFUNCTION("GOOGLETRANSLATE(C410, ""en"", ""hi"")"),"A) सहज परिवर्तन, B) कठिनाई में वृद्धि, C) अधिक स्थिर मुद्राएँ जोड़ना, D) लचीलापन बढ़ाना")</f>
        <v>A) सहज परिवर्तन, B) कठिनाई में वृद्धि, C) अधिक स्थिर मुद्राएँ जोड़ना, D) लचीलापन बढ़ाना</v>
      </c>
      <c r="I410" s="5" t="str">
        <f>IFERROR(__xludf.DUMMYFUNCTION("GOOGLETRANSLATE(D410, ""en"", ""hi"")"),"A) सहज संक्रमण")</f>
        <v>A) सहज संक्रमण</v>
      </c>
    </row>
    <row r="411" ht="22.5" customHeight="1">
      <c r="A411" s="2">
        <v>410.0</v>
      </c>
      <c r="B411" s="3" t="s">
        <v>11106</v>
      </c>
      <c r="C411" s="3" t="s">
        <v>11107</v>
      </c>
      <c r="D411" s="3" t="s">
        <v>10887</v>
      </c>
      <c r="F411" s="5" t="str">
        <f>IFERROR(__xludf.DUMMYFUNCTION("GOOGLETRANSLATE(A411, ""en"", ""hi"")"),"410")</f>
        <v>410</v>
      </c>
      <c r="G411" s="5" t="str">
        <f>IFERROR(__xludf.DUMMYFUNCTION("GOOGLETRANSLATE(B411, ""en"", ""hi"")"),"मलखम्ब कलाकार अपनी मज़बूत तकनीकी प्रस्तुति के लिए जाने जाते हैं, लेकिन उन्हें अपनी कलात्मक प्रस्तुति में सुधार की ज़रूरत है। उन्हें किस पर ध्यान केंद्रित करना चाहिए?")</f>
        <v>मलखम्ब कलाकार अपनी मज़बूत तकनीकी प्रस्तुति के लिए जाने जाते हैं, लेकिन उन्हें अपनी कलात्मक प्रस्तुति में सुधार की ज़रूरत है। उन्हें किस पर ध्यान केंद्रित करना चाहिए?</v>
      </c>
      <c r="H411" s="5" t="str">
        <f>IFERROR(__xludf.DUMMYFUNCTION("GOOGLETRANSLATE(C411, ""en"", ""hi"")"),"A) कलात्मक प्रस्तुति, B) तकनीकी निष्पादन, C) नियमित जटिलता में वृद्धि, D) लचीलेपन में सुधार")</f>
        <v>A) कलात्मक प्रस्तुति, B) तकनीकी निष्पादन, C) नियमित जटिलता में वृद्धि, D) लचीलेपन में सुधार</v>
      </c>
      <c r="I411" s="5" t="str">
        <f>IFERROR(__xludf.DUMMYFUNCTION("GOOGLETRANSLATE(D411, ""en"", ""hi"")"),"ए) कलात्मक प्रस्तुति")</f>
        <v>ए) कलात्मक प्रस्तुति</v>
      </c>
    </row>
    <row r="412" ht="22.5" customHeight="1">
      <c r="A412" s="2">
        <v>411.0</v>
      </c>
      <c r="B412" s="3" t="s">
        <v>11108</v>
      </c>
      <c r="C412" s="3" t="s">
        <v>11109</v>
      </c>
      <c r="D412" s="3" t="s">
        <v>10984</v>
      </c>
      <c r="F412" s="5" t="str">
        <f>IFERROR(__xludf.DUMMYFUNCTION("GOOGLETRANSLATE(A412, ""en"", ""hi"")"),"411")</f>
        <v>411</v>
      </c>
      <c r="G412" s="5" t="str">
        <f>IFERROR(__xludf.DUMMYFUNCTION("GOOGLETRANSLATE(B412, ""en"", ""hi"")"),"किसी भी रूटीन के दौरान, एक एथलीट की लचीलेपन के लिए प्रशंसा की जाती है, लेकिन उसे निरंतरता बनाए रखने में कठिनाई होती है। उन्हें किसमें सुधार करना चाहिए?")</f>
        <v>किसी भी रूटीन के दौरान, एक एथलीट की लचीलेपन के लिए प्रशंसा की जाती है, लेकिन उसे निरंतरता बनाए रखने में कठिनाई होती है। उन्हें किसमें सुधार करना चाहिए?</v>
      </c>
      <c r="H412" s="5" t="str">
        <f>IFERROR(__xludf.DUMMYFUNCTION("GOOGLETRANSLATE(C412, ""en"", ""hi"")"),"A) स्थिरता, B) लचीलापन, C) अधिक गतिशील चालें जोड़ना, D) ताकत बढ़ाना")</f>
        <v>A) स्थिरता, B) लचीलापन, C) अधिक गतिशील चालें जोड़ना, D) ताकत बढ़ाना</v>
      </c>
      <c r="I412" s="5" t="str">
        <f>IFERROR(__xludf.DUMMYFUNCTION("GOOGLETRANSLATE(D412, ""en"", ""hi"")"),"ए) संगति")</f>
        <v>ए) संगति</v>
      </c>
    </row>
    <row r="413" ht="22.5" customHeight="1">
      <c r="A413" s="2">
        <v>412.0</v>
      </c>
      <c r="B413" s="3" t="s">
        <v>11110</v>
      </c>
      <c r="C413" s="3" t="s">
        <v>11087</v>
      </c>
      <c r="D413" s="3" t="s">
        <v>11002</v>
      </c>
      <c r="F413" s="5" t="str">
        <f>IFERROR(__xludf.DUMMYFUNCTION("GOOGLETRANSLATE(A413, ""en"", ""hi"")"),"412")</f>
        <v>412</v>
      </c>
      <c r="G413" s="5" t="str">
        <f>IFERROR(__xludf.DUMMYFUNCTION("GOOGLETRANSLATE(B413, ""en"", ""hi"")"),"मलखंभ कलाकारों को अपनी समग्र दिनचर्या में सामंजस्य स्थापित करने की सलाह दी जाती है। उन्हें किस सुधार पर ध्यान केंद्रित करना चाहिए?")</f>
        <v>मलखंभ कलाकारों को अपनी समग्र दिनचर्या में सामंजस्य स्थापित करने की सलाह दी जाती है। उन्हें किस सुधार पर ध्यान केंद्रित करना चाहिए?</v>
      </c>
      <c r="H413" s="5" t="str">
        <f>IFERROR(__xludf.DUMMYFUNCTION("GOOGLETRANSLATE(C413, ""en"", ""hi"")"),"A) नियमित सामंजस्य, B) तकनीकी निष्पादन, C) कठिनाई में वृद्धि, D) लचीलेपन में सुधार")</f>
        <v>A) नियमित सामंजस्य, B) तकनीकी निष्पादन, C) कठिनाई में वृद्धि, D) लचीलेपन में सुधार</v>
      </c>
      <c r="I413" s="5" t="str">
        <f>IFERROR(__xludf.DUMMYFUNCTION("GOOGLETRANSLATE(D413, ""en"", ""hi"")"),"A) दिनचर्या सामंजस्य")</f>
        <v>A) दिनचर्या सामंजस्य</v>
      </c>
    </row>
    <row r="414" ht="22.5" customHeight="1">
      <c r="A414" s="2">
        <v>413.0</v>
      </c>
      <c r="B414" s="3" t="s">
        <v>11111</v>
      </c>
      <c r="C414" s="3" t="s">
        <v>11112</v>
      </c>
      <c r="D414" s="3" t="s">
        <v>11102</v>
      </c>
      <c r="F414" s="5" t="str">
        <f>IFERROR(__xludf.DUMMYFUNCTION("GOOGLETRANSLATE(A414, ""en"", ""hi"")"),"413")</f>
        <v>413</v>
      </c>
      <c r="G414" s="5" t="str">
        <f>IFERROR(__xludf.DUMMYFUNCTION("GOOGLETRANSLATE(B414, ""en"", ""hi"")"),"एक एथलीट की दिनचर्या में मज़बूत तकनीक और कलात्मकता के बावजूद ऊर्जा की कमी होती है। उन्हें किस चीज़ को बेहतर बनाने पर ध्यान देना चाहिए?")</f>
        <v>एक एथलीट की दिनचर्या में मज़बूत तकनीक और कलात्मकता के बावजूद ऊर्जा की कमी होती है। उन्हें किस चीज़ को बेहतर बनाने पर ध्यान देना चाहिए?</v>
      </c>
      <c r="H414" s="5" t="str">
        <f>IFERROR(__xludf.DUMMYFUNCTION("GOOGLETRANSLATE(C414, ""en"", ""hi"")"),"A) ऊर्जा, B) तकनीक, C) कलात्मक अभिव्यक्ति, D) लचीलापन")</f>
        <v>A) ऊर्जा, B) तकनीक, C) कलात्मक अभिव्यक्ति, D) लचीलापन</v>
      </c>
      <c r="I414" s="5" t="str">
        <f>IFERROR(__xludf.DUMMYFUNCTION("GOOGLETRANSLATE(D414, ""en"", ""hi"")"),"ए) ऊर्जा")</f>
        <v>ए) ऊर्जा</v>
      </c>
    </row>
    <row r="415" ht="22.5" customHeight="1">
      <c r="A415" s="2">
        <v>414.0</v>
      </c>
      <c r="B415" s="3" t="s">
        <v>11113</v>
      </c>
      <c r="C415" s="3" t="s">
        <v>11070</v>
      </c>
      <c r="D415" s="3" t="s">
        <v>11071</v>
      </c>
      <c r="F415" s="5" t="str">
        <f>IFERROR(__xludf.DUMMYFUNCTION("GOOGLETRANSLATE(A415, ""en"", ""hi"")"),"414")</f>
        <v>414</v>
      </c>
      <c r="G415" s="5" t="str">
        <f>IFERROR(__xludf.DUMMYFUNCTION("GOOGLETRANSLATE(B415, ""en"", ""hi"")"),"एक मलखंभ एथलीट के लिए अपने पूरे प्रदर्शन के दौरान एक समान लय बनाए रखना चुनौतीपूर्ण होता है। सुधार की मुख्य आवश्यकता क्या है?")</f>
        <v>एक मलखंभ एथलीट के लिए अपने पूरे प्रदर्शन के दौरान एक समान लय बनाए रखना चुनौतीपूर्ण होता है। सुधार की मुख्य आवश्यकता क्या है?</v>
      </c>
      <c r="H415" s="5" t="str">
        <f>IFERROR(__xludf.DUMMYFUNCTION("GOOGLETRANSLATE(C415, ""en"", ""hi"")"),"A) लगातार लय, B) कठिनाई में वृद्धि, C) ताकत में वृद्धि, D) लचीलेपन में सुधार")</f>
        <v>A) लगातार लय, B) कठिनाई में वृद्धि, C) ताकत में वृद्धि, D) लचीलेपन में सुधार</v>
      </c>
      <c r="I415" s="5" t="str">
        <f>IFERROR(__xludf.DUMMYFUNCTION("GOOGLETRANSLATE(D415, ""en"", ""hi"")"),"A) सुसंगत लय")</f>
        <v>A) सुसंगत लय</v>
      </c>
    </row>
    <row r="416" ht="22.5" customHeight="1">
      <c r="A416" s="2">
        <v>415.0</v>
      </c>
      <c r="B416" s="3" t="s">
        <v>11114</v>
      </c>
      <c r="C416" s="3" t="s">
        <v>11115</v>
      </c>
      <c r="D416" s="3" t="s">
        <v>11053</v>
      </c>
      <c r="F416" s="5" t="str">
        <f>IFERROR(__xludf.DUMMYFUNCTION("GOOGLETRANSLATE(A416, ""en"", ""hi"")"),"415")</f>
        <v>415</v>
      </c>
      <c r="G416" s="5" t="str">
        <f>IFERROR(__xludf.DUMMYFUNCTION("GOOGLETRANSLATE(B416, ""en"", ""hi"")"),"अभ्यास सत्र के दौरान, एक एथलीट का प्रदर्शन कलात्मक अभिव्यक्ति में तो मज़बूत होता है, लेकिन तकनीकी सटीकता में सुधार की आवश्यकता होती है। उन्हें किस पर ध्यान केंद्रित करना चाहिए?")</f>
        <v>अभ्यास सत्र के दौरान, एक एथलीट का प्रदर्शन कलात्मक अभिव्यक्ति में तो मज़बूत होता है, लेकिन तकनीकी सटीकता में सुधार की आवश्यकता होती है। उन्हें किस पर ध्यान केंद्रित करना चाहिए?</v>
      </c>
      <c r="H416" s="5" t="str">
        <f>IFERROR(__xludf.DUMMYFUNCTION("GOOGLETRANSLATE(C416, ""en"", ""hi"")"),"A) तकनीकी परिशुद्धता, B) कलात्मक अभिव्यक्ति, C) कठिनाई में वृद्धि, D) लचीलेपन में सुधार")</f>
        <v>A) तकनीकी परिशुद्धता, B) कलात्मक अभिव्यक्ति, C) कठिनाई में वृद्धि, D) लचीलेपन में सुधार</v>
      </c>
      <c r="I416" s="5" t="str">
        <f>IFERROR(__xludf.DUMMYFUNCTION("GOOGLETRANSLATE(D416, ""en"", ""hi"")"),"ए) तकनीकी परिशुद्धता")</f>
        <v>ए) तकनीकी परिशुद्धता</v>
      </c>
    </row>
    <row r="417" ht="22.5" customHeight="1">
      <c r="A417" s="2">
        <v>416.0</v>
      </c>
      <c r="B417" s="3" t="s">
        <v>11116</v>
      </c>
      <c r="C417" s="3" t="s">
        <v>11117</v>
      </c>
      <c r="D417" s="3" t="s">
        <v>10875</v>
      </c>
      <c r="F417" s="5" t="str">
        <f>IFERROR(__xludf.DUMMYFUNCTION("GOOGLETRANSLATE(A417, ""en"", ""hi"")"),"416")</f>
        <v>416</v>
      </c>
      <c r="G417" s="5" t="str">
        <f>IFERROR(__xludf.DUMMYFUNCTION("GOOGLETRANSLATE(B417, ""en"", ""hi"")"),"मलखंभ कलाकार अपनी सुंदरता के लिए जाने जाते हैं, लेकिन उन्हें अपनी लय में सुधार करने की ज़रूरत है। उन्हें किस पर ध्यान केंद्रित करना चाहिए?")</f>
        <v>मलखंभ कलाकार अपनी सुंदरता के लिए जाने जाते हैं, लेकिन उन्हें अपनी लय में सुधार करने की ज़रूरत है। उन्हें किस पर ध्यान केंद्रित करना चाहिए?</v>
      </c>
      <c r="H417" s="5" t="str">
        <f>IFERROR(__xludf.DUMMYFUNCTION("GOOGLETRANSLATE(C417, ""en"", ""hi"")"),"ए) नियमित तरलता, बी) अनुग्रह, सी) अधिक गतिशील चालें जोड़ना, डी) लचीलेपन में सुधार")</f>
        <v>ए) नियमित तरलता, बी) अनुग्रह, सी) अधिक गतिशील चालें जोड़ना, डी) लचीलेपन में सुधार</v>
      </c>
      <c r="I417" s="5" t="str">
        <f>IFERROR(__xludf.DUMMYFUNCTION("GOOGLETRANSLATE(D417, ""en"", ""hi"")"),"A) दिनचर्या की तरलता")</f>
        <v>A) दिनचर्या की तरलता</v>
      </c>
    </row>
    <row r="418" ht="22.5" customHeight="1">
      <c r="A418" s="2">
        <v>417.0</v>
      </c>
      <c r="B418" s="3" t="s">
        <v>11118</v>
      </c>
      <c r="C418" s="3" t="s">
        <v>11119</v>
      </c>
      <c r="D418" s="3" t="s">
        <v>11120</v>
      </c>
      <c r="F418" s="5" t="str">
        <f>IFERROR(__xludf.DUMMYFUNCTION("GOOGLETRANSLATE(A418, ""en"", ""hi"")"),"417")</f>
        <v>417</v>
      </c>
      <c r="G418" s="5" t="str">
        <f>IFERROR(__xludf.DUMMYFUNCTION("GOOGLETRANSLATE(B418, ""en"", ""hi"")"),"एक एथलीट की दिनचर्या तकनीकी रूप से तो मज़बूत होती है, लेकिन उसे अपनी समग्र ऊर्जा और सक्रियता पर काम करने की ज़रूरत होती है। उन्हें किसमें सुधार करना चाहिए?")</f>
        <v>एक एथलीट की दिनचर्या तकनीकी रूप से तो मज़बूत होती है, लेकिन उसे अपनी समग्र ऊर्जा और सक्रियता पर काम करने की ज़रूरत होती है। उन्हें किसमें सुधार करना चाहिए?</v>
      </c>
      <c r="H418" s="5" t="str">
        <f>IFERROR(__xludf.DUMMYFUNCTION("GOOGLETRANSLATE(C418, ""en"", ""hi"")"),"ए) समग्र ऊर्जा और संलग्नता, बी) तकनीकी निष्पादन, सी) बढ़ती कठिनाई, डी) लचीलेपन में वृद्धि")</f>
        <v>ए) समग्र ऊर्जा और संलग्नता, बी) तकनीकी निष्पादन, सी) बढ़ती कठिनाई, डी) लचीलेपन में वृद्धि</v>
      </c>
      <c r="I418" s="5" t="str">
        <f>IFERROR(__xludf.DUMMYFUNCTION("GOOGLETRANSLATE(D418, ""en"", ""hi"")"),"A) समग्र ऊर्जा और जुड़ाव")</f>
        <v>A) समग्र ऊर्जा और जुड़ाव</v>
      </c>
    </row>
    <row r="419" ht="22.5" customHeight="1">
      <c r="A419" s="2">
        <v>418.0</v>
      </c>
      <c r="B419" s="3" t="s">
        <v>11121</v>
      </c>
      <c r="C419" s="3" t="s">
        <v>11122</v>
      </c>
      <c r="D419" s="3" t="s">
        <v>11123</v>
      </c>
      <c r="F419" s="5" t="str">
        <f>IFERROR(__xludf.DUMMYFUNCTION("GOOGLETRANSLATE(A419, ""en"", ""hi"")"),"418")</f>
        <v>418</v>
      </c>
      <c r="G419" s="5" t="str">
        <f>IFERROR(__xludf.DUMMYFUNCTION("GOOGLETRANSLATE(B419, ""en"", ""hi"")"),"मलखंभ कलाकार अपने संतुलन के लिए प्रशंसित हैं, लेकिन उन्हें अपनी ताकत में सुधार करने की ज़रूरत है। उन्हें किस पर ध्यान केंद्रित करना चाहिए?")</f>
        <v>मलखंभ कलाकार अपने संतुलन के लिए प्रशंसित हैं, लेकिन उन्हें अपनी ताकत में सुधार करने की ज़रूरत है। उन्हें किस पर ध्यान केंद्रित करना चाहिए?</v>
      </c>
      <c r="H419" s="5" t="str">
        <f>IFERROR(__xludf.DUMMYFUNCTION("GOOGLETRANSLATE(C419, ""en"", ""hi"")"),"A) शक्ति, B) संतुलन, C) लचीलापन, D) कलात्मक प्रस्तुति")</f>
        <v>A) शक्ति, B) संतुलन, C) लचीलापन, D) कलात्मक प्रस्तुति</v>
      </c>
      <c r="I419" s="5" t="str">
        <f>IFERROR(__xludf.DUMMYFUNCTION("GOOGLETRANSLATE(D419, ""en"", ""hi"")"),"ए) ताकत")</f>
        <v>ए) ताकत</v>
      </c>
    </row>
    <row r="420" ht="22.5" customHeight="1">
      <c r="A420" s="2">
        <v>419.0</v>
      </c>
      <c r="B420" s="3" t="s">
        <v>11124</v>
      </c>
      <c r="C420" s="3" t="s">
        <v>11125</v>
      </c>
      <c r="D420" s="3" t="s">
        <v>11126</v>
      </c>
      <c r="F420" s="5" t="str">
        <f>IFERROR(__xludf.DUMMYFUNCTION("GOOGLETRANSLATE(A420, ""en"", ""hi"")"),"419")</f>
        <v>419</v>
      </c>
      <c r="G420" s="5" t="str">
        <f>IFERROR(__xludf.DUMMYFUNCTION("GOOGLETRANSLATE(B420, ""en"", ""hi"")"),"एक एथलीट का रूटीन प्रभावशाली तो है, लेकिन उसमें मौलिकता की कमी है। उन्हें किस पर काम करना चाहिए?")</f>
        <v>एक एथलीट का रूटीन प्रभावशाली तो है, लेकिन उसमें मौलिकता की कमी है। उन्हें किस पर काम करना चाहिए?</v>
      </c>
      <c r="H420" s="5" t="str">
        <f>IFERROR(__xludf.DUMMYFUNCTION("GOOGLETRANSLATE(C420, ""en"", ""hi"")"),"A) गतिविधियों की मौलिकता, B) तकनीक, C) लचीलापन, D) नियमित लंबाई")</f>
        <v>A) गतिविधियों की मौलिकता, B) तकनीक, C) लचीलापन, D) नियमित लंबाई</v>
      </c>
      <c r="I420" s="5" t="str">
        <f>IFERROR(__xludf.DUMMYFUNCTION("GOOGLETRANSLATE(D420, ""en"", ""hi"")"),"A) आंदोलनों की मौलिकता")</f>
        <v>A) आंदोलनों की मौलिकता</v>
      </c>
    </row>
    <row r="421" ht="22.5" customHeight="1">
      <c r="A421" s="2">
        <v>420.0</v>
      </c>
      <c r="B421" s="3" t="s">
        <v>11127</v>
      </c>
      <c r="C421" s="3" t="s">
        <v>11128</v>
      </c>
      <c r="D421" s="3" t="s">
        <v>11129</v>
      </c>
      <c r="F421" s="5" t="str">
        <f>IFERROR(__xludf.DUMMYFUNCTION("GOOGLETRANSLATE(A421, ""en"", ""hi"")"),"420")</f>
        <v>420</v>
      </c>
      <c r="G421" s="5" t="str">
        <f>IFERROR(__xludf.DUMMYFUNCTION("GOOGLETRANSLATE(B421, ""en"", ""hi"")"),"मलखम्ब कलाकार अपनी गतिशील मुद्राओं के लिए जाने जाते हैं, लेकिन स्थिर मुद्राओं में उन्हें कठिनाई होती है। सुधार की मुख्य आवश्यकता क्या है?")</f>
        <v>मलखम्ब कलाकार अपनी गतिशील मुद्राओं के लिए जाने जाते हैं, लेकिन स्थिर मुद्राओं में उन्हें कठिनाई होती है। सुधार की मुख्य आवश्यकता क्या है?</v>
      </c>
      <c r="H421" s="5" t="str">
        <f>IFERROR(__xludf.DUMMYFUNCTION("GOOGLETRANSLATE(C421, ""en"", ""hi"")"),"ए) स्थिर धारण, बी) गतिशील मुद्राएँ, सी) नियमित लंबाई, डी) लचीलापन")</f>
        <v>ए) स्थिर धारण, बी) गतिशील मुद्राएँ, सी) नियमित लंबाई, डी) लचीलापन</v>
      </c>
      <c r="I421" s="5" t="str">
        <f>IFERROR(__xludf.DUMMYFUNCTION("GOOGLETRANSLATE(D421, ""en"", ""hi"")"),"A) स्थैतिक धारण")</f>
        <v>A) स्थैतिक धारण</v>
      </c>
    </row>
    <row r="422" ht="22.5" customHeight="1">
      <c r="A422" s="2">
        <v>421.0</v>
      </c>
      <c r="B422" s="3" t="s">
        <v>11130</v>
      </c>
      <c r="C422" s="3" t="s">
        <v>11131</v>
      </c>
      <c r="D422" s="3" t="s">
        <v>10875</v>
      </c>
      <c r="F422" s="5" t="str">
        <f>IFERROR(__xludf.DUMMYFUNCTION("GOOGLETRANSLATE(A422, ""en"", ""hi"")"),"421")</f>
        <v>421</v>
      </c>
      <c r="G422" s="5" t="str">
        <f>IFERROR(__xludf.DUMMYFUNCTION("GOOGLETRANSLATE(B422, ""en"", ""hi"")"),"अभ्यास के दौरान, एक एथलीट शक्ति-आसनों में तो मज़बूत होता है, लेकिन उसे अपने अभ्यास की तरलता बढ़ाने की ज़रूरत होती है। उसे किस पर ध्यान केंद्रित करना चाहिए?")</f>
        <v>अभ्यास के दौरान, एक एथलीट शक्ति-आसनों में तो मज़बूत होता है, लेकिन उसे अपने अभ्यास की तरलता बढ़ाने की ज़रूरत होती है। उसे किस पर ध्यान केंद्रित करना चाहिए?</v>
      </c>
      <c r="H422" s="5" t="str">
        <f>IFERROR(__xludf.DUMMYFUNCTION("GOOGLETRANSLATE(C422, ""en"", ""hi"")"),"ए) नियमित तरलता, बी) शक्ति मुद्राएं, सी) अधिक जटिल चालें जोड़ना, डी) लचीलेपन में सुधार")</f>
        <v>ए) नियमित तरलता, बी) शक्ति मुद्राएं, सी) अधिक जटिल चालें जोड़ना, डी) लचीलेपन में सुधार</v>
      </c>
      <c r="I422" s="5" t="str">
        <f>IFERROR(__xludf.DUMMYFUNCTION("GOOGLETRANSLATE(D422, ""en"", ""hi"")"),"A) दिनचर्या की तरलता")</f>
        <v>A) दिनचर्या की तरलता</v>
      </c>
    </row>
    <row r="423" ht="22.5" customHeight="1">
      <c r="A423" s="2">
        <v>422.0</v>
      </c>
      <c r="B423" s="3" t="s">
        <v>11132</v>
      </c>
      <c r="C423" s="3" t="s">
        <v>11133</v>
      </c>
      <c r="D423" s="3" t="s">
        <v>11134</v>
      </c>
      <c r="F423" s="5" t="str">
        <f>IFERROR(__xludf.DUMMYFUNCTION("GOOGLETRANSLATE(A423, ""en"", ""hi"")"),"422")</f>
        <v>422</v>
      </c>
      <c r="G423" s="5" t="str">
        <f>IFERROR(__xludf.DUMMYFUNCTION("GOOGLETRANSLATE(B423, ""en"", ""hi"")"),"मलखम्ब एथलीट को अपने प्रदर्शन की समग्र जटिलता बढ़ाने की सलाह दी जाती है। उन्हें किस पर ध्यान केंद्रित करना चाहिए?")</f>
        <v>मलखम्ब एथलीट को अपने प्रदर्शन की समग्र जटिलता बढ़ाने की सलाह दी जाती है। उन्हें किस पर ध्यान केंद्रित करना चाहिए?</v>
      </c>
      <c r="H423" s="5" t="str">
        <f>IFERROR(__xludf.DUMMYFUNCTION("GOOGLETRANSLATE(C423, ""en"", ""hi"")"),"A) बढ़ती जटिलता, B) नियमित लंबाई, C) स्थिर धारण, D) कलात्मक प्रस्तुति")</f>
        <v>A) बढ़ती जटिलता, B) नियमित लंबाई, C) स्थिर धारण, D) कलात्मक प्रस्तुति</v>
      </c>
      <c r="I423" s="5" t="str">
        <f>IFERROR(__xludf.DUMMYFUNCTION("GOOGLETRANSLATE(D423, ""en"", ""hi"")"),"A) बढ़ती जटिलता")</f>
        <v>A) बढ़ती जटिलता</v>
      </c>
    </row>
    <row r="424" ht="22.5" customHeight="1">
      <c r="A424" s="2">
        <v>423.0</v>
      </c>
      <c r="B424" s="3" t="s">
        <v>11135</v>
      </c>
      <c r="C424" s="3" t="s">
        <v>11136</v>
      </c>
      <c r="D424" s="3" t="s">
        <v>10990</v>
      </c>
      <c r="F424" s="5" t="str">
        <f>IFERROR(__xludf.DUMMYFUNCTION("GOOGLETRANSLATE(A424, ""en"", ""hi"")"),"423")</f>
        <v>423</v>
      </c>
      <c r="G424" s="5" t="str">
        <f>IFERROR(__xludf.DUMMYFUNCTION("GOOGLETRANSLATE(B424, ""en"", ""hi"")"),"एक एथलीट की दिनचर्या में तकनीकी कौशल तो मज़बूत होता है, लेकिन भावनात्मक अभिव्यक्ति का अभाव होता है। सुधार का मुख्य लक्ष्य क्या है?")</f>
        <v>एक एथलीट की दिनचर्या में तकनीकी कौशल तो मज़बूत होता है, लेकिन भावनात्मक अभिव्यक्ति का अभाव होता है। सुधार का मुख्य लक्ष्य क्या है?</v>
      </c>
      <c r="H424" s="5" t="str">
        <f>IFERROR(__xludf.DUMMYFUNCTION("GOOGLETRANSLATE(C424, ""en"", ""hi"")"),"A) भावनात्मक अभिव्यक्ति, B) तकनीकी कौशल, C) दिनचर्या की जटिलता, D) लचीलापन")</f>
        <v>A) भावनात्मक अभिव्यक्ति, B) तकनीकी कौशल, C) दिनचर्या की जटिलता, D) लचीलापन</v>
      </c>
      <c r="I424" s="5" t="str">
        <f>IFERROR(__xludf.DUMMYFUNCTION("GOOGLETRANSLATE(D424, ""en"", ""hi"")"),"A) भावनात्मक अभिव्यक्ति")</f>
        <v>A) भावनात्मक अभिव्यक्ति</v>
      </c>
    </row>
    <row r="425" ht="22.5" customHeight="1">
      <c r="A425" s="2">
        <v>424.0</v>
      </c>
      <c r="B425" s="3" t="s">
        <v>11137</v>
      </c>
      <c r="C425" s="3" t="s">
        <v>11138</v>
      </c>
      <c r="D425" s="3" t="s">
        <v>11139</v>
      </c>
      <c r="F425" s="5" t="str">
        <f>IFERROR(__xludf.DUMMYFUNCTION("GOOGLETRANSLATE(A425, ""en"", ""hi"")"),"424")</f>
        <v>424</v>
      </c>
      <c r="G425" s="5" t="str">
        <f>IFERROR(__xludf.DUMMYFUNCTION("GOOGLETRANSLATE(B425, ""en"", ""hi"")"),"मलखम्ब कलाकार अपने लचीलेपन के लिए जाने जाते हैं, लेकिन उन्हें अपनी लय में सामंजस्य बिठाने की ज़रूरत है। उन्हें किन चीज़ों पर काम करना चाहिए?")</f>
        <v>मलखम्ब कलाकार अपने लचीलेपन के लिए जाने जाते हैं, लेकिन उन्हें अपनी लय में सामंजस्य बिठाने की ज़रूरत है। उन्हें किन चीज़ों पर काम करना चाहिए?</v>
      </c>
      <c r="H425" s="5" t="str">
        <f>IFERROR(__xludf.DUMMYFUNCTION("GOOGLETRANSLATE(C425, ""en"", ""hi"")"),"A) नियमित सामंजस्य, B) लचीलापन, C) तकनीक, D) अधिक गतिशील चालें जोड़ना")</f>
        <v>A) नियमित सामंजस्य, B) लचीलापन, C) तकनीक, D) अधिक गतिशील चालें जोड़ना</v>
      </c>
      <c r="I425" s="5" t="str">
        <f>IFERROR(__xludf.DUMMYFUNCTION("GOOGLETRANSLATE(D425, ""en"", ""hi"")"),"A) दिनचर्या में सामंजस्य")</f>
        <v>A) दिनचर्या में सामंजस्य</v>
      </c>
    </row>
    <row r="426" ht="22.5" customHeight="1">
      <c r="A426" s="2">
        <v>425.0</v>
      </c>
      <c r="B426" s="3" t="s">
        <v>11140</v>
      </c>
      <c r="C426" s="3" t="s">
        <v>11141</v>
      </c>
      <c r="D426" s="3" t="s">
        <v>11071</v>
      </c>
      <c r="F426" s="5" t="str">
        <f>IFERROR(__xludf.DUMMYFUNCTION("GOOGLETRANSLATE(A426, ""en"", ""hi"")"),"425")</f>
        <v>425</v>
      </c>
      <c r="G426" s="5" t="str">
        <f>IFERROR(__xludf.DUMMYFUNCTION("GOOGLETRANSLATE(B426, ""en"", ""hi"")"),"किसी भी रूटीन के दौरान, एक एथलीट को अपनी लय बनाए रखने में दिक्कत होती है। उन्हें किस चीज़ में सुधार लाने पर ध्यान देना चाहिए?")</f>
        <v>किसी भी रूटीन के दौरान, एक एथलीट को अपनी लय बनाए रखने में दिक्कत होती है। उन्हें किस चीज़ में सुधार लाने पर ध्यान देना चाहिए?</v>
      </c>
      <c r="H426" s="5" t="str">
        <f>IFERROR(__xludf.DUMMYFUNCTION("GOOGLETRANSLATE(C426, ""en"", ""hi"")"),"A) लगातार लय, B) तकनीक, C) बढ़ती कठिनाई, D) ताकत बढ़ाना")</f>
        <v>A) लगातार लय, B) तकनीक, C) बढ़ती कठिनाई, D) ताकत बढ़ाना</v>
      </c>
      <c r="I426" s="5" t="str">
        <f>IFERROR(__xludf.DUMMYFUNCTION("GOOGLETRANSLATE(D426, ""en"", ""hi"")"),"A) सुसंगत लय")</f>
        <v>A) सुसंगत लय</v>
      </c>
    </row>
    <row r="427" ht="22.5" customHeight="1">
      <c r="A427" s="2">
        <v>426.0</v>
      </c>
      <c r="B427" s="3" t="s">
        <v>11142</v>
      </c>
      <c r="C427" s="3" t="s">
        <v>11143</v>
      </c>
      <c r="D427" s="3" t="s">
        <v>11053</v>
      </c>
      <c r="F427" s="5" t="str">
        <f>IFERROR(__xludf.DUMMYFUNCTION("GOOGLETRANSLATE(A427, ""en"", ""hi"")"),"426")</f>
        <v>426</v>
      </c>
      <c r="G427" s="5" t="str">
        <f>IFERROR(__xludf.DUMMYFUNCTION("GOOGLETRANSLATE(B427, ""en"", ""hi"")"),"मलखम्ब एथलीट की कलात्मक अभिव्यक्ति की प्रशंसा की जाती है, लेकिन उन्हें अपनी तकनीकी सटीकता में सुधार करने की आवश्यकता है। इस विषय पर ध्यान देने की मुख्य आवश्यकता क्या है?")</f>
        <v>मलखम्ब एथलीट की कलात्मक अभिव्यक्ति की प्रशंसा की जाती है, लेकिन उन्हें अपनी तकनीकी सटीकता में सुधार करने की आवश्यकता है। इस विषय पर ध्यान देने की मुख्य आवश्यकता क्या है?</v>
      </c>
      <c r="H427" s="5" t="str">
        <f>IFERROR(__xludf.DUMMYFUNCTION("GOOGLETRANSLATE(C427, ""en"", ""hi"")"),"A) तकनीकी परिशुद्धता, B) कलात्मक अभिव्यक्ति, C) नियमित लंबाई, D) लचीलापन")</f>
        <v>A) तकनीकी परिशुद्धता, B) कलात्मक अभिव्यक्ति, C) नियमित लंबाई, D) लचीलापन</v>
      </c>
      <c r="I427" s="5" t="str">
        <f>IFERROR(__xludf.DUMMYFUNCTION("GOOGLETRANSLATE(D427, ""en"", ""hi"")"),"ए) तकनीकी परिशुद्धता")</f>
        <v>ए) तकनीकी परिशुद्धता</v>
      </c>
    </row>
    <row r="428" ht="22.5" customHeight="1">
      <c r="A428" s="2">
        <v>427.0</v>
      </c>
      <c r="B428" s="3" t="s">
        <v>11144</v>
      </c>
      <c r="C428" s="3" t="s">
        <v>11145</v>
      </c>
      <c r="D428" s="3" t="s">
        <v>11146</v>
      </c>
      <c r="F428" s="5" t="str">
        <f>IFERROR(__xludf.DUMMYFUNCTION("GOOGLETRANSLATE(A428, ""en"", ""hi"")"),"427")</f>
        <v>427</v>
      </c>
      <c r="G428" s="5" t="str">
        <f>IFERROR(__xludf.DUMMYFUNCTION("GOOGLETRANSLATE(B428, ""en"", ""hi"")"),"एक एथलीट की दिनचर्या भावनात्मक जुड़ाव के मामले में मज़बूत होती है, लेकिन उसमें तकनीकी जटिलता का अभाव होता है। उन्हें किस पर ध्यान केंद्रित करना चाहिए?")</f>
        <v>एक एथलीट की दिनचर्या भावनात्मक जुड़ाव के मामले में मज़बूत होती है, लेकिन उसमें तकनीकी जटिलता का अभाव होता है। उन्हें किस पर ध्यान केंद्रित करना चाहिए?</v>
      </c>
      <c r="H428" s="5" t="str">
        <f>IFERROR(__xludf.DUMMYFUNCTION("GOOGLETRANSLATE(C428, ""en"", ""hi"")"),"ए) तकनीकी जटिलता, बी) भावनात्मक जुड़ाव, सी) अधिक गतिशील पोज़ जोड़ना, डी) नियमित लंबाई")</f>
        <v>ए) तकनीकी जटिलता, बी) भावनात्मक जुड़ाव, सी) अधिक गतिशील पोज़ जोड़ना, डी) नियमित लंबाई</v>
      </c>
      <c r="I428" s="5" t="str">
        <f>IFERROR(__xludf.DUMMYFUNCTION("GOOGLETRANSLATE(D428, ""en"", ""hi"")"),"ए) तकनीकी जटिलता")</f>
        <v>ए) तकनीकी जटिलता</v>
      </c>
    </row>
    <row r="429" ht="22.5" customHeight="1">
      <c r="A429" s="2">
        <v>428.0</v>
      </c>
      <c r="B429" s="3" t="s">
        <v>11147</v>
      </c>
      <c r="C429" s="3" t="s">
        <v>11148</v>
      </c>
      <c r="D429" s="3" t="s">
        <v>10767</v>
      </c>
      <c r="F429" s="5" t="str">
        <f>IFERROR(__xludf.DUMMYFUNCTION("GOOGLETRANSLATE(A429, ""en"", ""hi"")"),"428")</f>
        <v>428</v>
      </c>
      <c r="G429" s="5" t="str">
        <f>IFERROR(__xludf.DUMMYFUNCTION("GOOGLETRANSLATE(B429, ""en"", ""hi"")"),"मलखंभ कलाकार के लिए विभिन्न मुद्राओं के बीच सहज परिवर्तन बनाए रखना चुनौतीपूर्ण होता है। उन्हें किसमें सुधार करना चाहिए?")</f>
        <v>मलखंभ कलाकार के लिए विभिन्न मुद्राओं के बीच सहज परिवर्तन बनाए रखना चुनौतीपूर्ण होता है। उन्हें किसमें सुधार करना चाहिए?</v>
      </c>
      <c r="H429" s="5" t="str">
        <f>IFERROR(__xludf.DUMMYFUNCTION("GOOGLETRANSLATE(C429, ""en"", ""hi"")"),"A) द्रव संक्रमण, B) नियमित लंबाई, C) स्थैतिक धारण, D) लचीलापन")</f>
        <v>A) द्रव संक्रमण, B) नियमित लंबाई, C) स्थैतिक धारण, D) लचीलापन</v>
      </c>
      <c r="I429" s="5" t="str">
        <f>IFERROR(__xludf.DUMMYFUNCTION("GOOGLETRANSLATE(D429, ""en"", ""hi"")"),"A) द्रव संक्रमण")</f>
        <v>A) द्रव संक्रमण</v>
      </c>
    </row>
    <row r="430" ht="22.5" customHeight="1">
      <c r="A430" s="2">
        <v>429.0</v>
      </c>
      <c r="B430" s="3" t="s">
        <v>11149</v>
      </c>
      <c r="C430" s="3" t="s">
        <v>11150</v>
      </c>
      <c r="D430" s="3" t="s">
        <v>10887</v>
      </c>
      <c r="F430" s="5" t="str">
        <f>IFERROR(__xludf.DUMMYFUNCTION("GOOGLETRANSLATE(A430, ""en"", ""hi"")"),"429")</f>
        <v>429</v>
      </c>
      <c r="G430" s="5" t="str">
        <f>IFERROR(__xludf.DUMMYFUNCTION("GOOGLETRANSLATE(B430, ""en"", ""hi"")"),"प्रदर्शन के दौरान, एक एथलीट अपनी ताकत के लिए जाना जाता है, लेकिन उसे अपनी कलात्मक प्रस्तुति को निखारने की ज़रूरत होती है। उन्हें किस पर ध्यान केंद्रित करना चाहिए?")</f>
        <v>प्रदर्शन के दौरान, एक एथलीट अपनी ताकत के लिए जाना जाता है, लेकिन उसे अपनी कलात्मक प्रस्तुति को निखारने की ज़रूरत होती है। उन्हें किस पर ध्यान केंद्रित करना चाहिए?</v>
      </c>
      <c r="H430" s="5" t="str">
        <f>IFERROR(__xludf.DUMMYFUNCTION("GOOGLETRANSLATE(C430, ""en"", ""hi"")"),"ए) कलात्मक प्रस्तुति, बी) ताकत, सी) अधिक गतिशील चालें जोड़ना, डी) नियमित लंबाई")</f>
        <v>ए) कलात्मक प्रस्तुति, बी) ताकत, सी) अधिक गतिशील चालें जोड़ना, डी) नियमित लंबाई</v>
      </c>
      <c r="I430" s="5" t="str">
        <f>IFERROR(__xludf.DUMMYFUNCTION("GOOGLETRANSLATE(D430, ""en"", ""hi"")"),"ए) कलात्मक प्रस्तुति")</f>
        <v>ए) कलात्मक प्रस्तुति</v>
      </c>
    </row>
    <row r="431" ht="22.5" customHeight="1">
      <c r="A431" s="2">
        <v>430.0</v>
      </c>
      <c r="B431" s="3" t="s">
        <v>11151</v>
      </c>
      <c r="C431" s="3" t="s">
        <v>11152</v>
      </c>
      <c r="D431" s="3" t="s">
        <v>11041</v>
      </c>
      <c r="F431" s="5" t="str">
        <f>IFERROR(__xludf.DUMMYFUNCTION("GOOGLETRANSLATE(A431, ""en"", ""hi"")"),"430")</f>
        <v>430</v>
      </c>
      <c r="G431" s="5" t="str">
        <f>IFERROR(__xludf.DUMMYFUNCTION("GOOGLETRANSLATE(B431, ""en"", ""hi"")"),"मलखम्ब एथलीट को लंबी दूरी की ट्रेनिंग के लिए अपनी सहनशक्ति पर काम करने की सलाह दी जाती है। उन्हें किस पर ध्यान केंद्रित करना चाहिए?")</f>
        <v>मलखम्ब एथलीट को लंबी दूरी की ट्रेनिंग के लिए अपनी सहनशक्ति पर काम करने की सलाह दी जाती है। उन्हें किस पर ध्यान केंद्रित करना चाहिए?</v>
      </c>
      <c r="H431" s="5" t="str">
        <f>IFERROR(__xludf.DUMMYFUNCTION("GOOGLETRANSLATE(C431, ""en"", ""hi"")"),"A) लंबी दिनचर्या के लिए सहनशक्ति, B) बढ़ती कठिनाई, C) लचीलापन, D) दिनचर्या की लंबाई")</f>
        <v>A) लंबी दिनचर्या के लिए सहनशक्ति, B) बढ़ती कठिनाई, C) लचीलापन, D) दिनचर्या की लंबाई</v>
      </c>
      <c r="I431" s="5" t="str">
        <f>IFERROR(__xludf.DUMMYFUNCTION("GOOGLETRANSLATE(D431, ""en"", ""hi"")"),"A) लंबी दिनचर्या के लिए सहनशक्ति")</f>
        <v>A) लंबी दिनचर्या के लिए सहनशक्ति</v>
      </c>
    </row>
    <row r="432" ht="22.5" customHeight="1">
      <c r="A432" s="2">
        <v>431.0</v>
      </c>
      <c r="B432" s="3" t="s">
        <v>11153</v>
      </c>
      <c r="C432" s="3" t="s">
        <v>11154</v>
      </c>
      <c r="D432" s="3" t="s">
        <v>10978</v>
      </c>
      <c r="F432" s="5" t="str">
        <f>IFERROR(__xludf.DUMMYFUNCTION("GOOGLETRANSLATE(A432, ""en"", ""hi"")"),"431")</f>
        <v>431</v>
      </c>
      <c r="G432" s="5" t="str">
        <f>IFERROR(__xludf.DUMMYFUNCTION("GOOGLETRANSLATE(B432, ""en"", ""hi"")"),"मज़बूत तकनीकी निष्पादन के बावजूद, एक एथलीट की दिनचर्या में रचनात्मकता की कमी होती है। इस विषय पर ध्यान देने की मुख्य बात क्या है?")</f>
        <v>मज़बूत तकनीकी निष्पादन के बावजूद, एक एथलीट की दिनचर्या में रचनात्मकता की कमी होती है। इस विषय पर ध्यान देने की मुख्य बात क्या है?</v>
      </c>
      <c r="H432" s="5" t="str">
        <f>IFERROR(__xludf.DUMMYFUNCTION("GOOGLETRANSLATE(C432, ""en"", ""hi"")"),"A) रचनात्मकता, B) तकनीकी निष्पादन, C) बढ़ती कठिनाई, D) लचीलापन")</f>
        <v>A) रचनात्मकता, B) तकनीकी निष्पादन, C) बढ़ती कठिनाई, D) लचीलापन</v>
      </c>
      <c r="I432" s="5" t="str">
        <f>IFERROR(__xludf.DUMMYFUNCTION("GOOGLETRANSLATE(D432, ""en"", ""hi"")"),"ए) रचनात्मकता")</f>
        <v>ए) रचनात्मकता</v>
      </c>
    </row>
    <row r="433" ht="22.5" customHeight="1">
      <c r="A433" s="2">
        <v>432.0</v>
      </c>
      <c r="B433" s="3" t="s">
        <v>11155</v>
      </c>
      <c r="C433" s="3" t="s">
        <v>11156</v>
      </c>
      <c r="D433" s="3" t="s">
        <v>11157</v>
      </c>
      <c r="F433" s="5" t="str">
        <f>IFERROR(__xludf.DUMMYFUNCTION("GOOGLETRANSLATE(A433, ""en"", ""hi"")"),"432")</f>
        <v>432</v>
      </c>
      <c r="G433" s="5" t="str">
        <f>IFERROR(__xludf.DUMMYFUNCTION("GOOGLETRANSLATE(B433, ""en"", ""hi"")"),"मलखम्ब कलाकार गतिशील मुद्राओं में निपुण होते हैं, लेकिन उन्हें अपनी दिनचर्या में समग्र सामंजस्य पर काम करने की ज़रूरत होती है। उन्हें किस पर ध्यान केंद्रित करना चाहिए?")</f>
        <v>मलखम्ब कलाकार गतिशील मुद्राओं में निपुण होते हैं, लेकिन उन्हें अपनी दिनचर्या में समग्र सामंजस्य पर काम करने की ज़रूरत होती है। उन्हें किस पर ध्यान केंद्रित करना चाहिए?</v>
      </c>
      <c r="H433" s="5" t="str">
        <f>IFERROR(__xludf.DUMMYFUNCTION("GOOGLETRANSLATE(C433, ""en"", ""hi"")"),"ए) समग्र सुसंगतता, बी) गतिशील मुद्राएँ, सी) नियमित लंबाई, डी) शक्ति बढ़ाना")</f>
        <v>ए) समग्र सुसंगतता, बी) गतिशील मुद्राएँ, सी) नियमित लंबाई, डी) शक्ति बढ़ाना</v>
      </c>
      <c r="I433" s="5" t="str">
        <f>IFERROR(__xludf.DUMMYFUNCTION("GOOGLETRANSLATE(D433, ""en"", ""hi"")"),"A) समग्र सुसंगतता")</f>
        <v>A) समग्र सुसंगतता</v>
      </c>
    </row>
    <row r="434" ht="22.5" customHeight="1">
      <c r="A434" s="2">
        <v>433.0</v>
      </c>
      <c r="B434" s="3" t="s">
        <v>11158</v>
      </c>
      <c r="C434" s="3" t="s">
        <v>11159</v>
      </c>
      <c r="D434" s="3" t="s">
        <v>11123</v>
      </c>
      <c r="F434" s="5" t="str">
        <f>IFERROR(__xludf.DUMMYFUNCTION("GOOGLETRANSLATE(A434, ""en"", ""hi"")"),"433")</f>
        <v>433</v>
      </c>
      <c r="G434" s="5" t="str">
        <f>IFERROR(__xludf.DUMMYFUNCTION("GOOGLETRANSLATE(B434, ""en"", ""hi"")"),"अभ्यास के दौरान, एक एथलीट की दिनचर्या अपनी सुंदरता के लिए जानी जाती है, लेकिन उसमें ताकत की कमी होती है। उन्हें किस चीज़ में सुधार करने पर ध्यान केंद्रित करना चाहिए?")</f>
        <v>अभ्यास के दौरान, एक एथलीट की दिनचर्या अपनी सुंदरता के लिए जानी जाती है, लेकिन उसमें ताकत की कमी होती है। उन्हें किस चीज़ में सुधार करने पर ध्यान केंद्रित करना चाहिए?</v>
      </c>
      <c r="H434" s="5" t="str">
        <f>IFERROR(__xludf.DUMMYFUNCTION("GOOGLETRANSLATE(C434, ""en"", ""hi"")"),"A) शक्ति, B) अनुग्रह, C) लचीलापन, D) दिनचर्या जटिलता")</f>
        <v>A) शक्ति, B) अनुग्रह, C) लचीलापन, D) दिनचर्या जटिलता</v>
      </c>
      <c r="I434" s="5" t="str">
        <f>IFERROR(__xludf.DUMMYFUNCTION("GOOGLETRANSLATE(D434, ""en"", ""hi"")"),"ए) ताकत")</f>
        <v>ए) ताकत</v>
      </c>
    </row>
    <row r="435" ht="22.5" customHeight="1">
      <c r="A435" s="2">
        <v>434.0</v>
      </c>
      <c r="B435" s="3" t="s">
        <v>11160</v>
      </c>
      <c r="C435" s="3" t="s">
        <v>11161</v>
      </c>
      <c r="D435" s="3" t="s">
        <v>11162</v>
      </c>
      <c r="F435" s="5" t="str">
        <f>IFERROR(__xludf.DUMMYFUNCTION("GOOGLETRANSLATE(A435, ""en"", ""hi"")"),"434")</f>
        <v>434</v>
      </c>
      <c r="G435" s="5" t="str">
        <f>IFERROR(__xludf.DUMMYFUNCTION("GOOGLETRANSLATE(B435, ""en"", ""hi"")"),"मलखम्ब एथलीट की तकनीकी सटीकता की प्रशंसा की जाती है, लेकिन उन्हें अपनी कला में और निखार लाने की ज़रूरत है। उन्हें किस पर काम करना चाहिए?")</f>
        <v>मलखम्ब एथलीट की तकनीकी सटीकता की प्रशंसा की जाती है, लेकिन उन्हें अपनी कला में और निखार लाने की ज़रूरत है। उन्हें किस पर काम करना चाहिए?</v>
      </c>
      <c r="H435" s="5" t="str">
        <f>IFERROR(__xludf.DUMMYFUNCTION("GOOGLETRANSLATE(C435, ""en"", ""hi"")"),"A) कलात्मक प्रतिभा, B) तकनीकी सटीकता, C) बढ़ती कठिनाई, D) लचीलापन")</f>
        <v>A) कलात्मक प्रतिभा, B) तकनीकी सटीकता, C) बढ़ती कठिनाई, D) लचीलापन</v>
      </c>
      <c r="I435" s="5" t="str">
        <f>IFERROR(__xludf.DUMMYFUNCTION("GOOGLETRANSLATE(D435, ""en"", ""hi"")"),"A) कलात्मक प्रतिभा")</f>
        <v>A) कलात्मक प्रतिभा</v>
      </c>
    </row>
    <row r="436" ht="22.5" customHeight="1">
      <c r="A436" s="2">
        <v>435.0</v>
      </c>
      <c r="B436" s="3" t="s">
        <v>11163</v>
      </c>
      <c r="C436" s="3" t="s">
        <v>11164</v>
      </c>
      <c r="D436" s="3" t="s">
        <v>11027</v>
      </c>
      <c r="F436" s="5" t="str">
        <f>IFERROR(__xludf.DUMMYFUNCTION("GOOGLETRANSLATE(A436, ""en"", ""hi"")"),"435")</f>
        <v>435</v>
      </c>
      <c r="G436" s="5" t="str">
        <f>IFERROR(__xludf.DUMMYFUNCTION("GOOGLETRANSLATE(B436, ""en"", ""hi"")"),"एक एथलीट का तकनीकी प्रदर्शन अच्छा है, लेकिन उसे अपनी ऊर्जा को लगातार बनाए रखने में सुधार की ज़रूरत है। उन्हें किस पर ध्यान केंद्रित करना चाहिए?")</f>
        <v>एक एथलीट का तकनीकी प्रदर्शन अच्छा है, लेकिन उसे अपनी ऊर्जा को लगातार बनाए रखने में सुधार की ज़रूरत है। उन्हें किस पर ध्यान केंद्रित करना चाहिए?</v>
      </c>
      <c r="H436" s="5" t="str">
        <f>IFERROR(__xludf.DUMMYFUNCTION("GOOGLETRANSLATE(C436, ""en"", ""hi"")"),"ए) लगातार ऊर्जा, बी) तकनीकी कौशल, सी) अधिक जटिल चालें जोड़ना, डी) नियमित लंबाई")</f>
        <v>ए) लगातार ऊर्जा, बी) तकनीकी कौशल, सी) अधिक जटिल चालें जोड़ना, डी) नियमित लंबाई</v>
      </c>
      <c r="I436" s="5" t="str">
        <f>IFERROR(__xludf.DUMMYFUNCTION("GOOGLETRANSLATE(D436, ""en"", ""hi"")"),"A) लगातार ऊर्जा")</f>
        <v>A) लगातार ऊर्जा</v>
      </c>
    </row>
    <row r="437" ht="22.5" customHeight="1">
      <c r="A437" s="2">
        <v>436.0</v>
      </c>
      <c r="B437" s="3" t="s">
        <v>11165</v>
      </c>
      <c r="C437" s="3" t="s">
        <v>11166</v>
      </c>
      <c r="D437" s="3" t="s">
        <v>11167</v>
      </c>
      <c r="F437" s="5" t="str">
        <f>IFERROR(__xludf.DUMMYFUNCTION("GOOGLETRANSLATE(A437, ""en"", ""hi"")"),"436")</f>
        <v>436</v>
      </c>
      <c r="G437" s="5" t="str">
        <f>IFERROR(__xludf.DUMMYFUNCTION("GOOGLETRANSLATE(B437, ""en"", ""hi"")"),"मलखंभ कलाकारों को सलाह दी जाती है कि वे अपने अभ्यास की समग्र तरलता बढ़ाएँ। उन्हें किस पर ध्यान केंद्रित करना चाहिए?")</f>
        <v>मलखंभ कलाकारों को सलाह दी जाती है कि वे अपने अभ्यास की समग्र तरलता बढ़ाएँ। उन्हें किस पर ध्यान केंद्रित करना चाहिए?</v>
      </c>
      <c r="H437" s="5" t="str">
        <f>IFERROR(__xludf.DUMMYFUNCTION("GOOGLETRANSLATE(C437, ""en"", ""hi"")"),"A) समग्र तरलता, B) नियमित लंबाई, C) लचीलापन, D) कलात्मक प्रस्तुति")</f>
        <v>A) समग्र तरलता, B) नियमित लंबाई, C) लचीलापन, D) कलात्मक प्रस्तुति</v>
      </c>
      <c r="I437" s="5" t="str">
        <f>IFERROR(__xludf.DUMMYFUNCTION("GOOGLETRANSLATE(D437, ""en"", ""hi"")"),"A) समग्र तरलता")</f>
        <v>A) समग्र तरलता</v>
      </c>
    </row>
    <row r="438" ht="22.5" customHeight="1">
      <c r="A438" s="2">
        <v>437.0</v>
      </c>
      <c r="B438" s="3" t="s">
        <v>11168</v>
      </c>
      <c r="C438" s="3" t="s">
        <v>11169</v>
      </c>
      <c r="D438" s="3" t="s">
        <v>10825</v>
      </c>
      <c r="F438" s="5" t="str">
        <f>IFERROR(__xludf.DUMMYFUNCTION("GOOGLETRANSLATE(A438, ""en"", ""hi"")"),"437")</f>
        <v>437</v>
      </c>
      <c r="G438" s="5" t="str">
        <f>IFERROR(__xludf.DUMMYFUNCTION("GOOGLETRANSLATE(B438, ""en"", ""hi"")"),"किसी भी रूटीन के दौरान, एथलीट की ताकत की तारीफ़ की जाती है, लेकिन उसे सहज बदलाव बनाए रखने में दिक्कत होती है। उन्हें किस पर काम करना चाहिए?")</f>
        <v>किसी भी रूटीन के दौरान, एथलीट की ताकत की तारीफ़ की जाती है, लेकिन उसे सहज बदलाव बनाए रखने में दिक्कत होती है। उन्हें किस पर काम करना चाहिए?</v>
      </c>
      <c r="H438" s="5" t="str">
        <f>IFERROR(__xludf.DUMMYFUNCTION("GOOGLETRANSLATE(C438, ""en"", ""hi"")"),"A) सहज संक्रमण, B) शक्ति, C) बढ़ती कठिनाई, D) लचीलापन")</f>
        <v>A) सहज संक्रमण, B) शक्ति, C) बढ़ती कठिनाई, D) लचीलापन</v>
      </c>
      <c r="I438" s="5" t="str">
        <f>IFERROR(__xludf.DUMMYFUNCTION("GOOGLETRANSLATE(D438, ""en"", ""hi"")"),"A) सहज संक्रमण")</f>
        <v>A) सहज संक्रमण</v>
      </c>
    </row>
    <row r="439" ht="22.5" customHeight="1">
      <c r="A439" s="2">
        <v>438.0</v>
      </c>
      <c r="B439" s="3" t="s">
        <v>11170</v>
      </c>
      <c r="C439" s="3" t="s">
        <v>11171</v>
      </c>
      <c r="D439" s="3" t="s">
        <v>11172</v>
      </c>
      <c r="F439" s="5" t="str">
        <f>IFERROR(__xludf.DUMMYFUNCTION("GOOGLETRANSLATE(A439, ""en"", ""hi"")"),"438")</f>
        <v>438</v>
      </c>
      <c r="G439" s="5" t="str">
        <f>IFERROR(__xludf.DUMMYFUNCTION("GOOGLETRANSLATE(B439, ""en"", ""hi"")"),"मलखम्ब एथलीट अपने लचीलेपन के लिए जाने जाते हैं, लेकिन उन्हें अपनी समग्र दिनचर्या में सामंजस्य बिठाने पर काम करने की ज़रूरत है। उन्हें किस पर ध्यान केंद्रित करना चाहिए?")</f>
        <v>मलखम्ब एथलीट अपने लचीलेपन के लिए जाने जाते हैं, लेकिन उन्हें अपनी समग्र दिनचर्या में सामंजस्य बिठाने पर काम करने की ज़रूरत है। उन्हें किस पर ध्यान केंद्रित करना चाहिए?</v>
      </c>
      <c r="H439" s="5" t="str">
        <f>IFERROR(__xludf.DUMMYFUNCTION("GOOGLETRANSLATE(C439, ""en"", ""hi"")"),"ए) नियमित एकीकरण, बी) लचीलापन, सी) तकनीक, डी) अधिक गतिशील चालें जोड़ना")</f>
        <v>ए) नियमित एकीकरण, बी) लचीलापन, सी) तकनीक, डी) अधिक गतिशील चालें जोड़ना</v>
      </c>
      <c r="I439" s="5" t="str">
        <f>IFERROR(__xludf.DUMMYFUNCTION("GOOGLETRANSLATE(D439, ""en"", ""hi"")"),"A) नियमित एकीकरण")</f>
        <v>A) नियमित एकीकरण</v>
      </c>
    </row>
    <row r="440" ht="22.5" customHeight="1">
      <c r="A440" s="2">
        <v>439.0</v>
      </c>
      <c r="B440" s="3" t="s">
        <v>11173</v>
      </c>
      <c r="C440" s="3" t="s">
        <v>11174</v>
      </c>
      <c r="D440" s="3" t="s">
        <v>10929</v>
      </c>
      <c r="F440" s="5" t="str">
        <f>IFERROR(__xludf.DUMMYFUNCTION("GOOGLETRANSLATE(A440, ""en"", ""hi"")"),"439")</f>
        <v>439</v>
      </c>
      <c r="G440" s="5" t="str">
        <f>IFERROR(__xludf.DUMMYFUNCTION("GOOGLETRANSLATE(B440, ""en"", ""hi"")"),"एक एथलीट की दिनचर्या तकनीकी कौशल में प्रभावशाली होती है, लेकिन भावनात्मक जुड़ाव में सुधार की आवश्यकता होती है। सुधार का मुख्य क्षेत्र क्या है?")</f>
        <v>एक एथलीट की दिनचर्या तकनीकी कौशल में प्रभावशाली होती है, लेकिन भावनात्मक जुड़ाव में सुधार की आवश्यकता होती है। सुधार का मुख्य क्षेत्र क्या है?</v>
      </c>
      <c r="H440" s="5" t="str">
        <f>IFERROR(__xludf.DUMMYFUNCTION("GOOGLETRANSLATE(C440, ""en"", ""hi"")"),"A) भावनात्मक जुड़ाव, B) तकनीकी कौशल, C) अधिक गतिशील पोज़ जोड़ना, D) नियमित लंबाई")</f>
        <v>A) भावनात्मक जुड़ाव, B) तकनीकी कौशल, C) अधिक गतिशील पोज़ जोड़ना, D) नियमित लंबाई</v>
      </c>
      <c r="I440" s="5" t="str">
        <f>IFERROR(__xludf.DUMMYFUNCTION("GOOGLETRANSLATE(D440, ""en"", ""hi"")"),"A) भावनात्मक जुड़ाव")</f>
        <v>A) भावनात्मक जुड़ाव</v>
      </c>
    </row>
    <row r="441" ht="22.5" customHeight="1">
      <c r="A441" s="2">
        <v>440.0</v>
      </c>
      <c r="B441" s="3" t="s">
        <v>11175</v>
      </c>
      <c r="C441" s="3" t="s">
        <v>11176</v>
      </c>
      <c r="D441" s="3" t="s">
        <v>10753</v>
      </c>
      <c r="F441" s="5" t="str">
        <f>IFERROR(__xludf.DUMMYFUNCTION("GOOGLETRANSLATE(A441, ""en"", ""hi"")"),"440")</f>
        <v>440</v>
      </c>
      <c r="G441" s="5" t="str">
        <f>IFERROR(__xludf.DUMMYFUNCTION("GOOGLETRANSLATE(B441, ""en"", ""hi"")"),"मलखंभ कलाकारों को अपनी कलात्मक अभिव्यक्ति को निखारने पर ध्यान केंद्रित करने की सलाह दी जाती है। उन्हें किस पर ध्यान केंद्रित करना चाहिए?")</f>
        <v>मलखंभ कलाकारों को अपनी कलात्मक अभिव्यक्ति को निखारने पर ध्यान केंद्रित करने की सलाह दी जाती है। उन्हें किस पर ध्यान केंद्रित करना चाहिए?</v>
      </c>
      <c r="H441" s="5" t="str">
        <f>IFERROR(__xludf.DUMMYFUNCTION("GOOGLETRANSLATE(C441, ""en"", ""hi"")"),"A) कलात्मक अभिव्यक्ति, B) तकनीकी कौशल, C) दिनचर्या की लंबाई, D) लचीलापन")</f>
        <v>A) कलात्मक अभिव्यक्ति, B) तकनीकी कौशल, C) दिनचर्या की लंबाई, D) लचीलापन</v>
      </c>
      <c r="I441" s="5" t="str">
        <f>IFERROR(__xludf.DUMMYFUNCTION("GOOGLETRANSLATE(D441, ""en"", ""hi"")"),"ए) कलात्मक अभिव्यक्ति")</f>
        <v>ए) कलात्मक अभिव्यक्ति</v>
      </c>
    </row>
    <row r="442" ht="22.5" customHeight="1">
      <c r="A442" s="2">
        <v>441.0</v>
      </c>
      <c r="B442" s="3" t="s">
        <v>11177</v>
      </c>
      <c r="C442" s="3" t="s">
        <v>11178</v>
      </c>
      <c r="D442" s="3" t="s">
        <v>11044</v>
      </c>
      <c r="F442" s="5" t="str">
        <f>IFERROR(__xludf.DUMMYFUNCTION("GOOGLETRANSLATE(A442, ""en"", ""hi"")"),"441")</f>
        <v>441</v>
      </c>
      <c r="G442" s="5" t="str">
        <f>IFERROR(__xludf.DUMMYFUNCTION("GOOGLETRANSLATE(B442, ""en"", ""hi"")"),"अभ्यास के दौरान, मज़बूत तकनीकी निष्पादन के बावजूद, एक एथलीट की दिनचर्या में तरलता का अभाव होता है। सुधार के लिए मुख्य ध्यान किस पर केंद्रित होना चाहिए?")</f>
        <v>अभ्यास के दौरान, मज़बूत तकनीकी निष्पादन के बावजूद, एक एथलीट की दिनचर्या में तरलता का अभाव होता है। सुधार के लिए मुख्य ध्यान किस पर केंद्रित होना चाहिए?</v>
      </c>
      <c r="H442" s="5" t="str">
        <f>IFERROR(__xludf.DUMMYFUNCTION("GOOGLETRANSLATE(C442, ""en"", ""hi"")"),"ए) तरलता, बी) तकनीकी निष्पादन, सी) अधिक जटिल चालें जोड़ना, डी) नियमित लंबाई")</f>
        <v>ए) तरलता, बी) तकनीकी निष्पादन, सी) अधिक जटिल चालें जोड़ना, डी) नियमित लंबाई</v>
      </c>
      <c r="I442" s="5" t="str">
        <f>IFERROR(__xludf.DUMMYFUNCTION("GOOGLETRANSLATE(D442, ""en"", ""hi"")"),"A) तरलता")</f>
        <v>A) तरलता</v>
      </c>
    </row>
    <row r="443" ht="22.5" customHeight="1">
      <c r="A443" s="2">
        <v>442.0</v>
      </c>
      <c r="B443" s="3" t="s">
        <v>11179</v>
      </c>
      <c r="C443" s="3" t="s">
        <v>11180</v>
      </c>
      <c r="D443" s="3" t="s">
        <v>11123</v>
      </c>
      <c r="F443" s="5" t="str">
        <f>IFERROR(__xludf.DUMMYFUNCTION("GOOGLETRANSLATE(A443, ""en"", ""hi"")"),"442")</f>
        <v>442</v>
      </c>
      <c r="G443" s="5" t="str">
        <f>IFERROR(__xludf.DUMMYFUNCTION("GOOGLETRANSLATE(B443, ""en"", ""hi"")"),"मलखम्ब एथलीट अपनी कलात्मक प्रतिभा के लिए जाने जाते हैं, लेकिन उन्हें अपनी ताकत पर काम करने की ज़रूरत है। उन्हें किस पर ध्यान केंद्रित करना चाहिए?")</f>
        <v>मलखम्ब एथलीट अपनी कलात्मक प्रतिभा के लिए जाने जाते हैं, लेकिन उन्हें अपनी ताकत पर काम करने की ज़रूरत है। उन्हें किस पर ध्यान केंद्रित करना चाहिए?</v>
      </c>
      <c r="H443" s="5" t="str">
        <f>IFERROR(__xludf.DUMMYFUNCTION("GOOGLETRANSLATE(C443, ""en"", ""hi"")"),"A) ताकत, B) कलात्मक स्वभाव, C) नियमित लंबाई, D) लचीलापन")</f>
        <v>A) ताकत, B) कलात्मक स्वभाव, C) नियमित लंबाई, D) लचीलापन</v>
      </c>
      <c r="I443" s="5" t="str">
        <f>IFERROR(__xludf.DUMMYFUNCTION("GOOGLETRANSLATE(D443, ""en"", ""hi"")"),"ए) ताकत")</f>
        <v>ए) ताकत</v>
      </c>
    </row>
    <row r="444" ht="22.5" customHeight="1">
      <c r="A444" s="2">
        <v>443.0</v>
      </c>
      <c r="B444" s="3" t="s">
        <v>11181</v>
      </c>
      <c r="C444" s="3" t="s">
        <v>11182</v>
      </c>
      <c r="D444" s="3" t="s">
        <v>11008</v>
      </c>
      <c r="F444" s="5" t="str">
        <f>IFERROR(__xludf.DUMMYFUNCTION("GOOGLETRANSLATE(A444, ""en"", ""hi"")"),"443")</f>
        <v>443</v>
      </c>
      <c r="G444" s="5" t="str">
        <f>IFERROR(__xludf.DUMMYFUNCTION("GOOGLETRANSLATE(B444, ""en"", ""hi"")"),"एक एथलीट की दिनचर्या में ग्रेस तो अच्छी होती है, लेकिन तकनीकी निष्पादन में सुधार की ज़रूरत होती है। उन्हें किस चीज़ में सुधार करना चाहिए?")</f>
        <v>एक एथलीट की दिनचर्या में ग्रेस तो अच्छी होती है, लेकिन तकनीकी निष्पादन में सुधार की ज़रूरत होती है। उन्हें किस चीज़ में सुधार करना चाहिए?</v>
      </c>
      <c r="H444" s="5" t="str">
        <f>IFERROR(__xludf.DUMMYFUNCTION("GOOGLETRANSLATE(C444, ""en"", ""hi"")"),"ए) तकनीकी निष्पादन, बी) अनुग्रह, सी) अधिक गतिशील पोज़ जोड़ना, डी) नियमित लंबाई")</f>
        <v>ए) तकनीकी निष्पादन, बी) अनुग्रह, सी) अधिक गतिशील पोज़ जोड़ना, डी) नियमित लंबाई</v>
      </c>
      <c r="I444" s="5" t="str">
        <f>IFERROR(__xludf.DUMMYFUNCTION("GOOGLETRANSLATE(D444, ""en"", ""hi"")"),"ए) तकनीकी निष्पादन")</f>
        <v>ए) तकनीकी निष्पादन</v>
      </c>
    </row>
    <row r="445" ht="22.5" customHeight="1">
      <c r="A445" s="2">
        <v>444.0</v>
      </c>
      <c r="B445" s="3" t="s">
        <v>11183</v>
      </c>
      <c r="C445" s="3" t="s">
        <v>11184</v>
      </c>
      <c r="D445" s="3" t="s">
        <v>11071</v>
      </c>
      <c r="F445" s="5" t="str">
        <f>IFERROR(__xludf.DUMMYFUNCTION("GOOGLETRANSLATE(A445, ""en"", ""hi"")"),"444")</f>
        <v>444</v>
      </c>
      <c r="G445" s="5" t="str">
        <f>IFERROR(__xludf.DUMMYFUNCTION("GOOGLETRANSLATE(B445, ""en"", ""hi"")"),"मलखंभ कलाकार को अपनी पूरी प्रस्तुति में एकसमान लय बनाए रखने में कठिनाई होती है। इस विषय पर ध्यान देने की मुख्य बात क्या है?")</f>
        <v>मलखंभ कलाकार को अपनी पूरी प्रस्तुति में एकसमान लय बनाए रखने में कठिनाई होती है। इस विषय पर ध्यान देने की मुख्य बात क्या है?</v>
      </c>
      <c r="H445" s="5" t="str">
        <f>IFERROR(__xludf.DUMMYFUNCTION("GOOGLETRANSLATE(C445, ""en"", ""hi"")"),"A) लगातार लय, B) बढ़ती कठिनाई, C) लचीलापन, D) नियमित लंबाई")</f>
        <v>A) लगातार लय, B) बढ़ती कठिनाई, C) लचीलापन, D) नियमित लंबाई</v>
      </c>
      <c r="I445" s="5" t="str">
        <f>IFERROR(__xludf.DUMMYFUNCTION("GOOGLETRANSLATE(D445, ""en"", ""hi"")"),"A) सुसंगत लय")</f>
        <v>A) सुसंगत लय</v>
      </c>
    </row>
    <row r="446" ht="22.5" customHeight="1">
      <c r="A446" s="2">
        <v>445.0</v>
      </c>
      <c r="B446" s="3" t="s">
        <v>11185</v>
      </c>
      <c r="C446" s="3" t="s">
        <v>11186</v>
      </c>
      <c r="D446" s="3" t="s">
        <v>10753</v>
      </c>
      <c r="F446" s="5" t="str">
        <f>IFERROR(__xludf.DUMMYFUNCTION("GOOGLETRANSLATE(A446, ""en"", ""hi"")"),"445")</f>
        <v>445</v>
      </c>
      <c r="G446" s="5" t="str">
        <f>IFERROR(__xludf.DUMMYFUNCTION("GOOGLETRANSLATE(B446, ""en"", ""hi"")"),"प्रदर्शन के दौरान, एक एथलीट अपनी तकनीकी सटीकता के लिए जाना जाता है, लेकिन उसे अपनी समग्र कलात्मक अभिव्यक्ति को निखारने की ज़रूरत होती है। उन्हें किस पर ध्यान केंद्रित करना चाहिए?")</f>
        <v>प्रदर्शन के दौरान, एक एथलीट अपनी तकनीकी सटीकता के लिए जाना जाता है, लेकिन उसे अपनी समग्र कलात्मक अभिव्यक्ति को निखारने की ज़रूरत होती है। उन्हें किस पर ध्यान केंद्रित करना चाहिए?</v>
      </c>
      <c r="H446" s="5" t="str">
        <f>IFERROR(__xludf.DUMMYFUNCTION("GOOGLETRANSLATE(C446, ""en"", ""hi"")"),"A) कलात्मक अभिव्यक्ति, B) तकनीकी परिशुद्धता, C) बढ़ती कठिनाई, D) नियमित लंबाई")</f>
        <v>A) कलात्मक अभिव्यक्ति, B) तकनीकी परिशुद्धता, C) बढ़ती कठिनाई, D) नियमित लंबाई</v>
      </c>
      <c r="I446" s="5" t="str">
        <f>IFERROR(__xludf.DUMMYFUNCTION("GOOGLETRANSLATE(D446, ""en"", ""hi"")"),"ए) कलात्मक अभिव्यक्ति")</f>
        <v>ए) कलात्मक अभिव्यक्ति</v>
      </c>
    </row>
    <row r="447" ht="22.5" customHeight="1">
      <c r="A447" s="2">
        <v>446.0</v>
      </c>
      <c r="B447" s="3" t="s">
        <v>11187</v>
      </c>
      <c r="C447" s="3" t="s">
        <v>11188</v>
      </c>
      <c r="D447" s="3" t="s">
        <v>11157</v>
      </c>
      <c r="F447" s="5" t="str">
        <f>IFERROR(__xludf.DUMMYFUNCTION("GOOGLETRANSLATE(A447, ""en"", ""hi"")"),"446")</f>
        <v>446</v>
      </c>
      <c r="G447" s="5" t="str">
        <f>IFERROR(__xludf.DUMMYFUNCTION("GOOGLETRANSLATE(B447, ""en"", ""hi"")"),"मलखम्ब एथलीट को सलाह दी जाती है कि वे अपनी दिनचर्या में समग्र सामंजस्य पर काम करें। उन्हें किस चीज़ में सुधार करने पर ध्यान केंद्रित करना चाहिए?")</f>
        <v>मलखम्ब एथलीट को सलाह दी जाती है कि वे अपनी दिनचर्या में समग्र सामंजस्य पर काम करें। उन्हें किस चीज़ में सुधार करने पर ध्यान केंद्रित करना चाहिए?</v>
      </c>
      <c r="H447" s="5" t="str">
        <f>IFERROR(__xludf.DUMMYFUNCTION("GOOGLETRANSLATE(C447, ""en"", ""hi"")"),"ए) समग्र सुसंगतता, बी) तकनीकी कौशल, सी) अधिक गतिशील पोज़ जोड़ना, डी) नियमित लंबाई")</f>
        <v>ए) समग्र सुसंगतता, बी) तकनीकी कौशल, सी) अधिक गतिशील पोज़ जोड़ना, डी) नियमित लंबाई</v>
      </c>
      <c r="I447" s="5" t="str">
        <f>IFERROR(__xludf.DUMMYFUNCTION("GOOGLETRANSLATE(D447, ""en"", ""hi"")"),"A) समग्र सुसंगतता")</f>
        <v>A) समग्र सुसंगतता</v>
      </c>
    </row>
    <row r="448" ht="22.5" customHeight="1">
      <c r="A448" s="2">
        <v>447.0</v>
      </c>
      <c r="B448" s="3" t="s">
        <v>11189</v>
      </c>
      <c r="C448" s="3" t="s">
        <v>11190</v>
      </c>
      <c r="D448" s="3" t="s">
        <v>11146</v>
      </c>
      <c r="F448" s="5" t="str">
        <f>IFERROR(__xludf.DUMMYFUNCTION("GOOGLETRANSLATE(A448, ""en"", ""hi"")"),"447")</f>
        <v>447</v>
      </c>
      <c r="G448" s="5" t="str">
        <f>IFERROR(__xludf.DUMMYFUNCTION("GOOGLETRANSLATE(B448, ""en"", ""hi"")"),"एक एथलीट का रूटीन कलात्मक रूप से प्रभावशाली होता है, लेकिन तकनीकी जटिलता का अभाव होता है। उन्हें किस पर ध्यान केंद्रित करना चाहिए?")</f>
        <v>एक एथलीट का रूटीन कलात्मक रूप से प्रभावशाली होता है, लेकिन तकनीकी जटिलता का अभाव होता है। उन्हें किस पर ध्यान केंद्रित करना चाहिए?</v>
      </c>
      <c r="H448" s="5" t="str">
        <f>IFERROR(__xludf.DUMMYFUNCTION("GOOGLETRANSLATE(C448, ""en"", ""hi"")"),"A) तकनीकी जटिलता, B) कलात्मक प्रस्तुति, C) दिनचर्या की लंबाई में वृद्धि, D) लचीलापन")</f>
        <v>A) तकनीकी जटिलता, B) कलात्मक प्रस्तुति, C) दिनचर्या की लंबाई में वृद्धि, D) लचीलापन</v>
      </c>
      <c r="I448" s="5" t="str">
        <f>IFERROR(__xludf.DUMMYFUNCTION("GOOGLETRANSLATE(D448, ""en"", ""hi"")"),"ए) तकनीकी जटिलता")</f>
        <v>ए) तकनीकी जटिलता</v>
      </c>
    </row>
    <row r="449" ht="22.5" customHeight="1">
      <c r="A449" s="2">
        <v>448.0</v>
      </c>
      <c r="B449" s="3" t="s">
        <v>11191</v>
      </c>
      <c r="C449" s="3" t="s">
        <v>11192</v>
      </c>
      <c r="D449" s="3" t="s">
        <v>10929</v>
      </c>
      <c r="F449" s="5" t="str">
        <f>IFERROR(__xludf.DUMMYFUNCTION("GOOGLETRANSLATE(A449, ""en"", ""hi"")"),"448")</f>
        <v>448</v>
      </c>
      <c r="G449" s="5" t="str">
        <f>IFERROR(__xludf.DUMMYFUNCTION("GOOGLETRANSLATE(B449, ""en"", ""hi"")"),"मलखंभ कलाकार की ताकत की तारीफ़ तो होती है, लेकिन उन्हें अपने अभ्यास में भावनात्मक जुड़ाव को बेहतर बनाने की ज़रूरत है। उन्हें किस पर काम करना चाहिए?")</f>
        <v>मलखंभ कलाकार की ताकत की तारीफ़ तो होती है, लेकिन उन्हें अपने अभ्यास में भावनात्मक जुड़ाव को बेहतर बनाने की ज़रूरत है। उन्हें किस पर काम करना चाहिए?</v>
      </c>
      <c r="H449" s="5" t="str">
        <f>IFERROR(__xludf.DUMMYFUNCTION("GOOGLETRANSLATE(C449, ""en"", ""hi"")"),"ए) भावनात्मक जुड़ाव, बी) ताकत, सी) अधिक जटिल चालें जोड़ना, डी) नियमित लंबाई")</f>
        <v>ए) भावनात्मक जुड़ाव, बी) ताकत, सी) अधिक जटिल चालें जोड़ना, डी) नियमित लंबाई</v>
      </c>
      <c r="I449" s="5" t="str">
        <f>IFERROR(__xludf.DUMMYFUNCTION("GOOGLETRANSLATE(D449, ""en"", ""hi"")"),"A) भावनात्मक जुड़ाव")</f>
        <v>A) भावनात्मक जुड़ाव</v>
      </c>
    </row>
    <row r="450" ht="22.5" customHeight="1">
      <c r="A450" s="2">
        <v>449.0</v>
      </c>
      <c r="B450" s="3" t="s">
        <v>11193</v>
      </c>
      <c r="C450" s="3" t="s">
        <v>11194</v>
      </c>
      <c r="D450" s="3" t="s">
        <v>10825</v>
      </c>
      <c r="F450" s="5" t="str">
        <f>IFERROR(__xludf.DUMMYFUNCTION("GOOGLETRANSLATE(A450, ""en"", ""hi"")"),"449")</f>
        <v>449</v>
      </c>
      <c r="G450" s="5" t="str">
        <f>IFERROR(__xludf.DUMMYFUNCTION("GOOGLETRANSLATE(B450, ""en"", ""hi"")"),"अभ्यास सत्र के दौरान, एक एथलीट की दिनचर्या में आसनों के बीच सहज बदलाव का अभाव होता है। ध्यान देने योग्य मुख्य क्षेत्र क्या है?")</f>
        <v>अभ्यास सत्र के दौरान, एक एथलीट की दिनचर्या में आसनों के बीच सहज बदलाव का अभाव होता है। ध्यान देने योग्य मुख्य क्षेत्र क्या है?</v>
      </c>
      <c r="H450" s="5" t="str">
        <f>IFERROR(__xludf.DUMMYFUNCTION("GOOGLETRANSLATE(C450, ""en"", ""hi"")"),"A) सहज संक्रमण, B) तकनीकी कौशल, C) लचीलापन, D) नियमित लंबाई")</f>
        <v>A) सहज संक्रमण, B) तकनीकी कौशल, C) लचीलापन, D) नियमित लंबाई</v>
      </c>
      <c r="I450" s="5" t="str">
        <f>IFERROR(__xludf.DUMMYFUNCTION("GOOGLETRANSLATE(D450, ""en"", ""hi"")"),"A) सहज संक्रमण")</f>
        <v>A) सहज संक्रमण</v>
      </c>
    </row>
    <row r="451" ht="22.5" customHeight="1">
      <c r="A451" s="2">
        <v>450.0</v>
      </c>
      <c r="B451" s="3" t="s">
        <v>11195</v>
      </c>
      <c r="C451" s="3" t="s">
        <v>11171</v>
      </c>
      <c r="D451" s="3" t="s">
        <v>11172</v>
      </c>
      <c r="F451" s="5" t="str">
        <f>IFERROR(__xludf.DUMMYFUNCTION("GOOGLETRANSLATE(A451, ""en"", ""hi"")"),"450")</f>
        <v>450</v>
      </c>
      <c r="G451" s="5" t="str">
        <f>IFERROR(__xludf.DUMMYFUNCTION("GOOGLETRANSLATE(B451, ""en"", ""hi"")"),"मलखम्ब एथलीट अपने लचीलेपन के लिए जाने जाते हैं, लेकिन उन्हें अपनी समग्र दिनचर्या में सुधार करने की ज़रूरत है। उन्हें किस पर ध्यान केंद्रित करना चाहिए?")</f>
        <v>मलखम्ब एथलीट अपने लचीलेपन के लिए जाने जाते हैं, लेकिन उन्हें अपनी समग्र दिनचर्या में सुधार करने की ज़रूरत है। उन्हें किस पर ध्यान केंद्रित करना चाहिए?</v>
      </c>
      <c r="H451" s="5" t="str">
        <f>IFERROR(__xludf.DUMMYFUNCTION("GOOGLETRANSLATE(C451, ""en"", ""hi"")"),"ए) नियमित एकीकरण, बी) लचीलापन, सी) तकनीक, डी) अधिक गतिशील चालें जोड़ना")</f>
        <v>ए) नियमित एकीकरण, बी) लचीलापन, सी) तकनीक, डी) अधिक गतिशील चालें जोड़ना</v>
      </c>
      <c r="I451" s="5" t="str">
        <f>IFERROR(__xludf.DUMMYFUNCTION("GOOGLETRANSLATE(D451, ""en"", ""hi"")"),"A) नियमित एकीकरण")</f>
        <v>A) नियमित एकीकरण</v>
      </c>
    </row>
    <row r="452" ht="22.5" customHeight="1">
      <c r="A452" s="2">
        <v>451.0</v>
      </c>
      <c r="B452" s="3" t="s">
        <v>11196</v>
      </c>
      <c r="C452" s="3" t="s">
        <v>11197</v>
      </c>
      <c r="D452" s="3" t="s">
        <v>11053</v>
      </c>
      <c r="F452" s="5" t="str">
        <f>IFERROR(__xludf.DUMMYFUNCTION("GOOGLETRANSLATE(A452, ""en"", ""hi"")"),"451")</f>
        <v>451</v>
      </c>
      <c r="G452" s="5" t="str">
        <f>IFERROR(__xludf.DUMMYFUNCTION("GOOGLETRANSLATE(B452, ""en"", ""hi"")"),"एक एथलीट का प्रदर्शन भावनात्मक जुड़ाव के मामले में तो मज़बूत होता है, लेकिन तकनीकी सटीकता का अभाव होता है। सुधार के लिए मुख्य ध्यान किस पर केंद्रित होना चाहिए?")</f>
        <v>एक एथलीट का प्रदर्शन भावनात्मक जुड़ाव के मामले में तो मज़बूत होता है, लेकिन तकनीकी सटीकता का अभाव होता है। सुधार के लिए मुख्य ध्यान किस पर केंद्रित होना चाहिए?</v>
      </c>
      <c r="H452" s="5" t="str">
        <f>IFERROR(__xludf.DUMMYFUNCTION("GOOGLETRANSLATE(C452, ""en"", ""hi"")"),"A) तकनीकी परिशुद्धता, B) भावनात्मक जुड़ाव, C) दिनचर्या की लंबाई, D) लचीलापन")</f>
        <v>A) तकनीकी परिशुद्धता, B) भावनात्मक जुड़ाव, C) दिनचर्या की लंबाई, D) लचीलापन</v>
      </c>
      <c r="I452" s="5" t="str">
        <f>IFERROR(__xludf.DUMMYFUNCTION("GOOGLETRANSLATE(D452, ""en"", ""hi"")"),"ए) तकनीकी परिशुद्धता")</f>
        <v>ए) तकनीकी परिशुद्धता</v>
      </c>
    </row>
    <row r="453" ht="22.5" customHeight="1">
      <c r="A453" s="2">
        <v>452.0</v>
      </c>
      <c r="B453" s="3" t="s">
        <v>11198</v>
      </c>
      <c r="C453" s="3" t="s">
        <v>11199</v>
      </c>
      <c r="D453" s="3" t="s">
        <v>10875</v>
      </c>
      <c r="F453" s="5" t="str">
        <f>IFERROR(__xludf.DUMMYFUNCTION("GOOGLETRANSLATE(A453, ""en"", ""hi"")"),"452")</f>
        <v>452</v>
      </c>
      <c r="G453" s="5" t="str">
        <f>IFERROR(__xludf.DUMMYFUNCTION("GOOGLETRANSLATE(B453, ""en"", ""hi"")"),"मलखंभ कलाकार को सलाह दी जाती है कि वे अपने अभ्यास की समग्र तरलता बढ़ाने पर ध्यान केंद्रित करें। उन्हें किस चीज़ में सुधार करने पर ध्यान केंद्रित करना चाहिए?")</f>
        <v>मलखंभ कलाकार को सलाह दी जाती है कि वे अपने अभ्यास की समग्र तरलता बढ़ाने पर ध्यान केंद्रित करें। उन्हें किस चीज़ में सुधार करने पर ध्यान केंद्रित करना चाहिए?</v>
      </c>
      <c r="H453" s="5" t="str">
        <f>IFERROR(__xludf.DUMMYFUNCTION("GOOGLETRANSLATE(C453, ""en"", ""hi"")"),"A) दिनचर्या की तरलता, B) तकनीकी कौशल, C) बढ़ती कठिनाई, D) कलात्मक प्रस्तुति")</f>
        <v>A) दिनचर्या की तरलता, B) तकनीकी कौशल, C) बढ़ती कठिनाई, D) कलात्मक प्रस्तुति</v>
      </c>
      <c r="I453" s="5" t="str">
        <f>IFERROR(__xludf.DUMMYFUNCTION("GOOGLETRANSLATE(D453, ""en"", ""hi"")"),"A) दिनचर्या की तरलता")</f>
        <v>A) दिनचर्या की तरलता</v>
      </c>
    </row>
    <row r="454" ht="22.5" customHeight="1">
      <c r="A454" s="2">
        <v>453.0</v>
      </c>
      <c r="B454" s="3" t="s">
        <v>11200</v>
      </c>
      <c r="C454" s="3" t="s">
        <v>11201</v>
      </c>
      <c r="D454" s="3" t="s">
        <v>11123</v>
      </c>
      <c r="F454" s="5" t="str">
        <f>IFERROR(__xludf.DUMMYFUNCTION("GOOGLETRANSLATE(A454, ""en"", ""hi"")"),"453")</f>
        <v>453</v>
      </c>
      <c r="G454" s="5" t="str">
        <f>IFERROR(__xludf.DUMMYFUNCTION("GOOGLETRANSLATE(B454, ""en"", ""hi"")"),"प्रदर्शन के दौरान, एक एथलीट की सुंदरता की प्रशंसा की जाती है, लेकिन उसे अपनी ताकत पर काम करने की ज़रूरत होती है। उन्हें किस पर ध्यान केंद्रित करना चाहिए?")</f>
        <v>प्रदर्शन के दौरान, एक एथलीट की सुंदरता की प्रशंसा की जाती है, लेकिन उसे अपनी ताकत पर काम करने की ज़रूरत होती है। उन्हें किस पर ध्यान केंद्रित करना चाहिए?</v>
      </c>
      <c r="H454" s="5" t="str">
        <f>IFERROR(__xludf.DUMMYFUNCTION("GOOGLETRANSLATE(C454, ""en"", ""hi"")"),"A) शक्ति, B) अनुग्रह, C) नियमित लंबाई, D) लचीलापन")</f>
        <v>A) शक्ति, B) अनुग्रह, C) नियमित लंबाई, D) लचीलापन</v>
      </c>
      <c r="I454" s="5" t="str">
        <f>IFERROR(__xludf.DUMMYFUNCTION("GOOGLETRANSLATE(D454, ""en"", ""hi"")"),"ए) ताकत")</f>
        <v>ए) ताकत</v>
      </c>
    </row>
    <row r="455" ht="22.5" customHeight="1">
      <c r="A455" s="2">
        <v>454.0</v>
      </c>
      <c r="B455" s="3" t="s">
        <v>11202</v>
      </c>
      <c r="C455" s="3" t="s">
        <v>11203</v>
      </c>
      <c r="D455" s="3" t="s">
        <v>10753</v>
      </c>
      <c r="F455" s="5" t="str">
        <f>IFERROR(__xludf.DUMMYFUNCTION("GOOGLETRANSLATE(A455, ""en"", ""hi"")"),"454")</f>
        <v>454</v>
      </c>
      <c r="G455" s="5" t="str">
        <f>IFERROR(__xludf.DUMMYFUNCTION("GOOGLETRANSLATE(B455, ""en"", ""hi"")"),"एक एथलीट का रूटीन तकनीकी रूप से प्रभावशाली होता है, लेकिन कलात्मक अभिव्यक्ति में सुधार की आवश्यकता होती है। उन्हें किस पर काम करना चाहिए?")</f>
        <v>एक एथलीट का रूटीन तकनीकी रूप से प्रभावशाली होता है, लेकिन कलात्मक अभिव्यक्ति में सुधार की आवश्यकता होती है। उन्हें किस पर काम करना चाहिए?</v>
      </c>
      <c r="H455" s="5" t="str">
        <f>IFERROR(__xludf.DUMMYFUNCTION("GOOGLETRANSLATE(C455, ""en"", ""hi"")"),"A) कलात्मक अभिव्यक्ति, B) तकनीकी निष्पादन, C) बढ़ती कठिनाई, D) लचीलापन")</f>
        <v>A) कलात्मक अभिव्यक्ति, B) तकनीकी निष्पादन, C) बढ़ती कठिनाई, D) लचीलापन</v>
      </c>
      <c r="I455" s="5" t="str">
        <f>IFERROR(__xludf.DUMMYFUNCTION("GOOGLETRANSLATE(D455, ""en"", ""hi"")"),"ए) कलात्मक अभिव्यक्ति")</f>
        <v>ए) कलात्मक अभिव्यक्ति</v>
      </c>
    </row>
    <row r="456" ht="22.5" customHeight="1">
      <c r="A456" s="2">
        <v>455.0</v>
      </c>
      <c r="B456" s="3" t="s">
        <v>11204</v>
      </c>
      <c r="C456" s="3" t="s">
        <v>11205</v>
      </c>
      <c r="D456" s="3" t="s">
        <v>11027</v>
      </c>
      <c r="F456" s="5" t="str">
        <f>IFERROR(__xludf.DUMMYFUNCTION("GOOGLETRANSLATE(A456, ""en"", ""hi"")"),"455")</f>
        <v>455</v>
      </c>
      <c r="G456" s="5" t="str">
        <f>IFERROR(__xludf.DUMMYFUNCTION("GOOGLETRANSLATE(B456, ""en"", ""hi"")"),"मलखम्ब कलाकार अपनी मज़बूत तकनीकी कुशलता के लिए जाने जाते हैं, लेकिन उन्हें निरंतर ऊर्जा बनाए रखने में कठिनाई होती है। उन्हें किस पर ध्यान केंद्रित करना चाहिए?")</f>
        <v>मलखम्ब कलाकार अपनी मज़बूत तकनीकी कुशलता के लिए जाने जाते हैं, लेकिन उन्हें निरंतर ऊर्जा बनाए रखने में कठिनाई होती है। उन्हें किस पर ध्यान केंद्रित करना चाहिए?</v>
      </c>
      <c r="H456" s="5" t="str">
        <f>IFERROR(__xludf.DUMMYFUNCTION("GOOGLETRANSLATE(C456, ""en"", ""hi"")"),"ए) लगातार ऊर्जा, बी) तकनीकी कौशल, सी) अधिक गतिशील पोज़ जोड़ना, डी) नियमित लंबाई")</f>
        <v>ए) लगातार ऊर्जा, बी) तकनीकी कौशल, सी) अधिक गतिशील पोज़ जोड़ना, डी) नियमित लंबाई</v>
      </c>
      <c r="I456" s="5" t="str">
        <f>IFERROR(__xludf.DUMMYFUNCTION("GOOGLETRANSLATE(D456, ""en"", ""hi"")"),"A) लगातार ऊर्जा")</f>
        <v>A) लगातार ऊर्जा</v>
      </c>
    </row>
    <row r="457" ht="22.5" customHeight="1">
      <c r="A457" s="2">
        <v>456.0</v>
      </c>
      <c r="B457" s="3" t="s">
        <v>11206</v>
      </c>
      <c r="C457" s="3" t="s">
        <v>11178</v>
      </c>
      <c r="D457" s="3" t="s">
        <v>11044</v>
      </c>
      <c r="F457" s="5" t="str">
        <f>IFERROR(__xludf.DUMMYFUNCTION("GOOGLETRANSLATE(A457, ""en"", ""hi"")"),"456")</f>
        <v>456</v>
      </c>
      <c r="G457" s="5" t="str">
        <f>IFERROR(__xludf.DUMMYFUNCTION("GOOGLETRANSLATE(B457, ""en"", ""hi"")"),"अभ्यास सत्र के दौरान, मज़बूत तकनीकी निष्पादन के बावजूद, एक एथलीट की दिनचर्या में तरलता का अभाव होता है। सुधार की मुख्य आवश्यकता क्या है?")</f>
        <v>अभ्यास सत्र के दौरान, मज़बूत तकनीकी निष्पादन के बावजूद, एक एथलीट की दिनचर्या में तरलता का अभाव होता है। सुधार की मुख्य आवश्यकता क्या है?</v>
      </c>
      <c r="H457" s="5" t="str">
        <f>IFERROR(__xludf.DUMMYFUNCTION("GOOGLETRANSLATE(C457, ""en"", ""hi"")"),"ए) तरलता, बी) तकनीकी निष्पादन, सी) अधिक जटिल चालें जोड़ना, डी) नियमित लंबाई")</f>
        <v>ए) तरलता, बी) तकनीकी निष्पादन, सी) अधिक जटिल चालें जोड़ना, डी) नियमित लंबाई</v>
      </c>
      <c r="I457" s="5" t="str">
        <f>IFERROR(__xludf.DUMMYFUNCTION("GOOGLETRANSLATE(D457, ""en"", ""hi"")"),"A) तरलता")</f>
        <v>A) तरलता</v>
      </c>
    </row>
    <row r="458" ht="22.5" customHeight="1">
      <c r="A458" s="2">
        <v>457.0</v>
      </c>
      <c r="B458" s="3" t="s">
        <v>11207</v>
      </c>
      <c r="C458" s="3" t="s">
        <v>11180</v>
      </c>
      <c r="D458" s="3" t="s">
        <v>11123</v>
      </c>
      <c r="F458" s="5" t="str">
        <f>IFERROR(__xludf.DUMMYFUNCTION("GOOGLETRANSLATE(A458, ""en"", ""hi"")"),"457")</f>
        <v>457</v>
      </c>
      <c r="G458" s="5" t="str">
        <f>IFERROR(__xludf.DUMMYFUNCTION("GOOGLETRANSLATE(B458, ""en"", ""hi"")"),"मलखम्ब एथलीट की कलात्मक प्रतिभा की प्रशंसा की जाती है, लेकिन उन्हें अपनी ताकत पर काम करने की ज़रूरत है। उन्हें किस चीज़ में सुधार करने पर ध्यान देना चाहिए?")</f>
        <v>मलखम्ब एथलीट की कलात्मक प्रतिभा की प्रशंसा की जाती है, लेकिन उन्हें अपनी ताकत पर काम करने की ज़रूरत है। उन्हें किस चीज़ में सुधार करने पर ध्यान देना चाहिए?</v>
      </c>
      <c r="H458" s="5" t="str">
        <f>IFERROR(__xludf.DUMMYFUNCTION("GOOGLETRANSLATE(C458, ""en"", ""hi"")"),"A) ताकत, B) कलात्मक स्वभाव, C) नियमित लंबाई, D) लचीलापन")</f>
        <v>A) ताकत, B) कलात्मक स्वभाव, C) नियमित लंबाई, D) लचीलापन</v>
      </c>
      <c r="I458" s="5" t="str">
        <f>IFERROR(__xludf.DUMMYFUNCTION("GOOGLETRANSLATE(D458, ""en"", ""hi"")"),"ए) ताकत")</f>
        <v>ए) ताकत</v>
      </c>
    </row>
    <row r="459" ht="22.5" customHeight="1">
      <c r="A459" s="2">
        <v>458.0</v>
      </c>
      <c r="B459" s="3" t="s">
        <v>11208</v>
      </c>
      <c r="C459" s="3" t="s">
        <v>11209</v>
      </c>
      <c r="D459" s="3" t="s">
        <v>11053</v>
      </c>
      <c r="F459" s="5" t="str">
        <f>IFERROR(__xludf.DUMMYFUNCTION("GOOGLETRANSLATE(A459, ""en"", ""hi"")"),"458")</f>
        <v>458</v>
      </c>
      <c r="G459" s="5" t="str">
        <f>IFERROR(__xludf.DUMMYFUNCTION("GOOGLETRANSLATE(B459, ""en"", ""hi"")"),"एक एथलीट की दिनचर्या में सुंदरता तो अच्छी होती है, लेकिन तकनीकी सटीकता का अभाव होता है। ध्यान देने योग्य मुख्य क्षेत्र क्या है?")</f>
        <v>एक एथलीट की दिनचर्या में सुंदरता तो अच्छी होती है, लेकिन तकनीकी सटीकता का अभाव होता है। ध्यान देने योग्य मुख्य क्षेत्र क्या है?</v>
      </c>
      <c r="H459" s="5" t="str">
        <f>IFERROR(__xludf.DUMMYFUNCTION("GOOGLETRANSLATE(C459, ""en"", ""hi"")"),"A) तकनीकी परिशुद्धता, B) अनुग्रह, C) बढ़ती कठिनाई, D) नियमित लंबाई")</f>
        <v>A) तकनीकी परिशुद्धता, B) अनुग्रह, C) बढ़ती कठिनाई, D) नियमित लंबाई</v>
      </c>
      <c r="I459" s="5" t="str">
        <f>IFERROR(__xludf.DUMMYFUNCTION("GOOGLETRANSLATE(D459, ""en"", ""hi"")"),"ए) तकनीकी परिशुद्धता")</f>
        <v>ए) तकनीकी परिशुद्धता</v>
      </c>
    </row>
    <row r="460" ht="22.5" customHeight="1">
      <c r="A460" s="2">
        <v>459.0</v>
      </c>
      <c r="B460" s="3" t="s">
        <v>11210</v>
      </c>
      <c r="C460" s="3" t="s">
        <v>11211</v>
      </c>
      <c r="D460" s="3" t="s">
        <v>10825</v>
      </c>
      <c r="F460" s="5" t="str">
        <f>IFERROR(__xludf.DUMMYFUNCTION("GOOGLETRANSLATE(A460, ""en"", ""hi"")"),"459")</f>
        <v>459</v>
      </c>
      <c r="G460" s="5" t="str">
        <f>IFERROR(__xludf.DUMMYFUNCTION("GOOGLETRANSLATE(B460, ""en"", ""hi"")"),"मलखम्ब कलाकार को विभिन्न नियमित खंडों के बीच सहजता से बदलाव बनाए रखने में कठिनाई होती है। उन्हें किस सुधार पर ध्यान केंद्रित करना चाहिए?")</f>
        <v>मलखम्ब कलाकार को विभिन्न नियमित खंडों के बीच सहजता से बदलाव बनाए रखने में कठिनाई होती है। उन्हें किस सुधार पर ध्यान केंद्रित करना चाहिए?</v>
      </c>
      <c r="H460" s="5" t="str">
        <f>IFERROR(__xludf.DUMMYFUNCTION("GOOGLETRANSLATE(C460, ""en"", ""hi"")"),"A) सहज संक्रमण, B) नियमित लंबाई, C) स्थैतिक पकड़, D) लचीलापन")</f>
        <v>A) सहज संक्रमण, B) नियमित लंबाई, C) स्थैतिक पकड़, D) लचीलापन</v>
      </c>
      <c r="I460" s="5" t="str">
        <f>IFERROR(__xludf.DUMMYFUNCTION("GOOGLETRANSLATE(D460, ""en"", ""hi"")"),"A) सहज संक्रमण")</f>
        <v>A) सहज संक्रमण</v>
      </c>
    </row>
    <row r="461" ht="22.5" customHeight="1">
      <c r="A461" s="2">
        <v>460.0</v>
      </c>
      <c r="B461" s="3" t="s">
        <v>11212</v>
      </c>
      <c r="C461" s="3" t="s">
        <v>11213</v>
      </c>
      <c r="D461" s="3" t="s">
        <v>11053</v>
      </c>
      <c r="F461" s="5" t="str">
        <f>IFERROR(__xludf.DUMMYFUNCTION("GOOGLETRANSLATE(A461, ""en"", ""hi"")"),"460")</f>
        <v>460</v>
      </c>
      <c r="G461" s="5" t="str">
        <f>IFERROR(__xludf.DUMMYFUNCTION("GOOGLETRANSLATE(B461, ""en"", ""hi"")"),"प्रदर्शन के दौरान, एक एथलीट की कलात्मक अभिव्यक्ति की प्रशंसा की जाती है, लेकिन उसे अपनी तकनीकी सटीकता को निखारने की ज़रूरत होती है। उन्हें किस पर काम करना चाहिए?")</f>
        <v>प्रदर्शन के दौरान, एक एथलीट की कलात्मक अभिव्यक्ति की प्रशंसा की जाती है, लेकिन उसे अपनी तकनीकी सटीकता को निखारने की ज़रूरत होती है। उन्हें किस पर काम करना चाहिए?</v>
      </c>
      <c r="H461" s="5" t="str">
        <f>IFERROR(__xludf.DUMMYFUNCTION("GOOGLETRANSLATE(C461, ""en"", ""hi"")"),"A) तकनीकी परिशुद्धता, B) कलात्मक अभिव्यक्ति, C) बढ़ती कठिनाई, D) नियमित लंबाई")</f>
        <v>A) तकनीकी परिशुद्धता, B) कलात्मक अभिव्यक्ति, C) बढ़ती कठिनाई, D) नियमित लंबाई</v>
      </c>
      <c r="I461" s="5" t="str">
        <f>IFERROR(__xludf.DUMMYFUNCTION("GOOGLETRANSLATE(D461, ""en"", ""hi"")"),"ए) तकनीकी परिशुद्धता")</f>
        <v>ए) तकनीकी परिशुद्धता</v>
      </c>
    </row>
    <row r="462" ht="22.5" customHeight="1">
      <c r="A462" s="2">
        <v>461.0</v>
      </c>
      <c r="B462" s="3" t="s">
        <v>11214</v>
      </c>
      <c r="C462" s="3" t="s">
        <v>11215</v>
      </c>
      <c r="D462" s="3" t="s">
        <v>11157</v>
      </c>
      <c r="F462" s="5" t="str">
        <f>IFERROR(__xludf.DUMMYFUNCTION("GOOGLETRANSLATE(A462, ""en"", ""hi"")"),"461")</f>
        <v>461</v>
      </c>
      <c r="G462" s="5" t="str">
        <f>IFERROR(__xludf.DUMMYFUNCTION("GOOGLETRANSLATE(B462, ""en"", ""hi"")"),"मलखम्ब कलाकार अपनी तकनीकी सटीकता के लिए जाने जाते हैं, लेकिन उन्हें अपने अभ्यास की समग्र सुसंगतता में सुधार करने की आवश्यकता है। उन्हें किस पर ध्यान केंद्रित करना चाहिए?")</f>
        <v>मलखम्ब कलाकार अपनी तकनीकी सटीकता के लिए जाने जाते हैं, लेकिन उन्हें अपने अभ्यास की समग्र सुसंगतता में सुधार करने की आवश्यकता है। उन्हें किस पर ध्यान केंद्रित करना चाहिए?</v>
      </c>
      <c r="H462" s="5" t="str">
        <f>IFERROR(__xludf.DUMMYFUNCTION("GOOGLETRANSLATE(C462, ""en"", ""hi"")"),"ए) समग्र सुसंगतता, बी) तकनीकी परिशुद्धता, सी) अधिक गतिशील पोज़ जोड़ना, डी) नियमित लंबाई")</f>
        <v>ए) समग्र सुसंगतता, बी) तकनीकी परिशुद्धता, सी) अधिक गतिशील पोज़ जोड़ना, डी) नियमित लंबाई</v>
      </c>
      <c r="I462" s="5" t="str">
        <f>IFERROR(__xludf.DUMMYFUNCTION("GOOGLETRANSLATE(D462, ""en"", ""hi"")"),"A) समग्र सुसंगतता")</f>
        <v>A) समग्र सुसंगतता</v>
      </c>
    </row>
    <row r="463" ht="22.5" customHeight="1">
      <c r="A463" s="2">
        <v>462.0</v>
      </c>
      <c r="B463" s="3" t="s">
        <v>11216</v>
      </c>
      <c r="C463" s="3" t="s">
        <v>11145</v>
      </c>
      <c r="D463" s="3" t="s">
        <v>11146</v>
      </c>
      <c r="F463" s="5" t="str">
        <f>IFERROR(__xludf.DUMMYFUNCTION("GOOGLETRANSLATE(A463, ""en"", ""hi"")"),"462")</f>
        <v>462</v>
      </c>
      <c r="G463" s="5" t="str">
        <f>IFERROR(__xludf.DUMMYFUNCTION("GOOGLETRANSLATE(B463, ""en"", ""hi"")"),"एक एथलीट की दिनचर्या भावनात्मक जुड़ाव के मामले में प्रभावशाली होती है, लेकिन तकनीकी जटिलता में सुधार की आवश्यकता होती है। उन्हें किस पर ध्यान केंद्रित करना चाहिए?")</f>
        <v>एक एथलीट की दिनचर्या भावनात्मक जुड़ाव के मामले में प्रभावशाली होती है, लेकिन तकनीकी जटिलता में सुधार की आवश्यकता होती है। उन्हें किस पर ध्यान केंद्रित करना चाहिए?</v>
      </c>
      <c r="H463" s="5" t="str">
        <f>IFERROR(__xludf.DUMMYFUNCTION("GOOGLETRANSLATE(C463, ""en"", ""hi"")"),"ए) तकनीकी जटिलता, बी) भावनात्मक जुड़ाव, सी) अधिक गतिशील पोज़ जोड़ना, डी) नियमित लंबाई")</f>
        <v>ए) तकनीकी जटिलता, बी) भावनात्मक जुड़ाव, सी) अधिक गतिशील पोज़ जोड़ना, डी) नियमित लंबाई</v>
      </c>
      <c r="I463" s="5" t="str">
        <f>IFERROR(__xludf.DUMMYFUNCTION("GOOGLETRANSLATE(D463, ""en"", ""hi"")"),"ए) तकनीकी जटिलता")</f>
        <v>ए) तकनीकी जटिलता</v>
      </c>
    </row>
    <row r="464" ht="22.5" customHeight="1">
      <c r="A464" s="2">
        <v>463.0</v>
      </c>
      <c r="B464" s="3" t="s">
        <v>11217</v>
      </c>
      <c r="C464" s="3" t="s">
        <v>11218</v>
      </c>
      <c r="D464" s="3" t="s">
        <v>11162</v>
      </c>
      <c r="F464" s="5" t="str">
        <f>IFERROR(__xludf.DUMMYFUNCTION("GOOGLETRANSLATE(A464, ""en"", ""hi"")"),"463")</f>
        <v>463</v>
      </c>
      <c r="G464" s="5" t="str">
        <f>IFERROR(__xludf.DUMMYFUNCTION("GOOGLETRANSLATE(B464, ""en"", ""hi"")"),"मलखंभ कलाकार की ताकत की तो तारीफ़ की जाती है, लेकिन उन्हें अपनी कला में निखार लाने की ज़रूरत है। उन्हें किस पर काम करना चाहिए?")</f>
        <v>मलखंभ कलाकार की ताकत की तो तारीफ़ की जाती है, लेकिन उन्हें अपनी कला में निखार लाने की ज़रूरत है। उन्हें किस पर काम करना चाहिए?</v>
      </c>
      <c r="H464" s="5" t="str">
        <f>IFERROR(__xludf.DUMMYFUNCTION("GOOGLETRANSLATE(C464, ""en"", ""hi"")"),"ए) कलात्मक स्वभाव, बी) ताकत, सी) अधिक जटिल चालें जोड़ना, डी) नियमित लंबाई")</f>
        <v>ए) कलात्मक स्वभाव, बी) ताकत, सी) अधिक जटिल चालें जोड़ना, डी) नियमित लंबाई</v>
      </c>
      <c r="I464" s="5" t="str">
        <f>IFERROR(__xludf.DUMMYFUNCTION("GOOGLETRANSLATE(D464, ""en"", ""hi"")"),"A) कलात्मक प्रतिभा")</f>
        <v>A) कलात्मक प्रतिभा</v>
      </c>
    </row>
    <row r="465" ht="22.5" customHeight="1">
      <c r="A465" s="2">
        <v>464.0</v>
      </c>
      <c r="B465" s="3" t="s">
        <v>11177</v>
      </c>
      <c r="C465" s="3" t="s">
        <v>11178</v>
      </c>
      <c r="D465" s="3" t="s">
        <v>11044</v>
      </c>
      <c r="F465" s="5" t="str">
        <f>IFERROR(__xludf.DUMMYFUNCTION("GOOGLETRANSLATE(A465, ""en"", ""hi"")"),"464")</f>
        <v>464</v>
      </c>
      <c r="G465" s="5" t="str">
        <f>IFERROR(__xludf.DUMMYFUNCTION("GOOGLETRANSLATE(B465, ""en"", ""hi"")"),"अभ्यास के दौरान, मज़बूत तकनीकी निष्पादन के बावजूद, एक एथलीट की दिनचर्या में तरलता का अभाव होता है। सुधार के लिए मुख्य ध्यान किस पर केंद्रित होना चाहिए?")</f>
        <v>अभ्यास के दौरान, मज़बूत तकनीकी निष्पादन के बावजूद, एक एथलीट की दिनचर्या में तरलता का अभाव होता है। सुधार के लिए मुख्य ध्यान किस पर केंद्रित होना चाहिए?</v>
      </c>
      <c r="H465" s="5" t="str">
        <f>IFERROR(__xludf.DUMMYFUNCTION("GOOGLETRANSLATE(C465, ""en"", ""hi"")"),"ए) तरलता, बी) तकनीकी निष्पादन, सी) अधिक जटिल चालें जोड़ना, डी) नियमित लंबाई")</f>
        <v>ए) तरलता, बी) तकनीकी निष्पादन, सी) अधिक जटिल चालें जोड़ना, डी) नियमित लंबाई</v>
      </c>
      <c r="I465" s="5" t="str">
        <f>IFERROR(__xludf.DUMMYFUNCTION("GOOGLETRANSLATE(D465, ""en"", ""hi"")"),"A) तरलता")</f>
        <v>A) तरलता</v>
      </c>
    </row>
    <row r="466" ht="22.5" customHeight="1">
      <c r="A466" s="2">
        <v>465.0</v>
      </c>
      <c r="B466" s="3" t="s">
        <v>11219</v>
      </c>
      <c r="C466" s="3" t="s">
        <v>11201</v>
      </c>
      <c r="D466" s="3" t="s">
        <v>11123</v>
      </c>
      <c r="F466" s="5" t="str">
        <f>IFERROR(__xludf.DUMMYFUNCTION("GOOGLETRANSLATE(A466, ""en"", ""hi"")"),"465")</f>
        <v>465</v>
      </c>
      <c r="G466" s="5" t="str">
        <f>IFERROR(__xludf.DUMMYFUNCTION("GOOGLETRANSLATE(B466, ""en"", ""hi"")"),"मलखम्ब एथलीट अपनी शान के लिए जाने जाते हैं, लेकिन उन्हें अपनी ताकत पर भी काम करने की ज़रूरत है। उन्हें किस चीज़ में सुधार करने पर ध्यान देना चाहिए?")</f>
        <v>मलखम्ब एथलीट अपनी शान के लिए जाने जाते हैं, लेकिन उन्हें अपनी ताकत पर भी काम करने की ज़रूरत है। उन्हें किस चीज़ में सुधार करने पर ध्यान देना चाहिए?</v>
      </c>
      <c r="H466" s="5" t="str">
        <f>IFERROR(__xludf.DUMMYFUNCTION("GOOGLETRANSLATE(C466, ""en"", ""hi"")"),"A) शक्ति, B) अनुग्रह, C) नियमित लंबाई, D) लचीलापन")</f>
        <v>A) शक्ति, B) अनुग्रह, C) नियमित लंबाई, D) लचीलापन</v>
      </c>
      <c r="I466" s="5" t="str">
        <f>IFERROR(__xludf.DUMMYFUNCTION("GOOGLETRANSLATE(D466, ""en"", ""hi"")"),"ए) ताकत")</f>
        <v>ए) ताकत</v>
      </c>
    </row>
    <row r="467" ht="22.5" customHeight="1">
      <c r="A467" s="2">
        <v>466.0</v>
      </c>
      <c r="B467" s="3" t="s">
        <v>11220</v>
      </c>
      <c r="C467" s="3" t="s">
        <v>11221</v>
      </c>
      <c r="D467" s="3" t="s">
        <v>10929</v>
      </c>
      <c r="F467" s="5" t="str">
        <f>IFERROR(__xludf.DUMMYFUNCTION("GOOGLETRANSLATE(A467, ""en"", ""hi"")"),"466")</f>
        <v>466</v>
      </c>
      <c r="G467" s="5" t="str">
        <f>IFERROR(__xludf.DUMMYFUNCTION("GOOGLETRANSLATE(B467, ""en"", ""hi"")"),"एक एथलीट की दिनचर्या तकनीकी रूप से तो मज़बूत होती है, लेकिन भावनात्मक जुड़ाव में सुधार की ज़रूरत होती है। सुधार के लिए मुख्य ध्यान किस पर केंद्रित होना चाहिए?")</f>
        <v>एक एथलीट की दिनचर्या तकनीकी रूप से तो मज़बूत होती है, लेकिन भावनात्मक जुड़ाव में सुधार की ज़रूरत होती है। सुधार के लिए मुख्य ध्यान किस पर केंद्रित होना चाहिए?</v>
      </c>
      <c r="H467" s="5" t="str">
        <f>IFERROR(__xludf.DUMMYFUNCTION("GOOGLETRANSLATE(C467, ""en"", ""hi"")"),"ए) भावनात्मक जुड़ाव, बी) तकनीकी निष्पादन, सी) अधिक गतिशील पोज़ जोड़ना, डी) नियमित लंबाई")</f>
        <v>ए) भावनात्मक जुड़ाव, बी) तकनीकी निष्पादन, सी) अधिक गतिशील पोज़ जोड़ना, डी) नियमित लंबाई</v>
      </c>
      <c r="I467" s="5" t="str">
        <f>IFERROR(__xludf.DUMMYFUNCTION("GOOGLETRANSLATE(D467, ""en"", ""hi"")"),"A) भावनात्मक जुड़ाव")</f>
        <v>A) भावनात्मक जुड़ाव</v>
      </c>
    </row>
    <row r="468" ht="22.5" customHeight="1">
      <c r="A468" s="2">
        <v>467.0</v>
      </c>
      <c r="B468" s="3" t="s">
        <v>11222</v>
      </c>
      <c r="C468" s="3" t="s">
        <v>11188</v>
      </c>
      <c r="D468" s="3" t="s">
        <v>11157</v>
      </c>
      <c r="F468" s="5" t="str">
        <f>IFERROR(__xludf.DUMMYFUNCTION("GOOGLETRANSLATE(A468, ""en"", ""hi"")"),"467")</f>
        <v>467</v>
      </c>
      <c r="G468" s="5" t="str">
        <f>IFERROR(__xludf.DUMMYFUNCTION("GOOGLETRANSLATE(B468, ""en"", ""hi"")"),"मलखंभ कलाकारों को सलाह दी जाती है कि वे अपने अभ्यास में समग्र सामंजस्य बढ़ाएँ। उन्हें किस चीज़ में सुधार करना चाहिए?")</f>
        <v>मलखंभ कलाकारों को सलाह दी जाती है कि वे अपने अभ्यास में समग्र सामंजस्य बढ़ाएँ। उन्हें किस चीज़ में सुधार करना चाहिए?</v>
      </c>
      <c r="H468" s="5" t="str">
        <f>IFERROR(__xludf.DUMMYFUNCTION("GOOGLETRANSLATE(C468, ""en"", ""hi"")"),"ए) समग्र सुसंगतता, बी) तकनीकी कौशल, सी) अधिक गतिशील पोज़ जोड़ना, डी) नियमित लंबाई")</f>
        <v>ए) समग्र सुसंगतता, बी) तकनीकी कौशल, सी) अधिक गतिशील पोज़ जोड़ना, डी) नियमित लंबाई</v>
      </c>
      <c r="I468" s="5" t="str">
        <f>IFERROR(__xludf.DUMMYFUNCTION("GOOGLETRANSLATE(D468, ""en"", ""hi"")"),"A) समग्र सुसंगतता")</f>
        <v>A) समग्र सुसंगतता</v>
      </c>
    </row>
    <row r="469" ht="22.5" customHeight="1">
      <c r="A469" s="2">
        <v>468.0</v>
      </c>
      <c r="B469" s="3" t="s">
        <v>11223</v>
      </c>
      <c r="C469" s="3" t="s">
        <v>11180</v>
      </c>
      <c r="D469" s="3" t="s">
        <v>11123</v>
      </c>
      <c r="F469" s="5" t="str">
        <f>IFERROR(__xludf.DUMMYFUNCTION("GOOGLETRANSLATE(A469, ""en"", ""hi"")"),"468")</f>
        <v>468</v>
      </c>
      <c r="G469" s="5" t="str">
        <f>IFERROR(__xludf.DUMMYFUNCTION("GOOGLETRANSLATE(B469, ""en"", ""hi"")"),"किसी प्रदर्शन के दौरान, एक एथलीट की कलात्मक प्रतिभा की प्रशंसा की जाती है, लेकिन उसे अपनी ताकत पर काम करने की ज़रूरत होती है। उन्हें किस पर ध्यान केंद्रित करना चाहिए?")</f>
        <v>किसी प्रदर्शन के दौरान, एक एथलीट की कलात्मक प्रतिभा की प्रशंसा की जाती है, लेकिन उसे अपनी ताकत पर काम करने की ज़रूरत होती है। उन्हें किस पर ध्यान केंद्रित करना चाहिए?</v>
      </c>
      <c r="H469" s="5" t="str">
        <f>IFERROR(__xludf.DUMMYFUNCTION("GOOGLETRANSLATE(C469, ""en"", ""hi"")"),"A) ताकत, B) कलात्मक स्वभाव, C) नियमित लंबाई, D) लचीलापन")</f>
        <v>A) ताकत, B) कलात्मक स्वभाव, C) नियमित लंबाई, D) लचीलापन</v>
      </c>
      <c r="I469" s="5" t="str">
        <f>IFERROR(__xludf.DUMMYFUNCTION("GOOGLETRANSLATE(D469, ""en"", ""hi"")"),"ए) ताकत")</f>
        <v>ए) ताकत</v>
      </c>
    </row>
    <row r="470" ht="22.5" customHeight="1">
      <c r="A470" s="2">
        <v>469.0</v>
      </c>
      <c r="B470" s="3" t="s">
        <v>11224</v>
      </c>
      <c r="C470" s="3" t="s">
        <v>11225</v>
      </c>
      <c r="D470" s="3" t="s">
        <v>11053</v>
      </c>
      <c r="F470" s="5" t="str">
        <f>IFERROR(__xludf.DUMMYFUNCTION("GOOGLETRANSLATE(A470, ""en"", ""hi"")"),"469")</f>
        <v>469</v>
      </c>
      <c r="G470" s="5" t="str">
        <f>IFERROR(__xludf.DUMMYFUNCTION("GOOGLETRANSLATE(B470, ""en"", ""hi"")"),"मलखम्ब एथलीट अपनी कलात्मक प्रस्तुति के लिए जाने जाते हैं, लेकिन उन्हें अपनी तकनीकी सटीकता को निखारने की ज़रूरत है। उन्हें किस पर ध्यान केंद्रित करना चाहिए?")</f>
        <v>मलखम्ब एथलीट अपनी कलात्मक प्रस्तुति के लिए जाने जाते हैं, लेकिन उन्हें अपनी तकनीकी सटीकता को निखारने की ज़रूरत है। उन्हें किस पर ध्यान केंद्रित करना चाहिए?</v>
      </c>
      <c r="H470" s="5" t="str">
        <f>IFERROR(__xludf.DUMMYFUNCTION("GOOGLETRANSLATE(C470, ""en"", ""hi"")"),"A) तकनीकी परिशुद्धता, B) कलात्मक प्रस्तुति, C) अधिक जटिल चालें जोड़ना, D) नियमित लंबाई")</f>
        <v>A) तकनीकी परिशुद्धता, B) कलात्मक प्रस्तुति, C) अधिक जटिल चालें जोड़ना, D) नियमित लंबाई</v>
      </c>
      <c r="I470" s="5" t="str">
        <f>IFERROR(__xludf.DUMMYFUNCTION("GOOGLETRANSLATE(D470, ""en"", ""hi"")"),"ए) तकनीकी परिशुद्धता")</f>
        <v>ए) तकनीकी परिशुद्धता</v>
      </c>
    </row>
    <row r="471" ht="22.5" customHeight="1">
      <c r="A471" s="2">
        <v>470.0</v>
      </c>
      <c r="B471" s="3" t="s">
        <v>11226</v>
      </c>
      <c r="C471" s="3" t="s">
        <v>11227</v>
      </c>
      <c r="D471" s="3" t="s">
        <v>11146</v>
      </c>
      <c r="F471" s="5" t="str">
        <f>IFERROR(__xludf.DUMMYFUNCTION("GOOGLETRANSLATE(A471, ""en"", ""hi"")"),"470")</f>
        <v>470</v>
      </c>
      <c r="G471" s="5" t="str">
        <f>IFERROR(__xludf.DUMMYFUNCTION("GOOGLETRANSLATE(B471, ""en"", ""hi"")"),"एक एथलीट का रूटीन आकर्षक तो होता है, लेकिन उसमें तकनीकी जटिलता का अभाव होता है। उन्हें किस चीज़ में सुधार करना चाहिए?")</f>
        <v>एक एथलीट का रूटीन आकर्षक तो होता है, लेकिन उसमें तकनीकी जटिलता का अभाव होता है। उन्हें किस चीज़ में सुधार करना चाहिए?</v>
      </c>
      <c r="H471" s="5" t="str">
        <f>IFERROR(__xludf.DUMMYFUNCTION("GOOGLETRANSLATE(C471, ""en"", ""hi"")"),"A) तकनीकी जटिलता, B) अनुग्रह, C) दिनचर्या की लंबाई में वृद्धि, D) लचीलापन")</f>
        <v>A) तकनीकी जटिलता, B) अनुग्रह, C) दिनचर्या की लंबाई में वृद्धि, D) लचीलापन</v>
      </c>
      <c r="I471" s="5" t="str">
        <f>IFERROR(__xludf.DUMMYFUNCTION("GOOGLETRANSLATE(D471, ""en"", ""hi"")"),"ए) तकनीकी जटिलता")</f>
        <v>ए) तकनीकी जटिलता</v>
      </c>
    </row>
    <row r="472" ht="22.5" customHeight="1">
      <c r="A472" s="2">
        <v>471.0</v>
      </c>
      <c r="B472" s="3" t="s">
        <v>11228</v>
      </c>
      <c r="C472" s="3" t="s">
        <v>11184</v>
      </c>
      <c r="D472" s="3" t="s">
        <v>11071</v>
      </c>
      <c r="F472" s="5" t="str">
        <f>IFERROR(__xludf.DUMMYFUNCTION("GOOGLETRANSLATE(A472, ""en"", ""hi"")"),"471")</f>
        <v>471</v>
      </c>
      <c r="G472" s="5" t="str">
        <f>IFERROR(__xludf.DUMMYFUNCTION("GOOGLETRANSLATE(B472, ""en"", ""hi"")"),"मलखंभ कलाकार को अपनी पूरी कला-पद्धति में एकसमान लय बनाए रखने में कठिनाई होती है। उन्हें किस चीज़ में सुधार लाने पर ध्यान देना चाहिए?")</f>
        <v>मलखंभ कलाकार को अपनी पूरी कला-पद्धति में एकसमान लय बनाए रखने में कठिनाई होती है। उन्हें किस चीज़ में सुधार लाने पर ध्यान देना चाहिए?</v>
      </c>
      <c r="H472" s="5" t="str">
        <f>IFERROR(__xludf.DUMMYFUNCTION("GOOGLETRANSLATE(C472, ""en"", ""hi"")"),"A) लगातार लय, B) बढ़ती कठिनाई, C) लचीलापन, D) नियमित लंबाई")</f>
        <v>A) लगातार लय, B) बढ़ती कठिनाई, C) लचीलापन, D) नियमित लंबाई</v>
      </c>
      <c r="I472" s="5" t="str">
        <f>IFERROR(__xludf.DUMMYFUNCTION("GOOGLETRANSLATE(D472, ""en"", ""hi"")"),"A) सुसंगत लय")</f>
        <v>A) सुसंगत लय</v>
      </c>
    </row>
    <row r="473" ht="22.5" customHeight="1">
      <c r="A473" s="2">
        <v>472.0</v>
      </c>
      <c r="B473" s="3" t="s">
        <v>11229</v>
      </c>
      <c r="C473" s="3" t="s">
        <v>11230</v>
      </c>
      <c r="D473" s="3" t="s">
        <v>11231</v>
      </c>
      <c r="F473" s="5" t="str">
        <f>IFERROR(__xludf.DUMMYFUNCTION("GOOGLETRANSLATE(A473, ""en"", ""hi"")"),"472")</f>
        <v>472</v>
      </c>
      <c r="G473" s="5" t="str">
        <f>IFERROR(__xludf.DUMMYFUNCTION("GOOGLETRANSLATE(B473, ""en"", ""hi"")"),"प्रदर्शन के दौरान, एक एथलीट की सुंदरता की प्रशंसा की जाती है, लेकिन उसे अपने तकनीकी कौशल पर भी काम करना होता है। उन्हें किस पर ध्यान केंद्रित करना चाहिए?")</f>
        <v>प्रदर्शन के दौरान, एक एथलीट की सुंदरता की प्रशंसा की जाती है, लेकिन उसे अपने तकनीकी कौशल पर भी काम करना होता है। उन्हें किस पर ध्यान केंद्रित करना चाहिए?</v>
      </c>
      <c r="H473" s="5" t="str">
        <f>IFERROR(__xludf.DUMMYFUNCTION("GOOGLETRANSLATE(C473, ""en"", ""hi"")"),"ए) तकनीकी कौशल, बी) सुंदरता, सी) अधिक गतिशील पोज़ जोड़ना, डी) नियमित लंबाई")</f>
        <v>ए) तकनीकी कौशल, बी) सुंदरता, सी) अधिक गतिशील पोज़ जोड़ना, डी) नियमित लंबाई</v>
      </c>
      <c r="I473" s="5" t="str">
        <f>IFERROR(__xludf.DUMMYFUNCTION("GOOGLETRANSLATE(D473, ""en"", ""hi"")"),"ए) तकनीकी कौशल")</f>
        <v>ए) तकनीकी कौशल</v>
      </c>
    </row>
    <row r="474" ht="22.5" customHeight="1">
      <c r="A474" s="2">
        <v>473.0</v>
      </c>
      <c r="B474" s="3" t="s">
        <v>11232</v>
      </c>
      <c r="C474" s="3" t="s">
        <v>11233</v>
      </c>
      <c r="D474" s="3" t="s">
        <v>11167</v>
      </c>
      <c r="F474" s="5" t="str">
        <f>IFERROR(__xludf.DUMMYFUNCTION("GOOGLETRANSLATE(A474, ""en"", ""hi"")"),"473")</f>
        <v>473</v>
      </c>
      <c r="G474" s="5" t="str">
        <f>IFERROR(__xludf.DUMMYFUNCTION("GOOGLETRANSLATE(B474, ""en"", ""hi"")"),"मलखम्ब एथलीट को अपने रूटीन की समग्र तरलता पर काम करने की सलाह दी जाती है। उन्हें किस पर ध्यान केंद्रित करना चाहिए?")</f>
        <v>मलखम्ब एथलीट को अपने रूटीन की समग्र तरलता पर काम करने की सलाह दी जाती है। उन्हें किस पर ध्यान केंद्रित करना चाहिए?</v>
      </c>
      <c r="H474" s="5" t="str">
        <f>IFERROR(__xludf.DUMMYFUNCTION("GOOGLETRANSLATE(C474, ""en"", ""hi"")"),"A) समग्र तरलता, B) तकनीकी कौशल, C) बढ़ती कठिनाई, D) कलात्मक प्रस्तुति")</f>
        <v>A) समग्र तरलता, B) तकनीकी कौशल, C) बढ़ती कठिनाई, D) कलात्मक प्रस्तुति</v>
      </c>
      <c r="I474" s="5" t="str">
        <f>IFERROR(__xludf.DUMMYFUNCTION("GOOGLETRANSLATE(D474, ""en"", ""hi"")"),"A) समग्र तरलता")</f>
        <v>A) समग्र तरलता</v>
      </c>
    </row>
    <row r="475" ht="22.5" customHeight="1">
      <c r="A475" s="2">
        <v>474.0</v>
      </c>
      <c r="B475" s="3" t="s">
        <v>11234</v>
      </c>
      <c r="C475" s="3" t="s">
        <v>11235</v>
      </c>
      <c r="D475" s="3" t="s">
        <v>11008</v>
      </c>
      <c r="F475" s="5" t="str">
        <f>IFERROR(__xludf.DUMMYFUNCTION("GOOGLETRANSLATE(A475, ""en"", ""hi"")"),"474")</f>
        <v>474</v>
      </c>
      <c r="G475" s="5" t="str">
        <f>IFERROR(__xludf.DUMMYFUNCTION("GOOGLETRANSLATE(B475, ""en"", ""hi"")"),"एक एथलीट की दिनचर्या कलात्मक प्रस्तुति में तो मज़बूत होती है, लेकिन तकनीकी निष्पादन में सुधार की आवश्यकता होती है। सुधार का मुख्य क्षेत्र क्या है?")</f>
        <v>एक एथलीट की दिनचर्या कलात्मक प्रस्तुति में तो मज़बूत होती है, लेकिन तकनीकी निष्पादन में सुधार की आवश्यकता होती है। सुधार का मुख्य क्षेत्र क्या है?</v>
      </c>
      <c r="H475" s="5" t="str">
        <f>IFERROR(__xludf.DUMMYFUNCTION("GOOGLETRANSLATE(C475, ""en"", ""hi"")"),"ए) तकनीकी निष्पादन, बी) कलात्मक प्रस्तुति, सी) अधिक गतिशील पोज़ जोड़ना, डी) नियमित लंबाई")</f>
        <v>ए) तकनीकी निष्पादन, बी) कलात्मक प्रस्तुति, सी) अधिक गतिशील पोज़ जोड़ना, डी) नियमित लंबाई</v>
      </c>
      <c r="I475" s="5" t="str">
        <f>IFERROR(__xludf.DUMMYFUNCTION("GOOGLETRANSLATE(D475, ""en"", ""hi"")"),"ए) तकनीकी निष्पादन")</f>
        <v>ए) तकनीकी निष्पादन</v>
      </c>
    </row>
    <row r="476" ht="22.5" customHeight="1">
      <c r="A476" s="2">
        <v>475.0</v>
      </c>
      <c r="B476" s="3" t="s">
        <v>11236</v>
      </c>
      <c r="C476" s="3" t="s">
        <v>11237</v>
      </c>
      <c r="D476" s="3" t="s">
        <v>11238</v>
      </c>
      <c r="F476" s="5" t="str">
        <f>IFERROR(__xludf.DUMMYFUNCTION("GOOGLETRANSLATE(A476, ""en"", ""hi"")"),"475")</f>
        <v>475</v>
      </c>
      <c r="G476" s="5" t="str">
        <f>IFERROR(__xludf.DUMMYFUNCTION("GOOGLETRANSLATE(B476, ""en"", ""hi"")"),"मलखम्ब कलाकार की लचीलेपन के लिए प्रशंसा की जाती है, लेकिन उन्हें अपनी दिनचर्या में समग्र सामंजस्य सुधारने की आवश्यकता है। उन्हें किस पर ध्यान केंद्रित करना चाहिए?")</f>
        <v>मलखम्ब कलाकार की लचीलेपन के लिए प्रशंसा की जाती है, लेकिन उन्हें अपनी दिनचर्या में समग्र सामंजस्य सुधारने की आवश्यकता है। उन्हें किस पर ध्यान केंद्रित करना चाहिए?</v>
      </c>
      <c r="H476" s="5" t="str">
        <f>IFERROR(__xludf.DUMMYFUNCTION("GOOGLETRANSLATE(C476, ""en"", ""hi"")"),"ए) समग्र सामंजस्य, बी) लचीलापन, सी) तकनीक, डी) अधिक गतिशील चालें जोड़ना")</f>
        <v>ए) समग्र सामंजस्य, बी) लचीलापन, सी) तकनीक, डी) अधिक गतिशील चालें जोड़ना</v>
      </c>
      <c r="I476" s="5" t="str">
        <f>IFERROR(__xludf.DUMMYFUNCTION("GOOGLETRANSLATE(D476, ""en"", ""hi"")"),"A) समग्र सामंजस्य")</f>
        <v>A) समग्र सामंजस्य</v>
      </c>
    </row>
    <row r="477" ht="22.5" customHeight="1">
      <c r="A477" s="2">
        <v>476.0</v>
      </c>
      <c r="B477" s="3" t="s">
        <v>11239</v>
      </c>
      <c r="C477" s="3" t="s">
        <v>11240</v>
      </c>
      <c r="D477" s="3" t="s">
        <v>11102</v>
      </c>
      <c r="F477" s="5" t="str">
        <f>IFERROR(__xludf.DUMMYFUNCTION("GOOGLETRANSLATE(A477, ""en"", ""hi"")"),"476")</f>
        <v>476</v>
      </c>
      <c r="G477" s="5" t="str">
        <f>IFERROR(__xludf.DUMMYFUNCTION("GOOGLETRANSLATE(B477, ""en"", ""hi"")"),"अभ्यास सत्र के दौरान, मज़बूत तकनीकी कौशल के बावजूद, एक एथलीट की दिनचर्या में ऊर्जा की कमी होती है। सुधार के लिए मुख्य ध्यान किस पर केंद्रित होना चाहिए?")</f>
        <v>अभ्यास सत्र के दौरान, मज़बूत तकनीकी कौशल के बावजूद, एक एथलीट की दिनचर्या में ऊर्जा की कमी होती है। सुधार के लिए मुख्य ध्यान किस पर केंद्रित होना चाहिए?</v>
      </c>
      <c r="H477" s="5" t="str">
        <f>IFERROR(__xludf.DUMMYFUNCTION("GOOGLETRANSLATE(C477, ""en"", ""hi"")"),"A) ऊर्जा, B) तकनीकी कौशल, C) बढ़ती कठिनाई, D) दिनचर्या की लंबाई")</f>
        <v>A) ऊर्जा, B) तकनीकी कौशल, C) बढ़ती कठिनाई, D) दिनचर्या की लंबाई</v>
      </c>
      <c r="I477" s="5" t="str">
        <f>IFERROR(__xludf.DUMMYFUNCTION("GOOGLETRANSLATE(D477, ""en"", ""hi"")"),"ए) ऊर्जा")</f>
        <v>ए) ऊर्जा</v>
      </c>
    </row>
    <row r="478" ht="22.5" customHeight="1">
      <c r="A478" s="2">
        <v>477.0</v>
      </c>
      <c r="B478" s="3" t="s">
        <v>11241</v>
      </c>
      <c r="C478" s="3" t="s">
        <v>11242</v>
      </c>
      <c r="D478" s="3" t="s">
        <v>10887</v>
      </c>
      <c r="F478" s="5" t="str">
        <f>IFERROR(__xludf.DUMMYFUNCTION("GOOGLETRANSLATE(A478, ""en"", ""hi"")"),"477")</f>
        <v>477</v>
      </c>
      <c r="G478" s="5" t="str">
        <f>IFERROR(__xludf.DUMMYFUNCTION("GOOGLETRANSLATE(B478, ""en"", ""hi"")"),"मलखम्ब कलाकार अपनी तकनीकी कुशलता के लिए जाने जाते हैं, लेकिन उन्हें अपनी कलात्मक प्रस्तुति को निखारने की ज़रूरत है। उन्हें किस चीज़ में सुधार करना चाहिए?")</f>
        <v>मलखम्ब कलाकार अपनी तकनीकी कुशलता के लिए जाने जाते हैं, लेकिन उन्हें अपनी कलात्मक प्रस्तुति को निखारने की ज़रूरत है। उन्हें किस चीज़ में सुधार करना चाहिए?</v>
      </c>
      <c r="H478" s="5" t="str">
        <f>IFERROR(__xludf.DUMMYFUNCTION("GOOGLETRANSLATE(C478, ""en"", ""hi"")"),"A) कलात्मक प्रस्तुति, B) तकनीकी कौशल, C) दिनचर्या की लंबाई, D) लचीलापन")</f>
        <v>A) कलात्मक प्रस्तुति, B) तकनीकी कौशल, C) दिनचर्या की लंबाई, D) लचीलापन</v>
      </c>
      <c r="I478" s="5" t="str">
        <f>IFERROR(__xludf.DUMMYFUNCTION("GOOGLETRANSLATE(D478, ""en"", ""hi"")"),"ए) कलात्मक प्रस्तुति")</f>
        <v>ए) कलात्मक प्रस्तुति</v>
      </c>
    </row>
    <row r="479" ht="22.5" customHeight="1">
      <c r="A479" s="2">
        <v>478.0</v>
      </c>
      <c r="B479" s="3" t="s">
        <v>11243</v>
      </c>
      <c r="C479" s="3" t="s">
        <v>11221</v>
      </c>
      <c r="D479" s="3" t="s">
        <v>10929</v>
      </c>
      <c r="F479" s="5" t="str">
        <f>IFERROR(__xludf.DUMMYFUNCTION("GOOGLETRANSLATE(A479, ""en"", ""hi"")"),"478")</f>
        <v>478</v>
      </c>
      <c r="G479" s="5" t="str">
        <f>IFERROR(__xludf.DUMMYFUNCTION("GOOGLETRANSLATE(B479, ""en"", ""hi"")"),"एक एथलीट का रूटीन तकनीकी रूप से प्रभावशाली तो होता है, लेकिन भावनात्मक जुड़ाव की कमी होती है। उन्हें किस पर ध्यान केंद्रित करना चाहिए?")</f>
        <v>एक एथलीट का रूटीन तकनीकी रूप से प्रभावशाली तो होता है, लेकिन भावनात्मक जुड़ाव की कमी होती है। उन्हें किस पर ध्यान केंद्रित करना चाहिए?</v>
      </c>
      <c r="H479" s="5" t="str">
        <f>IFERROR(__xludf.DUMMYFUNCTION("GOOGLETRANSLATE(C479, ""en"", ""hi"")"),"ए) भावनात्मक जुड़ाव, बी) तकनीकी निष्पादन, सी) अधिक गतिशील पोज़ जोड़ना, डी) नियमित लंबाई")</f>
        <v>ए) भावनात्मक जुड़ाव, बी) तकनीकी निष्पादन, सी) अधिक गतिशील पोज़ जोड़ना, डी) नियमित लंबाई</v>
      </c>
      <c r="I479" s="5" t="str">
        <f>IFERROR(__xludf.DUMMYFUNCTION("GOOGLETRANSLATE(D479, ""en"", ""hi"")"),"A) भावनात्मक जुड़ाव")</f>
        <v>A) भावनात्मक जुड़ाव</v>
      </c>
    </row>
    <row r="480" ht="22.5" customHeight="1">
      <c r="A480" s="2">
        <v>479.0</v>
      </c>
      <c r="B480" s="3" t="s">
        <v>11244</v>
      </c>
      <c r="C480" s="3" t="s">
        <v>11245</v>
      </c>
      <c r="D480" s="3" t="s">
        <v>11157</v>
      </c>
      <c r="F480" s="5" t="str">
        <f>IFERROR(__xludf.DUMMYFUNCTION("GOOGLETRANSLATE(A480, ""en"", ""hi"")"),"479")</f>
        <v>479</v>
      </c>
      <c r="G480" s="5" t="str">
        <f>IFERROR(__xludf.DUMMYFUNCTION("GOOGLETRANSLATE(B480, ""en"", ""hi"")"),"मलखंभ कलाकार को सलाह दी जाती है कि वे अपने अभ्यास की समग्र सुसंगतता सुधारने पर ध्यान केंद्रित करें। उन्हें किस पर ध्यान केंद्रित करना चाहिए?")</f>
        <v>मलखंभ कलाकार को सलाह दी जाती है कि वे अपने अभ्यास की समग्र सुसंगतता सुधारने पर ध्यान केंद्रित करें। उन्हें किस पर ध्यान केंद्रित करना चाहिए?</v>
      </c>
      <c r="H480" s="5" t="str">
        <f>IFERROR(__xludf.DUMMYFUNCTION("GOOGLETRANSLATE(C480, ""en"", ""hi"")"),"ए) समग्र सुसंगतता, बी) तकनीकी कौशल, सी) अधिक जटिल मुद्राएँ जोड़ना, डी) नियमित लंबाई")</f>
        <v>ए) समग्र सुसंगतता, बी) तकनीकी कौशल, सी) अधिक जटिल मुद्राएँ जोड़ना, डी) नियमित लंबाई</v>
      </c>
      <c r="I480" s="5" t="str">
        <f>IFERROR(__xludf.DUMMYFUNCTION("GOOGLETRANSLATE(D480, ""en"", ""hi"")"),"A) समग्र सुसंगतता")</f>
        <v>A) समग्र सुसंगतता</v>
      </c>
    </row>
    <row r="481" ht="22.5" customHeight="1">
      <c r="A481" s="2">
        <v>480.0</v>
      </c>
      <c r="B481" s="3" t="s">
        <v>11246</v>
      </c>
      <c r="C481" s="3" t="s">
        <v>11178</v>
      </c>
      <c r="D481" s="3" t="s">
        <v>11044</v>
      </c>
      <c r="F481" s="5" t="str">
        <f>IFERROR(__xludf.DUMMYFUNCTION("GOOGLETRANSLATE(A481, ""en"", ""hi"")"),"480")</f>
        <v>480</v>
      </c>
      <c r="G481" s="5" t="str">
        <f>IFERROR(__xludf.DUMMYFUNCTION("GOOGLETRANSLATE(B481, ""en"", ""hi"")"),"अभ्यास के दौरान, प्रभावशाली तकनीकी निष्पादन के बावजूद, एक एथलीट की दिनचर्या में तरलता का अभाव होता है। सुधार के लिए मुख्य ध्यान किस पर केंद्रित होना चाहिए?")</f>
        <v>अभ्यास के दौरान, प्रभावशाली तकनीकी निष्पादन के बावजूद, एक एथलीट की दिनचर्या में तरलता का अभाव होता है। सुधार के लिए मुख्य ध्यान किस पर केंद्रित होना चाहिए?</v>
      </c>
      <c r="H481" s="5" t="str">
        <f>IFERROR(__xludf.DUMMYFUNCTION("GOOGLETRANSLATE(C481, ""en"", ""hi"")"),"ए) तरलता, बी) तकनीकी निष्पादन, सी) अधिक जटिल चालें जोड़ना, डी) नियमित लंबाई")</f>
        <v>ए) तरलता, बी) तकनीकी निष्पादन, सी) अधिक जटिल चालें जोड़ना, डी) नियमित लंबाई</v>
      </c>
      <c r="I481" s="5" t="str">
        <f>IFERROR(__xludf.DUMMYFUNCTION("GOOGLETRANSLATE(D481, ""en"", ""hi"")"),"A) तरलता")</f>
        <v>A) तरलता</v>
      </c>
    </row>
    <row r="482" ht="22.5" customHeight="1">
      <c r="A482" s="2">
        <v>481.0</v>
      </c>
      <c r="B482" s="3" t="s">
        <v>11219</v>
      </c>
      <c r="C482" s="3" t="s">
        <v>11201</v>
      </c>
      <c r="D482" s="3" t="s">
        <v>11123</v>
      </c>
      <c r="F482" s="5" t="str">
        <f>IFERROR(__xludf.DUMMYFUNCTION("GOOGLETRANSLATE(A482, ""en"", ""hi"")"),"481")</f>
        <v>481</v>
      </c>
      <c r="G482" s="5" t="str">
        <f>IFERROR(__xludf.DUMMYFUNCTION("GOOGLETRANSLATE(B482, ""en"", ""hi"")"),"मलखम्ब एथलीट अपनी शान के लिए जाने जाते हैं, लेकिन उन्हें अपनी ताकत पर भी काम करने की ज़रूरत है। उन्हें किस चीज़ में सुधार करने पर ध्यान देना चाहिए?")</f>
        <v>मलखम्ब एथलीट अपनी शान के लिए जाने जाते हैं, लेकिन उन्हें अपनी ताकत पर भी काम करने की ज़रूरत है। उन्हें किस चीज़ में सुधार करने पर ध्यान देना चाहिए?</v>
      </c>
      <c r="H482" s="5" t="str">
        <f>IFERROR(__xludf.DUMMYFUNCTION("GOOGLETRANSLATE(C482, ""en"", ""hi"")"),"A) शक्ति, B) अनुग्रह, C) नियमित लंबाई, D) लचीलापन")</f>
        <v>A) शक्ति, B) अनुग्रह, C) नियमित लंबाई, D) लचीलापन</v>
      </c>
      <c r="I482" s="5" t="str">
        <f>IFERROR(__xludf.DUMMYFUNCTION("GOOGLETRANSLATE(D482, ""en"", ""hi"")"),"ए) ताकत")</f>
        <v>ए) ताकत</v>
      </c>
    </row>
    <row r="483" ht="22.5" customHeight="1">
      <c r="A483" s="2">
        <v>482.0</v>
      </c>
      <c r="B483" s="3" t="s">
        <v>11247</v>
      </c>
      <c r="C483" s="3" t="s">
        <v>11145</v>
      </c>
      <c r="D483" s="3" t="s">
        <v>11146</v>
      </c>
      <c r="F483" s="5" t="str">
        <f>IFERROR(__xludf.DUMMYFUNCTION("GOOGLETRANSLATE(A483, ""en"", ""hi"")"),"482")</f>
        <v>482</v>
      </c>
      <c r="G483" s="5" t="str">
        <f>IFERROR(__xludf.DUMMYFUNCTION("GOOGLETRANSLATE(B483, ""en"", ""hi"")"),"एक एथलीट की दिनचर्या भावनात्मक जुड़ाव के मामले में मज़बूत होती है, लेकिन उसमें तकनीकी जटिलता का अभाव होता है। उन्हें किस चीज़ में सुधार करना चाहिए?")</f>
        <v>एक एथलीट की दिनचर्या भावनात्मक जुड़ाव के मामले में मज़बूत होती है, लेकिन उसमें तकनीकी जटिलता का अभाव होता है। उन्हें किस चीज़ में सुधार करना चाहिए?</v>
      </c>
      <c r="H483" s="5" t="str">
        <f>IFERROR(__xludf.DUMMYFUNCTION("GOOGLETRANSLATE(C483, ""en"", ""hi"")"),"ए) तकनीकी जटिलता, बी) भावनात्मक जुड़ाव, सी) अधिक गतिशील पोज़ जोड़ना, डी) नियमित लंबाई")</f>
        <v>ए) तकनीकी जटिलता, बी) भावनात्मक जुड़ाव, सी) अधिक गतिशील पोज़ जोड़ना, डी) नियमित लंबाई</v>
      </c>
      <c r="I483" s="5" t="str">
        <f>IFERROR(__xludf.DUMMYFUNCTION("GOOGLETRANSLATE(D483, ""en"", ""hi"")"),"ए) तकनीकी जटिलता")</f>
        <v>ए) तकनीकी जटिलता</v>
      </c>
    </row>
    <row r="484" ht="22.5" customHeight="1">
      <c r="A484" s="2">
        <v>483.0</v>
      </c>
      <c r="B484" s="3" t="s">
        <v>11248</v>
      </c>
      <c r="C484" s="3" t="s">
        <v>11249</v>
      </c>
      <c r="D484" s="3" t="s">
        <v>11044</v>
      </c>
      <c r="F484" s="5" t="str">
        <f>IFERROR(__xludf.DUMMYFUNCTION("GOOGLETRANSLATE(A484, ""en"", ""hi"")"),"483")</f>
        <v>483</v>
      </c>
      <c r="G484" s="5" t="str">
        <f>IFERROR(__xludf.DUMMYFUNCTION("GOOGLETRANSLATE(B484, ""en"", ""hi"")"),"मलखंभ कलाकारों को सलाह दी जाती है कि वे अपने अभ्यास की समग्र गतिशीलता बढ़ाएँ। उन्हें किस चीज़ में सुधार लाने पर ध्यान केंद्रित करना चाहिए?")</f>
        <v>मलखंभ कलाकारों को सलाह दी जाती है कि वे अपने अभ्यास की समग्र गतिशीलता बढ़ाएँ। उन्हें किस चीज़ में सुधार लाने पर ध्यान केंद्रित करना चाहिए?</v>
      </c>
      <c r="H484" s="5" t="str">
        <f>IFERROR(__xludf.DUMMYFUNCTION("GOOGLETRANSLATE(C484, ""en"", ""hi"")"),"A) तरलता, B) तकनीकी कौशल, C) बढ़ती कठिनाई, D) कलात्मक प्रस्तुति")</f>
        <v>A) तरलता, B) तकनीकी कौशल, C) बढ़ती कठिनाई, D) कलात्मक प्रस्तुति</v>
      </c>
      <c r="I484" s="5" t="str">
        <f>IFERROR(__xludf.DUMMYFUNCTION("GOOGLETRANSLATE(D484, ""en"", ""hi"")"),"A) तरलता")</f>
        <v>A) तरलता</v>
      </c>
    </row>
    <row r="485" ht="22.5" customHeight="1">
      <c r="A485" s="2">
        <v>484.0</v>
      </c>
      <c r="B485" s="3" t="s">
        <v>11250</v>
      </c>
      <c r="C485" s="3" t="s">
        <v>11251</v>
      </c>
      <c r="D485" s="3" t="s">
        <v>10887</v>
      </c>
      <c r="F485" s="5" t="str">
        <f>IFERROR(__xludf.DUMMYFUNCTION("GOOGLETRANSLATE(A485, ""en"", ""hi"")"),"484")</f>
        <v>484</v>
      </c>
      <c r="G485" s="5" t="str">
        <f>IFERROR(__xludf.DUMMYFUNCTION("GOOGLETRANSLATE(B485, ""en"", ""hi"")"),"प्रदर्शन के दौरान, एक एथलीट की तकनीकी प्रदर्शन के लिए प्रशंसा की जाती है, लेकिन उसे अपनी कलात्मक प्रस्तुति पर भी काम करना होता है। उन्हें किस पर ध्यान केंद्रित करना चाहिए?")</f>
        <v>प्रदर्शन के दौरान, एक एथलीट की तकनीकी प्रदर्शन के लिए प्रशंसा की जाती है, लेकिन उसे अपनी कलात्मक प्रस्तुति पर भी काम करना होता है। उन्हें किस पर ध्यान केंद्रित करना चाहिए?</v>
      </c>
      <c r="H485" s="5" t="str">
        <f>IFERROR(__xludf.DUMMYFUNCTION("GOOGLETRANSLATE(C485, ""en"", ""hi"")"),"ए) कलात्मक प्रस्तुति, बी) तकनीकी निष्पादन, सी) अधिक जटिल चालें जोड़ना, डी) नियमित लंबाई")</f>
        <v>ए) कलात्मक प्रस्तुति, बी) तकनीकी निष्पादन, सी) अधिक जटिल चालें जोड़ना, डी) नियमित लंबाई</v>
      </c>
      <c r="I485" s="5" t="str">
        <f>IFERROR(__xludf.DUMMYFUNCTION("GOOGLETRANSLATE(D485, ""en"", ""hi"")"),"ए) कलात्मक प्रस्तुति")</f>
        <v>ए) कलात्मक प्रस्तुति</v>
      </c>
    </row>
    <row r="486" ht="22.5" customHeight="1">
      <c r="A486" s="2">
        <v>485.0</v>
      </c>
      <c r="B486" s="3" t="s">
        <v>11252</v>
      </c>
      <c r="C486" s="3" t="s">
        <v>11192</v>
      </c>
      <c r="D486" s="3" t="s">
        <v>10929</v>
      </c>
      <c r="F486" s="5" t="str">
        <f>IFERROR(__xludf.DUMMYFUNCTION("GOOGLETRANSLATE(A486, ""en"", ""hi"")"),"485")</f>
        <v>485</v>
      </c>
      <c r="G486" s="5" t="str">
        <f>IFERROR(__xludf.DUMMYFUNCTION("GOOGLETRANSLATE(B486, ""en"", ""hi"")"),"मलखम्ब एथलीट अपनी ताकत के लिए जाने जाते हैं, लेकिन उन्हें अपनी दिनचर्या में भावनात्मक जुड़ाव को बेहतर बनाने की ज़रूरत है। उन्हें किस पर ध्यान केंद्रित करना चाहिए?")</f>
        <v>मलखम्ब एथलीट अपनी ताकत के लिए जाने जाते हैं, लेकिन उन्हें अपनी दिनचर्या में भावनात्मक जुड़ाव को बेहतर बनाने की ज़रूरत है। उन्हें किस पर ध्यान केंद्रित करना चाहिए?</v>
      </c>
      <c r="H486" s="5" t="str">
        <f>IFERROR(__xludf.DUMMYFUNCTION("GOOGLETRANSLATE(C486, ""en"", ""hi"")"),"ए) भावनात्मक जुड़ाव, बी) ताकत, सी) अधिक जटिल चालें जोड़ना, डी) नियमित लंबाई")</f>
        <v>ए) भावनात्मक जुड़ाव, बी) ताकत, सी) अधिक जटिल चालें जोड़ना, डी) नियमित लंबाई</v>
      </c>
      <c r="I486" s="5" t="str">
        <f>IFERROR(__xludf.DUMMYFUNCTION("GOOGLETRANSLATE(D486, ""en"", ""hi"")"),"A) भावनात्मक जुड़ाव")</f>
        <v>A) भावनात्मक जुड़ाव</v>
      </c>
    </row>
    <row r="487" ht="22.5" customHeight="1">
      <c r="A487" s="2">
        <v>486.0</v>
      </c>
      <c r="B487" s="3" t="s">
        <v>11253</v>
      </c>
      <c r="C487" s="3" t="s">
        <v>11254</v>
      </c>
      <c r="D487" s="3" t="s">
        <v>11044</v>
      </c>
      <c r="F487" s="5" t="str">
        <f>IFERROR(__xludf.DUMMYFUNCTION("GOOGLETRANSLATE(A487, ""en"", ""hi"")"),"486")</f>
        <v>486</v>
      </c>
      <c r="G487" s="5" t="str">
        <f>IFERROR(__xludf.DUMMYFUNCTION("GOOGLETRANSLATE(B487, ""en"", ""hi"")"),"मज़बूत तकनीकी निष्पादन के बावजूद, एक एथलीट की दिनचर्या में तरलता का अभाव होता है। किस मुख्य क्षेत्र पर ध्यान देने की आवश्यकता है?")</f>
        <v>मज़बूत तकनीकी निष्पादन के बावजूद, एक एथलीट की दिनचर्या में तरलता का अभाव होता है। किस मुख्य क्षेत्र पर ध्यान देने की आवश्यकता है?</v>
      </c>
      <c r="H487" s="5" t="str">
        <f>IFERROR(__xludf.DUMMYFUNCTION("GOOGLETRANSLATE(C487, ""en"", ""hi"")"),"ए) तरलता, बी) तकनीकी निष्पादन, सी) अधिक गतिशील पोज़ जोड़ना, डी) नियमित लंबाई")</f>
        <v>ए) तरलता, बी) तकनीकी निष्पादन, सी) अधिक गतिशील पोज़ जोड़ना, डी) नियमित लंबाई</v>
      </c>
      <c r="I487" s="5" t="str">
        <f>IFERROR(__xludf.DUMMYFUNCTION("GOOGLETRANSLATE(D487, ""en"", ""hi"")"),"A) तरलता")</f>
        <v>A) तरलता</v>
      </c>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2">
        <v>1.0</v>
      </c>
      <c r="B2" s="3" t="s">
        <v>11255</v>
      </c>
      <c r="C2" s="3" t="s">
        <v>11256</v>
      </c>
      <c r="D2" s="3" t="s">
        <v>11257</v>
      </c>
      <c r="F2" s="5" t="str">
        <f>IFERROR(__xludf.DUMMYFUNCTION("GOOGLETRANSLATE(A2, ""en"", ""hi"")"),"1")</f>
        <v>1</v>
      </c>
      <c r="G2" s="5" t="str">
        <f>IFERROR(__xludf.DUMMYFUNCTION("GOOGLETRANSLATE(B2, ""en"", ""hi"")"),"गिल्ली डंडा खेल में, खिलाड़ी X डंडे से गिल्ली पर वार करता है और गिल्ली 10 मीटर तक उड़ जाती है। गिल्ली द्वारा तय की गई दूरी 8 मीटर मापी जाती है। निम्नलिखित में से कौन सा कथन सही है?")</f>
        <v>गिल्ली डंडा खेल में, खिलाड़ी X डंडे से गिल्ली पर वार करता है और गिल्ली 10 मीटर तक उड़ जाती है। गिल्ली द्वारा तय की गई दूरी 8 मीटर मापी जाती है। निम्नलिखित में से कौन सा कथन सही है?</v>
      </c>
      <c r="H2" s="5" t="str">
        <f>IFERROR(__xludf.DUMMYFUNCTION("GOOGLETRANSLATE(C2, ""en"", ""hi"")"),"A) खिलाड़ी X ने खेल जीत लिया है। , B) खिलाड़ी X ने खेल नहीं जीता है। , C) खेल अभी भी जारी है। , D) गिल्ली को सीमा से बाहर माना जाता है।")</f>
        <v>A) खिलाड़ी X ने खेल जीत लिया है। , B) खिलाड़ी X ने खेल नहीं जीता है। , C) खेल अभी भी जारी है। , D) गिल्ली को सीमा से बाहर माना जाता है।</v>
      </c>
      <c r="I2" s="5" t="str">
        <f>IFERROR(__xludf.DUMMYFUNCTION("GOOGLETRANSLATE(D2, ""en"", ""hi"")"),"B) खिलाड़ी X ने खेल नहीं जीता है।")</f>
        <v>B) खिलाड़ी X ने खेल नहीं जीता है।</v>
      </c>
    </row>
    <row r="3" ht="22.5" customHeight="1">
      <c r="A3" s="2">
        <v>2.0</v>
      </c>
      <c r="B3" s="3" t="s">
        <v>11258</v>
      </c>
      <c r="C3" s="3" t="s">
        <v>11259</v>
      </c>
      <c r="D3" s="3" t="s">
        <v>11260</v>
      </c>
      <c r="F3" s="5" t="str">
        <f>IFERROR(__xludf.DUMMYFUNCTION("GOOGLETRANSLATE(A3, ""en"", ""hi"")"),"2")</f>
        <v>2</v>
      </c>
      <c r="G3" s="5" t="str">
        <f>IFERROR(__xludf.DUMMYFUNCTION("GOOGLETRANSLATE(B3, ""en"", ""hi"")"),"गिल्ली डंडा मैच के दौरान, खिलाड़ी Y गिल्ली मारता है और वह खेल क्षेत्र की सीमा रेखा पर जाकर गिरती है। इस स्थिति का मूल्यांकन कैसे किया जाता है?")</f>
        <v>गिल्ली डंडा मैच के दौरान, खिलाड़ी Y गिल्ली मारता है और वह खेल क्षेत्र की सीमा रेखा पर जाकर गिरती है। इस स्थिति का मूल्यांकन कैसे किया जाता है?</v>
      </c>
      <c r="H3" s="5" t="str">
        <f>IFERROR(__xludf.DUMMYFUNCTION("GOOGLETRANSLATE(C3, ""en"", ""hi"")"),"A) गिल्ली को सीमा के अंदर माना जाता है। , B) गिल्ली को सीमा के बाहर माना जाता है। , C) मैच को बराबरी पर माना जाता है। , D) गिल्ली को प्रारंभिक स्थिति में पुनः स्थापित किया जाता है।")</f>
        <v>A) गिल्ली को सीमा के अंदर माना जाता है। , B) गिल्ली को सीमा के बाहर माना जाता है। , C) मैच को बराबरी पर माना जाता है। , D) गिल्ली को प्रारंभिक स्थिति में पुनः स्थापित किया जाता है।</v>
      </c>
      <c r="I3" s="5" t="str">
        <f>IFERROR(__xludf.DUMMYFUNCTION("GOOGLETRANSLATE(D3, ""en"", ""hi"")"),"अ) गिल्ली को सीमा में माना जाता है।")</f>
        <v>अ) गिल्ली को सीमा में माना जाता है।</v>
      </c>
    </row>
    <row r="4" ht="22.5" customHeight="1">
      <c r="A4" s="2">
        <v>3.0</v>
      </c>
      <c r="B4" s="3" t="s">
        <v>11261</v>
      </c>
      <c r="C4" s="3" t="s">
        <v>11262</v>
      </c>
      <c r="D4" s="3" t="s">
        <v>11263</v>
      </c>
      <c r="F4" s="5" t="str">
        <f>IFERROR(__xludf.DUMMYFUNCTION("GOOGLETRANSLATE(A4, ""en"", ""hi"")"),"3")</f>
        <v>3</v>
      </c>
      <c r="G4" s="5" t="str">
        <f>IFERROR(__xludf.DUMMYFUNCTION("GOOGLETRANSLATE(B4, ""en"", ""hi"")"),"खिलाड़ी Z गिल्ली डंडा खेल में बल्लेबाजी कर रहा है। उन्होंने गिल्ली पर सफलतापूर्वक प्रहार किया, लेकिन वह केवल 2 मीटर ही गई। विरोधी टीम ने दावा किया कि प्रहार अमान्य है। सही निर्णय क्या होना चाहिए?")</f>
        <v>खिलाड़ी Z गिल्ली डंडा खेल में बल्लेबाजी कर रहा है। उन्होंने गिल्ली पर सफलतापूर्वक प्रहार किया, लेकिन वह केवल 2 मीटर ही गई। विरोधी टीम ने दावा किया कि प्रहार अमान्य है। सही निर्णय क्या होना चाहिए?</v>
      </c>
      <c r="H4" s="5" t="str">
        <f>IFERROR(__xludf.DUMMYFUNCTION("GOOGLETRANSLATE(C4, ""en"", ""hi"")"),"ए) हिट को वैध माना जाता है।, बी) हिट को अवैध माना जाता है।, सी) हिट को फाउल माना जाता है।, डी) खेल को समीक्षा के लिए रोक दिया जाता है।")</f>
        <v>ए) हिट को वैध माना जाता है।, बी) हिट को अवैध माना जाता है।, सी) हिट को फाउल माना जाता है।, डी) खेल को समीक्षा के लिए रोक दिया जाता है।</v>
      </c>
      <c r="I4" s="5" t="str">
        <f>IFERROR(__xludf.DUMMYFUNCTION("GOOGLETRANSLATE(D4, ""en"", ""hi"")"),"बी) हिट को अवैध माना जाता है।")</f>
        <v>बी) हिट को अवैध माना जाता है।</v>
      </c>
    </row>
    <row r="5" ht="22.5" customHeight="1">
      <c r="A5" s="2">
        <v>4.0</v>
      </c>
      <c r="B5" s="3" t="s">
        <v>11264</v>
      </c>
      <c r="C5" s="3" t="s">
        <v>11265</v>
      </c>
      <c r="D5" s="3" t="s">
        <v>11266</v>
      </c>
      <c r="F5" s="5" t="str">
        <f>IFERROR(__xludf.DUMMYFUNCTION("GOOGLETRANSLATE(A5, ""en"", ""hi"")"),"4")</f>
        <v>4</v>
      </c>
      <c r="G5" s="5" t="str">
        <f>IFERROR(__xludf.DUMMYFUNCTION("GOOGLETRANSLATE(B5, ""en"", ""hi"")"),"गिल्ली डंडा खेल में, खिलाड़ी A, गिल्ली पर डंडे से प्रहार करता है और वह खेल क्षेत्र के बाहर किसी वस्तु से टकराकर वापस लौट जाती है। उचित नियम क्या है?")</f>
        <v>गिल्ली डंडा खेल में, खिलाड़ी A, गिल्ली पर डंडे से प्रहार करता है और वह खेल क्षेत्र के बाहर किसी वस्तु से टकराकर वापस लौट जाती है। उचित नियम क्या है?</v>
      </c>
      <c r="H5" s="5" t="str">
        <f>IFERROR(__xludf.DUMMYFUNCTION("GOOGLETRANSLATE(C5, ""en"", ""hi"")"),"A) गिल्ली को खेल में माना जाता है। , B) गिल्ली को सीमा से बाहर माना जाता है। , C) खेल पुनः शुरू किया जाता है। , D) हिट को स्कोर के रूप में गिना जाता है।")</f>
        <v>A) गिल्ली को खेल में माना जाता है। , B) गिल्ली को सीमा से बाहर माना जाता है। , C) खेल पुनः शुरू किया जाता है। , D) हिट को स्कोर के रूप में गिना जाता है।</v>
      </c>
      <c r="I5" s="5" t="str">
        <f>IFERROR(__xludf.DUMMYFUNCTION("GOOGLETRANSLATE(D5, ""en"", ""hi"")"),"बी) गिल्ली को सीमा से बाहर माना जाता है।")</f>
        <v>बी) गिल्ली को सीमा से बाहर माना जाता है।</v>
      </c>
    </row>
    <row r="6" ht="22.5" customHeight="1">
      <c r="A6" s="2">
        <v>5.0</v>
      </c>
      <c r="B6" s="3" t="s">
        <v>11267</v>
      </c>
      <c r="C6" s="3" t="s">
        <v>11268</v>
      </c>
      <c r="D6" s="3" t="s">
        <v>11269</v>
      </c>
      <c r="F6" s="5" t="str">
        <f>IFERROR(__xludf.DUMMYFUNCTION("GOOGLETRANSLATE(A6, ""en"", ""hi"")"),"5")</f>
        <v>5</v>
      </c>
      <c r="G6" s="5" t="str">
        <f>IFERROR(__xludf.DUMMYFUNCTION("GOOGLETRANSLATE(B6, ""en"", ""hi"")"),"गिल्ली डंडा खेल में खिलाड़ी B गिल्ली को इस तरह मारता है कि वह रुकने से पहले 5 सेकंड तक घूमती है। इस घटना का मूल्यांकन कैसे किया जाता है?")</f>
        <v>गिल्ली डंडा खेल में खिलाड़ी B गिल्ली को इस तरह मारता है कि वह रुकने से पहले 5 सेकंड तक घूमती है। इस घटना का मूल्यांकन कैसे किया जाता है?</v>
      </c>
      <c r="H6" s="5" t="str">
        <f>IFERROR(__xludf.DUMMYFUNCTION("GOOGLETRANSLATE(C6, ""en"", ""hi"")"),"ए) स्पिन अवधि पर विचार किया जाता है। , बी) स्पिन की परवाह किए बिना हिट को वैध माना जाता है। , सी) गिल्ली को खेल से बाहर माना जाता है। , डी) स्पिन अवधि स्कोर किए गए अंकों को निर्धारित करती है।")</f>
        <v>ए) स्पिन अवधि पर विचार किया जाता है। , बी) स्पिन की परवाह किए बिना हिट को वैध माना जाता है। , सी) गिल्ली को खेल से बाहर माना जाता है। , डी) स्पिन अवधि स्कोर किए गए अंकों को निर्धारित करती है।</v>
      </c>
      <c r="I6" s="5" t="str">
        <f>IFERROR(__xludf.DUMMYFUNCTION("GOOGLETRANSLATE(D6, ""en"", ""hi"")"),"बी) स्पिन की परवाह किए बिना हिट को वैध माना जाता है।")</f>
        <v>बी) स्पिन की परवाह किए बिना हिट को वैध माना जाता है।</v>
      </c>
    </row>
    <row r="7" ht="22.5" customHeight="1">
      <c r="A7" s="2">
        <v>6.0</v>
      </c>
      <c r="B7" s="3" t="s">
        <v>11270</v>
      </c>
      <c r="C7" s="3" t="s">
        <v>11271</v>
      </c>
      <c r="D7" s="3" t="s">
        <v>11272</v>
      </c>
      <c r="F7" s="5" t="str">
        <f>IFERROR(__xludf.DUMMYFUNCTION("GOOGLETRANSLATE(A7, ""en"", ""hi"")"),"6")</f>
        <v>6</v>
      </c>
      <c r="G7" s="5" t="str">
        <f>IFERROR(__xludf.DUMMYFUNCTION("GOOGLETRANSLATE(B7, ""en"", ""hi"")"),"गिल्ली डंडा खेलते समय, खिलाड़ी C डंडे पर बहुत ज़ोर से प्रहार करता है, जिससे गिल्ली दो टुकड़ों में टूट जाती है। इस स्थिति में क्या नियम है?")</f>
        <v>गिल्ली डंडा खेलते समय, खिलाड़ी C डंडे पर बहुत ज़ोर से प्रहार करता है, जिससे गिल्ली दो टुकड़ों में टूट जाती है। इस स्थिति में क्या नियम है?</v>
      </c>
      <c r="H7" s="5" t="str">
        <f>IFERROR(__xludf.DUMMYFUNCTION("GOOGLETRANSLATE(C7, ""en"", ""hi"")"),"A) खेल को नई गिल्ली के साथ जारी रखा जाता है। , B) खेल को तब तक रोक दिया जाता है जब तक गिल्ली की मरम्मत नहीं हो जाती। , C) खिलाड़ी C को दंडित किया जाता है। , D) खेल को पुनः शुरू किया जाता है।")</f>
        <v>A) खेल को नई गिल्ली के साथ जारी रखा जाता है। , B) खेल को तब तक रोक दिया जाता है जब तक गिल्ली की मरम्मत नहीं हो जाती। , C) खिलाड़ी C को दंडित किया जाता है। , D) खेल को पुनः शुरू किया जाता है।</v>
      </c>
      <c r="I7" s="5" t="str">
        <f>IFERROR(__xludf.DUMMYFUNCTION("GOOGLETRANSLATE(D7, ""en"", ""hi"")"),"A) खेल को नई गिल्ली के साथ जारी रखा जाता है।")</f>
        <v>A) खेल को नई गिल्ली के साथ जारी रखा जाता है।</v>
      </c>
    </row>
    <row r="8" ht="22.5" customHeight="1">
      <c r="A8" s="2">
        <v>7.0</v>
      </c>
      <c r="B8" s="3" t="s">
        <v>11273</v>
      </c>
      <c r="C8" s="3" t="s">
        <v>11274</v>
      </c>
      <c r="D8" s="3" t="s">
        <v>11275</v>
      </c>
      <c r="F8" s="5" t="str">
        <f>IFERROR(__xludf.DUMMYFUNCTION("GOOGLETRANSLATE(A8, ""en"", ""hi"")"),"7")</f>
        <v>7</v>
      </c>
      <c r="G8" s="5" t="str">
        <f>IFERROR(__xludf.DUMMYFUNCTION("GOOGLETRANSLATE(B8, ""en"", ""hi"")"),"गिल्ली डंडा मैच में, खिलाड़ी D गिल्ली मारने की कोशिश करता है, लेकिन गलती से गिल्ली इस तरह से टकराती है कि वह निर्धारित खेल क्षेत्र से बाहर गिर जाती है। आगे क्या होता है?")</f>
        <v>गिल्ली डंडा मैच में, खिलाड़ी D गिल्ली मारने की कोशिश करता है, लेकिन गलती से गिल्ली इस तरह से टकराती है कि वह निर्धारित खेल क्षेत्र से बाहर गिर जाती है। आगे क्या होता है?</v>
      </c>
      <c r="H8" s="5" t="str">
        <f>IFERROR(__xludf.DUMMYFUNCTION("GOOGLETRANSLATE(C8, ""en"", ""hi"")"),"ए) खिलाड़ी डी को एक और बारी मिलती है।, बी) विरोधी टीम को हिट करने का मौका मिलता है।, सी) खिलाड़ी डी को अयोग्य घोषित कर दिया जाता है।, डी) खेल को समीक्षा के लिए रोक दिया जाता है।")</f>
        <v>ए) खिलाड़ी डी को एक और बारी मिलती है।, बी) विरोधी टीम को हिट करने का मौका मिलता है।, सी) खिलाड़ी डी को अयोग्य घोषित कर दिया जाता है।, डी) खेल को समीक्षा के लिए रोक दिया जाता है।</v>
      </c>
      <c r="I8" s="5" t="str">
        <f>IFERROR(__xludf.DUMMYFUNCTION("GOOGLETRANSLATE(D8, ""en"", ""hi"")"),"बी) विरोधी टीम को हिट करने का मौका मिलता है।")</f>
        <v>बी) विरोधी टीम को हिट करने का मौका मिलता है।</v>
      </c>
    </row>
    <row r="9" ht="22.5" customHeight="1">
      <c r="A9" s="2">
        <v>8.0</v>
      </c>
      <c r="B9" s="3" t="s">
        <v>11276</v>
      </c>
      <c r="C9" s="3" t="s">
        <v>11277</v>
      </c>
      <c r="D9" s="3" t="s">
        <v>11278</v>
      </c>
      <c r="F9" s="5" t="str">
        <f>IFERROR(__xludf.DUMMYFUNCTION("GOOGLETRANSLATE(A9, ""en"", ""hi"")"),"8")</f>
        <v>8</v>
      </c>
      <c r="G9" s="5" t="str">
        <f>IFERROR(__xludf.DUMMYFUNCTION("GOOGLETRANSLATE(B9, ""en"", ""hi"")"),"खिलाड़ी E गिल्ली डंडा खेल रहा है और गिल्ली सीमा रेखा पर गिरती है। नियमों के अनुसार, इस हिट का क्या नियम है?")</f>
        <v>खिलाड़ी E गिल्ली डंडा खेल रहा है और गिल्ली सीमा रेखा पर गिरती है। नियमों के अनुसार, इस हिट का क्या नियम है?</v>
      </c>
      <c r="H9" s="5" t="str">
        <f>IFERROR(__xludf.DUMMYFUNCTION("GOOGLETRANSLATE(C9, ""en"", ""hi"")"),"A) गिल्ली को खेल में माना जाता है। , B) गिल्ली को सीमा से बाहर माना जाता है। , C) हिट दोहराया जाता है। , D) खेल पेनल्टी के साथ जारी रहता है।")</f>
        <v>A) गिल्ली को खेल में माना जाता है। , B) गिल्ली को सीमा से बाहर माना जाता है। , C) हिट दोहराया जाता है। , D) खेल पेनल्टी के साथ जारी रहता है।</v>
      </c>
      <c r="I9" s="5" t="str">
        <f>IFERROR(__xludf.DUMMYFUNCTION("GOOGLETRANSLATE(D9, ""en"", ""hi"")"),"अ) गिल्ली को खेल में शामिल माना जाता है।")</f>
        <v>अ) गिल्ली को खेल में शामिल माना जाता है।</v>
      </c>
    </row>
    <row r="10" ht="22.5" customHeight="1">
      <c r="A10" s="2">
        <v>9.0</v>
      </c>
      <c r="B10" s="3" t="s">
        <v>11279</v>
      </c>
      <c r="C10" s="3" t="s">
        <v>11280</v>
      </c>
      <c r="D10" s="3" t="s">
        <v>11281</v>
      </c>
      <c r="F10" s="5" t="str">
        <f>IFERROR(__xludf.DUMMYFUNCTION("GOOGLETRANSLATE(A10, ""en"", ""hi"")"),"9")</f>
        <v>9</v>
      </c>
      <c r="G10" s="5" t="str">
        <f>IFERROR(__xludf.DUMMYFUNCTION("GOOGLETRANSLATE(B10, ""en"", ""hi"")"),"गिल्ली डंडा खेल में, खिलाड़ी F गिल्ली पर वार करता है, लेकिन वह रुककर केवल 1 मीटर ही चलती है। इस परिणाम की व्याख्या कैसे की जाती है?")</f>
        <v>गिल्ली डंडा खेल में, खिलाड़ी F गिल्ली पर वार करता है, लेकिन वह रुककर केवल 1 मीटर ही चलती है। इस परिणाम की व्याख्या कैसे की जाती है?</v>
      </c>
      <c r="H10" s="5" t="str">
        <f>IFERROR(__xludf.DUMMYFUNCTION("GOOGLETRANSLATE(C10, ""en"", ""hi"")"),"A) हिट को सफल माना जाता है। , B) हिट को असफल माना जाता है। , C) खिलाड़ी F को एक और मौका मिलता है। , D) खेल समाप्त माना जाता है।")</f>
        <v>A) हिट को सफल माना जाता है। , B) हिट को असफल माना जाता है। , C) खिलाड़ी F को एक और मौका मिलता है। , D) खेल समाप्त माना जाता है।</v>
      </c>
      <c r="I10" s="5" t="str">
        <f>IFERROR(__xludf.DUMMYFUNCTION("GOOGLETRANSLATE(D10, ""en"", ""hi"")"),"बी) हिट को विफलता माना जाता है।")</f>
        <v>बी) हिट को विफलता माना जाता है।</v>
      </c>
    </row>
    <row r="11" ht="22.5" customHeight="1">
      <c r="A11" s="2">
        <v>10.0</v>
      </c>
      <c r="B11" s="3" t="s">
        <v>11282</v>
      </c>
      <c r="C11" s="3" t="s">
        <v>11283</v>
      </c>
      <c r="D11" s="3" t="s">
        <v>11284</v>
      </c>
      <c r="F11" s="5" t="str">
        <f>IFERROR(__xludf.DUMMYFUNCTION("GOOGLETRANSLATE(A11, ""en"", ""hi"")"),"10")</f>
        <v>10</v>
      </c>
      <c r="G11" s="5" t="str">
        <f>IFERROR(__xludf.DUMMYFUNCTION("GOOGLETRANSLATE(B11, ""en"", ""hi"")"),"खिलाड़ी G गिल्ली मारता है और वह दो सीमा रेखाओं के ठीक बीच में गिरती है। इस हिट का मूल्यांकन कैसे किया जाना चाहिए?")</f>
        <v>खिलाड़ी G गिल्ली मारता है और वह दो सीमा रेखाओं के ठीक बीच में गिरती है। इस हिट का मूल्यांकन कैसे किया जाना चाहिए?</v>
      </c>
      <c r="H11" s="5" t="str">
        <f>IFERROR(__xludf.DUMMYFUNCTION("GOOGLETRANSLATE(C11, ""en"", ""hi"")"),"ए) हिट को खेल में माना जाता है।, बी) हिट को सीमा से बाहर माना जाता है।, सी) हिट अमान्य है और खेल को पुनः शुरू किया जाता है।, डी) खेल पेनल्टी के साथ जारी रहता है।")</f>
        <v>ए) हिट को खेल में माना जाता है।, बी) हिट को सीमा से बाहर माना जाता है।, सी) हिट अमान्य है और खेल को पुनः शुरू किया जाता है।, डी) खेल पेनल्टी के साथ जारी रहता है।</v>
      </c>
      <c r="I11" s="5" t="str">
        <f>IFERROR(__xludf.DUMMYFUNCTION("GOOGLETRANSLATE(D11, ""en"", ""hi"")"),"A) हिट को खेल में माना जाता है।")</f>
        <v>A) हिट को खेल में माना जाता है।</v>
      </c>
    </row>
    <row r="12" ht="22.5" customHeight="1">
      <c r="A12" s="2">
        <v>11.0</v>
      </c>
      <c r="B12" s="3" t="s">
        <v>11285</v>
      </c>
      <c r="C12" s="3" t="s">
        <v>11286</v>
      </c>
      <c r="D12" s="3" t="s">
        <v>11287</v>
      </c>
      <c r="F12" s="5" t="str">
        <f>IFERROR(__xludf.DUMMYFUNCTION("GOOGLETRANSLATE(A12, ""en"", ""hi"")"),"11")</f>
        <v>11</v>
      </c>
      <c r="G12" s="5" t="str">
        <f>IFERROR(__xludf.DUMMYFUNCTION("GOOGLETRANSLATE(B12, ""en"", ""hi"")"),"गिल्ली डंडा मैच के दौरान, खिलाड़ी H गिल्ली को इस तरह मारता है कि वह ज़मीन पर गिरने से पहले तेज़ी से घूमती है। इस हिट का मूल्यांकन कैसे किया जाता है?")</f>
        <v>गिल्ली डंडा मैच के दौरान, खिलाड़ी H गिल्ली को इस तरह मारता है कि वह ज़मीन पर गिरने से पहले तेज़ी से घूमती है। इस हिट का मूल्यांकन कैसे किया जाता है?</v>
      </c>
      <c r="H12" s="5" t="str">
        <f>IFERROR(__xludf.DUMMYFUNCTION("GOOGLETRANSLATE(C12, ""en"", ""hi"")"),"ए) रोटेशन को हिट का हिस्सा माना जाता है। , बी) रोटेशन को नजरअंदाज कर दिया जाता है और केवल दूरी की गणना की जाती है। , सी) अत्यधिक रोटेशन के कारण हिट को अमान्य माना जाता है। , डी) खेल को समीक्षा के लिए रोक दिया जाता है।")</f>
        <v>ए) रोटेशन को हिट का हिस्सा माना जाता है। , बी) रोटेशन को नजरअंदाज कर दिया जाता है और केवल दूरी की गणना की जाती है। , सी) अत्यधिक रोटेशन के कारण हिट को अमान्य माना जाता है। , डी) खेल को समीक्षा के लिए रोक दिया जाता है।</v>
      </c>
      <c r="I12" s="5" t="str">
        <f>IFERROR(__xludf.DUMMYFUNCTION("GOOGLETRANSLATE(D12, ""en"", ""hi"")"),"बी) घूर्णन को नजरअंदाज किया जाता है और केवल दूरी की गणना की जाती है।")</f>
        <v>बी) घूर्णन को नजरअंदाज किया जाता है और केवल दूरी की गणना की जाती है।</v>
      </c>
    </row>
    <row r="13" ht="22.5" customHeight="1">
      <c r="A13" s="2">
        <v>12.0</v>
      </c>
      <c r="B13" s="3" t="s">
        <v>11288</v>
      </c>
      <c r="C13" s="3" t="s">
        <v>11289</v>
      </c>
      <c r="D13" s="3" t="s">
        <v>11263</v>
      </c>
      <c r="F13" s="5" t="str">
        <f>IFERROR(__xludf.DUMMYFUNCTION("GOOGLETRANSLATE(A13, ""en"", ""hi"")"),"12")</f>
        <v>12</v>
      </c>
      <c r="G13" s="5" t="str">
        <f>IFERROR(__xludf.DUMMYFUNCTION("GOOGLETRANSLATE(B13, ""en"", ""hi"")"),"गिल्ली डंडा खेल में, खिलाड़ी I गलती से गिल्ली पर डंडा इस तरह मार देता है कि वह उल्टा गिर जाता है। इस स्थिति में क्या नियम है?")</f>
        <v>गिल्ली डंडा खेल में, खिलाड़ी I गलती से गिल्ली पर डंडा इस तरह मार देता है कि वह उल्टा गिर जाता है। इस स्थिति में क्या नियम है?</v>
      </c>
      <c r="H13" s="5" t="str">
        <f>IFERROR(__xludf.DUMMYFUNCTION("GOOGLETRANSLATE(C13, ""en"", ""hi"")"),"A) हिट को वैध माना जाता है। , B) हिट को अवैध माना जाता है। , C) गिल्ली के सीधा होने तक खेल को रोक दिया जाता है। , D) खिलाड़ी I को एक और बारी मिलती है।")</f>
        <v>A) हिट को वैध माना जाता है। , B) हिट को अवैध माना जाता है। , C) गिल्ली के सीधा होने तक खेल को रोक दिया जाता है। , D) खिलाड़ी I को एक और बारी मिलती है।</v>
      </c>
      <c r="I13" s="5" t="str">
        <f>IFERROR(__xludf.DUMMYFUNCTION("GOOGLETRANSLATE(D13, ""en"", ""hi"")"),"बी) हिट को अवैध माना जाता है।")</f>
        <v>बी) हिट को अवैध माना जाता है।</v>
      </c>
    </row>
    <row r="14" ht="22.5" customHeight="1">
      <c r="A14" s="2">
        <v>13.0</v>
      </c>
      <c r="B14" s="3" t="s">
        <v>11290</v>
      </c>
      <c r="C14" s="3" t="s">
        <v>11291</v>
      </c>
      <c r="D14" s="3" t="s">
        <v>11292</v>
      </c>
      <c r="F14" s="5" t="str">
        <f>IFERROR(__xludf.DUMMYFUNCTION("GOOGLETRANSLATE(A14, ""en"", ""hi"")"),"13")</f>
        <v>13</v>
      </c>
      <c r="G14" s="5" t="str">
        <f>IFERROR(__xludf.DUMMYFUNCTION("GOOGLETRANSLATE(B14, ""en"", ""hi"")"),"गिल्ली डंडा खेल में खिलाड़ी J गिल्ली मारने ही वाला है, लेकिन मारने से ठीक पहले हवा के झोंके से गिल्ली हिल जाती है। आगे क्या होता है?")</f>
        <v>गिल्ली डंडा खेल में खिलाड़ी J गिल्ली मारने ही वाला है, लेकिन मारने से ठीक पहले हवा के झोंके से गिल्ली हिल जाती है। आगे क्या होता है?</v>
      </c>
      <c r="H14" s="5" t="str">
        <f>IFERROR(__xludf.DUMMYFUNCTION("GOOGLETRANSLATE(C14, ""en"", ""hi"")"),"A) खेल तब तक रुका रहता है जब तक गिल्ली को पुनः स्थापित नहीं कर दिया जाता। , B) यदि गिल्ली को सही स्थान पर स्थापित कर दिया गया हो तो हिट को वैध माना जाता है। , C) खिलाड़ी J को देरी के लिए दंडित किया जाता है। , D) खेल पुनः शुरू किया जाता है।")</f>
        <v>A) खेल तब तक रुका रहता है जब तक गिल्ली को पुनः स्थापित नहीं कर दिया जाता। , B) यदि गिल्ली को सही स्थान पर स्थापित कर दिया गया हो तो हिट को वैध माना जाता है। , C) खिलाड़ी J को देरी के लिए दंडित किया जाता है। , D) खेल पुनः शुरू किया जाता है।</v>
      </c>
      <c r="I14" s="5" t="str">
        <f>IFERROR(__xludf.DUMMYFUNCTION("GOOGLETRANSLATE(D14, ""en"", ""hi"")"),"A) खेल तब तक रुका रहता है जब तक गिल्ली को पुनः स्थापित नहीं कर दिया जाता।")</f>
        <v>A) खेल तब तक रुका रहता है जब तक गिल्ली को पुनः स्थापित नहीं कर दिया जाता।</v>
      </c>
    </row>
    <row r="15" ht="22.5" customHeight="1">
      <c r="A15" s="2">
        <v>14.0</v>
      </c>
      <c r="B15" s="3" t="s">
        <v>11293</v>
      </c>
      <c r="C15" s="3" t="s">
        <v>11294</v>
      </c>
      <c r="D15" s="3" t="s">
        <v>11295</v>
      </c>
      <c r="F15" s="5" t="str">
        <f>IFERROR(__xludf.DUMMYFUNCTION("GOOGLETRANSLATE(A15, ""en"", ""hi"")"),"14")</f>
        <v>14</v>
      </c>
      <c r="G15" s="5" t="str">
        <f>IFERROR(__xludf.DUMMYFUNCTION("GOOGLETRANSLATE(B15, ""en"", ""hi"")"),"गिल्ली डंडा मैच में, खिलाड़ी K गिल्ली मारता है और वह ऐसी जगह गिरती है जो सभी खिलाड़ियों को आसानी से दिखाई नहीं देती। इस स्थिति से कैसे निपटा जाता है?")</f>
        <v>गिल्ली डंडा मैच में, खिलाड़ी K गिल्ली मारता है और वह ऐसी जगह गिरती है जो सभी खिलाड़ियों को आसानी से दिखाई नहीं देती। इस स्थिति से कैसे निपटा जाता है?</v>
      </c>
      <c r="H15" s="5" t="str">
        <f>IFERROR(__xludf.DUMMYFUNCTION("GOOGLETRANSLATE(C15, ""en"", ""hi"")"),"A) गिल्ली की खोज के साथ खेल जारी रहता है। , B) गिल्ली मिलने तक खेल रुका रहता है। , C) हिट को अमान्य माना जाता है। , D) खेल पुनः शुरू होता है।")</f>
        <v>A) गिल्ली की खोज के साथ खेल जारी रहता है। , B) गिल्ली मिलने तक खेल रुका रहता है। , C) हिट को अमान्य माना जाता है। , D) खेल पुनः शुरू होता है।</v>
      </c>
      <c r="I15" s="5" t="str">
        <f>IFERROR(__xludf.DUMMYFUNCTION("GOOGLETRANSLATE(D15, ""en"", ""hi"")"),"B) गिल्ली मिलने तक खेल रुका रहता है।")</f>
        <v>B) गिल्ली मिलने तक खेल रुका रहता है।</v>
      </c>
    </row>
    <row r="16" ht="22.5" customHeight="1">
      <c r="A16" s="2">
        <v>15.0</v>
      </c>
      <c r="B16" s="3" t="s">
        <v>11296</v>
      </c>
      <c r="C16" s="3" t="s">
        <v>11297</v>
      </c>
      <c r="D16" s="3" t="s">
        <v>11298</v>
      </c>
      <c r="F16" s="5" t="str">
        <f>IFERROR(__xludf.DUMMYFUNCTION("GOOGLETRANSLATE(A16, ""en"", ""hi"")"),"15")</f>
        <v>15</v>
      </c>
      <c r="G16" s="5" t="str">
        <f>IFERROR(__xludf.DUMMYFUNCTION("GOOGLETRANSLATE(B16, ""en"", ""hi"")"),"गिल्ली डंडा खेल में, खिलाड़ी L बल्लेबाजी कर रहा है और गिल्ली पर हिट करता है। गिल्ली गिरती है और घूमती है, लेकिन बाउंड्री से आगे नहीं जाती। इस हिट का आकलन कैसे किया जाता है?")</f>
        <v>गिल्ली डंडा खेल में, खिलाड़ी L बल्लेबाजी कर रहा है और गिल्ली पर हिट करता है। गिल्ली गिरती है और घूमती है, लेकिन बाउंड्री से आगे नहीं जाती। इस हिट का आकलन कैसे किया जाता है?</v>
      </c>
      <c r="H16" s="5" t="str">
        <f>IFERROR(__xludf.DUMMYFUNCTION("GOOGLETRANSLATE(C16, ""en"", ""hi"")"),"A) हिट को सफल माना जाता है। , B) हिट को असफल माना जाता है। , C) खेल को समीक्षा के लिए रोक दिया जाता है। , D) खिलाड़ी L को एक और मौका मिलता है।")</f>
        <v>A) हिट को सफल माना जाता है। , B) हिट को असफल माना जाता है। , C) खेल को समीक्षा के लिए रोक दिया जाता है। , D) खिलाड़ी L को एक और मौका मिलता है।</v>
      </c>
      <c r="I16" s="5" t="str">
        <f>IFERROR(__xludf.DUMMYFUNCTION("GOOGLETRANSLATE(D16, ""en"", ""hi"")"),"A) हिट को सफल माना जाता है।")</f>
        <v>A) हिट को सफल माना जाता है।</v>
      </c>
    </row>
    <row r="17" ht="22.5" customHeight="1">
      <c r="A17" s="2">
        <v>16.0</v>
      </c>
      <c r="B17" s="3" t="s">
        <v>11299</v>
      </c>
      <c r="C17" s="3" t="s">
        <v>11300</v>
      </c>
      <c r="D17" s="3" t="s">
        <v>11301</v>
      </c>
      <c r="F17" s="5" t="str">
        <f>IFERROR(__xludf.DUMMYFUNCTION("GOOGLETRANSLATE(A17, ""en"", ""hi"")"),"16")</f>
        <v>16</v>
      </c>
      <c r="G17" s="5" t="str">
        <f>IFERROR(__xludf.DUMMYFUNCTION("GOOGLETRANSLATE(B17, ""en"", ""hi"")"),"गिल्ली डंडा खेल के दौरान, खिलाड़ी M गिल्ली मारता है लेकिन गिल्ली एक पेड़ में अटक जाती है। नियमों के अनुसार क्या किया जाना चाहिए?")</f>
        <v>गिल्ली डंडा खेल के दौरान, खिलाड़ी M गिल्ली मारता है लेकिन गिल्ली एक पेड़ में अटक जाती है। नियमों के अनुसार क्या किया जाना चाहिए?</v>
      </c>
      <c r="H17" s="5" t="str">
        <f>IFERROR(__xludf.DUMMYFUNCTION("GOOGLETRANSLATE(C17, ""en"", ""hi"")"),"A) गिल्ली वापस ले ली जाती है और खेल जारी रहता है। , B) गिल्ली हटाए जाने तक खेल रुका रहता है। , C) खिलाड़ी M को दंडित किया जाता है। , D) खेल को नई गिल्ली के साथ पुनः शुरू किया जाता है।")</f>
        <v>A) गिल्ली वापस ले ली जाती है और खेल जारी रहता है। , B) गिल्ली हटाए जाने तक खेल रुका रहता है। , C) खिलाड़ी M को दंडित किया जाता है। , D) खेल को नई गिल्ली के साथ पुनः शुरू किया जाता है।</v>
      </c>
      <c r="I17" s="5" t="str">
        <f>IFERROR(__xludf.DUMMYFUNCTION("GOOGLETRANSLATE(D17, ""en"", ""hi"")"),"अ) गिल्ली वापस ले ली जाती है और खेल जारी रहता है।")</f>
        <v>अ) गिल्ली वापस ले ली जाती है और खेल जारी रहता है।</v>
      </c>
    </row>
    <row r="18" ht="22.5" customHeight="1">
      <c r="A18" s="2">
        <v>17.0</v>
      </c>
      <c r="B18" s="3" t="s">
        <v>11302</v>
      </c>
      <c r="C18" s="3" t="s">
        <v>11303</v>
      </c>
      <c r="D18" s="3" t="s">
        <v>11304</v>
      </c>
      <c r="F18" s="5" t="str">
        <f>IFERROR(__xludf.DUMMYFUNCTION("GOOGLETRANSLATE(A18, ""en"", ""hi"")"),"17")</f>
        <v>17</v>
      </c>
      <c r="G18" s="5" t="str">
        <f>IFERROR(__xludf.DUMMYFUNCTION("GOOGLETRANSLATE(B18, ""en"", ""hi"")"),"गिल्ली डंडा मैच में खिलाड़ी N गिल्ली पर वार करता है और वह गिरने से पहले हिटिंग एरिया की ओर वापस उछलती है। इस वार का मूल्यांकन कैसे किया जाता है?")</f>
        <v>गिल्ली डंडा मैच में खिलाड़ी N गिल्ली पर वार करता है और वह गिरने से पहले हिटिंग एरिया की ओर वापस उछलती है। इस वार का मूल्यांकन कैसे किया जाता है?</v>
      </c>
      <c r="H18" s="5" t="str">
        <f>IFERROR(__xludf.DUMMYFUNCTION("GOOGLETRANSLATE(C18, ""en"", ""hi"")"),"A) यदि गिल्ली सीमा के अंदर गिरती है तो हिट को वैध माना जाता है। , B) बाउंस-बैक के कारण हिट को अवैध माना जाता है। , C) खिलाड़ी N को एक और बारी दी जाती है। , D) खेल को समीक्षा के लिए रोक दिया जाता है।")</f>
        <v>A) यदि गिल्ली सीमा के अंदर गिरती है तो हिट को वैध माना जाता है। , B) बाउंस-बैक के कारण हिट को अवैध माना जाता है। , C) खिलाड़ी N को एक और बारी दी जाती है। , D) खेल को समीक्षा के लिए रोक दिया जाता है।</v>
      </c>
      <c r="I18" s="5" t="str">
        <f>IFERROR(__xludf.DUMMYFUNCTION("GOOGLETRANSLATE(D18, ""en"", ""hi"")"),"A) यदि गिल्ली सीमा के अंदर गिरती है तो हिट वैध मानी जाती है।")</f>
        <v>A) यदि गिल्ली सीमा के अंदर गिरती है तो हिट वैध मानी जाती है।</v>
      </c>
    </row>
    <row r="19" ht="22.5" customHeight="1">
      <c r="A19" s="2">
        <v>18.0</v>
      </c>
      <c r="B19" s="3" t="s">
        <v>11305</v>
      </c>
      <c r="C19" s="3" t="s">
        <v>11306</v>
      </c>
      <c r="D19" s="3" t="s">
        <v>11278</v>
      </c>
      <c r="F19" s="5" t="str">
        <f>IFERROR(__xludf.DUMMYFUNCTION("GOOGLETRANSLATE(A19, ""en"", ""hi"")"),"18")</f>
        <v>18</v>
      </c>
      <c r="G19" s="5" t="str">
        <f>IFERROR(__xludf.DUMMYFUNCTION("GOOGLETRANSLATE(B19, ""en"", ""hi"")"),"गिल्ली डंडा खेल में, खिलाड़ी O गिल्ली पर वार करता है और वह ऐसी जगह गिरती है जहाँ उसका कुछ भाग रेत से ढका होता है। इस स्थिति में क्या नियम है?")</f>
        <v>गिल्ली डंडा खेल में, खिलाड़ी O गिल्ली पर वार करता है और वह ऐसी जगह गिरती है जहाँ उसका कुछ भाग रेत से ढका होता है। इस स्थिति में क्या नियम है?</v>
      </c>
      <c r="H19" s="5" t="str">
        <f>IFERROR(__xludf.DUMMYFUNCTION("GOOGLETRANSLATE(C19, ""en"", ""hi"")"),"A) गिल्ली को खेल में माना जाता है। , B) गिल्ली को सीमा से बाहर माना जाता है। , C) खिलाड़ी O को दंडित किया जाता है। , D) खेल को पुनः शुरू किया जाता है।")</f>
        <v>A) गिल्ली को खेल में माना जाता है। , B) गिल्ली को सीमा से बाहर माना जाता है। , C) खिलाड़ी O को दंडित किया जाता है। , D) खेल को पुनः शुरू किया जाता है।</v>
      </c>
      <c r="I19" s="5" t="str">
        <f>IFERROR(__xludf.DUMMYFUNCTION("GOOGLETRANSLATE(D19, ""en"", ""hi"")"),"अ) गिल्ली को खेल में शामिल माना जाता है।")</f>
        <v>अ) गिल्ली को खेल में शामिल माना जाता है।</v>
      </c>
    </row>
    <row r="20" ht="22.5" customHeight="1">
      <c r="A20" s="2">
        <v>19.0</v>
      </c>
      <c r="B20" s="3" t="s">
        <v>11307</v>
      </c>
      <c r="C20" s="3" t="s">
        <v>11308</v>
      </c>
      <c r="D20" s="3" t="s">
        <v>11309</v>
      </c>
      <c r="F20" s="5" t="str">
        <f>IFERROR(__xludf.DUMMYFUNCTION("GOOGLETRANSLATE(A20, ""en"", ""hi"")"),"19")</f>
        <v>19</v>
      </c>
      <c r="G20" s="5" t="str">
        <f>IFERROR(__xludf.DUMMYFUNCTION("GOOGLETRANSLATE(B20, ""en"", ""hi"")"),"खिलाड़ी P गिल्ली-डंडा खेल में बल्लेबाजी कर रहा है और डंडे से गिल्ली को इस तरह मारता है कि वह ऊँची सतह पर गिरती है। इस स्थिति का आकलन कैसे किया जाना चाहिए?")</f>
        <v>खिलाड़ी P गिल्ली-डंडा खेल में बल्लेबाजी कर रहा है और डंडे से गिल्ली को इस तरह मारता है कि वह ऊँची सतह पर गिरती है। इस स्थिति का आकलन कैसे किया जाना चाहिए?</v>
      </c>
      <c r="H20" s="5" t="str">
        <f>IFERROR(__xludf.DUMMYFUNCTION("GOOGLETRANSLATE(C20, ""en"", ""hi"")"),"A) यदि गिल्ली खेल की सीमा के अंदर रहती है तो उसे खेल में माना जाता है। , B) गिल्ली को खेल की सीमा से बाहर माना जाता है। , C) खिलाड़ी P को एक और बारी दी जाती है। , D) खेल को समीक्षा के लिए रोक दिया जाता है।")</f>
        <v>A) यदि गिल्ली खेल की सीमा के अंदर रहती है तो उसे खेल में माना जाता है। , B) गिल्ली को खेल की सीमा से बाहर माना जाता है। , C) खिलाड़ी P को एक और बारी दी जाती है। , D) खेल को समीक्षा के लिए रोक दिया जाता है।</v>
      </c>
      <c r="I20" s="5" t="str">
        <f>IFERROR(__xludf.DUMMYFUNCTION("GOOGLETRANSLATE(D20, ""en"", ""hi"")"),"A) यदि गिल्ली सीमा के भीतर रहती है तो उसे खेल में माना जाता है।")</f>
        <v>A) यदि गिल्ली सीमा के भीतर रहती है तो उसे खेल में माना जाता है।</v>
      </c>
    </row>
    <row r="21" ht="22.5" customHeight="1">
      <c r="A21" s="2">
        <v>20.0</v>
      </c>
      <c r="B21" s="3" t="s">
        <v>11310</v>
      </c>
      <c r="C21" s="3" t="s">
        <v>11311</v>
      </c>
      <c r="D21" s="3" t="s">
        <v>11281</v>
      </c>
      <c r="F21" s="5" t="str">
        <f>IFERROR(__xludf.DUMMYFUNCTION("GOOGLETRANSLATE(A21, ""en"", ""hi"")"),"20")</f>
        <v>20</v>
      </c>
      <c r="G21" s="5" t="str">
        <f>IFERROR(__xludf.DUMMYFUNCTION("GOOGLETRANSLATE(B21, ""en"", ""hi"")"),"गिल्ली डंडा मैच के दौरान, खिलाड़ी Q गिल्ली पर वार करता है और वह ऐसी स्थिति में गिरती है जहाँ से वह तुरंत वापस शुरुआती क्षेत्र में लुढ़क जाती है। इस घटना की व्याख्या कैसे की जाती है?")</f>
        <v>गिल्ली डंडा मैच के दौरान, खिलाड़ी Q गिल्ली पर वार करता है और वह ऐसी स्थिति में गिरती है जहाँ से वह तुरंत वापस शुरुआती क्षेत्र में लुढ़क जाती है। इस घटना की व्याख्या कैसे की जाती है?</v>
      </c>
      <c r="H21" s="5" t="str">
        <f>IFERROR(__xludf.DUMMYFUNCTION("GOOGLETRANSLATE(C21, ""en"", ""hi"")"),"A) हिट को सफल माना जाता है। , B) हिट को असफल माना जाता है। , C) खेल पुनः शुरू किया जाता है। , D) खिलाड़ी Q को एक और मौका दिया जाता है।")</f>
        <v>A) हिट को सफल माना जाता है। , B) हिट को असफल माना जाता है। , C) खेल पुनः शुरू किया जाता है। , D) खिलाड़ी Q को एक और मौका दिया जाता है।</v>
      </c>
      <c r="I21" s="5" t="str">
        <f>IFERROR(__xludf.DUMMYFUNCTION("GOOGLETRANSLATE(D21, ""en"", ""hi"")"),"बी) हिट को विफलता माना जाता है।")</f>
        <v>बी) हिट को विफलता माना जाता है।</v>
      </c>
    </row>
    <row r="22" ht="22.5" customHeight="1">
      <c r="A22" s="2">
        <v>21.0</v>
      </c>
      <c r="B22" s="3" t="s">
        <v>11312</v>
      </c>
      <c r="C22" s="3" t="s">
        <v>11313</v>
      </c>
      <c r="D22" s="3" t="s">
        <v>11314</v>
      </c>
      <c r="F22" s="5" t="str">
        <f>IFERROR(__xludf.DUMMYFUNCTION("GOOGLETRANSLATE(A22, ""en"", ""hi"")"),"21")</f>
        <v>21</v>
      </c>
      <c r="G22" s="5" t="str">
        <f>IFERROR(__xludf.DUMMYFUNCTION("GOOGLETRANSLATE(B22, ""en"", ""hi"")"),"गिल्ली डंडा खेल में, खिलाड़ी R गिल्ली मारता है, लेकिन गिल्ली पानी वाली जगह पर गिरती है। उचित नियम क्या है?")</f>
        <v>गिल्ली डंडा खेल में, खिलाड़ी R गिल्ली मारता है, लेकिन गिल्ली पानी वाली जगह पर गिरती है। उचित नियम क्या है?</v>
      </c>
      <c r="H22" s="5" t="str">
        <f>IFERROR(__xludf.DUMMYFUNCTION("GOOGLETRANSLATE(C22, ""en"", ""hi"")"),"A) गिल्ली को खेल से बाहर माना जाता है। , B) गिल्ली को खेल में माना जाता है। , C) गिल्ली के सूखने तक खेल रोक दिया जाता है। , D) खिलाड़ी R को एक और मौका दिया जाता है।")</f>
        <v>A) गिल्ली को खेल से बाहर माना जाता है। , B) गिल्ली को खेल में माना जाता है। , C) गिल्ली के सूखने तक खेल रोक दिया जाता है। , D) खिलाड़ी R को एक और मौका दिया जाता है।</v>
      </c>
      <c r="I22" s="5" t="str">
        <f>IFERROR(__xludf.DUMMYFUNCTION("GOOGLETRANSLATE(D22, ""en"", ""hi"")"),"अ) गिल्ली को सीमा से बाहर माना जाता है।")</f>
        <v>अ) गिल्ली को सीमा से बाहर माना जाता है।</v>
      </c>
    </row>
    <row r="23" ht="22.5" customHeight="1">
      <c r="A23" s="2">
        <v>22.0</v>
      </c>
      <c r="B23" s="3" t="s">
        <v>11315</v>
      </c>
      <c r="C23" s="3" t="s">
        <v>11316</v>
      </c>
      <c r="D23" s="3" t="s">
        <v>11278</v>
      </c>
      <c r="F23" s="5" t="str">
        <f>IFERROR(__xludf.DUMMYFUNCTION("GOOGLETRANSLATE(A23, ""en"", ""hi"")"),"22")</f>
        <v>22</v>
      </c>
      <c r="G23" s="5" t="str">
        <f>IFERROR(__xludf.DUMMYFUNCTION("GOOGLETRANSLATE(B23, ""en"", ""hi"")"),"खिलाड़ी S गिल्ली डंडा खेल में बल्लेबाजी कर रहा है और गिल्ली ऐसी जगह गिरती है जहाँ वह आंशिक रूप से घास से ढकी हुई है। इस हिट का नियम क्या होना चाहिए?")</f>
        <v>खिलाड़ी S गिल्ली डंडा खेल में बल्लेबाजी कर रहा है और गिल्ली ऐसी जगह गिरती है जहाँ वह आंशिक रूप से घास से ढकी हुई है। इस हिट का नियम क्या होना चाहिए?</v>
      </c>
      <c r="H23" s="5" t="str">
        <f>IFERROR(__xludf.DUMMYFUNCTION("GOOGLETRANSLATE(C23, ""en"", ""hi"")"),"A) गिल्ली को खेल में माना जाता है। , B) गिल्ली को सीमा से बाहर माना जाता है। , C) गिल्ली के साफ होने तक खेल रोक दिया जाता है। , D) खिलाड़ी S को एक और मौका दिया जाता है।")</f>
        <v>A) गिल्ली को खेल में माना जाता है। , B) गिल्ली को सीमा से बाहर माना जाता है। , C) गिल्ली के साफ होने तक खेल रोक दिया जाता है। , D) खिलाड़ी S को एक और मौका दिया जाता है।</v>
      </c>
      <c r="I23" s="5" t="str">
        <f>IFERROR(__xludf.DUMMYFUNCTION("GOOGLETRANSLATE(D23, ""en"", ""hi"")"),"अ) गिल्ली को खेल में शामिल माना जाता है।")</f>
        <v>अ) गिल्ली को खेल में शामिल माना जाता है।</v>
      </c>
    </row>
    <row r="24" ht="22.5" customHeight="1">
      <c r="A24" s="2">
        <v>23.0</v>
      </c>
      <c r="B24" s="3" t="s">
        <v>11317</v>
      </c>
      <c r="C24" s="3" t="s">
        <v>11318</v>
      </c>
      <c r="D24" s="3" t="s">
        <v>11309</v>
      </c>
      <c r="F24" s="5" t="str">
        <f>IFERROR(__xludf.DUMMYFUNCTION("GOOGLETRANSLATE(A24, ""en"", ""hi"")"),"23")</f>
        <v>23</v>
      </c>
      <c r="G24" s="5" t="str">
        <f>IFERROR(__xludf.DUMMYFUNCTION("GOOGLETRANSLATE(B24, ""en"", ""hi"")"),"गिल्ली डंडा मैच के दौरान, खिलाड़ी T गिल्ली पर वार करता है और वह ढलान पर गिरती है, जिससे वह नीचे की ओर लुढ़क जाती है। इस वार का मूल्यांकन कैसे किया जाता है?")</f>
        <v>गिल्ली डंडा मैच के दौरान, खिलाड़ी T गिल्ली पर वार करता है और वह ढलान पर गिरती है, जिससे वह नीचे की ओर लुढ़क जाती है। इस वार का मूल्यांकन कैसे किया जाता है?</v>
      </c>
      <c r="H24" s="5" t="str">
        <f>IFERROR(__xludf.DUMMYFUNCTION("GOOGLETRANSLATE(C24, ""en"", ""hi"")"),"A) यदि गिल्ली सीमा के भीतर रहती है तो उसे खेल में माना जाता है। , B) गिल्ली को सीमा के बाहर माना जाता है। , C) नीचे की ओर लुढ़कने के कारण हिट को अमान्य माना जाता है। , D) खिलाड़ी टी को एक और मौका दिया जाता है।")</f>
        <v>A) यदि गिल्ली सीमा के भीतर रहती है तो उसे खेल में माना जाता है। , B) गिल्ली को सीमा के बाहर माना जाता है। , C) नीचे की ओर लुढ़कने के कारण हिट को अमान्य माना जाता है। , D) खिलाड़ी टी को एक और मौका दिया जाता है।</v>
      </c>
      <c r="I24" s="5" t="str">
        <f>IFERROR(__xludf.DUMMYFUNCTION("GOOGLETRANSLATE(D24, ""en"", ""hi"")"),"A) यदि गिल्ली सीमा के भीतर रहती है तो उसे खेल में माना जाता है।")</f>
        <v>A) यदि गिल्ली सीमा के भीतर रहती है तो उसे खेल में माना जाता है।</v>
      </c>
    </row>
    <row r="25" ht="22.5" customHeight="1">
      <c r="A25" s="2">
        <v>24.0</v>
      </c>
      <c r="B25" s="3" t="s">
        <v>11319</v>
      </c>
      <c r="C25" s="3" t="s">
        <v>11320</v>
      </c>
      <c r="D25" s="3" t="s">
        <v>11314</v>
      </c>
      <c r="F25" s="5" t="str">
        <f>IFERROR(__xludf.DUMMYFUNCTION("GOOGLETRANSLATE(A25, ""en"", ""hi"")"),"24")</f>
        <v>24</v>
      </c>
      <c r="G25" s="5" t="str">
        <f>IFERROR(__xludf.DUMMYFUNCTION("GOOGLETRANSLATE(B25, ""en"", ""hi"")"),"खिलाड़ी U गिल्ली मारता है और वह ऐसी जगह गिरती है जहाँ एक वस्तु उसे तुरंत रोक देती है। इस स्थिति से कैसे निपटा जाए?")</f>
        <v>खिलाड़ी U गिल्ली मारता है और वह ऐसी जगह गिरती है जहाँ एक वस्तु उसे तुरंत रोक देती है। इस स्थिति से कैसे निपटा जाए?</v>
      </c>
      <c r="H25" s="5" t="str">
        <f>IFERROR(__xludf.DUMMYFUNCTION("GOOGLETRANSLATE(C25, ""en"", ""hi"")"),"A) गिल्ली को सीमा से बाहर माना जाता है। , B) गिल्ली को खेल में माना जाता है। , C) खेल को तब तक रोक दिया जाता है जब तक बाधा को हटा नहीं दिया जाता है। , D) खिलाड़ी U को एक और मौका दिया जाता है।")</f>
        <v>A) गिल्ली को सीमा से बाहर माना जाता है। , B) गिल्ली को खेल में माना जाता है। , C) खेल को तब तक रोक दिया जाता है जब तक बाधा को हटा नहीं दिया जाता है। , D) खिलाड़ी U को एक और मौका दिया जाता है।</v>
      </c>
      <c r="I25" s="5" t="str">
        <f>IFERROR(__xludf.DUMMYFUNCTION("GOOGLETRANSLATE(D25, ""en"", ""hi"")"),"अ) गिल्ली को सीमा से बाहर माना जाता है।")</f>
        <v>अ) गिल्ली को सीमा से बाहर माना जाता है।</v>
      </c>
    </row>
    <row r="26" ht="22.5" customHeight="1">
      <c r="A26" s="2">
        <v>25.0</v>
      </c>
      <c r="B26" s="3" t="s">
        <v>11321</v>
      </c>
      <c r="C26" s="3" t="s">
        <v>11322</v>
      </c>
      <c r="D26" s="3" t="s">
        <v>11278</v>
      </c>
      <c r="F26" s="5" t="str">
        <f>IFERROR(__xludf.DUMMYFUNCTION("GOOGLETRANSLATE(A26, ""en"", ""hi"")"),"25")</f>
        <v>25</v>
      </c>
      <c r="G26" s="5" t="str">
        <f>IFERROR(__xludf.DUMMYFUNCTION("GOOGLETRANSLATE(B26, ""en"", ""hi"")"),"गिल्ली डंडा खेल में, खिलाड़ी V गिल्ली मारता है और वह खेल क्षेत्र की ठीक मध्य रेखा पर गिरती है। उचित नियम क्या है?")</f>
        <v>गिल्ली डंडा खेल में, खिलाड़ी V गिल्ली मारता है और वह खेल क्षेत्र की ठीक मध्य रेखा पर गिरती है। उचित नियम क्या है?</v>
      </c>
      <c r="H26" s="5" t="str">
        <f>IFERROR(__xludf.DUMMYFUNCTION("GOOGLETRANSLATE(C26, ""en"", ""hi"")"),"A) गिल्ली को खेल में माना जाता है। , B) गिल्ली को सीमा से बाहर माना जाता है। , C) हिट को अवैध माना जाता है। , D) खेल को समीक्षा के लिए रोक दिया जाता है।")</f>
        <v>A) गिल्ली को खेल में माना जाता है। , B) गिल्ली को सीमा से बाहर माना जाता है। , C) हिट को अवैध माना जाता है। , D) खेल को समीक्षा के लिए रोक दिया जाता है।</v>
      </c>
      <c r="I26" s="5" t="str">
        <f>IFERROR(__xludf.DUMMYFUNCTION("GOOGLETRANSLATE(D26, ""en"", ""hi"")"),"अ) गिल्ली को खेल में शामिल माना जाता है।")</f>
        <v>अ) गिल्ली को खेल में शामिल माना जाता है।</v>
      </c>
    </row>
    <row r="27" ht="22.5" customHeight="1">
      <c r="A27" s="2">
        <v>26.0</v>
      </c>
      <c r="B27" s="3" t="s">
        <v>11323</v>
      </c>
      <c r="C27" s="3" t="s">
        <v>11324</v>
      </c>
      <c r="D27" s="3" t="s">
        <v>11266</v>
      </c>
      <c r="F27" s="5" t="str">
        <f>IFERROR(__xludf.DUMMYFUNCTION("GOOGLETRANSLATE(A27, ""en"", ""hi"")"),"26")</f>
        <v>26</v>
      </c>
      <c r="G27" s="5" t="str">
        <f>IFERROR(__xludf.DUMMYFUNCTION("GOOGLETRANSLATE(B27, ""en"", ""hi"")"),"खिलाड़ी W बल्लेबाजी कर रहा है और डंडे से गिल्ली पर वार करता है। गिल्ली ऐसी जगह गिरती है जहाँ वह आंशिक रूप से कीचड़ में धँसी हुई है। इस वार का नियम क्या है?")</f>
        <v>खिलाड़ी W बल्लेबाजी कर रहा है और डंडे से गिल्ली पर वार करता है। गिल्ली ऐसी जगह गिरती है जहाँ वह आंशिक रूप से कीचड़ में धँसी हुई है। इस वार का नियम क्या है?</v>
      </c>
      <c r="H27" s="5" t="str">
        <f>IFERROR(__xludf.DUMMYFUNCTION("GOOGLETRANSLATE(C27, ""en"", ""hi"")"),"A) गिल्ली को खेल में माना जाता है। , B) गिल्ली को सीमा से बाहर माना जाता है। , C) गिल्ली को साफ़ करने तक खेल को रोक दिया जाता है। , D) खिलाड़ी W को दंडित किया जाता है।")</f>
        <v>A) गिल्ली को खेल में माना जाता है। , B) गिल्ली को सीमा से बाहर माना जाता है। , C) गिल्ली को साफ़ करने तक खेल को रोक दिया जाता है। , D) खिलाड़ी W को दंडित किया जाता है।</v>
      </c>
      <c r="I27" s="5" t="str">
        <f>IFERROR(__xludf.DUMMYFUNCTION("GOOGLETRANSLATE(D27, ""en"", ""hi"")"),"बी) गिल्ली को सीमा से बाहर माना जाता है।")</f>
        <v>बी) गिल्ली को सीमा से बाहर माना जाता है।</v>
      </c>
    </row>
    <row r="28" ht="22.5" customHeight="1">
      <c r="A28" s="2">
        <v>27.0</v>
      </c>
      <c r="B28" s="3" t="s">
        <v>11325</v>
      </c>
      <c r="C28" s="3" t="s">
        <v>11326</v>
      </c>
      <c r="D28" s="3" t="s">
        <v>11327</v>
      </c>
      <c r="F28" s="5" t="str">
        <f>IFERROR(__xludf.DUMMYFUNCTION("GOOGLETRANSLATE(A28, ""en"", ""hi"")"),"27")</f>
        <v>27</v>
      </c>
      <c r="G28" s="5" t="str">
        <f>IFERROR(__xludf.DUMMYFUNCTION("GOOGLETRANSLATE(B28, ""en"", ""hi"")"),"गिल्ली डंडा मैच के दौरान, खिलाड़ी X गिल्ली मारता है, लेकिन वह ऐसी जगह गिरती है जहाँ बाधाओं के कारण पहुँचना आसान नहीं है। क्या किया जाना चाहिए?")</f>
        <v>गिल्ली डंडा मैच के दौरान, खिलाड़ी X गिल्ली मारता है, लेकिन वह ऐसी जगह गिरती है जहाँ बाधाओं के कारण पहुँचना आसान नहीं है। क्या किया जाना चाहिए?</v>
      </c>
      <c r="H28" s="5" t="str">
        <f>IFERROR(__xludf.DUMMYFUNCTION("GOOGLETRANSLATE(C28, ""en"", ""hi"")"),"A) गिल्ली वापस मिलने तक खेल रुका रहता है। , B) गिल्ली को खेल से बाहर माना जाता है। , C) खिलाड़ी X को एक और बारी दी जाती है। , D) खेल पुनः शुरू होता है।")</f>
        <v>A) गिल्ली वापस मिलने तक खेल रुका रहता है। , B) गिल्ली को खेल से बाहर माना जाता है। , C) खिलाड़ी X को एक और बारी दी जाती है। , D) खेल पुनः शुरू होता है।</v>
      </c>
      <c r="I28" s="5" t="str">
        <f>IFERROR(__xludf.DUMMYFUNCTION("GOOGLETRANSLATE(D28, ""en"", ""hi"")"),"A) गिल्ली वापस मिलने तक खेल रुका रहता है।")</f>
        <v>A) गिल्ली वापस मिलने तक खेल रुका रहता है।</v>
      </c>
    </row>
    <row r="29" ht="22.5" customHeight="1">
      <c r="A29" s="2">
        <v>28.0</v>
      </c>
      <c r="B29" s="3" t="s">
        <v>11328</v>
      </c>
      <c r="C29" s="3" t="s">
        <v>11329</v>
      </c>
      <c r="D29" s="3" t="s">
        <v>11330</v>
      </c>
      <c r="F29" s="5" t="str">
        <f>IFERROR(__xludf.DUMMYFUNCTION("GOOGLETRANSLATE(A29, ""en"", ""hi"")"),"28")</f>
        <v>28</v>
      </c>
      <c r="G29" s="5" t="str">
        <f>IFERROR(__xludf.DUMMYFUNCTION("GOOGLETRANSLATE(B29, ""en"", ""hi"")"),"गिल्ली डंडा खेल में खिलाड़ी Y गिल्ली पर वार करता है और गिल्ली ऐसी स्थिति में गिरती है कि वह तुरंत अपने आप घूमने लगती है। इस वार का मूल्यांकन कैसे किया जाता है?")</f>
        <v>गिल्ली डंडा खेल में खिलाड़ी Y गिल्ली पर वार करता है और गिल्ली ऐसी स्थिति में गिरती है कि वह तुरंत अपने आप घूमने लगती है। इस वार का मूल्यांकन कैसे किया जाता है?</v>
      </c>
      <c r="H29" s="5" t="str">
        <f>IFERROR(__xludf.DUMMYFUNCTION("GOOGLETRANSLATE(C29, ""en"", ""hi"")"),"ए) स्पिनिंग को हिट का हिस्सा माना जाता है।, बी) स्पिनिंग को नजरअंदाज कर दिया जाता है और दूरी को गिना जाता है।, सी) अत्यधिक स्पिनिंग के कारण हिट को अमान्य माना जाता है।, डी) खेल को समीक्षा के लिए रोक दिया जाता है।")</f>
        <v>ए) स्पिनिंग को हिट का हिस्सा माना जाता है।, बी) स्पिनिंग को नजरअंदाज कर दिया जाता है और दूरी को गिना जाता है।, सी) अत्यधिक स्पिनिंग के कारण हिट को अमान्य माना जाता है।, डी) खेल को समीक्षा के लिए रोक दिया जाता है।</v>
      </c>
      <c r="I29" s="5" t="str">
        <f>IFERROR(__xludf.DUMMYFUNCTION("GOOGLETRANSLATE(D29, ""en"", ""hi"")"),"बी) घूर्णन को नजरअंदाज कर दिया जाता है और दूरी की गणना की जाती है।")</f>
        <v>बी) घूर्णन को नजरअंदाज कर दिया जाता है और दूरी की गणना की जाती है।</v>
      </c>
    </row>
    <row r="30" ht="22.5" customHeight="1">
      <c r="A30" s="2">
        <v>29.0</v>
      </c>
      <c r="B30" s="3" t="s">
        <v>11331</v>
      </c>
      <c r="C30" s="3" t="s">
        <v>11332</v>
      </c>
      <c r="D30" s="3" t="s">
        <v>11309</v>
      </c>
      <c r="F30" s="5" t="str">
        <f>IFERROR(__xludf.DUMMYFUNCTION("GOOGLETRANSLATE(A30, ""en"", ""hi"")"),"29")</f>
        <v>29</v>
      </c>
      <c r="G30" s="5" t="str">
        <f>IFERROR(__xludf.DUMMYFUNCTION("GOOGLETRANSLATE(B30, ""en"", ""hi"")"),"गिल्ली डंडा मैच में, खिलाड़ी Z गिल्ली पर वार करता है और वह ढलान पर गिरती है, जिससे वह लुढ़क कर नीचे आ जाती है। इस स्थिति पर क्या निर्णय लिया जाना चाहिए?")</f>
        <v>गिल्ली डंडा मैच में, खिलाड़ी Z गिल्ली पर वार करता है और वह ढलान पर गिरती है, जिससे वह लुढ़क कर नीचे आ जाती है। इस स्थिति पर क्या निर्णय लिया जाना चाहिए?</v>
      </c>
      <c r="H30" s="5" t="str">
        <f>IFERROR(__xludf.DUMMYFUNCTION("GOOGLETRANSLATE(C30, ""en"", ""hi"")"),"A) गिल्ली को खेल में माना जाता है यदि वह सीमा के भीतर रहती है। , B) गिल्ली को सीमा के बाहर माना जाता है। , C) नीचे की ओर लुढ़कने के कारण हिट को अमान्य माना जाता है। , D) खिलाड़ी Z को एक और मौका दिया जाता है।")</f>
        <v>A) गिल्ली को खेल में माना जाता है यदि वह सीमा के भीतर रहती है। , B) गिल्ली को सीमा के बाहर माना जाता है। , C) नीचे की ओर लुढ़कने के कारण हिट को अमान्य माना जाता है। , D) खिलाड़ी Z को एक और मौका दिया जाता है।</v>
      </c>
      <c r="I30" s="5" t="str">
        <f>IFERROR(__xludf.DUMMYFUNCTION("GOOGLETRANSLATE(D30, ""en"", ""hi"")"),"A) यदि गिल्ली सीमा के भीतर रहती है तो उसे खेल में माना जाता है।")</f>
        <v>A) यदि गिल्ली सीमा के भीतर रहती है तो उसे खेल में माना जाता है।</v>
      </c>
    </row>
    <row r="31" ht="22.5" customHeight="1">
      <c r="A31" s="2">
        <v>30.0</v>
      </c>
      <c r="B31" s="3" t="s">
        <v>11333</v>
      </c>
      <c r="C31" s="3" t="s">
        <v>11322</v>
      </c>
      <c r="D31" s="3" t="s">
        <v>11278</v>
      </c>
      <c r="F31" s="5" t="str">
        <f>IFERROR(__xludf.DUMMYFUNCTION("GOOGLETRANSLATE(A31, ""en"", ""hi"")"),"30")</f>
        <v>30</v>
      </c>
      <c r="G31" s="5" t="str">
        <f>IFERROR(__xludf.DUMMYFUNCTION("GOOGLETRANSLATE(B31, ""en"", ""hi"")"),"गिल्ली डंडा खेल के दौरान, खिलाड़ी A गिल्ली मारता है और वह खेल क्षेत्र के ठीक कोने पर गिरती है। उचित नियम क्या है?")</f>
        <v>गिल्ली डंडा खेल के दौरान, खिलाड़ी A गिल्ली मारता है और वह खेल क्षेत्र के ठीक कोने पर गिरती है। उचित नियम क्या है?</v>
      </c>
      <c r="H31" s="5" t="str">
        <f>IFERROR(__xludf.DUMMYFUNCTION("GOOGLETRANSLATE(C31, ""en"", ""hi"")"),"A) गिल्ली को खेल में माना जाता है। , B) गिल्ली को सीमा से बाहर माना जाता है। , C) हिट को अवैध माना जाता है। , D) खेल को समीक्षा के लिए रोक दिया जाता है।")</f>
        <v>A) गिल्ली को खेल में माना जाता है। , B) गिल्ली को सीमा से बाहर माना जाता है। , C) हिट को अवैध माना जाता है। , D) खेल को समीक्षा के लिए रोक दिया जाता है।</v>
      </c>
      <c r="I31" s="5" t="str">
        <f>IFERROR(__xludf.DUMMYFUNCTION("GOOGLETRANSLATE(D31, ""en"", ""hi"")"),"अ) गिल्ली को खेल में शामिल माना जाता है।")</f>
        <v>अ) गिल्ली को खेल में शामिल माना जाता है।</v>
      </c>
    </row>
    <row r="32" ht="22.5" customHeight="1">
      <c r="A32" s="2">
        <v>31.0</v>
      </c>
      <c r="B32" s="3" t="s">
        <v>11334</v>
      </c>
      <c r="C32" s="3" t="s">
        <v>11335</v>
      </c>
      <c r="D32" s="3" t="s">
        <v>11309</v>
      </c>
      <c r="F32" s="5" t="str">
        <f>IFERROR(__xludf.DUMMYFUNCTION("GOOGLETRANSLATE(A32, ""en"", ""hi"")"),"31")</f>
        <v>31</v>
      </c>
      <c r="G32" s="5" t="str">
        <f>IFERROR(__xludf.DUMMYFUNCTION("GOOGLETRANSLATE(B32, ""en"", ""hi"")"),"खिलाड़ी B गिल्ली को मारता है और वह ऐसी जगह गिरती है जहाँ हवा के कारण वह तुरंत हिलने लगती है। इस घटना की व्याख्या कैसे की जाती है?")</f>
        <v>खिलाड़ी B गिल्ली को मारता है और वह ऐसी जगह गिरती है जहाँ हवा के कारण वह तुरंत हिलने लगती है। इस घटना की व्याख्या कैसे की जाती है?</v>
      </c>
      <c r="H32" s="5" t="str">
        <f>IFERROR(__xludf.DUMMYFUNCTION("GOOGLETRANSLATE(C32, ""en"", ""hi"")"),"A) गिल्ली को खेल में माना जाता है यदि वह सीमा के भीतर रहती है। , B) गिल्ली को सीमा से बाहर माना जाता है। , C) हवा की गति के कारण हिट को अमान्य माना जाता है। , D) खेल को समीक्षा के लिए रोक दिया जाता है।")</f>
        <v>A) गिल्ली को खेल में माना जाता है यदि वह सीमा के भीतर रहती है। , B) गिल्ली को सीमा से बाहर माना जाता है। , C) हवा की गति के कारण हिट को अमान्य माना जाता है। , D) खेल को समीक्षा के लिए रोक दिया जाता है।</v>
      </c>
      <c r="I32" s="5" t="str">
        <f>IFERROR(__xludf.DUMMYFUNCTION("GOOGLETRANSLATE(D32, ""en"", ""hi"")"),"A) यदि गिल्ली सीमा के भीतर रहती है तो उसे खेल में माना जाता है।")</f>
        <v>A) यदि गिल्ली सीमा के भीतर रहती है तो उसे खेल में माना जाता है।</v>
      </c>
    </row>
    <row r="33" ht="22.5" customHeight="1">
      <c r="A33" s="2">
        <v>32.0</v>
      </c>
      <c r="B33" s="3" t="s">
        <v>11336</v>
      </c>
      <c r="C33" s="3" t="s">
        <v>11337</v>
      </c>
      <c r="D33" s="3" t="s">
        <v>11278</v>
      </c>
      <c r="F33" s="5" t="str">
        <f>IFERROR(__xludf.DUMMYFUNCTION("GOOGLETRANSLATE(A33, ""en"", ""hi"")"),"32")</f>
        <v>32</v>
      </c>
      <c r="G33" s="5" t="str">
        <f>IFERROR(__xludf.DUMMYFUNCTION("GOOGLETRANSLATE(B33, ""en"", ""hi"")"),"गिल्ली डंडा खेल में, खिलाड़ी C गिल्ली पर वार करता है और वह ऐसी जगह गिरती है जहाँ उसका कुछ हिस्सा पत्तों से ढका होता है। इस वार का नियम क्या है?")</f>
        <v>गिल्ली डंडा खेल में, खिलाड़ी C गिल्ली पर वार करता है और वह ऐसी जगह गिरती है जहाँ उसका कुछ हिस्सा पत्तों से ढका होता है। इस वार का नियम क्या है?</v>
      </c>
      <c r="H33" s="5" t="str">
        <f>IFERROR(__xludf.DUMMYFUNCTION("GOOGLETRANSLATE(C33, ""en"", ""hi"")"),"A) गिल्ली को खेल में माना जाता है। , B) गिल्ली को सीमा से बाहर माना जाता है। , C) गिल्ली के खुलने तक खेल रोक दिया जाता है। , D) खिलाड़ी C को एक और मौका दिया जाता है।")</f>
        <v>A) गिल्ली को खेल में माना जाता है। , B) गिल्ली को सीमा से बाहर माना जाता है। , C) गिल्ली के खुलने तक खेल रोक दिया जाता है। , D) खिलाड़ी C को एक और मौका दिया जाता है।</v>
      </c>
      <c r="I33" s="5" t="str">
        <f>IFERROR(__xludf.DUMMYFUNCTION("GOOGLETRANSLATE(D33, ""en"", ""hi"")"),"अ) गिल्ली को खेल में शामिल माना जाता है।")</f>
        <v>अ) गिल्ली को खेल में शामिल माना जाता है।</v>
      </c>
    </row>
    <row r="34" ht="22.5" customHeight="1">
      <c r="A34" s="2">
        <v>33.0</v>
      </c>
      <c r="B34" s="3" t="s">
        <v>11338</v>
      </c>
      <c r="C34" s="3" t="s">
        <v>11339</v>
      </c>
      <c r="D34" s="3" t="s">
        <v>11309</v>
      </c>
      <c r="F34" s="5" t="str">
        <f>IFERROR(__xludf.DUMMYFUNCTION("GOOGLETRANSLATE(A34, ""en"", ""hi"")"),"33")</f>
        <v>33</v>
      </c>
      <c r="G34" s="5" t="str">
        <f>IFERROR(__xludf.DUMMYFUNCTION("GOOGLETRANSLATE(B34, ""en"", ""hi"")"),"गिल्ली डंडा खेल में खिलाड़ी D गिल्ली मारता है और गिल्ली ऐसी जगह गिरती है जहाँ ढलान के कारण वह तुरंत लुढ़कने लगती है। इस स्थिति पर क्या निर्णय लिया जाना चाहिए?")</f>
        <v>गिल्ली डंडा खेल में खिलाड़ी D गिल्ली मारता है और गिल्ली ऐसी जगह गिरती है जहाँ ढलान के कारण वह तुरंत लुढ़कने लगती है। इस स्थिति पर क्या निर्णय लिया जाना चाहिए?</v>
      </c>
      <c r="H34" s="5" t="str">
        <f>IFERROR(__xludf.DUMMYFUNCTION("GOOGLETRANSLATE(C34, ""en"", ""hi"")"),"A) गिल्ली को खेल में माना जाता है यदि वह सीमा के भीतर रहती है। , B) गिल्ली को सीमा के बाहर माना जाता है। , C) रोलिंग के कारण हिट को अमान्य माना जाता है। , D) खिलाड़ी D को एक और मौका दिया जाता है।")</f>
        <v>A) गिल्ली को खेल में माना जाता है यदि वह सीमा के भीतर रहती है। , B) गिल्ली को सीमा के बाहर माना जाता है। , C) रोलिंग के कारण हिट को अमान्य माना जाता है। , D) खिलाड़ी D को एक और मौका दिया जाता है।</v>
      </c>
      <c r="I34" s="5" t="str">
        <f>IFERROR(__xludf.DUMMYFUNCTION("GOOGLETRANSLATE(D34, ""en"", ""hi"")"),"A) यदि गिल्ली सीमा के भीतर रहती है तो उसे खेल में माना जाता है।")</f>
        <v>A) यदि गिल्ली सीमा के भीतर रहती है तो उसे खेल में माना जाता है।</v>
      </c>
    </row>
    <row r="35" ht="22.5" customHeight="1">
      <c r="A35" s="2">
        <v>34.0</v>
      </c>
      <c r="B35" s="3" t="s">
        <v>11340</v>
      </c>
      <c r="C35" s="3" t="s">
        <v>11341</v>
      </c>
      <c r="D35" s="3" t="s">
        <v>11314</v>
      </c>
      <c r="F35" s="5" t="str">
        <f>IFERROR(__xludf.DUMMYFUNCTION("GOOGLETRANSLATE(A35, ""en"", ""hi"")"),"34")</f>
        <v>34</v>
      </c>
      <c r="G35" s="5" t="str">
        <f>IFERROR(__xludf.DUMMYFUNCTION("GOOGLETRANSLATE(B35, ""en"", ""hi"")"),"गिल्ली डंडा मैच के दौरान, खिलाड़ी E गिल्ली मारता है, लेकिन वह ऐसी जगह गिरती है जहाँ वह आंशिक रूप से एक पत्थर से अवरुद्ध हो जाती है। इस प्रहार का मूल्यांकन कैसे किया जाता है?")</f>
        <v>गिल्ली डंडा मैच के दौरान, खिलाड़ी E गिल्ली मारता है, लेकिन वह ऐसी जगह गिरती है जहाँ वह आंशिक रूप से एक पत्थर से अवरुद्ध हो जाती है। इस प्रहार का मूल्यांकन कैसे किया जाता है?</v>
      </c>
      <c r="H35" s="5" t="str">
        <f>IFERROR(__xludf.DUMMYFUNCTION("GOOGLETRANSLATE(C35, ""en"", ""hi"")"),"A) गिल्ली को सीमा से बाहर माना जाता है। , B) गिल्ली को खेल में माना जाता है। , C) गिल्ली के साफ होने तक खेल रोक दिया जाता है। , D) खिलाड़ी E को एक और मौका दिया जाता है।")</f>
        <v>A) गिल्ली को सीमा से बाहर माना जाता है। , B) गिल्ली को खेल में माना जाता है। , C) गिल्ली के साफ होने तक खेल रोक दिया जाता है। , D) खिलाड़ी E को एक और मौका दिया जाता है।</v>
      </c>
      <c r="I35" s="5" t="str">
        <f>IFERROR(__xludf.DUMMYFUNCTION("GOOGLETRANSLATE(D35, ""en"", ""hi"")"),"अ) गिल्ली को सीमा से बाहर माना जाता है।")</f>
        <v>अ) गिल्ली को सीमा से बाहर माना जाता है।</v>
      </c>
    </row>
    <row r="36" ht="22.5" customHeight="1">
      <c r="A36" s="2">
        <v>35.0</v>
      </c>
      <c r="B36" s="3" t="s">
        <v>11342</v>
      </c>
      <c r="C36" s="3" t="s">
        <v>11343</v>
      </c>
      <c r="D36" s="3" t="s">
        <v>11314</v>
      </c>
      <c r="F36" s="5" t="str">
        <f>IFERROR(__xludf.DUMMYFUNCTION("GOOGLETRANSLATE(A36, ""en"", ""hi"")"),"35")</f>
        <v>35</v>
      </c>
      <c r="G36" s="5" t="str">
        <f>IFERROR(__xludf.DUMMYFUNCTION("GOOGLETRANSLATE(B36, ""en"", ""hi"")"),"खिलाड़ी F गिल्ली मारता है और वह ऐसी जगह गिरती है जहाँ वह तुरंत बर्फ से ढक जाती है। नियमों के अनुसार क्या करना चाहिए?")</f>
        <v>खिलाड़ी F गिल्ली मारता है और वह ऐसी जगह गिरती है जहाँ वह तुरंत बर्फ से ढक जाती है। नियमों के अनुसार क्या करना चाहिए?</v>
      </c>
      <c r="H36" s="5" t="str">
        <f>IFERROR(__xludf.DUMMYFUNCTION("GOOGLETRANSLATE(C36, ""en"", ""hi"")"),"A) गिल्ली को सीमा से बाहर माना जाता है। , B) गिल्ली को खेल में माना जाता है। , C) बर्फ हटाए जाने तक खेल को रोक दिया जाता है। , D) खिलाड़ी F को एक और मौका दिया जाता है।")</f>
        <v>A) गिल्ली को सीमा से बाहर माना जाता है। , B) गिल्ली को खेल में माना जाता है। , C) बर्फ हटाए जाने तक खेल को रोक दिया जाता है। , D) खिलाड़ी F को एक और मौका दिया जाता है।</v>
      </c>
      <c r="I36" s="5" t="str">
        <f>IFERROR(__xludf.DUMMYFUNCTION("GOOGLETRANSLATE(D36, ""en"", ""hi"")"),"अ) गिल्ली को सीमा से बाहर माना जाता है।")</f>
        <v>अ) गिल्ली को सीमा से बाहर माना जाता है।</v>
      </c>
    </row>
    <row r="37" ht="22.5" customHeight="1">
      <c r="A37" s="2">
        <v>36.0</v>
      </c>
      <c r="B37" s="3" t="s">
        <v>11344</v>
      </c>
      <c r="C37" s="3" t="s">
        <v>11345</v>
      </c>
      <c r="D37" s="3" t="s">
        <v>11266</v>
      </c>
      <c r="F37" s="5" t="str">
        <f>IFERROR(__xludf.DUMMYFUNCTION("GOOGLETRANSLATE(A37, ""en"", ""hi"")"),"36")</f>
        <v>36</v>
      </c>
      <c r="G37" s="5" t="str">
        <f>IFERROR(__xludf.DUMMYFUNCTION("GOOGLETRANSLATE(B37, ""en"", ""hi"")"),"गिल्ली डंडा खेल में, खिलाड़ी G गिल्ली को मारता है और वह ऐसी सतह पर गिरती है जहाँ वह तुरंत बारिश से भीग जाती है। इस हिट का मूल्यांकन कैसे किया जाता है?")</f>
        <v>गिल्ली डंडा खेल में, खिलाड़ी G गिल्ली को मारता है और वह ऐसी सतह पर गिरती है जहाँ वह तुरंत बारिश से भीग जाती है। इस हिट का मूल्यांकन कैसे किया जाता है?</v>
      </c>
      <c r="H37" s="5" t="str">
        <f>IFERROR(__xludf.DUMMYFUNCTION("GOOGLETRANSLATE(C37, ""en"", ""hi"")"),"A) गिल्ली को खेल में माना जाता है। , B) गिल्ली को सीमा से बाहर माना जाता है। , C) गिल्ली के सूखने तक खेल रोक दिया जाता है। , D) खिलाड़ी G को एक और मौका दिया जाता है।")</f>
        <v>A) गिल्ली को खेल में माना जाता है। , B) गिल्ली को सीमा से बाहर माना जाता है। , C) गिल्ली के सूखने तक खेल रोक दिया जाता है। , D) खिलाड़ी G को एक और मौका दिया जाता है।</v>
      </c>
      <c r="I37" s="5" t="str">
        <f>IFERROR(__xludf.DUMMYFUNCTION("GOOGLETRANSLATE(D37, ""en"", ""hi"")"),"बी) गिल्ली को सीमा से बाहर माना जाता है।")</f>
        <v>बी) गिल्ली को सीमा से बाहर माना जाता है।</v>
      </c>
    </row>
    <row r="38" ht="22.5" customHeight="1">
      <c r="A38" s="2">
        <v>37.0</v>
      </c>
      <c r="B38" s="3" t="s">
        <v>11346</v>
      </c>
      <c r="C38" s="3" t="s">
        <v>11347</v>
      </c>
      <c r="D38" s="3" t="s">
        <v>11266</v>
      </c>
      <c r="F38" s="5" t="str">
        <f>IFERROR(__xludf.DUMMYFUNCTION("GOOGLETRANSLATE(A38, ""en"", ""hi"")"),"37")</f>
        <v>37</v>
      </c>
      <c r="G38" s="5" t="str">
        <f>IFERROR(__xludf.DUMMYFUNCTION("GOOGLETRANSLATE(B38, ""en"", ""hi"")"),"गिल्ली डंडा मैच के दौरान, खिलाड़ी H गिल्ली मारता है, लेकिन गिल्ली ऐसी जगह गिरती है जहाँ वह तुरंत रेत से ढक जाती है। इस हिट का नियम क्या है?")</f>
        <v>गिल्ली डंडा मैच के दौरान, खिलाड़ी H गिल्ली मारता है, लेकिन गिल्ली ऐसी जगह गिरती है जहाँ वह तुरंत रेत से ढक जाती है। इस हिट का नियम क्या है?</v>
      </c>
      <c r="H38" s="5" t="str">
        <f>IFERROR(__xludf.DUMMYFUNCTION("GOOGLETRANSLATE(C38, ""en"", ""hi"")"),"A) गिल्ली को खेल में माना जाता है। , B) गिल्ली को सीमा से बाहर माना जाता है। , C) रेत हटाए जाने तक खेल को रोक दिया जाता है। , D) खिलाड़ी H को एक और मौका दिया जाता है।")</f>
        <v>A) गिल्ली को खेल में माना जाता है। , B) गिल्ली को सीमा से बाहर माना जाता है। , C) रेत हटाए जाने तक खेल को रोक दिया जाता है। , D) खिलाड़ी H को एक और मौका दिया जाता है।</v>
      </c>
      <c r="I38" s="5" t="str">
        <f>IFERROR(__xludf.DUMMYFUNCTION("GOOGLETRANSLATE(D38, ""en"", ""hi"")"),"बी) गिल्ली को सीमा से बाहर माना जाता है।")</f>
        <v>बी) गिल्ली को सीमा से बाहर माना जाता है।</v>
      </c>
    </row>
    <row r="39" ht="22.5" customHeight="1">
      <c r="A39" s="2">
        <v>38.0</v>
      </c>
      <c r="B39" s="3" t="s">
        <v>11348</v>
      </c>
      <c r="C39" s="3" t="s">
        <v>11349</v>
      </c>
      <c r="D39" s="3" t="s">
        <v>11278</v>
      </c>
      <c r="F39" s="5" t="str">
        <f>IFERROR(__xludf.DUMMYFUNCTION("GOOGLETRANSLATE(A39, ""en"", ""hi"")"),"38")</f>
        <v>38</v>
      </c>
      <c r="G39" s="5" t="str">
        <f>IFERROR(__xludf.DUMMYFUNCTION("GOOGLETRANSLATE(B39, ""en"", ""hi"")"),"गिल्ली डंडा खेल में खिलाड़ी I गिल्ली मारता है और वह बिना किसी बाधा के समतल सतह पर गिरती है। इस हिट का मूल्यांकन कैसे किया जाना चाहिए?")</f>
        <v>गिल्ली डंडा खेल में खिलाड़ी I गिल्ली मारता है और वह बिना किसी बाधा के समतल सतह पर गिरती है। इस हिट का मूल्यांकन कैसे किया जाना चाहिए?</v>
      </c>
      <c r="H39" s="5" t="str">
        <f>IFERROR(__xludf.DUMMYFUNCTION("GOOGLETRANSLATE(C39, ""en"", ""hi"")"),"A) गिल्ली को खेल में माना जाता है। , B) गिल्ली को सीमा से बाहर माना जाता है। , C) खेल को समीक्षा के लिए रोक दिया जाता है। , D) खिलाड़ी I को एक और मौका दिया जाता है।")</f>
        <v>A) गिल्ली को खेल में माना जाता है। , B) गिल्ली को सीमा से बाहर माना जाता है। , C) खेल को समीक्षा के लिए रोक दिया जाता है। , D) खिलाड़ी I को एक और मौका दिया जाता है।</v>
      </c>
      <c r="I39" s="5" t="str">
        <f>IFERROR(__xludf.DUMMYFUNCTION("GOOGLETRANSLATE(D39, ""en"", ""hi"")"),"अ) गिल्ली को खेल में शामिल माना जाता है।")</f>
        <v>अ) गिल्ली को खेल में शामिल माना जाता है।</v>
      </c>
    </row>
    <row r="40" ht="22.5" customHeight="1">
      <c r="A40" s="2">
        <v>39.0</v>
      </c>
      <c r="B40" s="3" t="s">
        <v>11350</v>
      </c>
      <c r="C40" s="3" t="s">
        <v>11351</v>
      </c>
      <c r="D40" s="3" t="s">
        <v>11278</v>
      </c>
      <c r="F40" s="5" t="str">
        <f>IFERROR(__xludf.DUMMYFUNCTION("GOOGLETRANSLATE(A40, ""en"", ""hi"")"),"39")</f>
        <v>39</v>
      </c>
      <c r="G40" s="5" t="str">
        <f>IFERROR(__xludf.DUMMYFUNCTION("GOOGLETRANSLATE(B40, ""en"", ""hi"")"),"गिल्ली डंडा खेल में, खिलाड़ी J गिल्ली को मारता है और वह ऐसी जगह गिरती है जहाँ लकड़ी का एक टुकड़ा उसे आंशिक रूप से रोक लेता है। उचित नियम क्या है?")</f>
        <v>गिल्ली डंडा खेल में, खिलाड़ी J गिल्ली को मारता है और वह ऐसी जगह गिरती है जहाँ लकड़ी का एक टुकड़ा उसे आंशिक रूप से रोक लेता है। उचित नियम क्या है?</v>
      </c>
      <c r="H40" s="5" t="str">
        <f>IFERROR(__xludf.DUMMYFUNCTION("GOOGLETRANSLATE(C40, ""en"", ""hi"")"),"A) गिल्ली को खेल में माना जाता है। , B) गिल्ली को सीमा से बाहर माना जाता है। , C) बाधा हटने तक खेल को रोक दिया जाता है। , D) खिलाड़ी J को एक और मौका दिया जाता है।")</f>
        <v>A) गिल्ली को खेल में माना जाता है। , B) गिल्ली को सीमा से बाहर माना जाता है। , C) बाधा हटने तक खेल को रोक दिया जाता है। , D) खिलाड़ी J को एक और मौका दिया जाता है।</v>
      </c>
      <c r="I40" s="5" t="str">
        <f>IFERROR(__xludf.DUMMYFUNCTION("GOOGLETRANSLATE(D40, ""en"", ""hi"")"),"अ) गिल्ली को खेल में शामिल माना जाता है।")</f>
        <v>अ) गिल्ली को खेल में शामिल माना जाता है।</v>
      </c>
    </row>
    <row r="41" ht="22.5" customHeight="1">
      <c r="A41" s="2">
        <v>40.0</v>
      </c>
      <c r="B41" s="3" t="s">
        <v>11352</v>
      </c>
      <c r="C41" s="3" t="s">
        <v>11353</v>
      </c>
      <c r="D41" s="3" t="s">
        <v>11278</v>
      </c>
      <c r="F41" s="5" t="str">
        <f>IFERROR(__xludf.DUMMYFUNCTION("GOOGLETRANSLATE(A41, ""en"", ""hi"")"),"40")</f>
        <v>40</v>
      </c>
      <c r="G41" s="5" t="str">
        <f>IFERROR(__xludf.DUMMYFUNCTION("GOOGLETRANSLATE(B41, ""en"", ""hi"")"),"खिलाड़ी K गिल्ली को मारता है और वह ऐसी जगह गिरती है जहाँ वह तुरंत पत्तों के ढेर से ढक जाती है। इस घटना की व्याख्या कैसे की जाती है?")</f>
        <v>खिलाड़ी K गिल्ली को मारता है और वह ऐसी जगह गिरती है जहाँ वह तुरंत पत्तों के ढेर से ढक जाती है। इस घटना की व्याख्या कैसे की जाती है?</v>
      </c>
      <c r="H41" s="5" t="str">
        <f>IFERROR(__xludf.DUMMYFUNCTION("GOOGLETRANSLATE(C41, ""en"", ""hi"")"),"A) गिल्ली को खेल में माना जाता है। , B) गिल्ली को सीमा से बाहर माना जाता है। , C) गिल्ली के खुलने तक खेल रोक दिया जाता है। , D) खिलाड़ी K को एक और मौका दिया जाता है।")</f>
        <v>A) गिल्ली को खेल में माना जाता है। , B) गिल्ली को सीमा से बाहर माना जाता है। , C) गिल्ली के खुलने तक खेल रोक दिया जाता है। , D) खिलाड़ी K को एक और मौका दिया जाता है।</v>
      </c>
      <c r="I41" s="5" t="str">
        <f>IFERROR(__xludf.DUMMYFUNCTION("GOOGLETRANSLATE(D41, ""en"", ""hi"")"),"अ) गिल्ली को खेल में शामिल माना जाता है।")</f>
        <v>अ) गिल्ली को खेल में शामिल माना जाता है।</v>
      </c>
    </row>
    <row r="42" ht="22.5" customHeight="1">
      <c r="A42" s="2">
        <v>41.0</v>
      </c>
      <c r="B42" s="3" t="s">
        <v>11354</v>
      </c>
      <c r="C42" s="3" t="s">
        <v>11355</v>
      </c>
      <c r="D42" s="3" t="s">
        <v>11314</v>
      </c>
      <c r="F42" s="5" t="str">
        <f>IFERROR(__xludf.DUMMYFUNCTION("GOOGLETRANSLATE(A42, ""en"", ""hi"")"),"41")</f>
        <v>41</v>
      </c>
      <c r="G42" s="5" t="str">
        <f>IFERROR(__xludf.DUMMYFUNCTION("GOOGLETRANSLATE(B42, ""en"", ""hi"")"),"गिल्ली डंडा मैच के दौरान, खिलाड़ी L गिल्ली मारता है, लेकिन वह ऐसी जगह गिरती है जहाँ कूड़े का एक टुकड़ा उसे रोक देता है। क्या किया जाना चाहिए?")</f>
        <v>गिल्ली डंडा मैच के दौरान, खिलाड़ी L गिल्ली मारता है, लेकिन वह ऐसी जगह गिरती है जहाँ कूड़े का एक टुकड़ा उसे रोक देता है। क्या किया जाना चाहिए?</v>
      </c>
      <c r="H42" s="5" t="str">
        <f>IFERROR(__xludf.DUMMYFUNCTION("GOOGLETRANSLATE(C42, ""en"", ""hi"")"),"A) गिल्ली को सीमा से बाहर माना जाता है। , B) गिल्ली को खेल में माना जाता है। , C) कचरा हटाए जाने तक खेल को रोक दिया जाता है। , D) खिलाड़ी L को एक और मौका दिया जाता है।")</f>
        <v>A) गिल्ली को सीमा से बाहर माना जाता है। , B) गिल्ली को खेल में माना जाता है। , C) कचरा हटाए जाने तक खेल को रोक दिया जाता है। , D) खिलाड़ी L को एक और मौका दिया जाता है।</v>
      </c>
      <c r="I42" s="5" t="str">
        <f>IFERROR(__xludf.DUMMYFUNCTION("GOOGLETRANSLATE(D42, ""en"", ""hi"")"),"अ) गिल्ली को सीमा से बाहर माना जाता है।")</f>
        <v>अ) गिल्ली को सीमा से बाहर माना जाता है।</v>
      </c>
    </row>
    <row r="43" ht="22.5" customHeight="1">
      <c r="A43" s="2">
        <v>42.0</v>
      </c>
      <c r="B43" s="3" t="s">
        <v>11356</v>
      </c>
      <c r="C43" s="3" t="s">
        <v>11357</v>
      </c>
      <c r="D43" s="3" t="s">
        <v>11314</v>
      </c>
      <c r="F43" s="5" t="str">
        <f>IFERROR(__xludf.DUMMYFUNCTION("GOOGLETRANSLATE(A43, ""en"", ""hi"")"),"42")</f>
        <v>42</v>
      </c>
      <c r="G43" s="5" t="str">
        <f>IFERROR(__xludf.DUMMYFUNCTION("GOOGLETRANSLATE(B43, ""en"", ""hi"")"),"खिलाड़ी M गिल्ली मारता है और वह एक ऐसे क्षेत्र में गिरती है जहाँ वह तुरंत पानी से ढक जाती है। इस हिट का नियम क्या है?")</f>
        <v>खिलाड़ी M गिल्ली मारता है और वह एक ऐसे क्षेत्र में गिरती है जहाँ वह तुरंत पानी से ढक जाती है। इस हिट का नियम क्या है?</v>
      </c>
      <c r="H43" s="5" t="str">
        <f>IFERROR(__xludf.DUMMYFUNCTION("GOOGLETRANSLATE(C43, ""en"", ""hi"")"),"A) गिल्ली को खेल से बाहर माना जाता है। , B) गिल्ली को खेल में माना जाता है। , C) खेल को तब तक रोक दिया जाता है जब तक पोखर को हटा नहीं दिया जाता। , D) खिलाड़ी M को एक और मौका दिया जाता है।")</f>
        <v>A) गिल्ली को खेल से बाहर माना जाता है। , B) गिल्ली को खेल में माना जाता है। , C) खेल को तब तक रोक दिया जाता है जब तक पोखर को हटा नहीं दिया जाता। , D) खिलाड़ी M को एक और मौका दिया जाता है।</v>
      </c>
      <c r="I43" s="5" t="str">
        <f>IFERROR(__xludf.DUMMYFUNCTION("GOOGLETRANSLATE(D43, ""en"", ""hi"")"),"अ) गिल्ली को सीमा से बाहर माना जाता है।")</f>
        <v>अ) गिल्ली को सीमा से बाहर माना जाता है।</v>
      </c>
    </row>
    <row r="44" ht="22.5" customHeight="1">
      <c r="A44" s="2">
        <v>43.0</v>
      </c>
      <c r="B44" s="3" t="s">
        <v>11358</v>
      </c>
      <c r="C44" s="3" t="s">
        <v>11359</v>
      </c>
      <c r="D44" s="3" t="s">
        <v>11278</v>
      </c>
      <c r="F44" s="5" t="str">
        <f>IFERROR(__xludf.DUMMYFUNCTION("GOOGLETRANSLATE(A44, ""en"", ""hi"")"),"43")</f>
        <v>43</v>
      </c>
      <c r="G44" s="5" t="str">
        <f>IFERROR(__xludf.DUMMYFUNCTION("GOOGLETRANSLATE(B44, ""en"", ""hi"")"),"गिल्ली डंडा खेल में, खिलाड़ी N गिल्ली मारता है और वह ऐसी जगह गिरती है जहाँ एक गिरी हुई शाखा उसे तुरंत रोक देती है। इसका नियम क्या है?")</f>
        <v>गिल्ली डंडा खेल में, खिलाड़ी N गिल्ली मारता है और वह ऐसी जगह गिरती है जहाँ एक गिरी हुई शाखा उसे तुरंत रोक देती है। इसका नियम क्या है?</v>
      </c>
      <c r="H44" s="5" t="str">
        <f>IFERROR(__xludf.DUMMYFUNCTION("GOOGLETRANSLATE(C44, ""en"", ""hi"")"),"A) गिल्ली को खेल में माना जाता है। , B) गिल्ली को सीमा से बाहर माना जाता है। , C) शाखा साफ़ होने तक खेल को रोक दिया जाता है। , D) खिलाड़ी N को एक और मौका दिया जाता है।")</f>
        <v>A) गिल्ली को खेल में माना जाता है। , B) गिल्ली को सीमा से बाहर माना जाता है। , C) शाखा साफ़ होने तक खेल को रोक दिया जाता है। , D) खिलाड़ी N को एक और मौका दिया जाता है।</v>
      </c>
      <c r="I44" s="5" t="str">
        <f>IFERROR(__xludf.DUMMYFUNCTION("GOOGLETRANSLATE(D44, ""en"", ""hi"")"),"अ) गिल्ली को खेल में शामिल माना जाता है।")</f>
        <v>अ) गिल्ली को खेल में शामिल माना जाता है।</v>
      </c>
    </row>
    <row r="45" ht="22.5" customHeight="1">
      <c r="A45" s="2">
        <v>44.0</v>
      </c>
      <c r="B45" s="3" t="s">
        <v>11360</v>
      </c>
      <c r="C45" s="3" t="s">
        <v>11361</v>
      </c>
      <c r="D45" s="3" t="s">
        <v>11278</v>
      </c>
      <c r="F45" s="5" t="str">
        <f>IFERROR(__xludf.DUMMYFUNCTION("GOOGLETRANSLATE(A45, ""en"", ""hi"")"),"44")</f>
        <v>44</v>
      </c>
      <c r="G45" s="5" t="str">
        <f>IFERROR(__xludf.DUMMYFUNCTION("GOOGLETRANSLATE(B45, ""en"", ""hi"")"),"गिल्ली डंडा मैच के दौरान, खिलाड़ी O गिल्ली पर वार करता है और वह उस जगह गिरती है जहाँ उसका कुछ हिस्सा छाया से ढका होता है। इस वार का मूल्यांकन कैसे किया जाता है?")</f>
        <v>गिल्ली डंडा मैच के दौरान, खिलाड़ी O गिल्ली पर वार करता है और वह उस जगह गिरती है जहाँ उसका कुछ हिस्सा छाया से ढका होता है। इस वार का मूल्यांकन कैसे किया जाता है?</v>
      </c>
      <c r="H45" s="5" t="str">
        <f>IFERROR(__xludf.DUMMYFUNCTION("GOOGLETRANSLATE(C45, ""en"", ""hi"")"),"A) गिल्ली को खेल में माना जाता है। , B) गिल्ली को सीमा से बाहर माना जाता है। , C) छाया साफ होने तक खेल को रोक दिया जाता है। , D) खिलाड़ी O को एक और मौका दिया जाता है।")</f>
        <v>A) गिल्ली को खेल में माना जाता है। , B) गिल्ली को सीमा से बाहर माना जाता है। , C) छाया साफ होने तक खेल को रोक दिया जाता है। , D) खिलाड़ी O को एक और मौका दिया जाता है।</v>
      </c>
      <c r="I45" s="5" t="str">
        <f>IFERROR(__xludf.DUMMYFUNCTION("GOOGLETRANSLATE(D45, ""en"", ""hi"")"),"अ) गिल्ली को खेल में शामिल माना जाता है।")</f>
        <v>अ) गिल्ली को खेल में शामिल माना जाता है।</v>
      </c>
    </row>
    <row r="46" ht="22.5" customHeight="1">
      <c r="A46" s="2">
        <v>45.0</v>
      </c>
      <c r="B46" s="3" t="s">
        <v>11362</v>
      </c>
      <c r="C46" s="3" t="s">
        <v>11363</v>
      </c>
      <c r="D46" s="3" t="s">
        <v>11314</v>
      </c>
      <c r="F46" s="5" t="str">
        <f>IFERROR(__xludf.DUMMYFUNCTION("GOOGLETRANSLATE(A46, ""en"", ""hi"")"),"45")</f>
        <v>45</v>
      </c>
      <c r="G46" s="5" t="str">
        <f>IFERROR(__xludf.DUMMYFUNCTION("GOOGLETRANSLATE(B46, ""en"", ""hi"")"),"खिलाड़ी P गिल्ली मारता है और वह ऐसी जगह गिरती है जहाँ पत्थरों का ढेर उसे तुरंत रोक देता है। उचित नियम क्या है?")</f>
        <v>खिलाड़ी P गिल्ली मारता है और वह ऐसी जगह गिरती है जहाँ पत्थरों का ढेर उसे तुरंत रोक देता है। उचित नियम क्या है?</v>
      </c>
      <c r="H46" s="5" t="str">
        <f>IFERROR(__xludf.DUMMYFUNCTION("GOOGLETRANSLATE(C46, ""en"", ""hi"")"),"A) गिल्ली को खेल के मैदान से बाहर माना जाता है। , B) गिल्ली को खेल में माना जाता है। , C) खेल तब तक रुका रहता है जब तक पत्थर हटा नहीं दिए जाते। , D) खिलाड़ी P को एक और मौका दिया जाता है।")</f>
        <v>A) गिल्ली को खेल के मैदान से बाहर माना जाता है। , B) गिल्ली को खेल में माना जाता है। , C) खेल तब तक रुका रहता है जब तक पत्थर हटा नहीं दिए जाते। , D) खिलाड़ी P को एक और मौका दिया जाता है।</v>
      </c>
      <c r="I46" s="5" t="str">
        <f>IFERROR(__xludf.DUMMYFUNCTION("GOOGLETRANSLATE(D46, ""en"", ""hi"")"),"अ) गिल्ली को सीमा से बाहर माना जाता है।")</f>
        <v>अ) गिल्ली को सीमा से बाहर माना जाता है।</v>
      </c>
    </row>
    <row r="47" ht="22.5" customHeight="1">
      <c r="A47" s="2">
        <v>46.0</v>
      </c>
      <c r="B47" s="3" t="s">
        <v>11364</v>
      </c>
      <c r="C47" s="3" t="s">
        <v>11365</v>
      </c>
      <c r="D47" s="3" t="s">
        <v>11266</v>
      </c>
      <c r="F47" s="5" t="str">
        <f>IFERROR(__xludf.DUMMYFUNCTION("GOOGLETRANSLATE(A47, ""en"", ""hi"")"),"46")</f>
        <v>46</v>
      </c>
      <c r="G47" s="5" t="str">
        <f>IFERROR(__xludf.DUMMYFUNCTION("GOOGLETRANSLATE(B47, ""en"", ""hi"")"),"गिल्ली डंडा खेल में, खिलाड़ी Q गिल्ली पर वार करता है और वह उस जगह गिरती है जहाँ वह आंशिक रूप से कीचड़ में डूबी होती है। इस वार का मूल्यांकन कैसे किया जाता है?")</f>
        <v>गिल्ली डंडा खेल में, खिलाड़ी Q गिल्ली पर वार करता है और वह उस जगह गिरती है जहाँ वह आंशिक रूप से कीचड़ में डूबी होती है। इस वार का मूल्यांकन कैसे किया जाता है?</v>
      </c>
      <c r="H47" s="5" t="str">
        <f>IFERROR(__xludf.DUMMYFUNCTION("GOOGLETRANSLATE(C47, ""en"", ""hi"")"),"A) गिल्ली को खेल में माना जाता है। , B) गिल्ली को सीमा से बाहर माना जाता है। , C) गिल्ली को साफ़ करने तक खेल को रोक दिया जाता है। , D) खिलाड़ी Q को एक और मौका दिया जाता है।")</f>
        <v>A) गिल्ली को खेल में माना जाता है। , B) गिल्ली को सीमा से बाहर माना जाता है। , C) गिल्ली को साफ़ करने तक खेल को रोक दिया जाता है। , D) खिलाड़ी Q को एक और मौका दिया जाता है।</v>
      </c>
      <c r="I47" s="5" t="str">
        <f>IFERROR(__xludf.DUMMYFUNCTION("GOOGLETRANSLATE(D47, ""en"", ""hi"")"),"बी) गिल्ली को सीमा से बाहर माना जाता है।")</f>
        <v>बी) गिल्ली को सीमा से बाहर माना जाता है।</v>
      </c>
    </row>
    <row r="48" ht="22.5" customHeight="1">
      <c r="A48" s="2">
        <v>47.0</v>
      </c>
      <c r="B48" s="3" t="s">
        <v>11366</v>
      </c>
      <c r="C48" s="3" t="s">
        <v>11367</v>
      </c>
      <c r="D48" s="3" t="s">
        <v>11278</v>
      </c>
      <c r="F48" s="5" t="str">
        <f>IFERROR(__xludf.DUMMYFUNCTION("GOOGLETRANSLATE(A48, ""en"", ""hi"")"),"47")</f>
        <v>47</v>
      </c>
      <c r="G48" s="5" t="str">
        <f>IFERROR(__xludf.DUMMYFUNCTION("GOOGLETRANSLATE(B48, ""en"", ""hi"")"),"गिल्ली डंडा मैच के दौरान, खिलाड़ी R गिल्ली मारता है, लेकिन वह ऐसी जगह गिरती है जहाँ वह तुरंत धूल से ढक जाती है। इस घटना की व्याख्या कैसे की जानी चाहिए?")</f>
        <v>गिल्ली डंडा मैच के दौरान, खिलाड़ी R गिल्ली मारता है, लेकिन वह ऐसी जगह गिरती है जहाँ वह तुरंत धूल से ढक जाती है। इस घटना की व्याख्या कैसे की जानी चाहिए?</v>
      </c>
      <c r="H48" s="5" t="str">
        <f>IFERROR(__xludf.DUMMYFUNCTION("GOOGLETRANSLATE(C48, ""en"", ""hi"")"),"A) गिल्ली को खेल में माना जाता है। , B) गिल्ली को सीमा से बाहर माना जाता है। , C) धूल के बैठने तक खेल को रोक दिया जाता है। , D) खिलाड़ी R को एक और मौका दिया जाता है।")</f>
        <v>A) गिल्ली को खेल में माना जाता है। , B) गिल्ली को सीमा से बाहर माना जाता है। , C) धूल के बैठने तक खेल को रोक दिया जाता है। , D) खिलाड़ी R को एक और मौका दिया जाता है।</v>
      </c>
      <c r="I48" s="5" t="str">
        <f>IFERROR(__xludf.DUMMYFUNCTION("GOOGLETRANSLATE(D48, ""en"", ""hi"")"),"अ) गिल्ली को खेल में शामिल माना जाता है।")</f>
        <v>अ) गिल्ली को खेल में शामिल माना जाता है।</v>
      </c>
    </row>
    <row r="49" ht="22.5" customHeight="1">
      <c r="A49" s="2">
        <v>48.0</v>
      </c>
      <c r="B49" s="3" t="s">
        <v>11368</v>
      </c>
      <c r="C49" s="3" t="s">
        <v>11369</v>
      </c>
      <c r="D49" s="3" t="s">
        <v>11314</v>
      </c>
      <c r="F49" s="5" t="str">
        <f>IFERROR(__xludf.DUMMYFUNCTION("GOOGLETRANSLATE(A49, ""en"", ""hi"")"),"48")</f>
        <v>48</v>
      </c>
      <c r="G49" s="5" t="str">
        <f>IFERROR(__xludf.DUMMYFUNCTION("GOOGLETRANSLATE(B49, ""en"", ""hi"")"),"खिलाड़ी S गिल्ली मारता है और वह ऐसी जगह गिरती है जहाँ उसे तुरंत कपड़े के एक टुकड़े से रोक दिया जाता है। इस हिट का नियम क्या है?")</f>
        <v>खिलाड़ी S गिल्ली मारता है और वह ऐसी जगह गिरती है जहाँ उसे तुरंत कपड़े के एक टुकड़े से रोक दिया जाता है। इस हिट का नियम क्या है?</v>
      </c>
      <c r="H49" s="5" t="str">
        <f>IFERROR(__xludf.DUMMYFUNCTION("GOOGLETRANSLATE(C49, ""en"", ""hi"")"),"A) गिल्ली को खेल से बाहर माना जाता है। , B) गिल्ली को खेल में माना जाता है। , C) कपड़ा हटाए जाने तक खेल को रोक दिया जाता है। , D) खिलाड़ी S को एक और मौका दिया जाता है।")</f>
        <v>A) गिल्ली को खेल से बाहर माना जाता है। , B) गिल्ली को खेल में माना जाता है। , C) कपड़ा हटाए जाने तक खेल को रोक दिया जाता है। , D) खिलाड़ी S को एक और मौका दिया जाता है।</v>
      </c>
      <c r="I49" s="5" t="str">
        <f>IFERROR(__xludf.DUMMYFUNCTION("GOOGLETRANSLATE(D49, ""en"", ""hi"")"),"अ) गिल्ली को सीमा से बाहर माना जाता है।")</f>
        <v>अ) गिल्ली को सीमा से बाहर माना जाता है।</v>
      </c>
    </row>
    <row r="50" ht="22.5" customHeight="1">
      <c r="A50" s="2">
        <v>49.0</v>
      </c>
      <c r="B50" s="3" t="s">
        <v>11370</v>
      </c>
      <c r="C50" s="3" t="s">
        <v>11371</v>
      </c>
      <c r="D50" s="3" t="s">
        <v>11314</v>
      </c>
      <c r="F50" s="5" t="str">
        <f>IFERROR(__xludf.DUMMYFUNCTION("GOOGLETRANSLATE(A50, ""en"", ""hi"")"),"49")</f>
        <v>49</v>
      </c>
      <c r="G50" s="5" t="str">
        <f>IFERROR(__xludf.DUMMYFUNCTION("GOOGLETRANSLATE(B50, ""en"", ""hi"")"),"गिल्ली डंडा खेल में, खिलाड़ी T गिल्ली को मारता है और वह ऐसी जगह गिरती है जहाँ ईंटों का ढेर उसे तुरंत रोक देता है। इस स्थिति पर क्या निर्णय लिया जाना चाहिए?")</f>
        <v>गिल्ली डंडा खेल में, खिलाड़ी T गिल्ली को मारता है और वह ऐसी जगह गिरती है जहाँ ईंटों का ढेर उसे तुरंत रोक देता है। इस स्थिति पर क्या निर्णय लिया जाना चाहिए?</v>
      </c>
      <c r="H50" s="5" t="str">
        <f>IFERROR(__xludf.DUMMYFUNCTION("GOOGLETRANSLATE(C50, ""en"", ""hi"")"),"A) गिल्ली को खेल से बाहर माना जाता है। , B) गिल्ली को खेल में माना जाता है। , C) ईंटों को हटाए जाने तक खेल को रोक दिया जाता है। , D) खिलाड़ी टी को एक और मौका दिया जाता है।")</f>
        <v>A) गिल्ली को खेल से बाहर माना जाता है। , B) गिल्ली को खेल में माना जाता है। , C) ईंटों को हटाए जाने तक खेल को रोक दिया जाता है। , D) खिलाड़ी टी को एक और मौका दिया जाता है।</v>
      </c>
      <c r="I50" s="5" t="str">
        <f>IFERROR(__xludf.DUMMYFUNCTION("GOOGLETRANSLATE(D50, ""en"", ""hi"")"),"अ) गिल्ली को सीमा से बाहर माना जाता है।")</f>
        <v>अ) गिल्ली को सीमा से बाहर माना जाता है।</v>
      </c>
    </row>
    <row r="51" ht="22.5" customHeight="1">
      <c r="A51" s="2">
        <v>50.0</v>
      </c>
      <c r="B51" s="3" t="s">
        <v>11372</v>
      </c>
      <c r="C51" s="3" t="s">
        <v>11373</v>
      </c>
      <c r="D51" s="3" t="s">
        <v>11278</v>
      </c>
      <c r="F51" s="5" t="str">
        <f>IFERROR(__xludf.DUMMYFUNCTION("GOOGLETRANSLATE(A51, ""en"", ""hi"")"),"50")</f>
        <v>50</v>
      </c>
      <c r="G51" s="5" t="str">
        <f>IFERROR(__xludf.DUMMYFUNCTION("GOOGLETRANSLATE(B51, ""en"", ""hi"")"),"गिल्ली डंडा मैच के दौरान, खिलाड़ी U गिल्ली मारता है और वह ऐसी जगह गिरती है जहाँ फर्नीचर का एक टुकड़ा उसे आंशिक रूप से रोक देता है। उचित नियम क्या है?")</f>
        <v>गिल्ली डंडा मैच के दौरान, खिलाड़ी U गिल्ली मारता है और वह ऐसी जगह गिरती है जहाँ फर्नीचर का एक टुकड़ा उसे आंशिक रूप से रोक देता है। उचित नियम क्या है?</v>
      </c>
      <c r="H51" s="5" t="str">
        <f>IFERROR(__xludf.DUMMYFUNCTION("GOOGLETRANSLATE(C51, ""en"", ""hi"")"),"A) गिल्ली को खेल में माना जाता है। , B) गिल्ली को सीमा से बाहर माना जाता है। , C) खेल तब तक रुका रहता है जब तक फर्नीचर को हटा नहीं दिया जाता। , D) खिलाड़ी U को एक और मौका दिया जाता है।")</f>
        <v>A) गिल्ली को खेल में माना जाता है। , B) गिल्ली को सीमा से बाहर माना जाता है। , C) खेल तब तक रुका रहता है जब तक फर्नीचर को हटा नहीं दिया जाता। , D) खिलाड़ी U को एक और मौका दिया जाता है।</v>
      </c>
      <c r="I51" s="5" t="str">
        <f>IFERROR(__xludf.DUMMYFUNCTION("GOOGLETRANSLATE(D51, ""en"", ""hi"")"),"अ) गिल्ली को खेल में शामिल माना जाता है।")</f>
        <v>अ) गिल्ली को खेल में शामिल माना जाता है।</v>
      </c>
    </row>
    <row r="52" ht="22.5" customHeight="1">
      <c r="A52" s="2">
        <v>51.0</v>
      </c>
      <c r="B52" s="3" t="s">
        <v>11374</v>
      </c>
      <c r="C52" s="3" t="s">
        <v>11375</v>
      </c>
      <c r="D52" s="3" t="s">
        <v>11376</v>
      </c>
      <c r="F52" s="5" t="str">
        <f>IFERROR(__xludf.DUMMYFUNCTION("GOOGLETRANSLATE(A52, ""en"", ""hi"")"),"51")</f>
        <v>51</v>
      </c>
      <c r="G52" s="5" t="str">
        <f>IFERROR(__xludf.DUMMYFUNCTION("GOOGLETRANSLATE(B52, ""en"", ""hi"")"),"खिलाड़ी V गिल्ली पर वार करता है और वह ऐसी जगह गिरती है जहाँ उस पर तुरंत धूल की एक परत जम जाती है। इस वार की व्याख्या कैसे की जाती है?")</f>
        <v>खिलाड़ी V गिल्ली पर वार करता है और वह ऐसी जगह गिरती है जहाँ उस पर तुरंत धूल की एक परत जम जाती है। इस वार की व्याख्या कैसे की जाती है?</v>
      </c>
      <c r="H52" s="5" t="str">
        <f>IFERROR(__xludf.DUMMYFUNCTION("GOOGLETRANSLATE(C52, ""en"", ""hi"")"),"A) गिल्ली को सीमा से बाहर माना जाता है। , B) गिल्ली को खेल में माना जाता है। , C) धूल साफ होने तक खेल को रोक दिया जाता है। , D) खिलाड़ी V को एक और मौका दिया जाता है।")</f>
        <v>A) गिल्ली को सीमा से बाहर माना जाता है। , B) गिल्ली को खेल में माना जाता है। , C) धूल साफ होने तक खेल को रोक दिया जाता है। , D) खिलाड़ी V को एक और मौका दिया जाता है।</v>
      </c>
      <c r="I52" s="5" t="str">
        <f>IFERROR(__xludf.DUMMYFUNCTION("GOOGLETRANSLATE(D52, ""en"", ""hi"")"),"बी) गिल्ली को खेल में शामिल माना जाता है।")</f>
        <v>बी) गिल्ली को खेल में शामिल माना जाता है।</v>
      </c>
    </row>
    <row r="53" ht="22.5" customHeight="1">
      <c r="A53" s="2">
        <v>52.0</v>
      </c>
      <c r="B53" s="3" t="s">
        <v>11377</v>
      </c>
      <c r="C53" s="3" t="s">
        <v>11378</v>
      </c>
      <c r="D53" s="3" t="s">
        <v>11278</v>
      </c>
      <c r="F53" s="5" t="str">
        <f>IFERROR(__xludf.DUMMYFUNCTION("GOOGLETRANSLATE(A53, ""en"", ""hi"")"),"52")</f>
        <v>52</v>
      </c>
      <c r="G53" s="5" t="str">
        <f>IFERROR(__xludf.DUMMYFUNCTION("GOOGLETRANSLATE(B53, ""en"", ""hi"")"),"गिल्ली डंडा खेल में, खिलाड़ी W गिल्ली मारता है और वह एक ऐसी जगह पर गिरती है जहाँ एक छोटी झाड़ी उसे आंशिक रूप से रोक रही है। ऐसी स्थिति में क्या करना चाहिए?")</f>
        <v>गिल्ली डंडा खेल में, खिलाड़ी W गिल्ली मारता है और वह एक ऐसी जगह पर गिरती है जहाँ एक छोटी झाड़ी उसे आंशिक रूप से रोक रही है। ऐसी स्थिति में क्या करना चाहिए?</v>
      </c>
      <c r="H53" s="5" t="str">
        <f>IFERROR(__xludf.DUMMYFUNCTION("GOOGLETRANSLATE(C53, ""en"", ""hi"")"),"A) गिल्ली को खेल में माना जाता है। , B) गिल्ली को सीमा से बाहर माना जाता है। , C) झाड़ी साफ होने तक खेल को रोक दिया जाता है। , D) खिलाड़ी W को एक और मौका दिया जाता है।")</f>
        <v>A) गिल्ली को खेल में माना जाता है। , B) गिल्ली को सीमा से बाहर माना जाता है। , C) झाड़ी साफ होने तक खेल को रोक दिया जाता है। , D) खिलाड़ी W को एक और मौका दिया जाता है।</v>
      </c>
      <c r="I53" s="5" t="str">
        <f>IFERROR(__xludf.DUMMYFUNCTION("GOOGLETRANSLATE(D53, ""en"", ""hi"")"),"अ) गिल्ली को खेल में शामिल माना जाता है।")</f>
        <v>अ) गिल्ली को खेल में शामिल माना जाता है।</v>
      </c>
    </row>
    <row r="54" ht="22.5" customHeight="1">
      <c r="A54" s="2">
        <v>53.0</v>
      </c>
      <c r="B54" s="3" t="s">
        <v>11379</v>
      </c>
      <c r="C54" s="3" t="s">
        <v>11380</v>
      </c>
      <c r="D54" s="3" t="s">
        <v>11314</v>
      </c>
      <c r="F54" s="5" t="str">
        <f>IFERROR(__xludf.DUMMYFUNCTION("GOOGLETRANSLATE(A54, ""en"", ""hi"")"),"53")</f>
        <v>53</v>
      </c>
      <c r="G54" s="5" t="str">
        <f>IFERROR(__xludf.DUMMYFUNCTION("GOOGLETRANSLATE(B54, ""en"", ""hi"")"),"गिल्ली डंडा मैच के दौरान, खिलाड़ी X गिल्ली पर वार करता है और वह ऐसी जगह गिरती है जहाँ वह तुरंत पत्तों की एक पतली परत से ढक जाती है। इस वार का नियम क्या है?")</f>
        <v>गिल्ली डंडा मैच के दौरान, खिलाड़ी X गिल्ली पर वार करता है और वह ऐसी जगह गिरती है जहाँ वह तुरंत पत्तों की एक पतली परत से ढक जाती है। इस वार का नियम क्या है?</v>
      </c>
      <c r="H54" s="5" t="str">
        <f>IFERROR(__xludf.DUMMYFUNCTION("GOOGLETRANSLATE(C54, ""en"", ""hi"")"),"A) गिल्ली को खेल से बाहर माना जाता है। , B) गिल्ली को खेल में माना जाता है। , C) पत्तों को हटाए जाने तक खेल को रोक दिया जाता है। , D) खिलाड़ी X को एक और मौका दिया जाता है।")</f>
        <v>A) गिल्ली को खेल से बाहर माना जाता है। , B) गिल्ली को खेल में माना जाता है। , C) पत्तों को हटाए जाने तक खेल को रोक दिया जाता है। , D) खिलाड़ी X को एक और मौका दिया जाता है।</v>
      </c>
      <c r="I54" s="5" t="str">
        <f>IFERROR(__xludf.DUMMYFUNCTION("GOOGLETRANSLATE(D54, ""en"", ""hi"")"),"अ) गिल्ली को सीमा से बाहर माना जाता है।")</f>
        <v>अ) गिल्ली को सीमा से बाहर माना जाता है।</v>
      </c>
    </row>
    <row r="55" ht="22.5" customHeight="1">
      <c r="A55" s="2">
        <v>54.0</v>
      </c>
      <c r="B55" s="3" t="s">
        <v>11381</v>
      </c>
      <c r="C55" s="3" t="s">
        <v>11382</v>
      </c>
      <c r="D55" s="3" t="s">
        <v>11266</v>
      </c>
      <c r="F55" s="5" t="str">
        <f>IFERROR(__xludf.DUMMYFUNCTION("GOOGLETRANSLATE(A55, ""en"", ""hi"")"),"54")</f>
        <v>54</v>
      </c>
      <c r="G55" s="5" t="str">
        <f>IFERROR(__xludf.DUMMYFUNCTION("GOOGLETRANSLATE(B55, ""en"", ""hi"")"),"गिल्ली डंडा खेल में खिलाड़ी Y गिल्ली को मारता है और वह ऐसे क्षेत्र में गिरती है जहाँ वह आंशिक रूप से पानी में डूबी होती है। इस घटना का मूल्यांकन कैसे किया जाता है?")</f>
        <v>गिल्ली डंडा खेल में खिलाड़ी Y गिल्ली को मारता है और वह ऐसे क्षेत्र में गिरती है जहाँ वह आंशिक रूप से पानी में डूबी होती है। इस घटना का मूल्यांकन कैसे किया जाता है?</v>
      </c>
      <c r="H55" s="5" t="str">
        <f>IFERROR(__xludf.DUMMYFUNCTION("GOOGLETRANSLATE(C55, ""en"", ""hi"")"),"A) गिल्ली को खेल में माना जाता है। , B) गिल्ली को सीमा से बाहर माना जाता है। , C) पानी हटाए जाने तक खेल को रोक दिया जाता है। , D) खिलाड़ी Y को एक और मौका दिया जाता है।")</f>
        <v>A) गिल्ली को खेल में माना जाता है। , B) गिल्ली को सीमा से बाहर माना जाता है। , C) पानी हटाए जाने तक खेल को रोक दिया जाता है। , D) खिलाड़ी Y को एक और मौका दिया जाता है।</v>
      </c>
      <c r="I55" s="5" t="str">
        <f>IFERROR(__xludf.DUMMYFUNCTION("GOOGLETRANSLATE(D55, ""en"", ""hi"")"),"बी) गिल्ली को सीमा से बाहर माना जाता है।")</f>
        <v>बी) गिल्ली को सीमा से बाहर माना जाता है।</v>
      </c>
    </row>
    <row r="56" ht="22.5" customHeight="1">
      <c r="A56" s="2">
        <v>55.0</v>
      </c>
      <c r="B56" s="3" t="s">
        <v>11383</v>
      </c>
      <c r="C56" s="3" t="s">
        <v>11384</v>
      </c>
      <c r="D56" s="3" t="s">
        <v>11278</v>
      </c>
      <c r="F56" s="5" t="str">
        <f>IFERROR(__xludf.DUMMYFUNCTION("GOOGLETRANSLATE(A56, ""en"", ""hi"")"),"55")</f>
        <v>55</v>
      </c>
      <c r="G56" s="5" t="str">
        <f>IFERROR(__xludf.DUMMYFUNCTION("GOOGLETRANSLATE(B56, ""en"", ""hi"")"),"गिल्ली डंडा मैच में, खिलाड़ी Z गिल्ली पर वार करता है और वह ऐसी जगह गिरती है जहाँ उसका कुछ हिस्सा मलबे से ढका होता है। इस वार का नियम क्या है?")</f>
        <v>गिल्ली डंडा मैच में, खिलाड़ी Z गिल्ली पर वार करता है और वह ऐसी जगह गिरती है जहाँ उसका कुछ हिस्सा मलबे से ढका होता है। इस वार का नियम क्या है?</v>
      </c>
      <c r="H56" s="5" t="str">
        <f>IFERROR(__xludf.DUMMYFUNCTION("GOOGLETRANSLATE(C56, ""en"", ""hi"")"),"A) गिल्ली को खेल में माना जाता है। , B) गिल्ली को सीमा से बाहर माना जाता है। , C) खेल को तब तक रोक दिया जाता है जब तक मलबा साफ नहीं हो जाता। , D) खिलाड़ी Z को एक और मौका दिया जाता है।")</f>
        <v>A) गिल्ली को खेल में माना जाता है। , B) गिल्ली को सीमा से बाहर माना जाता है। , C) खेल को तब तक रोक दिया जाता है जब तक मलबा साफ नहीं हो जाता। , D) खिलाड़ी Z को एक और मौका दिया जाता है।</v>
      </c>
      <c r="I56" s="5" t="str">
        <f>IFERROR(__xludf.DUMMYFUNCTION("GOOGLETRANSLATE(D56, ""en"", ""hi"")"),"अ) गिल्ली को खेल में शामिल माना जाता है।")</f>
        <v>अ) गिल्ली को खेल में शामिल माना जाता है।</v>
      </c>
    </row>
    <row r="57" ht="22.5" customHeight="1">
      <c r="A57" s="2">
        <v>56.0</v>
      </c>
      <c r="B57" s="3" t="s">
        <v>11385</v>
      </c>
      <c r="C57" s="3" t="s">
        <v>11386</v>
      </c>
      <c r="D57" s="3" t="s">
        <v>11278</v>
      </c>
      <c r="F57" s="5" t="str">
        <f>IFERROR(__xludf.DUMMYFUNCTION("GOOGLETRANSLATE(A57, ""en"", ""hi"")"),"56")</f>
        <v>56</v>
      </c>
      <c r="G57" s="5" t="str">
        <f>IFERROR(__xludf.DUMMYFUNCTION("GOOGLETRANSLATE(B57, ""en"", ""hi"")"),"गिल्ली डंडा खेल के दौरान, खिलाड़ी A गिल्ली पर वार करता है और वह एक असमान सतह पर गिरती है, लेकिन उसमें कोई रुकावट नहीं होती। इस वार की व्याख्या कैसे की जाती है?")</f>
        <v>गिल्ली डंडा खेल के दौरान, खिलाड़ी A गिल्ली पर वार करता है और वह एक असमान सतह पर गिरती है, लेकिन उसमें कोई रुकावट नहीं होती। इस वार की व्याख्या कैसे की जाती है?</v>
      </c>
      <c r="H57" s="5" t="str">
        <f>IFERROR(__xludf.DUMMYFUNCTION("GOOGLETRANSLATE(C57, ""en"", ""hi"")"),"A) गिल्ली को खेल में माना जाता है। , B) गिल्ली को सीमा से बाहर माना जाता है। , C) खेल को समीक्षा के लिए रोक दिया जाता है। , D) खिलाड़ी A को एक और मौका दिया जाता है।")</f>
        <v>A) गिल्ली को खेल में माना जाता है। , B) गिल्ली को सीमा से बाहर माना जाता है। , C) खेल को समीक्षा के लिए रोक दिया जाता है। , D) खिलाड़ी A को एक और मौका दिया जाता है।</v>
      </c>
      <c r="I57" s="5" t="str">
        <f>IFERROR(__xludf.DUMMYFUNCTION("GOOGLETRANSLATE(D57, ""en"", ""hi"")"),"अ) गिल्ली को खेल में शामिल माना जाता है।")</f>
        <v>अ) गिल्ली को खेल में शामिल माना जाता है।</v>
      </c>
    </row>
    <row r="58" ht="22.5" customHeight="1">
      <c r="A58" s="2">
        <v>57.0</v>
      </c>
      <c r="B58" s="3" t="s">
        <v>11387</v>
      </c>
      <c r="C58" s="3" t="s">
        <v>11388</v>
      </c>
      <c r="D58" s="3" t="s">
        <v>11278</v>
      </c>
      <c r="F58" s="5" t="str">
        <f>IFERROR(__xludf.DUMMYFUNCTION("GOOGLETRANSLATE(A58, ""en"", ""hi"")"),"57")</f>
        <v>57</v>
      </c>
      <c r="G58" s="5" t="str">
        <f>IFERROR(__xludf.DUMMYFUNCTION("GOOGLETRANSLATE(B58, ""en"", ""hi"")"),"खिलाड़ी B गिल्ली मारता है और वह ऐसी जगह गिरती है जहाँ एक छोटा सा पत्थर उसे आंशिक रूप से रोक लेता है। इस स्थिति पर क्या निर्णय लिया जाना चाहिए?")</f>
        <v>खिलाड़ी B गिल्ली मारता है और वह ऐसी जगह गिरती है जहाँ एक छोटा सा पत्थर उसे आंशिक रूप से रोक लेता है। इस स्थिति पर क्या निर्णय लिया जाना चाहिए?</v>
      </c>
      <c r="H58" s="5" t="str">
        <f>IFERROR(__xludf.DUMMYFUNCTION("GOOGLETRANSLATE(C58, ""en"", ""hi"")"),"A) गिल्ली को खेल में माना जाता है। , B) गिल्ली को खेल से बाहर माना जाता है। , C) पत्थर हटाए जाने तक खेल रोक दिया जाता है। , D) खिलाड़ी B को एक और मौका दिया जाता है।")</f>
        <v>A) गिल्ली को खेल में माना जाता है। , B) गिल्ली को खेल से बाहर माना जाता है। , C) पत्थर हटाए जाने तक खेल रोक दिया जाता है। , D) खिलाड़ी B को एक और मौका दिया जाता है।</v>
      </c>
      <c r="I58" s="5" t="str">
        <f>IFERROR(__xludf.DUMMYFUNCTION("GOOGLETRANSLATE(D58, ""en"", ""hi"")"),"अ) गिल्ली को खेल में शामिल माना जाता है।")</f>
        <v>अ) गिल्ली को खेल में शामिल माना जाता है।</v>
      </c>
    </row>
    <row r="59" ht="22.5" customHeight="1">
      <c r="A59" s="2">
        <v>58.0</v>
      </c>
      <c r="B59" s="3" t="s">
        <v>11389</v>
      </c>
      <c r="C59" s="3" t="s">
        <v>11390</v>
      </c>
      <c r="D59" s="3" t="s">
        <v>11314</v>
      </c>
      <c r="F59" s="5" t="str">
        <f>IFERROR(__xludf.DUMMYFUNCTION("GOOGLETRANSLATE(A59, ""en"", ""hi"")"),"58")</f>
        <v>58</v>
      </c>
      <c r="G59" s="5" t="str">
        <f>IFERROR(__xludf.DUMMYFUNCTION("GOOGLETRANSLATE(B59, ""en"", ""hi"")"),"गिल्ली डंडा खेल में, खिलाड़ी C गिल्ली को मारता है और वह एक ऐसी जगह गिरती है जहाँ वह तुरंत बर्फ की एक पतली परत से ढक जाती है। उचित नियम क्या है?")</f>
        <v>गिल्ली डंडा खेल में, खिलाड़ी C गिल्ली को मारता है और वह एक ऐसी जगह गिरती है जहाँ वह तुरंत बर्फ की एक पतली परत से ढक जाती है। उचित नियम क्या है?</v>
      </c>
      <c r="H59" s="5" t="str">
        <f>IFERROR(__xludf.DUMMYFUNCTION("GOOGLETRANSLATE(C59, ""en"", ""hi"")"),"A) गिल्ली को सीमा से बाहर माना जाता है। , B) गिल्ली को खेल में माना जाता है। , C) बर्फ हटाए जाने तक खेल को रोक दिया जाता है। , D) खिलाड़ी C को एक और मौका दिया जाता है।")</f>
        <v>A) गिल्ली को सीमा से बाहर माना जाता है। , B) गिल्ली को खेल में माना जाता है। , C) बर्फ हटाए जाने तक खेल को रोक दिया जाता है। , D) खिलाड़ी C को एक और मौका दिया जाता है।</v>
      </c>
      <c r="I59" s="5" t="str">
        <f>IFERROR(__xludf.DUMMYFUNCTION("GOOGLETRANSLATE(D59, ""en"", ""hi"")"),"अ) गिल्ली को सीमा से बाहर माना जाता है।")</f>
        <v>अ) गिल्ली को सीमा से बाहर माना जाता है।</v>
      </c>
    </row>
    <row r="60" ht="22.5" customHeight="1">
      <c r="A60" s="2">
        <v>59.0</v>
      </c>
      <c r="B60" s="3" t="s">
        <v>11391</v>
      </c>
      <c r="C60" s="3" t="s">
        <v>11392</v>
      </c>
      <c r="D60" s="3" t="s">
        <v>11266</v>
      </c>
      <c r="F60" s="5" t="str">
        <f>IFERROR(__xludf.DUMMYFUNCTION("GOOGLETRANSLATE(A60, ""en"", ""hi"")"),"59")</f>
        <v>59</v>
      </c>
      <c r="G60" s="5" t="str">
        <f>IFERROR(__xludf.DUMMYFUNCTION("GOOGLETRANSLATE(B60, ""en"", ""hi"")"),"खिलाड़ी D गिल्ली पर वार करता है और वह ऐसी जगह गिरती है जहाँ उसका कुछ हिस्सा एक बड़े पत्थर से ढका हुआ है। इस वार का मूल्यांकन कैसे किया जाता है?")</f>
        <v>खिलाड़ी D गिल्ली पर वार करता है और वह ऐसी जगह गिरती है जहाँ उसका कुछ हिस्सा एक बड़े पत्थर से ढका हुआ है। इस वार का मूल्यांकन कैसे किया जाता है?</v>
      </c>
      <c r="H60" s="5" t="str">
        <f>IFERROR(__xludf.DUMMYFUNCTION("GOOGLETRANSLATE(C60, ""en"", ""hi"")"),"A) गिल्ली को खेल में माना जाता है। , B) गिल्ली को सीमा से बाहर माना जाता है। , C) पत्थर के हटने तक खेल को रोक दिया जाता है। , D) खिलाड़ी D को एक और मौका दिया जाता है।")</f>
        <v>A) गिल्ली को खेल में माना जाता है। , B) गिल्ली को सीमा से बाहर माना जाता है। , C) पत्थर के हटने तक खेल को रोक दिया जाता है। , D) खिलाड़ी D को एक और मौका दिया जाता है।</v>
      </c>
      <c r="I60" s="5" t="str">
        <f>IFERROR(__xludf.DUMMYFUNCTION("GOOGLETRANSLATE(D60, ""en"", ""hi"")"),"बी) गिल्ली को सीमा से बाहर माना जाता है।")</f>
        <v>बी) गिल्ली को सीमा से बाहर माना जाता है।</v>
      </c>
    </row>
    <row r="61" ht="22.5" customHeight="1">
      <c r="A61" s="2">
        <v>60.0</v>
      </c>
      <c r="B61" s="3" t="s">
        <v>11393</v>
      </c>
      <c r="C61" s="3" t="s">
        <v>11394</v>
      </c>
      <c r="D61" s="3" t="s">
        <v>11314</v>
      </c>
      <c r="F61" s="5" t="str">
        <f>IFERROR(__xludf.DUMMYFUNCTION("GOOGLETRANSLATE(A61, ""en"", ""hi"")"),"60")</f>
        <v>60</v>
      </c>
      <c r="G61" s="5" t="str">
        <f>IFERROR(__xludf.DUMMYFUNCTION("GOOGLETRANSLATE(B61, ""en"", ""hi"")"),"गिल्ली डंडा मैच के दौरान, खिलाड़ी E गिल्ली मारता है और वह एक ऐसे क्षेत्र में गिरती है जहाँ एक गिरी हुई पेड़ की टहनी उसे तुरंत रोक देती है। नियम क्या है?")</f>
        <v>गिल्ली डंडा मैच के दौरान, खिलाड़ी E गिल्ली मारता है और वह एक ऐसे क्षेत्र में गिरती है जहाँ एक गिरी हुई पेड़ की टहनी उसे तुरंत रोक देती है। नियम क्या है?</v>
      </c>
      <c r="H61" s="5" t="str">
        <f>IFERROR(__xludf.DUMMYFUNCTION("GOOGLETRANSLATE(C61, ""en"", ""hi"")"),"A) गिल्ली को सीमा से बाहर माना जाता है। , B) गिल्ली को खेल में माना जाता है। , C) शाखा साफ़ होने तक खेल को रोक दिया जाता है। , D) खिलाड़ी E को एक और मौका दिया जाता है।")</f>
        <v>A) गिल्ली को सीमा से बाहर माना जाता है। , B) गिल्ली को खेल में माना जाता है। , C) शाखा साफ़ होने तक खेल को रोक दिया जाता है। , D) खिलाड़ी E को एक और मौका दिया जाता है।</v>
      </c>
      <c r="I61" s="5" t="str">
        <f>IFERROR(__xludf.DUMMYFUNCTION("GOOGLETRANSLATE(D61, ""en"", ""hi"")"),"अ) गिल्ली को सीमा से बाहर माना जाता है।")</f>
        <v>अ) गिल्ली को सीमा से बाहर माना जाता है।</v>
      </c>
    </row>
    <row r="62" ht="22.5" customHeight="1">
      <c r="A62" s="2">
        <v>61.0</v>
      </c>
      <c r="B62" s="3" t="s">
        <v>11395</v>
      </c>
      <c r="C62" s="3" t="s">
        <v>11396</v>
      </c>
      <c r="D62" s="3" t="s">
        <v>11278</v>
      </c>
      <c r="F62" s="5" t="str">
        <f>IFERROR(__xludf.DUMMYFUNCTION("GOOGLETRANSLATE(A62, ""en"", ""hi"")"),"61")</f>
        <v>61</v>
      </c>
      <c r="G62" s="5" t="str">
        <f>IFERROR(__xludf.DUMMYFUNCTION("GOOGLETRANSLATE(B62, ""en"", ""hi"")"),"गिल्ली डंडा खेल में, खिलाड़ी F गिल्ली मारता है और वह थोड़ी ढलान वाली सतह पर गिरती है। इस घटना का मूल्यांकन कैसे किया जाता है?")</f>
        <v>गिल्ली डंडा खेल में, खिलाड़ी F गिल्ली मारता है और वह थोड़ी ढलान वाली सतह पर गिरती है। इस घटना का मूल्यांकन कैसे किया जाता है?</v>
      </c>
      <c r="H62" s="5" t="str">
        <f>IFERROR(__xludf.DUMMYFUNCTION("GOOGLETRANSLATE(C62, ""en"", ""hi"")"),"A) गिल्ली को खेल में माना जाता है। , B) गिल्ली को सीमा से बाहर माना जाता है। , C) खेल को समीक्षा के लिए रोक दिया जाता है। , D) खिलाड़ी F को एक और मौका दिया जाता है।")</f>
        <v>A) गिल्ली को खेल में माना जाता है। , B) गिल्ली को सीमा से बाहर माना जाता है। , C) खेल को समीक्षा के लिए रोक दिया जाता है। , D) खिलाड़ी F को एक और मौका दिया जाता है।</v>
      </c>
      <c r="I62" s="5" t="str">
        <f>IFERROR(__xludf.DUMMYFUNCTION("GOOGLETRANSLATE(D62, ""en"", ""hi"")"),"अ) गिल्ली को खेल में शामिल माना जाता है।")</f>
        <v>अ) गिल्ली को खेल में शामिल माना जाता है।</v>
      </c>
    </row>
    <row r="63" ht="22.5" customHeight="1">
      <c r="A63" s="2">
        <v>62.0</v>
      </c>
      <c r="B63" s="3" t="s">
        <v>11397</v>
      </c>
      <c r="C63" s="3" t="s">
        <v>11398</v>
      </c>
      <c r="D63" s="3" t="s">
        <v>11314</v>
      </c>
      <c r="F63" s="5" t="str">
        <f>IFERROR(__xludf.DUMMYFUNCTION("GOOGLETRANSLATE(A63, ""en"", ""hi"")"),"62")</f>
        <v>62</v>
      </c>
      <c r="G63" s="5" t="str">
        <f>IFERROR(__xludf.DUMMYFUNCTION("GOOGLETRANSLATE(B63, ""en"", ""hi"")"),"खिलाड़ी G गिल्ली मारता है और वह ऐसी जगह गिरती है जहाँ वह तुरंत पुराने अखबारों के ढेर से ढक जाती है। उचित नियम क्या है?")</f>
        <v>खिलाड़ी G गिल्ली मारता है और वह ऐसी जगह गिरती है जहाँ वह तुरंत पुराने अखबारों के ढेर से ढक जाती है। उचित नियम क्या है?</v>
      </c>
      <c r="H63" s="5" t="str">
        <f>IFERROR(__xludf.DUMMYFUNCTION("GOOGLETRANSLATE(C63, ""en"", ""hi"")"),"A) गिल्ली को सीमा से बाहर माना जाता है। , B) गिल्ली को खेल में माना जाता है। , C) खेल को तब तक रोक दिया जाता है जब तक अखबार हटा नहीं दिए जाते। , D) खिलाड़ी G को एक और मौका दिया जाता है।")</f>
        <v>A) गिल्ली को सीमा से बाहर माना जाता है। , B) गिल्ली को खेल में माना जाता है। , C) खेल को तब तक रोक दिया जाता है जब तक अखबार हटा नहीं दिए जाते। , D) खिलाड़ी G को एक और मौका दिया जाता है।</v>
      </c>
      <c r="I63" s="5" t="str">
        <f>IFERROR(__xludf.DUMMYFUNCTION("GOOGLETRANSLATE(D63, ""en"", ""hi"")"),"अ) गिल्ली को सीमा से बाहर माना जाता है।")</f>
        <v>अ) गिल्ली को सीमा से बाहर माना जाता है।</v>
      </c>
    </row>
    <row r="64" ht="22.5" customHeight="1">
      <c r="A64" s="2">
        <v>63.0</v>
      </c>
      <c r="B64" s="3" t="s">
        <v>11399</v>
      </c>
      <c r="C64" s="3" t="s">
        <v>11400</v>
      </c>
      <c r="D64" s="3" t="s">
        <v>11278</v>
      </c>
      <c r="F64" s="5" t="str">
        <f>IFERROR(__xludf.DUMMYFUNCTION("GOOGLETRANSLATE(A64, ""en"", ""hi"")"),"63")</f>
        <v>63</v>
      </c>
      <c r="G64" s="5" t="str">
        <f>IFERROR(__xludf.DUMMYFUNCTION("GOOGLETRANSLATE(B64, ""en"", ""hi"")"),"गिल्ली डंडा मैच के दौरान, खिलाड़ी H गिल्ली मारता है और वह थोड़ी ढीली बजरी वाली जगह पर गिरती है। इस प्रहार की व्याख्या कैसे की जानी चाहिए?")</f>
        <v>गिल्ली डंडा मैच के दौरान, खिलाड़ी H गिल्ली मारता है और वह थोड़ी ढीली बजरी वाली जगह पर गिरती है। इस प्रहार की व्याख्या कैसे की जानी चाहिए?</v>
      </c>
      <c r="H64" s="5" t="str">
        <f>IFERROR(__xludf.DUMMYFUNCTION("GOOGLETRANSLATE(C64, ""en"", ""hi"")"),"A) गिल्ली को खेल में माना जाता है। , B) गिल्ली को सीमा से बाहर माना जाता है। , C) बजरी साफ होने तक खेल रोक दिया जाता है। , D) खिलाड़ी H को एक और मौका दिया जाता है।")</f>
        <v>A) गिल्ली को खेल में माना जाता है। , B) गिल्ली को सीमा से बाहर माना जाता है। , C) बजरी साफ होने तक खेल रोक दिया जाता है। , D) खिलाड़ी H को एक और मौका दिया जाता है।</v>
      </c>
      <c r="I64" s="5" t="str">
        <f>IFERROR(__xludf.DUMMYFUNCTION("GOOGLETRANSLATE(D64, ""en"", ""hi"")"),"अ) गिल्ली को खेल में शामिल माना जाता है।")</f>
        <v>अ) गिल्ली को खेल में शामिल माना जाता है।</v>
      </c>
    </row>
    <row r="65" ht="22.5" customHeight="1">
      <c r="A65" s="2">
        <v>64.0</v>
      </c>
      <c r="B65" s="3" t="s">
        <v>11401</v>
      </c>
      <c r="C65" s="3" t="s">
        <v>11402</v>
      </c>
      <c r="D65" s="3" t="s">
        <v>11314</v>
      </c>
      <c r="F65" s="5" t="str">
        <f>IFERROR(__xludf.DUMMYFUNCTION("GOOGLETRANSLATE(A65, ""en"", ""hi"")"),"64")</f>
        <v>64</v>
      </c>
      <c r="G65" s="5" t="str">
        <f>IFERROR(__xludf.DUMMYFUNCTION("GOOGLETRANSLATE(B65, ""en"", ""hi"")"),"खिलाड़ी I गिल्ली पर वार करता है और वह उस जगह गिरती है जहाँ वह आंशिक रूप से रेत में डूबी होती है। इस वार का नियम क्या है?")</f>
        <v>खिलाड़ी I गिल्ली पर वार करता है और वह उस जगह गिरती है जहाँ वह आंशिक रूप से रेत में डूबी होती है। इस वार का नियम क्या है?</v>
      </c>
      <c r="H65" s="5" t="str">
        <f>IFERROR(__xludf.DUMMYFUNCTION("GOOGLETRANSLATE(C65, ""en"", ""hi"")"),"A) गिल्ली को खेल से बाहर माना जाता है। , B) गिल्ली को खेल में माना जाता है। , C) रेत हटाए जाने तक खेल को रोक दिया जाता है। , D) खिलाड़ी I को एक और मौका दिया जाता है।")</f>
        <v>A) गिल्ली को खेल से बाहर माना जाता है। , B) गिल्ली को खेल में माना जाता है। , C) रेत हटाए जाने तक खेल को रोक दिया जाता है। , D) खिलाड़ी I को एक और मौका दिया जाता है।</v>
      </c>
      <c r="I65" s="5" t="str">
        <f>IFERROR(__xludf.DUMMYFUNCTION("GOOGLETRANSLATE(D65, ""en"", ""hi"")"),"अ) गिल्ली को सीमा से बाहर माना जाता है।")</f>
        <v>अ) गिल्ली को सीमा से बाहर माना जाता है।</v>
      </c>
    </row>
    <row r="66" ht="22.5" customHeight="1">
      <c r="A66" s="2">
        <v>65.0</v>
      </c>
      <c r="B66" s="3" t="s">
        <v>11403</v>
      </c>
      <c r="C66" s="3" t="s">
        <v>11404</v>
      </c>
      <c r="D66" s="3" t="s">
        <v>11314</v>
      </c>
      <c r="F66" s="5" t="str">
        <f>IFERROR(__xludf.DUMMYFUNCTION("GOOGLETRANSLATE(A66, ""en"", ""hi"")"),"65")</f>
        <v>65</v>
      </c>
      <c r="G66" s="5" t="str">
        <f>IFERROR(__xludf.DUMMYFUNCTION("GOOGLETRANSLATE(B66, ""en"", ""hi"")"),"गिल्ली डंडा खेल में, खिलाड़ी J गिल्ली मारता है और वह एक ऐसी जगह पर गिरती है जहाँ एक छोटी दीवार उसे तुरंत रोक देती है। उचित नियम क्या है?")</f>
        <v>गिल्ली डंडा खेल में, खिलाड़ी J गिल्ली मारता है और वह एक ऐसी जगह पर गिरती है जहाँ एक छोटी दीवार उसे तुरंत रोक देती है। उचित नियम क्या है?</v>
      </c>
      <c r="H66" s="5" t="str">
        <f>IFERROR(__xludf.DUMMYFUNCTION("GOOGLETRANSLATE(C66, ""en"", ""hi"")"),"A) गिल्ली को सीमा से बाहर माना जाता है। , B) गिल्ली को खेल में माना जाता है। , C) दीवार हटाए जाने तक खेल को रोक दिया जाता है। , D) खिलाड़ी J को एक और मौका दिया जाता है।")</f>
        <v>A) गिल्ली को सीमा से बाहर माना जाता है। , B) गिल्ली को खेल में माना जाता है। , C) दीवार हटाए जाने तक खेल को रोक दिया जाता है। , D) खिलाड़ी J को एक और मौका दिया जाता है।</v>
      </c>
      <c r="I66" s="5" t="str">
        <f>IFERROR(__xludf.DUMMYFUNCTION("GOOGLETRANSLATE(D66, ""en"", ""hi"")"),"अ) गिल्ली को सीमा से बाहर माना जाता है।")</f>
        <v>अ) गिल्ली को सीमा से बाहर माना जाता है।</v>
      </c>
    </row>
    <row r="67" ht="22.5" customHeight="1">
      <c r="A67" s="2">
        <v>66.0</v>
      </c>
      <c r="B67" s="3" t="s">
        <v>11405</v>
      </c>
      <c r="C67" s="3" t="s">
        <v>11406</v>
      </c>
      <c r="D67" s="3" t="s">
        <v>11266</v>
      </c>
      <c r="F67" s="5" t="str">
        <f>IFERROR(__xludf.DUMMYFUNCTION("GOOGLETRANSLATE(A67, ""en"", ""hi"")"),"66")</f>
        <v>66</v>
      </c>
      <c r="G67" s="5" t="str">
        <f>IFERROR(__xludf.DUMMYFUNCTION("GOOGLETRANSLATE(B67, ""en"", ""hi"")"),"खिलाड़ी K गिल्ली को मारता है और वह बर्फ की एक पतली परत से ढके क्षेत्र में गिरती है। इस हिट का मूल्यांकन कैसे किया जाता है?")</f>
        <v>खिलाड़ी K गिल्ली को मारता है और वह बर्फ की एक पतली परत से ढके क्षेत्र में गिरती है। इस हिट का मूल्यांकन कैसे किया जाता है?</v>
      </c>
      <c r="H67" s="5" t="str">
        <f>IFERROR(__xludf.DUMMYFUNCTION("GOOGLETRANSLATE(C67, ""en"", ""hi"")"),"A) गिल्ली को खेल में माना जाता है। , B) गिल्ली को सीमा से बाहर माना जाता है। , C) बर्फ साफ होने तक खेल को रोक दिया जाता है। , D) खिलाड़ी K को एक और मौका दिया जाता है।")</f>
        <v>A) गिल्ली को खेल में माना जाता है। , B) गिल्ली को सीमा से बाहर माना जाता है। , C) बर्फ साफ होने तक खेल को रोक दिया जाता है। , D) खिलाड़ी K को एक और मौका दिया जाता है।</v>
      </c>
      <c r="I67" s="5" t="str">
        <f>IFERROR(__xludf.DUMMYFUNCTION("GOOGLETRANSLATE(D67, ""en"", ""hi"")"),"बी) गिल्ली को सीमा से बाहर माना जाता है।")</f>
        <v>बी) गिल्ली को सीमा से बाहर माना जाता है।</v>
      </c>
    </row>
    <row r="68" ht="22.5" customHeight="1">
      <c r="A68" s="2">
        <v>67.0</v>
      </c>
      <c r="B68" s="3" t="s">
        <v>11407</v>
      </c>
      <c r="C68" s="3" t="s">
        <v>11408</v>
      </c>
      <c r="D68" s="3" t="s">
        <v>11314</v>
      </c>
      <c r="F68" s="5" t="str">
        <f>IFERROR(__xludf.DUMMYFUNCTION("GOOGLETRANSLATE(A68, ""en"", ""hi"")"),"67")</f>
        <v>67</v>
      </c>
      <c r="G68" s="5" t="str">
        <f>IFERROR(__xludf.DUMMYFUNCTION("GOOGLETRANSLATE(B68, ""en"", ""hi"")"),"गिल्ली डंडा मैच के दौरान, खिलाड़ी L गिल्ली मारता है और वह ऐसी जगह गिरती है जहाँ वह तुरंत कीचड़ से ढक जाती है। इस प्रहार का क्या निर्णय होना चाहिए?")</f>
        <v>गिल्ली डंडा मैच के दौरान, खिलाड़ी L गिल्ली मारता है और वह ऐसी जगह गिरती है जहाँ वह तुरंत कीचड़ से ढक जाती है। इस प्रहार का क्या निर्णय होना चाहिए?</v>
      </c>
      <c r="H68" s="5" t="str">
        <f>IFERROR(__xludf.DUMMYFUNCTION("GOOGLETRANSLATE(C68, ""en"", ""hi"")"),"A) गिल्ली को सीमा से बाहर माना जाता है। , B) गिल्ली को खेल में माना जाता है। , C) कीचड़ साफ होने तक खेल रोक दिया जाता है। , D) खिलाड़ी L को एक और मौका दिया जाता है।")</f>
        <v>A) गिल्ली को सीमा से बाहर माना जाता है। , B) गिल्ली को खेल में माना जाता है। , C) कीचड़ साफ होने तक खेल रोक दिया जाता है। , D) खिलाड़ी L को एक और मौका दिया जाता है।</v>
      </c>
      <c r="I68" s="5" t="str">
        <f>IFERROR(__xludf.DUMMYFUNCTION("GOOGLETRANSLATE(D68, ""en"", ""hi"")"),"अ) गिल्ली को सीमा से बाहर माना जाता है।")</f>
        <v>अ) गिल्ली को सीमा से बाहर माना जाता है।</v>
      </c>
    </row>
    <row r="69" ht="22.5" customHeight="1">
      <c r="A69" s="2">
        <v>68.0</v>
      </c>
      <c r="B69" s="3" t="s">
        <v>11409</v>
      </c>
      <c r="C69" s="3" t="s">
        <v>11410</v>
      </c>
      <c r="D69" s="3" t="s">
        <v>11278</v>
      </c>
      <c r="F69" s="5" t="str">
        <f>IFERROR(__xludf.DUMMYFUNCTION("GOOGLETRANSLATE(A69, ""en"", ""hi"")"),"68")</f>
        <v>68</v>
      </c>
      <c r="G69" s="5" t="str">
        <f>IFERROR(__xludf.DUMMYFUNCTION("GOOGLETRANSLATE(B69, ""en"", ""hi"")"),"खिलाड़ी M गिल्ली मारता है और वह ऐसी सतह पर गिरती है जहाँ वह आंशिक रूप से ऊँची घास से ढकी हुई है। इस हिट का नियम क्या है?")</f>
        <v>खिलाड़ी M गिल्ली मारता है और वह ऐसी सतह पर गिरती है जहाँ वह आंशिक रूप से ऊँची घास से ढकी हुई है। इस हिट का नियम क्या है?</v>
      </c>
      <c r="H69" s="5" t="str">
        <f>IFERROR(__xludf.DUMMYFUNCTION("GOOGLETRANSLATE(C69, ""en"", ""hi"")"),"A) गिल्ली को खेल में माना जाता है। , B) गिल्ली को सीमा से बाहर माना जाता है। , C) घास की छंटाई होने तक खेल को रोक दिया जाता है। , D) खिलाड़ी M को एक और मौका दिया जाता है।")</f>
        <v>A) गिल्ली को खेल में माना जाता है। , B) गिल्ली को सीमा से बाहर माना जाता है। , C) घास की छंटाई होने तक खेल को रोक दिया जाता है। , D) खिलाड़ी M को एक और मौका दिया जाता है।</v>
      </c>
      <c r="I69" s="5" t="str">
        <f>IFERROR(__xludf.DUMMYFUNCTION("GOOGLETRANSLATE(D69, ""en"", ""hi"")"),"अ) गिल्ली को खेल में शामिल माना जाता है।")</f>
        <v>अ) गिल्ली को खेल में शामिल माना जाता है।</v>
      </c>
    </row>
    <row r="70" ht="22.5" customHeight="1">
      <c r="A70" s="2">
        <v>69.0</v>
      </c>
      <c r="B70" s="3" t="s">
        <v>11411</v>
      </c>
      <c r="C70" s="3" t="s">
        <v>11412</v>
      </c>
      <c r="D70" s="3" t="s">
        <v>11376</v>
      </c>
      <c r="F70" s="5" t="str">
        <f>IFERROR(__xludf.DUMMYFUNCTION("GOOGLETRANSLATE(A70, ""en"", ""hi"")"),"69")</f>
        <v>69</v>
      </c>
      <c r="G70" s="5" t="str">
        <f>IFERROR(__xludf.DUMMYFUNCTION("GOOGLETRANSLATE(B70, ""en"", ""hi"")"),"गिल्ली डंडा खेल में, खिलाड़ी N गिल्ली पर वार करता है और वह एक ऐसी जगह गिरती है जहाँ उस पर तुरंत धूल की एक मोटी परत जम जाती है। इस वार को कैसे समझा जाता है?")</f>
        <v>गिल्ली डंडा खेल में, खिलाड़ी N गिल्ली पर वार करता है और वह एक ऐसी जगह गिरती है जहाँ उस पर तुरंत धूल की एक मोटी परत जम जाती है। इस वार को कैसे समझा जाता है?</v>
      </c>
      <c r="H70" s="5" t="str">
        <f>IFERROR(__xludf.DUMMYFUNCTION("GOOGLETRANSLATE(C70, ""en"", ""hi"")"),"A) गिल्ली को सीमा से बाहर माना जाता है। , B) गिल्ली को खेल में माना जाता है। , C) धूल के बैठने तक खेल को रोक दिया जाता है। , D) खिलाड़ी N को एक और मौका दिया जाता है।")</f>
        <v>A) गिल्ली को सीमा से बाहर माना जाता है। , B) गिल्ली को खेल में माना जाता है। , C) धूल के बैठने तक खेल को रोक दिया जाता है। , D) खिलाड़ी N को एक और मौका दिया जाता है।</v>
      </c>
      <c r="I70" s="5" t="str">
        <f>IFERROR(__xludf.DUMMYFUNCTION("GOOGLETRANSLATE(D70, ""en"", ""hi"")"),"बी) गिल्ली को खेल में शामिल माना जाता है।")</f>
        <v>बी) गिल्ली को खेल में शामिल माना जाता है।</v>
      </c>
    </row>
    <row r="71" ht="22.5" customHeight="1">
      <c r="A71" s="2">
        <v>70.0</v>
      </c>
      <c r="B71" s="3" t="s">
        <v>11413</v>
      </c>
      <c r="C71" s="3" t="s">
        <v>11414</v>
      </c>
      <c r="D71" s="3" t="s">
        <v>11278</v>
      </c>
      <c r="F71" s="5" t="str">
        <f>IFERROR(__xludf.DUMMYFUNCTION("GOOGLETRANSLATE(A71, ""en"", ""hi"")"),"70")</f>
        <v>70</v>
      </c>
      <c r="G71" s="5" t="str">
        <f>IFERROR(__xludf.DUMMYFUNCTION("GOOGLETRANSLATE(B71, ""en"", ""hi"")"),"खिलाड़ी O गिल्ली मारता है और वह उस जगह पर गिरती है जहाँ बगीचे की नली से उसका कुछ हिस्सा अवरुद्ध है। उचित नियम क्या है?")</f>
        <v>खिलाड़ी O गिल्ली मारता है और वह उस जगह पर गिरती है जहाँ बगीचे की नली से उसका कुछ हिस्सा अवरुद्ध है। उचित नियम क्या है?</v>
      </c>
      <c r="H71" s="5" t="str">
        <f>IFERROR(__xludf.DUMMYFUNCTION("GOOGLETRANSLATE(C71, ""en"", ""hi"")"),"A) गिल्ली को खेल में माना जाता है। , B) गिल्ली को सीमा से बाहर माना जाता है। , C) नली को हटाए जाने तक खेल को रोक दिया जाता है। , D) खिलाड़ी O को एक और मौका दिया जाता है।")</f>
        <v>A) गिल्ली को खेल में माना जाता है। , B) गिल्ली को सीमा से बाहर माना जाता है। , C) नली को हटाए जाने तक खेल को रोक दिया जाता है। , D) खिलाड़ी O को एक और मौका दिया जाता है।</v>
      </c>
      <c r="I71" s="5" t="str">
        <f>IFERROR(__xludf.DUMMYFUNCTION("GOOGLETRANSLATE(D71, ""en"", ""hi"")"),"अ) गिल्ली को खेल में शामिल माना जाता है।")</f>
        <v>अ) गिल्ली को खेल में शामिल माना जाता है।</v>
      </c>
    </row>
    <row r="72" ht="22.5" customHeight="1">
      <c r="A72" s="2">
        <v>71.0</v>
      </c>
      <c r="B72" s="3" t="s">
        <v>11415</v>
      </c>
      <c r="C72" s="3" t="s">
        <v>11416</v>
      </c>
      <c r="D72" s="3" t="s">
        <v>11314</v>
      </c>
      <c r="F72" s="5" t="str">
        <f>IFERROR(__xludf.DUMMYFUNCTION("GOOGLETRANSLATE(A72, ""en"", ""hi"")"),"71")</f>
        <v>71</v>
      </c>
      <c r="G72" s="5" t="str">
        <f>IFERROR(__xludf.DUMMYFUNCTION("GOOGLETRANSLATE(B72, ""en"", ""hi"")"),"गिल्ली डंडा मैच के दौरान, खिलाड़ी P गिल्ली पर वार करता है और वह ऐसी जगह गिरती है जहाँ वह पत्तों के ढेर से ढकी होती है। इस वार का मूल्यांकन कैसे किया जाना चाहिए?")</f>
        <v>गिल्ली डंडा मैच के दौरान, खिलाड़ी P गिल्ली पर वार करता है और वह ऐसी जगह गिरती है जहाँ वह पत्तों के ढेर से ढकी होती है। इस वार का मूल्यांकन कैसे किया जाना चाहिए?</v>
      </c>
      <c r="H72" s="5" t="str">
        <f>IFERROR(__xludf.DUMMYFUNCTION("GOOGLETRANSLATE(C72, ""en"", ""hi"")"),"A) गिल्ली को खेल से बाहर माना जाता है। , B) गिल्ली को खेल में माना जाता है। , C) पत्तों को हटाए जाने तक खेल को रोक दिया जाता है। , D) खिलाड़ी P को एक और मौका दिया जाता है।")</f>
        <v>A) गिल्ली को खेल से बाहर माना जाता है। , B) गिल्ली को खेल में माना जाता है। , C) पत्तों को हटाए जाने तक खेल को रोक दिया जाता है। , D) खिलाड़ी P को एक और मौका दिया जाता है।</v>
      </c>
      <c r="I72" s="5" t="str">
        <f>IFERROR(__xludf.DUMMYFUNCTION("GOOGLETRANSLATE(D72, ""en"", ""hi"")"),"अ) गिल्ली को सीमा से बाहर माना जाता है।")</f>
        <v>अ) गिल्ली को सीमा से बाहर माना जाता है।</v>
      </c>
    </row>
    <row r="73" ht="22.5" customHeight="1">
      <c r="A73" s="2">
        <v>72.0</v>
      </c>
      <c r="B73" s="3" t="s">
        <v>11417</v>
      </c>
      <c r="C73" s="3" t="s">
        <v>11418</v>
      </c>
      <c r="D73" s="3" t="s">
        <v>11314</v>
      </c>
      <c r="F73" s="5" t="str">
        <f>IFERROR(__xludf.DUMMYFUNCTION("GOOGLETRANSLATE(A73, ""en"", ""hi"")"),"72")</f>
        <v>72</v>
      </c>
      <c r="G73" s="5" t="str">
        <f>IFERROR(__xludf.DUMMYFUNCTION("GOOGLETRANSLATE(B73, ""en"", ""hi"")"),"गिल्ली डंडा खेल में, खिलाड़ी Q गिल्ली पर वार करता है और वह एक ऐसी सतह पर गिरती है जहाँ उसका कुछ हिस्सा प्लास्टिक के टुकड़े से ढका होता है। इसका नियम क्या है?")</f>
        <v>गिल्ली डंडा खेल में, खिलाड़ी Q गिल्ली पर वार करता है और वह एक ऐसी सतह पर गिरती है जहाँ उसका कुछ हिस्सा प्लास्टिक के टुकड़े से ढका होता है। इसका नियम क्या है?</v>
      </c>
      <c r="H73" s="5" t="str">
        <f>IFERROR(__xludf.DUMMYFUNCTION("GOOGLETRANSLATE(C73, ""en"", ""hi"")"),"A) गिल्ली को सीमा से बाहर माना जाता है। , B) गिल्ली को खेल में माना जाता है। , C) प्लास्टिक साफ होने तक खेल को रोक दिया जाता है। , D) खिलाड़ी Q को एक और मौका दिया जाता है।")</f>
        <v>A) गिल्ली को सीमा से बाहर माना जाता है। , B) गिल्ली को खेल में माना जाता है। , C) प्लास्टिक साफ होने तक खेल को रोक दिया जाता है। , D) खिलाड़ी Q को एक और मौका दिया जाता है।</v>
      </c>
      <c r="I73" s="5" t="str">
        <f>IFERROR(__xludf.DUMMYFUNCTION("GOOGLETRANSLATE(D73, ""en"", ""hi"")"),"अ) गिल्ली को सीमा से बाहर माना जाता है।")</f>
        <v>अ) गिल्ली को सीमा से बाहर माना जाता है।</v>
      </c>
    </row>
    <row r="74" ht="22.5" customHeight="1">
      <c r="A74" s="2">
        <v>73.0</v>
      </c>
      <c r="B74" s="3" t="s">
        <v>11419</v>
      </c>
      <c r="C74" s="3" t="s">
        <v>11420</v>
      </c>
      <c r="D74" s="3" t="s">
        <v>11278</v>
      </c>
      <c r="F74" s="5" t="str">
        <f>IFERROR(__xludf.DUMMYFUNCTION("GOOGLETRANSLATE(A74, ""en"", ""hi"")"),"73")</f>
        <v>73</v>
      </c>
      <c r="G74" s="5" t="str">
        <f>IFERROR(__xludf.DUMMYFUNCTION("GOOGLETRANSLATE(B74, ""en"", ""hi"")"),"खिलाड़ी R गिल्ली मारता है और वह एक असमान सतह पर गिरती है, लेकिन उसमें कोई रुकावट नहीं है। इस हिट की व्याख्या कैसे की जानी चाहिए?")</f>
        <v>खिलाड़ी R गिल्ली मारता है और वह एक असमान सतह पर गिरती है, लेकिन उसमें कोई रुकावट नहीं है। इस हिट की व्याख्या कैसे की जानी चाहिए?</v>
      </c>
      <c r="H74" s="5" t="str">
        <f>IFERROR(__xludf.DUMMYFUNCTION("GOOGLETRANSLATE(C74, ""en"", ""hi"")"),"A) गिल्ली को खेल में माना जाता है। , B) गिल्ली को सीमा से बाहर माना जाता है। , C) खेल को समीक्षा के लिए रोक दिया जाता है। , D) खिलाड़ी R को एक और मौका दिया जाता है।")</f>
        <v>A) गिल्ली को खेल में माना जाता है। , B) गिल्ली को सीमा से बाहर माना जाता है। , C) खेल को समीक्षा के लिए रोक दिया जाता है। , D) खिलाड़ी R को एक और मौका दिया जाता है।</v>
      </c>
      <c r="I74" s="5" t="str">
        <f>IFERROR(__xludf.DUMMYFUNCTION("GOOGLETRANSLATE(D74, ""en"", ""hi"")"),"अ) गिल्ली को खेल में शामिल माना जाता है।")</f>
        <v>अ) गिल्ली को खेल में शामिल माना जाता है।</v>
      </c>
    </row>
    <row r="75" ht="22.5" customHeight="1">
      <c r="A75" s="2">
        <v>74.0</v>
      </c>
      <c r="B75" s="3" t="s">
        <v>11421</v>
      </c>
      <c r="C75" s="3" t="s">
        <v>11422</v>
      </c>
      <c r="D75" s="3" t="s">
        <v>11278</v>
      </c>
      <c r="F75" s="5" t="str">
        <f>IFERROR(__xludf.DUMMYFUNCTION("GOOGLETRANSLATE(A75, ""en"", ""hi"")"),"74")</f>
        <v>74</v>
      </c>
      <c r="G75" s="5" t="str">
        <f>IFERROR(__xludf.DUMMYFUNCTION("GOOGLETRANSLATE(B75, ""en"", ""hi"")"),"गिल्ली डंडा मैच के दौरान, खिलाड़ी S गिल्ली पर वार करता है और वह एक ऐसे क्षेत्र में गिरती है जहाँ उसे आंशिक रूप से एक धातु की छड़ से रोका गया है। इस वार का मूल्यांकन कैसे किया जाता है?")</f>
        <v>गिल्ली डंडा मैच के दौरान, खिलाड़ी S गिल्ली पर वार करता है और वह एक ऐसे क्षेत्र में गिरती है जहाँ उसे आंशिक रूप से एक धातु की छड़ से रोका गया है। इस वार का मूल्यांकन कैसे किया जाता है?</v>
      </c>
      <c r="H75" s="5" t="str">
        <f>IFERROR(__xludf.DUMMYFUNCTION("GOOGLETRANSLATE(C75, ""en"", ""hi"")"),"A) गिल्ली को खेल में माना जाता है। , B) गिल्ली को सीमा से बाहर माना जाता है। , C) रॉड को हटाए जाने तक खेल को रोक दिया जाता है। , D) खिलाड़ी S को एक और मौका दिया जाता है।")</f>
        <v>A) गिल्ली को खेल में माना जाता है। , B) गिल्ली को सीमा से बाहर माना जाता है। , C) रॉड को हटाए जाने तक खेल को रोक दिया जाता है। , D) खिलाड़ी S को एक और मौका दिया जाता है।</v>
      </c>
      <c r="I75" s="5" t="str">
        <f>IFERROR(__xludf.DUMMYFUNCTION("GOOGLETRANSLATE(D75, ""en"", ""hi"")"),"अ) गिल्ली को खेल में शामिल माना जाता है।")</f>
        <v>अ) गिल्ली को खेल में शामिल माना जाता है।</v>
      </c>
    </row>
    <row r="76" ht="22.5" customHeight="1">
      <c r="A76" s="2">
        <v>75.0</v>
      </c>
      <c r="B76" s="3" t="s">
        <v>11423</v>
      </c>
      <c r="C76" s="3" t="s">
        <v>11424</v>
      </c>
      <c r="D76" s="3" t="s">
        <v>11314</v>
      </c>
      <c r="F76" s="5" t="str">
        <f>IFERROR(__xludf.DUMMYFUNCTION("GOOGLETRANSLATE(A76, ""en"", ""hi"")"),"75")</f>
        <v>75</v>
      </c>
      <c r="G76" s="5" t="str">
        <f>IFERROR(__xludf.DUMMYFUNCTION("GOOGLETRANSLATE(B76, ""en"", ""hi"")"),"खिलाड़ी T गिल्ली को मारता है और वह ऐसी जगह गिरती है जहाँ वह तुरंत पत्तों के एक छोटे से ढेर से ढक जाती है। उचित नियम क्या है?")</f>
        <v>खिलाड़ी T गिल्ली को मारता है और वह ऐसी जगह गिरती है जहाँ वह तुरंत पत्तों के एक छोटे से ढेर से ढक जाती है। उचित नियम क्या है?</v>
      </c>
      <c r="H76" s="5" t="str">
        <f>IFERROR(__xludf.DUMMYFUNCTION("GOOGLETRANSLATE(C76, ""en"", ""hi"")"),"A) गिल्ली को सीमा से बाहर माना जाता है। , B) गिल्ली को खेल में माना जाता है। , C) खेल तब तक रुका रहता है जब तक पत्ते साफ नहीं हो जाते। , D) खिलाड़ी T को एक और मौका दिया जाता है।")</f>
        <v>A) गिल्ली को सीमा से बाहर माना जाता है। , B) गिल्ली को खेल में माना जाता है। , C) खेल तब तक रुका रहता है जब तक पत्ते साफ नहीं हो जाते। , D) खिलाड़ी T को एक और मौका दिया जाता है।</v>
      </c>
      <c r="I76" s="5" t="str">
        <f>IFERROR(__xludf.DUMMYFUNCTION("GOOGLETRANSLATE(D76, ""en"", ""hi"")"),"अ) गिल्ली को सीमा से बाहर माना जाता है।")</f>
        <v>अ) गिल्ली को सीमा से बाहर माना जाता है।</v>
      </c>
    </row>
    <row r="77" ht="22.5" customHeight="1">
      <c r="A77" s="2">
        <v>76.0</v>
      </c>
      <c r="B77" s="3" t="s">
        <v>11425</v>
      </c>
      <c r="C77" s="3" t="s">
        <v>11426</v>
      </c>
      <c r="D77" s="3" t="s">
        <v>11314</v>
      </c>
      <c r="F77" s="5" t="str">
        <f>IFERROR(__xludf.DUMMYFUNCTION("GOOGLETRANSLATE(A77, ""en"", ""hi"")"),"76")</f>
        <v>76</v>
      </c>
      <c r="G77" s="5" t="str">
        <f>IFERROR(__xludf.DUMMYFUNCTION("GOOGLETRANSLATE(B77, ""en"", ""hi"")"),"गिल्ली डंडा खेल में, खिलाड़ी U गिल्ली को मारता है और वह एक ऐसी सतह पर गिरती है जहाँ उस पर बर्फ की एक पतली परत जम जाती है। इसका नियम क्या है?")</f>
        <v>गिल्ली डंडा खेल में, खिलाड़ी U गिल्ली को मारता है और वह एक ऐसी सतह पर गिरती है जहाँ उस पर बर्फ की एक पतली परत जम जाती है। इसका नियम क्या है?</v>
      </c>
      <c r="H77" s="5" t="str">
        <f>IFERROR(__xludf.DUMMYFUNCTION("GOOGLETRANSLATE(C77, ""en"", ""hi"")"),"A) गिल्ली को सीमा से बाहर माना जाता है। , B) गिल्ली को खेल में माना जाता है। , C) बर्फ हटाए जाने तक खेल को रोक दिया जाता है। , D) खिलाड़ी U को एक और मौका दिया जाता है।")</f>
        <v>A) गिल्ली को सीमा से बाहर माना जाता है। , B) गिल्ली को खेल में माना जाता है। , C) बर्फ हटाए जाने तक खेल को रोक दिया जाता है। , D) खिलाड़ी U को एक और मौका दिया जाता है।</v>
      </c>
      <c r="I77" s="5" t="str">
        <f>IFERROR(__xludf.DUMMYFUNCTION("GOOGLETRANSLATE(D77, ""en"", ""hi"")"),"अ) गिल्ली को सीमा से बाहर माना जाता है।")</f>
        <v>अ) गिल्ली को सीमा से बाहर माना जाता है।</v>
      </c>
    </row>
    <row r="78" ht="22.5" customHeight="1">
      <c r="A78" s="2">
        <v>77.0</v>
      </c>
      <c r="B78" s="3" t="s">
        <v>11427</v>
      </c>
      <c r="C78" s="3" t="s">
        <v>11428</v>
      </c>
      <c r="D78" s="3" t="s">
        <v>11314</v>
      </c>
      <c r="F78" s="5" t="str">
        <f>IFERROR(__xludf.DUMMYFUNCTION("GOOGLETRANSLATE(A78, ""en"", ""hi"")"),"77")</f>
        <v>77</v>
      </c>
      <c r="G78" s="5" t="str">
        <f>IFERROR(__xludf.DUMMYFUNCTION("GOOGLETRANSLATE(B78, ""en"", ""hi"")"),"खिलाड़ी V गिल्ली मारता है और वह ऐसी जगह गिरती है जहाँ ईंटों के ढेर से वह आंशिक रूप से अवरुद्ध है। इस परिदृश्य पर क्या निर्णय लिया जाना चाहिए?")</f>
        <v>खिलाड़ी V गिल्ली मारता है और वह ऐसी जगह गिरती है जहाँ ईंटों के ढेर से वह आंशिक रूप से अवरुद्ध है। इस परिदृश्य पर क्या निर्णय लिया जाना चाहिए?</v>
      </c>
      <c r="H78" s="5" t="str">
        <f>IFERROR(__xludf.DUMMYFUNCTION("GOOGLETRANSLATE(C78, ""en"", ""hi"")"),"A) गिल्ली को खेल से बाहर माना जाता है। , B) गिल्ली को खेल में माना जाता है। , C) ईंटों को हटाए जाने तक खेल को रोक दिया जाता है। , D) खिलाड़ी V को एक और मौका दिया जाता है।")</f>
        <v>A) गिल्ली को खेल से बाहर माना जाता है। , B) गिल्ली को खेल में माना जाता है। , C) ईंटों को हटाए जाने तक खेल को रोक दिया जाता है। , D) खिलाड़ी V को एक और मौका दिया जाता है।</v>
      </c>
      <c r="I78" s="5" t="str">
        <f>IFERROR(__xludf.DUMMYFUNCTION("GOOGLETRANSLATE(D78, ""en"", ""hi"")"),"अ) गिल्ली को सीमा से बाहर माना जाता है।")</f>
        <v>अ) गिल्ली को सीमा से बाहर माना जाता है।</v>
      </c>
    </row>
    <row r="79" ht="22.5" customHeight="1">
      <c r="A79" s="2">
        <v>78.0</v>
      </c>
      <c r="B79" s="3" t="s">
        <v>11429</v>
      </c>
      <c r="C79" s="3" t="s">
        <v>11430</v>
      </c>
      <c r="D79" s="3" t="s">
        <v>11278</v>
      </c>
      <c r="F79" s="5" t="str">
        <f>IFERROR(__xludf.DUMMYFUNCTION("GOOGLETRANSLATE(A79, ""en"", ""hi"")"),"78")</f>
        <v>78</v>
      </c>
      <c r="G79" s="5" t="str">
        <f>IFERROR(__xludf.DUMMYFUNCTION("GOOGLETRANSLATE(B79, ""en"", ""hi"")"),"गिल्ली डंडा मैच के दौरान, खिलाड़ी W गिल्ली मारता है और वह थोड़ी ढलान वाले क्षेत्र में गिरती है। इस प्रहार की व्याख्या कैसे की जाती है?")</f>
        <v>गिल्ली डंडा मैच के दौरान, खिलाड़ी W गिल्ली मारता है और वह थोड़ी ढलान वाले क्षेत्र में गिरती है। इस प्रहार की व्याख्या कैसे की जाती है?</v>
      </c>
      <c r="H79" s="5" t="str">
        <f>IFERROR(__xludf.DUMMYFUNCTION("GOOGLETRANSLATE(C79, ""en"", ""hi"")"),"A) गिल्ली को खेल में माना जाता है। , B) गिल्ली को सीमा से बाहर माना जाता है। , C) खेल को समीक्षा के लिए रोक दिया जाता है। , D) खिलाड़ी W को एक और मौका दिया जाता है।")</f>
        <v>A) गिल्ली को खेल में माना जाता है। , B) गिल्ली को सीमा से बाहर माना जाता है। , C) खेल को समीक्षा के लिए रोक दिया जाता है। , D) खिलाड़ी W को एक और मौका दिया जाता है।</v>
      </c>
      <c r="I79" s="5" t="str">
        <f>IFERROR(__xludf.DUMMYFUNCTION("GOOGLETRANSLATE(D79, ""en"", ""hi"")"),"अ) गिल्ली को खेल में शामिल माना जाता है।")</f>
        <v>अ) गिल्ली को खेल में शामिल माना जाता है।</v>
      </c>
    </row>
    <row r="80" ht="22.5" customHeight="1">
      <c r="A80" s="2">
        <v>79.0</v>
      </c>
      <c r="B80" s="3" t="s">
        <v>11431</v>
      </c>
      <c r="C80" s="3" t="s">
        <v>11432</v>
      </c>
      <c r="D80" s="3" t="s">
        <v>11314</v>
      </c>
      <c r="F80" s="5" t="str">
        <f>IFERROR(__xludf.DUMMYFUNCTION("GOOGLETRANSLATE(A80, ""en"", ""hi"")"),"79")</f>
        <v>79</v>
      </c>
      <c r="G80" s="5" t="str">
        <f>IFERROR(__xludf.DUMMYFUNCTION("GOOGLETRANSLATE(B80, ""en"", ""hi"")"),"खिलाड़ी X गिल्ली पर वार करता है और वह ऐसी जगह गिरती है जहाँ वह तुरंत कार्डबोर्ड के एक टुकड़े से ढक जाती है। इस वार का नियम क्या है?")</f>
        <v>खिलाड़ी X गिल्ली पर वार करता है और वह ऐसी जगह गिरती है जहाँ वह तुरंत कार्डबोर्ड के एक टुकड़े से ढक जाती है। इस वार का नियम क्या है?</v>
      </c>
      <c r="H80" s="5" t="str">
        <f>IFERROR(__xludf.DUMMYFUNCTION("GOOGLETRANSLATE(C80, ""en"", ""hi"")"),"A) गिल्ली को खेल से बाहर माना जाता है। , B) गिल्ली को खेल में माना जाता है। , C) कार्डबोर्ड हटाए जाने तक खेल को रोक दिया जाता है। , D) खिलाड़ी X को एक और मौका दिया जाता है।")</f>
        <v>A) गिल्ली को खेल से बाहर माना जाता है। , B) गिल्ली को खेल में माना जाता है। , C) कार्डबोर्ड हटाए जाने तक खेल को रोक दिया जाता है। , D) खिलाड़ी X को एक और मौका दिया जाता है।</v>
      </c>
      <c r="I80" s="5" t="str">
        <f>IFERROR(__xludf.DUMMYFUNCTION("GOOGLETRANSLATE(D80, ""en"", ""hi"")"),"अ) गिल्ली को सीमा से बाहर माना जाता है।")</f>
        <v>अ) गिल्ली को सीमा से बाहर माना जाता है।</v>
      </c>
    </row>
    <row r="81" ht="22.5" customHeight="1">
      <c r="A81" s="2">
        <v>80.0</v>
      </c>
      <c r="B81" s="3" t="s">
        <v>11433</v>
      </c>
      <c r="C81" s="3" t="s">
        <v>11434</v>
      </c>
      <c r="D81" s="3" t="s">
        <v>11266</v>
      </c>
      <c r="F81" s="5" t="str">
        <f>IFERROR(__xludf.DUMMYFUNCTION("GOOGLETRANSLATE(A81, ""en"", ""hi"")"),"80")</f>
        <v>80</v>
      </c>
      <c r="G81" s="5" t="str">
        <f>IFERROR(__xludf.DUMMYFUNCTION("GOOGLETRANSLATE(B81, ""en"", ""hi"")"),"गिल्ली डंडा खेल में, खिलाड़ी Y गिल्ली मारता है और वह एक ऐसे क्षेत्र में गिरती है जहाँ उसे मिट्टी के एक छोटे से ढेर से रोका जाता है। इस परिदृश्य का मूल्यांकन कैसे किया जाना चाहिए?")</f>
        <v>गिल्ली डंडा खेल में, खिलाड़ी Y गिल्ली मारता है और वह एक ऐसे क्षेत्र में गिरती है जहाँ उसे मिट्टी के एक छोटे से ढेर से रोका जाता है। इस परिदृश्य का मूल्यांकन कैसे किया जाना चाहिए?</v>
      </c>
      <c r="H81" s="5" t="str">
        <f>IFERROR(__xludf.DUMMYFUNCTION("GOOGLETRANSLATE(C81, ""en"", ""hi"")"),"A) गिल्ली को खेल में माना जाता है। , B) गिल्ली को सीमा से बाहर माना जाता है। , C) मिट्टी साफ होने तक खेल रोक दिया जाता है। , D) खिलाड़ी Y को एक और मौका दिया जाता है।")</f>
        <v>A) गिल्ली को खेल में माना जाता है। , B) गिल्ली को सीमा से बाहर माना जाता है। , C) मिट्टी साफ होने तक खेल रोक दिया जाता है। , D) खिलाड़ी Y को एक और मौका दिया जाता है।</v>
      </c>
      <c r="I81" s="5" t="str">
        <f>IFERROR(__xludf.DUMMYFUNCTION("GOOGLETRANSLATE(D81, ""en"", ""hi"")"),"बी) गिल्ली को सीमा से बाहर माना जाता है।")</f>
        <v>बी) गिल्ली को सीमा से बाहर माना जाता है।</v>
      </c>
    </row>
    <row r="82" ht="22.5" customHeight="1">
      <c r="A82" s="2">
        <v>81.0</v>
      </c>
      <c r="B82" s="3" t="s">
        <v>11435</v>
      </c>
      <c r="C82" s="3" t="s">
        <v>11436</v>
      </c>
      <c r="D82" s="3" t="s">
        <v>11278</v>
      </c>
      <c r="F82" s="5" t="str">
        <f>IFERROR(__xludf.DUMMYFUNCTION("GOOGLETRANSLATE(A82, ""en"", ""hi"")"),"81")</f>
        <v>81</v>
      </c>
      <c r="G82" s="5" t="str">
        <f>IFERROR(__xludf.DUMMYFUNCTION("GOOGLETRANSLATE(B82, ""en"", ""hi"")"),"खिलाड़ी Z गिल्ली मारता है और वह एक ऐसी सतह पर गिरती है जो आंशिक रूप से घास से ढकी हुई है। इस हिट का नियम क्या है?")</f>
        <v>खिलाड़ी Z गिल्ली मारता है और वह एक ऐसी सतह पर गिरती है जो आंशिक रूप से घास से ढकी हुई है। इस हिट का नियम क्या है?</v>
      </c>
      <c r="H82" s="5" t="str">
        <f>IFERROR(__xludf.DUMMYFUNCTION("GOOGLETRANSLATE(C82, ""en"", ""hi"")"),"A) गिल्ली को खेल में माना जाता है। , B) गिल्ली को सीमा से बाहर माना जाता है। , C) घास साफ होने तक खेल को रोक दिया जाता है। , D) खिलाड़ी Z को एक और मौका दिया जाता है।")</f>
        <v>A) गिल्ली को खेल में माना जाता है। , B) गिल्ली को सीमा से बाहर माना जाता है। , C) घास साफ होने तक खेल को रोक दिया जाता है। , D) खिलाड़ी Z को एक और मौका दिया जाता है।</v>
      </c>
      <c r="I82" s="5" t="str">
        <f>IFERROR(__xludf.DUMMYFUNCTION("GOOGLETRANSLATE(D82, ""en"", ""hi"")"),"अ) गिल्ली को खेल में शामिल माना जाता है।")</f>
        <v>अ) गिल्ली को खेल में शामिल माना जाता है।</v>
      </c>
    </row>
    <row r="83" ht="22.5" customHeight="1">
      <c r="A83" s="2">
        <v>82.0</v>
      </c>
      <c r="B83" s="3" t="s">
        <v>11437</v>
      </c>
      <c r="C83" s="3" t="s">
        <v>11438</v>
      </c>
      <c r="D83" s="3" t="s">
        <v>11314</v>
      </c>
      <c r="F83" s="5" t="str">
        <f>IFERROR(__xludf.DUMMYFUNCTION("GOOGLETRANSLATE(A83, ""en"", ""hi"")"),"82")</f>
        <v>82</v>
      </c>
      <c r="G83" s="5" t="str">
        <f>IFERROR(__xludf.DUMMYFUNCTION("GOOGLETRANSLATE(B83, ""en"", ""hi"")"),"गिल्ली डंडा मैच के दौरान, खिलाड़ी AA गिल्ली मारता है और वह एक ऐसी सतह पर गिरती है जो टूटी हुई शाखाओं के ढेर से अवरुद्ध होती है। इसका नियम क्या है?")</f>
        <v>गिल्ली डंडा मैच के दौरान, खिलाड़ी AA गिल्ली मारता है और वह एक ऐसी सतह पर गिरती है जो टूटी हुई शाखाओं के ढेर से अवरुद्ध होती है। इसका नियम क्या है?</v>
      </c>
      <c r="H83" s="5" t="str">
        <f>IFERROR(__xludf.DUMMYFUNCTION("GOOGLETRANSLATE(C83, ""en"", ""hi"")"),"A) गिल्ली को सीमा से बाहर माना जाता है। , B) गिल्ली को खेल में माना जाता है। , C) शाखाओं के साफ होने तक खेल को रोक दिया जाता है। , D) खिलाड़ी AA को एक और मौका दिया जाता है।")</f>
        <v>A) गिल्ली को सीमा से बाहर माना जाता है। , B) गिल्ली को खेल में माना जाता है। , C) शाखाओं के साफ होने तक खेल को रोक दिया जाता है। , D) खिलाड़ी AA को एक और मौका दिया जाता है।</v>
      </c>
      <c r="I83" s="5" t="str">
        <f>IFERROR(__xludf.DUMMYFUNCTION("GOOGLETRANSLATE(D83, ""en"", ""hi"")"),"अ) गिल्ली को सीमा से बाहर माना जाता है।")</f>
        <v>अ) गिल्ली को सीमा से बाहर माना जाता है।</v>
      </c>
    </row>
    <row r="84" ht="22.5" customHeight="1">
      <c r="A84" s="2">
        <v>83.0</v>
      </c>
      <c r="B84" s="3" t="s">
        <v>11439</v>
      </c>
      <c r="C84" s="3" t="s">
        <v>11440</v>
      </c>
      <c r="D84" s="3" t="s">
        <v>11278</v>
      </c>
      <c r="F84" s="5" t="str">
        <f>IFERROR(__xludf.DUMMYFUNCTION("GOOGLETRANSLATE(A84, ""en"", ""hi"")"),"83")</f>
        <v>83</v>
      </c>
      <c r="G84" s="5" t="str">
        <f>IFERROR(__xludf.DUMMYFUNCTION("GOOGLETRANSLATE(B84, ""en"", ""hi"")"),"खिलाड़ी बीबी गिल्ली को मारता है और वह छोटे-छोटे पत्थरों वाली एक ऊबड़-खाबड़ सतह पर गिरती है। इस प्रहार की व्याख्या कैसे की जानी चाहिए?")</f>
        <v>खिलाड़ी बीबी गिल्ली को मारता है और वह छोटे-छोटे पत्थरों वाली एक ऊबड़-खाबड़ सतह पर गिरती है। इस प्रहार की व्याख्या कैसे की जानी चाहिए?</v>
      </c>
      <c r="H84" s="5" t="str">
        <f>IFERROR(__xludf.DUMMYFUNCTION("GOOGLETRANSLATE(C84, ""en"", ""hi"")"),"A) गिल्ली को खेल में माना जाता है। , B) गिल्ली को सीमा से बाहर माना जाता है। , C) खेल को समीक्षा के लिए रोक दिया जाता है। , D) खिलाड़ी बी.बी. को एक और मौका दिया जाता है।")</f>
        <v>A) गिल्ली को खेल में माना जाता है। , B) गिल्ली को सीमा से बाहर माना जाता है। , C) खेल को समीक्षा के लिए रोक दिया जाता है। , D) खिलाड़ी बी.बी. को एक और मौका दिया जाता है।</v>
      </c>
      <c r="I84" s="5" t="str">
        <f>IFERROR(__xludf.DUMMYFUNCTION("GOOGLETRANSLATE(D84, ""en"", ""hi"")"),"अ) गिल्ली को खेल में शामिल माना जाता है।")</f>
        <v>अ) गिल्ली को खेल में शामिल माना जाता है।</v>
      </c>
    </row>
    <row r="85" ht="22.5" customHeight="1">
      <c r="A85" s="2">
        <v>84.0</v>
      </c>
      <c r="B85" s="3" t="s">
        <v>11441</v>
      </c>
      <c r="C85" s="3" t="s">
        <v>11442</v>
      </c>
      <c r="D85" s="3" t="s">
        <v>11314</v>
      </c>
      <c r="F85" s="5" t="str">
        <f>IFERROR(__xludf.DUMMYFUNCTION("GOOGLETRANSLATE(A85, ""en"", ""hi"")"),"84")</f>
        <v>84</v>
      </c>
      <c r="G85" s="5" t="str">
        <f>IFERROR(__xludf.DUMMYFUNCTION("GOOGLETRANSLATE(B85, ""en"", ""hi"")"),"गिल्ली डंडा खेल में, खिलाड़ी सीसी गिल्ली को मारता है और वह मोटी चटाई से ढकी सतह पर गिरती है। उचित नियम क्या है?")</f>
        <v>गिल्ली डंडा खेल में, खिलाड़ी सीसी गिल्ली को मारता है और वह मोटी चटाई से ढकी सतह पर गिरती है। उचित नियम क्या है?</v>
      </c>
      <c r="H85" s="5" t="str">
        <f>IFERROR(__xludf.DUMMYFUNCTION("GOOGLETRANSLATE(C85, ""en"", ""hi"")"),"A) गिल्ली को सीमा से बाहर माना जाता है। , B) गिल्ली को खेल में माना जाता है। , C) मैट हटाए जाने तक खेल को रोक दिया जाता है। , D) खिलाड़ी सी.सी. को एक और मौका दिया जाता है।")</f>
        <v>A) गिल्ली को सीमा से बाहर माना जाता है। , B) गिल्ली को खेल में माना जाता है। , C) मैट हटाए जाने तक खेल को रोक दिया जाता है। , D) खिलाड़ी सी.सी. को एक और मौका दिया जाता है।</v>
      </c>
      <c r="I85" s="5" t="str">
        <f>IFERROR(__xludf.DUMMYFUNCTION("GOOGLETRANSLATE(D85, ""en"", ""hi"")"),"अ) गिल्ली को सीमा से बाहर माना जाता है।")</f>
        <v>अ) गिल्ली को सीमा से बाहर माना जाता है।</v>
      </c>
    </row>
    <row r="86" ht="22.5" customHeight="1">
      <c r="A86" s="2">
        <v>85.0</v>
      </c>
      <c r="B86" s="3" t="s">
        <v>11443</v>
      </c>
      <c r="C86" s="3" t="s">
        <v>11444</v>
      </c>
      <c r="D86" s="3" t="s">
        <v>11314</v>
      </c>
      <c r="F86" s="5" t="str">
        <f>IFERROR(__xludf.DUMMYFUNCTION("GOOGLETRANSLATE(A86, ""en"", ""hi"")"),"85")</f>
        <v>85</v>
      </c>
      <c r="G86" s="5" t="str">
        <f>IFERROR(__xludf.DUMMYFUNCTION("GOOGLETRANSLATE(B86, ""en"", ""hi"")"),"खिलाड़ी डीडी गिल्ली को मारता है और वह पानी से भरे एक छोटे से गड्ढे वाली सतह पर गिरती है। इस स्थिति में क्या नियम होना चाहिए?")</f>
        <v>खिलाड़ी डीडी गिल्ली को मारता है और वह पानी से भरे एक छोटे से गड्ढे वाली सतह पर गिरती है। इस स्थिति में क्या नियम होना चाहिए?</v>
      </c>
      <c r="H86" s="5" t="str">
        <f>IFERROR(__xludf.DUMMYFUNCTION("GOOGLETRANSLATE(C86, ""en"", ""hi"")"),"A) गिल्ली को खेल के मैदान से बाहर माना जाता है। , B) गिल्ली को खेल में माना जाता है। , C) पानी हटाये जाने तक खेल को रोक दिया जाता है। , D) खिलाड़ी DD को एक और मौका दिया जाता है।")</f>
        <v>A) गिल्ली को खेल के मैदान से बाहर माना जाता है। , B) गिल्ली को खेल में माना जाता है। , C) पानी हटाये जाने तक खेल को रोक दिया जाता है। , D) खिलाड़ी DD को एक और मौका दिया जाता है।</v>
      </c>
      <c r="I86" s="5" t="str">
        <f>IFERROR(__xludf.DUMMYFUNCTION("GOOGLETRANSLATE(D86, ""en"", ""hi"")"),"अ) गिल्ली को सीमा से बाहर माना जाता है।")</f>
        <v>अ) गिल्ली को सीमा से बाहर माना जाता है।</v>
      </c>
    </row>
    <row r="87" ht="22.5" customHeight="1">
      <c r="A87" s="2">
        <v>86.0</v>
      </c>
      <c r="B87" s="3" t="s">
        <v>11445</v>
      </c>
      <c r="C87" s="3" t="s">
        <v>11446</v>
      </c>
      <c r="D87" s="3" t="s">
        <v>11278</v>
      </c>
      <c r="F87" s="5" t="str">
        <f>IFERROR(__xludf.DUMMYFUNCTION("GOOGLETRANSLATE(A87, ""en"", ""hi"")"),"86")</f>
        <v>86</v>
      </c>
      <c r="G87" s="5" t="str">
        <f>IFERROR(__xludf.DUMMYFUNCTION("GOOGLETRANSLATE(B87, ""en"", ""hi"")"),"गिल्ली डंडा मैच के दौरान, खिलाड़ी ईई गिल्ली मारता है और वह थोड़ी सी मिट्टी वाली सतह पर गिरती है। इस हिट का मूल्यांकन कैसे किया जाता है?")</f>
        <v>गिल्ली डंडा मैच के दौरान, खिलाड़ी ईई गिल्ली मारता है और वह थोड़ी सी मिट्टी वाली सतह पर गिरती है। इस हिट का मूल्यांकन कैसे किया जाता है?</v>
      </c>
      <c r="H87" s="5" t="str">
        <f>IFERROR(__xludf.DUMMYFUNCTION("GOOGLETRANSLATE(C87, ""en"", ""hi"")"),"A) गिल्ली को खेल में माना जाता है। , B) गिल्ली को सीमा से बाहर माना जाता है। , C) कीचड़ साफ होने तक खेल रोक दिया जाता है। , D) खिलाड़ी ईई को एक और मौका दिया जाता है।")</f>
        <v>A) गिल्ली को खेल में माना जाता है। , B) गिल्ली को सीमा से बाहर माना जाता है। , C) कीचड़ साफ होने तक खेल रोक दिया जाता है। , D) खिलाड़ी ईई को एक और मौका दिया जाता है।</v>
      </c>
      <c r="I87" s="5" t="str">
        <f>IFERROR(__xludf.DUMMYFUNCTION("GOOGLETRANSLATE(D87, ""en"", ""hi"")"),"अ) गिल्ली को खेल में शामिल माना जाता है।")</f>
        <v>अ) गिल्ली को खेल में शामिल माना जाता है।</v>
      </c>
    </row>
    <row r="88" ht="22.5" customHeight="1">
      <c r="A88" s="2">
        <v>87.0</v>
      </c>
      <c r="B88" s="3" t="s">
        <v>11447</v>
      </c>
      <c r="C88" s="3" t="s">
        <v>11448</v>
      </c>
      <c r="D88" s="3" t="s">
        <v>11314</v>
      </c>
      <c r="F88" s="5" t="str">
        <f>IFERROR(__xludf.DUMMYFUNCTION("GOOGLETRANSLATE(A88, ""en"", ""hi"")"),"87")</f>
        <v>87</v>
      </c>
      <c r="G88" s="5" t="str">
        <f>IFERROR(__xludf.DUMMYFUNCTION("GOOGLETRANSLATE(B88, ""en"", ""hi"")"),"खिलाड़ी FF गिल्ली मारता है और वह एक ऐसी सतह पर गिरती है जो एक बड़े पत्थर से अवरुद्ध है। उचित नियम क्या है?")</f>
        <v>खिलाड़ी FF गिल्ली मारता है और वह एक ऐसी सतह पर गिरती है जो एक बड़े पत्थर से अवरुद्ध है। उचित नियम क्या है?</v>
      </c>
      <c r="H88" s="5" t="str">
        <f>IFERROR(__xludf.DUMMYFUNCTION("GOOGLETRANSLATE(C88, ""en"", ""hi"")"),"A) गिल्ली को सीमा से बाहर माना जाता है। , B) गिल्ली को खेल में माना जाता है। , C) पत्थर हटाए जाने तक खेल को रोक दिया जाता है। , D) खिलाड़ी एफएफ को एक और मौका दिया जाता है।")</f>
        <v>A) गिल्ली को सीमा से बाहर माना जाता है। , B) गिल्ली को खेल में माना जाता है। , C) पत्थर हटाए जाने तक खेल को रोक दिया जाता है। , D) खिलाड़ी एफएफ को एक और मौका दिया जाता है।</v>
      </c>
      <c r="I88" s="5" t="str">
        <f>IFERROR(__xludf.DUMMYFUNCTION("GOOGLETRANSLATE(D88, ""en"", ""hi"")"),"अ) गिल्ली को सीमा से बाहर माना जाता है।")</f>
        <v>अ) गिल्ली को सीमा से बाहर माना जाता है।</v>
      </c>
    </row>
    <row r="89" ht="22.5" customHeight="1">
      <c r="A89" s="2">
        <v>88.0</v>
      </c>
      <c r="B89" s="3" t="s">
        <v>11449</v>
      </c>
      <c r="C89" s="3" t="s">
        <v>11450</v>
      </c>
      <c r="D89" s="3" t="s">
        <v>11314</v>
      </c>
      <c r="F89" s="5" t="str">
        <f>IFERROR(__xludf.DUMMYFUNCTION("GOOGLETRANSLATE(A89, ""en"", ""hi"")"),"88")</f>
        <v>88</v>
      </c>
      <c r="G89" s="5" t="str">
        <f>IFERROR(__xludf.DUMMYFUNCTION("GOOGLETRANSLATE(B89, ""en"", ""hi"")"),"गिल्ली डंडा खेल में, खिलाड़ी GG गिल्ली पर वार करता है और वह किसी सतह पर गिरती है जहाँ उसे तुरंत कपड़े से ढक दिया जाता है। इस वार की व्याख्या कैसे की जानी चाहिए?")</f>
        <v>गिल्ली डंडा खेल में, खिलाड़ी GG गिल्ली पर वार करता है और वह किसी सतह पर गिरती है जहाँ उसे तुरंत कपड़े से ढक दिया जाता है। इस वार की व्याख्या कैसे की जानी चाहिए?</v>
      </c>
      <c r="H89" s="5" t="str">
        <f>IFERROR(__xludf.DUMMYFUNCTION("GOOGLETRANSLATE(C89, ""en"", ""hi"")"),"A) गिल्ली को खेल से बाहर माना जाता है। , B) गिल्ली को खेल में माना जाता है। , C) कपड़ा हटाए जाने तक खेल को रोक दिया जाता है। , D) खिलाड़ी GG को एक और मौका दिया जाता है।")</f>
        <v>A) गिल्ली को खेल से बाहर माना जाता है। , B) गिल्ली को खेल में माना जाता है। , C) कपड़ा हटाए जाने तक खेल को रोक दिया जाता है। , D) खिलाड़ी GG को एक और मौका दिया जाता है।</v>
      </c>
      <c r="I89" s="5" t="str">
        <f>IFERROR(__xludf.DUMMYFUNCTION("GOOGLETRANSLATE(D89, ""en"", ""hi"")"),"अ) गिल्ली को सीमा से बाहर माना जाता है।")</f>
        <v>अ) गिल्ली को सीमा से बाहर माना जाता है।</v>
      </c>
    </row>
    <row r="90" ht="22.5" customHeight="1">
      <c r="A90" s="2">
        <v>89.0</v>
      </c>
      <c r="B90" s="3" t="s">
        <v>11451</v>
      </c>
      <c r="C90" s="3" t="s">
        <v>11452</v>
      </c>
      <c r="D90" s="3" t="s">
        <v>11278</v>
      </c>
      <c r="F90" s="5" t="str">
        <f>IFERROR(__xludf.DUMMYFUNCTION("GOOGLETRANSLATE(A90, ""en"", ""hi"")"),"89")</f>
        <v>89</v>
      </c>
      <c r="G90" s="5" t="str">
        <f>IFERROR(__xludf.DUMMYFUNCTION("GOOGLETRANSLATE(B90, ""en"", ""hi"")"),"खिलाड़ी HH गिल्ली को मारता है और वह ऐसे क्षेत्र में गिरती है जहाँ उसका कुछ भाग बेलों के गुच्छे से ढका होता है। इस स्थिति में क्या नियम है?")</f>
        <v>खिलाड़ी HH गिल्ली को मारता है और वह ऐसे क्षेत्र में गिरती है जहाँ उसका कुछ भाग बेलों के गुच्छे से ढका होता है। इस स्थिति में क्या नियम है?</v>
      </c>
      <c r="H90" s="5" t="str">
        <f>IFERROR(__xludf.DUMMYFUNCTION("GOOGLETRANSLATE(C90, ""en"", ""hi"")"),"A) गिल्ली को खेल में माना जाता है। , B) गिल्ली को सीमा से बाहर माना जाता है। , C) बेलों के साफ होने तक खेल को रोक दिया जाता है। , D) खिलाड़ी HH को एक और मौका दिया जाता है।")</f>
        <v>A) गिल्ली को खेल में माना जाता है। , B) गिल्ली को सीमा से बाहर माना जाता है। , C) बेलों के साफ होने तक खेल को रोक दिया जाता है। , D) खिलाड़ी HH को एक और मौका दिया जाता है।</v>
      </c>
      <c r="I90" s="5" t="str">
        <f>IFERROR(__xludf.DUMMYFUNCTION("GOOGLETRANSLATE(D90, ""en"", ""hi"")"),"अ) गिल्ली को खेल में शामिल माना जाता है।")</f>
        <v>अ) गिल्ली को खेल में शामिल माना जाता है।</v>
      </c>
    </row>
    <row r="91" ht="22.5" customHeight="1">
      <c r="A91" s="2">
        <v>90.0</v>
      </c>
      <c r="B91" s="3" t="s">
        <v>11453</v>
      </c>
      <c r="C91" s="3" t="s">
        <v>11454</v>
      </c>
      <c r="D91" s="3" t="s">
        <v>11314</v>
      </c>
      <c r="F91" s="5" t="str">
        <f>IFERROR(__xludf.DUMMYFUNCTION("GOOGLETRANSLATE(A91, ""en"", ""hi"")"),"90")</f>
        <v>90</v>
      </c>
      <c r="G91" s="5" t="str">
        <f>IFERROR(__xludf.DUMMYFUNCTION("GOOGLETRANSLATE(B91, ""en"", ""hi"")"),"गिल्ली डंडा मैच के दौरान, खिलाड़ी II गिल्ली पर वार करता है और वह ऐसी जगह गिरती है जहाँ वह तुरंत बारिश के पानी से ढक जाती है। इस वार का क्या फैसला होना चाहिए?")</f>
        <v>गिल्ली डंडा मैच के दौरान, खिलाड़ी II गिल्ली पर वार करता है और वह ऐसी जगह गिरती है जहाँ वह तुरंत बारिश के पानी से ढक जाती है। इस वार का क्या फैसला होना चाहिए?</v>
      </c>
      <c r="H91" s="5" t="str">
        <f>IFERROR(__xludf.DUMMYFUNCTION("GOOGLETRANSLATE(C91, ""en"", ""hi"")"),"A) गिल्ली को सीमा से बाहर माना जाता है। , B) गिल्ली को खेल में माना जाता है। , C) पानी साफ होने तक खेल को रोक दिया जाता है। , D) खिलाड़ी II को एक और मौका दिया जाता है।")</f>
        <v>A) गिल्ली को सीमा से बाहर माना जाता है। , B) गिल्ली को खेल में माना जाता है। , C) पानी साफ होने तक खेल को रोक दिया जाता है। , D) खिलाड़ी II को एक और मौका दिया जाता है।</v>
      </c>
      <c r="I91" s="5" t="str">
        <f>IFERROR(__xludf.DUMMYFUNCTION("GOOGLETRANSLATE(D91, ""en"", ""hi"")"),"अ) गिल्ली को सीमा से बाहर माना जाता है।")</f>
        <v>अ) गिल्ली को सीमा से बाहर माना जाता है।</v>
      </c>
    </row>
    <row r="92" ht="22.5" customHeight="1">
      <c r="A92" s="2">
        <v>91.0</v>
      </c>
      <c r="B92" s="3" t="s">
        <v>11455</v>
      </c>
      <c r="C92" s="3" t="s">
        <v>11456</v>
      </c>
      <c r="D92" s="3" t="s">
        <v>11278</v>
      </c>
      <c r="F92" s="5" t="str">
        <f>IFERROR(__xludf.DUMMYFUNCTION("GOOGLETRANSLATE(A92, ""en"", ""hi"")"),"91")</f>
        <v>91</v>
      </c>
      <c r="G92" s="5" t="str">
        <f>IFERROR(__xludf.DUMMYFUNCTION("GOOGLETRANSLATE(B92, ""en"", ""hi"")"),"खिलाड़ी जेजे गिल्ली मारता है और वह थोड़ी ढलान वाली सतह पर गिरती है और उस पर कुछ कंकड़ गिरते हैं। इस स्थिति में उचित नियम क्या है?")</f>
        <v>खिलाड़ी जेजे गिल्ली मारता है और वह थोड़ी ढलान वाली सतह पर गिरती है और उस पर कुछ कंकड़ गिरते हैं। इस स्थिति में उचित नियम क्या है?</v>
      </c>
      <c r="H92" s="5" t="str">
        <f>IFERROR(__xludf.DUMMYFUNCTION("GOOGLETRANSLATE(C92, ""en"", ""hi"")"),"A) गिल्ली को खेल में माना जाता है। , B) गिल्ली को सीमा से बाहर माना जाता है। , C) खेल को समीक्षा के लिए रोक दिया जाता है। , D) खिलाड़ी जेजे को एक और मौका दिया जाता है।")</f>
        <v>A) गिल्ली को खेल में माना जाता है। , B) गिल्ली को सीमा से बाहर माना जाता है। , C) खेल को समीक्षा के लिए रोक दिया जाता है। , D) खिलाड़ी जेजे को एक और मौका दिया जाता है।</v>
      </c>
      <c r="I92" s="5" t="str">
        <f>IFERROR(__xludf.DUMMYFUNCTION("GOOGLETRANSLATE(D92, ""en"", ""hi"")"),"अ) गिल्ली को खेल में शामिल माना जाता है।")</f>
        <v>अ) गिल्ली को खेल में शामिल माना जाता है।</v>
      </c>
    </row>
    <row r="93" ht="22.5" customHeight="1">
      <c r="A93" s="2">
        <v>92.0</v>
      </c>
      <c r="B93" s="3" t="s">
        <v>11457</v>
      </c>
      <c r="C93" s="3" t="s">
        <v>11458</v>
      </c>
      <c r="D93" s="3" t="s">
        <v>11314</v>
      </c>
      <c r="F93" s="5" t="str">
        <f>IFERROR(__xludf.DUMMYFUNCTION("GOOGLETRANSLATE(A93, ""en"", ""hi"")"),"92")</f>
        <v>92</v>
      </c>
      <c r="G93" s="5" t="str">
        <f>IFERROR(__xludf.DUMMYFUNCTION("GOOGLETRANSLATE(B93, ""en"", ""hi"")"),"गिल्ली डंडा खेल में, खिलाड़ी केके गिल्ली पर वार करता है और वह ऐसी जगह गिरती है जहाँ पर घास-फूस का एक टुकड़ा होता है। इस वार का मूल्यांकन कैसे किया जाना चाहिए?")</f>
        <v>गिल्ली डंडा खेल में, खिलाड़ी केके गिल्ली पर वार करता है और वह ऐसी जगह गिरती है जहाँ पर घास-फूस का एक टुकड़ा होता है। इस वार का मूल्यांकन कैसे किया जाना चाहिए?</v>
      </c>
      <c r="H93" s="5" t="str">
        <f>IFERROR(__xludf.DUMMYFUNCTION("GOOGLETRANSLATE(C93, ""en"", ""hi"")"),"A) गिल्ली को खेल से बाहर माना जाता है। , B) गिल्ली को खेल में माना जाता है। , C) खरपतवार हटाए जाने तक खेल को रोक दिया जाता है। , D) खिलाड़ी के.के. को एक और मौका दिया जाता है।")</f>
        <v>A) गिल्ली को खेल से बाहर माना जाता है। , B) गिल्ली को खेल में माना जाता है। , C) खरपतवार हटाए जाने तक खेल को रोक दिया जाता है। , D) खिलाड़ी के.के. को एक और मौका दिया जाता है।</v>
      </c>
      <c r="I93" s="5" t="str">
        <f>IFERROR(__xludf.DUMMYFUNCTION("GOOGLETRANSLATE(D93, ""en"", ""hi"")"),"अ) गिल्ली को सीमा से बाहर माना जाता है।")</f>
        <v>अ) गिल्ली को सीमा से बाहर माना जाता है।</v>
      </c>
    </row>
    <row r="94" ht="22.5" customHeight="1">
      <c r="A94" s="2">
        <v>93.0</v>
      </c>
      <c r="B94" s="3" t="s">
        <v>11459</v>
      </c>
      <c r="C94" s="3" t="s">
        <v>11460</v>
      </c>
      <c r="D94" s="3" t="s">
        <v>11314</v>
      </c>
      <c r="F94" s="5" t="str">
        <f>IFERROR(__xludf.DUMMYFUNCTION("GOOGLETRANSLATE(A94, ""en"", ""hi"")"),"93")</f>
        <v>93</v>
      </c>
      <c r="G94" s="5" t="str">
        <f>IFERROR(__xludf.DUMMYFUNCTION("GOOGLETRANSLATE(B94, ""en"", ""hi"")"),"खिलाड़ी एलएल गिल्ली पर वार करता है और वह एक ऐसी जगह पर गिरती है जहाँ वह तुरंत एक बड़े कागज़ से ढक जाती है। इस वार का नियम क्या है?")</f>
        <v>खिलाड़ी एलएल गिल्ली पर वार करता है और वह एक ऐसी जगह पर गिरती है जहाँ वह तुरंत एक बड़े कागज़ से ढक जाती है। इस वार का नियम क्या है?</v>
      </c>
      <c r="H94" s="5" t="str">
        <f>IFERROR(__xludf.DUMMYFUNCTION("GOOGLETRANSLATE(C94, ""en"", ""hi"")"),"A) गिल्ली को सीमा से बाहर माना जाता है। , B) गिल्ली को खेल में माना जाता है। , C) खेल को तब तक रोक दिया जाता है जब तक कागज को हटा नहीं दिया जाता है। , D) खिलाड़ी एलएल को एक और मौका दिया जाता है।")</f>
        <v>A) गिल्ली को सीमा से बाहर माना जाता है। , B) गिल्ली को खेल में माना जाता है। , C) खेल को तब तक रोक दिया जाता है जब तक कागज को हटा नहीं दिया जाता है। , D) खिलाड़ी एलएल को एक और मौका दिया जाता है।</v>
      </c>
      <c r="I94" s="5" t="str">
        <f>IFERROR(__xludf.DUMMYFUNCTION("GOOGLETRANSLATE(D94, ""en"", ""hi"")"),"अ) गिल्ली को सीमा से बाहर माना जाता है।")</f>
        <v>अ) गिल्ली को सीमा से बाहर माना जाता है।</v>
      </c>
    </row>
    <row r="95" ht="22.5" customHeight="1">
      <c r="A95" s="2">
        <v>94.0</v>
      </c>
      <c r="B95" s="3" t="s">
        <v>11461</v>
      </c>
      <c r="C95" s="3" t="s">
        <v>11462</v>
      </c>
      <c r="D95" s="3" t="s">
        <v>11314</v>
      </c>
      <c r="F95" s="5" t="str">
        <f>IFERROR(__xludf.DUMMYFUNCTION("GOOGLETRANSLATE(A95, ""en"", ""hi"")"),"94")</f>
        <v>94</v>
      </c>
      <c r="G95" s="5" t="str">
        <f>IFERROR(__xludf.DUMMYFUNCTION("GOOGLETRANSLATE(B95, ""en"", ""hi"")"),"गिल्ली डंडा मैच के दौरान, खिलाड़ी MM गिल्ली पर वार करता है और वह एक ऐसी सतह पर गिरती है जो आंशिक रूप से लकड़ी के टूटे हुए टुकड़े से अवरुद्ध होती है। इस वार का मूल्यांकन कैसे किया जाता है?")</f>
        <v>गिल्ली डंडा मैच के दौरान, खिलाड़ी MM गिल्ली पर वार करता है और वह एक ऐसी सतह पर गिरती है जो आंशिक रूप से लकड़ी के टूटे हुए टुकड़े से अवरुद्ध होती है। इस वार का मूल्यांकन कैसे किया जाता है?</v>
      </c>
      <c r="H95" s="5" t="str">
        <f>IFERROR(__xludf.DUMMYFUNCTION("GOOGLETRANSLATE(C95, ""en"", ""hi"")"),"A) गिल्ली को सीमा से बाहर माना जाता है। , B) गिल्ली को खेल में माना जाता है। , C) लकड़ी साफ होने तक खेल को रोक दिया जाता है। , D) खिलाड़ी MM को एक और मौका दिया जाता है।")</f>
        <v>A) गिल्ली को सीमा से बाहर माना जाता है। , B) गिल्ली को खेल में माना जाता है। , C) लकड़ी साफ होने तक खेल को रोक दिया जाता है। , D) खिलाड़ी MM को एक और मौका दिया जाता है।</v>
      </c>
      <c r="I95" s="5" t="str">
        <f>IFERROR(__xludf.DUMMYFUNCTION("GOOGLETRANSLATE(D95, ""en"", ""hi"")"),"अ) गिल्ली को सीमा से बाहर माना जाता है।")</f>
        <v>अ) गिल्ली को सीमा से बाहर माना जाता है।</v>
      </c>
    </row>
    <row r="96" ht="22.5" customHeight="1">
      <c r="A96" s="2">
        <v>95.0</v>
      </c>
      <c r="B96" s="3" t="s">
        <v>11463</v>
      </c>
      <c r="C96" s="3" t="s">
        <v>11464</v>
      </c>
      <c r="D96" s="3" t="s">
        <v>11278</v>
      </c>
      <c r="F96" s="5" t="str">
        <f>IFERROR(__xludf.DUMMYFUNCTION("GOOGLETRANSLATE(A96, ""en"", ""hi"")"),"95")</f>
        <v>95</v>
      </c>
      <c r="G96" s="5" t="str">
        <f>IFERROR(__xludf.DUMMYFUNCTION("GOOGLETRANSLATE(B96, ""en"", ""hi"")"),"खिलाड़ी NN गिल्ली पर वार करता है और वह थोड़ी ढलान और कुछ छोटी चट्टानों वाले क्षेत्र में गिरती है। इस वार का नियम क्या होना चाहिए?")</f>
        <v>खिलाड़ी NN गिल्ली पर वार करता है और वह थोड़ी ढलान और कुछ छोटी चट्टानों वाले क्षेत्र में गिरती है। इस वार का नियम क्या होना चाहिए?</v>
      </c>
      <c r="H96" s="5" t="str">
        <f>IFERROR(__xludf.DUMMYFUNCTION("GOOGLETRANSLATE(C96, ""en"", ""hi"")"),"A) गिल्ली को खेल में माना जाता है। , B) गिल्ली को सीमा से बाहर माना जाता है। , C) खेल को समीक्षा के लिए रोक दिया जाता है। , D) खिलाड़ी एनएन को एक और मौका दिया जाता है।")</f>
        <v>A) गिल्ली को खेल में माना जाता है। , B) गिल्ली को सीमा से बाहर माना जाता है। , C) खेल को समीक्षा के लिए रोक दिया जाता है। , D) खिलाड़ी एनएन को एक और मौका दिया जाता है।</v>
      </c>
      <c r="I96" s="5" t="str">
        <f>IFERROR(__xludf.DUMMYFUNCTION("GOOGLETRANSLATE(D96, ""en"", ""hi"")"),"अ) गिल्ली को खेल में शामिल माना जाता है।")</f>
        <v>अ) गिल्ली को खेल में शामिल माना जाता है।</v>
      </c>
    </row>
    <row r="97" ht="22.5" customHeight="1">
      <c r="A97" s="2">
        <v>96.0</v>
      </c>
      <c r="B97" s="3" t="s">
        <v>11465</v>
      </c>
      <c r="C97" s="3" t="s">
        <v>11466</v>
      </c>
      <c r="D97" s="3" t="s">
        <v>11314</v>
      </c>
      <c r="F97" s="5" t="str">
        <f>IFERROR(__xludf.DUMMYFUNCTION("GOOGLETRANSLATE(A97, ""en"", ""hi"")"),"96")</f>
        <v>96</v>
      </c>
      <c r="G97" s="5" t="str">
        <f>IFERROR(__xludf.DUMMYFUNCTION("GOOGLETRANSLATE(B97, ""en"", ""hi"")"),"गिल्ली डंडा खेल में, खिलाड़ी OO गिल्ली पर वार करता है और वह रेत की एक परत से ढकी जगह पर गिरती है। इस वार को कैसे समझा जाता है?")</f>
        <v>गिल्ली डंडा खेल में, खिलाड़ी OO गिल्ली पर वार करता है और वह रेत की एक परत से ढकी जगह पर गिरती है। इस वार को कैसे समझा जाता है?</v>
      </c>
      <c r="H97" s="5" t="str">
        <f>IFERROR(__xludf.DUMMYFUNCTION("GOOGLETRANSLATE(C97, ""en"", ""hi"")"),"A) गिल्ली को खेल से बाहर माना जाता है। , B) गिल्ली को खेल में माना जाता है। , C) रेत हटाए जाने तक खेल को रोक दिया जाता है। , D) खिलाड़ी OO को एक और मौका दिया जाता है।")</f>
        <v>A) गिल्ली को खेल से बाहर माना जाता है। , B) गिल्ली को खेल में माना जाता है। , C) रेत हटाए जाने तक खेल को रोक दिया जाता है। , D) खिलाड़ी OO को एक और मौका दिया जाता है।</v>
      </c>
      <c r="I97" s="5" t="str">
        <f>IFERROR(__xludf.DUMMYFUNCTION("GOOGLETRANSLATE(D97, ""en"", ""hi"")"),"अ) गिल्ली को सीमा से बाहर माना जाता है।")</f>
        <v>अ) गिल्ली को सीमा से बाहर माना जाता है।</v>
      </c>
    </row>
    <row r="98" ht="22.5" customHeight="1">
      <c r="A98" s="2">
        <v>97.0</v>
      </c>
      <c r="B98" s="3" t="s">
        <v>11467</v>
      </c>
      <c r="C98" s="3" t="s">
        <v>11468</v>
      </c>
      <c r="D98" s="3" t="s">
        <v>11314</v>
      </c>
      <c r="F98" s="5" t="str">
        <f>IFERROR(__xludf.DUMMYFUNCTION("GOOGLETRANSLATE(A98, ""en"", ""hi"")"),"97")</f>
        <v>97</v>
      </c>
      <c r="G98" s="5" t="str">
        <f>IFERROR(__xludf.DUMMYFUNCTION("GOOGLETRANSLATE(B98, ""en"", ""hi"")"),"खिलाड़ी पीपी गिल्ली मारता है और वह एक ऐसी सतह पर गिरती है जो आंशिक रूप से पुरानी ईंटों के ढेर से अवरुद्ध है। इस स्थिति में उचित निर्णय क्या है?")</f>
        <v>खिलाड़ी पीपी गिल्ली मारता है और वह एक ऐसी सतह पर गिरती है जो आंशिक रूप से पुरानी ईंटों के ढेर से अवरुद्ध है। इस स्थिति में उचित निर्णय क्या है?</v>
      </c>
      <c r="H98" s="5" t="str">
        <f>IFERROR(__xludf.DUMMYFUNCTION("GOOGLETRANSLATE(C98, ""en"", ""hi"")"),"A) गिल्ली को सीमा से बाहर माना जाता है। , B) गिल्ली को खेल में माना जाता है। , C) ईंटों के साफ होने तक खेल को रोक दिया जाता है। , D) खिलाड़ी पीपी को एक और मौका दिया जाता है।")</f>
        <v>A) गिल्ली को सीमा से बाहर माना जाता है। , B) गिल्ली को खेल में माना जाता है। , C) ईंटों के साफ होने तक खेल को रोक दिया जाता है। , D) खिलाड़ी पीपी को एक और मौका दिया जाता है।</v>
      </c>
      <c r="I98" s="5" t="str">
        <f>IFERROR(__xludf.DUMMYFUNCTION("GOOGLETRANSLATE(D98, ""en"", ""hi"")"),"अ) गिल्ली को सीमा से बाहर माना जाता है।")</f>
        <v>अ) गिल्ली को सीमा से बाहर माना जाता है।</v>
      </c>
    </row>
    <row r="99" ht="22.5" customHeight="1">
      <c r="A99" s="2">
        <v>98.0</v>
      </c>
      <c r="B99" s="3" t="s">
        <v>11469</v>
      </c>
      <c r="C99" s="3" t="s">
        <v>11470</v>
      </c>
      <c r="D99" s="3" t="s">
        <v>11266</v>
      </c>
      <c r="F99" s="5" t="str">
        <f>IFERROR(__xludf.DUMMYFUNCTION("GOOGLETRANSLATE(A99, ""en"", ""hi"")"),"98")</f>
        <v>98</v>
      </c>
      <c r="G99" s="5" t="str">
        <f>IFERROR(__xludf.DUMMYFUNCTION("GOOGLETRANSLATE(B99, ""en"", ""hi"")"),"गिल्ली डंडा मैच के दौरान, खिलाड़ी QQ गिल्ली पर वार करता है और वह एक ऐसी जगह गिरती है जहाँ उसे तुरंत एक कंबल से ढक दिया जाता है। इस वार का मूल्यांकन कैसे किया जाना चाहिए?")</f>
        <v>गिल्ली डंडा मैच के दौरान, खिलाड़ी QQ गिल्ली पर वार करता है और वह एक ऐसी जगह गिरती है जहाँ उसे तुरंत एक कंबल से ढक दिया जाता है। इस वार का मूल्यांकन कैसे किया जाना चाहिए?</v>
      </c>
      <c r="H99" s="5" t="str">
        <f>IFERROR(__xludf.DUMMYFUNCTION("GOOGLETRANSLATE(C99, ""en"", ""hi"")"),"A) गिल्ली को खेल में माना जाता है। , B) गिल्ली को सीमा से बाहर माना जाता है। , C) कंबल हटाए जाने तक खेल को रोक दिया जाता है। , D) खिलाड़ी QQ को एक और मौका दिया जाता है।")</f>
        <v>A) गिल्ली को खेल में माना जाता है। , B) गिल्ली को सीमा से बाहर माना जाता है। , C) कंबल हटाए जाने तक खेल को रोक दिया जाता है। , D) खिलाड़ी QQ को एक और मौका दिया जाता है।</v>
      </c>
      <c r="I99" s="5" t="str">
        <f>IFERROR(__xludf.DUMMYFUNCTION("GOOGLETRANSLATE(D99, ""en"", ""hi"")"),"बी) गिल्ली को सीमा से बाहर माना जाता है।")</f>
        <v>बी) गिल्ली को सीमा से बाहर माना जाता है।</v>
      </c>
    </row>
    <row r="100" ht="22.5" customHeight="1">
      <c r="A100" s="2">
        <v>99.0</v>
      </c>
      <c r="B100" s="3" t="s">
        <v>11471</v>
      </c>
      <c r="C100" s="3" t="s">
        <v>11472</v>
      </c>
      <c r="D100" s="3" t="s">
        <v>11266</v>
      </c>
      <c r="F100" s="5" t="str">
        <f>IFERROR(__xludf.DUMMYFUNCTION("GOOGLETRANSLATE(A100, ""en"", ""hi"")"),"99")</f>
        <v>99</v>
      </c>
      <c r="G100" s="5" t="str">
        <f>IFERROR(__xludf.DUMMYFUNCTION("GOOGLETRANSLATE(B100, ""en"", ""hi"")"),"खिलाड़ी RR गिल्ली मारता है और वह हाल ही में हुई बारिश के कारण पानी के एक छोटे से गड्ढे वाली सतह पर गिरती है। इस स्थिति में क्या नियम है?")</f>
        <v>खिलाड़ी RR गिल्ली मारता है और वह हाल ही में हुई बारिश के कारण पानी के एक छोटे से गड्ढे वाली सतह पर गिरती है। इस स्थिति में क्या नियम है?</v>
      </c>
      <c r="H100" s="5" t="str">
        <f>IFERROR(__xludf.DUMMYFUNCTION("GOOGLETRANSLATE(C100, ""en"", ""hi"")"),"A) गिल्ली को खेल में माना जाता है। , B) गिल्ली को सीमा से बाहर माना जाता है। , C) पानी हटाए जाने तक खेल को रोक दिया जाता है। , D) खिलाड़ी RR को एक और मौका दिया जाता है।")</f>
        <v>A) गिल्ली को खेल में माना जाता है। , B) गिल्ली को सीमा से बाहर माना जाता है। , C) पानी हटाए जाने तक खेल को रोक दिया जाता है। , D) खिलाड़ी RR को एक और मौका दिया जाता है।</v>
      </c>
      <c r="I100" s="5" t="str">
        <f>IFERROR(__xludf.DUMMYFUNCTION("GOOGLETRANSLATE(D100, ""en"", ""hi"")"),"बी) गिल्ली को सीमा से बाहर माना जाता है।")</f>
        <v>बी) गिल्ली को सीमा से बाहर माना जाता है।</v>
      </c>
    </row>
    <row r="101" ht="22.5" customHeight="1">
      <c r="A101" s="2">
        <v>100.0</v>
      </c>
      <c r="B101" s="3" t="s">
        <v>11473</v>
      </c>
      <c r="C101" s="3" t="s">
        <v>11474</v>
      </c>
      <c r="D101" s="3" t="s">
        <v>11314</v>
      </c>
      <c r="F101" s="5" t="str">
        <f>IFERROR(__xludf.DUMMYFUNCTION("GOOGLETRANSLATE(A101, ""en"", ""hi"")"),"100")</f>
        <v>100</v>
      </c>
      <c r="G101" s="5" t="str">
        <f>IFERROR(__xludf.DUMMYFUNCTION("GOOGLETRANSLATE(B101, ""en"", ""hi"")"),"गिल्ली डंडा खेल में, खिलाड़ी SS गिल्ली पर वार करता है और वह उस जगह गिरती है जहाँ उसका कुछ हिस्सा कार्डबोर्ड के एक बड़े टुकड़े से ढका होता है। इस वार का क्या मूल्यांकन किया जाना चाहिए?")</f>
        <v>गिल्ली डंडा खेल में, खिलाड़ी SS गिल्ली पर वार करता है और वह उस जगह गिरती है जहाँ उसका कुछ हिस्सा कार्डबोर्ड के एक बड़े टुकड़े से ढका होता है। इस वार का क्या मूल्यांकन किया जाना चाहिए?</v>
      </c>
      <c r="H101" s="5" t="str">
        <f>IFERROR(__xludf.DUMMYFUNCTION("GOOGLETRANSLATE(C101, ""en"", ""hi"")"),"A) गिल्ली को सीमा से बाहर माना जाता है। , B) गिल्ली को खेल में माना जाता है। , C) कार्डबोर्ड हटाए जाने तक खेल को रोक दिया जाता है। , D) खिलाड़ी एसएस को एक और मौका दिया जाता है।")</f>
        <v>A) गिल्ली को सीमा से बाहर माना जाता है। , B) गिल्ली को खेल में माना जाता है। , C) कार्डबोर्ड हटाए जाने तक खेल को रोक दिया जाता है। , D) खिलाड़ी एसएस को एक और मौका दिया जाता है।</v>
      </c>
      <c r="I101" s="5" t="str">
        <f>IFERROR(__xludf.DUMMYFUNCTION("GOOGLETRANSLATE(D101, ""en"", ""hi"")"),"अ) गिल्ली को सीमा से बाहर माना जाता है।")</f>
        <v>अ) गिल्ली को सीमा से बाहर माना जाता है।</v>
      </c>
    </row>
    <row r="102" ht="22.5" customHeight="1">
      <c r="A102" s="2">
        <v>101.0</v>
      </c>
      <c r="B102" s="3" t="s">
        <v>11475</v>
      </c>
      <c r="C102" s="3" t="s">
        <v>11476</v>
      </c>
      <c r="D102" s="3" t="s">
        <v>11278</v>
      </c>
      <c r="F102" s="5" t="str">
        <f>IFERROR(__xludf.DUMMYFUNCTION("GOOGLETRANSLATE(A102, ""en"", ""hi"")"),"101")</f>
        <v>101</v>
      </c>
      <c r="G102" s="5" t="str">
        <f>IFERROR(__xludf.DUMMYFUNCTION("GOOGLETRANSLATE(B102, ""en"", ""hi"")"),"खिलाड़ी टीटी गिल्ली को मारता है और वह एक ऐसी सतह पर गिरती है जहाँ उसे तुरंत टहनियों के एक छोटे से ढेर से रोक दिया जाता है। इस स्थिति के लिए उपयुक्त नियम क्या है?")</f>
        <v>खिलाड़ी टीटी गिल्ली को मारता है और वह एक ऐसी सतह पर गिरती है जहाँ उसे तुरंत टहनियों के एक छोटे से ढेर से रोक दिया जाता है। इस स्थिति के लिए उपयुक्त नियम क्या है?</v>
      </c>
      <c r="H102" s="5" t="str">
        <f>IFERROR(__xludf.DUMMYFUNCTION("GOOGLETRANSLATE(C102, ""en"", ""hi"")"),"A) गिल्ली को खेल में माना जाता है। , B) गिल्ली को सीमा से बाहर माना जाता है। , C) टहनियाँ साफ होने तक खेल को रोक दिया जाता है। , D) खिलाड़ी टीटी को एक और मौका दिया जाता है।")</f>
        <v>A) गिल्ली को खेल में माना जाता है। , B) गिल्ली को सीमा से बाहर माना जाता है। , C) टहनियाँ साफ होने तक खेल को रोक दिया जाता है। , D) खिलाड़ी टीटी को एक और मौका दिया जाता है।</v>
      </c>
      <c r="I102" s="5" t="str">
        <f>IFERROR(__xludf.DUMMYFUNCTION("GOOGLETRANSLATE(D102, ""en"", ""hi"")"),"अ) गिल्ली को खेल में शामिल माना जाता है।")</f>
        <v>अ) गिल्ली को खेल में शामिल माना जाता है।</v>
      </c>
    </row>
    <row r="103" ht="22.5" customHeight="1">
      <c r="A103" s="2">
        <v>102.0</v>
      </c>
      <c r="B103" s="3" t="s">
        <v>11477</v>
      </c>
      <c r="C103" s="3" t="s">
        <v>11478</v>
      </c>
      <c r="D103" s="3" t="s">
        <v>11314</v>
      </c>
      <c r="F103" s="5" t="str">
        <f>IFERROR(__xludf.DUMMYFUNCTION("GOOGLETRANSLATE(A103, ""en"", ""hi"")"),"102")</f>
        <v>102</v>
      </c>
      <c r="G103" s="5" t="str">
        <f>IFERROR(__xludf.DUMMYFUNCTION("GOOGLETRANSLATE(B103, ""en"", ""hi"")"),"गिल्ली डंडा मैच के दौरान, खिलाड़ी UU गिल्ली मारता है और वह एक ऐसी सतह पर गिरती है जो आंशिक रूप से बर्फ की परत से ढकी होती है। इस हिट का मूल्यांकन कैसे किया जाता है?")</f>
        <v>गिल्ली डंडा मैच के दौरान, खिलाड़ी UU गिल्ली मारता है और वह एक ऐसी सतह पर गिरती है जो आंशिक रूप से बर्फ की परत से ढकी होती है। इस हिट का मूल्यांकन कैसे किया जाता है?</v>
      </c>
      <c r="H103" s="5" t="str">
        <f>IFERROR(__xludf.DUMMYFUNCTION("GOOGLETRANSLATE(C103, ""en"", ""hi"")"),"A) गिल्ली को सीमा से बाहर माना जाता है। , B) गिल्ली को खेल में माना जाता है। , C) बर्फ साफ होने तक खेल को रोक दिया जाता है। , D) खिलाड़ी UU को एक और मौका दिया जाता है।")</f>
        <v>A) गिल्ली को सीमा से बाहर माना जाता है। , B) गिल्ली को खेल में माना जाता है। , C) बर्फ साफ होने तक खेल को रोक दिया जाता है। , D) खिलाड़ी UU को एक और मौका दिया जाता है।</v>
      </c>
      <c r="I103" s="5" t="str">
        <f>IFERROR(__xludf.DUMMYFUNCTION("GOOGLETRANSLATE(D103, ""en"", ""hi"")"),"अ) गिल्ली को सीमा से बाहर माना जाता है।")</f>
        <v>अ) गिल्ली को सीमा से बाहर माना जाता है।</v>
      </c>
    </row>
    <row r="104" ht="22.5" customHeight="1">
      <c r="A104" s="2">
        <v>103.0</v>
      </c>
      <c r="B104" s="3" t="s">
        <v>11479</v>
      </c>
      <c r="C104" s="3" t="s">
        <v>11480</v>
      </c>
      <c r="D104" s="3" t="s">
        <v>11266</v>
      </c>
      <c r="F104" s="5" t="str">
        <f>IFERROR(__xludf.DUMMYFUNCTION("GOOGLETRANSLATE(A104, ""en"", ""hi"")"),"103")</f>
        <v>103</v>
      </c>
      <c r="G104" s="5" t="str">
        <f>IFERROR(__xludf.DUMMYFUNCTION("GOOGLETRANSLATE(B104, ""en"", ""hi"")"),"खिलाड़ी वीवी गिल्ली पर वार करता है और वह बर्फ की एक पतली परत से ढकी हुई जगह पर गिरती है। इस वार का नियम क्या है?")</f>
        <v>खिलाड़ी वीवी गिल्ली पर वार करता है और वह बर्फ की एक पतली परत से ढकी हुई जगह पर गिरती है। इस वार का नियम क्या है?</v>
      </c>
      <c r="H104" s="5" t="str">
        <f>IFERROR(__xludf.DUMMYFUNCTION("GOOGLETRANSLATE(C104, ""en"", ""hi"")"),"A) गिल्ली को खेल में माना जाता है। , B) गिल्ली को सीमा से बाहर माना जाता है। , C) बर्फ हटाए जाने तक खेल को रोक दिया जाता है। , D) खिलाड़ी वी.वी. को एक और मौका दिया जाता है।")</f>
        <v>A) गिल्ली को खेल में माना जाता है। , B) गिल्ली को सीमा से बाहर माना जाता है। , C) बर्फ हटाए जाने तक खेल को रोक दिया जाता है। , D) खिलाड़ी वी.वी. को एक और मौका दिया जाता है।</v>
      </c>
      <c r="I104" s="5" t="str">
        <f>IFERROR(__xludf.DUMMYFUNCTION("GOOGLETRANSLATE(D104, ""en"", ""hi"")"),"बी) गिल्ली को सीमा से बाहर माना जाता है।")</f>
        <v>बी) गिल्ली को सीमा से बाहर माना जाता है।</v>
      </c>
    </row>
    <row r="105" ht="22.5" customHeight="1">
      <c r="A105" s="2">
        <v>104.0</v>
      </c>
      <c r="B105" s="3" t="s">
        <v>11481</v>
      </c>
      <c r="C105" s="3" t="s">
        <v>11482</v>
      </c>
      <c r="D105" s="3" t="s">
        <v>11314</v>
      </c>
      <c r="F105" s="5" t="str">
        <f>IFERROR(__xludf.DUMMYFUNCTION("GOOGLETRANSLATE(A105, ""en"", ""hi"")"),"104")</f>
        <v>104</v>
      </c>
      <c r="G105" s="5" t="str">
        <f>IFERROR(__xludf.DUMMYFUNCTION("GOOGLETRANSLATE(B105, ""en"", ""hi"")"),"गिल्ली डंडा खेल में, खिलाड़ी WW गिल्ली पर वार करता है और वह उस जगह गिरती है जहाँ उसका कुछ हिस्सा कपड़े के टुकड़े से ढका होता है। इस वार की व्याख्या कैसे की जानी चाहिए?")</f>
        <v>गिल्ली डंडा खेल में, खिलाड़ी WW गिल्ली पर वार करता है और वह उस जगह गिरती है जहाँ उसका कुछ हिस्सा कपड़े के टुकड़े से ढका होता है। इस वार की व्याख्या कैसे की जानी चाहिए?</v>
      </c>
      <c r="H105" s="5" t="str">
        <f>IFERROR(__xludf.DUMMYFUNCTION("GOOGLETRANSLATE(C105, ""en"", ""hi"")"),"A) गिल्ली को खेल से बाहर माना जाता है। , B) गिल्ली को खेल में माना जाता है। , C) कपड़ा हटाए जाने तक खेल को रोक दिया जाता है। , D) खिलाड़ी WW को एक और मौका दिया जाता है।")</f>
        <v>A) गिल्ली को खेल से बाहर माना जाता है। , B) गिल्ली को खेल में माना जाता है। , C) कपड़ा हटाए जाने तक खेल को रोक दिया जाता है। , D) खिलाड़ी WW को एक और मौका दिया जाता है।</v>
      </c>
      <c r="I105" s="5" t="str">
        <f>IFERROR(__xludf.DUMMYFUNCTION("GOOGLETRANSLATE(D105, ""en"", ""hi"")"),"अ) गिल्ली को सीमा से बाहर माना जाता है।")</f>
        <v>अ) गिल्ली को सीमा से बाहर माना जाता है।</v>
      </c>
    </row>
    <row r="106" ht="22.5" customHeight="1">
      <c r="A106" s="2">
        <v>105.0</v>
      </c>
      <c r="B106" s="3" t="s">
        <v>11483</v>
      </c>
      <c r="C106" s="3" t="s">
        <v>11484</v>
      </c>
      <c r="D106" s="3" t="s">
        <v>11266</v>
      </c>
      <c r="F106" s="5" t="str">
        <f>IFERROR(__xludf.DUMMYFUNCTION("GOOGLETRANSLATE(A106, ""en"", ""hi"")"),"105")</f>
        <v>105</v>
      </c>
      <c r="G106" s="5" t="str">
        <f>IFERROR(__xludf.DUMMYFUNCTION("GOOGLETRANSLATE(B106, ""en"", ""hi"")"),"खिलाड़ी XX गिल्ली पर वार करता है और वह एक ऐसे क्षेत्र में गिरती है जहाँ वह पत्तों के एक छोटे से ढेर से ढकी होती है। इस वार का नियम क्या है?")</f>
        <v>खिलाड़ी XX गिल्ली पर वार करता है और वह एक ऐसे क्षेत्र में गिरती है जहाँ वह पत्तों के एक छोटे से ढेर से ढकी होती है। इस वार का नियम क्या है?</v>
      </c>
      <c r="H106" s="5" t="str">
        <f>IFERROR(__xludf.DUMMYFUNCTION("GOOGLETRANSLATE(C106, ""en"", ""hi"")"),"A) गिल्ली को खेल में माना जाता है। , B) गिल्ली को सीमा से बाहर माना जाता है। , C) पत्तों को हटाए जाने तक खेल को रोक दिया जाता है। , D) खिलाड़ी XX को एक और मौका दिया जाता है।")</f>
        <v>A) गिल्ली को खेल में माना जाता है। , B) गिल्ली को सीमा से बाहर माना जाता है। , C) पत्तों को हटाए जाने तक खेल को रोक दिया जाता है। , D) खिलाड़ी XX को एक और मौका दिया जाता है।</v>
      </c>
      <c r="I106" s="5" t="str">
        <f>IFERROR(__xludf.DUMMYFUNCTION("GOOGLETRANSLATE(D106, ""en"", ""hi"")"),"बी) गिल्ली को सीमा से बाहर माना जाता है।")</f>
        <v>बी) गिल्ली को सीमा से बाहर माना जाता है।</v>
      </c>
    </row>
    <row r="107" ht="22.5" customHeight="1">
      <c r="A107" s="2">
        <v>106.0</v>
      </c>
      <c r="B107" s="3" t="s">
        <v>11485</v>
      </c>
      <c r="C107" s="3" t="s">
        <v>11486</v>
      </c>
      <c r="D107" s="3" t="s">
        <v>11278</v>
      </c>
      <c r="F107" s="5" t="str">
        <f>IFERROR(__xludf.DUMMYFUNCTION("GOOGLETRANSLATE(A107, ""en"", ""hi"")"),"106")</f>
        <v>106</v>
      </c>
      <c r="G107" s="5" t="str">
        <f>IFERROR(__xludf.DUMMYFUNCTION("GOOGLETRANSLATE(B107, ""en"", ""hi"")"),"गिल्ली डंडा मैच के दौरान, खिलाड़ी YY गिल्ली मारता है और वह कुछ बिखरे हुए पत्थरों वाली सतह पर गिरती है। इस हिट का मूल्यांकन कैसे किया जाता है?")</f>
        <v>गिल्ली डंडा मैच के दौरान, खिलाड़ी YY गिल्ली मारता है और वह कुछ बिखरे हुए पत्थरों वाली सतह पर गिरती है। इस हिट का मूल्यांकन कैसे किया जाता है?</v>
      </c>
      <c r="H107" s="5" t="str">
        <f>IFERROR(__xludf.DUMMYFUNCTION("GOOGLETRANSLATE(C107, ""en"", ""hi"")"),"A) गिल्ली को खेल में माना जाता है। , B) गिल्ली को सीमा से बाहर माना जाता है। , C) खेल को समीक्षा के लिए रोक दिया जाता है। , D) खिलाड़ी YY को एक और मौका दिया जाता है।")</f>
        <v>A) गिल्ली को खेल में माना जाता है। , B) गिल्ली को सीमा से बाहर माना जाता है। , C) खेल को समीक्षा के लिए रोक दिया जाता है। , D) खिलाड़ी YY को एक और मौका दिया जाता है।</v>
      </c>
      <c r="I107" s="5" t="str">
        <f>IFERROR(__xludf.DUMMYFUNCTION("GOOGLETRANSLATE(D107, ""en"", ""hi"")"),"अ) गिल्ली को खेल में शामिल माना जाता है।")</f>
        <v>अ) गिल्ली को खेल में शामिल माना जाता है।</v>
      </c>
    </row>
    <row r="108" ht="22.5" customHeight="1">
      <c r="A108" s="2">
        <v>107.0</v>
      </c>
      <c r="B108" s="3" t="s">
        <v>11487</v>
      </c>
      <c r="C108" s="3" t="s">
        <v>11488</v>
      </c>
      <c r="D108" s="3" t="s">
        <v>11314</v>
      </c>
      <c r="F108" s="5" t="str">
        <f>IFERROR(__xludf.DUMMYFUNCTION("GOOGLETRANSLATE(A108, ""en"", ""hi"")"),"107")</f>
        <v>107</v>
      </c>
      <c r="G108" s="5" t="str">
        <f>IFERROR(__xludf.DUMMYFUNCTION("GOOGLETRANSLATE(B108, ""en"", ""hi"")"),"खिलाड़ी ZZ गिल्ली मारता है और वह एक ऐसी सतह पर गिरती है जहाँ घास का एक बड़ा झुरमुट उसे आंशिक रूप से अवरुद्ध कर रहा है। उचित नियम क्या है?")</f>
        <v>खिलाड़ी ZZ गिल्ली मारता है और वह एक ऐसी सतह पर गिरती है जहाँ घास का एक बड़ा झुरमुट उसे आंशिक रूप से अवरुद्ध कर रहा है। उचित नियम क्या है?</v>
      </c>
      <c r="H108" s="5" t="str">
        <f>IFERROR(__xludf.DUMMYFUNCTION("GOOGLETRANSLATE(C108, ""en"", ""hi"")"),"A) गिल्ली को सीमा से बाहर माना जाता है। , B) गिल्ली को खेल में माना जाता है। , C) घास साफ होने तक खेल को रोक दिया जाता है। , D) खिलाड़ी ZZ को एक और मौका दिया जाता है।")</f>
        <v>A) गिल्ली को सीमा से बाहर माना जाता है। , B) गिल्ली को खेल में माना जाता है। , C) घास साफ होने तक खेल को रोक दिया जाता है। , D) खिलाड़ी ZZ को एक और मौका दिया जाता है।</v>
      </c>
      <c r="I108" s="5" t="str">
        <f>IFERROR(__xludf.DUMMYFUNCTION("GOOGLETRANSLATE(D108, ""en"", ""hi"")"),"अ) गिल्ली को सीमा से बाहर माना जाता है।")</f>
        <v>अ) गिल्ली को सीमा से बाहर माना जाता है।</v>
      </c>
    </row>
    <row r="109" ht="22.5" customHeight="1">
      <c r="A109" s="2">
        <v>108.0</v>
      </c>
      <c r="B109" s="3" t="s">
        <v>11489</v>
      </c>
      <c r="C109" s="3" t="s">
        <v>11490</v>
      </c>
      <c r="D109" s="3" t="s">
        <v>11314</v>
      </c>
      <c r="F109" s="5" t="str">
        <f>IFERROR(__xludf.DUMMYFUNCTION("GOOGLETRANSLATE(A109, ""en"", ""hi"")"),"108")</f>
        <v>108</v>
      </c>
      <c r="G109" s="5" t="str">
        <f>IFERROR(__xludf.DUMMYFUNCTION("GOOGLETRANSLATE(B109, ""en"", ""hi"")"),"गिल्ली डंडा खेल में, खिलाड़ी AAA गिल्ली पर वार करता है और वह एक ऐसी सतह पर गिरती है जहाँ वह तुरंत रेत के ढेर से ढक जाती है। इस स्थिति में क्या नियम होना चाहिए?")</f>
        <v>गिल्ली डंडा खेल में, खिलाड़ी AAA गिल्ली पर वार करता है और वह एक ऐसी सतह पर गिरती है जहाँ वह तुरंत रेत के ढेर से ढक जाती है। इस स्थिति में क्या नियम होना चाहिए?</v>
      </c>
      <c r="H109" s="5" t="str">
        <f>IFERROR(__xludf.DUMMYFUNCTION("GOOGLETRANSLATE(C109, ""en"", ""hi"")"),"A) गिल्ली को खेल से बाहर माना जाता है। , B) गिल्ली को खेल में माना जाता है। , C) रेत हटाए जाने तक खेल को रोक दिया जाता है। , D) खिलाड़ी AAA को एक और मौका दिया जाता है।")</f>
        <v>A) गिल्ली को खेल से बाहर माना जाता है। , B) गिल्ली को खेल में माना जाता है। , C) रेत हटाए जाने तक खेल को रोक दिया जाता है। , D) खिलाड़ी AAA को एक और मौका दिया जाता है।</v>
      </c>
      <c r="I109" s="5" t="str">
        <f>IFERROR(__xludf.DUMMYFUNCTION("GOOGLETRANSLATE(D109, ""en"", ""hi"")"),"अ) गिल्ली को सीमा से बाहर माना जाता है।")</f>
        <v>अ) गिल्ली को सीमा से बाहर माना जाता है।</v>
      </c>
    </row>
    <row r="110" ht="22.5" customHeight="1">
      <c r="A110" s="2">
        <v>109.0</v>
      </c>
      <c r="B110" s="3" t="s">
        <v>11491</v>
      </c>
      <c r="C110" s="3" t="s">
        <v>11492</v>
      </c>
      <c r="D110" s="3" t="s">
        <v>11266</v>
      </c>
      <c r="F110" s="5" t="str">
        <f>IFERROR(__xludf.DUMMYFUNCTION("GOOGLETRANSLATE(A110, ""en"", ""hi"")"),"109")</f>
        <v>109</v>
      </c>
      <c r="G110" s="5" t="str">
        <f>IFERROR(__xludf.DUMMYFUNCTION("GOOGLETRANSLATE(B110, ""en"", ""hi"")"),"खिलाड़ी BBB गिल्ली मारता है और वह एक ऐसे क्षेत्र में गिरती है जहाँ एक बड़ा धातु का डिब्बा उसे रोक देता है। इस हिट का नियम क्या है?")</f>
        <v>खिलाड़ी BBB गिल्ली मारता है और वह एक ऐसे क्षेत्र में गिरती है जहाँ एक बड़ा धातु का डिब्बा उसे रोक देता है। इस हिट का नियम क्या है?</v>
      </c>
      <c r="H110" s="5" t="str">
        <f>IFERROR(__xludf.DUMMYFUNCTION("GOOGLETRANSLATE(C110, ""en"", ""hi"")"),"A) गिल्ली को खेल में माना जाता है। , B) गिल्ली को सीमा से बाहर माना जाता है। , C) कैन को हटाए जाने तक खेल को रोक दिया जाता है। , D) खिलाड़ी BBB को एक और मौका दिया जाता है।")</f>
        <v>A) गिल्ली को खेल में माना जाता है। , B) गिल्ली को सीमा से बाहर माना जाता है। , C) कैन को हटाए जाने तक खेल को रोक दिया जाता है। , D) खिलाड़ी BBB को एक और मौका दिया जाता है।</v>
      </c>
      <c r="I110" s="5" t="str">
        <f>IFERROR(__xludf.DUMMYFUNCTION("GOOGLETRANSLATE(D110, ""en"", ""hi"")"),"बी) गिल्ली को सीमा से बाहर माना जाता है।")</f>
        <v>बी) गिल्ली को सीमा से बाहर माना जाता है।</v>
      </c>
    </row>
    <row r="111" ht="22.5" customHeight="1">
      <c r="A111" s="2">
        <v>110.0</v>
      </c>
      <c r="B111" s="3" t="s">
        <v>11493</v>
      </c>
      <c r="C111" s="3" t="s">
        <v>11494</v>
      </c>
      <c r="D111" s="3" t="s">
        <v>11266</v>
      </c>
      <c r="F111" s="5" t="str">
        <f>IFERROR(__xludf.DUMMYFUNCTION("GOOGLETRANSLATE(A111, ""en"", ""hi"")"),"110")</f>
        <v>110</v>
      </c>
      <c r="G111" s="5" t="str">
        <f>IFERROR(__xludf.DUMMYFUNCTION("GOOGLETRANSLATE(B111, ""en"", ""hi"")"),"गिल्ली डंडा मैच के दौरान, खिलाड़ी CCC गिल्ली पर वार करता है और वह ऐसी जगह गिरती है जहाँ उसका कुछ हिस्सा कीचड़ से ढका होता है। इस वार की व्याख्या कैसे की जानी चाहिए?")</f>
        <v>गिल्ली डंडा मैच के दौरान, खिलाड़ी CCC गिल्ली पर वार करता है और वह ऐसी जगह गिरती है जहाँ उसका कुछ हिस्सा कीचड़ से ढका होता है। इस वार की व्याख्या कैसे की जानी चाहिए?</v>
      </c>
      <c r="H111" s="5" t="str">
        <f>IFERROR(__xludf.DUMMYFUNCTION("GOOGLETRANSLATE(C111, ""en"", ""hi"")"),"A) गिल्ली को खेल में माना जाता है। , B) गिल्ली को सीमा से बाहर माना जाता है। , C) कीचड़ साफ होने तक खेल रोक दिया जाता है। , D) खिलाड़ी CCC को एक और मौका दिया जाता है।")</f>
        <v>A) गिल्ली को खेल में माना जाता है। , B) गिल्ली को सीमा से बाहर माना जाता है। , C) कीचड़ साफ होने तक खेल रोक दिया जाता है। , D) खिलाड़ी CCC को एक और मौका दिया जाता है।</v>
      </c>
      <c r="I111" s="5" t="str">
        <f>IFERROR(__xludf.DUMMYFUNCTION("GOOGLETRANSLATE(D111, ""en"", ""hi"")"),"बी) गिल्ली को सीमा से बाहर माना जाता है।")</f>
        <v>बी) गिल्ली को सीमा से बाहर माना जाता है।</v>
      </c>
    </row>
    <row r="112" ht="22.5" customHeight="1">
      <c r="A112" s="2">
        <v>111.0</v>
      </c>
      <c r="B112" s="3" t="s">
        <v>11495</v>
      </c>
      <c r="C112" s="3" t="s">
        <v>11496</v>
      </c>
      <c r="D112" s="3" t="s">
        <v>11314</v>
      </c>
      <c r="F112" s="5" t="str">
        <f>IFERROR(__xludf.DUMMYFUNCTION("GOOGLETRANSLATE(A112, ""en"", ""hi"")"),"111")</f>
        <v>111</v>
      </c>
      <c r="G112" s="5" t="str">
        <f>IFERROR(__xludf.DUMMYFUNCTION("GOOGLETRANSLATE(B112, ""en"", ""hi"")"),"खिलाड़ी DDD गिल्ली पर वार करता है और वह एक ऐसी सतह पर गिरती है जहाँ वह तुरंत एक बड़े पत्ते से ढक जाती है। इस वार का नियम क्या है?")</f>
        <v>खिलाड़ी DDD गिल्ली पर वार करता है और वह एक ऐसी सतह पर गिरती है जहाँ वह तुरंत एक बड़े पत्ते से ढक जाती है। इस वार का नियम क्या है?</v>
      </c>
      <c r="H112" s="5" t="str">
        <f>IFERROR(__xludf.DUMMYFUNCTION("GOOGLETRANSLATE(C112, ""en"", ""hi"")"),"A) गिल्ली को सीमा से बाहर माना जाता है। , B) गिल्ली को खेल में माना जाता है। , C) पत्ता हटाए जाने तक खेल को रोक दिया जाता है। , D) खिलाड़ी DDD को एक और मौका दिया जाता है।")</f>
        <v>A) गिल्ली को सीमा से बाहर माना जाता है। , B) गिल्ली को खेल में माना जाता है। , C) पत्ता हटाए जाने तक खेल को रोक दिया जाता है। , D) खिलाड़ी DDD को एक और मौका दिया जाता है।</v>
      </c>
      <c r="I112" s="5" t="str">
        <f>IFERROR(__xludf.DUMMYFUNCTION("GOOGLETRANSLATE(D112, ""en"", ""hi"")"),"अ) गिल्ली को सीमा से बाहर माना जाता है।")</f>
        <v>अ) गिल्ली को सीमा से बाहर माना जाता है।</v>
      </c>
    </row>
    <row r="113" ht="22.5" customHeight="1">
      <c r="A113" s="2">
        <v>112.0</v>
      </c>
      <c r="B113" s="3" t="s">
        <v>11497</v>
      </c>
      <c r="C113" s="3" t="s">
        <v>11498</v>
      </c>
      <c r="D113" s="3" t="s">
        <v>11376</v>
      </c>
      <c r="F113" s="5" t="str">
        <f>IFERROR(__xludf.DUMMYFUNCTION("GOOGLETRANSLATE(A113, ""en"", ""hi"")"),"112")</f>
        <v>112</v>
      </c>
      <c r="G113" s="5" t="str">
        <f>IFERROR(__xludf.DUMMYFUNCTION("GOOGLETRANSLATE(B113, ""en"", ""hi"")"),"गिल्ली डंडा खेल में, खिलाड़ी EEE गिल्ली मारता है और वह थोड़ी ढलान वाले क्षेत्र में गिरती है और कुछ छोटी टहनियाँ उस पर टिकी होती हैं। इस प्रहार का नियम क्या होना चाहिए?")</f>
        <v>गिल्ली डंडा खेल में, खिलाड़ी EEE गिल्ली मारता है और वह थोड़ी ढलान वाले क्षेत्र में गिरती है और कुछ छोटी टहनियाँ उस पर टिकी होती हैं। इस प्रहार का नियम क्या होना चाहिए?</v>
      </c>
      <c r="H113" s="5" t="str">
        <f>IFERROR(__xludf.DUMMYFUNCTION("GOOGLETRANSLATE(C113, ""en"", ""hi"")"),"A) गिल्ली को सीमा से बाहर माना जाता है। , B) गिल्ली को खेल में माना जाता है। , C) खेल को समीक्षा के लिए रोक दिया जाता है। , D) खिलाड़ी EEE को एक और मौका दिया जाता है।")</f>
        <v>A) गिल्ली को सीमा से बाहर माना जाता है। , B) गिल्ली को खेल में माना जाता है। , C) खेल को समीक्षा के लिए रोक दिया जाता है। , D) खिलाड़ी EEE को एक और मौका दिया जाता है।</v>
      </c>
      <c r="I113" s="5" t="str">
        <f>IFERROR(__xludf.DUMMYFUNCTION("GOOGLETRANSLATE(D113, ""en"", ""hi"")"),"बी) गिल्ली को खेल में शामिल माना जाता है।")</f>
        <v>बी) गिल्ली को खेल में शामिल माना जाता है।</v>
      </c>
    </row>
    <row r="114" ht="22.5" customHeight="1">
      <c r="A114" s="2">
        <v>113.0</v>
      </c>
      <c r="B114" s="3" t="s">
        <v>11499</v>
      </c>
      <c r="C114" s="3" t="s">
        <v>11500</v>
      </c>
      <c r="D114" s="3" t="s">
        <v>11314</v>
      </c>
      <c r="F114" s="5" t="str">
        <f>IFERROR(__xludf.DUMMYFUNCTION("GOOGLETRANSLATE(A114, ""en"", ""hi"")"),"113")</f>
        <v>113</v>
      </c>
      <c r="G114" s="5" t="str">
        <f>IFERROR(__xludf.DUMMYFUNCTION("GOOGLETRANSLATE(B114, ""en"", ""hi"")"),"खिलाड़ी FFF गिल्ली को मारता है और वह एक ऐसी सतह पर गिरती है जो एक बड़े पत्थर के स्लैब से अवरुद्ध है। इस हिट का मूल्यांकन कैसे किया जाता है?")</f>
        <v>खिलाड़ी FFF गिल्ली को मारता है और वह एक ऐसी सतह पर गिरती है जो एक बड़े पत्थर के स्लैब से अवरुद्ध है। इस हिट का मूल्यांकन कैसे किया जाता है?</v>
      </c>
      <c r="H114" s="5" t="str">
        <f>IFERROR(__xludf.DUMMYFUNCTION("GOOGLETRANSLATE(C114, ""en"", ""hi"")"),"A) गिल्ली को खेल के मैदान से बाहर माना जाता है। , B) गिल्ली को खेल में माना जाता है। , C) पत्थर की पटिया हटाए जाने तक खेल को रोक दिया जाता है। , D) खिलाड़ी FFF को एक और मौका दिया जाता है।")</f>
        <v>A) गिल्ली को खेल के मैदान से बाहर माना जाता है। , B) गिल्ली को खेल में माना जाता है। , C) पत्थर की पटिया हटाए जाने तक खेल को रोक दिया जाता है। , D) खिलाड़ी FFF को एक और मौका दिया जाता है।</v>
      </c>
      <c r="I114" s="5" t="str">
        <f>IFERROR(__xludf.DUMMYFUNCTION("GOOGLETRANSLATE(D114, ""en"", ""hi"")"),"अ) गिल्ली को सीमा से बाहर माना जाता है।")</f>
        <v>अ) गिल्ली को सीमा से बाहर माना जाता है।</v>
      </c>
    </row>
    <row r="115" ht="22.5" customHeight="1">
      <c r="A115" s="2">
        <v>114.0</v>
      </c>
      <c r="B115" s="3" t="s">
        <v>11501</v>
      </c>
      <c r="C115" s="3" t="s">
        <v>11502</v>
      </c>
      <c r="D115" s="3" t="s">
        <v>11314</v>
      </c>
      <c r="F115" s="5" t="str">
        <f>IFERROR(__xludf.DUMMYFUNCTION("GOOGLETRANSLATE(A115, ""en"", ""hi"")"),"114")</f>
        <v>114</v>
      </c>
      <c r="G115" s="5" t="str">
        <f>IFERROR(__xludf.DUMMYFUNCTION("GOOGLETRANSLATE(B115, ""en"", ""hi"")"),"गिल्ली डंडा मैच के दौरान, खिलाड़ी GGG गिल्ली पर वार करता है और वह एक ऐसी जगह गिरती है जहाँ वह तुरंत बर्फ की एक पतली परत से ढक जाती है। उचित नियम क्या है?")</f>
        <v>गिल्ली डंडा मैच के दौरान, खिलाड़ी GGG गिल्ली पर वार करता है और वह एक ऐसी जगह गिरती है जहाँ वह तुरंत बर्फ की एक पतली परत से ढक जाती है। उचित नियम क्या है?</v>
      </c>
      <c r="H115" s="5" t="str">
        <f>IFERROR(__xludf.DUMMYFUNCTION("GOOGLETRANSLATE(C115, ""en"", ""hi"")"),"A) गिल्ली को सीमा से बाहर माना जाता है। , B) गिल्ली को खेल में माना जाता है। , C) बर्फ हटाए जाने तक खेल को रोक दिया जाता है। , D) खिलाड़ी GGG को एक और मौका दिया जाता है।")</f>
        <v>A) गिल्ली को सीमा से बाहर माना जाता है। , B) गिल्ली को खेल में माना जाता है। , C) बर्फ हटाए जाने तक खेल को रोक दिया जाता है। , D) खिलाड़ी GGG को एक और मौका दिया जाता है।</v>
      </c>
      <c r="I115" s="5" t="str">
        <f>IFERROR(__xludf.DUMMYFUNCTION("GOOGLETRANSLATE(D115, ""en"", ""hi"")"),"अ) गिल्ली को सीमा से बाहर माना जाता है।")</f>
        <v>अ) गिल्ली को सीमा से बाहर माना जाता है।</v>
      </c>
    </row>
    <row r="116" ht="22.5" customHeight="1">
      <c r="A116" s="2">
        <v>115.0</v>
      </c>
      <c r="B116" s="3" t="s">
        <v>11503</v>
      </c>
      <c r="C116" s="3" t="s">
        <v>11504</v>
      </c>
      <c r="D116" s="3" t="s">
        <v>11314</v>
      </c>
      <c r="F116" s="5" t="str">
        <f>IFERROR(__xludf.DUMMYFUNCTION("GOOGLETRANSLATE(A116, ""en"", ""hi"")"),"115")</f>
        <v>115</v>
      </c>
      <c r="G116" s="5" t="str">
        <f>IFERROR(__xludf.DUMMYFUNCTION("GOOGLETRANSLATE(B116, ""en"", ""hi"")"),"खिलाड़ी HHH गिल्ली पर वार करता है और वह एक ऐसी सतह पर गिरती है जहाँ पत्थरों का एक छोटा सा ढेर उसे रोक लेता है। इस वार का मूल्यांकन कैसे किया जाना चाहिए?")</f>
        <v>खिलाड़ी HHH गिल्ली पर वार करता है और वह एक ऐसी सतह पर गिरती है जहाँ पत्थरों का एक छोटा सा ढेर उसे रोक लेता है। इस वार का मूल्यांकन कैसे किया जाना चाहिए?</v>
      </c>
      <c r="H116" s="5" t="str">
        <f>IFERROR(__xludf.DUMMYFUNCTION("GOOGLETRANSLATE(C116, ""en"", ""hi"")"),"A) गिल्ली को सीमा से बाहर माना जाता है। , B) गिल्ली को खेल में माना जाता है। , C) पत्थर साफ होने तक खेल को रोक दिया जाता है। , D) खिलाड़ी HHH को एक और मौका दिया जाता है।")</f>
        <v>A) गिल्ली को सीमा से बाहर माना जाता है। , B) गिल्ली को खेल में माना जाता है। , C) पत्थर साफ होने तक खेल को रोक दिया जाता है। , D) खिलाड़ी HHH को एक और मौका दिया जाता है।</v>
      </c>
      <c r="I116" s="5" t="str">
        <f>IFERROR(__xludf.DUMMYFUNCTION("GOOGLETRANSLATE(D116, ""en"", ""hi"")"),"अ) गिल्ली को सीमा से बाहर माना जाता है।")</f>
        <v>अ) गिल्ली को सीमा से बाहर माना जाता है।</v>
      </c>
    </row>
    <row r="117" ht="22.5" customHeight="1">
      <c r="A117" s="2">
        <v>116.0</v>
      </c>
      <c r="B117" s="3" t="s">
        <v>11505</v>
      </c>
      <c r="C117" s="3" t="s">
        <v>11506</v>
      </c>
      <c r="D117" s="3" t="s">
        <v>11314</v>
      </c>
      <c r="F117" s="5" t="str">
        <f>IFERROR(__xludf.DUMMYFUNCTION("GOOGLETRANSLATE(A117, ""en"", ""hi"")"),"116")</f>
        <v>116</v>
      </c>
      <c r="G117" s="5" t="str">
        <f>IFERROR(__xludf.DUMMYFUNCTION("GOOGLETRANSLATE(B117, ""en"", ""hi"")"),"गिल्ली डंडा खेल में, खिलाड़ी III गिल्ली पर वार करता है और वह एक ऐसी सतह पर गिरती है जहाँ उसे तुरंत प्लास्टिक की चादर से ढक दिया जाता है। इस वार का नियम क्या है?")</f>
        <v>गिल्ली डंडा खेल में, खिलाड़ी III गिल्ली पर वार करता है और वह एक ऐसी सतह पर गिरती है जहाँ उसे तुरंत प्लास्टिक की चादर से ढक दिया जाता है। इस वार का नियम क्या है?</v>
      </c>
      <c r="H117" s="5" t="str">
        <f>IFERROR(__xludf.DUMMYFUNCTION("GOOGLETRANSLATE(C117, ""en"", ""hi"")"),"A) गिल्ली को सीमा से बाहर माना जाता है। , B) गिल्ली को खेल में माना जाता है। , C) प्लास्टिक शीट को हटाए जाने तक खेल को रोक दिया जाता है। , D) खिलाड़ी III को एक और मौका दिया जाता है।")</f>
        <v>A) गिल्ली को सीमा से बाहर माना जाता है। , B) गिल्ली को खेल में माना जाता है। , C) प्लास्टिक शीट को हटाए जाने तक खेल को रोक दिया जाता है। , D) खिलाड़ी III को एक और मौका दिया जाता है।</v>
      </c>
      <c r="I117" s="5" t="str">
        <f>IFERROR(__xludf.DUMMYFUNCTION("GOOGLETRANSLATE(D117, ""en"", ""hi"")"),"अ) गिल्ली को सीमा से बाहर माना जाता है।")</f>
        <v>अ) गिल्ली को सीमा से बाहर माना जाता है।</v>
      </c>
    </row>
    <row r="118" ht="22.5" customHeight="1">
      <c r="A118" s="2">
        <v>117.0</v>
      </c>
      <c r="B118" s="3" t="s">
        <v>11507</v>
      </c>
      <c r="C118" s="3" t="s">
        <v>11508</v>
      </c>
      <c r="D118" s="3" t="s">
        <v>11278</v>
      </c>
      <c r="F118" s="5" t="str">
        <f>IFERROR(__xludf.DUMMYFUNCTION("GOOGLETRANSLATE(A118, ""en"", ""hi"")"),"117")</f>
        <v>117</v>
      </c>
      <c r="G118" s="5" t="str">
        <f>IFERROR(__xludf.DUMMYFUNCTION("GOOGLETRANSLATE(B118, ""en"", ""hi"")"),"खिलाड़ी JJJ गिल्ली को मारता है और वह पत्तों और टहनियों के एक छोटे से ढेर वाली सतह पर गिरती है। इस हिट के लिए उपयुक्त नियम क्या है?")</f>
        <v>खिलाड़ी JJJ गिल्ली को मारता है और वह पत्तों और टहनियों के एक छोटे से ढेर वाली सतह पर गिरती है। इस हिट के लिए उपयुक्त नियम क्या है?</v>
      </c>
      <c r="H118" s="5" t="str">
        <f>IFERROR(__xludf.DUMMYFUNCTION("GOOGLETRANSLATE(C118, ""en"", ""hi"")"),"A) गिल्ली को खेल में माना जाता है। , B) गिल्ली को खेल से बाहर माना जाता है। , C) खेल तब तक रोक दिया जाता है जब तक पत्ते और टहनियाँ साफ नहीं हो जातीं। , D) खिलाड़ी JJJ को एक और मौका दिया जाता है।")</f>
        <v>A) गिल्ली को खेल में माना जाता है। , B) गिल्ली को खेल से बाहर माना जाता है। , C) खेल तब तक रोक दिया जाता है जब तक पत्ते और टहनियाँ साफ नहीं हो जातीं। , D) खिलाड़ी JJJ को एक और मौका दिया जाता है।</v>
      </c>
      <c r="I118" s="5" t="str">
        <f>IFERROR(__xludf.DUMMYFUNCTION("GOOGLETRANSLATE(D118, ""en"", ""hi"")"),"अ) गिल्ली को खेल में शामिल माना जाता है।")</f>
        <v>अ) गिल्ली को खेल में शामिल माना जाता है।</v>
      </c>
    </row>
    <row r="119" ht="22.5" customHeight="1">
      <c r="A119" s="2">
        <v>118.0</v>
      </c>
      <c r="B119" s="3" t="s">
        <v>11509</v>
      </c>
      <c r="C119" s="3" t="s">
        <v>11510</v>
      </c>
      <c r="D119" s="3" t="s">
        <v>11314</v>
      </c>
      <c r="F119" s="5" t="str">
        <f>IFERROR(__xludf.DUMMYFUNCTION("GOOGLETRANSLATE(A119, ""en"", ""hi"")"),"118")</f>
        <v>118</v>
      </c>
      <c r="G119" s="5" t="str">
        <f>IFERROR(__xludf.DUMMYFUNCTION("GOOGLETRANSLATE(B119, ""en"", ""hi"")"),"गिल्ली डंडा मैच के दौरान, खिलाड़ी केकेके गिल्ली मारता है और वह एक ऐसी जगह पर गिरती है जहाँ एक छोटा सा पत्थर उसे आंशिक रूप से रोक लेता है। इस स्थिति में क्या नियम होना चाहिए?")</f>
        <v>गिल्ली डंडा मैच के दौरान, खिलाड़ी केकेके गिल्ली मारता है और वह एक ऐसी जगह पर गिरती है जहाँ एक छोटा सा पत्थर उसे आंशिक रूप से रोक लेता है। इस स्थिति में क्या नियम होना चाहिए?</v>
      </c>
      <c r="H119" s="5" t="str">
        <f>IFERROR(__xludf.DUMMYFUNCTION("GOOGLETRANSLATE(C119, ""en"", ""hi"")"),"A) गिल्ली को खेल से बाहर माना जाता है। , B) गिल्ली को खेल में माना जाता है। , C) पत्थर हटाए जाने तक खेल को रोक दिया जाता है। , D) खिलाड़ी KKK को एक और मौका दिया जाता है।")</f>
        <v>A) गिल्ली को खेल से बाहर माना जाता है। , B) गिल्ली को खेल में माना जाता है। , C) पत्थर हटाए जाने तक खेल को रोक दिया जाता है। , D) खिलाड़ी KKK को एक और मौका दिया जाता है।</v>
      </c>
      <c r="I119" s="5" t="str">
        <f>IFERROR(__xludf.DUMMYFUNCTION("GOOGLETRANSLATE(D119, ""en"", ""hi"")"),"अ) गिल्ली को सीमा से बाहर माना जाता है।")</f>
        <v>अ) गिल्ली को सीमा से बाहर माना जाता है।</v>
      </c>
    </row>
    <row r="120" ht="22.5" customHeight="1">
      <c r="A120" s="2">
        <v>119.0</v>
      </c>
      <c r="B120" s="3" t="s">
        <v>11511</v>
      </c>
      <c r="C120" s="3" t="s">
        <v>11512</v>
      </c>
      <c r="D120" s="3" t="s">
        <v>11266</v>
      </c>
      <c r="F120" s="5" t="str">
        <f>IFERROR(__xludf.DUMMYFUNCTION("GOOGLETRANSLATE(A120, ""en"", ""hi"")"),"119")</f>
        <v>119</v>
      </c>
      <c r="G120" s="5" t="str">
        <f>IFERROR(__xludf.DUMMYFUNCTION("GOOGLETRANSLATE(B120, ""en"", ""hi"")"),"खिलाड़ी LLL गिल्ली को मारता है, जो रेत की एक पतली परत से ढकी सतह पर गिरती है। इस हिट का क्या मूल्यांकन किया जाना चाहिए?")</f>
        <v>खिलाड़ी LLL गिल्ली को मारता है, जो रेत की एक पतली परत से ढकी सतह पर गिरती है। इस हिट का क्या मूल्यांकन किया जाना चाहिए?</v>
      </c>
      <c r="H120" s="5" t="str">
        <f>IFERROR(__xludf.DUMMYFUNCTION("GOOGLETRANSLATE(C120, ""en"", ""hi"")"),"A) गिल्ली को खेल में माना जाता है। , B) गिल्ली को सीमा से बाहर माना जाता है। , C) रेत साफ होने तक खेल को रोक दिया जाता है। , D) खिलाड़ी LLL को एक और मौका दिया जाता है।")</f>
        <v>A) गिल्ली को खेल में माना जाता है। , B) गिल्ली को सीमा से बाहर माना जाता है। , C) रेत साफ होने तक खेल को रोक दिया जाता है। , D) खिलाड़ी LLL को एक और मौका दिया जाता है।</v>
      </c>
      <c r="I120" s="5" t="str">
        <f>IFERROR(__xludf.DUMMYFUNCTION("GOOGLETRANSLATE(D120, ""en"", ""hi"")"),"बी) गिल्ली को सीमा से बाहर माना जाता है।")</f>
        <v>बी) गिल्ली को सीमा से बाहर माना जाता है।</v>
      </c>
    </row>
    <row r="121" ht="22.5" customHeight="1">
      <c r="A121" s="2">
        <v>120.0</v>
      </c>
      <c r="B121" s="3" t="s">
        <v>11513</v>
      </c>
      <c r="C121" s="3" t="s">
        <v>11514</v>
      </c>
      <c r="D121" s="3" t="s">
        <v>11266</v>
      </c>
      <c r="F121" s="5" t="str">
        <f>IFERROR(__xludf.DUMMYFUNCTION("GOOGLETRANSLATE(A121, ""en"", ""hi"")"),"120")</f>
        <v>120</v>
      </c>
      <c r="G121" s="5" t="str">
        <f>IFERROR(__xludf.DUMMYFUNCTION("GOOGLETRANSLATE(B121, ""en"", ""hi"")"),"गिल्ली डंडा मैच के दौरान, खिलाड़ी MMM गिल्ली मारता है और वह एक छोटे धातु के डिब्बे से घिरे क्षेत्र में गिरती है। इसका नियम क्या है?")</f>
        <v>गिल्ली डंडा मैच के दौरान, खिलाड़ी MMM गिल्ली मारता है और वह एक छोटे धातु के डिब्बे से घिरे क्षेत्र में गिरती है। इसका नियम क्या है?</v>
      </c>
      <c r="H121" s="5" t="str">
        <f>IFERROR(__xludf.DUMMYFUNCTION("GOOGLETRANSLATE(C121, ""en"", ""hi"")"),"A) गिल्ली को खेल में माना जाता है। , B) गिल्ली को सीमा से बाहर माना जाता है। , C) बॉक्स को हटाए जाने तक खेल को रोक दिया जाता है। , D) खिलाड़ी MMM को एक और मौका दिया जाता है।")</f>
        <v>A) गिल्ली को खेल में माना जाता है। , B) गिल्ली को सीमा से बाहर माना जाता है। , C) बॉक्स को हटाए जाने तक खेल को रोक दिया जाता है। , D) खिलाड़ी MMM को एक और मौका दिया जाता है।</v>
      </c>
      <c r="I121" s="5" t="str">
        <f>IFERROR(__xludf.DUMMYFUNCTION("GOOGLETRANSLATE(D121, ""en"", ""hi"")"),"बी) गिल्ली को सीमा से बाहर माना जाता है।")</f>
        <v>बी) गिल्ली को सीमा से बाहर माना जाता है।</v>
      </c>
    </row>
    <row r="122" ht="22.5" customHeight="1">
      <c r="A122" s="2">
        <v>121.0</v>
      </c>
      <c r="B122" s="3" t="s">
        <v>11515</v>
      </c>
      <c r="C122" s="3" t="s">
        <v>11516</v>
      </c>
      <c r="D122" s="3" t="s">
        <v>11314</v>
      </c>
      <c r="F122" s="5" t="str">
        <f>IFERROR(__xludf.DUMMYFUNCTION("GOOGLETRANSLATE(A122, ""en"", ""hi"")"),"121")</f>
        <v>121</v>
      </c>
      <c r="G122" s="5" t="str">
        <f>IFERROR(__xludf.DUMMYFUNCTION("GOOGLETRANSLATE(B122, ""en"", ""hi"")"),"खिलाड़ी NNN गिल्ली को मारता है और वह एक ऐसी सतह पर गिरती है जहाँ उसे तुरंत एक प्लास्टिक बैग से ढक दिया जाता है। इस हिट का मूल्यांकन कैसे किया जाना चाहिए?")</f>
        <v>खिलाड़ी NNN गिल्ली को मारता है और वह एक ऐसी सतह पर गिरती है जहाँ उसे तुरंत एक प्लास्टिक बैग से ढक दिया जाता है। इस हिट का मूल्यांकन कैसे किया जाना चाहिए?</v>
      </c>
      <c r="H122" s="5" t="str">
        <f>IFERROR(__xludf.DUMMYFUNCTION("GOOGLETRANSLATE(C122, ""en"", ""hi"")"),"A) गिल्ली को सीमा से बाहर माना जाता है। , B) गिल्ली को खेल में माना जाता है। , C) थैला हटाए जाने तक खेल को रोक दिया जाता है। , D) खिलाड़ी NNN को एक और मौका दिया जाता है।")</f>
        <v>A) गिल्ली को सीमा से बाहर माना जाता है। , B) गिल्ली को खेल में माना जाता है। , C) थैला हटाए जाने तक खेल को रोक दिया जाता है। , D) खिलाड़ी NNN को एक और मौका दिया जाता है।</v>
      </c>
      <c r="I122" s="5" t="str">
        <f>IFERROR(__xludf.DUMMYFUNCTION("GOOGLETRANSLATE(D122, ""en"", ""hi"")"),"अ) गिल्ली को सीमा से बाहर माना जाता है।")</f>
        <v>अ) गिल्ली को सीमा से बाहर माना जाता है।</v>
      </c>
    </row>
    <row r="123" ht="22.5" customHeight="1">
      <c r="A123" s="2">
        <v>122.0</v>
      </c>
      <c r="B123" s="3" t="s">
        <v>11517</v>
      </c>
      <c r="C123" s="3" t="s">
        <v>11518</v>
      </c>
      <c r="D123" s="3" t="s">
        <v>11278</v>
      </c>
      <c r="F123" s="5" t="str">
        <f>IFERROR(__xludf.DUMMYFUNCTION("GOOGLETRANSLATE(A123, ""en"", ""hi"")"),"122")</f>
        <v>122</v>
      </c>
      <c r="G123" s="5" t="str">
        <f>IFERROR(__xludf.DUMMYFUNCTION("GOOGLETRANSLATE(B123, ""en"", ""hi"")"),"गिल्ली डंडा खेल में, खिलाड़ी OOO गिल्ली पर वार करता है और वह उस जगह पर गिरती है जहाँ उसका कुछ हिस्सा पेड़ की टहनी से ढका होता है। इस स्थिति में क्या नियम है?")</f>
        <v>गिल्ली डंडा खेल में, खिलाड़ी OOO गिल्ली पर वार करता है और वह उस जगह पर गिरती है जहाँ उसका कुछ हिस्सा पेड़ की टहनी से ढका होता है। इस स्थिति में क्या नियम है?</v>
      </c>
      <c r="H123" s="5" t="str">
        <f>IFERROR(__xludf.DUMMYFUNCTION("GOOGLETRANSLATE(C123, ""en"", ""hi"")"),"A) गिल्ली को खेल में माना जाता है। , B) गिल्ली को सीमा से बाहर माना जाता है। , C) शाखा को हटाए जाने तक खेल को रोक दिया जाता है। , D) खिलाड़ी OOO को एक और मौका दिया जाता है।")</f>
        <v>A) गिल्ली को खेल में माना जाता है। , B) गिल्ली को सीमा से बाहर माना जाता है। , C) शाखा को हटाए जाने तक खेल को रोक दिया जाता है। , D) खिलाड़ी OOO को एक और मौका दिया जाता है।</v>
      </c>
      <c r="I123" s="5" t="str">
        <f>IFERROR(__xludf.DUMMYFUNCTION("GOOGLETRANSLATE(D123, ""en"", ""hi"")"),"अ) गिल्ली को खेल में शामिल माना जाता है।")</f>
        <v>अ) गिल्ली को खेल में शामिल माना जाता है।</v>
      </c>
    </row>
    <row r="124" ht="22.5" customHeight="1">
      <c r="A124" s="2">
        <v>123.0</v>
      </c>
      <c r="B124" s="3" t="s">
        <v>11519</v>
      </c>
      <c r="C124" s="3" t="s">
        <v>11520</v>
      </c>
      <c r="D124" s="3" t="s">
        <v>11314</v>
      </c>
      <c r="F124" s="5" t="str">
        <f>IFERROR(__xludf.DUMMYFUNCTION("GOOGLETRANSLATE(A124, ""en"", ""hi"")"),"123")</f>
        <v>123</v>
      </c>
      <c r="G124" s="5" t="str">
        <f>IFERROR(__xludf.DUMMYFUNCTION("GOOGLETRANSLATE(B124, ""en"", ""hi"")"),"खिलाड़ी PPP गिल्ली मारता है और वह रेत की बोरियों के एक छोटे से ढेर वाले क्षेत्र में गिरती है। इस हिट का नियम क्या होना चाहिए?")</f>
        <v>खिलाड़ी PPP गिल्ली मारता है और वह रेत की बोरियों के एक छोटे से ढेर वाले क्षेत्र में गिरती है। इस हिट का नियम क्या होना चाहिए?</v>
      </c>
      <c r="H124" s="5" t="str">
        <f>IFERROR(__xludf.DUMMYFUNCTION("GOOGLETRANSLATE(C124, ""en"", ""hi"")"),"A) गिल्ली को सीमा से बाहर माना जाता है। , B) गिल्ली को खेल में माना जाता है। , C) खेल को तब तक रोक दिया जाता है जब तक कि रेत की बोरियां नहीं हटा दी जाती हैं। , D) खिलाड़ी पीपीपी को एक और मौका दिया जाता है।")</f>
        <v>A) गिल्ली को सीमा से बाहर माना जाता है। , B) गिल्ली को खेल में माना जाता है। , C) खेल को तब तक रोक दिया जाता है जब तक कि रेत की बोरियां नहीं हटा दी जाती हैं। , D) खिलाड़ी पीपीपी को एक और मौका दिया जाता है।</v>
      </c>
      <c r="I124" s="5" t="str">
        <f>IFERROR(__xludf.DUMMYFUNCTION("GOOGLETRANSLATE(D124, ""en"", ""hi"")"),"अ) गिल्ली को सीमा से बाहर माना जाता है।")</f>
        <v>अ) गिल्ली को सीमा से बाहर माना जाता है।</v>
      </c>
    </row>
    <row r="125" ht="22.5" customHeight="1">
      <c r="A125" s="2">
        <v>124.0</v>
      </c>
      <c r="B125" s="3" t="s">
        <v>11521</v>
      </c>
      <c r="C125" s="3" t="s">
        <v>11522</v>
      </c>
      <c r="D125" s="3" t="s">
        <v>11278</v>
      </c>
      <c r="F125" s="5" t="str">
        <f>IFERROR(__xludf.DUMMYFUNCTION("GOOGLETRANSLATE(A125, ""en"", ""hi"")"),"124")</f>
        <v>124</v>
      </c>
      <c r="G125" s="5" t="str">
        <f>IFERROR(__xludf.DUMMYFUNCTION("GOOGLETRANSLATE(B125, ""en"", ""hi"")"),"गिल्ली डंडा मैच के दौरान, खिलाड़ी QQQ गिल्ली पर वार करता है और वह पत्थरों और बजरी के एक छोटे से ढेर वाली सतह पर गिरती है। इस वार की व्याख्या कैसे की जानी चाहिए?")</f>
        <v>गिल्ली डंडा मैच के दौरान, खिलाड़ी QQQ गिल्ली पर वार करता है और वह पत्थरों और बजरी के एक छोटे से ढेर वाली सतह पर गिरती है। इस वार की व्याख्या कैसे की जानी चाहिए?</v>
      </c>
      <c r="H125" s="5" t="str">
        <f>IFERROR(__xludf.DUMMYFUNCTION("GOOGLETRANSLATE(C125, ""en"", ""hi"")"),"A) गिल्ली को खेल में माना जाता है। , B) गिल्ली को सीमा से बाहर माना जाता है। , C) पत्थर और बजरी साफ होने तक खेल को रोक दिया जाता है। , D) खिलाड़ी QQQ को एक और मौका दिया जाता है।")</f>
        <v>A) गिल्ली को खेल में माना जाता है। , B) गिल्ली को सीमा से बाहर माना जाता है। , C) पत्थर और बजरी साफ होने तक खेल को रोक दिया जाता है। , D) खिलाड़ी QQQ को एक और मौका दिया जाता है।</v>
      </c>
      <c r="I125" s="5" t="str">
        <f>IFERROR(__xludf.DUMMYFUNCTION("GOOGLETRANSLATE(D125, ""en"", ""hi"")"),"अ) गिल्ली को खेल में शामिल माना जाता है।")</f>
        <v>अ) गिल्ली को खेल में शामिल माना जाता है।</v>
      </c>
    </row>
    <row r="126" ht="22.5" customHeight="1">
      <c r="A126" s="2">
        <v>125.0</v>
      </c>
      <c r="B126" s="3" t="s">
        <v>11523</v>
      </c>
      <c r="C126" s="3" t="s">
        <v>11524</v>
      </c>
      <c r="D126" s="3" t="s">
        <v>11314</v>
      </c>
      <c r="F126" s="5" t="str">
        <f>IFERROR(__xludf.DUMMYFUNCTION("GOOGLETRANSLATE(A126, ""en"", ""hi"")"),"125")</f>
        <v>125</v>
      </c>
      <c r="G126" s="5" t="str">
        <f>IFERROR(__xludf.DUMMYFUNCTION("GOOGLETRANSLATE(B126, ""en"", ""hi"")"),"खिलाड़ी RRR गिल्ली मारता है और वह एक ऐसी सतह पर गिरती है जहाँ लकड़ी का एक बड़ा टुकड़ा उसे तुरंत रोक देता है। उचित नियम क्या है?")</f>
        <v>खिलाड़ी RRR गिल्ली मारता है और वह एक ऐसी सतह पर गिरती है जहाँ लकड़ी का एक बड़ा टुकड़ा उसे तुरंत रोक देता है। उचित नियम क्या है?</v>
      </c>
      <c r="H126" s="5" t="str">
        <f>IFERROR(__xludf.DUMMYFUNCTION("GOOGLETRANSLATE(C126, ""en"", ""hi"")"),"A) गिल्ली को सीमा से बाहर माना जाता है। , B) गिल्ली को खेल में माना जाता है। , C) लकड़ी हटाए जाने तक खेल को रोक दिया जाता है। , D) खिलाड़ी RRR को एक और मौका दिया जाता है।")</f>
        <v>A) गिल्ली को सीमा से बाहर माना जाता है। , B) गिल्ली को खेल में माना जाता है। , C) लकड़ी हटाए जाने तक खेल को रोक दिया जाता है। , D) खिलाड़ी RRR को एक और मौका दिया जाता है।</v>
      </c>
      <c r="I126" s="5" t="str">
        <f>IFERROR(__xludf.DUMMYFUNCTION("GOOGLETRANSLATE(D126, ""en"", ""hi"")"),"अ) गिल्ली को सीमा से बाहर माना जाता है।")</f>
        <v>अ) गिल्ली को सीमा से बाहर माना जाता है।</v>
      </c>
    </row>
    <row r="127" ht="22.5" customHeight="1">
      <c r="A127" s="2">
        <v>126.0</v>
      </c>
      <c r="B127" s="3" t="s">
        <v>11525</v>
      </c>
      <c r="C127" s="3" t="s">
        <v>11526</v>
      </c>
      <c r="D127" s="3" t="s">
        <v>11314</v>
      </c>
      <c r="F127" s="5" t="str">
        <f>IFERROR(__xludf.DUMMYFUNCTION("GOOGLETRANSLATE(A127, ""en"", ""hi"")"),"126")</f>
        <v>126</v>
      </c>
      <c r="G127" s="5" t="str">
        <f>IFERROR(__xludf.DUMMYFUNCTION("GOOGLETRANSLATE(B127, ""en"", ""hi"")"),"गिल्ली डंडा खेल में, खिलाड़ी SSS गिल्ली पर वार करता है और वह उस जगह पर गिरती है जहाँ उसका कुछ हिस्सा एक बड़े कपड़े से ढका होता है। इस वार का मूल्यांकन कैसे किया जाता है?")</f>
        <v>गिल्ली डंडा खेल में, खिलाड़ी SSS गिल्ली पर वार करता है और वह उस जगह पर गिरती है जहाँ उसका कुछ हिस्सा एक बड़े कपड़े से ढका होता है। इस वार का मूल्यांकन कैसे किया जाता है?</v>
      </c>
      <c r="H127" s="5" t="str">
        <f>IFERROR(__xludf.DUMMYFUNCTION("GOOGLETRANSLATE(C127, ""en"", ""hi"")"),"A) गिल्ली को खेल से बाहर माना जाता है। , B) गिल्ली को खेल में माना जाता है। , C) कपड़ा हटाए जाने तक खेल को रोक दिया जाता है। , D) खिलाड़ी SSS को एक और मौका दिया जाता है।")</f>
        <v>A) गिल्ली को खेल से बाहर माना जाता है। , B) गिल्ली को खेल में माना जाता है। , C) कपड़ा हटाए जाने तक खेल को रोक दिया जाता है। , D) खिलाड़ी SSS को एक और मौका दिया जाता है।</v>
      </c>
      <c r="I127" s="5" t="str">
        <f>IFERROR(__xludf.DUMMYFUNCTION("GOOGLETRANSLATE(D127, ""en"", ""hi"")"),"अ) गिल्ली को सीमा से बाहर माना जाता है।")</f>
        <v>अ) गिल्ली को सीमा से बाहर माना जाता है।</v>
      </c>
    </row>
    <row r="128" ht="22.5" customHeight="1">
      <c r="A128" s="2">
        <v>127.0</v>
      </c>
      <c r="B128" s="3" t="s">
        <v>11527</v>
      </c>
      <c r="C128" s="3" t="s">
        <v>11528</v>
      </c>
      <c r="D128" s="3" t="s">
        <v>11314</v>
      </c>
      <c r="F128" s="5" t="str">
        <f>IFERROR(__xludf.DUMMYFUNCTION("GOOGLETRANSLATE(A128, ""en"", ""hi"")"),"127")</f>
        <v>127</v>
      </c>
      <c r="G128" s="5" t="str">
        <f>IFERROR(__xludf.DUMMYFUNCTION("GOOGLETRANSLATE(B128, ""en"", ""hi"")"),"खिलाड़ी TTT गिल्ली को मारता है और वह एक ऐसे क्षेत्र में गिरती है जहाँ एक छोटा सा टोकरा उसे रोके हुए है। इस स्थिति में क्या नियम है?")</f>
        <v>खिलाड़ी TTT गिल्ली को मारता है और वह एक ऐसे क्षेत्र में गिरती है जहाँ एक छोटा सा टोकरा उसे रोके हुए है। इस स्थिति में क्या नियम है?</v>
      </c>
      <c r="H128" s="5" t="str">
        <f>IFERROR(__xludf.DUMMYFUNCTION("GOOGLETRANSLATE(C128, ""en"", ""hi"")"),"A) गिल्ली को सीमा से बाहर माना जाता है। , B) गिल्ली को खेल में माना जाता है। , C) टोकरा हटाए जाने तक खेल को रोक दिया जाता है। , D) खिलाड़ी TTT को एक और मौका दिया जाता है।")</f>
        <v>A) गिल्ली को सीमा से बाहर माना जाता है। , B) गिल्ली को खेल में माना जाता है। , C) टोकरा हटाए जाने तक खेल को रोक दिया जाता है। , D) खिलाड़ी TTT को एक और मौका दिया जाता है।</v>
      </c>
      <c r="I128" s="5" t="str">
        <f>IFERROR(__xludf.DUMMYFUNCTION("GOOGLETRANSLATE(D128, ""en"", ""hi"")"),"अ) गिल्ली को सीमा से बाहर माना जाता है।")</f>
        <v>अ) गिल्ली को सीमा से बाहर माना जाता है।</v>
      </c>
    </row>
    <row r="129" ht="22.5" customHeight="1">
      <c r="A129" s="2">
        <v>128.0</v>
      </c>
      <c r="B129" s="3" t="s">
        <v>11529</v>
      </c>
      <c r="C129" s="3" t="s">
        <v>11530</v>
      </c>
      <c r="D129" s="3" t="s">
        <v>11266</v>
      </c>
      <c r="F129" s="5" t="str">
        <f>IFERROR(__xludf.DUMMYFUNCTION("GOOGLETRANSLATE(A129, ""en"", ""hi"")"),"128")</f>
        <v>128</v>
      </c>
      <c r="G129" s="5" t="str">
        <f>IFERROR(__xludf.DUMMYFUNCTION("GOOGLETRANSLATE(B129, ""en"", ""hi"")"),"गिल्ली डंडा मैच के दौरान, खिलाड़ी UUU गिल्ली पर वार करता है और वह ज़मीन पर गिरती है जहाँ तुरंत मिट्टी की एक परत जम जाती है। इस वार का मूल्यांकन कैसे किया जाना चाहिए?")</f>
        <v>गिल्ली डंडा मैच के दौरान, खिलाड़ी UUU गिल्ली पर वार करता है और वह ज़मीन पर गिरती है जहाँ तुरंत मिट्टी की एक परत जम जाती है। इस वार का मूल्यांकन कैसे किया जाना चाहिए?</v>
      </c>
      <c r="H129" s="5" t="str">
        <f>IFERROR(__xludf.DUMMYFUNCTION("GOOGLETRANSLATE(C129, ""en"", ""hi"")"),"A) गिल्ली को खेल में माना जाता है। , B) गिल्ली को सीमा से बाहर माना जाता है। , C) मिट्टी साफ होने तक खेल रोक दिया जाता है। , D) खिलाड़ी UUU को एक और मौका दिया जाता है।")</f>
        <v>A) गिल्ली को खेल में माना जाता है। , B) गिल्ली को सीमा से बाहर माना जाता है। , C) मिट्टी साफ होने तक खेल रोक दिया जाता है। , D) खिलाड़ी UUU को एक और मौका दिया जाता है।</v>
      </c>
      <c r="I129" s="5" t="str">
        <f>IFERROR(__xludf.DUMMYFUNCTION("GOOGLETRANSLATE(D129, ""en"", ""hi"")"),"बी) गिल्ली को सीमा से बाहर माना जाता है।")</f>
        <v>बी) गिल्ली को सीमा से बाहर माना जाता है।</v>
      </c>
    </row>
    <row r="130" ht="22.5" customHeight="1">
      <c r="A130" s="2">
        <v>129.0</v>
      </c>
      <c r="B130" s="3" t="s">
        <v>11531</v>
      </c>
      <c r="C130" s="3" t="s">
        <v>11532</v>
      </c>
      <c r="D130" s="3" t="s">
        <v>11314</v>
      </c>
      <c r="F130" s="5" t="str">
        <f>IFERROR(__xludf.DUMMYFUNCTION("GOOGLETRANSLATE(A130, ""en"", ""hi"")"),"129")</f>
        <v>129</v>
      </c>
      <c r="G130" s="5" t="str">
        <f>IFERROR(__xludf.DUMMYFUNCTION("GOOGLETRANSLATE(B130, ""en"", ""hi"")"),"खिलाड़ी VVV गिल्ली को मारता है और वह एक ऐसी सतह पर गिरती है जो पत्तों के एक बड़े ढेर से ढकी हुई है। इस स्थिति में क्या नियम है?")</f>
        <v>खिलाड़ी VVV गिल्ली को मारता है और वह एक ऐसी सतह पर गिरती है जो पत्तों के एक बड़े ढेर से ढकी हुई है। इस स्थिति में क्या नियम है?</v>
      </c>
      <c r="H130" s="5" t="str">
        <f>IFERROR(__xludf.DUMMYFUNCTION("GOOGLETRANSLATE(C130, ""en"", ""hi"")"),"A) गिल्ली को खेल से बाहर माना जाता है। , B) गिल्ली को खेल में माना जाता है। , C) पत्तों को हटाए जाने तक खेल को रोक दिया जाता है। , D) खिलाड़ी VVV को एक और मौका दिया जाता है।")</f>
        <v>A) गिल्ली को खेल से बाहर माना जाता है। , B) गिल्ली को खेल में माना जाता है। , C) पत्तों को हटाए जाने तक खेल को रोक दिया जाता है। , D) खिलाड़ी VVV को एक और मौका दिया जाता है।</v>
      </c>
      <c r="I130" s="5" t="str">
        <f>IFERROR(__xludf.DUMMYFUNCTION("GOOGLETRANSLATE(D130, ""en"", ""hi"")"),"अ) गिल्ली को सीमा से बाहर माना जाता है।")</f>
        <v>अ) गिल्ली को सीमा से बाहर माना जाता है।</v>
      </c>
    </row>
    <row r="131" ht="22.5" customHeight="1">
      <c r="A131" s="2">
        <v>130.0</v>
      </c>
      <c r="B131" s="3" t="s">
        <v>11533</v>
      </c>
      <c r="C131" s="3" t="s">
        <v>11534</v>
      </c>
      <c r="D131" s="3" t="s">
        <v>11278</v>
      </c>
      <c r="F131" s="5" t="str">
        <f>IFERROR(__xludf.DUMMYFUNCTION("GOOGLETRANSLATE(A131, ""en"", ""hi"")"),"130")</f>
        <v>130</v>
      </c>
      <c r="G131" s="5" t="str">
        <f>IFERROR(__xludf.DUMMYFUNCTION("GOOGLETRANSLATE(B131, ""en"", ""hi"")"),"गिल्ली डंडा खेल में, खिलाड़ी WWW गिल्ली पर वार करता है और वह कुछ बिखरे हुए कंकड़ों वाले क्षेत्र पर गिरती है। इस वार की व्याख्या कैसे की जानी चाहिए?")</f>
        <v>गिल्ली डंडा खेल में, खिलाड़ी WWW गिल्ली पर वार करता है और वह कुछ बिखरे हुए कंकड़ों वाले क्षेत्र पर गिरती है। इस वार की व्याख्या कैसे की जानी चाहिए?</v>
      </c>
      <c r="H131" s="5" t="str">
        <f>IFERROR(__xludf.DUMMYFUNCTION("GOOGLETRANSLATE(C131, ""en"", ""hi"")"),"A) गिल्ली को खेल में माना जाता है। , B) गिल्ली को सीमा से बाहर माना जाता है। , C) खेल को समीक्षा के लिए रोक दिया जाता है। , D) खिलाड़ी WWW को एक और मौका दिया जाता है।")</f>
        <v>A) गिल्ली को खेल में माना जाता है। , B) गिल्ली को सीमा से बाहर माना जाता है। , C) खेल को समीक्षा के लिए रोक दिया जाता है। , D) खिलाड़ी WWW को एक और मौका दिया जाता है।</v>
      </c>
      <c r="I131" s="5" t="str">
        <f>IFERROR(__xludf.DUMMYFUNCTION("GOOGLETRANSLATE(D131, ""en"", ""hi"")"),"अ) गिल्ली को खेल में शामिल माना जाता है।")</f>
        <v>अ) गिल्ली को खेल में शामिल माना जाता है।</v>
      </c>
    </row>
    <row r="132" ht="22.5" customHeight="1">
      <c r="A132" s="2">
        <v>131.0</v>
      </c>
      <c r="B132" s="3" t="s">
        <v>11535</v>
      </c>
      <c r="C132" s="3" t="s">
        <v>11536</v>
      </c>
      <c r="D132" s="3" t="s">
        <v>11314</v>
      </c>
      <c r="F132" s="5" t="str">
        <f>IFERROR(__xludf.DUMMYFUNCTION("GOOGLETRANSLATE(A132, ""en"", ""hi"")"),"131")</f>
        <v>131</v>
      </c>
      <c r="G132" s="5" t="str">
        <f>IFERROR(__xludf.DUMMYFUNCTION("GOOGLETRANSLATE(B132, ""en"", ""hi"")"),"खिलाड़ी XXX गिल्ली मारता है और वह हाल ही में हुई बारिश के कारण बने एक छोटे से गड्ढे वाली सतह पर गिरती है। इस हिट का नियम क्या है?")</f>
        <v>खिलाड़ी XXX गिल्ली मारता है और वह हाल ही में हुई बारिश के कारण बने एक छोटे से गड्ढे वाली सतह पर गिरती है। इस हिट का नियम क्या है?</v>
      </c>
      <c r="H132" s="5" t="str">
        <f>IFERROR(__xludf.DUMMYFUNCTION("GOOGLETRANSLATE(C132, ""en"", ""hi"")"),"A) गिल्ली को खेल से बाहर माना जाता है। , B) गिल्ली को खेल में माना जाता है। , C) खेल को तब तक रोक दिया जाता है जब तक पोखर को हटा नहीं दिया जाता। , D) खिलाड़ी XXX को एक और मौका दिया जाता है।")</f>
        <v>A) गिल्ली को खेल से बाहर माना जाता है। , B) गिल्ली को खेल में माना जाता है। , C) खेल को तब तक रोक दिया जाता है जब तक पोखर को हटा नहीं दिया जाता। , D) खिलाड़ी XXX को एक और मौका दिया जाता है।</v>
      </c>
      <c r="I132" s="5" t="str">
        <f>IFERROR(__xludf.DUMMYFUNCTION("GOOGLETRANSLATE(D132, ""en"", ""hi"")"),"अ) गिल्ली को सीमा से बाहर माना जाता है।")</f>
        <v>अ) गिल्ली को सीमा से बाहर माना जाता है।</v>
      </c>
    </row>
    <row r="133" ht="22.5" customHeight="1">
      <c r="A133" s="2">
        <v>132.0</v>
      </c>
      <c r="B133" s="3" t="s">
        <v>11537</v>
      </c>
      <c r="C133" s="3" t="s">
        <v>11538</v>
      </c>
      <c r="D133" s="3" t="s">
        <v>11314</v>
      </c>
      <c r="F133" s="5" t="str">
        <f>IFERROR(__xludf.DUMMYFUNCTION("GOOGLETRANSLATE(A133, ""en"", ""hi"")"),"132")</f>
        <v>132</v>
      </c>
      <c r="G133" s="5" t="str">
        <f>IFERROR(__xludf.DUMMYFUNCTION("GOOGLETRANSLATE(B133, ""en"", ""hi"")"),"गिल्ली डंडा मैच के दौरान, खिलाड़ी YYY गिल्ली को मारता है और वह एक ऐसी सतह पर गिरती है जहाँ उसका कुछ हिस्सा एक बड़े पत्थर से ढका होता है। इस हिट का मूल्यांकन कैसे किया जाना चाहिए?")</f>
        <v>गिल्ली डंडा मैच के दौरान, खिलाड़ी YYY गिल्ली को मारता है और वह एक ऐसी सतह पर गिरती है जहाँ उसका कुछ हिस्सा एक बड़े पत्थर से ढका होता है। इस हिट का मूल्यांकन कैसे किया जाना चाहिए?</v>
      </c>
      <c r="H133" s="5" t="str">
        <f>IFERROR(__xludf.DUMMYFUNCTION("GOOGLETRANSLATE(C133, ""en"", ""hi"")"),"A) गिल्ली को सीमा से बाहर माना जाता है। , B) गिल्ली को खेल में माना जाता है। , C) जब तक बोल्डर को हटाया नहीं जाता तब तक खेल को रोक दिया जाता है। , D) खिलाड़ी YYY को एक और मौका दिया जाता है।")</f>
        <v>A) गिल्ली को सीमा से बाहर माना जाता है। , B) गिल्ली को खेल में माना जाता है। , C) जब तक बोल्डर को हटाया नहीं जाता तब तक खेल को रोक दिया जाता है। , D) खिलाड़ी YYY को एक और मौका दिया जाता है।</v>
      </c>
      <c r="I133" s="5" t="str">
        <f>IFERROR(__xludf.DUMMYFUNCTION("GOOGLETRANSLATE(D133, ""en"", ""hi"")"),"अ) गिल्ली को सीमा से बाहर माना जाता है।")</f>
        <v>अ) गिल्ली को सीमा से बाहर माना जाता है।</v>
      </c>
    </row>
    <row r="134" ht="22.5" customHeight="1">
      <c r="A134" s="2">
        <v>133.0</v>
      </c>
      <c r="B134" s="3" t="s">
        <v>11539</v>
      </c>
      <c r="C134" s="3" t="s">
        <v>11540</v>
      </c>
      <c r="D134" s="3" t="s">
        <v>11314</v>
      </c>
      <c r="F134" s="5" t="str">
        <f>IFERROR(__xludf.DUMMYFUNCTION("GOOGLETRANSLATE(A134, ""en"", ""hi"")"),"133")</f>
        <v>133</v>
      </c>
      <c r="G134" s="5" t="str">
        <f>IFERROR(__xludf.DUMMYFUNCTION("GOOGLETRANSLATE(B134, ""en"", ""hi"")"),"खिलाड़ी ZZZ गिल्ली को मारता है और वह पत्तों और शाखाओं के एक बड़े ढेर वाली सतह पर गिरती है। उचित नियम क्या है?")</f>
        <v>खिलाड़ी ZZZ गिल्ली को मारता है और वह पत्तों और शाखाओं के एक बड़े ढेर वाली सतह पर गिरती है। उचित नियम क्या है?</v>
      </c>
      <c r="H134" s="5" t="str">
        <f>IFERROR(__xludf.DUMMYFUNCTION("GOOGLETRANSLATE(C134, ""en"", ""hi"")"),"A) गिल्ली को खेल से बाहर माना जाता है। , B) गिल्ली को खेल में माना जाता है। , C) खेल तब तक रुका रहता है जब तक पत्ते और शाखाएँ साफ नहीं हो जातीं। , D) खिलाड़ी ZZZ को एक और मौका दिया जाता है।")</f>
        <v>A) गिल्ली को खेल से बाहर माना जाता है। , B) गिल्ली को खेल में माना जाता है। , C) खेल तब तक रुका रहता है जब तक पत्ते और शाखाएँ साफ नहीं हो जातीं। , D) खिलाड़ी ZZZ को एक और मौका दिया जाता है।</v>
      </c>
      <c r="I134" s="5" t="str">
        <f>IFERROR(__xludf.DUMMYFUNCTION("GOOGLETRANSLATE(D134, ""en"", ""hi"")"),"अ) गिल्ली को सीमा से बाहर माना जाता है।")</f>
        <v>अ) गिल्ली को सीमा से बाहर माना जाता है।</v>
      </c>
    </row>
    <row r="135" ht="22.5" customHeight="1">
      <c r="A135" s="2">
        <v>134.0</v>
      </c>
      <c r="B135" s="3" t="s">
        <v>11541</v>
      </c>
      <c r="C135" s="3" t="s">
        <v>11542</v>
      </c>
      <c r="D135" s="3" t="s">
        <v>11278</v>
      </c>
      <c r="F135" s="5" t="str">
        <f>IFERROR(__xludf.DUMMYFUNCTION("GOOGLETRANSLATE(A135, ""en"", ""hi"")"),"134")</f>
        <v>134</v>
      </c>
      <c r="G135" s="5" t="str">
        <f>IFERROR(__xludf.DUMMYFUNCTION("GOOGLETRANSLATE(B135, ""en"", ""hi"")"),"गिल्ली डंडा खेल में, खिलाड़ी AAA गिल्ली पर वार करता है और वह एक ऐसी जगह गिरती है जहाँ उस पर कोहरे की एक पतली परत छा जाती है। इस स्थिति में क्या नियम है?")</f>
        <v>गिल्ली डंडा खेल में, खिलाड़ी AAA गिल्ली पर वार करता है और वह एक ऐसी जगह गिरती है जहाँ उस पर कोहरे की एक पतली परत छा जाती है। इस स्थिति में क्या नियम है?</v>
      </c>
      <c r="H135" s="5" t="str">
        <f>IFERROR(__xludf.DUMMYFUNCTION("GOOGLETRANSLATE(C135, ""en"", ""hi"")"),"A) गिल्ली को खेल में माना जाता है। , B) गिल्ली को सीमा से बाहर माना जाता है। , C) कोहरा छंटने तक खेल रोक दिया जाता है। , D) खिलाड़ी AAA को एक और मौका दिया जाता है।")</f>
        <v>A) गिल्ली को खेल में माना जाता है। , B) गिल्ली को सीमा से बाहर माना जाता है। , C) कोहरा छंटने तक खेल रोक दिया जाता है। , D) खिलाड़ी AAA को एक और मौका दिया जाता है।</v>
      </c>
      <c r="I135" s="5" t="str">
        <f>IFERROR(__xludf.DUMMYFUNCTION("GOOGLETRANSLATE(D135, ""en"", ""hi"")"),"अ) गिल्ली को खेल में शामिल माना जाता है।")</f>
        <v>अ) गिल्ली को खेल में शामिल माना जाता है।</v>
      </c>
    </row>
    <row r="136" ht="22.5" customHeight="1">
      <c r="A136" s="2">
        <v>135.0</v>
      </c>
      <c r="B136" s="3" t="s">
        <v>11543</v>
      </c>
      <c r="C136" s="3" t="s">
        <v>11544</v>
      </c>
      <c r="D136" s="3" t="s">
        <v>11314</v>
      </c>
      <c r="F136" s="5" t="str">
        <f>IFERROR(__xludf.DUMMYFUNCTION("GOOGLETRANSLATE(A136, ""en"", ""hi"")"),"135")</f>
        <v>135</v>
      </c>
      <c r="G136" s="5" t="str">
        <f>IFERROR(__xludf.DUMMYFUNCTION("GOOGLETRANSLATE(B136, ""en"", ""hi"")"),"खिलाड़ी BBB गिल्ली मारता है और वह पुराने अखबारों के ढेर से ढकी सतह पर गिरती है। इस हिट का नियम क्या है?")</f>
        <v>खिलाड़ी BBB गिल्ली मारता है और वह पुराने अखबारों के ढेर से ढकी सतह पर गिरती है। इस हिट का नियम क्या है?</v>
      </c>
      <c r="H136" s="5" t="str">
        <f>IFERROR(__xludf.DUMMYFUNCTION("GOOGLETRANSLATE(C136, ""en"", ""hi"")"),"A) गिल्ली को सीमा से बाहर माना जाता है। , B) गिल्ली को खेल में माना जाता है। , C) खेल को तब तक रोक दिया जाता है जब तक अखबार साफ नहीं हो जाते। , D) खिलाड़ी BBB को एक और मौका दिया जाता है।")</f>
        <v>A) गिल्ली को सीमा से बाहर माना जाता है। , B) गिल्ली को खेल में माना जाता है। , C) खेल को तब तक रोक दिया जाता है जब तक अखबार साफ नहीं हो जाते। , D) खिलाड़ी BBB को एक और मौका दिया जाता है।</v>
      </c>
      <c r="I136" s="5" t="str">
        <f>IFERROR(__xludf.DUMMYFUNCTION("GOOGLETRANSLATE(D136, ""en"", ""hi"")"),"अ) गिल्ली को सीमा से बाहर माना जाता है।")</f>
        <v>अ) गिल्ली को सीमा से बाहर माना जाता है।</v>
      </c>
    </row>
    <row r="137" ht="22.5" customHeight="1">
      <c r="A137" s="2">
        <v>136.0</v>
      </c>
      <c r="B137" s="3" t="s">
        <v>11545</v>
      </c>
      <c r="C137" s="3" t="s">
        <v>11546</v>
      </c>
      <c r="D137" s="3" t="s">
        <v>11314</v>
      </c>
      <c r="F137" s="5" t="str">
        <f>IFERROR(__xludf.DUMMYFUNCTION("GOOGLETRANSLATE(A137, ""en"", ""hi"")"),"136")</f>
        <v>136</v>
      </c>
      <c r="G137" s="5" t="str">
        <f>IFERROR(__xludf.DUMMYFUNCTION("GOOGLETRANSLATE(B137, ""en"", ""hi"")"),"गिल्ली डंडा मैच के दौरान, खिलाड़ी CCC गिल्ली पर वार करता है और वह एक ऐसी जगह पर गिरती है जहाँ वह तुरंत एक छोटे कंबल से ढक जाती है। इस वार की व्याख्या कैसे की जानी चाहिए?")</f>
        <v>गिल्ली डंडा मैच के दौरान, खिलाड़ी CCC गिल्ली पर वार करता है और वह एक ऐसी जगह पर गिरती है जहाँ वह तुरंत एक छोटे कंबल से ढक जाती है। इस वार की व्याख्या कैसे की जानी चाहिए?</v>
      </c>
      <c r="H137" s="5" t="str">
        <f>IFERROR(__xludf.DUMMYFUNCTION("GOOGLETRANSLATE(C137, ""en"", ""hi"")"),"A) गिल्ली को सीमा से बाहर माना जाता है। , B) गिल्ली को खेल में माना जाता है। , C) खेल को तब तक रोक दिया जाता है जब तक कंबल को हटा नहीं दिया जाता है। , D) खिलाड़ी CCC को एक और मौका दिया जाता है।")</f>
        <v>A) गिल्ली को सीमा से बाहर माना जाता है। , B) गिल्ली को खेल में माना जाता है। , C) खेल को तब तक रोक दिया जाता है जब तक कंबल को हटा नहीं दिया जाता है। , D) खिलाड़ी CCC को एक और मौका दिया जाता है।</v>
      </c>
      <c r="I137" s="5" t="str">
        <f>IFERROR(__xludf.DUMMYFUNCTION("GOOGLETRANSLATE(D137, ""en"", ""hi"")"),"अ) गिल्ली को सीमा से बाहर माना जाता है।")</f>
        <v>अ) गिल्ली को सीमा से बाहर माना जाता है।</v>
      </c>
    </row>
    <row r="138" ht="22.5" customHeight="1">
      <c r="A138" s="2">
        <v>137.0</v>
      </c>
      <c r="B138" s="3" t="s">
        <v>11547</v>
      </c>
      <c r="C138" s="3" t="s">
        <v>11548</v>
      </c>
      <c r="D138" s="3" t="s">
        <v>11314</v>
      </c>
      <c r="F138" s="5" t="str">
        <f>IFERROR(__xludf.DUMMYFUNCTION("GOOGLETRANSLATE(A138, ""en"", ""hi"")"),"137")</f>
        <v>137</v>
      </c>
      <c r="G138" s="5" t="str">
        <f>IFERROR(__xludf.DUMMYFUNCTION("GOOGLETRANSLATE(B138, ""en"", ""hi"")"),"खिलाड़ी DDD गिल्ली को मारता है और वह एक ऐसी सतह पर गिरती है जहाँ उसे सब्ज़ियों के एक छोटे से डिब्बे से रोका जाता है। उचित नियम क्या है?")</f>
        <v>खिलाड़ी DDD गिल्ली को मारता है और वह एक ऐसी सतह पर गिरती है जहाँ उसे सब्ज़ियों के एक छोटे से डिब्बे से रोका जाता है। उचित नियम क्या है?</v>
      </c>
      <c r="H138" s="5" t="str">
        <f>IFERROR(__xludf.DUMMYFUNCTION("GOOGLETRANSLATE(C138, ""en"", ""hi"")"),"A) गिल्ली को सीमा से बाहर माना जाता है। , B) गिल्ली को खेल में माना जाता है। , C) टोकरा हिलने तक खेल को रोक दिया जाता है। , D) खिलाड़ी DDD को एक और मौका दिया जाता है।")</f>
        <v>A) गिल्ली को सीमा से बाहर माना जाता है। , B) गिल्ली को खेल में माना जाता है। , C) टोकरा हिलने तक खेल को रोक दिया जाता है। , D) खिलाड़ी DDD को एक और मौका दिया जाता है।</v>
      </c>
      <c r="I138" s="5" t="str">
        <f>IFERROR(__xludf.DUMMYFUNCTION("GOOGLETRANSLATE(D138, ""en"", ""hi"")"),"अ) गिल्ली को सीमा से बाहर माना जाता है।")</f>
        <v>अ) गिल्ली को सीमा से बाहर माना जाता है।</v>
      </c>
    </row>
    <row r="139" ht="22.5" customHeight="1">
      <c r="A139" s="2">
        <v>138.0</v>
      </c>
      <c r="B139" s="3" t="s">
        <v>11549</v>
      </c>
      <c r="C139" s="3" t="s">
        <v>11550</v>
      </c>
      <c r="D139" s="3" t="s">
        <v>11314</v>
      </c>
      <c r="F139" s="5" t="str">
        <f>IFERROR(__xludf.DUMMYFUNCTION("GOOGLETRANSLATE(A139, ""en"", ""hi"")"),"138")</f>
        <v>138</v>
      </c>
      <c r="G139" s="5" t="str">
        <f>IFERROR(__xludf.DUMMYFUNCTION("GOOGLETRANSLATE(B139, ""en"", ""hi"")"),"गिल्ली डंडा खेल में, खिलाड़ी EEE गिल्ली पर वार करता है और वह उस जगह गिरती है जहाँ उसका कुछ हिस्सा कार्डबोर्ड के एक बड़े टुकड़े से ढका होता है। इस वार का मूल्यांकन कैसे किया जाता है?")</f>
        <v>गिल्ली डंडा खेल में, खिलाड़ी EEE गिल्ली पर वार करता है और वह उस जगह गिरती है जहाँ उसका कुछ हिस्सा कार्डबोर्ड के एक बड़े टुकड़े से ढका होता है। इस वार का मूल्यांकन कैसे किया जाता है?</v>
      </c>
      <c r="H139" s="5" t="str">
        <f>IFERROR(__xludf.DUMMYFUNCTION("GOOGLETRANSLATE(C139, ""en"", ""hi"")"),"A) गिल्ली को खेल से बाहर माना जाता है। , B) गिल्ली को खेल में माना जाता है। , C) कार्डबोर्ड हटाए जाने तक खेल को रोक दिया जाता है। , D) खिलाड़ी EEE को एक और मौका दिया जाता है।")</f>
        <v>A) गिल्ली को खेल से बाहर माना जाता है। , B) गिल्ली को खेल में माना जाता है। , C) कार्डबोर्ड हटाए जाने तक खेल को रोक दिया जाता है। , D) खिलाड़ी EEE को एक और मौका दिया जाता है।</v>
      </c>
      <c r="I139" s="5" t="str">
        <f>IFERROR(__xludf.DUMMYFUNCTION("GOOGLETRANSLATE(D139, ""en"", ""hi"")"),"अ) गिल्ली को सीमा से बाहर माना जाता है।")</f>
        <v>अ) गिल्ली को सीमा से बाहर माना जाता है।</v>
      </c>
    </row>
    <row r="140" ht="22.5" customHeight="1">
      <c r="A140" s="2">
        <v>139.0</v>
      </c>
      <c r="B140" s="3" t="s">
        <v>11551</v>
      </c>
      <c r="C140" s="3" t="s">
        <v>11552</v>
      </c>
      <c r="D140" s="3" t="s">
        <v>11266</v>
      </c>
      <c r="F140" s="5" t="str">
        <f>IFERROR(__xludf.DUMMYFUNCTION("GOOGLETRANSLATE(A140, ""en"", ""hi"")"),"139")</f>
        <v>139</v>
      </c>
      <c r="G140" s="5" t="str">
        <f>IFERROR(__xludf.DUMMYFUNCTION("GOOGLETRANSLATE(B140, ""en"", ""hi"")"),"खिलाड़ी FFF गिल्ली को मारता है और वह एक ऐसी सतह पर गिरती है जहाँ ईंटों का ढेर उसे रोक देता है। इस स्थिति में क्या नियम है?")</f>
        <v>खिलाड़ी FFF गिल्ली को मारता है और वह एक ऐसी सतह पर गिरती है जहाँ ईंटों का ढेर उसे रोक देता है। इस स्थिति में क्या नियम है?</v>
      </c>
      <c r="H140" s="5" t="str">
        <f>IFERROR(__xludf.DUMMYFUNCTION("GOOGLETRANSLATE(C140, ""en"", ""hi"")"),"A) गिल्ली को खेल में माना जाता है। , B) गिल्ली को सीमा से बाहर माना जाता है। , C) ईंटों को साफ करने तक खेल को रोक दिया जाता है। , D) खिलाड़ी FFF को एक और मौका दिया जाता है।")</f>
        <v>A) गिल्ली को खेल में माना जाता है। , B) गिल्ली को सीमा से बाहर माना जाता है। , C) ईंटों को साफ करने तक खेल को रोक दिया जाता है। , D) खिलाड़ी FFF को एक और मौका दिया जाता है।</v>
      </c>
      <c r="I140" s="5" t="str">
        <f>IFERROR(__xludf.DUMMYFUNCTION("GOOGLETRANSLATE(D140, ""en"", ""hi"")"),"बी) गिल्ली को सीमा से बाहर माना जाता है।")</f>
        <v>बी) गिल्ली को सीमा से बाहर माना जाता है।</v>
      </c>
    </row>
    <row r="141" ht="22.5" customHeight="1">
      <c r="A141" s="2">
        <v>140.0</v>
      </c>
      <c r="B141" s="3" t="s">
        <v>11553</v>
      </c>
      <c r="C141" s="3" t="s">
        <v>11554</v>
      </c>
      <c r="D141" s="3" t="s">
        <v>11314</v>
      </c>
      <c r="F141" s="5" t="str">
        <f>IFERROR(__xludf.DUMMYFUNCTION("GOOGLETRANSLATE(A141, ""en"", ""hi"")"),"140")</f>
        <v>140</v>
      </c>
      <c r="G141" s="5" t="str">
        <f>IFERROR(__xludf.DUMMYFUNCTION("GOOGLETRANSLATE(B141, ""en"", ""hi"")"),"गिल्ली डंडा मैच के दौरान, खिलाड़ी GGG गिल्ली पर वार करता है और वह एक ऐसे क्षेत्र में गिरती है जहाँ वह तुरंत बर्फ की एक परत से ढक जाती है। इस वार का नियम क्या होना चाहिए?")</f>
        <v>गिल्ली डंडा मैच के दौरान, खिलाड़ी GGG गिल्ली पर वार करता है और वह एक ऐसे क्षेत्र में गिरती है जहाँ वह तुरंत बर्फ की एक परत से ढक जाती है। इस वार का नियम क्या होना चाहिए?</v>
      </c>
      <c r="H141" s="5" t="str">
        <f>IFERROR(__xludf.DUMMYFUNCTION("GOOGLETRANSLATE(C141, ""en"", ""hi"")"),"A) गिल्ली को सीमा से बाहर माना जाता है। , B) गिल्ली को खेल में माना जाता है। , C) बर्फ साफ होने तक खेल को रोक दिया जाता है। , D) खिलाड़ी GGG को एक और मौका दिया जाता है।")</f>
        <v>A) गिल्ली को सीमा से बाहर माना जाता है। , B) गिल्ली को खेल में माना जाता है। , C) बर्फ साफ होने तक खेल को रोक दिया जाता है। , D) खिलाड़ी GGG को एक और मौका दिया जाता है।</v>
      </c>
      <c r="I141" s="5" t="str">
        <f>IFERROR(__xludf.DUMMYFUNCTION("GOOGLETRANSLATE(D141, ""en"", ""hi"")"),"अ) गिल्ली को सीमा से बाहर माना जाता है।")</f>
        <v>अ) गिल्ली को सीमा से बाहर माना जाता है।</v>
      </c>
    </row>
    <row r="142" ht="22.5" customHeight="1">
      <c r="A142" s="2">
        <v>141.0</v>
      </c>
      <c r="B142" s="3" t="s">
        <v>11555</v>
      </c>
      <c r="C142" s="3" t="s">
        <v>11556</v>
      </c>
      <c r="D142" s="3" t="s">
        <v>11314</v>
      </c>
      <c r="F142" s="5" t="str">
        <f>IFERROR(__xludf.DUMMYFUNCTION("GOOGLETRANSLATE(A142, ""en"", ""hi"")"),"141")</f>
        <v>141</v>
      </c>
      <c r="G142" s="5" t="str">
        <f>IFERROR(__xludf.DUMMYFUNCTION("GOOGLETRANSLATE(B142, ""en"", ""hi"")"),"खिलाड़ी HHH गिल्ली पर वार करता है और वह पानी के एक छोटे से गड्ढे से अवरुद्ध सतह पर गिरती है। इस वार की व्याख्या कैसे की जानी चाहिए?")</f>
        <v>खिलाड़ी HHH गिल्ली पर वार करता है और वह पानी के एक छोटे से गड्ढे से अवरुद्ध सतह पर गिरती है। इस वार की व्याख्या कैसे की जानी चाहिए?</v>
      </c>
      <c r="H142" s="5" t="str">
        <f>IFERROR(__xludf.DUMMYFUNCTION("GOOGLETRANSLATE(C142, ""en"", ""hi"")"),"A) गिल्ली को सीमा से बाहर माना जाता है। , B) गिल्ली को खेल में माना जाता है। , C) पोखर साफ होने तक खेल को रोक दिया जाता है। , D) खिलाड़ी HHH को एक और मौका दिया जाता है।")</f>
        <v>A) गिल्ली को सीमा से बाहर माना जाता है। , B) गिल्ली को खेल में माना जाता है। , C) पोखर साफ होने तक खेल को रोक दिया जाता है। , D) खिलाड़ी HHH को एक और मौका दिया जाता है।</v>
      </c>
      <c r="I142" s="5" t="str">
        <f>IFERROR(__xludf.DUMMYFUNCTION("GOOGLETRANSLATE(D142, ""en"", ""hi"")"),"अ) गिल्ली को सीमा से बाहर माना जाता है।")</f>
        <v>अ) गिल्ली को सीमा से बाहर माना जाता है।</v>
      </c>
    </row>
    <row r="143" ht="22.5" customHeight="1">
      <c r="A143" s="2">
        <v>142.0</v>
      </c>
      <c r="B143" s="3" t="s">
        <v>11557</v>
      </c>
      <c r="C143" s="3" t="s">
        <v>11558</v>
      </c>
      <c r="D143" s="3" t="s">
        <v>11314</v>
      </c>
      <c r="F143" s="5" t="str">
        <f>IFERROR(__xludf.DUMMYFUNCTION("GOOGLETRANSLATE(A143, ""en"", ""hi"")"),"142")</f>
        <v>142</v>
      </c>
      <c r="G143" s="5" t="str">
        <f>IFERROR(__xludf.DUMMYFUNCTION("GOOGLETRANSLATE(B143, ""en"", ""hi"")"),"गिल्ली डंडा खेल में, खिलाड़ी III गिल्ली को मारता है और वह कुछ बिखरे हुए पत्तों और टहनियों वाली सतह पर गिरती है। उचित नियम क्या है?")</f>
        <v>गिल्ली डंडा खेल में, खिलाड़ी III गिल्ली को मारता है और वह कुछ बिखरे हुए पत्तों और टहनियों वाली सतह पर गिरती है। उचित नियम क्या है?</v>
      </c>
      <c r="H143" s="5" t="str">
        <f>IFERROR(__xludf.DUMMYFUNCTION("GOOGLETRANSLATE(C143, ""en"", ""hi"")"),"A) गिल्ली को खेल के मैदान से बाहर माना जाता है। , B) गिल्ली को खेल में माना जाता है। , C) खेल तब तक रुका रहता है जब तक पत्ते और टहनियाँ साफ नहीं हो जातीं। , D) खिलाड़ी III को एक और मौका दिया जाता है।")</f>
        <v>A) गिल्ली को खेल के मैदान से बाहर माना जाता है। , B) गिल्ली को खेल में माना जाता है। , C) खेल तब तक रुका रहता है जब तक पत्ते और टहनियाँ साफ नहीं हो जातीं। , D) खिलाड़ी III को एक और मौका दिया जाता है।</v>
      </c>
      <c r="I143" s="5" t="str">
        <f>IFERROR(__xludf.DUMMYFUNCTION("GOOGLETRANSLATE(D143, ""en"", ""hi"")"),"अ) गिल्ली को सीमा से बाहर माना जाता है।")</f>
        <v>अ) गिल्ली को सीमा से बाहर माना जाता है।</v>
      </c>
    </row>
    <row r="144" ht="22.5" customHeight="1">
      <c r="A144" s="2">
        <v>143.0</v>
      </c>
      <c r="B144" s="3" t="s">
        <v>11559</v>
      </c>
      <c r="C144" s="3" t="s">
        <v>11560</v>
      </c>
      <c r="D144" s="3" t="s">
        <v>11314</v>
      </c>
      <c r="F144" s="5" t="str">
        <f>IFERROR(__xludf.DUMMYFUNCTION("GOOGLETRANSLATE(A144, ""en"", ""hi"")"),"143")</f>
        <v>143</v>
      </c>
      <c r="G144" s="5" t="str">
        <f>IFERROR(__xludf.DUMMYFUNCTION("GOOGLETRANSLATE(B144, ""en"", ""hi"")"),"खिलाड़ी JJJ गिल्ली मारता है और वह ऐसी जगह गिरती है जहाँ घास का एक छोटा सा ढेर उसे रोक लेता है। इस हिट का नियम क्या होना चाहिए?")</f>
        <v>खिलाड़ी JJJ गिल्ली मारता है और वह ऐसी जगह गिरती है जहाँ घास का एक छोटा सा ढेर उसे रोक लेता है। इस हिट का नियम क्या होना चाहिए?</v>
      </c>
      <c r="H144" s="5" t="str">
        <f>IFERROR(__xludf.DUMMYFUNCTION("GOOGLETRANSLATE(C144, ""en"", ""hi"")"),"A) गिल्ली को सीमा से बाहर माना जाता है। , B) गिल्ली को खेल में माना जाता है। , C) घास साफ होने तक खेल को रोक दिया जाता है। , D) खिलाड़ी JJJ को एक और मौका दिया जाता है।")</f>
        <v>A) गिल्ली को सीमा से बाहर माना जाता है। , B) गिल्ली को खेल में माना जाता है। , C) घास साफ होने तक खेल को रोक दिया जाता है। , D) खिलाड़ी JJJ को एक और मौका दिया जाता है।</v>
      </c>
      <c r="I144" s="5" t="str">
        <f>IFERROR(__xludf.DUMMYFUNCTION("GOOGLETRANSLATE(D144, ""en"", ""hi"")"),"अ) गिल्ली को सीमा से बाहर माना जाता है।")</f>
        <v>अ) गिल्ली को सीमा से बाहर माना जाता है।</v>
      </c>
    </row>
    <row r="145" ht="22.5" customHeight="1">
      <c r="A145" s="2">
        <v>144.0</v>
      </c>
      <c r="B145" s="3" t="s">
        <v>11561</v>
      </c>
      <c r="C145" s="3" t="s">
        <v>11562</v>
      </c>
      <c r="D145" s="3" t="s">
        <v>11314</v>
      </c>
      <c r="F145" s="5" t="str">
        <f>IFERROR(__xludf.DUMMYFUNCTION("GOOGLETRANSLATE(A145, ""en"", ""hi"")"),"144")</f>
        <v>144</v>
      </c>
      <c r="G145" s="5" t="str">
        <f>IFERROR(__xludf.DUMMYFUNCTION("GOOGLETRANSLATE(B145, ""en"", ""hi"")"),"गिल्ली डंडा मैच के दौरान, खिलाड़ी केकेके गिल्ली मारता है और वह मिट्टी की एक पतली परत से ढकी सतह पर गिरती है। इस प्रहार का मूल्यांकन कैसे किया जाना चाहिए?")</f>
        <v>गिल्ली डंडा मैच के दौरान, खिलाड़ी केकेके गिल्ली मारता है और वह मिट्टी की एक पतली परत से ढकी सतह पर गिरती है। इस प्रहार का मूल्यांकन कैसे किया जाना चाहिए?</v>
      </c>
      <c r="H145" s="5" t="str">
        <f>IFERROR(__xludf.DUMMYFUNCTION("GOOGLETRANSLATE(C145, ""en"", ""hi"")"),"A) गिल्ली को सीमा से बाहर माना जाता है। , B) गिल्ली को खेल में माना जाता है। , C) कीचड़ साफ होने तक खेल रोक दिया जाता है। , D) खिलाड़ी केकेके को एक और मौका दिया जाता है।")</f>
        <v>A) गिल्ली को सीमा से बाहर माना जाता है। , B) गिल्ली को खेल में माना जाता है। , C) कीचड़ साफ होने तक खेल रोक दिया जाता है। , D) खिलाड़ी केकेके को एक और मौका दिया जाता है।</v>
      </c>
      <c r="I145" s="5" t="str">
        <f>IFERROR(__xludf.DUMMYFUNCTION("GOOGLETRANSLATE(D145, ""en"", ""hi"")"),"अ) गिल्ली को सीमा से बाहर माना जाता है।")</f>
        <v>अ) गिल्ली को सीमा से बाहर माना जाता है।</v>
      </c>
    </row>
    <row r="146" ht="22.5" customHeight="1">
      <c r="A146" s="2">
        <v>145.0</v>
      </c>
      <c r="B146" s="3" t="s">
        <v>11563</v>
      </c>
      <c r="C146" s="3" t="s">
        <v>11564</v>
      </c>
      <c r="D146" s="3" t="s">
        <v>11266</v>
      </c>
      <c r="F146" s="5" t="str">
        <f>IFERROR(__xludf.DUMMYFUNCTION("GOOGLETRANSLATE(A146, ""en"", ""hi"")"),"145")</f>
        <v>145</v>
      </c>
      <c r="G146" s="5" t="str">
        <f>IFERROR(__xludf.DUMMYFUNCTION("GOOGLETRANSLATE(B146, ""en"", ""hi"")"),"खिलाड़ी LLL गिल्ली मारता है और वह एक बड़े पत्थर से अवरुद्ध सतह पर गिरती है। इस स्थिति में क्या नियम है?")</f>
        <v>खिलाड़ी LLL गिल्ली मारता है और वह एक बड़े पत्थर से अवरुद्ध सतह पर गिरती है। इस स्थिति में क्या नियम है?</v>
      </c>
      <c r="H146" s="5" t="str">
        <f>IFERROR(__xludf.DUMMYFUNCTION("GOOGLETRANSLATE(C146, ""en"", ""hi"")"),"A) गिल्ली को खेल में माना जाता है। , B) गिल्ली को सीमा से बाहर माना जाता है। , C) पत्थर के हिलने तक खेल को रोक दिया जाता है। , D) खिलाड़ी LLL को एक और मौका दिया जाता है।")</f>
        <v>A) गिल्ली को खेल में माना जाता है। , B) गिल्ली को सीमा से बाहर माना जाता है। , C) पत्थर के हिलने तक खेल को रोक दिया जाता है। , D) खिलाड़ी LLL को एक और मौका दिया जाता है।</v>
      </c>
      <c r="I146" s="5" t="str">
        <f>IFERROR(__xludf.DUMMYFUNCTION("GOOGLETRANSLATE(D146, ""en"", ""hi"")"),"बी) गिल्ली को सीमा से बाहर माना जाता है।")</f>
        <v>बी) गिल्ली को सीमा से बाहर माना जाता है।</v>
      </c>
    </row>
    <row r="147" ht="22.5" customHeight="1">
      <c r="A147" s="2">
        <v>146.0</v>
      </c>
      <c r="B147" s="3" t="s">
        <v>11565</v>
      </c>
      <c r="C147" s="3" t="s">
        <v>11566</v>
      </c>
      <c r="D147" s="3" t="s">
        <v>11266</v>
      </c>
      <c r="F147" s="5" t="str">
        <f>IFERROR(__xludf.DUMMYFUNCTION("GOOGLETRANSLATE(A147, ""en"", ""hi"")"),"146")</f>
        <v>146</v>
      </c>
      <c r="G147" s="5" t="str">
        <f>IFERROR(__xludf.DUMMYFUNCTION("GOOGLETRANSLATE(B147, ""en"", ""hi"")"),"गिल्ली डंडा खेल में, खिलाड़ी MMM गिल्ली पर वार करता है और वह पत्तों की चादर से ढकी सतह पर गिरती है। इस वार का नियम क्या है?")</f>
        <v>गिल्ली डंडा खेल में, खिलाड़ी MMM गिल्ली पर वार करता है और वह पत्तों की चादर से ढकी सतह पर गिरती है। इस वार का नियम क्या है?</v>
      </c>
      <c r="H147" s="5" t="str">
        <f>IFERROR(__xludf.DUMMYFUNCTION("GOOGLETRANSLATE(C147, ""en"", ""hi"")"),"A) गिल्ली को खेल में माना जाता है। , B) गिल्ली को सीमा से बाहर माना जाता है। , C) पत्तों को हटाए जाने तक खेल को रोक दिया जाता है। , D) खिलाड़ी MMM को एक और मौका दिया जाता है।")</f>
        <v>A) गिल्ली को खेल में माना जाता है। , B) गिल्ली को सीमा से बाहर माना जाता है। , C) पत्तों को हटाए जाने तक खेल को रोक दिया जाता है। , D) खिलाड़ी MMM को एक और मौका दिया जाता है।</v>
      </c>
      <c r="I147" s="5" t="str">
        <f>IFERROR(__xludf.DUMMYFUNCTION("GOOGLETRANSLATE(D147, ""en"", ""hi"")"),"बी) गिल्ली को सीमा से बाहर माना जाता है।")</f>
        <v>बी) गिल्ली को सीमा से बाहर माना जाता है।</v>
      </c>
    </row>
    <row r="148" ht="22.5" customHeight="1">
      <c r="A148" s="2">
        <v>147.0</v>
      </c>
      <c r="B148" s="3" t="s">
        <v>11567</v>
      </c>
      <c r="C148" s="3" t="s">
        <v>11568</v>
      </c>
      <c r="D148" s="3" t="s">
        <v>11278</v>
      </c>
      <c r="F148" s="5" t="str">
        <f>IFERROR(__xludf.DUMMYFUNCTION("GOOGLETRANSLATE(A148, ""en"", ""hi"")"),"147")</f>
        <v>147</v>
      </c>
      <c r="G148" s="5" t="str">
        <f>IFERROR(__xludf.DUMMYFUNCTION("GOOGLETRANSLATE(B148, ""en"", ""hi"")"),"खिलाड़ी NNN गिल्ली को मारता है और वह एक ऐसी सतह पर गिरती है जहाँ एक छोटा पत्थर उसे आंशिक रूप से अवरुद्ध करता है। इस हिट का मूल्यांकन कैसे किया जाना चाहिए?")</f>
        <v>खिलाड़ी NNN गिल्ली को मारता है और वह एक ऐसी सतह पर गिरती है जहाँ एक छोटा पत्थर उसे आंशिक रूप से अवरुद्ध करता है। इस हिट का मूल्यांकन कैसे किया जाना चाहिए?</v>
      </c>
      <c r="H148" s="5" t="str">
        <f>IFERROR(__xludf.DUMMYFUNCTION("GOOGLETRANSLATE(C148, ""en"", ""hi"")"),"A) गिल्ली को खेल में माना जाता है। , B) गिल्ली को सीमा से बाहर माना जाता है। , C) पत्थर हटाए जाने तक खेल को रोक दिया जाता है। , D) खिलाड़ी NNN को एक और मौका दिया जाता है।")</f>
        <v>A) गिल्ली को खेल में माना जाता है। , B) गिल्ली को सीमा से बाहर माना जाता है। , C) पत्थर हटाए जाने तक खेल को रोक दिया जाता है। , D) खिलाड़ी NNN को एक और मौका दिया जाता है।</v>
      </c>
      <c r="I148" s="5" t="str">
        <f>IFERROR(__xludf.DUMMYFUNCTION("GOOGLETRANSLATE(D148, ""en"", ""hi"")"),"अ) गिल्ली को खेल में शामिल माना जाता है।")</f>
        <v>अ) गिल्ली को खेल में शामिल माना जाता है।</v>
      </c>
    </row>
    <row r="149" ht="22.5" customHeight="1">
      <c r="A149" s="2">
        <v>148.0</v>
      </c>
      <c r="B149" s="3" t="s">
        <v>11569</v>
      </c>
      <c r="C149" s="3" t="s">
        <v>11570</v>
      </c>
      <c r="D149" s="3" t="s">
        <v>11314</v>
      </c>
      <c r="F149" s="5" t="str">
        <f>IFERROR(__xludf.DUMMYFUNCTION("GOOGLETRANSLATE(A149, ""en"", ""hi"")"),"148")</f>
        <v>148</v>
      </c>
      <c r="G149" s="5" t="str">
        <f>IFERROR(__xludf.DUMMYFUNCTION("GOOGLETRANSLATE(B149, ""en"", ""hi"")"),"गिल्ली डंडा मैच के दौरान, खिलाड़ी OOO गिल्ली पर वार करता है और वह एक ऐसे क्षेत्र में गिरती है जहाँ उस पर बर्फ की एक पतली परत जम जाती है। इस स्थिति में क्या नियम है?")</f>
        <v>गिल्ली डंडा मैच के दौरान, खिलाड़ी OOO गिल्ली पर वार करता है और वह एक ऐसे क्षेत्र में गिरती है जहाँ उस पर बर्फ की एक पतली परत जम जाती है। इस स्थिति में क्या नियम है?</v>
      </c>
      <c r="H149" s="5" t="str">
        <f>IFERROR(__xludf.DUMMYFUNCTION("GOOGLETRANSLATE(C149, ""en"", ""hi"")"),"A) गिल्ली को खेल से बाहर माना जाता है। , B) गिल्ली को खेल में माना जाता है। , C) बर्फ पिघलने तक खेल को रोक दिया जाता है। , D) खिलाड़ी OOO को एक और मौका दिया जाता है।")</f>
        <v>A) गिल्ली को खेल से बाहर माना जाता है। , B) गिल्ली को खेल में माना जाता है। , C) बर्फ पिघलने तक खेल को रोक दिया जाता है। , D) खिलाड़ी OOO को एक और मौका दिया जाता है।</v>
      </c>
      <c r="I149" s="5" t="str">
        <f>IFERROR(__xludf.DUMMYFUNCTION("GOOGLETRANSLATE(D149, ""en"", ""hi"")"),"अ) गिल्ली को सीमा से बाहर माना जाता है।")</f>
        <v>अ) गिल्ली को सीमा से बाहर माना जाता है।</v>
      </c>
    </row>
    <row r="150" ht="22.5" customHeight="1">
      <c r="A150" s="2">
        <v>149.0</v>
      </c>
      <c r="B150" s="3" t="s">
        <v>11571</v>
      </c>
      <c r="C150" s="3" t="s">
        <v>11572</v>
      </c>
      <c r="D150" s="3" t="s">
        <v>11314</v>
      </c>
      <c r="F150" s="5" t="str">
        <f>IFERROR(__xludf.DUMMYFUNCTION("GOOGLETRANSLATE(A150, ""en"", ""hi"")"),"149")</f>
        <v>149</v>
      </c>
      <c r="G150" s="5" t="str">
        <f>IFERROR(__xludf.DUMMYFUNCTION("GOOGLETRANSLATE(B150, ""en"", ""hi"")"),"खिलाड़ी PPP गिल्ली को मारता है और वह रेत के एक छोटे से ढेर से ढकी सतह पर गिरती है। इस हिट का नियम क्या होना चाहिए?")</f>
        <v>खिलाड़ी PPP गिल्ली को मारता है और वह रेत के एक छोटे से ढेर से ढकी सतह पर गिरती है। इस हिट का नियम क्या होना चाहिए?</v>
      </c>
      <c r="H150" s="5" t="str">
        <f>IFERROR(__xludf.DUMMYFUNCTION("GOOGLETRANSLATE(C150, ""en"", ""hi"")"),"A) गिल्ली को सीमा से बाहर माना जाता है। , B) गिल्ली को खेल में माना जाता है। , C) रेत साफ होने तक खेल को रोक दिया जाता है। , D) खिलाड़ी पीपीपी को एक और मौका दिया जाता है।")</f>
        <v>A) गिल्ली को सीमा से बाहर माना जाता है। , B) गिल्ली को खेल में माना जाता है। , C) रेत साफ होने तक खेल को रोक दिया जाता है। , D) खिलाड़ी पीपीपी को एक और मौका दिया जाता है।</v>
      </c>
      <c r="I150" s="5" t="str">
        <f>IFERROR(__xludf.DUMMYFUNCTION("GOOGLETRANSLATE(D150, ""en"", ""hi"")"),"अ) गिल्ली को सीमा से बाहर माना जाता है।")</f>
        <v>अ) गिल्ली को सीमा से बाहर माना जाता है।</v>
      </c>
    </row>
    <row r="151" ht="22.5" customHeight="1">
      <c r="A151" s="2">
        <v>150.0</v>
      </c>
      <c r="B151" s="3" t="s">
        <v>11573</v>
      </c>
      <c r="C151" s="3" t="s">
        <v>11574</v>
      </c>
      <c r="D151" s="3" t="s">
        <v>11266</v>
      </c>
      <c r="F151" s="5" t="str">
        <f>IFERROR(__xludf.DUMMYFUNCTION("GOOGLETRANSLATE(A151, ""en"", ""hi"")"),"150")</f>
        <v>150</v>
      </c>
      <c r="G151" s="5" t="str">
        <f>IFERROR(__xludf.DUMMYFUNCTION("GOOGLETRANSLATE(B151, ""en"", ""hi"")"),"गिल्ली डंडा खेल में, खिलाड़ी QQQ गिल्ली पर वार करता है और वह एक ऐसी सतह पर गिरती है जहाँ उसे तुरंत एक अखबार से ढक दिया जाता है। इस वार की व्याख्या कैसे की जानी चाहिए?")</f>
        <v>गिल्ली डंडा खेल में, खिलाड़ी QQQ गिल्ली पर वार करता है और वह एक ऐसी सतह पर गिरती है जहाँ उसे तुरंत एक अखबार से ढक दिया जाता है। इस वार की व्याख्या कैसे की जानी चाहिए?</v>
      </c>
      <c r="H151" s="5" t="str">
        <f>IFERROR(__xludf.DUMMYFUNCTION("GOOGLETRANSLATE(C151, ""en"", ""hi"")"),"A) गिल्ली को खेल में माना जाता है। , B) गिल्ली को सीमा से बाहर माना जाता है। , C) अखबार हटाए जाने तक खेल को रोक दिया जाता है। , D) खिलाड़ी QQQ को एक और मौका दिया जाता है।")</f>
        <v>A) गिल्ली को खेल में माना जाता है। , B) गिल्ली को सीमा से बाहर माना जाता है। , C) अखबार हटाए जाने तक खेल को रोक दिया जाता है। , D) खिलाड़ी QQQ को एक और मौका दिया जाता है।</v>
      </c>
      <c r="I151" s="5" t="str">
        <f>IFERROR(__xludf.DUMMYFUNCTION("GOOGLETRANSLATE(D151, ""en"", ""hi"")"),"बी) गिल्ली को सीमा से बाहर माना जाता है।")</f>
        <v>बी) गिल्ली को सीमा से बाहर माना जाता है।</v>
      </c>
    </row>
    <row r="152" ht="22.5" customHeight="1">
      <c r="A152" s="2">
        <v>151.0</v>
      </c>
      <c r="B152" s="3" t="s">
        <v>11575</v>
      </c>
      <c r="C152" s="3" t="s">
        <v>11576</v>
      </c>
      <c r="D152" s="3" t="s">
        <v>11314</v>
      </c>
      <c r="F152" s="5" t="str">
        <f>IFERROR(__xludf.DUMMYFUNCTION("GOOGLETRANSLATE(A152, ""en"", ""hi"")"),"151")</f>
        <v>151</v>
      </c>
      <c r="G152" s="5" t="str">
        <f>IFERROR(__xludf.DUMMYFUNCTION("GOOGLETRANSLATE(B152, ""en"", ""hi"")"),"खिलाड़ी RRR गिल्ली मारता है और वह छोटी शाखाओं के ढेर से घिरी सतह पर गिरती है। इस स्थिति में क्या नियम है?")</f>
        <v>खिलाड़ी RRR गिल्ली मारता है और वह छोटी शाखाओं के ढेर से घिरी सतह पर गिरती है। इस स्थिति में क्या नियम है?</v>
      </c>
      <c r="H152" s="5" t="str">
        <f>IFERROR(__xludf.DUMMYFUNCTION("GOOGLETRANSLATE(C152, ""en"", ""hi"")"),"A) गिल्ली को सीमा से बाहर माना जाता है। , B) गिल्ली को खेल में माना जाता है। , C) शाखाओं को हटाए जाने तक खेल को रोक दिया जाता है। , D) खिलाड़ी RRR को एक और मौका दिया जाता है।")</f>
        <v>A) गिल्ली को सीमा से बाहर माना जाता है। , B) गिल्ली को खेल में माना जाता है। , C) शाखाओं को हटाए जाने तक खेल को रोक दिया जाता है। , D) खिलाड़ी RRR को एक और मौका दिया जाता है।</v>
      </c>
      <c r="I152" s="5" t="str">
        <f>IFERROR(__xludf.DUMMYFUNCTION("GOOGLETRANSLATE(D152, ""en"", ""hi"")"),"अ) गिल्ली को सीमा से बाहर माना जाता है।")</f>
        <v>अ) गिल्ली को सीमा से बाहर माना जाता है।</v>
      </c>
    </row>
    <row r="153" ht="22.5" customHeight="1">
      <c r="A153" s="2">
        <v>152.0</v>
      </c>
      <c r="B153" s="3" t="s">
        <v>11577</v>
      </c>
      <c r="C153" s="3" t="s">
        <v>11578</v>
      </c>
      <c r="D153" s="3" t="s">
        <v>11278</v>
      </c>
      <c r="F153" s="5" t="str">
        <f>IFERROR(__xludf.DUMMYFUNCTION("GOOGLETRANSLATE(A153, ""en"", ""hi"")"),"152")</f>
        <v>152</v>
      </c>
      <c r="G153" s="5" t="str">
        <f>IFERROR(__xludf.DUMMYFUNCTION("GOOGLETRANSLATE(B153, ""en"", ""hi"")"),"गिल्ली डंडा मैच के दौरान, खिलाड़ी SSS गिल्ली पर वार करता है और वह कुछ बिखरे हुए कंकड़ों वाली सतह पर गिरती है। इस वार का मूल्यांकन कैसे किया जाना चाहिए?")</f>
        <v>गिल्ली डंडा मैच के दौरान, खिलाड़ी SSS गिल्ली पर वार करता है और वह कुछ बिखरे हुए कंकड़ों वाली सतह पर गिरती है। इस वार का मूल्यांकन कैसे किया जाना चाहिए?</v>
      </c>
      <c r="H153" s="5" t="str">
        <f>IFERROR(__xludf.DUMMYFUNCTION("GOOGLETRANSLATE(C153, ""en"", ""hi"")"),"A) गिल्ली को खेल में माना जाता है। , B) गिल्ली को सीमा से बाहर माना जाता है। , C) जब तक कंकड़ साफ नहीं हो जाते तब तक खेल रोक दिया जाता है। , D) खिलाड़ी SSS को एक और मौका दिया जाता है।")</f>
        <v>A) गिल्ली को खेल में माना जाता है। , B) गिल्ली को सीमा से बाहर माना जाता है। , C) जब तक कंकड़ साफ नहीं हो जाते तब तक खेल रोक दिया जाता है। , D) खिलाड़ी SSS को एक और मौका दिया जाता है।</v>
      </c>
      <c r="I153" s="5" t="str">
        <f>IFERROR(__xludf.DUMMYFUNCTION("GOOGLETRANSLATE(D153, ""en"", ""hi"")"),"अ) गिल्ली को खेल में शामिल माना जाता है।")</f>
        <v>अ) गिल्ली को खेल में शामिल माना जाता है।</v>
      </c>
    </row>
    <row r="154" ht="22.5" customHeight="1">
      <c r="A154" s="2">
        <v>153.0</v>
      </c>
      <c r="B154" s="3" t="s">
        <v>11579</v>
      </c>
      <c r="C154" s="3" t="s">
        <v>11580</v>
      </c>
      <c r="D154" s="3" t="s">
        <v>11314</v>
      </c>
      <c r="F154" s="5" t="str">
        <f>IFERROR(__xludf.DUMMYFUNCTION("GOOGLETRANSLATE(A154, ""en"", ""hi"")"),"153")</f>
        <v>153</v>
      </c>
      <c r="G154" s="5" t="str">
        <f>IFERROR(__xludf.DUMMYFUNCTION("GOOGLETRANSLATE(B154, ""en"", ""hi"")"),"खिलाड़ी TTT गिल्ली पर वार करता है और वह उस जगह गिरती है जहाँ उस पर काई की एक पतली परत होती है। इस वार का नियम क्या है?")</f>
        <v>खिलाड़ी TTT गिल्ली पर वार करता है और वह उस जगह गिरती है जहाँ उस पर काई की एक पतली परत होती है। इस वार का नियम क्या है?</v>
      </c>
      <c r="H154" s="5" t="str">
        <f>IFERROR(__xludf.DUMMYFUNCTION("GOOGLETRANSLATE(C154, ""en"", ""hi"")"),"A) गिल्ली को सीमा से बाहर माना जाता है। , B) गिल्ली को खेल में माना जाता है। , C) काई साफ होने तक खेल को रोक दिया जाता है। , D) खिलाड़ी TTT को एक और मौका दिया जाता है।")</f>
        <v>A) गिल्ली को सीमा से बाहर माना जाता है। , B) गिल्ली को खेल में माना जाता है। , C) काई साफ होने तक खेल को रोक दिया जाता है। , D) खिलाड़ी TTT को एक और मौका दिया जाता है।</v>
      </c>
      <c r="I154" s="5" t="str">
        <f>IFERROR(__xludf.DUMMYFUNCTION("GOOGLETRANSLATE(D154, ""en"", ""hi"")"),"अ) गिल्ली को सीमा से बाहर माना जाता है।")</f>
        <v>अ) गिल्ली को सीमा से बाहर माना जाता है।</v>
      </c>
    </row>
    <row r="155" ht="22.5" customHeight="1">
      <c r="A155" s="2">
        <v>154.0</v>
      </c>
      <c r="B155" s="3" t="s">
        <v>11581</v>
      </c>
      <c r="C155" s="3" t="s">
        <v>11582</v>
      </c>
      <c r="D155" s="3" t="s">
        <v>11266</v>
      </c>
      <c r="F155" s="5" t="str">
        <f>IFERROR(__xludf.DUMMYFUNCTION("GOOGLETRANSLATE(A155, ""en"", ""hi"")"),"154")</f>
        <v>154</v>
      </c>
      <c r="G155" s="5" t="str">
        <f>IFERROR(__xludf.DUMMYFUNCTION("GOOGLETRANSLATE(B155, ""en"", ""hi"")"),"गिल्ली डंडा खेल में, खिलाड़ी UUU गिल्ली पर वार करता है और वह एक ऐसी सतह पर गिरती है जहाँ ढेर सारे गत्ते पड़े हैं। इस वार का नियम क्या होना चाहिए?")</f>
        <v>गिल्ली डंडा खेल में, खिलाड़ी UUU गिल्ली पर वार करता है और वह एक ऐसी सतह पर गिरती है जहाँ ढेर सारे गत्ते पड़े हैं। इस वार का नियम क्या होना चाहिए?</v>
      </c>
      <c r="H155" s="5" t="str">
        <f>IFERROR(__xludf.DUMMYFUNCTION("GOOGLETRANSLATE(C155, ""en"", ""hi"")"),"A) गिल्ली को खेल में माना जाता है। , B) गिल्ली को सीमा से बाहर माना जाता है। , C) कार्डबोर्ड साफ़ होने तक खेल को रोक दिया जाता है। , D) खिलाड़ी UUU को एक और मौका दिया जाता है।")</f>
        <v>A) गिल्ली को खेल में माना जाता है। , B) गिल्ली को सीमा से बाहर माना जाता है। , C) कार्डबोर्ड साफ़ होने तक खेल को रोक दिया जाता है। , D) खिलाड़ी UUU को एक और मौका दिया जाता है।</v>
      </c>
      <c r="I155" s="5" t="str">
        <f>IFERROR(__xludf.DUMMYFUNCTION("GOOGLETRANSLATE(D155, ""en"", ""hi"")"),"बी) गिल्ली को सीमा से बाहर माना जाता है।")</f>
        <v>बी) गिल्ली को सीमा से बाहर माना जाता है।</v>
      </c>
    </row>
    <row r="156" ht="22.5" customHeight="1">
      <c r="A156" s="2">
        <v>155.0</v>
      </c>
      <c r="B156" s="3" t="s">
        <v>11583</v>
      </c>
      <c r="C156" s="3" t="s">
        <v>11584</v>
      </c>
      <c r="D156" s="3" t="s">
        <v>11314</v>
      </c>
      <c r="F156" s="5" t="str">
        <f>IFERROR(__xludf.DUMMYFUNCTION("GOOGLETRANSLATE(A156, ""en"", ""hi"")"),"155")</f>
        <v>155</v>
      </c>
      <c r="G156" s="5" t="str">
        <f>IFERROR(__xludf.DUMMYFUNCTION("GOOGLETRANSLATE(B156, ""en"", ""hi"")"),"खिलाड़ी VVV गिल्ली को मारता है और वह एक ऐसी सतह पर गिरती है जहाँ उसे एक छोटे से तिरपाल से ढका जाता है। इस स्थिति में क्या नियम है?")</f>
        <v>खिलाड़ी VVV गिल्ली को मारता है और वह एक ऐसी सतह पर गिरती है जहाँ उसे एक छोटे से तिरपाल से ढका जाता है। इस स्थिति में क्या नियम है?</v>
      </c>
      <c r="H156" s="5" t="str">
        <f>IFERROR(__xludf.DUMMYFUNCTION("GOOGLETRANSLATE(C156, ""en"", ""hi"")"),"A) गिल्ली को खेल से बाहर माना जाता है। , B) गिल्ली को खेल में माना जाता है। , C) खेल को तब तक रोक दिया जाता है जब तक कि टारप को हटा नहीं दिया जाता है। , D) खिलाड़ी VVV को एक और मौका दिया जाता है।")</f>
        <v>A) गिल्ली को खेल से बाहर माना जाता है। , B) गिल्ली को खेल में माना जाता है। , C) खेल को तब तक रोक दिया जाता है जब तक कि टारप को हटा नहीं दिया जाता है। , D) खिलाड़ी VVV को एक और मौका दिया जाता है।</v>
      </c>
      <c r="I156" s="5" t="str">
        <f>IFERROR(__xludf.DUMMYFUNCTION("GOOGLETRANSLATE(D156, ""en"", ""hi"")"),"अ) गिल्ली को सीमा से बाहर माना जाता है।")</f>
        <v>अ) गिल्ली को सीमा से बाहर माना जाता है।</v>
      </c>
    </row>
    <row r="157" ht="22.5" customHeight="1">
      <c r="A157" s="2">
        <v>156.0</v>
      </c>
      <c r="B157" s="3" t="s">
        <v>11585</v>
      </c>
      <c r="C157" s="3" t="s">
        <v>11586</v>
      </c>
      <c r="D157" s="3" t="s">
        <v>11266</v>
      </c>
      <c r="F157" s="5" t="str">
        <f>IFERROR(__xludf.DUMMYFUNCTION("GOOGLETRANSLATE(A157, ""en"", ""hi"")"),"156")</f>
        <v>156</v>
      </c>
      <c r="G157" s="5" t="str">
        <f>IFERROR(__xludf.DUMMYFUNCTION("GOOGLETRANSLATE(B157, ""en"", ""hi"")"),"गिल्ली डंडा मैच के दौरान, खिलाड़ी WWW गिल्ली पर वार करता है और वह बड़े पत्थरों के ढेर से घिरी सतह पर गिरती है। इस वार का मूल्यांकन कैसे किया जाना चाहिए?")</f>
        <v>गिल्ली डंडा मैच के दौरान, खिलाड़ी WWW गिल्ली पर वार करता है और वह बड़े पत्थरों के ढेर से घिरी सतह पर गिरती है। इस वार का मूल्यांकन कैसे किया जाना चाहिए?</v>
      </c>
      <c r="H157" s="5" t="str">
        <f>IFERROR(__xludf.DUMMYFUNCTION("GOOGLETRANSLATE(C157, ""en"", ""hi"")"),"A) गिल्ली को खेल में माना जाता है। , B) गिल्ली को सीमा से बाहर माना जाता है। , C) चट्टानें साफ होने तक खेल को रोक दिया जाता है। , D) खिलाड़ी WWW को एक और मौका दिया जाता है।")</f>
        <v>A) गिल्ली को खेल में माना जाता है। , B) गिल्ली को सीमा से बाहर माना जाता है। , C) चट्टानें साफ होने तक खेल को रोक दिया जाता है। , D) खिलाड़ी WWW को एक और मौका दिया जाता है।</v>
      </c>
      <c r="I157" s="5" t="str">
        <f>IFERROR(__xludf.DUMMYFUNCTION("GOOGLETRANSLATE(D157, ""en"", ""hi"")"),"बी) गिल्ली को सीमा से बाहर माना जाता है।")</f>
        <v>बी) गिल्ली को सीमा से बाहर माना जाता है।</v>
      </c>
    </row>
    <row r="158" ht="22.5" customHeight="1">
      <c r="A158" s="2">
        <v>157.0</v>
      </c>
      <c r="B158" s="3" t="s">
        <v>11587</v>
      </c>
      <c r="C158" s="3" t="s">
        <v>11588</v>
      </c>
      <c r="D158" s="3" t="s">
        <v>11314</v>
      </c>
      <c r="F158" s="5" t="str">
        <f>IFERROR(__xludf.DUMMYFUNCTION("GOOGLETRANSLATE(A158, ""en"", ""hi"")"),"157")</f>
        <v>157</v>
      </c>
      <c r="G158" s="5" t="str">
        <f>IFERROR(__xludf.DUMMYFUNCTION("GOOGLETRANSLATE(B158, ""en"", ""hi"")"),"खिलाड़ी XXX गिल्ली को मारता है और वह गिरे हुए पत्तों की परत से ढकी सतह पर गिरती है। उचित नियम क्या है?")</f>
        <v>खिलाड़ी XXX गिल्ली को मारता है और वह गिरे हुए पत्तों की परत से ढकी सतह पर गिरती है। उचित नियम क्या है?</v>
      </c>
      <c r="H158" s="5" t="str">
        <f>IFERROR(__xludf.DUMMYFUNCTION("GOOGLETRANSLATE(C158, ""en"", ""hi"")"),"A) गिल्ली को खेल के मैदान से बाहर माना जाता है। , B) गिल्ली को खेल में माना जाता है। , C) पत्तों को हटाए जाने तक खेल को रोक दिया जाता है। , D) खिलाड़ी XXX को एक और मौका दिया जाता है।")</f>
        <v>A) गिल्ली को खेल के मैदान से बाहर माना जाता है। , B) गिल्ली को खेल में माना जाता है। , C) पत्तों को हटाए जाने तक खेल को रोक दिया जाता है। , D) खिलाड़ी XXX को एक और मौका दिया जाता है।</v>
      </c>
      <c r="I158" s="5" t="str">
        <f>IFERROR(__xludf.DUMMYFUNCTION("GOOGLETRANSLATE(D158, ""en"", ""hi"")"),"अ) गिल्ली को सीमा से बाहर माना जाता है।")</f>
        <v>अ) गिल्ली को सीमा से बाहर माना जाता है।</v>
      </c>
    </row>
    <row r="159" ht="22.5" customHeight="1">
      <c r="A159" s="2">
        <v>158.0</v>
      </c>
      <c r="B159" s="3" t="s">
        <v>11589</v>
      </c>
      <c r="C159" s="3" t="s">
        <v>11590</v>
      </c>
      <c r="D159" s="3" t="s">
        <v>11266</v>
      </c>
      <c r="F159" s="5" t="str">
        <f>IFERROR(__xludf.DUMMYFUNCTION("GOOGLETRANSLATE(A159, ""en"", ""hi"")"),"158")</f>
        <v>158</v>
      </c>
      <c r="G159" s="5" t="str">
        <f>IFERROR(__xludf.DUMMYFUNCTION("GOOGLETRANSLATE(B159, ""en"", ""hi"")"),"गिल्ली डंडा खेल में, खिलाड़ी YYY गिल्ली पर वार करता है और वह गीली मिट्टी की एक पतली परत से ढकी हुई जगह पर गिरती है। इस वार की व्याख्या कैसे की जानी चाहिए?")</f>
        <v>गिल्ली डंडा खेल में, खिलाड़ी YYY गिल्ली पर वार करता है और वह गीली मिट्टी की एक पतली परत से ढकी हुई जगह पर गिरती है। इस वार की व्याख्या कैसे की जानी चाहिए?</v>
      </c>
      <c r="H159" s="5" t="str">
        <f>IFERROR(__xludf.DUMMYFUNCTION("GOOGLETRANSLATE(C159, ""en"", ""hi"")"),"A) गिल्ली को खेल में माना जाता है। , B) गिल्ली को सीमा से बाहर माना जाता है। , C) कीचड़ साफ होने तक खेल रोक दिया जाता है। , D) खिलाड़ी YYY को एक और मौका दिया जाता है।")</f>
        <v>A) गिल्ली को खेल में माना जाता है। , B) गिल्ली को सीमा से बाहर माना जाता है। , C) कीचड़ साफ होने तक खेल रोक दिया जाता है। , D) खिलाड़ी YYY को एक और मौका दिया जाता है।</v>
      </c>
      <c r="I159" s="5" t="str">
        <f>IFERROR(__xludf.DUMMYFUNCTION("GOOGLETRANSLATE(D159, ""en"", ""hi"")"),"बी) गिल्ली को सीमा से बाहर माना जाता है।")</f>
        <v>बी) गिल्ली को सीमा से बाहर माना जाता है।</v>
      </c>
    </row>
    <row r="160" ht="22.5" customHeight="1">
      <c r="A160" s="2">
        <v>159.0</v>
      </c>
      <c r="B160" s="3" t="s">
        <v>11591</v>
      </c>
      <c r="C160" s="3" t="s">
        <v>11592</v>
      </c>
      <c r="D160" s="3" t="s">
        <v>11314</v>
      </c>
      <c r="F160" s="5" t="str">
        <f>IFERROR(__xludf.DUMMYFUNCTION("GOOGLETRANSLATE(A160, ""en"", ""hi"")"),"159")</f>
        <v>159</v>
      </c>
      <c r="G160" s="5" t="str">
        <f>IFERROR(__xludf.DUMMYFUNCTION("GOOGLETRANSLATE(B160, ""en"", ""hi"")"),"खिलाड़ी ZZZ गिल्ली को मारता है और वह टूटे हुए काँच के ढेर से ढकी सतह पर गिरती है। इस स्थिति में क्या नियम है?")</f>
        <v>खिलाड़ी ZZZ गिल्ली को मारता है और वह टूटे हुए काँच के ढेर से ढकी सतह पर गिरती है। इस स्थिति में क्या नियम है?</v>
      </c>
      <c r="H160" s="5" t="str">
        <f>IFERROR(__xludf.DUMMYFUNCTION("GOOGLETRANSLATE(C160, ""en"", ""hi"")"),"A) गिल्ली को खेल से बाहर माना जाता है। , B) गिल्ली को खेल में माना जाता है। , C) खेल को तब तक रोक दिया जाता है जब तक कि कांच साफ नहीं हो जाता। , D) खिलाड़ी ZZZ को एक और मौका दिया जाता है।")</f>
        <v>A) गिल्ली को खेल से बाहर माना जाता है। , B) गिल्ली को खेल में माना जाता है। , C) खेल को तब तक रोक दिया जाता है जब तक कि कांच साफ नहीं हो जाता। , D) खिलाड़ी ZZZ को एक और मौका दिया जाता है।</v>
      </c>
      <c r="I160" s="5" t="str">
        <f>IFERROR(__xludf.DUMMYFUNCTION("GOOGLETRANSLATE(D160, ""en"", ""hi"")"),"अ) गिल्ली को सीमा से बाहर माना जाता है।")</f>
        <v>अ) गिल्ली को सीमा से बाहर माना जाता है।</v>
      </c>
    </row>
    <row r="161" ht="22.5" customHeight="1">
      <c r="A161" s="2">
        <v>160.0</v>
      </c>
      <c r="B161" s="3" t="s">
        <v>11593</v>
      </c>
      <c r="C161" s="3" t="s">
        <v>11594</v>
      </c>
      <c r="D161" s="3" t="s">
        <v>11278</v>
      </c>
      <c r="F161" s="5" t="str">
        <f>IFERROR(__xludf.DUMMYFUNCTION("GOOGLETRANSLATE(A161, ""en"", ""hi"")"),"160")</f>
        <v>160</v>
      </c>
      <c r="G161" s="5" t="str">
        <f>IFERROR(__xludf.DUMMYFUNCTION("GOOGLETRANSLATE(B161, ""en"", ""hi"")"),"गिल्ली डंडा मैच के दौरान, खिलाड़ी AAA गिल्ली मारता है और वह तेल के एक छोटे से गड्ढे वाली सतह पर गिरती है। इस हिट का मूल्यांकन कैसे किया जाना चाहिए?")</f>
        <v>गिल्ली डंडा मैच के दौरान, खिलाड़ी AAA गिल्ली मारता है और वह तेल के एक छोटे से गड्ढे वाली सतह पर गिरती है। इस हिट का मूल्यांकन कैसे किया जाना चाहिए?</v>
      </c>
      <c r="H161" s="5" t="str">
        <f>IFERROR(__xludf.DUMMYFUNCTION("GOOGLETRANSLATE(C161, ""en"", ""hi"")"),"A) गिल्ली को खेल में माना जाता है। , B) गिल्ली को सीमा से बाहर माना जाता है। , C) खेल को तब तक रोक दिया जाता है जब तक तेल साफ नहीं हो जाता। , D) खिलाड़ी AAA को एक और मौका दिया जाता है।")</f>
        <v>A) गिल्ली को खेल में माना जाता है। , B) गिल्ली को सीमा से बाहर माना जाता है। , C) खेल को तब तक रोक दिया जाता है जब तक तेल साफ नहीं हो जाता। , D) खिलाड़ी AAA को एक और मौका दिया जाता है।</v>
      </c>
      <c r="I161" s="5" t="str">
        <f>IFERROR(__xludf.DUMMYFUNCTION("GOOGLETRANSLATE(D161, ""en"", ""hi"")"),"अ) गिल्ली को खेल में शामिल माना जाता है।")</f>
        <v>अ) गिल्ली को खेल में शामिल माना जाता है।</v>
      </c>
    </row>
    <row r="162" ht="22.5" customHeight="1">
      <c r="A162" s="2">
        <v>161.0</v>
      </c>
      <c r="B162" s="3" t="s">
        <v>11595</v>
      </c>
      <c r="C162" s="3" t="s">
        <v>11596</v>
      </c>
      <c r="D162" s="3" t="s">
        <v>11314</v>
      </c>
      <c r="F162" s="5" t="str">
        <f>IFERROR(__xludf.DUMMYFUNCTION("GOOGLETRANSLATE(A162, ""en"", ""hi"")"),"161")</f>
        <v>161</v>
      </c>
      <c r="G162" s="5" t="str">
        <f>IFERROR(__xludf.DUMMYFUNCTION("GOOGLETRANSLATE(B162, ""en"", ""hi"")"),"खिलाड़ी BBB गिल्ली मारता है और वह पुराने टायरों के ढेर से घिरे क्षेत्र में गिरती है। इस हिट के लिए उचित नियम क्या है?")</f>
        <v>खिलाड़ी BBB गिल्ली मारता है और वह पुराने टायरों के ढेर से घिरे क्षेत्र में गिरती है। इस हिट के लिए उचित नियम क्या है?</v>
      </c>
      <c r="H162" s="5" t="str">
        <f>IFERROR(__xludf.DUMMYFUNCTION("GOOGLETRANSLATE(C162, ""en"", ""hi"")"),"A) गिल्ली को सीमा से बाहर माना जाता है। , B) गिल्ली को खेल में माना जाता है। , C) खेल को तब तक रोक दिया जाता है जब तक टायर हटा नहीं दिए जाते। , D) खिलाड़ी BBB को एक और मौका दिया जाता है।")</f>
        <v>A) गिल्ली को सीमा से बाहर माना जाता है। , B) गिल्ली को खेल में माना जाता है। , C) खेल को तब तक रोक दिया जाता है जब तक टायर हटा नहीं दिए जाते। , D) खिलाड़ी BBB को एक और मौका दिया जाता है।</v>
      </c>
      <c r="I162" s="5" t="str">
        <f>IFERROR(__xludf.DUMMYFUNCTION("GOOGLETRANSLATE(D162, ""en"", ""hi"")"),"अ) गिल्ली को सीमा से बाहर माना जाता है।")</f>
        <v>अ) गिल्ली को सीमा से बाहर माना जाता है।</v>
      </c>
    </row>
    <row r="163" ht="22.5" customHeight="1">
      <c r="A163" s="2">
        <v>162.0</v>
      </c>
      <c r="B163" s="3" t="s">
        <v>11597</v>
      </c>
      <c r="C163" s="3" t="s">
        <v>11598</v>
      </c>
      <c r="D163" s="3" t="s">
        <v>11278</v>
      </c>
      <c r="F163" s="5" t="str">
        <f>IFERROR(__xludf.DUMMYFUNCTION("GOOGLETRANSLATE(A163, ""en"", ""hi"")"),"162")</f>
        <v>162</v>
      </c>
      <c r="G163" s="5" t="str">
        <f>IFERROR(__xludf.DUMMYFUNCTION("GOOGLETRANSLATE(B163, ""en"", ""hi"")"),"गिल्ली डंडा खेल में, खिलाड़ी CCC गिल्ली पर वार करता है और वह बर्फ की पतली परत से ढकी सतह पर गिरती है। इस वार का नियम क्या है?")</f>
        <v>गिल्ली डंडा खेल में, खिलाड़ी CCC गिल्ली पर वार करता है और वह बर्फ की पतली परत से ढकी सतह पर गिरती है। इस वार का नियम क्या है?</v>
      </c>
      <c r="H163" s="5" t="str">
        <f>IFERROR(__xludf.DUMMYFUNCTION("GOOGLETRANSLATE(C163, ""en"", ""hi"")"),"A) गिल्ली को खेल में माना जाता है। , B) गिल्ली को सीमा से बाहर माना जाता है। , C) बर्फ हटने तक खेल को रोक दिया जाता है। , D) खिलाड़ी CCC को एक और मौका दिया जाता है।")</f>
        <v>A) गिल्ली को खेल में माना जाता है। , B) गिल्ली को सीमा से बाहर माना जाता है। , C) बर्फ हटने तक खेल को रोक दिया जाता है। , D) खिलाड़ी CCC को एक और मौका दिया जाता है।</v>
      </c>
      <c r="I163" s="5" t="str">
        <f>IFERROR(__xludf.DUMMYFUNCTION("GOOGLETRANSLATE(D163, ""en"", ""hi"")"),"अ) गिल्ली को खेल में शामिल माना जाता है।")</f>
        <v>अ) गिल्ली को खेल में शामिल माना जाता है।</v>
      </c>
    </row>
    <row r="164" ht="22.5" customHeight="1">
      <c r="A164" s="2">
        <v>163.0</v>
      </c>
      <c r="B164" s="3" t="s">
        <v>11599</v>
      </c>
      <c r="C164" s="3" t="s">
        <v>11600</v>
      </c>
      <c r="D164" s="3" t="s">
        <v>11314</v>
      </c>
      <c r="F164" s="5" t="str">
        <f>IFERROR(__xludf.DUMMYFUNCTION("GOOGLETRANSLATE(A164, ""en"", ""hi"")"),"163")</f>
        <v>163</v>
      </c>
      <c r="G164" s="5" t="str">
        <f>IFERROR(__xludf.DUMMYFUNCTION("GOOGLETRANSLATE(B164, ""en"", ""hi"")"),"खिलाड़ी DDD गिल्ली को मारता है और वह एक ऐसी सतह पर गिरती है जहाँ वह तुरंत धातु की एक बड़ी चादर से ढक जाती है। इस स्थिति में क्या नियम होना चाहिए?")</f>
        <v>खिलाड़ी DDD गिल्ली को मारता है और वह एक ऐसी सतह पर गिरती है जहाँ वह तुरंत धातु की एक बड़ी चादर से ढक जाती है। इस स्थिति में क्या नियम होना चाहिए?</v>
      </c>
      <c r="H164" s="5" t="str">
        <f>IFERROR(__xludf.DUMMYFUNCTION("GOOGLETRANSLATE(C164, ""en"", ""hi"")"),"A) गिल्ली को सीमा से बाहर माना जाता है। , B) गिल्ली को खेल में माना जाता है। , C) धातु की शीट को हिलाए जाने तक खेल को रोक दिया जाता है। , D) खिलाड़ी DDD को एक और मौका दिया जाता है।")</f>
        <v>A) गिल्ली को सीमा से बाहर माना जाता है। , B) गिल्ली को खेल में माना जाता है। , C) धातु की शीट को हिलाए जाने तक खेल को रोक दिया जाता है। , D) खिलाड़ी DDD को एक और मौका दिया जाता है।</v>
      </c>
      <c r="I164" s="5" t="str">
        <f>IFERROR(__xludf.DUMMYFUNCTION("GOOGLETRANSLATE(D164, ""en"", ""hi"")"),"अ) गिल्ली को सीमा से बाहर माना जाता है।")</f>
        <v>अ) गिल्ली को सीमा से बाहर माना जाता है।</v>
      </c>
    </row>
    <row r="165" ht="22.5" customHeight="1">
      <c r="A165" s="2">
        <v>164.0</v>
      </c>
      <c r="B165" s="3" t="s">
        <v>11601</v>
      </c>
      <c r="C165" s="3" t="s">
        <v>11602</v>
      </c>
      <c r="D165" s="3" t="s">
        <v>11314</v>
      </c>
      <c r="F165" s="5" t="str">
        <f>IFERROR(__xludf.DUMMYFUNCTION("GOOGLETRANSLATE(A165, ""en"", ""hi"")"),"164")</f>
        <v>164</v>
      </c>
      <c r="G165" s="5" t="str">
        <f>IFERROR(__xludf.DUMMYFUNCTION("GOOGLETRANSLATE(B165, ""en"", ""hi"")"),"गिल्ली डंडा मैच के दौरान, खिलाड़ी EEE गिल्ली मारता है और वह बजरी के ढेर वाली सतह पर गिरती है। इस प्रहार की व्याख्या कैसे की जानी चाहिए?")</f>
        <v>गिल्ली डंडा मैच के दौरान, खिलाड़ी EEE गिल्ली मारता है और वह बजरी के ढेर वाली सतह पर गिरती है। इस प्रहार की व्याख्या कैसे की जानी चाहिए?</v>
      </c>
      <c r="H165" s="5" t="str">
        <f>IFERROR(__xludf.DUMMYFUNCTION("GOOGLETRANSLATE(C165, ""en"", ""hi"")"),"A) गिल्ली को सीमा से बाहर माना जाता है। , B) गिल्ली को खेल में माना जाता है। , C) बजरी साफ होने तक खेल को रोक दिया जाता है। , D) खिलाड़ी EEE को एक और मौका दिया जाता है।")</f>
        <v>A) गिल्ली को सीमा से बाहर माना जाता है। , B) गिल्ली को खेल में माना जाता है। , C) बजरी साफ होने तक खेल को रोक दिया जाता है। , D) खिलाड़ी EEE को एक और मौका दिया जाता है।</v>
      </c>
      <c r="I165" s="5" t="str">
        <f>IFERROR(__xludf.DUMMYFUNCTION("GOOGLETRANSLATE(D165, ""en"", ""hi"")"),"अ) गिल्ली को सीमा से बाहर माना जाता है।")</f>
        <v>अ) गिल्ली को सीमा से बाहर माना जाता है।</v>
      </c>
    </row>
    <row r="166" ht="22.5" customHeight="1">
      <c r="A166" s="2">
        <v>165.0</v>
      </c>
      <c r="B166" s="3" t="s">
        <v>11603</v>
      </c>
      <c r="C166" s="3" t="s">
        <v>11604</v>
      </c>
      <c r="D166" s="3" t="s">
        <v>11314</v>
      </c>
      <c r="F166" s="5" t="str">
        <f>IFERROR(__xludf.DUMMYFUNCTION("GOOGLETRANSLATE(A166, ""en"", ""hi"")"),"165")</f>
        <v>165</v>
      </c>
      <c r="G166" s="5" t="str">
        <f>IFERROR(__xludf.DUMMYFUNCTION("GOOGLETRANSLATE(B166, ""en"", ""hi"")"),"खिलाड़ी FFF गिल्ली मारता है और वह एक ऐसी सतह पर गिरती है जहाँ उसे फर्नीचर के एक बड़े टुकड़े से रोका गया है। इस हिट का नियम क्या है?")</f>
        <v>खिलाड़ी FFF गिल्ली मारता है और वह एक ऐसी सतह पर गिरती है जहाँ उसे फर्नीचर के एक बड़े टुकड़े से रोका गया है। इस हिट का नियम क्या है?</v>
      </c>
      <c r="H166" s="5" t="str">
        <f>IFERROR(__xludf.DUMMYFUNCTION("GOOGLETRANSLATE(C166, ""en"", ""hi"")"),"A) गिल्ली को सीमा से बाहर माना जाता है। , B) गिल्ली को खेल में माना जाता है। , C) खेल तब तक रुका रहता है जब तक फर्नीचर को हटा नहीं दिया जाता। , D) खिलाड़ी FFF को एक और मौका दिया जाता है।")</f>
        <v>A) गिल्ली को सीमा से बाहर माना जाता है। , B) गिल्ली को खेल में माना जाता है। , C) खेल तब तक रुका रहता है जब तक फर्नीचर को हटा नहीं दिया जाता। , D) खिलाड़ी FFF को एक और मौका दिया जाता है।</v>
      </c>
      <c r="I166" s="5" t="str">
        <f>IFERROR(__xludf.DUMMYFUNCTION("GOOGLETRANSLATE(D166, ""en"", ""hi"")"),"अ) गिल्ली को सीमा से बाहर माना जाता है।")</f>
        <v>अ) गिल्ली को सीमा से बाहर माना जाता है।</v>
      </c>
    </row>
    <row r="167" ht="22.5" customHeight="1">
      <c r="A167" s="2">
        <v>166.0</v>
      </c>
      <c r="B167" s="3" t="s">
        <v>11605</v>
      </c>
      <c r="C167" s="3" t="s">
        <v>11606</v>
      </c>
      <c r="D167" s="3" t="s">
        <v>11278</v>
      </c>
      <c r="F167" s="5" t="str">
        <f>IFERROR(__xludf.DUMMYFUNCTION("GOOGLETRANSLATE(A167, ""en"", ""hi"")"),"166")</f>
        <v>166</v>
      </c>
      <c r="G167" s="5" t="str">
        <f>IFERROR(__xludf.DUMMYFUNCTION("GOOGLETRANSLATE(B167, ""en"", ""hi"")"),"गिल्ली डंडा खेल में, खिलाड़ी GGG गिल्ली पर वार करता है और वह बर्फ की एक पतली परत से ढकी सतह पर गिरती है। इस वार का मूल्यांकन कैसे किया जाना चाहिए?")</f>
        <v>गिल्ली डंडा खेल में, खिलाड़ी GGG गिल्ली पर वार करता है और वह बर्फ की एक पतली परत से ढकी सतह पर गिरती है। इस वार का मूल्यांकन कैसे किया जाना चाहिए?</v>
      </c>
      <c r="H167" s="5" t="str">
        <f>IFERROR(__xludf.DUMMYFUNCTION("GOOGLETRANSLATE(C167, ""en"", ""hi"")"),"A) गिल्ली को खेल में माना जाता है। , B) गिल्ली को सीमा से बाहर माना जाता है। , C) जब तक बर्फ साफ नहीं हो जाती तब तक खेल रोक दिया जाता है। , D) खिलाड़ी GGG को एक और मौका दिया जाता है।")</f>
        <v>A) गिल्ली को खेल में माना जाता है। , B) गिल्ली को सीमा से बाहर माना जाता है। , C) जब तक बर्फ साफ नहीं हो जाती तब तक खेल रोक दिया जाता है। , D) खिलाड़ी GGG को एक और मौका दिया जाता है।</v>
      </c>
      <c r="I167" s="5" t="str">
        <f>IFERROR(__xludf.DUMMYFUNCTION("GOOGLETRANSLATE(D167, ""en"", ""hi"")"),"अ) गिल्ली को खेल में शामिल माना जाता है।")</f>
        <v>अ) गिल्ली को खेल में शामिल माना जाता है।</v>
      </c>
    </row>
    <row r="168" ht="22.5" customHeight="1">
      <c r="A168" s="2">
        <v>167.0</v>
      </c>
      <c r="B168" s="3" t="s">
        <v>11607</v>
      </c>
      <c r="C168" s="3" t="s">
        <v>11608</v>
      </c>
      <c r="D168" s="3" t="s">
        <v>11314</v>
      </c>
      <c r="F168" s="5" t="str">
        <f>IFERROR(__xludf.DUMMYFUNCTION("GOOGLETRANSLATE(A168, ""en"", ""hi"")"),"167")</f>
        <v>167</v>
      </c>
      <c r="G168" s="5" t="str">
        <f>IFERROR(__xludf.DUMMYFUNCTION("GOOGLETRANSLATE(B168, ""en"", ""hi"")"),"खिलाड़ी HHH गिल्ली मारता है और वह जलाऊ लकड़ी के एक बड़े ढेर से घिरे क्षेत्र में गिरती है। इस स्थिति में क्या नियम है?")</f>
        <v>खिलाड़ी HHH गिल्ली मारता है और वह जलाऊ लकड़ी के एक बड़े ढेर से घिरे क्षेत्र में गिरती है। इस स्थिति में क्या नियम है?</v>
      </c>
      <c r="H168" s="5" t="str">
        <f>IFERROR(__xludf.DUMMYFUNCTION("GOOGLETRANSLATE(C168, ""en"", ""hi"")"),"A) गिल्ली को खेल से बाहर माना जाता है। , B) गिल्ली को खेल में माना जाता है। , C) खेल तब तक रुका रहता है जब तक लकड़ी साफ नहीं हो जाती। , D) खिलाड़ी HHH को एक और मौका दिया जाता है।")</f>
        <v>A) गिल्ली को खेल से बाहर माना जाता है। , B) गिल्ली को खेल में माना जाता है। , C) खेल तब तक रुका रहता है जब तक लकड़ी साफ नहीं हो जाती। , D) खिलाड़ी HHH को एक और मौका दिया जाता है।</v>
      </c>
      <c r="I168" s="5" t="str">
        <f>IFERROR(__xludf.DUMMYFUNCTION("GOOGLETRANSLATE(D168, ""en"", ""hi"")"),"अ) गिल्ली को सीमा से बाहर माना जाता है।")</f>
        <v>अ) गिल्ली को सीमा से बाहर माना जाता है।</v>
      </c>
    </row>
    <row r="169" ht="22.5" customHeight="1">
      <c r="A169" s="2">
        <v>168.0</v>
      </c>
      <c r="B169" s="3" t="s">
        <v>11609</v>
      </c>
      <c r="C169" s="3" t="s">
        <v>11610</v>
      </c>
      <c r="D169" s="3" t="s">
        <v>11278</v>
      </c>
      <c r="F169" s="5" t="str">
        <f>IFERROR(__xludf.DUMMYFUNCTION("GOOGLETRANSLATE(A169, ""en"", ""hi"")"),"168")</f>
        <v>168</v>
      </c>
      <c r="G169" s="5" t="str">
        <f>IFERROR(__xludf.DUMMYFUNCTION("GOOGLETRANSLATE(B169, ""en"", ""hi"")"),"गिल्ली डंडा मैच के दौरान, खिलाड़ी III गिल्ली पर वार करता है और वह कंकड़ की एक पतली परत से ढकी सतह पर गिरती है। इस वार की व्याख्या कैसे की जानी चाहिए?")</f>
        <v>गिल्ली डंडा मैच के दौरान, खिलाड़ी III गिल्ली पर वार करता है और वह कंकड़ की एक पतली परत से ढकी सतह पर गिरती है। इस वार की व्याख्या कैसे की जानी चाहिए?</v>
      </c>
      <c r="H169" s="5" t="str">
        <f>IFERROR(__xludf.DUMMYFUNCTION("GOOGLETRANSLATE(C169, ""en"", ""hi"")"),"A) गिल्ली को खेल में माना जाता है। , B) गिल्ली को सीमा से बाहर माना जाता है। , C) कंकड़ साफ होने तक खेल को रोक दिया जाता है। , D) खिलाड़ी III को एक और मौका दिया जाता है।")</f>
        <v>A) गिल्ली को खेल में माना जाता है। , B) गिल्ली को सीमा से बाहर माना जाता है। , C) कंकड़ साफ होने तक खेल को रोक दिया जाता है। , D) खिलाड़ी III को एक और मौका दिया जाता है।</v>
      </c>
      <c r="I169" s="5" t="str">
        <f>IFERROR(__xludf.DUMMYFUNCTION("GOOGLETRANSLATE(D169, ""en"", ""hi"")"),"अ) गिल्ली को खेल में शामिल माना जाता है।")</f>
        <v>अ) गिल्ली को खेल में शामिल माना जाता है।</v>
      </c>
    </row>
    <row r="170" ht="22.5" customHeight="1">
      <c r="A170" s="2">
        <v>169.0</v>
      </c>
      <c r="B170" s="3" t="s">
        <v>11611</v>
      </c>
      <c r="C170" s="3" t="s">
        <v>11612</v>
      </c>
      <c r="D170" s="3" t="s">
        <v>11314</v>
      </c>
      <c r="F170" s="5" t="str">
        <f>IFERROR(__xludf.DUMMYFUNCTION("GOOGLETRANSLATE(A170, ""en"", ""hi"")"),"169")</f>
        <v>169</v>
      </c>
      <c r="G170" s="5" t="str">
        <f>IFERROR(__xludf.DUMMYFUNCTION("GOOGLETRANSLATE(B170, ""en"", ""hi"")"),"खिलाड़ी JJJ गिल्ली को मारता है और वह एक ऐसी सतह पर गिरती है जहाँ वह तुरंत घास के एक बड़े ढेर से ढक जाती है। उचित नियम क्या है?")</f>
        <v>खिलाड़ी JJJ गिल्ली को मारता है और वह एक ऐसी सतह पर गिरती है जहाँ वह तुरंत घास के एक बड़े ढेर से ढक जाती है। उचित नियम क्या है?</v>
      </c>
      <c r="H170" s="5" t="str">
        <f>IFERROR(__xludf.DUMMYFUNCTION("GOOGLETRANSLATE(C170, ""en"", ""hi"")"),"A) गिल्ली को सीमा से बाहर माना जाता है। , B) गिल्ली को खेल में माना जाता है। , C) घास साफ होने तक खेल को रोक दिया जाता है। , D) खिलाड़ी JJJ को एक और मौका दिया जाता है।")</f>
        <v>A) गिल्ली को सीमा से बाहर माना जाता है। , B) गिल्ली को खेल में माना जाता है। , C) घास साफ होने तक खेल को रोक दिया जाता है। , D) खिलाड़ी JJJ को एक और मौका दिया जाता है।</v>
      </c>
      <c r="I170" s="5" t="str">
        <f>IFERROR(__xludf.DUMMYFUNCTION("GOOGLETRANSLATE(D170, ""en"", ""hi"")"),"अ) गिल्ली को सीमा से बाहर माना जाता है।")</f>
        <v>अ) गिल्ली को सीमा से बाहर माना जाता है।</v>
      </c>
    </row>
    <row r="171" ht="22.5" customHeight="1">
      <c r="A171" s="2">
        <v>170.0</v>
      </c>
      <c r="B171" s="3" t="s">
        <v>11613</v>
      </c>
      <c r="C171" s="3" t="s">
        <v>11614</v>
      </c>
      <c r="D171" s="3" t="s">
        <v>11278</v>
      </c>
      <c r="F171" s="5" t="str">
        <f>IFERROR(__xludf.DUMMYFUNCTION("GOOGLETRANSLATE(A171, ""en"", ""hi"")"),"170")</f>
        <v>170</v>
      </c>
      <c r="G171" s="5" t="str">
        <f>IFERROR(__xludf.DUMMYFUNCTION("GOOGLETRANSLATE(B171, ""en"", ""hi"")"),"गिल्ली डंडा खेल में, खिलाड़ी KKK गिल्ली मारता है और वह टहनियों के एक छोटे से ढेर से घिरे क्षेत्र में गिरती है। इस प्रहार का नियम क्या होना चाहिए?")</f>
        <v>गिल्ली डंडा खेल में, खिलाड़ी KKK गिल्ली मारता है और वह टहनियों के एक छोटे से ढेर से घिरे क्षेत्र में गिरती है। इस प्रहार का नियम क्या होना चाहिए?</v>
      </c>
      <c r="H171" s="5" t="str">
        <f>IFERROR(__xludf.DUMMYFUNCTION("GOOGLETRANSLATE(C171, ""en"", ""hi"")"),"A) गिल्ली को खेल में माना जाता है। , B) गिल्ली को सीमा से बाहर माना जाता है। , C) टहनियाँ साफ़ होने तक खेल को रोक दिया जाता है। , D) खिलाड़ी केकेके को एक और मौका दिया जाता है।")</f>
        <v>A) गिल्ली को खेल में माना जाता है। , B) गिल्ली को सीमा से बाहर माना जाता है। , C) टहनियाँ साफ़ होने तक खेल को रोक दिया जाता है। , D) खिलाड़ी केकेके को एक और मौका दिया जाता है।</v>
      </c>
      <c r="I171" s="5" t="str">
        <f>IFERROR(__xludf.DUMMYFUNCTION("GOOGLETRANSLATE(D171, ""en"", ""hi"")"),"अ) गिल्ली को खेल में शामिल माना जाता है।")</f>
        <v>अ) गिल्ली को खेल में शामिल माना जाता है।</v>
      </c>
    </row>
    <row r="172" ht="22.5" customHeight="1">
      <c r="A172" s="2">
        <v>171.0</v>
      </c>
      <c r="B172" s="3" t="s">
        <v>11615</v>
      </c>
      <c r="C172" s="3" t="s">
        <v>11616</v>
      </c>
      <c r="D172" s="3" t="s">
        <v>11278</v>
      </c>
      <c r="F172" s="5" t="str">
        <f>IFERROR(__xludf.DUMMYFUNCTION("GOOGLETRANSLATE(A172, ""en"", ""hi"")"),"171")</f>
        <v>171</v>
      </c>
      <c r="G172" s="5" t="str">
        <f>IFERROR(__xludf.DUMMYFUNCTION("GOOGLETRANSLATE(B172, ""en"", ""hi"")"),"खिलाड़ी LLL गिल्ली को मारता है और वह एक ऐसी सतह पर गिरती है जहाँ उस पर गीले पत्तों की एक परत जम जाती है। इस स्थिति में क्या नियम है?")</f>
        <v>खिलाड़ी LLL गिल्ली को मारता है और वह एक ऐसी सतह पर गिरती है जहाँ उस पर गीले पत्तों की एक परत जम जाती है। इस स्थिति में क्या नियम है?</v>
      </c>
      <c r="H172" s="5" t="str">
        <f>IFERROR(__xludf.DUMMYFUNCTION("GOOGLETRANSLATE(C172, ""en"", ""hi"")"),"A) गिल्ली को खेल में माना जाता है। , B) गिल्ली को सीमा से बाहर माना जाता है। , C) पत्तों को हटाए जाने तक खेल को रोक दिया जाता है। , D) खिलाड़ी LLL को एक और मौका दिया जाता है।")</f>
        <v>A) गिल्ली को खेल में माना जाता है। , B) गिल्ली को सीमा से बाहर माना जाता है। , C) पत्तों को हटाए जाने तक खेल को रोक दिया जाता है। , D) खिलाड़ी LLL को एक और मौका दिया जाता है।</v>
      </c>
      <c r="I172" s="5" t="str">
        <f>IFERROR(__xludf.DUMMYFUNCTION("GOOGLETRANSLATE(D172, ""en"", ""hi"")"),"अ) गिल्ली को खेल में शामिल माना जाता है।")</f>
        <v>अ) गिल्ली को खेल में शामिल माना जाता है।</v>
      </c>
    </row>
    <row r="173" ht="22.5" customHeight="1">
      <c r="A173" s="2">
        <v>172.0</v>
      </c>
      <c r="B173" s="3" t="s">
        <v>11617</v>
      </c>
      <c r="C173" s="3" t="s">
        <v>11618</v>
      </c>
      <c r="D173" s="3" t="s">
        <v>11314</v>
      </c>
      <c r="F173" s="5" t="str">
        <f>IFERROR(__xludf.DUMMYFUNCTION("GOOGLETRANSLATE(A173, ""en"", ""hi"")"),"172")</f>
        <v>172</v>
      </c>
      <c r="G173" s="5" t="str">
        <f>IFERROR(__xludf.DUMMYFUNCTION("GOOGLETRANSLATE(B173, ""en"", ""hi"")"),"गिल्ली डंडा मैच के दौरान, खिलाड़ी MMM गिल्ली पर वार करता है और वह पुरानी लकड़ियों के ढेर से ढकी सतह पर गिरती है। इस वार का मूल्यांकन कैसे किया जाना चाहिए?")</f>
        <v>गिल्ली डंडा मैच के दौरान, खिलाड़ी MMM गिल्ली पर वार करता है और वह पुरानी लकड़ियों के ढेर से ढकी सतह पर गिरती है। इस वार का मूल्यांकन कैसे किया जाना चाहिए?</v>
      </c>
      <c r="H173" s="5" t="str">
        <f>IFERROR(__xludf.DUMMYFUNCTION("GOOGLETRANSLATE(C173, ""en"", ""hi"")"),"A) गिल्ली को सीमा से बाहर माना जाता है। , B) गिल्ली को खेल में माना जाता है। , C) लकड़ी साफ होने तक खेल को रोक दिया जाता है। , D) खिलाड़ी MMM को एक और मौका दिया जाता है।")</f>
        <v>A) गिल्ली को सीमा से बाहर माना जाता है। , B) गिल्ली को खेल में माना जाता है। , C) लकड़ी साफ होने तक खेल को रोक दिया जाता है। , D) खिलाड़ी MMM को एक और मौका दिया जाता है।</v>
      </c>
      <c r="I173" s="5" t="str">
        <f>IFERROR(__xludf.DUMMYFUNCTION("GOOGLETRANSLATE(D173, ""en"", ""hi"")"),"अ) गिल्ली को सीमा से बाहर माना जाता है।")</f>
        <v>अ) गिल्ली को सीमा से बाहर माना जाता है।</v>
      </c>
    </row>
    <row r="174" ht="22.5" customHeight="1">
      <c r="A174" s="2">
        <v>173.0</v>
      </c>
      <c r="B174" s="3" t="s">
        <v>11619</v>
      </c>
      <c r="C174" s="3" t="s">
        <v>11620</v>
      </c>
      <c r="D174" s="3" t="s">
        <v>11278</v>
      </c>
      <c r="F174" s="5" t="str">
        <f>IFERROR(__xludf.DUMMYFUNCTION("GOOGLETRANSLATE(A174, ""en"", ""hi"")"),"173")</f>
        <v>173</v>
      </c>
      <c r="G174" s="5" t="str">
        <f>IFERROR(__xludf.DUMMYFUNCTION("GOOGLETRANSLATE(B174, ""en"", ""hi"")"),"खिलाड़ी NNN गिल्ली पर वार करता है और वह एक ऐसी सतह पर गिरती है जहाँ वह तुरंत बर्फ की एक पतली परत से ढक जाती है। इस वार के लिए उपयुक्त नियम क्या है?")</f>
        <v>खिलाड़ी NNN गिल्ली पर वार करता है और वह एक ऐसी सतह पर गिरती है जहाँ वह तुरंत बर्फ की एक पतली परत से ढक जाती है। इस वार के लिए उपयुक्त नियम क्या है?</v>
      </c>
      <c r="H174" s="5" t="str">
        <f>IFERROR(__xludf.DUMMYFUNCTION("GOOGLETRANSLATE(C174, ""en"", ""hi"")"),"A) गिल्ली को खेल में माना जाता है। , B) गिल्ली को सीमा से बाहर माना जाता है। , C) बर्फ पिघलने तक खेल को रोक दिया जाता है। , D) खिलाड़ी NNN को एक और मौका दिया जाता है।")</f>
        <v>A) गिल्ली को खेल में माना जाता है। , B) गिल्ली को सीमा से बाहर माना जाता है। , C) बर्फ पिघलने तक खेल को रोक दिया जाता है। , D) खिलाड़ी NNN को एक और मौका दिया जाता है।</v>
      </c>
      <c r="I174" s="5" t="str">
        <f>IFERROR(__xludf.DUMMYFUNCTION("GOOGLETRANSLATE(D174, ""en"", ""hi"")"),"अ) गिल्ली को खेल में शामिल माना जाता है।")</f>
        <v>अ) गिल्ली को खेल में शामिल माना जाता है।</v>
      </c>
    </row>
    <row r="175" ht="22.5" customHeight="1">
      <c r="A175" s="2">
        <v>174.0</v>
      </c>
      <c r="B175" s="3" t="s">
        <v>11621</v>
      </c>
      <c r="C175" s="3" t="s">
        <v>11622</v>
      </c>
      <c r="D175" s="3" t="s">
        <v>11376</v>
      </c>
      <c r="F175" s="5" t="str">
        <f>IFERROR(__xludf.DUMMYFUNCTION("GOOGLETRANSLATE(A175, ""en"", ""hi"")"),"174")</f>
        <v>174</v>
      </c>
      <c r="G175" s="5" t="str">
        <f>IFERROR(__xludf.DUMMYFUNCTION("GOOGLETRANSLATE(B175, ""en"", ""hi"")"),"गिल्ली डंडा खेल में, खिलाड़ी OOO गिल्ली पर वार करता है और वह मिट्टी के एक छोटे से ढेर से ढकी सतह पर गिरती है। इस वार का नियम क्या है?")</f>
        <v>गिल्ली डंडा खेल में, खिलाड़ी OOO गिल्ली पर वार करता है और वह मिट्टी के एक छोटे से ढेर से ढकी सतह पर गिरती है। इस वार का नियम क्या है?</v>
      </c>
      <c r="H175" s="5" t="str">
        <f>IFERROR(__xludf.DUMMYFUNCTION("GOOGLETRANSLATE(C175, ""en"", ""hi"")"),"A) गिल्ली को सीमा से बाहर माना जाता है। , B) गिल्ली को खेल में माना जाता है। , C) खेल को तब तक रोक दिया जाता है जब तक मिट्टी साफ नहीं हो जाती। , D) खिलाड़ी OOO को एक और मौका दिया जाता है।")</f>
        <v>A) गिल्ली को सीमा से बाहर माना जाता है। , B) गिल्ली को खेल में माना जाता है। , C) खेल को तब तक रोक दिया जाता है जब तक मिट्टी साफ नहीं हो जाती। , D) खिलाड़ी OOO को एक और मौका दिया जाता है।</v>
      </c>
      <c r="I175" s="5" t="str">
        <f>IFERROR(__xludf.DUMMYFUNCTION("GOOGLETRANSLATE(D175, ""en"", ""hi"")"),"बी) गिल्ली को खेल में शामिल माना जाता है।")</f>
        <v>बी) गिल्ली को खेल में शामिल माना जाता है।</v>
      </c>
    </row>
    <row r="176" ht="22.5" customHeight="1">
      <c r="A176" s="2">
        <v>175.0</v>
      </c>
      <c r="B176" s="3" t="s">
        <v>11623</v>
      </c>
      <c r="C176" s="3" t="s">
        <v>11624</v>
      </c>
      <c r="D176" s="3" t="s">
        <v>11314</v>
      </c>
      <c r="F176" s="5" t="str">
        <f>IFERROR(__xludf.DUMMYFUNCTION("GOOGLETRANSLATE(A176, ""en"", ""hi"")"),"175")</f>
        <v>175</v>
      </c>
      <c r="G176" s="5" t="str">
        <f>IFERROR(__xludf.DUMMYFUNCTION("GOOGLETRANSLATE(B176, ""en"", ""hi"")"),"खिलाड़ी PPP गिल्ली को मारता है और वह एक ऐसी सतह पर गिरती है जहाँ उसे भूसे के एक बड़े ढेर ने रोक रखा है। इस स्थिति में क्या नियम है?")</f>
        <v>खिलाड़ी PPP गिल्ली को मारता है और वह एक ऐसी सतह पर गिरती है जहाँ उसे भूसे के एक बड़े ढेर ने रोक रखा है। इस स्थिति में क्या नियम है?</v>
      </c>
      <c r="H176" s="5" t="str">
        <f>IFERROR(__xludf.DUMMYFUNCTION("GOOGLETRANSLATE(C176, ""en"", ""hi"")"),"A) गिल्ली को सीमा से बाहर माना जाता है। , B) गिल्ली को खेल में माना जाता है। , C) स्ट्रॉ साफ़ होने तक खेल को रोक दिया जाता है। , D) खिलाड़ी पीपीपी को एक और मौका दिया जाता है।")</f>
        <v>A) गिल्ली को सीमा से बाहर माना जाता है। , B) गिल्ली को खेल में माना जाता है। , C) स्ट्रॉ साफ़ होने तक खेल को रोक दिया जाता है। , D) खिलाड़ी पीपीपी को एक और मौका दिया जाता है।</v>
      </c>
      <c r="I176" s="5" t="str">
        <f>IFERROR(__xludf.DUMMYFUNCTION("GOOGLETRANSLATE(D176, ""en"", ""hi"")"),"अ) गिल्ली को सीमा से बाहर माना जाता है।")</f>
        <v>अ) गिल्ली को सीमा से बाहर माना जाता है।</v>
      </c>
    </row>
    <row r="177" ht="22.5" customHeight="1">
      <c r="A177" s="2">
        <v>176.0</v>
      </c>
      <c r="B177" s="3" t="s">
        <v>11625</v>
      </c>
      <c r="C177" s="3" t="s">
        <v>11626</v>
      </c>
      <c r="D177" s="3" t="s">
        <v>11278</v>
      </c>
      <c r="F177" s="5" t="str">
        <f>IFERROR(__xludf.DUMMYFUNCTION("GOOGLETRANSLATE(A177, ""en"", ""hi"")"),"176")</f>
        <v>176</v>
      </c>
      <c r="G177" s="5" t="str">
        <f>IFERROR(__xludf.DUMMYFUNCTION("GOOGLETRANSLATE(B177, ""en"", ""hi"")"),"गिल्ली डंडा मैच के दौरान, खिलाड़ी QQQ गिल्ली पर वार करता है और वह मलबे की एक पतली परत से ढकी सतह पर गिरती है। इस वार की व्याख्या कैसे की जानी चाहिए?")</f>
        <v>गिल्ली डंडा मैच के दौरान, खिलाड़ी QQQ गिल्ली पर वार करता है और वह मलबे की एक पतली परत से ढकी सतह पर गिरती है। इस वार की व्याख्या कैसे की जानी चाहिए?</v>
      </c>
      <c r="H177" s="5" t="str">
        <f>IFERROR(__xludf.DUMMYFUNCTION("GOOGLETRANSLATE(C177, ""en"", ""hi"")"),"A) गिल्ली को खेल में माना जाता है। , B) गिल्ली को सीमा से बाहर माना जाता है। , C) मलबा हटाए जाने तक खेल को रोक दिया जाता है। , D) खिलाड़ी QQQ को एक और मौका दिया जाता है।")</f>
        <v>A) गिल्ली को खेल में माना जाता है। , B) गिल्ली को सीमा से बाहर माना जाता है। , C) मलबा हटाए जाने तक खेल को रोक दिया जाता है। , D) खिलाड़ी QQQ को एक और मौका दिया जाता है।</v>
      </c>
      <c r="I177" s="5" t="str">
        <f>IFERROR(__xludf.DUMMYFUNCTION("GOOGLETRANSLATE(D177, ""en"", ""hi"")"),"अ) गिल्ली को खेल में शामिल माना जाता है।")</f>
        <v>अ) गिल्ली को खेल में शामिल माना जाता है।</v>
      </c>
    </row>
    <row r="178" ht="22.5" customHeight="1">
      <c r="A178" s="2">
        <v>177.0</v>
      </c>
      <c r="B178" s="3" t="s">
        <v>11627</v>
      </c>
      <c r="C178" s="3" t="s">
        <v>11628</v>
      </c>
      <c r="D178" s="3" t="s">
        <v>11314</v>
      </c>
      <c r="F178" s="5" t="str">
        <f>IFERROR(__xludf.DUMMYFUNCTION("GOOGLETRANSLATE(A178, ""en"", ""hi"")"),"177")</f>
        <v>177</v>
      </c>
      <c r="G178" s="5" t="str">
        <f>IFERROR(__xludf.DUMMYFUNCTION("GOOGLETRANSLATE(B178, ""en"", ""hi"")"),"खिलाड़ी RRR गिल्ली मारता है और वह निर्माण सामग्री के एक बड़े टुकड़े से अवरुद्ध सतह पर गिरती है। इस हिट के लिए उपयुक्त नियम क्या है?")</f>
        <v>खिलाड़ी RRR गिल्ली मारता है और वह निर्माण सामग्री के एक बड़े टुकड़े से अवरुद्ध सतह पर गिरती है। इस हिट के लिए उपयुक्त नियम क्या है?</v>
      </c>
      <c r="H178" s="5" t="str">
        <f>IFERROR(__xludf.DUMMYFUNCTION("GOOGLETRANSLATE(C178, ""en"", ""hi"")"),"A) गिल्ली को सीमा से बाहर माना जाता है। , B) गिल्ली को खेल में माना जाता है। , C) खेल को तब तक रोक दिया जाता है जब तक निर्माण सामग्री को हटा नहीं दिया जाता है। , D) खिलाड़ी RRR को एक और मौका दिया जाता है।")</f>
        <v>A) गिल्ली को सीमा से बाहर माना जाता है। , B) गिल्ली को खेल में माना जाता है। , C) खेल को तब तक रोक दिया जाता है जब तक निर्माण सामग्री को हटा नहीं दिया जाता है। , D) खिलाड़ी RRR को एक और मौका दिया जाता है।</v>
      </c>
      <c r="I178" s="5" t="str">
        <f>IFERROR(__xludf.DUMMYFUNCTION("GOOGLETRANSLATE(D178, ""en"", ""hi"")"),"अ) गिल्ली को सीमा से बाहर माना जाता है।")</f>
        <v>अ) गिल्ली को सीमा से बाहर माना जाता है।</v>
      </c>
    </row>
    <row r="179" ht="22.5" customHeight="1">
      <c r="A179" s="2">
        <v>178.0</v>
      </c>
      <c r="B179" s="3" t="s">
        <v>11629</v>
      </c>
      <c r="C179" s="3" t="s">
        <v>11630</v>
      </c>
      <c r="D179" s="3" t="s">
        <v>11314</v>
      </c>
      <c r="F179" s="5" t="str">
        <f>IFERROR(__xludf.DUMMYFUNCTION("GOOGLETRANSLATE(A179, ""en"", ""hi"")"),"178")</f>
        <v>178</v>
      </c>
      <c r="G179" s="5" t="str">
        <f>IFERROR(__xludf.DUMMYFUNCTION("GOOGLETRANSLATE(B179, ""en"", ""hi"")"),"गिल्ली डंडा खेल में, खिलाड़ी SSS गिल्ली को मारता है और वह गिरे हुए पत्तों और टहनियों की एक पतली परत से ढकी सतह पर गिरती है। इस प्रहार का नियम क्या है?")</f>
        <v>गिल्ली डंडा खेल में, खिलाड़ी SSS गिल्ली को मारता है और वह गिरे हुए पत्तों और टहनियों की एक पतली परत से ढकी सतह पर गिरती है। इस प्रहार का नियम क्या है?</v>
      </c>
      <c r="H179" s="5" t="str">
        <f>IFERROR(__xludf.DUMMYFUNCTION("GOOGLETRANSLATE(C179, ""en"", ""hi"")"),"A) गिल्ली को खेल से बाहर माना जाता है। , B) गिल्ली को खेल में माना जाता है। , C) खेल को तब तक रोक दिया जाता है जब तक पत्ते और टहनियाँ साफ नहीं हो जातीं। , D) खिलाड़ी SSS को एक और मौका दिया जाता है।")</f>
        <v>A) गिल्ली को खेल से बाहर माना जाता है। , B) गिल्ली को खेल में माना जाता है। , C) खेल को तब तक रोक दिया जाता है जब तक पत्ते और टहनियाँ साफ नहीं हो जातीं। , D) खिलाड़ी SSS को एक और मौका दिया जाता है।</v>
      </c>
      <c r="I179" s="5" t="str">
        <f>IFERROR(__xludf.DUMMYFUNCTION("GOOGLETRANSLATE(D179, ""en"", ""hi"")"),"अ) गिल्ली को सीमा से बाहर माना जाता है।")</f>
        <v>अ) गिल्ली को सीमा से बाहर माना जाता है।</v>
      </c>
    </row>
    <row r="180" ht="22.5" customHeight="1">
      <c r="A180" s="2">
        <v>179.0</v>
      </c>
      <c r="B180" s="3" t="s">
        <v>11631</v>
      </c>
      <c r="C180" s="3" t="s">
        <v>11632</v>
      </c>
      <c r="D180" s="3" t="s">
        <v>11278</v>
      </c>
      <c r="F180" s="5" t="str">
        <f>IFERROR(__xludf.DUMMYFUNCTION("GOOGLETRANSLATE(A180, ""en"", ""hi"")"),"179")</f>
        <v>179</v>
      </c>
      <c r="G180" s="5" t="str">
        <f>IFERROR(__xludf.DUMMYFUNCTION("GOOGLETRANSLATE(B180, ""en"", ""hi"")"),"खिलाड़ी TTT गिल्ली पर वार करता है और वह एक ऐसी सतह पर गिरती है जहाँ वह तुरंत बर्फ की एक पतली परत से ढक जाती है। इस वार की व्याख्या कैसे की जानी चाहिए?")</f>
        <v>खिलाड़ी TTT गिल्ली पर वार करता है और वह एक ऐसी सतह पर गिरती है जहाँ वह तुरंत बर्फ की एक पतली परत से ढक जाती है। इस वार की व्याख्या कैसे की जानी चाहिए?</v>
      </c>
      <c r="H180" s="5" t="str">
        <f>IFERROR(__xludf.DUMMYFUNCTION("GOOGLETRANSLATE(C180, ""en"", ""hi"")"),"A) गिल्ली को खेल में माना जाता है। , B) गिल्ली को सीमा से बाहर माना जाता है। , C) बर्फ पिघलने तक खेल को रोक दिया जाता है। , D) खिलाड़ी TTT को एक और मौका दिया जाता है।")</f>
        <v>A) गिल्ली को खेल में माना जाता है। , B) गिल्ली को सीमा से बाहर माना जाता है। , C) बर्फ पिघलने तक खेल को रोक दिया जाता है। , D) खिलाड़ी TTT को एक और मौका दिया जाता है।</v>
      </c>
      <c r="I180" s="5" t="str">
        <f>IFERROR(__xludf.DUMMYFUNCTION("GOOGLETRANSLATE(D180, ""en"", ""hi"")"),"अ) गिल्ली को खेल में शामिल माना जाता है।")</f>
        <v>अ) गिल्ली को खेल में शामिल माना जाता है।</v>
      </c>
    </row>
    <row r="181" ht="22.5" customHeight="1">
      <c r="A181" s="2">
        <v>180.0</v>
      </c>
      <c r="B181" s="3" t="s">
        <v>11633</v>
      </c>
      <c r="C181" s="3" t="s">
        <v>11634</v>
      </c>
      <c r="D181" s="3" t="s">
        <v>11314</v>
      </c>
      <c r="F181" s="5" t="str">
        <f>IFERROR(__xludf.DUMMYFUNCTION("GOOGLETRANSLATE(A181, ""en"", ""hi"")"),"180")</f>
        <v>180</v>
      </c>
      <c r="G181" s="5" t="str">
        <f>IFERROR(__xludf.DUMMYFUNCTION("GOOGLETRANSLATE(B181, ""en"", ""hi"")"),"गिल्ली डंडा मैच के दौरान, खिलाड़ी UUU गिल्ली पर वार करता है और वह धातु के एक बड़े टुकड़े से अवरुद्ध सतह पर गिरती है। इस वार का नियम क्या है?")</f>
        <v>गिल्ली डंडा मैच के दौरान, खिलाड़ी UUU गिल्ली पर वार करता है और वह धातु के एक बड़े टुकड़े से अवरुद्ध सतह पर गिरती है। इस वार का नियम क्या है?</v>
      </c>
      <c r="H181" s="5" t="str">
        <f>IFERROR(__xludf.DUMMYFUNCTION("GOOGLETRANSLATE(C181, ""en"", ""hi"")"),"A) गिल्ली को सीमा से बाहर माना जाता है। , B) गिल्ली को खेल में माना जाता है। , C) धातु को हटाए जाने तक खेल को रोक दिया जाता है। , D) खिलाड़ी UUU को एक और मौका दिया जाता है।")</f>
        <v>A) गिल्ली को सीमा से बाहर माना जाता है। , B) गिल्ली को खेल में माना जाता है। , C) धातु को हटाए जाने तक खेल को रोक दिया जाता है। , D) खिलाड़ी UUU को एक और मौका दिया जाता है।</v>
      </c>
      <c r="I181" s="5" t="str">
        <f>IFERROR(__xludf.DUMMYFUNCTION("GOOGLETRANSLATE(D181, ""en"", ""hi"")"),"अ) गिल्ली को सीमा से बाहर माना जाता है।")</f>
        <v>अ) गिल्ली को सीमा से बाहर माना जाता है।</v>
      </c>
    </row>
    <row r="182" ht="22.5" customHeight="1">
      <c r="A182" s="2">
        <v>181.0</v>
      </c>
      <c r="B182" s="3" t="s">
        <v>11635</v>
      </c>
      <c r="C182" s="3" t="s">
        <v>11636</v>
      </c>
      <c r="D182" s="3" t="s">
        <v>11278</v>
      </c>
      <c r="F182" s="5" t="str">
        <f>IFERROR(__xludf.DUMMYFUNCTION("GOOGLETRANSLATE(A182, ""en"", ""hi"")"),"181")</f>
        <v>181</v>
      </c>
      <c r="G182" s="5" t="str">
        <f>IFERROR(__xludf.DUMMYFUNCTION("GOOGLETRANSLATE(B182, ""en"", ""hi"")"),"खिलाड़ी VVV गिल्ली पर वार करता है और वह धूल की एक पतली परत से ढकी सतह पर गिरती है। इस वार की व्याख्या कैसे की जानी चाहिए?")</f>
        <v>खिलाड़ी VVV गिल्ली पर वार करता है और वह धूल की एक पतली परत से ढकी सतह पर गिरती है। इस वार की व्याख्या कैसे की जानी चाहिए?</v>
      </c>
      <c r="H182" s="5" t="str">
        <f>IFERROR(__xludf.DUMMYFUNCTION("GOOGLETRANSLATE(C182, ""en"", ""hi"")"),"A) गिल्ली को खेल में माना जाता है। , B) गिल्ली को सीमा से बाहर माना जाता है। , C) धूल साफ होने तक खेल को रोक दिया जाता है। , D) खिलाड़ी VVV को एक और मौका दिया जाता है।")</f>
        <v>A) गिल्ली को खेल में माना जाता है। , B) गिल्ली को सीमा से बाहर माना जाता है। , C) धूल साफ होने तक खेल को रोक दिया जाता है। , D) खिलाड़ी VVV को एक और मौका दिया जाता है।</v>
      </c>
      <c r="I182" s="5" t="str">
        <f>IFERROR(__xludf.DUMMYFUNCTION("GOOGLETRANSLATE(D182, ""en"", ""hi"")"),"अ) गिल्ली को खेल में शामिल माना जाता है।")</f>
        <v>अ) गिल्ली को खेल में शामिल माना जाता है।</v>
      </c>
    </row>
    <row r="183" ht="22.5" customHeight="1">
      <c r="A183" s="2">
        <v>182.0</v>
      </c>
      <c r="B183" s="3" t="s">
        <v>11637</v>
      </c>
      <c r="C183" s="3" t="s">
        <v>11638</v>
      </c>
      <c r="D183" s="3" t="s">
        <v>11314</v>
      </c>
      <c r="F183" s="5" t="str">
        <f>IFERROR(__xludf.DUMMYFUNCTION("GOOGLETRANSLATE(A183, ""en"", ""hi"")"),"182")</f>
        <v>182</v>
      </c>
      <c r="G183" s="5" t="str">
        <f>IFERROR(__xludf.DUMMYFUNCTION("GOOGLETRANSLATE(B183, ""en"", ""hi"")"),"गिल्ली डंडा खेल में, खिलाड़ी WWW गिल्ली पर वार करता है और वह एक ऐसी सतह पर गिरती है जहाँ पुराने चिथड़ों का ढेर उसे रोक देता है। उचित नियम क्या है?")</f>
        <v>गिल्ली डंडा खेल में, खिलाड़ी WWW गिल्ली पर वार करता है और वह एक ऐसी सतह पर गिरती है जहाँ पुराने चिथड़ों का ढेर उसे रोक देता है। उचित नियम क्या है?</v>
      </c>
      <c r="H183" s="5" t="str">
        <f>IFERROR(__xludf.DUMMYFUNCTION("GOOGLETRANSLATE(C183, ""en"", ""hi"")"),"A) गिल्ली को सीमा से बाहर माना जाता है। , B) गिल्ली को खेल में माना जाता है। , C) खेल को तब तक रोक दिया जाता है जब तक चिथड़े हटा नहीं दिए जाते। , D) खिलाड़ी WWW को एक और मौका दिया जाता है।")</f>
        <v>A) गिल्ली को सीमा से बाहर माना जाता है। , B) गिल्ली को खेल में माना जाता है। , C) खेल को तब तक रोक दिया जाता है जब तक चिथड़े हटा नहीं दिए जाते। , D) खिलाड़ी WWW को एक और मौका दिया जाता है।</v>
      </c>
      <c r="I183" s="5" t="str">
        <f>IFERROR(__xludf.DUMMYFUNCTION("GOOGLETRANSLATE(D183, ""en"", ""hi"")"),"अ) गिल्ली को सीमा से बाहर माना जाता है।")</f>
        <v>अ) गिल्ली को सीमा से बाहर माना जाता है।</v>
      </c>
    </row>
    <row r="184" ht="22.5" customHeight="1">
      <c r="A184" s="2">
        <v>183.0</v>
      </c>
      <c r="B184" s="3" t="s">
        <v>11639</v>
      </c>
      <c r="C184" s="3" t="s">
        <v>11640</v>
      </c>
      <c r="D184" s="3" t="s">
        <v>11376</v>
      </c>
      <c r="F184" s="5" t="str">
        <f>IFERROR(__xludf.DUMMYFUNCTION("GOOGLETRANSLATE(A184, ""en"", ""hi"")"),"183")</f>
        <v>183</v>
      </c>
      <c r="G184" s="5" t="str">
        <f>IFERROR(__xludf.DUMMYFUNCTION("GOOGLETRANSLATE(B184, ""en"", ""hi"")"),"खिलाड़ी AAA गिल्ली मारता है और वह रेत की एक पतली परत से ढकी सतह पर गिरती है। इस हिट का मूल्यांकन कैसे किया जाना चाहिए?")</f>
        <v>खिलाड़ी AAA गिल्ली मारता है और वह रेत की एक पतली परत से ढकी सतह पर गिरती है। इस हिट का मूल्यांकन कैसे किया जाना चाहिए?</v>
      </c>
      <c r="H184" s="5" t="str">
        <f>IFERROR(__xludf.DUMMYFUNCTION("GOOGLETRANSLATE(C184, ""en"", ""hi"")"),"A) गिल्ली को सीमा से बाहर माना जाता है। , B) गिल्ली को खेल में माना जाता है। , C) रेत साफ होने तक खेल को रोक दिया जाता है। , D) खिलाड़ी AAA को एक और मौका दिया जाता है।")</f>
        <v>A) गिल्ली को सीमा से बाहर माना जाता है। , B) गिल्ली को खेल में माना जाता है। , C) रेत साफ होने तक खेल को रोक दिया जाता है। , D) खिलाड़ी AAA को एक और मौका दिया जाता है।</v>
      </c>
      <c r="I184" s="5" t="str">
        <f>IFERROR(__xludf.DUMMYFUNCTION("GOOGLETRANSLATE(D184, ""en"", ""hi"")"),"बी) गिल्ली को खेल में शामिल माना जाता है।")</f>
        <v>बी) गिल्ली को खेल में शामिल माना जाता है।</v>
      </c>
    </row>
    <row r="185" ht="22.5" customHeight="1">
      <c r="A185" s="2">
        <v>184.0</v>
      </c>
      <c r="B185" s="3" t="s">
        <v>11641</v>
      </c>
      <c r="C185" s="3" t="s">
        <v>11642</v>
      </c>
      <c r="D185" s="3" t="s">
        <v>11314</v>
      </c>
      <c r="F185" s="5" t="str">
        <f>IFERROR(__xludf.DUMMYFUNCTION("GOOGLETRANSLATE(A185, ""en"", ""hi"")"),"184")</f>
        <v>184</v>
      </c>
      <c r="G185" s="5" t="str">
        <f>IFERROR(__xludf.DUMMYFUNCTION("GOOGLETRANSLATE(B185, ""en"", ""hi"")"),"खिलाड़ी BBB गिल्ली मारता है और वह गिरी हुई शाखाओं की मोटी परत से ढकी सतह पर गिरती है। उचित नियम क्या है?")</f>
        <v>खिलाड़ी BBB गिल्ली मारता है और वह गिरी हुई शाखाओं की मोटी परत से ढकी सतह पर गिरती है। उचित नियम क्या है?</v>
      </c>
      <c r="H185" s="5" t="str">
        <f>IFERROR(__xludf.DUMMYFUNCTION("GOOGLETRANSLATE(C185, ""en"", ""hi"")"),"A) गिल्ली को सीमा से बाहर माना जाता है। , B) गिल्ली को खेल में माना जाता है। , C) शाखाओं के साफ होने तक खेल को रोक दिया जाता है। , D) खिलाड़ी BBB को एक और मौका दिया जाता है।")</f>
        <v>A) गिल्ली को सीमा से बाहर माना जाता है। , B) गिल्ली को खेल में माना जाता है। , C) शाखाओं के साफ होने तक खेल को रोक दिया जाता है। , D) खिलाड़ी BBB को एक और मौका दिया जाता है।</v>
      </c>
      <c r="I185" s="5" t="str">
        <f>IFERROR(__xludf.DUMMYFUNCTION("GOOGLETRANSLATE(D185, ""en"", ""hi"")"),"अ) गिल्ली को सीमा से बाहर माना जाता है।")</f>
        <v>अ) गिल्ली को सीमा से बाहर माना जाता है।</v>
      </c>
    </row>
    <row r="186" ht="22.5" customHeight="1">
      <c r="A186" s="2">
        <v>185.0</v>
      </c>
      <c r="B186" s="3" t="s">
        <v>11643</v>
      </c>
      <c r="C186" s="3" t="s">
        <v>11644</v>
      </c>
      <c r="D186" s="3" t="s">
        <v>11314</v>
      </c>
      <c r="F186" s="5" t="str">
        <f>IFERROR(__xludf.DUMMYFUNCTION("GOOGLETRANSLATE(A186, ""en"", ""hi"")"),"185")</f>
        <v>185</v>
      </c>
      <c r="G186" s="5" t="str">
        <f>IFERROR(__xludf.DUMMYFUNCTION("GOOGLETRANSLATE(B186, ""en"", ""hi"")"),"गिल्ली डंडा मैच में, खिलाड़ी CCC गिल्ली मारता है और वह टूटी हुई ईंटों के एक छोटे से ढेर से घिरे क्षेत्र में गिरती है। इस प्रहार की व्याख्या कैसे की जानी चाहिए?")</f>
        <v>गिल्ली डंडा मैच में, खिलाड़ी CCC गिल्ली मारता है और वह टूटी हुई ईंटों के एक छोटे से ढेर से घिरे क्षेत्र में गिरती है। इस प्रहार की व्याख्या कैसे की जानी चाहिए?</v>
      </c>
      <c r="H186" s="5" t="str">
        <f>IFERROR(__xludf.DUMMYFUNCTION("GOOGLETRANSLATE(C186, ""en"", ""hi"")"),"A) गिल्ली को सीमा से बाहर माना जाता है। , B) गिल्ली को खेल में माना जाता है। , C) ईंटों को हटाए जाने तक खेल को रोक दिया जाता है। , D) खिलाड़ी CCC को एक और मौका दिया जाता है।")</f>
        <v>A) गिल्ली को सीमा से बाहर माना जाता है। , B) गिल्ली को खेल में माना जाता है। , C) ईंटों को हटाए जाने तक खेल को रोक दिया जाता है। , D) खिलाड़ी CCC को एक और मौका दिया जाता है।</v>
      </c>
      <c r="I186" s="5" t="str">
        <f>IFERROR(__xludf.DUMMYFUNCTION("GOOGLETRANSLATE(D186, ""en"", ""hi"")"),"अ) गिल्ली को सीमा से बाहर माना जाता है।")</f>
        <v>अ) गिल्ली को सीमा से बाहर माना जाता है।</v>
      </c>
    </row>
    <row r="187" ht="22.5" customHeight="1">
      <c r="A187" s="2">
        <v>186.0</v>
      </c>
      <c r="B187" s="3" t="s">
        <v>11645</v>
      </c>
      <c r="C187" s="3" t="s">
        <v>11646</v>
      </c>
      <c r="D187" s="3" t="s">
        <v>11314</v>
      </c>
      <c r="F187" s="5" t="str">
        <f>IFERROR(__xludf.DUMMYFUNCTION("GOOGLETRANSLATE(A187, ""en"", ""hi"")"),"186")</f>
        <v>186</v>
      </c>
      <c r="G187" s="5" t="str">
        <f>IFERROR(__xludf.DUMMYFUNCTION("GOOGLETRANSLATE(B187, ""en"", ""hi"")"),"खिलाड़ी DDD गिल्ली को मारता है और वह पानी से भरे एक बड़े गड्ढे वाली सतह पर गिरती है। इस स्थिति में क्या नियम है?")</f>
        <v>खिलाड़ी DDD गिल्ली को मारता है और वह पानी से भरे एक बड़े गड्ढे वाली सतह पर गिरती है। इस स्थिति में क्या नियम है?</v>
      </c>
      <c r="H187" s="5" t="str">
        <f>IFERROR(__xludf.DUMMYFUNCTION("GOOGLETRANSLATE(C187, ""en"", ""hi"")"),"A) गिल्ली को खेल से बाहर माना जाता है। , B) गिल्ली को खेल में माना जाता है। , C) पानी साफ होने तक खेल को रोक दिया जाता है। , D) खिलाड़ी DDD को एक और मौका दिया जाता है।")</f>
        <v>A) गिल्ली को खेल से बाहर माना जाता है। , B) गिल्ली को खेल में माना जाता है। , C) पानी साफ होने तक खेल को रोक दिया जाता है। , D) खिलाड़ी DDD को एक और मौका दिया जाता है।</v>
      </c>
      <c r="I187" s="5" t="str">
        <f>IFERROR(__xludf.DUMMYFUNCTION("GOOGLETRANSLATE(D187, ""en"", ""hi"")"),"अ) गिल्ली को सीमा से बाहर माना जाता है।")</f>
        <v>अ) गिल्ली को सीमा से बाहर माना जाता है।</v>
      </c>
    </row>
    <row r="188" ht="22.5" customHeight="1">
      <c r="A188" s="2">
        <v>187.0</v>
      </c>
      <c r="B188" s="3" t="s">
        <v>11647</v>
      </c>
      <c r="C188" s="3" t="s">
        <v>11648</v>
      </c>
      <c r="D188" s="3" t="s">
        <v>11266</v>
      </c>
      <c r="F188" s="5" t="str">
        <f>IFERROR(__xludf.DUMMYFUNCTION("GOOGLETRANSLATE(A188, ""en"", ""hi"")"),"187")</f>
        <v>187</v>
      </c>
      <c r="G188" s="5" t="str">
        <f>IFERROR(__xludf.DUMMYFUNCTION("GOOGLETRANSLATE(B188, ""en"", ""hi"")"),"गिल्ली डंडा खेल के दौरान, खिलाड़ी EEE गिल्ली पर वार करता है और वह एक ऐसी सतह पर गिरती है जहाँ कूड़े का ढेर उसे रोक देता है। इस वार का मूल्यांकन कैसे किया जाना चाहिए?")</f>
        <v>गिल्ली डंडा खेल के दौरान, खिलाड़ी EEE गिल्ली पर वार करता है और वह एक ऐसी सतह पर गिरती है जहाँ कूड़े का ढेर उसे रोक देता है। इस वार का मूल्यांकन कैसे किया जाना चाहिए?</v>
      </c>
      <c r="H188" s="5" t="str">
        <f>IFERROR(__xludf.DUMMYFUNCTION("GOOGLETRANSLATE(C188, ""en"", ""hi"")"),"A) गिल्ली को खेल में माना जाता है। , B) गिल्ली को सीमा से बाहर माना जाता है। , C) कचरा साफ होने तक खेल को रोक दिया जाता है। , D) खिलाड़ी EEE को एक और मौका दिया जाता है।")</f>
        <v>A) गिल्ली को खेल में माना जाता है। , B) गिल्ली को सीमा से बाहर माना जाता है। , C) कचरा साफ होने तक खेल को रोक दिया जाता है। , D) खिलाड़ी EEE को एक और मौका दिया जाता है।</v>
      </c>
      <c r="I188" s="5" t="str">
        <f>IFERROR(__xludf.DUMMYFUNCTION("GOOGLETRANSLATE(D188, ""en"", ""hi"")"),"बी) गिल्ली को सीमा से बाहर माना जाता है।")</f>
        <v>बी) गिल्ली को सीमा से बाहर माना जाता है।</v>
      </c>
    </row>
    <row r="189" ht="22.5" customHeight="1">
      <c r="A189" s="2">
        <v>188.0</v>
      </c>
      <c r="B189" s="3" t="s">
        <v>11649</v>
      </c>
      <c r="C189" s="3" t="s">
        <v>11650</v>
      </c>
      <c r="D189" s="3" t="s">
        <v>11266</v>
      </c>
      <c r="F189" s="5" t="str">
        <f>IFERROR(__xludf.DUMMYFUNCTION("GOOGLETRANSLATE(A189, ""en"", ""hi"")"),"188")</f>
        <v>188</v>
      </c>
      <c r="G189" s="5" t="str">
        <f>IFERROR(__xludf.DUMMYFUNCTION("GOOGLETRANSLATE(B189, ""en"", ""hi"")"),"खिलाड़ी FFF गिल्ली को मारता है और वह छोटे-छोटे पत्थरों के ढेर वाली सतह पर गिरती है। इस हिट के लिए उपयुक्त नियम क्या है?")</f>
        <v>खिलाड़ी FFF गिल्ली को मारता है और वह छोटे-छोटे पत्थरों के ढेर वाली सतह पर गिरती है। इस हिट के लिए उपयुक्त नियम क्या है?</v>
      </c>
      <c r="H189" s="5" t="str">
        <f>IFERROR(__xludf.DUMMYFUNCTION("GOOGLETRANSLATE(C189, ""en"", ""hi"")"),"A) गिल्ली को खेल में माना जाता है। , B) गिल्ली को सीमा से बाहर माना जाता है। , C) खेल तब तक रोक दिया जाता है जब तक कि पत्थर हटा नहीं दिए जाते। , D) खिलाड़ी FFF को एक और मौका दिया जाता है।")</f>
        <v>A) गिल्ली को खेल में माना जाता है। , B) गिल्ली को सीमा से बाहर माना जाता है। , C) खेल तब तक रोक दिया जाता है जब तक कि पत्थर हटा नहीं दिए जाते। , D) खिलाड़ी FFF को एक और मौका दिया जाता है।</v>
      </c>
      <c r="I189" s="5" t="str">
        <f>IFERROR(__xludf.DUMMYFUNCTION("GOOGLETRANSLATE(D189, ""en"", ""hi"")"),"बी) गिल्ली को सीमा से बाहर माना जाता है।")</f>
        <v>बी) गिल्ली को सीमा से बाहर माना जाता है।</v>
      </c>
    </row>
    <row r="190" ht="22.5" customHeight="1">
      <c r="A190" s="2">
        <v>189.0</v>
      </c>
      <c r="B190" s="3" t="s">
        <v>11651</v>
      </c>
      <c r="C190" s="3" t="s">
        <v>11554</v>
      </c>
      <c r="D190" s="3" t="s">
        <v>11376</v>
      </c>
      <c r="F190" s="5" t="str">
        <f>IFERROR(__xludf.DUMMYFUNCTION("GOOGLETRANSLATE(A190, ""en"", ""hi"")"),"189")</f>
        <v>189</v>
      </c>
      <c r="G190" s="5" t="str">
        <f>IFERROR(__xludf.DUMMYFUNCTION("GOOGLETRANSLATE(B190, ""en"", ""hi"")"),"गिल्ली डंडा खेल में, खिलाड़ी GGG गिल्ली पर वार करता है और वह बर्फ की एक पतली परत से ढकी सतह पर गिरती है। इस वार का नियम क्या है?")</f>
        <v>गिल्ली डंडा खेल में, खिलाड़ी GGG गिल्ली पर वार करता है और वह बर्फ की एक पतली परत से ढकी सतह पर गिरती है। इस वार का नियम क्या है?</v>
      </c>
      <c r="H190" s="5" t="str">
        <f>IFERROR(__xludf.DUMMYFUNCTION("GOOGLETRANSLATE(C190, ""en"", ""hi"")"),"A) गिल्ली को सीमा से बाहर माना जाता है। , B) गिल्ली को खेल में माना जाता है। , C) बर्फ साफ होने तक खेल को रोक दिया जाता है। , D) खिलाड़ी GGG को एक और मौका दिया जाता है।")</f>
        <v>A) गिल्ली को सीमा से बाहर माना जाता है। , B) गिल्ली को खेल में माना जाता है। , C) बर्फ साफ होने तक खेल को रोक दिया जाता है। , D) खिलाड़ी GGG को एक और मौका दिया जाता है।</v>
      </c>
      <c r="I190" s="5" t="str">
        <f>IFERROR(__xludf.DUMMYFUNCTION("GOOGLETRANSLATE(D190, ""en"", ""hi"")"),"बी) गिल्ली को खेल में शामिल माना जाता है।")</f>
        <v>बी) गिल्ली को खेल में शामिल माना जाता है।</v>
      </c>
    </row>
    <row r="191" ht="22.5" customHeight="1">
      <c r="A191" s="2">
        <v>190.0</v>
      </c>
      <c r="B191" s="3" t="s">
        <v>11652</v>
      </c>
      <c r="C191" s="3" t="s">
        <v>11653</v>
      </c>
      <c r="D191" s="3" t="s">
        <v>11278</v>
      </c>
      <c r="F191" s="5" t="str">
        <f>IFERROR(__xludf.DUMMYFUNCTION("GOOGLETRANSLATE(A191, ""en"", ""hi"")"),"190")</f>
        <v>190</v>
      </c>
      <c r="G191" s="5" t="str">
        <f>IFERROR(__xludf.DUMMYFUNCTION("GOOGLETRANSLATE(B191, ""en"", ""hi"")"),"खिलाड़ी HHH गिल्ली को मारता है और वह एक ऐसी सतह पर गिरती है जहाँ वह तुरंत बर्फ की एक परत से ढक जाती है। इस स्थिति में क्या नियम होना चाहिए?")</f>
        <v>खिलाड़ी HHH गिल्ली को मारता है और वह एक ऐसी सतह पर गिरती है जहाँ वह तुरंत बर्फ की एक परत से ढक जाती है। इस स्थिति में क्या नियम होना चाहिए?</v>
      </c>
      <c r="H191" s="5" t="str">
        <f>IFERROR(__xludf.DUMMYFUNCTION("GOOGLETRANSLATE(C191, ""en"", ""hi"")"),"A) गिल्ली को खेल में माना जाता है। , B) गिल्ली को सीमा से बाहर माना जाता है। , C) बर्फ पिघलने तक खेल को रोक दिया जाता है। , D) खिलाड़ी HHH को एक और मौका दिया जाता है।")</f>
        <v>A) गिल्ली को खेल में माना जाता है। , B) गिल्ली को सीमा से बाहर माना जाता है। , C) बर्फ पिघलने तक खेल को रोक दिया जाता है। , D) खिलाड़ी HHH को एक और मौका दिया जाता है।</v>
      </c>
      <c r="I191" s="5" t="str">
        <f>IFERROR(__xludf.DUMMYFUNCTION("GOOGLETRANSLATE(D191, ""en"", ""hi"")"),"अ) गिल्ली को खेल में शामिल माना जाता है।")</f>
        <v>अ) गिल्ली को खेल में शामिल माना जाता है।</v>
      </c>
    </row>
    <row r="192" ht="22.5" customHeight="1">
      <c r="A192" s="2">
        <v>191.0</v>
      </c>
      <c r="B192" s="3" t="s">
        <v>11654</v>
      </c>
      <c r="C192" s="3" t="s">
        <v>11655</v>
      </c>
      <c r="D192" s="3" t="s">
        <v>11278</v>
      </c>
      <c r="F192" s="5" t="str">
        <f>IFERROR(__xludf.DUMMYFUNCTION("GOOGLETRANSLATE(A192, ""en"", ""hi"")"),"191")</f>
        <v>191</v>
      </c>
      <c r="G192" s="5" t="str">
        <f>IFERROR(__xludf.DUMMYFUNCTION("GOOGLETRANSLATE(B192, ""en"", ""hi"")"),"गिल्ली डंडा मैच के दौरान, खिलाड़ी III गिल्ली मारता है और वह ढीली मिट्टी के ढेर से घिरे क्षेत्र में गिरती है। इस प्रहार की व्याख्या कैसे की जानी चाहिए?")</f>
        <v>गिल्ली डंडा मैच के दौरान, खिलाड़ी III गिल्ली मारता है और वह ढीली मिट्टी के ढेर से घिरे क्षेत्र में गिरती है। इस प्रहार की व्याख्या कैसे की जानी चाहिए?</v>
      </c>
      <c r="H192" s="5" t="str">
        <f>IFERROR(__xludf.DUMMYFUNCTION("GOOGLETRANSLATE(C192, ""en"", ""hi"")"),"A) गिल्ली को खेल में माना जाता है। , B) गिल्ली को सीमा से बाहर माना जाता है। , C) मिट्टी साफ होने तक खेल रोक दिया जाता है। , D) खिलाड़ी III को एक और मौका दिया जाता है।")</f>
        <v>A) गिल्ली को खेल में माना जाता है। , B) गिल्ली को सीमा से बाहर माना जाता है। , C) मिट्टी साफ होने तक खेल रोक दिया जाता है। , D) खिलाड़ी III को एक और मौका दिया जाता है।</v>
      </c>
      <c r="I192" s="5" t="str">
        <f>IFERROR(__xludf.DUMMYFUNCTION("GOOGLETRANSLATE(D192, ""en"", ""hi"")"),"अ) गिल्ली को खेल में शामिल माना जाता है।")</f>
        <v>अ) गिल्ली को खेल में शामिल माना जाता है।</v>
      </c>
    </row>
    <row r="193" ht="22.5" customHeight="1">
      <c r="A193" s="2">
        <v>192.0</v>
      </c>
      <c r="B193" s="3" t="s">
        <v>11656</v>
      </c>
      <c r="C193" s="3" t="s">
        <v>11657</v>
      </c>
      <c r="D193" s="3" t="s">
        <v>11314</v>
      </c>
      <c r="F193" s="5" t="str">
        <f>IFERROR(__xludf.DUMMYFUNCTION("GOOGLETRANSLATE(A193, ""en"", ""hi"")"),"192")</f>
        <v>192</v>
      </c>
      <c r="G193" s="5" t="str">
        <f>IFERROR(__xludf.DUMMYFUNCTION("GOOGLETRANSLATE(B193, ""en"", ""hi"")"),"खिलाड़ी JJJ गिल्ली को मारता है और वह गीली पत्तियों की एक पतली परत से ढकी सतह पर गिरती है। उचित नियम क्या है?")</f>
        <v>खिलाड़ी JJJ गिल्ली को मारता है और वह गीली पत्तियों की एक पतली परत से ढकी सतह पर गिरती है। उचित नियम क्या है?</v>
      </c>
      <c r="H193" s="5" t="str">
        <f>IFERROR(__xludf.DUMMYFUNCTION("GOOGLETRANSLATE(C193, ""en"", ""hi"")"),"A) गिल्ली को खेल से बाहर माना जाता है। , B) गिल्ली को खेल में माना जाता है। , C) पत्तों को हटाए जाने तक खेल को रोक दिया जाता है। , D) खिलाड़ी JJJ को एक और मौका दिया जाता है।")</f>
        <v>A) गिल्ली को खेल से बाहर माना जाता है। , B) गिल्ली को खेल में माना जाता है। , C) पत्तों को हटाए जाने तक खेल को रोक दिया जाता है। , D) खिलाड़ी JJJ को एक और मौका दिया जाता है।</v>
      </c>
      <c r="I193" s="5" t="str">
        <f>IFERROR(__xludf.DUMMYFUNCTION("GOOGLETRANSLATE(D193, ""en"", ""hi"")"),"अ) गिल्ली को सीमा से बाहर माना जाता है।")</f>
        <v>अ) गिल्ली को सीमा से बाहर माना जाता है।</v>
      </c>
    </row>
    <row r="194" ht="22.5" customHeight="1">
      <c r="A194" s="2">
        <v>193.0</v>
      </c>
      <c r="B194" s="3" t="s">
        <v>11658</v>
      </c>
      <c r="C194" s="3" t="s">
        <v>11659</v>
      </c>
      <c r="D194" s="3" t="s">
        <v>11314</v>
      </c>
      <c r="F194" s="5" t="str">
        <f>IFERROR(__xludf.DUMMYFUNCTION("GOOGLETRANSLATE(A194, ""en"", ""hi"")"),"193")</f>
        <v>193</v>
      </c>
      <c r="G194" s="5" t="str">
        <f>IFERROR(__xludf.DUMMYFUNCTION("GOOGLETRANSLATE(B194, ""en"", ""hi"")"),"गिल्ली डंडा खेल में, खिलाड़ी केकेके गिल्ली पर वार करता है और वह पुराने अखबारों के ढेर से ढकी सतह पर गिरती है। इस वार का नियम क्या है?")</f>
        <v>गिल्ली डंडा खेल में, खिलाड़ी केकेके गिल्ली पर वार करता है और वह पुराने अखबारों के ढेर से ढकी सतह पर गिरती है। इस वार का नियम क्या है?</v>
      </c>
      <c r="H194" s="5" t="str">
        <f>IFERROR(__xludf.DUMMYFUNCTION("GOOGLETRANSLATE(C194, ""en"", ""hi"")"),"A) गिल्ली को सीमा से बाहर माना जाता है। , B) गिल्ली को खेल में माना जाता है। , C) खेल को तब तक रोक दिया जाता है जब तक अखबार साफ नहीं हो जाते। , D) खिलाड़ी केकेके को एक और मौका दिया जाता है।")</f>
        <v>A) गिल्ली को सीमा से बाहर माना जाता है। , B) गिल्ली को खेल में माना जाता है। , C) खेल को तब तक रोक दिया जाता है जब तक अखबार साफ नहीं हो जाते। , D) खिलाड़ी केकेके को एक और मौका दिया जाता है।</v>
      </c>
      <c r="I194" s="5" t="str">
        <f>IFERROR(__xludf.DUMMYFUNCTION("GOOGLETRANSLATE(D194, ""en"", ""hi"")"),"अ) गिल्ली को सीमा से बाहर माना जाता है।")</f>
        <v>अ) गिल्ली को सीमा से बाहर माना जाता है।</v>
      </c>
    </row>
    <row r="195" ht="22.5" customHeight="1">
      <c r="A195" s="2">
        <v>194.0</v>
      </c>
      <c r="B195" s="3" t="s">
        <v>11660</v>
      </c>
      <c r="C195" s="3" t="s">
        <v>11661</v>
      </c>
      <c r="D195" s="3" t="s">
        <v>11314</v>
      </c>
      <c r="F195" s="5" t="str">
        <f>IFERROR(__xludf.DUMMYFUNCTION("GOOGLETRANSLATE(A195, ""en"", ""hi"")"),"194")</f>
        <v>194</v>
      </c>
      <c r="G195" s="5" t="str">
        <f>IFERROR(__xludf.DUMMYFUNCTION("GOOGLETRANSLATE(B195, ""en"", ""hi"")"),"खिलाड़ी LLL गिल्ली मारता है और वह मिट्टी की एक पतली परत से ढकी सतह पर गिरती है। इस स्थिति में क्या नियम है?")</f>
        <v>खिलाड़ी LLL गिल्ली मारता है और वह मिट्टी की एक पतली परत से ढकी सतह पर गिरती है। इस स्थिति में क्या नियम है?</v>
      </c>
      <c r="H195" s="5" t="str">
        <f>IFERROR(__xludf.DUMMYFUNCTION("GOOGLETRANSLATE(C195, ""en"", ""hi"")"),"A) गिल्ली को सीमा से बाहर माना जाता है। , B) गिल्ली को खेल में माना जाता है। , C) कीचड़ साफ होने तक खेल रोक दिया जाता है। , D) खिलाड़ी LLL को एक और मौका दिया जाता है।")</f>
        <v>A) गिल्ली को सीमा से बाहर माना जाता है। , B) गिल्ली को खेल में माना जाता है। , C) कीचड़ साफ होने तक खेल रोक दिया जाता है। , D) खिलाड़ी LLL को एक और मौका दिया जाता है।</v>
      </c>
      <c r="I195" s="5" t="str">
        <f>IFERROR(__xludf.DUMMYFUNCTION("GOOGLETRANSLATE(D195, ""en"", ""hi"")"),"अ) गिल्ली को सीमा से बाहर माना जाता है।")</f>
        <v>अ) गिल्ली को सीमा से बाहर माना जाता है।</v>
      </c>
    </row>
    <row r="196" ht="22.5" customHeight="1">
      <c r="A196" s="2">
        <v>195.0</v>
      </c>
      <c r="B196" s="3" t="s">
        <v>11662</v>
      </c>
      <c r="C196" s="3" t="s">
        <v>11663</v>
      </c>
      <c r="D196" s="3" t="s">
        <v>11266</v>
      </c>
      <c r="F196" s="5" t="str">
        <f>IFERROR(__xludf.DUMMYFUNCTION("GOOGLETRANSLATE(A196, ""en"", ""hi"")"),"195")</f>
        <v>195</v>
      </c>
      <c r="G196" s="5" t="str">
        <f>IFERROR(__xludf.DUMMYFUNCTION("GOOGLETRANSLATE(B196, ""en"", ""hi"")"),"गिल्ली डंडा मैच के दौरान, खिलाड़ी MMM गिल्ली पर वार करता है और वह गिरी हुई शाखाओं के ढेर से अवरुद्ध सतह पर गिरती है। इस वार का मूल्यांकन कैसे किया जाना चाहिए?")</f>
        <v>गिल्ली डंडा मैच के दौरान, खिलाड़ी MMM गिल्ली पर वार करता है और वह गिरी हुई शाखाओं के ढेर से अवरुद्ध सतह पर गिरती है। इस वार का मूल्यांकन कैसे किया जाना चाहिए?</v>
      </c>
      <c r="H196" s="5" t="str">
        <f>IFERROR(__xludf.DUMMYFUNCTION("GOOGLETRANSLATE(C196, ""en"", ""hi"")"),"A) गिल्ली को खेल में माना जाता है। , B) गिल्ली को सीमा से बाहर माना जाता है। , C) शाखाओं के साफ होने तक खेल को रोक दिया जाता है। , D) खिलाड़ी MMM को एक और मौका दिया जाता है।")</f>
        <v>A) गिल्ली को खेल में माना जाता है। , B) गिल्ली को सीमा से बाहर माना जाता है। , C) शाखाओं के साफ होने तक खेल को रोक दिया जाता है। , D) खिलाड़ी MMM को एक और मौका दिया जाता है।</v>
      </c>
      <c r="I196" s="5" t="str">
        <f>IFERROR(__xludf.DUMMYFUNCTION("GOOGLETRANSLATE(D196, ""en"", ""hi"")"),"बी) गिल्ली को सीमा से बाहर माना जाता है।")</f>
        <v>बी) गिल्ली को सीमा से बाहर माना जाता है।</v>
      </c>
    </row>
    <row r="197" ht="22.5" customHeight="1">
      <c r="A197" s="2">
        <v>196.0</v>
      </c>
      <c r="B197" s="3" t="s">
        <v>11664</v>
      </c>
      <c r="C197" s="3" t="s">
        <v>11665</v>
      </c>
      <c r="D197" s="3" t="s">
        <v>11314</v>
      </c>
      <c r="F197" s="5" t="str">
        <f>IFERROR(__xludf.DUMMYFUNCTION("GOOGLETRANSLATE(A197, ""en"", ""hi"")"),"196")</f>
        <v>196</v>
      </c>
      <c r="G197" s="5" t="str">
        <f>IFERROR(__xludf.DUMMYFUNCTION("GOOGLETRANSLATE(B197, ""en"", ""hi"")"),"खिलाड़ी NNN गिल्ली मारता है और वह घास की मोटी परत से ढकी सतह पर गिरती है। इस हिट के लिए उपयुक्त नियम क्या है?")</f>
        <v>खिलाड़ी NNN गिल्ली मारता है और वह घास की मोटी परत से ढकी सतह पर गिरती है। इस हिट के लिए उपयुक्त नियम क्या है?</v>
      </c>
      <c r="H197" s="5" t="str">
        <f>IFERROR(__xludf.DUMMYFUNCTION("GOOGLETRANSLATE(C197, ""en"", ""hi"")"),"A) गिल्ली को सीमा से बाहर माना जाता है। , B) गिल्ली को खेल में माना जाता है। , C) घास को हटाए जाने तक खेल को रोक दिया जाता है। , D) खिलाड़ी NNN को एक और मौका दिया जाता है।")</f>
        <v>A) गिल्ली को सीमा से बाहर माना जाता है। , B) गिल्ली को खेल में माना जाता है। , C) घास को हटाए जाने तक खेल को रोक दिया जाता है। , D) खिलाड़ी NNN को एक और मौका दिया जाता है।</v>
      </c>
      <c r="I197" s="5" t="str">
        <f>IFERROR(__xludf.DUMMYFUNCTION("GOOGLETRANSLATE(D197, ""en"", ""hi"")"),"अ) गिल्ली को सीमा से बाहर माना जाता है।")</f>
        <v>अ) गिल्ली को सीमा से बाहर माना जाता है।</v>
      </c>
    </row>
    <row r="198" ht="22.5" customHeight="1">
      <c r="A198" s="2">
        <v>197.0</v>
      </c>
      <c r="B198" s="3" t="s">
        <v>11666</v>
      </c>
      <c r="C198" s="3" t="s">
        <v>11667</v>
      </c>
      <c r="D198" s="3" t="s">
        <v>11278</v>
      </c>
      <c r="F198" s="5" t="str">
        <f>IFERROR(__xludf.DUMMYFUNCTION("GOOGLETRANSLATE(A198, ""en"", ""hi"")"),"197")</f>
        <v>197</v>
      </c>
      <c r="G198" s="5" t="str">
        <f>IFERROR(__xludf.DUMMYFUNCTION("GOOGLETRANSLATE(B198, ""en"", ""hi"")"),"गिल्ली डंडा खेल में, खिलाड़ी OOO गिल्ली पर वार करता है और वह धूल की एक पतली परत से ढकी सतह पर गिरती है। इस वार का नियम क्या है?")</f>
        <v>गिल्ली डंडा खेल में, खिलाड़ी OOO गिल्ली पर वार करता है और वह धूल की एक पतली परत से ढकी सतह पर गिरती है। इस वार का नियम क्या है?</v>
      </c>
      <c r="H198" s="5" t="str">
        <f>IFERROR(__xludf.DUMMYFUNCTION("GOOGLETRANSLATE(C198, ""en"", ""hi"")"),"A) गिल्ली को खेल में माना जाता है। , B) गिल्ली को सीमा से बाहर माना जाता है। , C) धूल साफ होने तक खेल को रोक दिया जाता है। , D) खिलाड़ी OOO को एक और मौका दिया जाता है।")</f>
        <v>A) गिल्ली को खेल में माना जाता है। , B) गिल्ली को सीमा से बाहर माना जाता है। , C) धूल साफ होने तक खेल को रोक दिया जाता है। , D) खिलाड़ी OOO को एक और मौका दिया जाता है।</v>
      </c>
      <c r="I198" s="5" t="str">
        <f>IFERROR(__xludf.DUMMYFUNCTION("GOOGLETRANSLATE(D198, ""en"", ""hi"")"),"अ) गिल्ली को खेल में शामिल माना जाता है।")</f>
        <v>अ) गिल्ली को खेल में शामिल माना जाता है।</v>
      </c>
    </row>
    <row r="199" ht="22.5" customHeight="1">
      <c r="A199" s="2">
        <v>198.0</v>
      </c>
      <c r="B199" s="3" t="s">
        <v>11668</v>
      </c>
      <c r="C199" s="3" t="s">
        <v>11669</v>
      </c>
      <c r="D199" s="3" t="s">
        <v>11314</v>
      </c>
      <c r="F199" s="5" t="str">
        <f>IFERROR(__xludf.DUMMYFUNCTION("GOOGLETRANSLATE(A199, ""en"", ""hi"")"),"198")</f>
        <v>198</v>
      </c>
      <c r="G199" s="5" t="str">
        <f>IFERROR(__xludf.DUMMYFUNCTION("GOOGLETRANSLATE(B199, ""en"", ""hi"")"),"खिलाड़ी PPP गिल्ली मारता है और वह बड़े पत्थरों के ढेर से घिरे क्षेत्र में गिरती है। इस हिट के लिए उपयुक्त नियम क्या है?")</f>
        <v>खिलाड़ी PPP गिल्ली मारता है और वह बड़े पत्थरों के ढेर से घिरे क्षेत्र में गिरती है। इस हिट के लिए उपयुक्त नियम क्या है?</v>
      </c>
      <c r="H199" s="5" t="str">
        <f>IFERROR(__xludf.DUMMYFUNCTION("GOOGLETRANSLATE(C199, ""en"", ""hi"")"),"A) गिल्ली को सीमा से बाहर माना जाता है। , B) गिल्ली को खेल में माना जाता है। , C) पत्थर हटाये जाने तक खेल को रोक दिया जाता है। , D) खिलाड़ी PPP को एक और मौका दिया जाता है।")</f>
        <v>A) गिल्ली को सीमा से बाहर माना जाता है। , B) गिल्ली को खेल में माना जाता है। , C) पत्थर हटाये जाने तक खेल को रोक दिया जाता है। , D) खिलाड़ी PPP को एक और मौका दिया जाता है।</v>
      </c>
      <c r="I199" s="5" t="str">
        <f>IFERROR(__xludf.DUMMYFUNCTION("GOOGLETRANSLATE(D199, ""en"", ""hi"")"),"अ) गिल्ली को सीमा से बाहर माना जाता है।")</f>
        <v>अ) गिल्ली को सीमा से बाहर माना जाता है।</v>
      </c>
    </row>
    <row r="200" ht="22.5" customHeight="1">
      <c r="A200" s="2">
        <v>199.0</v>
      </c>
      <c r="B200" s="3" t="s">
        <v>11670</v>
      </c>
      <c r="C200" s="3" t="s">
        <v>11671</v>
      </c>
      <c r="D200" s="3" t="s">
        <v>11376</v>
      </c>
      <c r="F200" s="5" t="str">
        <f>IFERROR(__xludf.DUMMYFUNCTION("GOOGLETRANSLATE(A200, ""en"", ""hi"")"),"199")</f>
        <v>199</v>
      </c>
      <c r="G200" s="5" t="str">
        <f>IFERROR(__xludf.DUMMYFUNCTION("GOOGLETRANSLATE(B200, ""en"", ""hi"")"),"खिलाड़ी QQQ गिल्ली को मारता है और वह गीली घास से ढकी सतह पर गिरती है। इस स्थिति में क्या नियम होना चाहिए?")</f>
        <v>खिलाड़ी QQQ गिल्ली को मारता है और वह गीली घास से ढकी सतह पर गिरती है। इस स्थिति में क्या नियम होना चाहिए?</v>
      </c>
      <c r="H200" s="5" t="str">
        <f>IFERROR(__xludf.DUMMYFUNCTION("GOOGLETRANSLATE(C200, ""en"", ""hi"")"),"A) गिल्ली को सीमा से बाहर माना जाता है। , B) गिल्ली को खेल में माना जाता है। , C) घास सूखने तक खेल को रोक दिया जाता है। , D) खिलाड़ी QQQ को एक और मौका दिया जाता है।")</f>
        <v>A) गिल्ली को सीमा से बाहर माना जाता है। , B) गिल्ली को खेल में माना जाता है। , C) घास सूखने तक खेल को रोक दिया जाता है। , D) खिलाड़ी QQQ को एक और मौका दिया जाता है।</v>
      </c>
      <c r="I200" s="5" t="str">
        <f>IFERROR(__xludf.DUMMYFUNCTION("GOOGLETRANSLATE(D200, ""en"", ""hi"")"),"बी) गिल्ली को खेल में शामिल माना जाता है।")</f>
        <v>बी) गिल्ली को खेल में शामिल माना जाता है।</v>
      </c>
    </row>
    <row r="201" ht="22.5" customHeight="1">
      <c r="A201" s="2">
        <v>200.0</v>
      </c>
      <c r="B201" s="3" t="s">
        <v>11672</v>
      </c>
      <c r="C201" s="3" t="s">
        <v>11673</v>
      </c>
      <c r="D201" s="3" t="s">
        <v>11266</v>
      </c>
      <c r="F201" s="5" t="str">
        <f>IFERROR(__xludf.DUMMYFUNCTION("GOOGLETRANSLATE(A201, ""en"", ""hi"")"),"200")</f>
        <v>200</v>
      </c>
      <c r="G201" s="5" t="str">
        <f>IFERROR(__xludf.DUMMYFUNCTION("GOOGLETRANSLATE(B201, ""en"", ""hi"")"),"खिलाड़ी RRR गिल्ली मारता है और वह एक बड़े लकड़ी के लट्ठे से घिरे क्षेत्र में गिरती है। इस प्रहार की व्याख्या कैसे की जानी चाहिए?")</f>
        <v>खिलाड़ी RRR गिल्ली मारता है और वह एक बड़े लकड़ी के लट्ठे से घिरे क्षेत्र में गिरती है। इस प्रहार की व्याख्या कैसे की जानी चाहिए?</v>
      </c>
      <c r="H201" s="5" t="str">
        <f>IFERROR(__xludf.DUMMYFUNCTION("GOOGLETRANSLATE(C201, ""en"", ""hi"")"),"A) गिल्ली को खेल में माना जाता है। , B) गिल्ली को सीमा से बाहर माना जाता है। , C) जब तक लट्ठा नहीं हट जाता तब तक खेल रोक दिया जाता है। , D) खिलाड़ी RRR को एक और मौका दिया जाता है।")</f>
        <v>A) गिल्ली को खेल में माना जाता है। , B) गिल्ली को सीमा से बाहर माना जाता है। , C) जब तक लट्ठा नहीं हट जाता तब तक खेल रोक दिया जाता है। , D) खिलाड़ी RRR को एक और मौका दिया जाता है।</v>
      </c>
      <c r="I201" s="5" t="str">
        <f>IFERROR(__xludf.DUMMYFUNCTION("GOOGLETRANSLATE(D201, ""en"", ""hi"")"),"बी) गिल्ली को सीमा से बाहर माना जाता है।")</f>
        <v>बी) गिल्ली को सीमा से बाहर माना जाता है।</v>
      </c>
    </row>
    <row r="202" ht="22.5" customHeight="1">
      <c r="A202" s="2">
        <v>201.0</v>
      </c>
      <c r="B202" s="3" t="s">
        <v>11674</v>
      </c>
      <c r="C202" s="3" t="s">
        <v>11675</v>
      </c>
      <c r="D202" s="3" t="s">
        <v>11314</v>
      </c>
      <c r="F202" s="5" t="str">
        <f>IFERROR(__xludf.DUMMYFUNCTION("GOOGLETRANSLATE(A202, ""en"", ""hi"")"),"201")</f>
        <v>201</v>
      </c>
      <c r="G202" s="5" t="str">
        <f>IFERROR(__xludf.DUMMYFUNCTION("GOOGLETRANSLATE(B202, ""en"", ""hi"")"),"गिल्ली डंडा मैच में, खिलाड़ी SSS गिल्ली मारता है और वह मिट्टी की मोटी परत से ढकी सतह पर गिरती है। उचित नियम क्या है?")</f>
        <v>गिल्ली डंडा मैच में, खिलाड़ी SSS गिल्ली मारता है और वह मिट्टी की मोटी परत से ढकी सतह पर गिरती है। उचित नियम क्या है?</v>
      </c>
      <c r="H202" s="5" t="str">
        <f>IFERROR(__xludf.DUMMYFUNCTION("GOOGLETRANSLATE(C202, ""en"", ""hi"")"),"A) गिल्ली को सीमा से बाहर माना जाता है। , B) गिल्ली को खेल में माना जाता है। , C) खेल को तब तक रोक दिया जाता है जब तक मिट्टी साफ नहीं हो जाती। , D) खिलाड़ी एसएसएस को एक और मौका दिया जाता है।")</f>
        <v>A) गिल्ली को सीमा से बाहर माना जाता है। , B) गिल्ली को खेल में माना जाता है। , C) खेल को तब तक रोक दिया जाता है जब तक मिट्टी साफ नहीं हो जाती। , D) खिलाड़ी एसएसएस को एक और मौका दिया जाता है।</v>
      </c>
      <c r="I202" s="5" t="str">
        <f>IFERROR(__xludf.DUMMYFUNCTION("GOOGLETRANSLATE(D202, ""en"", ""hi"")"),"अ) गिल्ली को सीमा से बाहर माना जाता है।")</f>
        <v>अ) गिल्ली को सीमा से बाहर माना जाता है।</v>
      </c>
    </row>
    <row r="203" ht="22.5" customHeight="1">
      <c r="A203" s="2">
        <v>202.0</v>
      </c>
      <c r="B203" s="3" t="s">
        <v>11676</v>
      </c>
      <c r="C203" s="3" t="s">
        <v>11677</v>
      </c>
      <c r="D203" s="3" t="s">
        <v>11266</v>
      </c>
      <c r="F203" s="5" t="str">
        <f>IFERROR(__xludf.DUMMYFUNCTION("GOOGLETRANSLATE(A203, ""en"", ""hi"")"),"202")</f>
        <v>202</v>
      </c>
      <c r="G203" s="5" t="str">
        <f>IFERROR(__xludf.DUMMYFUNCTION("GOOGLETRANSLATE(B203, ""en"", ""hi"")"),"खिलाड़ी TTT गिल्ली को मारता है और वह गिरे हुए पत्तों के ढेर से ढकी सतह पर गिरती है। इस हिट का मूल्यांकन कैसे किया जाना चाहिए?")</f>
        <v>खिलाड़ी TTT गिल्ली को मारता है और वह गिरे हुए पत्तों के ढेर से ढकी सतह पर गिरती है। इस हिट का मूल्यांकन कैसे किया जाना चाहिए?</v>
      </c>
      <c r="H203" s="5" t="str">
        <f>IFERROR(__xludf.DUMMYFUNCTION("GOOGLETRANSLATE(C203, ""en"", ""hi"")"),"A) गिल्ली को खेल में माना जाता है। , B) गिल्ली को सीमा से बाहर माना जाता है। , C) पत्तों को हटाए जाने तक खेल को रोक दिया जाता है। , D) खिलाड़ी TTT को एक और मौका दिया जाता है।")</f>
        <v>A) गिल्ली को खेल में माना जाता है। , B) गिल्ली को सीमा से बाहर माना जाता है। , C) पत्तों को हटाए जाने तक खेल को रोक दिया जाता है। , D) खिलाड़ी TTT को एक और मौका दिया जाता है।</v>
      </c>
      <c r="I203" s="5" t="str">
        <f>IFERROR(__xludf.DUMMYFUNCTION("GOOGLETRANSLATE(D203, ""en"", ""hi"")"),"बी) गिल्ली को सीमा से बाहर माना जाता है।")</f>
        <v>बी) गिल्ली को सीमा से बाहर माना जाता है।</v>
      </c>
    </row>
    <row r="204" ht="22.5" customHeight="1">
      <c r="A204" s="2">
        <v>203.0</v>
      </c>
      <c r="B204" s="3" t="s">
        <v>11678</v>
      </c>
      <c r="C204" s="3" t="s">
        <v>11679</v>
      </c>
      <c r="D204" s="3" t="s">
        <v>11314</v>
      </c>
      <c r="F204" s="5" t="str">
        <f>IFERROR(__xludf.DUMMYFUNCTION("GOOGLETRANSLATE(A204, ""en"", ""hi"")"),"203")</f>
        <v>203</v>
      </c>
      <c r="G204" s="5" t="str">
        <f>IFERROR(__xludf.DUMMYFUNCTION("GOOGLETRANSLATE(B204, ""en"", ""hi"")"),"गिल्ली डंडा मैच के दौरान, खिलाड़ी UUU गिल्ली मारता है और वह बजरी की पतली परत से ढकी सतह पर गिरती है। इस स्थिति में क्या नियम है?")</f>
        <v>गिल्ली डंडा मैच के दौरान, खिलाड़ी UUU गिल्ली मारता है और वह बजरी की पतली परत से ढकी सतह पर गिरती है। इस स्थिति में क्या नियम है?</v>
      </c>
      <c r="H204" s="5" t="str">
        <f>IFERROR(__xludf.DUMMYFUNCTION("GOOGLETRANSLATE(C204, ""en"", ""hi"")"),"A) गिल्ली को सीमा से बाहर माना जाता है। , B) गिल्ली को खेल में माना जाता है। , C) बजरी हटाए जाने तक खेल को रोक दिया जाता है। , D) खिलाड़ी UUU को एक और मौका दिया जाता है।")</f>
        <v>A) गिल्ली को सीमा से बाहर माना जाता है। , B) गिल्ली को खेल में माना जाता है। , C) बजरी हटाए जाने तक खेल को रोक दिया जाता है। , D) खिलाड़ी UUU को एक और मौका दिया जाता है।</v>
      </c>
      <c r="I204" s="5" t="str">
        <f>IFERROR(__xludf.DUMMYFUNCTION("GOOGLETRANSLATE(D204, ""en"", ""hi"")"),"अ) गिल्ली को सीमा से बाहर माना जाता है।")</f>
        <v>अ) गिल्ली को सीमा से बाहर माना जाता है।</v>
      </c>
    </row>
    <row r="205" ht="22.5" customHeight="1">
      <c r="A205" s="2">
        <v>204.0</v>
      </c>
      <c r="B205" s="3" t="s">
        <v>11680</v>
      </c>
      <c r="C205" s="3" t="s">
        <v>11681</v>
      </c>
      <c r="D205" s="3" t="s">
        <v>11314</v>
      </c>
      <c r="F205" s="5" t="str">
        <f>IFERROR(__xludf.DUMMYFUNCTION("GOOGLETRANSLATE(A205, ""en"", ""hi"")"),"204")</f>
        <v>204</v>
      </c>
      <c r="G205" s="5" t="str">
        <f>IFERROR(__xludf.DUMMYFUNCTION("GOOGLETRANSLATE(B205, ""en"", ""hi"")"),"खिलाड़ी VVV गिल्ली मारता है और वह ऐसी सतह पर गिरती है जहाँ उसे अप्रयुक्त टायरों के ढेर ने रोक रखा है। इस हिट की व्याख्या कैसे की जानी चाहिए?")</f>
        <v>खिलाड़ी VVV गिल्ली मारता है और वह ऐसी सतह पर गिरती है जहाँ उसे अप्रयुक्त टायरों के ढेर ने रोक रखा है। इस हिट की व्याख्या कैसे की जानी चाहिए?</v>
      </c>
      <c r="H205" s="5" t="str">
        <f>IFERROR(__xludf.DUMMYFUNCTION("GOOGLETRANSLATE(C205, ""en"", ""hi"")"),"A) गिल्ली को सीमा से बाहर माना जाता है। , B) गिल्ली को खेल में माना जाता है। , C) खेल को तब तक रोक दिया जाता है जब तक टायर हटा नहीं दिए जाते। , D) खिलाड़ी VVV को एक और मौका दिया जाता है।")</f>
        <v>A) गिल्ली को सीमा से बाहर माना जाता है। , B) गिल्ली को खेल में माना जाता है। , C) खेल को तब तक रोक दिया जाता है जब तक टायर हटा नहीं दिए जाते। , D) खिलाड़ी VVV को एक और मौका दिया जाता है।</v>
      </c>
      <c r="I205" s="5" t="str">
        <f>IFERROR(__xludf.DUMMYFUNCTION("GOOGLETRANSLATE(D205, ""en"", ""hi"")"),"अ) गिल्ली को सीमा से बाहर माना जाता है।")</f>
        <v>अ) गिल्ली को सीमा से बाहर माना जाता है।</v>
      </c>
    </row>
    <row r="206" ht="22.5" customHeight="1">
      <c r="A206" s="2">
        <v>205.0</v>
      </c>
      <c r="B206" s="3" t="s">
        <v>11682</v>
      </c>
      <c r="C206" s="3" t="s">
        <v>11683</v>
      </c>
      <c r="D206" s="3" t="s">
        <v>11266</v>
      </c>
      <c r="F206" s="5" t="str">
        <f>IFERROR(__xludf.DUMMYFUNCTION("GOOGLETRANSLATE(A206, ""en"", ""hi"")"),"205")</f>
        <v>205</v>
      </c>
      <c r="G206" s="5" t="str">
        <f>IFERROR(__xludf.DUMMYFUNCTION("GOOGLETRANSLATE(B206, ""en"", ""hi"")"),"गिल्ली डंडा खेल में, खिलाड़ी WWW गिल्ली पर वार करता है और वह गीली मिट्टी की पतली परत से ढकी सतह पर गिरती है। इस वार के लिए उपयुक्त नियम क्या है?")</f>
        <v>गिल्ली डंडा खेल में, खिलाड़ी WWW गिल्ली पर वार करता है और वह गीली मिट्टी की पतली परत से ढकी सतह पर गिरती है। इस वार के लिए उपयुक्त नियम क्या है?</v>
      </c>
      <c r="H206" s="5" t="str">
        <f>IFERROR(__xludf.DUMMYFUNCTION("GOOGLETRANSLATE(C206, ""en"", ""hi"")"),"A) गिल्ली को खेल में माना जाता है। , B) गिल्ली को सीमा से बाहर माना जाता है। , C) कीचड़ सूखने तक खेल को रोक दिया जाता है। , D) खिलाड़ी WWW को एक और मौका दिया जाता है।")</f>
        <v>A) गिल्ली को खेल में माना जाता है। , B) गिल्ली को सीमा से बाहर माना जाता है। , C) कीचड़ सूखने तक खेल को रोक दिया जाता है। , D) खिलाड़ी WWW को एक और मौका दिया जाता है।</v>
      </c>
      <c r="I206" s="5" t="str">
        <f>IFERROR(__xludf.DUMMYFUNCTION("GOOGLETRANSLATE(D206, ""en"", ""hi"")"),"बी) गिल्ली को सीमा से बाहर माना जाता है।")</f>
        <v>बी) गिल्ली को सीमा से बाहर माना जाता है।</v>
      </c>
    </row>
    <row r="207" ht="22.5" customHeight="1">
      <c r="A207" s="2">
        <v>206.0</v>
      </c>
      <c r="B207" s="3" t="s">
        <v>11684</v>
      </c>
      <c r="C207" s="3" t="s">
        <v>11685</v>
      </c>
      <c r="D207" s="3" t="s">
        <v>11314</v>
      </c>
      <c r="F207" s="5" t="str">
        <f>IFERROR(__xludf.DUMMYFUNCTION("GOOGLETRANSLATE(A207, ""en"", ""hi"")"),"206")</f>
        <v>206</v>
      </c>
      <c r="G207" s="5" t="str">
        <f>IFERROR(__xludf.DUMMYFUNCTION("GOOGLETRANSLATE(B207, ""en"", ""hi"")"),"खिलाड़ी XXX गिल्ली को मारता है और वह सूखे पत्तों की मोटी परत से ढकी सतह पर गिरती है। इस स्थिति में क्या नियम है?")</f>
        <v>खिलाड़ी XXX गिल्ली को मारता है और वह सूखे पत्तों की मोटी परत से ढकी सतह पर गिरती है। इस स्थिति में क्या नियम है?</v>
      </c>
      <c r="H207" s="5" t="str">
        <f>IFERROR(__xludf.DUMMYFUNCTION("GOOGLETRANSLATE(C207, ""en"", ""hi"")"),"A) गिल्ली को सीमा से बाहर माना जाता है। , B) गिल्ली को खेल में माना जाता है। , C) पत्तों के साफ होने तक खेल को रोक दिया जाता है। , D) खिलाड़ी XXX को एक और मौका दिया जाता है।")</f>
        <v>A) गिल्ली को सीमा से बाहर माना जाता है। , B) गिल्ली को खेल में माना जाता है। , C) पत्तों के साफ होने तक खेल को रोक दिया जाता है। , D) खिलाड़ी XXX को एक और मौका दिया जाता है।</v>
      </c>
      <c r="I207" s="5" t="str">
        <f>IFERROR(__xludf.DUMMYFUNCTION("GOOGLETRANSLATE(D207, ""en"", ""hi"")"),"अ) गिल्ली को सीमा से बाहर माना जाता है।")</f>
        <v>अ) गिल्ली को सीमा से बाहर माना जाता है।</v>
      </c>
    </row>
    <row r="208" ht="22.5" customHeight="1">
      <c r="A208" s="2">
        <v>207.0</v>
      </c>
      <c r="B208" s="3" t="s">
        <v>11686</v>
      </c>
      <c r="C208" s="3" t="s">
        <v>11687</v>
      </c>
      <c r="D208" s="3" t="s">
        <v>11314</v>
      </c>
      <c r="F208" s="5" t="str">
        <f>IFERROR(__xludf.DUMMYFUNCTION("GOOGLETRANSLATE(A208, ""en"", ""hi"")"),"207")</f>
        <v>207</v>
      </c>
      <c r="G208" s="5" t="str">
        <f>IFERROR(__xludf.DUMMYFUNCTION("GOOGLETRANSLATE(B208, ""en"", ""hi"")"),"गिल्ली डंडा मैच के दौरान, खिलाड़ी YYY गिल्ली मारता है और वह टूटे हुए काँच के ढेर से घिरे क्षेत्र में गिरती है। इस हिट का मूल्यांकन कैसे किया जाना चाहिए?")</f>
        <v>गिल्ली डंडा मैच के दौरान, खिलाड़ी YYY गिल्ली मारता है और वह टूटे हुए काँच के ढेर से घिरे क्षेत्र में गिरती है। इस हिट का मूल्यांकन कैसे किया जाना चाहिए?</v>
      </c>
      <c r="H208" s="5" t="str">
        <f>IFERROR(__xludf.DUMMYFUNCTION("GOOGLETRANSLATE(C208, ""en"", ""hi"")"),"A) गिल्ली को सीमा से बाहर माना जाता है। , B) गिल्ली को खेल में माना जाता है। , C) खेल को तब तक रोक दिया जाता है जब तक कि गिलास साफ नहीं हो जाता। , D) खिलाड़ी YYY को एक और मौका दिया जाता है।")</f>
        <v>A) गिल्ली को सीमा से बाहर माना जाता है। , B) गिल्ली को खेल में माना जाता है। , C) खेल को तब तक रोक दिया जाता है जब तक कि गिलास साफ नहीं हो जाता। , D) खिलाड़ी YYY को एक और मौका दिया जाता है।</v>
      </c>
      <c r="I208" s="5" t="str">
        <f>IFERROR(__xludf.DUMMYFUNCTION("GOOGLETRANSLATE(D208, ""en"", ""hi"")"),"अ) गिल्ली को सीमा से बाहर माना जाता है।")</f>
        <v>अ) गिल्ली को सीमा से बाहर माना जाता है।</v>
      </c>
    </row>
    <row r="209" ht="22.5" customHeight="1">
      <c r="A209" s="2">
        <v>208.0</v>
      </c>
      <c r="B209" s="3" t="s">
        <v>11688</v>
      </c>
      <c r="C209" s="3" t="s">
        <v>11689</v>
      </c>
      <c r="D209" s="3" t="s">
        <v>11278</v>
      </c>
      <c r="F209" s="5" t="str">
        <f>IFERROR(__xludf.DUMMYFUNCTION("GOOGLETRANSLATE(A209, ""en"", ""hi"")"),"208")</f>
        <v>208</v>
      </c>
      <c r="G209" s="5" t="str">
        <f>IFERROR(__xludf.DUMMYFUNCTION("GOOGLETRANSLATE(B209, ""en"", ""hi"")"),"खिलाड़ी गिल्ली को ZZZ मारता है और वह गिरी हुई पंखुड़ियों की एक पतली परत से ढकी सतह पर गिरती है। इस हिट के लिए उपयुक्त नियम क्या है?")</f>
        <v>खिलाड़ी गिल्ली को ZZZ मारता है और वह गिरी हुई पंखुड़ियों की एक पतली परत से ढकी सतह पर गिरती है। इस हिट के लिए उपयुक्त नियम क्या है?</v>
      </c>
      <c r="H209" s="5" t="str">
        <f>IFERROR(__xludf.DUMMYFUNCTION("GOOGLETRANSLATE(C209, ""en"", ""hi"")"),"A) गिल्ली को खेल में माना जाता है। , B) गिल्ली को सीमा से बाहर माना जाता है। , C) पंखुड़ियों के साफ होने तक खेल को रोक दिया जाता है। , D) खिलाड़ी ZZZ को एक और मौका दिया जाता है।")</f>
        <v>A) गिल्ली को खेल में माना जाता है। , B) गिल्ली को सीमा से बाहर माना जाता है। , C) पंखुड़ियों के साफ होने तक खेल को रोक दिया जाता है। , D) खिलाड़ी ZZZ को एक और मौका दिया जाता है।</v>
      </c>
      <c r="I209" s="5" t="str">
        <f>IFERROR(__xludf.DUMMYFUNCTION("GOOGLETRANSLATE(D209, ""en"", ""hi"")"),"अ) गिल्ली को खेल में शामिल माना जाता है।")</f>
        <v>अ) गिल्ली को खेल में शामिल माना जाता है।</v>
      </c>
    </row>
    <row r="210" ht="22.5" customHeight="1">
      <c r="A210" s="2">
        <v>209.0</v>
      </c>
      <c r="B210" s="3" t="s">
        <v>11690</v>
      </c>
      <c r="C210" s="3" t="s">
        <v>11691</v>
      </c>
      <c r="D210" s="3" t="s">
        <v>11266</v>
      </c>
      <c r="F210" s="5" t="str">
        <f>IFERROR(__xludf.DUMMYFUNCTION("GOOGLETRANSLATE(A210, ""en"", ""hi"")"),"209")</f>
        <v>209</v>
      </c>
      <c r="G210" s="5" t="str">
        <f>IFERROR(__xludf.DUMMYFUNCTION("GOOGLETRANSLATE(B210, ""en"", ""hi"")"),"खिलाड़ी AAA गिल्ली मारता है और वह लकड़ी के एक बड़े टुकड़े से अवरुद्ध सतह पर गिरती है। इस स्थिति में क्या नियम है?")</f>
        <v>खिलाड़ी AAA गिल्ली मारता है और वह लकड़ी के एक बड़े टुकड़े से अवरुद्ध सतह पर गिरती है। इस स्थिति में क्या नियम है?</v>
      </c>
      <c r="H210" s="5" t="str">
        <f>IFERROR(__xludf.DUMMYFUNCTION("GOOGLETRANSLATE(C210, ""en"", ""hi"")"),"A) गिल्ली को खेल में माना जाता है। , B) गिल्ली को सीमा से बाहर माना जाता है। , C) लकड़ी हटाए जाने तक खेल को रोक दिया जाता है। , D) खिलाड़ी AAA को एक और मौका दिया जाता है।")</f>
        <v>A) गिल्ली को खेल में माना जाता है। , B) गिल्ली को सीमा से बाहर माना जाता है। , C) लकड़ी हटाए जाने तक खेल को रोक दिया जाता है। , D) खिलाड़ी AAA को एक और मौका दिया जाता है।</v>
      </c>
      <c r="I210" s="5" t="str">
        <f>IFERROR(__xludf.DUMMYFUNCTION("GOOGLETRANSLATE(D210, ""en"", ""hi"")"),"बी) गिल्ली को सीमा से बाहर माना जाता है।")</f>
        <v>बी) गिल्ली को सीमा से बाहर माना जाता है।</v>
      </c>
    </row>
    <row r="211" ht="22.5" customHeight="1">
      <c r="A211" s="2">
        <v>210.0</v>
      </c>
      <c r="B211" s="3" t="s">
        <v>11692</v>
      </c>
      <c r="C211" s="3" t="s">
        <v>11693</v>
      </c>
      <c r="D211" s="3" t="s">
        <v>11314</v>
      </c>
      <c r="F211" s="5" t="str">
        <f>IFERROR(__xludf.DUMMYFUNCTION("GOOGLETRANSLATE(A211, ""en"", ""hi"")"),"210")</f>
        <v>210</v>
      </c>
      <c r="G211" s="5" t="str">
        <f>IFERROR(__xludf.DUMMYFUNCTION("GOOGLETRANSLATE(B211, ""en"", ""hi"")"),"गिल्ली डंडा मैच में, खिलाड़ी BBB गिल्ली पर वार करता है और वह पुराने कपड़े की मोटी परत से ढकी सतह पर गिरती है। इस वार की व्याख्या कैसे की जानी चाहिए?")</f>
        <v>गिल्ली डंडा मैच में, खिलाड़ी BBB गिल्ली पर वार करता है और वह पुराने कपड़े की मोटी परत से ढकी सतह पर गिरती है। इस वार की व्याख्या कैसे की जानी चाहिए?</v>
      </c>
      <c r="H211" s="5" t="str">
        <f>IFERROR(__xludf.DUMMYFUNCTION("GOOGLETRANSLATE(C211, ""en"", ""hi"")"),"A) गिल्ली को खेल से बाहर माना जाता है। , B) गिल्ली को खेल में माना जाता है। , C) कपड़ा हटाए जाने तक खेल को रोक दिया जाता है। , D) खिलाड़ी BBB को एक और मौका दिया जाता है।")</f>
        <v>A) गिल्ली को खेल से बाहर माना जाता है। , B) गिल्ली को खेल में माना जाता है। , C) कपड़ा हटाए जाने तक खेल को रोक दिया जाता है। , D) खिलाड़ी BBB को एक और मौका दिया जाता है।</v>
      </c>
      <c r="I211" s="5" t="str">
        <f>IFERROR(__xludf.DUMMYFUNCTION("GOOGLETRANSLATE(D211, ""en"", ""hi"")"),"अ) गिल्ली को सीमा से बाहर माना जाता है।")</f>
        <v>अ) गिल्ली को सीमा से बाहर माना जाता है।</v>
      </c>
    </row>
    <row r="212" ht="22.5" customHeight="1">
      <c r="A212" s="2">
        <v>211.0</v>
      </c>
      <c r="B212" s="3" t="s">
        <v>11694</v>
      </c>
      <c r="C212" s="3" t="s">
        <v>11695</v>
      </c>
      <c r="D212" s="3" t="s">
        <v>11278</v>
      </c>
      <c r="F212" s="5" t="str">
        <f>IFERROR(__xludf.DUMMYFUNCTION("GOOGLETRANSLATE(A212, ""en"", ""hi"")"),"211")</f>
        <v>211</v>
      </c>
      <c r="G212" s="5" t="str">
        <f>IFERROR(__xludf.DUMMYFUNCTION("GOOGLETRANSLATE(B212, ""en"", ""hi"")"),"खिलाड़ी CCC गिल्ली मारता है और वह रेत की एक पतली परत से ढकी सतह पर गिरती है। इस स्थिति में क्या नियम है?")</f>
        <v>खिलाड़ी CCC गिल्ली मारता है और वह रेत की एक पतली परत से ढकी सतह पर गिरती है। इस स्थिति में क्या नियम है?</v>
      </c>
      <c r="H212" s="5" t="str">
        <f>IFERROR(__xludf.DUMMYFUNCTION("GOOGLETRANSLATE(C212, ""en"", ""hi"")"),"A) गिल्ली को खेल में माना जाता है। , B) गिल्ली को सीमा से बाहर माना जाता है। , C) रेत हटाए जाने तक खेल को रोक दिया जाता है। , D) खिलाड़ी CCC को एक और मौका दिया जाता है।")</f>
        <v>A) गिल्ली को खेल में माना जाता है। , B) गिल्ली को सीमा से बाहर माना जाता है। , C) रेत हटाए जाने तक खेल को रोक दिया जाता है। , D) खिलाड़ी CCC को एक और मौका दिया जाता है।</v>
      </c>
      <c r="I212" s="5" t="str">
        <f>IFERROR(__xludf.DUMMYFUNCTION("GOOGLETRANSLATE(D212, ""en"", ""hi"")"),"अ) गिल्ली को खेल में शामिल माना जाता है।")</f>
        <v>अ) गिल्ली को खेल में शामिल माना जाता है।</v>
      </c>
    </row>
    <row r="213" ht="22.5" customHeight="1">
      <c r="A213" s="2">
        <v>212.0</v>
      </c>
      <c r="B213" s="3" t="s">
        <v>11696</v>
      </c>
      <c r="C213" s="3" t="s">
        <v>11697</v>
      </c>
      <c r="D213" s="3" t="s">
        <v>11314</v>
      </c>
      <c r="F213" s="5" t="str">
        <f>IFERROR(__xludf.DUMMYFUNCTION("GOOGLETRANSLATE(A213, ""en"", ""hi"")"),"212")</f>
        <v>212</v>
      </c>
      <c r="G213" s="5" t="str">
        <f>IFERROR(__xludf.DUMMYFUNCTION("GOOGLETRANSLATE(B213, ""en"", ""hi"")"),"गिल्ली डंडा मैच के दौरान, खिलाड़ी DDD गिल्ली पर वार करता है और वह पत्तों के ढेर से घिरे क्षेत्र में गिरती है। इस वार के लिए उपयुक्त नियम क्या है?")</f>
        <v>गिल्ली डंडा मैच के दौरान, खिलाड़ी DDD गिल्ली पर वार करता है और वह पत्तों के ढेर से घिरे क्षेत्र में गिरती है। इस वार के लिए उपयुक्त नियम क्या है?</v>
      </c>
      <c r="H213" s="5" t="str">
        <f>IFERROR(__xludf.DUMMYFUNCTION("GOOGLETRANSLATE(C213, ""en"", ""hi"")"),"A) गिल्ली को सीमा से बाहर माना जाता है। , B) गिल्ली को खेल में माना जाता है। , C) खेल तब तक रुका रहता है जब तक पत्ते साफ नहीं हो जाते। , D) खिलाड़ी DDD को एक और मौका दिया जाता है।")</f>
        <v>A) गिल्ली को सीमा से बाहर माना जाता है। , B) गिल्ली को खेल में माना जाता है। , C) खेल तब तक रुका रहता है जब तक पत्ते साफ नहीं हो जाते। , D) खिलाड़ी DDD को एक और मौका दिया जाता है।</v>
      </c>
      <c r="I213" s="5" t="str">
        <f>IFERROR(__xludf.DUMMYFUNCTION("GOOGLETRANSLATE(D213, ""en"", ""hi"")"),"अ) गिल्ली को सीमा से बाहर माना जाता है।")</f>
        <v>अ) गिल्ली को सीमा से बाहर माना जाता है।</v>
      </c>
    </row>
    <row r="214" ht="22.5" customHeight="1">
      <c r="A214" s="2">
        <v>213.0</v>
      </c>
      <c r="B214" s="3" t="s">
        <v>11698</v>
      </c>
      <c r="C214" s="3" t="s">
        <v>11699</v>
      </c>
      <c r="D214" s="3" t="s">
        <v>11266</v>
      </c>
      <c r="F214" s="5" t="str">
        <f>IFERROR(__xludf.DUMMYFUNCTION("GOOGLETRANSLATE(A214, ""en"", ""hi"")"),"213")</f>
        <v>213</v>
      </c>
      <c r="G214" s="5" t="str">
        <f>IFERROR(__xludf.DUMMYFUNCTION("GOOGLETRANSLATE(B214, ""en"", ""hi"")"),"खिलाड़ी EEE गिल्ली मारता है और वह पानी की मोटी परत से ढकी सतह पर गिरती है। इस हिट का नियम क्या होना चाहिए?")</f>
        <v>खिलाड़ी EEE गिल्ली मारता है और वह पानी की मोटी परत से ढकी सतह पर गिरती है। इस हिट का नियम क्या होना चाहिए?</v>
      </c>
      <c r="H214" s="5" t="str">
        <f>IFERROR(__xludf.DUMMYFUNCTION("GOOGLETRANSLATE(C214, ""en"", ""hi"")"),"A) गिल्ली को खेल में माना जाता है। , B) गिल्ली को सीमा से बाहर माना जाता है। , C) पानी हटाए जाने तक खेल को रोक दिया जाता है। , D) खिलाड़ी EEE को एक और मौका दिया जाता है।")</f>
        <v>A) गिल्ली को खेल में माना जाता है। , B) गिल्ली को सीमा से बाहर माना जाता है। , C) पानी हटाए जाने तक खेल को रोक दिया जाता है। , D) खिलाड़ी EEE को एक और मौका दिया जाता है।</v>
      </c>
      <c r="I214" s="5" t="str">
        <f>IFERROR(__xludf.DUMMYFUNCTION("GOOGLETRANSLATE(D214, ""en"", ""hi"")"),"बी) गिल्ली को सीमा से बाहर माना जाता है।")</f>
        <v>बी) गिल्ली को सीमा से बाहर माना जाता है।</v>
      </c>
    </row>
    <row r="215" ht="22.5" customHeight="1">
      <c r="A215" s="2">
        <v>214.0</v>
      </c>
      <c r="B215" s="3" t="s">
        <v>11700</v>
      </c>
      <c r="C215" s="3" t="s">
        <v>11701</v>
      </c>
      <c r="D215" s="3" t="s">
        <v>11278</v>
      </c>
      <c r="F215" s="5" t="str">
        <f>IFERROR(__xludf.DUMMYFUNCTION("GOOGLETRANSLATE(A215, ""en"", ""hi"")"),"214")</f>
        <v>214</v>
      </c>
      <c r="G215" s="5" t="str">
        <f>IFERROR(__xludf.DUMMYFUNCTION("GOOGLETRANSLATE(B215, ""en"", ""hi"")"),"खिलाड़ी FFF गिल्ली पर वार करता है और वह बर्फ की पतली परत से ढकी सतह पर गिरती है। इस वार की व्याख्या कैसे की जानी चाहिए?")</f>
        <v>खिलाड़ी FFF गिल्ली पर वार करता है और वह बर्फ की पतली परत से ढकी सतह पर गिरती है। इस वार की व्याख्या कैसे की जानी चाहिए?</v>
      </c>
      <c r="H215" s="5" t="str">
        <f>IFERROR(__xludf.DUMMYFUNCTION("GOOGLETRANSLATE(C215, ""en"", ""hi"")"),"A) गिल्ली को खेल में माना जाता है। , B) गिल्ली को सीमा से बाहर माना जाता है। , C) बर्फ पिघलने तक खेल को रोक दिया जाता है। , D) खिलाड़ी FFF को एक और मौका दिया जाता है।")</f>
        <v>A) गिल्ली को खेल में माना जाता है। , B) गिल्ली को सीमा से बाहर माना जाता है। , C) बर्फ पिघलने तक खेल को रोक दिया जाता है। , D) खिलाड़ी FFF को एक और मौका दिया जाता है।</v>
      </c>
      <c r="I215" s="5" t="str">
        <f>IFERROR(__xludf.DUMMYFUNCTION("GOOGLETRANSLATE(D215, ""en"", ""hi"")"),"अ) गिल्ली को खेल में शामिल माना जाता है।")</f>
        <v>अ) गिल्ली को खेल में शामिल माना जाता है।</v>
      </c>
    </row>
    <row r="216" ht="22.5" customHeight="1">
      <c r="A216" s="2">
        <v>215.0</v>
      </c>
      <c r="B216" s="3" t="s">
        <v>11702</v>
      </c>
      <c r="C216" s="3" t="s">
        <v>11703</v>
      </c>
      <c r="D216" s="3" t="s">
        <v>11314</v>
      </c>
      <c r="F216" s="5" t="str">
        <f>IFERROR(__xludf.DUMMYFUNCTION("GOOGLETRANSLATE(A216, ""en"", ""hi"")"),"215")</f>
        <v>215</v>
      </c>
      <c r="G216" s="5" t="str">
        <f>IFERROR(__xludf.DUMMYFUNCTION("GOOGLETRANSLATE(B216, ""en"", ""hi"")"),"गिल्ली डंडा खेल में, खिलाड़ी GGG गिल्ली पर वार करता है और वह बड़े पत्थरों के ढेर से घिरी सतह पर गिरती है। उचित नियम क्या है?")</f>
        <v>गिल्ली डंडा खेल में, खिलाड़ी GGG गिल्ली पर वार करता है और वह बड़े पत्थरों के ढेर से घिरी सतह पर गिरती है। उचित नियम क्या है?</v>
      </c>
      <c r="H216" s="5" t="str">
        <f>IFERROR(__xludf.DUMMYFUNCTION("GOOGLETRANSLATE(C216, ""en"", ""hi"")"),"A) गिल्ली को खेल से बाहर माना जाता है। , B) गिल्ली को खेल में माना जाता है। , C) चट्टानें साफ होने तक खेल रोक दिया जाता है। , D) खिलाड़ी GGG को एक और मौका दिया जाता है।")</f>
        <v>A) गिल्ली को खेल से बाहर माना जाता है। , B) गिल्ली को खेल में माना जाता है। , C) चट्टानें साफ होने तक खेल रोक दिया जाता है। , D) खिलाड़ी GGG को एक और मौका दिया जाता है।</v>
      </c>
      <c r="I216" s="5" t="str">
        <f>IFERROR(__xludf.DUMMYFUNCTION("GOOGLETRANSLATE(D216, ""en"", ""hi"")"),"अ) गिल्ली को सीमा से बाहर माना जाता है।")</f>
        <v>अ) गिल्ली को सीमा से बाहर माना जाता है।</v>
      </c>
    </row>
    <row r="217" ht="22.5" customHeight="1">
      <c r="A217" s="2">
        <v>216.0</v>
      </c>
      <c r="B217" s="3" t="s">
        <v>11704</v>
      </c>
      <c r="C217" s="3" t="s">
        <v>11705</v>
      </c>
      <c r="D217" s="3" t="s">
        <v>11278</v>
      </c>
      <c r="F217" s="5" t="str">
        <f>IFERROR(__xludf.DUMMYFUNCTION("GOOGLETRANSLATE(A217, ""en"", ""hi"")"),"216")</f>
        <v>216</v>
      </c>
      <c r="G217" s="5" t="str">
        <f>IFERROR(__xludf.DUMMYFUNCTION("GOOGLETRANSLATE(B217, ""en"", ""hi"")"),"खिलाड़ी HHH गिल्ली मारता है और वह घास की एक पतली परत से ढकी सतह पर गिरती है। इस हिट का मूल्यांकन कैसे किया जाना चाहिए?")</f>
        <v>खिलाड़ी HHH गिल्ली मारता है और वह घास की एक पतली परत से ढकी सतह पर गिरती है। इस हिट का मूल्यांकन कैसे किया जाना चाहिए?</v>
      </c>
      <c r="H217" s="5" t="str">
        <f>IFERROR(__xludf.DUMMYFUNCTION("GOOGLETRANSLATE(C217, ""en"", ""hi"")"),"A) गिल्ली को खेल में माना जाता है। , B) गिल्ली को सीमा से बाहर माना जाता है। , C) घास साफ होने तक खेल को रोक दिया जाता है। , D) खिलाड़ी HHH को एक और मौका दिया जाता है।")</f>
        <v>A) गिल्ली को खेल में माना जाता है। , B) गिल्ली को सीमा से बाहर माना जाता है। , C) घास साफ होने तक खेल को रोक दिया जाता है। , D) खिलाड़ी HHH को एक और मौका दिया जाता है।</v>
      </c>
      <c r="I217" s="5" t="str">
        <f>IFERROR(__xludf.DUMMYFUNCTION("GOOGLETRANSLATE(D217, ""en"", ""hi"")"),"अ) गिल्ली को खेल में शामिल माना जाता है।")</f>
        <v>अ) गिल्ली को खेल में शामिल माना जाता है।</v>
      </c>
    </row>
    <row r="218" ht="22.5" customHeight="1">
      <c r="A218" s="2">
        <v>217.0</v>
      </c>
      <c r="B218" s="3" t="s">
        <v>11706</v>
      </c>
      <c r="C218" s="3" t="s">
        <v>11707</v>
      </c>
      <c r="D218" s="3" t="s">
        <v>11314</v>
      </c>
      <c r="F218" s="5" t="str">
        <f>IFERROR(__xludf.DUMMYFUNCTION("GOOGLETRANSLATE(A218, ""en"", ""hi"")"),"217")</f>
        <v>217</v>
      </c>
      <c r="G218" s="5" t="str">
        <f>IFERROR(__xludf.DUMMYFUNCTION("GOOGLETRANSLATE(B218, ""en"", ""hi"")"),"गिल्ली डंडा मैच के दौरान, खिलाड़ी III गिल्ली मारता है और वह गिरी हुई बर्फ की मोटी परत से ढकी सतह पर गिरती है। इस स्थिति में क्या नियम है?")</f>
        <v>गिल्ली डंडा मैच के दौरान, खिलाड़ी III गिल्ली मारता है और वह गिरी हुई बर्फ की मोटी परत से ढकी सतह पर गिरती है। इस स्थिति में क्या नियम है?</v>
      </c>
      <c r="H218" s="5" t="str">
        <f>IFERROR(__xludf.DUMMYFUNCTION("GOOGLETRANSLATE(C218, ""en"", ""hi"")"),"A) गिल्ली को सीमा से बाहर माना जाता है। , B) गिल्ली को खेल में माना जाता है। , C) बर्फ हटाए जाने तक खेल को रोक दिया जाता है। , D) खिलाड़ी III को एक और मौका दिया जाता है।")</f>
        <v>A) गिल्ली को सीमा से बाहर माना जाता है। , B) गिल्ली को खेल में माना जाता है। , C) बर्फ हटाए जाने तक खेल को रोक दिया जाता है। , D) खिलाड़ी III को एक और मौका दिया जाता है।</v>
      </c>
      <c r="I218" s="5" t="str">
        <f>IFERROR(__xludf.DUMMYFUNCTION("GOOGLETRANSLATE(D218, ""en"", ""hi"")"),"अ) गिल्ली को सीमा से बाहर माना जाता है।")</f>
        <v>अ) गिल्ली को सीमा से बाहर माना जाता है।</v>
      </c>
    </row>
    <row r="219" ht="22.5" customHeight="1">
      <c r="A219" s="2">
        <v>218.0</v>
      </c>
      <c r="B219" s="3" t="s">
        <v>11708</v>
      </c>
      <c r="C219" s="3" t="s">
        <v>11709</v>
      </c>
      <c r="D219" s="3" t="s">
        <v>11266</v>
      </c>
      <c r="F219" s="5" t="str">
        <f>IFERROR(__xludf.DUMMYFUNCTION("GOOGLETRANSLATE(A219, ""en"", ""hi"")"),"218")</f>
        <v>218</v>
      </c>
      <c r="G219" s="5" t="str">
        <f>IFERROR(__xludf.DUMMYFUNCTION("GOOGLETRANSLATE(B219, ""en"", ""hi"")"),"खिलाड़ी JJJ गिल्ली मारता है और वह पानी की एक पतली परत से ढकी सतह पर गिरती है। इस हिट का नियम क्या होना चाहिए?")</f>
        <v>खिलाड़ी JJJ गिल्ली मारता है और वह पानी की एक पतली परत से ढकी सतह पर गिरती है। इस हिट का नियम क्या होना चाहिए?</v>
      </c>
      <c r="H219" s="5" t="str">
        <f>IFERROR(__xludf.DUMMYFUNCTION("GOOGLETRANSLATE(C219, ""en"", ""hi"")"),"A) गिल्ली को खेल में माना जाता है। , B) गिल्ली को सीमा से बाहर माना जाता है। , C) पानी हटाए जाने तक खेल को रोक दिया जाता है। , D) खिलाड़ी JJJ को एक और मौका दिया जाता है।")</f>
        <v>A) गिल्ली को खेल में माना जाता है। , B) गिल्ली को सीमा से बाहर माना जाता है। , C) पानी हटाए जाने तक खेल को रोक दिया जाता है। , D) खिलाड़ी JJJ को एक और मौका दिया जाता है।</v>
      </c>
      <c r="I219" s="5" t="str">
        <f>IFERROR(__xludf.DUMMYFUNCTION("GOOGLETRANSLATE(D219, ""en"", ""hi"")"),"बी) गिल्ली को सीमा से बाहर माना जाता है।")</f>
        <v>बी) गिल्ली को सीमा से बाहर माना जाता है।</v>
      </c>
    </row>
    <row r="220" ht="22.5" customHeight="1">
      <c r="A220" s="2">
        <v>219.0</v>
      </c>
      <c r="B220" s="3" t="s">
        <v>11710</v>
      </c>
      <c r="C220" s="3" t="s">
        <v>11711</v>
      </c>
      <c r="D220" s="3" t="s">
        <v>11314</v>
      </c>
      <c r="F220" s="5" t="str">
        <f>IFERROR(__xludf.DUMMYFUNCTION("GOOGLETRANSLATE(A220, ""en"", ""hi"")"),"219")</f>
        <v>219</v>
      </c>
      <c r="G220" s="5" t="str">
        <f>IFERROR(__xludf.DUMMYFUNCTION("GOOGLETRANSLATE(B220, ""en"", ""hi"")"),"खिलाड़ी केकेके गिल्ली मारता है और वह निर्माण मलबे के ढेर से घिरे क्षेत्र में गिरती है। इस हिट का मूल्यांकन कैसे किया जाना चाहिए?")</f>
        <v>खिलाड़ी केकेके गिल्ली मारता है और वह निर्माण मलबे के ढेर से घिरे क्षेत्र में गिरती है। इस हिट का मूल्यांकन कैसे किया जाना चाहिए?</v>
      </c>
      <c r="H220" s="5" t="str">
        <f>IFERROR(__xludf.DUMMYFUNCTION("GOOGLETRANSLATE(C220, ""en"", ""hi"")"),"A) गिल्ली को सीमा से बाहर माना जाता है। , B) गिल्ली को खेल में माना जाता है। , C) खेल को तब तक रोक दिया जाता है जब तक मलबा साफ नहीं हो जाता। , D) खिलाड़ी केकेके को एक और मौका दिया जाता है।")</f>
        <v>A) गिल्ली को सीमा से बाहर माना जाता है। , B) गिल्ली को खेल में माना जाता है। , C) खेल को तब तक रोक दिया जाता है जब तक मलबा साफ नहीं हो जाता। , D) खिलाड़ी केकेके को एक और मौका दिया जाता है।</v>
      </c>
      <c r="I220" s="5" t="str">
        <f>IFERROR(__xludf.DUMMYFUNCTION("GOOGLETRANSLATE(D220, ""en"", ""hi"")"),"अ) गिल्ली को सीमा से बाहर माना जाता है।")</f>
        <v>अ) गिल्ली को सीमा से बाहर माना जाता है।</v>
      </c>
    </row>
    <row r="221" ht="22.5" customHeight="1">
      <c r="A221" s="2">
        <v>220.0</v>
      </c>
      <c r="B221" s="3" t="s">
        <v>11712</v>
      </c>
      <c r="C221" s="3" t="s">
        <v>11713</v>
      </c>
      <c r="D221" s="3" t="s">
        <v>11314</v>
      </c>
      <c r="F221" s="5" t="str">
        <f>IFERROR(__xludf.DUMMYFUNCTION("GOOGLETRANSLATE(A221, ""en"", ""hi"")"),"220")</f>
        <v>220</v>
      </c>
      <c r="G221" s="5" t="str">
        <f>IFERROR(__xludf.DUMMYFUNCTION("GOOGLETRANSLATE(B221, ""en"", ""hi"")"),"गिल्ली डंडा मैच में, खिलाड़ी LLL गिल्ली मारता है और वह पुराने अखबारों की मोटी परत से ढकी सतह पर गिरती है। उचित नियम क्या है?")</f>
        <v>गिल्ली डंडा मैच में, खिलाड़ी LLL गिल्ली मारता है और वह पुराने अखबारों की मोटी परत से ढकी सतह पर गिरती है। उचित नियम क्या है?</v>
      </c>
      <c r="H221" s="5" t="str">
        <f>IFERROR(__xludf.DUMMYFUNCTION("GOOGLETRANSLATE(C221, ""en"", ""hi"")"),"A) गिल्ली को सीमा से बाहर माना जाता है। , B) गिल्ली को खेल में माना जाता है। , C) खेल को तब तक रोक दिया जाता है जब तक अखबार हटा नहीं दिए जाते। , D) खिलाड़ी LLL को एक और मौका दिया जाता है।")</f>
        <v>A) गिल्ली को सीमा से बाहर माना जाता है। , B) गिल्ली को खेल में माना जाता है। , C) खेल को तब तक रोक दिया जाता है जब तक अखबार हटा नहीं दिए जाते। , D) खिलाड़ी LLL को एक और मौका दिया जाता है।</v>
      </c>
      <c r="I221" s="5" t="str">
        <f>IFERROR(__xludf.DUMMYFUNCTION("GOOGLETRANSLATE(D221, ""en"", ""hi"")"),"अ) गिल्ली को सीमा से बाहर माना जाता है।")</f>
        <v>अ) गिल्ली को सीमा से बाहर माना जाता है।</v>
      </c>
    </row>
    <row r="222" ht="22.5" customHeight="1">
      <c r="A222" s="2">
        <v>221.0</v>
      </c>
      <c r="B222" s="3" t="s">
        <v>11714</v>
      </c>
      <c r="C222" s="3" t="s">
        <v>11715</v>
      </c>
      <c r="D222" s="3" t="s">
        <v>11314</v>
      </c>
      <c r="F222" s="5" t="str">
        <f>IFERROR(__xludf.DUMMYFUNCTION("GOOGLETRANSLATE(A222, ""en"", ""hi"")"),"221")</f>
        <v>221</v>
      </c>
      <c r="G222" s="5" t="str">
        <f>IFERROR(__xludf.DUMMYFUNCTION("GOOGLETRANSLATE(B222, ""en"", ""hi"")"),"खिलाड़ी MMM गिल्ली को मारता है और वह मिट्टी की एक पतली परत से ढकी सतह पर गिरती है। इस हिट का नियम क्या है?")</f>
        <v>खिलाड़ी MMM गिल्ली को मारता है और वह मिट्टी की एक पतली परत से ढकी सतह पर गिरती है। इस हिट का नियम क्या है?</v>
      </c>
      <c r="H222" s="5" t="str">
        <f>IFERROR(__xludf.DUMMYFUNCTION("GOOGLETRANSLATE(C222, ""en"", ""hi"")"),"A) गिल्ली को सीमा से बाहर माना जाता है। , B) गिल्ली को खेल में माना जाता है। , C) कीचड़ साफ होने तक खेल को रोक दिया जाता है। , D) खिलाड़ी MMM को एक और मौका दिया जाता है।")</f>
        <v>A) गिल्ली को सीमा से बाहर माना जाता है। , B) गिल्ली को खेल में माना जाता है। , C) कीचड़ साफ होने तक खेल को रोक दिया जाता है। , D) खिलाड़ी MMM को एक और मौका दिया जाता है।</v>
      </c>
      <c r="I222" s="5" t="str">
        <f>IFERROR(__xludf.DUMMYFUNCTION("GOOGLETRANSLATE(D222, ""en"", ""hi"")"),"अ) गिल्ली को सीमा से बाहर माना जाता है।")</f>
        <v>अ) गिल्ली को सीमा से बाहर माना जाता है।</v>
      </c>
    </row>
    <row r="223" ht="22.5" customHeight="1">
      <c r="A223" s="2">
        <v>222.0</v>
      </c>
      <c r="B223" s="3" t="s">
        <v>11716</v>
      </c>
      <c r="C223" s="3" t="s">
        <v>11717</v>
      </c>
      <c r="D223" s="3" t="s">
        <v>11314</v>
      </c>
      <c r="F223" s="5" t="str">
        <f>IFERROR(__xludf.DUMMYFUNCTION("GOOGLETRANSLATE(A223, ""en"", ""hi"")"),"222")</f>
        <v>222</v>
      </c>
      <c r="G223" s="5" t="str">
        <f>IFERROR(__xludf.DUMMYFUNCTION("GOOGLETRANSLATE(B223, ""en"", ""hi"")"),"गिल्ली डंडा मैच के दौरान, खिलाड़ी NNN गिल्ली मारता है और वह पुराने टायरों के ढेर से घिरे क्षेत्र में गिरती है। इस प्रहार की व्याख्या कैसे की जानी चाहिए?")</f>
        <v>गिल्ली डंडा मैच के दौरान, खिलाड़ी NNN गिल्ली मारता है और वह पुराने टायरों के ढेर से घिरे क्षेत्र में गिरती है। इस प्रहार की व्याख्या कैसे की जानी चाहिए?</v>
      </c>
      <c r="H223" s="5" t="str">
        <f>IFERROR(__xludf.DUMMYFUNCTION("GOOGLETRANSLATE(C223, ""en"", ""hi"")"),"A) गिल्ली को सीमा से बाहर माना जाता है। , B) गिल्ली को खेल में माना जाता है। , C) खेल को तब तक रोक दिया जाता है जब तक टायर हटा नहीं दिए जाते। , D) खिलाड़ी NNN को एक और मौका दिया जाता है।")</f>
        <v>A) गिल्ली को सीमा से बाहर माना जाता है। , B) गिल्ली को खेल में माना जाता है। , C) खेल को तब तक रोक दिया जाता है जब तक टायर हटा नहीं दिए जाते। , D) खिलाड़ी NNN को एक और मौका दिया जाता है।</v>
      </c>
      <c r="I223" s="5" t="str">
        <f>IFERROR(__xludf.DUMMYFUNCTION("GOOGLETRANSLATE(D223, ""en"", ""hi"")"),"अ) गिल्ली को सीमा से बाहर माना जाता है।")</f>
        <v>अ) गिल्ली को सीमा से बाहर माना जाता है।</v>
      </c>
    </row>
    <row r="224" ht="22.5" customHeight="1">
      <c r="A224" s="2">
        <v>223.0</v>
      </c>
      <c r="B224" s="3" t="s">
        <v>11718</v>
      </c>
      <c r="C224" s="3" t="s">
        <v>11719</v>
      </c>
      <c r="D224" s="3" t="s">
        <v>11266</v>
      </c>
      <c r="F224" s="5" t="str">
        <f>IFERROR(__xludf.DUMMYFUNCTION("GOOGLETRANSLATE(A224, ""en"", ""hi"")"),"223")</f>
        <v>223</v>
      </c>
      <c r="G224" s="5" t="str">
        <f>IFERROR(__xludf.DUMMYFUNCTION("GOOGLETRANSLATE(B224, ""en"", ""hi"")"),"खिलाड़ी OOO गिल्ली मारता है और वह बर्फ की पतली परत से ढकी सतह पर गिरती है। इस हिट के लिए उपयुक्त नियम क्या है?")</f>
        <v>खिलाड़ी OOO गिल्ली मारता है और वह बर्फ की पतली परत से ढकी सतह पर गिरती है। इस हिट के लिए उपयुक्त नियम क्या है?</v>
      </c>
      <c r="H224" s="5" t="str">
        <f>IFERROR(__xludf.DUMMYFUNCTION("GOOGLETRANSLATE(C224, ""en"", ""hi"")"),"A) गिल्ली को खेल में माना जाता है। , B) गिल्ली को सीमा से बाहर माना जाता है। , C) बर्फ साफ होने तक खेल को रोक दिया जाता है। , D) खिलाड़ी OOO को एक और मौका दिया जाता है।")</f>
        <v>A) गिल्ली को खेल में माना जाता है। , B) गिल्ली को सीमा से बाहर माना जाता है। , C) बर्फ साफ होने तक खेल को रोक दिया जाता है। , D) खिलाड़ी OOO को एक और मौका दिया जाता है।</v>
      </c>
      <c r="I224" s="5" t="str">
        <f>IFERROR(__xludf.DUMMYFUNCTION("GOOGLETRANSLATE(D224, ""en"", ""hi"")"),"बी) गिल्ली को सीमा से बाहर माना जाता है।")</f>
        <v>बी) गिल्ली को सीमा से बाहर माना जाता है।</v>
      </c>
    </row>
    <row r="225" ht="22.5" customHeight="1">
      <c r="A225" s="2">
        <v>224.0</v>
      </c>
      <c r="B225" s="3" t="s">
        <v>11720</v>
      </c>
      <c r="C225" s="3" t="s">
        <v>11721</v>
      </c>
      <c r="D225" s="3" t="s">
        <v>11314</v>
      </c>
      <c r="F225" s="5" t="str">
        <f>IFERROR(__xludf.DUMMYFUNCTION("GOOGLETRANSLATE(A225, ""en"", ""hi"")"),"224")</f>
        <v>224</v>
      </c>
      <c r="G225" s="5" t="str">
        <f>IFERROR(__xludf.DUMMYFUNCTION("GOOGLETRANSLATE(B225, ""en"", ""hi"")"),"खिलाड़ी PPP गिल्ली को मारता है और वह गिरी हुई शाखाओं के एक बड़े ढेर से अवरुद्ध सतह पर गिरती है। इस हिट का मूल्यांकन कैसे किया जाना चाहिए?")</f>
        <v>खिलाड़ी PPP गिल्ली को मारता है और वह गिरी हुई शाखाओं के एक बड़े ढेर से अवरुद्ध सतह पर गिरती है। इस हिट का मूल्यांकन कैसे किया जाना चाहिए?</v>
      </c>
      <c r="H225" s="5" t="str">
        <f>IFERROR(__xludf.DUMMYFUNCTION("GOOGLETRANSLATE(C225, ""en"", ""hi"")"),"A) गिल्ली को सीमा से बाहर माना जाता है। , B) गिल्ली को खेल में माना जाता है। , C) शाखाओं को हटाए जाने तक खेल को रोक दिया जाता है। , D) खिलाड़ी पीपीपी को एक और मौका दिया जाता है।")</f>
        <v>A) गिल्ली को सीमा से बाहर माना जाता है। , B) गिल्ली को खेल में माना जाता है। , C) शाखाओं को हटाए जाने तक खेल को रोक दिया जाता है। , D) खिलाड़ी पीपीपी को एक और मौका दिया जाता है।</v>
      </c>
      <c r="I225" s="5" t="str">
        <f>IFERROR(__xludf.DUMMYFUNCTION("GOOGLETRANSLATE(D225, ""en"", ""hi"")"),"अ) गिल्ली को सीमा से बाहर माना जाता है।")</f>
        <v>अ) गिल्ली को सीमा से बाहर माना जाता है।</v>
      </c>
    </row>
    <row r="226" ht="22.5" customHeight="1">
      <c r="A226" s="2">
        <v>225.0</v>
      </c>
      <c r="B226" s="3" t="s">
        <v>11722</v>
      </c>
      <c r="C226" s="3" t="s">
        <v>11723</v>
      </c>
      <c r="D226" s="3" t="s">
        <v>11376</v>
      </c>
      <c r="F226" s="5" t="str">
        <f>IFERROR(__xludf.DUMMYFUNCTION("GOOGLETRANSLATE(A226, ""en"", ""hi"")"),"225")</f>
        <v>225</v>
      </c>
      <c r="G226" s="5" t="str">
        <f>IFERROR(__xludf.DUMMYFUNCTION("GOOGLETRANSLATE(B226, ""en"", ""hi"")"),"गिल्ली डंडा खेल में, खिलाड़ी QQQ गिल्ली को मारता है और वह रेत की एक पतली परत से ढकी सतह पर गिरती है। इस स्थिति में क्या नियम है?")</f>
        <v>गिल्ली डंडा खेल में, खिलाड़ी QQQ गिल्ली को मारता है और वह रेत की एक पतली परत से ढकी सतह पर गिरती है। इस स्थिति में क्या नियम है?</v>
      </c>
      <c r="H226" s="5" t="str">
        <f>IFERROR(__xludf.DUMMYFUNCTION("GOOGLETRANSLATE(C226, ""en"", ""hi"")"),"A) गिल्ली को सीमा से बाहर माना जाता है। , B) गिल्ली को खेल में माना जाता है। , C) रेत हटाए जाने तक खेल को रोक दिया जाता है। , D) खिलाड़ी QQQ को एक और मौका दिया जाता है।")</f>
        <v>A) गिल्ली को सीमा से बाहर माना जाता है। , B) गिल्ली को खेल में माना जाता है। , C) रेत हटाए जाने तक खेल को रोक दिया जाता है। , D) खिलाड़ी QQQ को एक और मौका दिया जाता है।</v>
      </c>
      <c r="I226" s="5" t="str">
        <f>IFERROR(__xludf.DUMMYFUNCTION("GOOGLETRANSLATE(D226, ""en"", ""hi"")"),"बी) गिल्ली को खेल में शामिल माना जाता है।")</f>
        <v>बी) गिल्ली को खेल में शामिल माना जाता है।</v>
      </c>
    </row>
    <row r="227" ht="22.5" customHeight="1">
      <c r="A227" s="2">
        <v>226.0</v>
      </c>
      <c r="B227" s="3" t="s">
        <v>11724</v>
      </c>
      <c r="C227" s="3" t="s">
        <v>11524</v>
      </c>
      <c r="D227" s="3" t="s">
        <v>11314</v>
      </c>
      <c r="F227" s="5" t="str">
        <f>IFERROR(__xludf.DUMMYFUNCTION("GOOGLETRANSLATE(A227, ""en"", ""hi"")"),"226")</f>
        <v>226</v>
      </c>
      <c r="G227" s="5" t="str">
        <f>IFERROR(__xludf.DUMMYFUNCTION("GOOGLETRANSLATE(B227, ""en"", ""hi"")"),"खिलाड़ी RRR गिल्ली मारता है और वह लकड़ी के ढेर से घिरे क्षेत्र में गिरती है। इस हिट की व्याख्या कैसे की जानी चाहिए?")</f>
        <v>खिलाड़ी RRR गिल्ली मारता है और वह लकड़ी के ढेर से घिरे क्षेत्र में गिरती है। इस हिट की व्याख्या कैसे की जानी चाहिए?</v>
      </c>
      <c r="H227" s="5" t="str">
        <f>IFERROR(__xludf.DUMMYFUNCTION("GOOGLETRANSLATE(C227, ""en"", ""hi"")"),"A) गिल्ली को सीमा से बाहर माना जाता है। , B) गिल्ली को खेल में माना जाता है। , C) लकड़ी हटाए जाने तक खेल को रोक दिया जाता है। , D) खिलाड़ी RRR को एक और मौका दिया जाता है।")</f>
        <v>A) गिल्ली को सीमा से बाहर माना जाता है। , B) गिल्ली को खेल में माना जाता है। , C) लकड़ी हटाए जाने तक खेल को रोक दिया जाता है। , D) खिलाड़ी RRR को एक और मौका दिया जाता है।</v>
      </c>
      <c r="I227" s="5" t="str">
        <f>IFERROR(__xludf.DUMMYFUNCTION("GOOGLETRANSLATE(D227, ""en"", ""hi"")"),"अ) गिल्ली को सीमा से बाहर माना जाता है।")</f>
        <v>अ) गिल्ली को सीमा से बाहर माना जाता है।</v>
      </c>
    </row>
    <row r="228" ht="22.5" customHeight="1">
      <c r="A228" s="2">
        <v>227.0</v>
      </c>
      <c r="B228" s="3" t="s">
        <v>11725</v>
      </c>
      <c r="C228" s="3" t="s">
        <v>11726</v>
      </c>
      <c r="D228" s="3" t="s">
        <v>11278</v>
      </c>
      <c r="F228" s="5" t="str">
        <f>IFERROR(__xludf.DUMMYFUNCTION("GOOGLETRANSLATE(A228, ""en"", ""hi"")"),"227")</f>
        <v>227</v>
      </c>
      <c r="G228" s="5" t="str">
        <f>IFERROR(__xludf.DUMMYFUNCTION("GOOGLETRANSLATE(B228, ""en"", ""hi"")"),"गिल्ली डंडा मैच के दौरान, खिलाड़ी SSS गिल्ली मारता है और वह गीली घास की मोटी परत से ढकी सतह पर गिरती है। इस स्थिति में क्या नियम है?")</f>
        <v>गिल्ली डंडा मैच के दौरान, खिलाड़ी SSS गिल्ली मारता है और वह गीली घास की मोटी परत से ढकी सतह पर गिरती है। इस स्थिति में क्या नियम है?</v>
      </c>
      <c r="H228" s="5" t="str">
        <f>IFERROR(__xludf.DUMMYFUNCTION("GOOGLETRANSLATE(C228, ""en"", ""hi"")"),"A) गिल्ली को खेल में माना जाता है। , B) गिल्ली को सीमा से बाहर माना जाता है। , C) घास सूखने तक खेल को रोक दिया जाता है। , D) खिलाड़ी SSS को एक और मौका दिया जाता है।")</f>
        <v>A) गिल्ली को खेल में माना जाता है। , B) गिल्ली को सीमा से बाहर माना जाता है। , C) घास सूखने तक खेल को रोक दिया जाता है। , D) खिलाड़ी SSS को एक और मौका दिया जाता है।</v>
      </c>
      <c r="I228" s="5" t="str">
        <f>IFERROR(__xludf.DUMMYFUNCTION("GOOGLETRANSLATE(D228, ""en"", ""hi"")"),"अ) गिल्ली को खेल में शामिल माना जाता है।")</f>
        <v>अ) गिल्ली को खेल में शामिल माना जाता है।</v>
      </c>
    </row>
    <row r="229" ht="22.5" customHeight="1">
      <c r="A229" s="2">
        <v>228.0</v>
      </c>
      <c r="B229" s="3" t="s">
        <v>11727</v>
      </c>
      <c r="C229" s="3" t="s">
        <v>11728</v>
      </c>
      <c r="D229" s="3" t="s">
        <v>11314</v>
      </c>
      <c r="F229" s="5" t="str">
        <f>IFERROR(__xludf.DUMMYFUNCTION("GOOGLETRANSLATE(A229, ""en"", ""hi"")"),"228")</f>
        <v>228</v>
      </c>
      <c r="G229" s="5" t="str">
        <f>IFERROR(__xludf.DUMMYFUNCTION("GOOGLETRANSLATE(B229, ""en"", ""hi"")"),"खिलाड़ी TTT गिल्ली को मारता है और वह पुराने अखबारों की परत से ढकी सतह पर गिरती है। इस हिट के लिए उपयुक्त नियम क्या है?")</f>
        <v>खिलाड़ी TTT गिल्ली को मारता है और वह पुराने अखबारों की परत से ढकी सतह पर गिरती है। इस हिट के लिए उपयुक्त नियम क्या है?</v>
      </c>
      <c r="H229" s="5" t="str">
        <f>IFERROR(__xludf.DUMMYFUNCTION("GOOGLETRANSLATE(C229, ""en"", ""hi"")"),"A) गिल्ली को सीमा से बाहर माना जाता है। , B) गिल्ली को खेल में माना जाता है। , C) खेल को तब तक रोक दिया जाता है जब तक अखबार हटा नहीं दिए जाते। , D) खिलाड़ी TTT को एक और मौका दिया जाता है।")</f>
        <v>A) गिल्ली को सीमा से बाहर माना जाता है। , B) गिल्ली को खेल में माना जाता है। , C) खेल को तब तक रोक दिया जाता है जब तक अखबार हटा नहीं दिए जाते। , D) खिलाड़ी TTT को एक और मौका दिया जाता है।</v>
      </c>
      <c r="I229" s="5" t="str">
        <f>IFERROR(__xludf.DUMMYFUNCTION("GOOGLETRANSLATE(D229, ""en"", ""hi"")"),"अ) गिल्ली को सीमा से बाहर माना जाता है।")</f>
        <v>अ) गिल्ली को सीमा से बाहर माना जाता है।</v>
      </c>
    </row>
    <row r="230" ht="22.5" customHeight="1">
      <c r="A230" s="2">
        <v>229.0</v>
      </c>
      <c r="B230" s="3" t="s">
        <v>11729</v>
      </c>
      <c r="C230" s="3" t="s">
        <v>11730</v>
      </c>
      <c r="D230" s="3" t="s">
        <v>11376</v>
      </c>
      <c r="F230" s="5" t="str">
        <f>IFERROR(__xludf.DUMMYFUNCTION("GOOGLETRANSLATE(A230, ""en"", ""hi"")"),"229")</f>
        <v>229</v>
      </c>
      <c r="G230" s="5" t="str">
        <f>IFERROR(__xludf.DUMMYFUNCTION("GOOGLETRANSLATE(B230, ""en"", ""hi"")"),"खिलाड़ी UUU गिल्ली को मारता है और वह धूल की एक पतली परत से ढकी सतह पर गिरती है। इस स्थिति में क्या नियम होना चाहिए?")</f>
        <v>खिलाड़ी UUU गिल्ली को मारता है और वह धूल की एक पतली परत से ढकी सतह पर गिरती है। इस स्थिति में क्या नियम होना चाहिए?</v>
      </c>
      <c r="H230" s="5" t="str">
        <f>IFERROR(__xludf.DUMMYFUNCTION("GOOGLETRANSLATE(C230, ""en"", ""hi"")"),"A) गिल्ली को सीमा से बाहर माना जाता है। , B) गिल्ली को खेल में माना जाता है। , C) धूल साफ होने तक खेल को रोक दिया जाता है। , D) खिलाड़ी UUU को एक और मौका दिया जाता है।")</f>
        <v>A) गिल्ली को सीमा से बाहर माना जाता है। , B) गिल्ली को खेल में माना जाता है। , C) धूल साफ होने तक खेल को रोक दिया जाता है। , D) खिलाड़ी UUU को एक और मौका दिया जाता है।</v>
      </c>
      <c r="I230" s="5" t="str">
        <f>IFERROR(__xludf.DUMMYFUNCTION("GOOGLETRANSLATE(D230, ""en"", ""hi"")"),"बी) गिल्ली को खेल में शामिल माना जाता है।")</f>
        <v>बी) गिल्ली को खेल में शामिल माना जाता है।</v>
      </c>
    </row>
    <row r="231" ht="22.5" customHeight="1">
      <c r="A231" s="2">
        <v>230.0</v>
      </c>
      <c r="B231" s="3" t="s">
        <v>11731</v>
      </c>
      <c r="C231" s="3" t="s">
        <v>11732</v>
      </c>
      <c r="D231" s="3" t="s">
        <v>11266</v>
      </c>
      <c r="F231" s="5" t="str">
        <f>IFERROR(__xludf.DUMMYFUNCTION("GOOGLETRANSLATE(A231, ""en"", ""hi"")"),"230")</f>
        <v>230</v>
      </c>
      <c r="G231" s="5" t="str">
        <f>IFERROR(__xludf.DUMMYFUNCTION("GOOGLETRANSLATE(B231, ""en"", ""hi"")"),"गिल्ली डंडा खेल में, खिलाड़ी VVV गिल्ली को मारता है और वह बड़े पत्थरों के ढेर से घिरी सतह पर गिरती है। उचित नियम क्या है?")</f>
        <v>गिल्ली डंडा खेल में, खिलाड़ी VVV गिल्ली को मारता है और वह बड़े पत्थरों के ढेर से घिरी सतह पर गिरती है। उचित नियम क्या है?</v>
      </c>
      <c r="H231" s="5" t="str">
        <f>IFERROR(__xludf.DUMMYFUNCTION("GOOGLETRANSLATE(C231, ""en"", ""hi"")"),"A) गिल्ली को खेल में माना जाता है। , B) गिल्ली को सीमा से बाहर माना जाता है। , C) खेल को तब तक रोक दिया जाता है जब तक पत्थर साफ नहीं हो जाते। , D) खिलाड़ी VVV को एक और मौका दिया जाता है।")</f>
        <v>A) गिल्ली को खेल में माना जाता है। , B) गिल्ली को सीमा से बाहर माना जाता है। , C) खेल को तब तक रोक दिया जाता है जब तक पत्थर साफ नहीं हो जाते। , D) खिलाड़ी VVV को एक और मौका दिया जाता है।</v>
      </c>
      <c r="I231" s="5" t="str">
        <f>IFERROR(__xludf.DUMMYFUNCTION("GOOGLETRANSLATE(D231, ""en"", ""hi"")"),"बी) गिल्ली को सीमा से बाहर माना जाता है।")</f>
        <v>बी) गिल्ली को सीमा से बाहर माना जाता है।</v>
      </c>
    </row>
    <row r="232" ht="22.5" customHeight="1">
      <c r="A232" s="2">
        <v>231.0</v>
      </c>
      <c r="B232" s="3" t="s">
        <v>11733</v>
      </c>
      <c r="C232" s="3" t="s">
        <v>11734</v>
      </c>
      <c r="D232" s="3" t="s">
        <v>11314</v>
      </c>
      <c r="F232" s="5" t="str">
        <f>IFERROR(__xludf.DUMMYFUNCTION("GOOGLETRANSLATE(A232, ""en"", ""hi"")"),"231")</f>
        <v>231</v>
      </c>
      <c r="G232" s="5" t="str">
        <f>IFERROR(__xludf.DUMMYFUNCTION("GOOGLETRANSLATE(B232, ""en"", ""hi"")"),"खिलाड़ी WWW गिल्ली को मारता है और वह पत्तों की मोटी परत से ढकी सतह पर गिरती है। इस स्थिति में क्या नियम है?")</f>
        <v>खिलाड़ी WWW गिल्ली को मारता है और वह पत्तों की मोटी परत से ढकी सतह पर गिरती है। इस स्थिति में क्या नियम है?</v>
      </c>
      <c r="H232" s="5" t="str">
        <f>IFERROR(__xludf.DUMMYFUNCTION("GOOGLETRANSLATE(C232, ""en"", ""hi"")"),"A) गिल्ली को सीमा से बाहर माना जाता है। , B) गिल्ली को खेल में माना जाता है। , C) पत्तों को हटाए जाने तक खेल को रोक दिया जाता है। , D) खिलाड़ी WWW को एक और मौका दिया जाता है।")</f>
        <v>A) गिल्ली को सीमा से बाहर माना जाता है। , B) गिल्ली को खेल में माना जाता है। , C) पत्तों को हटाए जाने तक खेल को रोक दिया जाता है। , D) खिलाड़ी WWW को एक और मौका दिया जाता है।</v>
      </c>
      <c r="I232" s="5" t="str">
        <f>IFERROR(__xludf.DUMMYFUNCTION("GOOGLETRANSLATE(D232, ""en"", ""hi"")"),"अ) गिल्ली को सीमा से बाहर माना जाता है।")</f>
        <v>अ) गिल्ली को सीमा से बाहर माना जाता है।</v>
      </c>
    </row>
    <row r="233" ht="22.5" customHeight="1">
      <c r="A233" s="2">
        <v>232.0</v>
      </c>
      <c r="B233" s="3" t="s">
        <v>11735</v>
      </c>
      <c r="C233" s="3" t="s">
        <v>11736</v>
      </c>
      <c r="D233" s="3" t="s">
        <v>11314</v>
      </c>
      <c r="F233" s="5" t="str">
        <f>IFERROR(__xludf.DUMMYFUNCTION("GOOGLETRANSLATE(A233, ""en"", ""hi"")"),"232")</f>
        <v>232</v>
      </c>
      <c r="G233" s="5" t="str">
        <f>IFERROR(__xludf.DUMMYFUNCTION("GOOGLETRANSLATE(B233, ""en"", ""hi"")"),"गिल्ली डंडा मैच के दौरान, खिलाड़ी XXX गिल्ली मारता है और वह मिट्टी की एक पतली परत से ढकी सतह पर गिरती है। इस प्रहार का मूल्यांकन कैसे किया जाना चाहिए?")</f>
        <v>गिल्ली डंडा मैच के दौरान, खिलाड़ी XXX गिल्ली मारता है और वह मिट्टी की एक पतली परत से ढकी सतह पर गिरती है। इस प्रहार का मूल्यांकन कैसे किया जाना चाहिए?</v>
      </c>
      <c r="H233" s="5" t="str">
        <f>IFERROR(__xludf.DUMMYFUNCTION("GOOGLETRANSLATE(C233, ""en"", ""hi"")"),"A) गिल्ली को सीमा से बाहर माना जाता है। , B) गिल्ली को खेल में माना जाता है। , C) कीचड़ साफ होने तक खेल को रोक दिया जाता है। , D) खिलाड़ी XXX को एक और मौका दिया जाता है।")</f>
        <v>A) गिल्ली को सीमा से बाहर माना जाता है। , B) गिल्ली को खेल में माना जाता है। , C) कीचड़ साफ होने तक खेल को रोक दिया जाता है। , D) खिलाड़ी XXX को एक और मौका दिया जाता है।</v>
      </c>
      <c r="I233" s="5" t="str">
        <f>IFERROR(__xludf.DUMMYFUNCTION("GOOGLETRANSLATE(D233, ""en"", ""hi"")"),"अ) गिल्ली को सीमा से बाहर माना जाता है।")</f>
        <v>अ) गिल्ली को सीमा से बाहर माना जाता है।</v>
      </c>
    </row>
    <row r="234" ht="22.5" customHeight="1">
      <c r="A234" s="2">
        <v>233.0</v>
      </c>
      <c r="B234" s="3" t="s">
        <v>11737</v>
      </c>
      <c r="C234" s="3" t="s">
        <v>11687</v>
      </c>
      <c r="D234" s="3" t="s">
        <v>11314</v>
      </c>
      <c r="F234" s="5" t="str">
        <f>IFERROR(__xludf.DUMMYFUNCTION("GOOGLETRANSLATE(A234, ""en"", ""hi"")"),"233")</f>
        <v>233</v>
      </c>
      <c r="G234" s="5" t="str">
        <f>IFERROR(__xludf.DUMMYFUNCTION("GOOGLETRANSLATE(B234, ""en"", ""hi"")"),"खिलाड़ी YYY गिल्ली मारता है और वह टूटे हुए काँच के ढेर से घिरे क्षेत्र में गिरती है। इस हिट के लिए उपयुक्त नियम क्या है?")</f>
        <v>खिलाड़ी YYY गिल्ली मारता है और वह टूटे हुए काँच के ढेर से घिरे क्षेत्र में गिरती है। इस हिट के लिए उपयुक्त नियम क्या है?</v>
      </c>
      <c r="H234" s="5" t="str">
        <f>IFERROR(__xludf.DUMMYFUNCTION("GOOGLETRANSLATE(C234, ""en"", ""hi"")"),"A) गिल्ली को सीमा से बाहर माना जाता है। , B) गिल्ली को खेल में माना जाता है। , C) खेल को तब तक रोक दिया जाता है जब तक कि गिलास साफ नहीं हो जाता। , D) खिलाड़ी YYY को एक और मौका दिया जाता है।")</f>
        <v>A) गिल्ली को सीमा से बाहर माना जाता है। , B) गिल्ली को खेल में माना जाता है। , C) खेल को तब तक रोक दिया जाता है जब तक कि गिलास साफ नहीं हो जाता। , D) खिलाड़ी YYY को एक और मौका दिया जाता है।</v>
      </c>
      <c r="I234" s="5" t="str">
        <f>IFERROR(__xludf.DUMMYFUNCTION("GOOGLETRANSLATE(D234, ""en"", ""hi"")"),"अ) गिल्ली को सीमा से बाहर माना जाता है।")</f>
        <v>अ) गिल्ली को सीमा से बाहर माना जाता है।</v>
      </c>
    </row>
    <row r="235" ht="22.5" customHeight="1">
      <c r="A235" s="2">
        <v>234.0</v>
      </c>
      <c r="B235" s="3" t="s">
        <v>11738</v>
      </c>
      <c r="C235" s="3" t="s">
        <v>11739</v>
      </c>
      <c r="D235" s="3" t="s">
        <v>11278</v>
      </c>
      <c r="F235" s="5" t="str">
        <f>IFERROR(__xludf.DUMMYFUNCTION("GOOGLETRANSLATE(A235, ""en"", ""hi"")"),"234")</f>
        <v>234</v>
      </c>
      <c r="G235" s="5" t="str">
        <f>IFERROR(__xludf.DUMMYFUNCTION("GOOGLETRANSLATE(B235, ""en"", ""hi"")"),"खिलाड़ी ZZZ गिल्ली को मारता है और वह गीली घास की मोटी परत से ढकी सतह पर गिरती है। इस स्थिति में क्या नियम है?")</f>
        <v>खिलाड़ी ZZZ गिल्ली को मारता है और वह गीली घास की मोटी परत से ढकी सतह पर गिरती है। इस स्थिति में क्या नियम है?</v>
      </c>
      <c r="H235" s="5" t="str">
        <f>IFERROR(__xludf.DUMMYFUNCTION("GOOGLETRANSLATE(C235, ""en"", ""hi"")"),"A) गिल्ली को खेल में माना जाता है। , B) गिल्ली को सीमा से बाहर माना जाता है। , C) घास सूखने तक खेल को रोक दिया जाता है। , D) खिलाड़ी ZZZ को एक और मौका दिया जाता है।")</f>
        <v>A) गिल्ली को खेल में माना जाता है। , B) गिल्ली को सीमा से बाहर माना जाता है। , C) घास सूखने तक खेल को रोक दिया जाता है। , D) खिलाड़ी ZZZ को एक और मौका दिया जाता है।</v>
      </c>
      <c r="I235" s="5" t="str">
        <f>IFERROR(__xludf.DUMMYFUNCTION("GOOGLETRANSLATE(D235, ""en"", ""hi"")"),"अ) गिल्ली को खेल में शामिल माना जाता है।")</f>
        <v>अ) गिल्ली को खेल में शामिल माना जाता है।</v>
      </c>
    </row>
    <row r="236" ht="22.5" customHeight="1">
      <c r="A236" s="2">
        <v>235.0</v>
      </c>
      <c r="B236" s="3" t="s">
        <v>11740</v>
      </c>
      <c r="C236" s="3" t="s">
        <v>11741</v>
      </c>
      <c r="D236" s="3" t="s">
        <v>11266</v>
      </c>
      <c r="F236" s="5" t="str">
        <f>IFERROR(__xludf.DUMMYFUNCTION("GOOGLETRANSLATE(A236, ""en"", ""hi"")"),"235")</f>
        <v>235</v>
      </c>
      <c r="G236" s="5" t="str">
        <f>IFERROR(__xludf.DUMMYFUNCTION("GOOGLETRANSLATE(B236, ""en"", ""hi"")"),"गिल्ली डंडा खेल में, खिलाड़ी AAA गिल्ली मारता है और वह पुराने टायरों के ढेर से अवरुद्ध सतह पर गिरती है। उचित नियम क्या है?")</f>
        <v>गिल्ली डंडा खेल में, खिलाड़ी AAA गिल्ली मारता है और वह पुराने टायरों के ढेर से अवरुद्ध सतह पर गिरती है। उचित नियम क्या है?</v>
      </c>
      <c r="H236" s="5" t="str">
        <f>IFERROR(__xludf.DUMMYFUNCTION("GOOGLETRANSLATE(C236, ""en"", ""hi"")"),"A) गिल्ली को खेल में माना जाता है। , B) गिल्ली को सीमा से बाहर माना जाता है। , C) खेल को तब तक रोक दिया जाता है जब तक टायर हटा नहीं दिए जाते। , D) खिलाड़ी AAA को एक और मौका दिया जाता है।")</f>
        <v>A) गिल्ली को खेल में माना जाता है। , B) गिल्ली को सीमा से बाहर माना जाता है। , C) खेल को तब तक रोक दिया जाता है जब तक टायर हटा नहीं दिए जाते। , D) खिलाड़ी AAA को एक और मौका दिया जाता है।</v>
      </c>
      <c r="I236" s="5" t="str">
        <f>IFERROR(__xludf.DUMMYFUNCTION("GOOGLETRANSLATE(D236, ""en"", ""hi"")"),"बी) गिल्ली को सीमा से बाहर माना जाता है।")</f>
        <v>बी) गिल्ली को सीमा से बाहर माना जाता है।</v>
      </c>
    </row>
    <row r="237" ht="22.5" customHeight="1">
      <c r="A237" s="2">
        <v>236.0</v>
      </c>
      <c r="B237" s="3" t="s">
        <v>11742</v>
      </c>
      <c r="C237" s="3" t="s">
        <v>11743</v>
      </c>
      <c r="D237" s="3" t="s">
        <v>11278</v>
      </c>
      <c r="F237" s="5" t="str">
        <f>IFERROR(__xludf.DUMMYFUNCTION("GOOGLETRANSLATE(A237, ""en"", ""hi"")"),"236")</f>
        <v>236</v>
      </c>
      <c r="G237" s="5" t="str">
        <f>IFERROR(__xludf.DUMMYFUNCTION("GOOGLETRANSLATE(B237, ""en"", ""hi"")"),"खिलाड़ी BBB गिल्ली मारता है और वह धूल की एक पतली परत से ढकी सतह पर गिरती है। इस प्रहार की व्याख्या कैसे की जानी चाहिए?")</f>
        <v>खिलाड़ी BBB गिल्ली मारता है और वह धूल की एक पतली परत से ढकी सतह पर गिरती है। इस प्रहार की व्याख्या कैसे की जानी चाहिए?</v>
      </c>
      <c r="H237" s="5" t="str">
        <f>IFERROR(__xludf.DUMMYFUNCTION("GOOGLETRANSLATE(C237, ""en"", ""hi"")"),"A) गिल्ली को खेल में माना जाता है। , B) गिल्ली को सीमा से बाहर माना जाता है। , C) धूल साफ होने तक खेल को रोक दिया जाता है। , D) खिलाड़ी BBB को एक और मौका दिया जाता है।")</f>
        <v>A) गिल्ली को खेल में माना जाता है। , B) गिल्ली को सीमा से बाहर माना जाता है। , C) धूल साफ होने तक खेल को रोक दिया जाता है। , D) खिलाड़ी BBB को एक और मौका दिया जाता है।</v>
      </c>
      <c r="I237" s="5" t="str">
        <f>IFERROR(__xludf.DUMMYFUNCTION("GOOGLETRANSLATE(D237, ""en"", ""hi"")"),"अ) गिल्ली को खेल में शामिल माना जाता है।")</f>
        <v>अ) गिल्ली को खेल में शामिल माना जाता है।</v>
      </c>
    </row>
    <row r="238" ht="22.5" customHeight="1">
      <c r="A238" s="2">
        <v>237.0</v>
      </c>
      <c r="B238" s="3" t="s">
        <v>11744</v>
      </c>
      <c r="C238" s="3" t="s">
        <v>11745</v>
      </c>
      <c r="D238" s="3" t="s">
        <v>11266</v>
      </c>
      <c r="F238" s="5" t="str">
        <f>IFERROR(__xludf.DUMMYFUNCTION("GOOGLETRANSLATE(A238, ""en"", ""hi"")"),"237")</f>
        <v>237</v>
      </c>
      <c r="G238" s="5" t="str">
        <f>IFERROR(__xludf.DUMMYFUNCTION("GOOGLETRANSLATE(B238, ""en"", ""hi"")"),"गिल्ली डंडा मैच के दौरान, खिलाड़ी CCC गिल्ली मारता है और वह बड़े पत्थरों की परत से ढकी सतह पर गिरती है। इस स्थिति में क्या नियम है?")</f>
        <v>गिल्ली डंडा मैच के दौरान, खिलाड़ी CCC गिल्ली मारता है और वह बड़े पत्थरों की परत से ढकी सतह पर गिरती है। इस स्थिति में क्या नियम है?</v>
      </c>
      <c r="H238" s="5" t="str">
        <f>IFERROR(__xludf.DUMMYFUNCTION("GOOGLETRANSLATE(C238, ""en"", ""hi"")"),"A) गिल्ली को खेल में माना जाता है। , B) गिल्ली को सीमा से बाहर माना जाता है। , C) खेल को तब तक रोक दिया जाता है जब तक पत्थर साफ नहीं हो जाते। , D) खिलाड़ी CCC को एक और मौका दिया जाता है।")</f>
        <v>A) गिल्ली को खेल में माना जाता है। , B) गिल्ली को सीमा से बाहर माना जाता है। , C) खेल को तब तक रोक दिया जाता है जब तक पत्थर साफ नहीं हो जाते। , D) खिलाड़ी CCC को एक और मौका दिया जाता है।</v>
      </c>
      <c r="I238" s="5" t="str">
        <f>IFERROR(__xludf.DUMMYFUNCTION("GOOGLETRANSLATE(D238, ""en"", ""hi"")"),"बी) गिल्ली को सीमा से बाहर माना जाता है।")</f>
        <v>बी) गिल्ली को सीमा से बाहर माना जाता है।</v>
      </c>
    </row>
    <row r="239" ht="22.5" customHeight="1">
      <c r="A239" s="2">
        <v>238.0</v>
      </c>
      <c r="B239" s="3" t="s">
        <v>11746</v>
      </c>
      <c r="C239" s="3" t="s">
        <v>11747</v>
      </c>
      <c r="D239" s="3" t="s">
        <v>11314</v>
      </c>
      <c r="F239" s="5" t="str">
        <f>IFERROR(__xludf.DUMMYFUNCTION("GOOGLETRANSLATE(A239, ""en"", ""hi"")"),"238")</f>
        <v>238</v>
      </c>
      <c r="G239" s="5" t="str">
        <f>IFERROR(__xludf.DUMMYFUNCTION("GOOGLETRANSLATE(B239, ""en"", ""hi"")"),"खिलाड़ी DDD गिल्ली पर वार करता है और वह पानी की मोटी परत से ढकी सतह पर गिरती है। इस वार का नियम क्या होना चाहिए?")</f>
        <v>खिलाड़ी DDD गिल्ली पर वार करता है और वह पानी की मोटी परत से ढकी सतह पर गिरती है। इस वार का नियम क्या होना चाहिए?</v>
      </c>
      <c r="H239" s="5" t="str">
        <f>IFERROR(__xludf.DUMMYFUNCTION("GOOGLETRANSLATE(C239, ""en"", ""hi"")"),"A) गिल्ली को खेल से बाहर माना जाता है। , B) गिल्ली को खेल में माना जाता है। , C) पानी हटाए जाने तक खेल को रोक दिया जाता है। , D) खिलाड़ी DDD को एक और मौका दिया जाता है।")</f>
        <v>A) गिल्ली को खेल से बाहर माना जाता है। , B) गिल्ली को खेल में माना जाता है। , C) पानी हटाए जाने तक खेल को रोक दिया जाता है। , D) खिलाड़ी DDD को एक और मौका दिया जाता है।</v>
      </c>
      <c r="I239" s="5" t="str">
        <f>IFERROR(__xludf.DUMMYFUNCTION("GOOGLETRANSLATE(D239, ""en"", ""hi"")"),"अ) गिल्ली को सीमा से बाहर माना जाता है।")</f>
        <v>अ) गिल्ली को सीमा से बाहर माना जाता है।</v>
      </c>
    </row>
    <row r="240" ht="22.5" customHeight="1">
      <c r="A240" s="2">
        <v>239.0</v>
      </c>
      <c r="B240" s="3" t="s">
        <v>11748</v>
      </c>
      <c r="C240" s="3" t="s">
        <v>11749</v>
      </c>
      <c r="D240" s="3" t="s">
        <v>11314</v>
      </c>
      <c r="F240" s="5" t="str">
        <f>IFERROR(__xludf.DUMMYFUNCTION("GOOGLETRANSLATE(A240, ""en"", ""hi"")"),"239")</f>
        <v>239</v>
      </c>
      <c r="G240" s="5" t="str">
        <f>IFERROR(__xludf.DUMMYFUNCTION("GOOGLETRANSLATE(B240, ""en"", ""hi"")"),"खिलाड़ी EEE गिल्ली मारता है और वह गीली पत्तियों की मोटी परत वाली सतह पर गिरती है। इस हिट का नियम क्या है?")</f>
        <v>खिलाड़ी EEE गिल्ली मारता है और वह गीली पत्तियों की मोटी परत वाली सतह पर गिरती है। इस हिट का नियम क्या है?</v>
      </c>
      <c r="H240" s="5" t="str">
        <f>IFERROR(__xludf.DUMMYFUNCTION("GOOGLETRANSLATE(C240, ""en"", ""hi"")"),"A) गिल्ली को खेल से बाहर माना जाता है। , B) गिल्ली को खेल में माना जाता है। , C) पत्तों को हटाए जाने तक खेल को रोक दिया जाता है। , D) खिलाड़ी EEE को एक और मौका दिया जाता है।")</f>
        <v>A) गिल्ली को खेल से बाहर माना जाता है। , B) गिल्ली को खेल में माना जाता है। , C) पत्तों को हटाए जाने तक खेल को रोक दिया जाता है। , D) खिलाड़ी EEE को एक और मौका दिया जाता है।</v>
      </c>
      <c r="I240" s="5" t="str">
        <f>IFERROR(__xludf.DUMMYFUNCTION("GOOGLETRANSLATE(D240, ""en"", ""hi"")"),"अ) गिल्ली को सीमा से बाहर माना जाता है।")</f>
        <v>अ) गिल्ली को सीमा से बाहर माना जाता है।</v>
      </c>
    </row>
    <row r="241" ht="22.5" customHeight="1">
      <c r="A241" s="2">
        <v>240.0</v>
      </c>
      <c r="B241" s="3" t="s">
        <v>11750</v>
      </c>
      <c r="C241" s="3" t="s">
        <v>11751</v>
      </c>
      <c r="D241" s="3" t="s">
        <v>11266</v>
      </c>
      <c r="F241" s="5" t="str">
        <f>IFERROR(__xludf.DUMMYFUNCTION("GOOGLETRANSLATE(A241, ""en"", ""hi"")"),"240")</f>
        <v>240</v>
      </c>
      <c r="G241" s="5" t="str">
        <f>IFERROR(__xludf.DUMMYFUNCTION("GOOGLETRANSLATE(B241, ""en"", ""hi"")"),"गिल्ली डंडा मैच के दौरान, खिलाड़ी FFF गिल्ली मारता है और वह एक बड़े पेड़ के ठूँठ से अवरुद्ध क्षेत्र में गिरती है। इस हिट का मूल्यांकन कैसे किया जाना चाहिए?")</f>
        <v>गिल्ली डंडा मैच के दौरान, खिलाड़ी FFF गिल्ली मारता है और वह एक बड़े पेड़ के ठूँठ से अवरुद्ध क्षेत्र में गिरती है। इस हिट का मूल्यांकन कैसे किया जाना चाहिए?</v>
      </c>
      <c r="H241" s="5" t="str">
        <f>IFERROR(__xludf.DUMMYFUNCTION("GOOGLETRANSLATE(C241, ""en"", ""hi"")"),"A) गिल्ली को खेल में माना जाता है। , B) गिल्ली को सीमा से बाहर माना जाता है। , C) स्टंप हटाए जाने तक खेल को रोक दिया जाता है। , D) खिलाड़ी FFF को एक और मौका दिया जाता है।")</f>
        <v>A) गिल्ली को खेल में माना जाता है। , B) गिल्ली को सीमा से बाहर माना जाता है। , C) स्टंप हटाए जाने तक खेल को रोक दिया जाता है। , D) खिलाड़ी FFF को एक और मौका दिया जाता है।</v>
      </c>
      <c r="I241" s="5" t="str">
        <f>IFERROR(__xludf.DUMMYFUNCTION("GOOGLETRANSLATE(D241, ""en"", ""hi"")"),"बी) गिल्ली को सीमा से बाहर माना जाता है।")</f>
        <v>बी) गिल्ली को सीमा से बाहर माना जाता है।</v>
      </c>
    </row>
    <row r="242" ht="22.5" customHeight="1">
      <c r="A242" s="2">
        <v>241.0</v>
      </c>
      <c r="B242" s="3" t="s">
        <v>11752</v>
      </c>
      <c r="C242" s="3" t="s">
        <v>11753</v>
      </c>
      <c r="D242" s="3" t="s">
        <v>11266</v>
      </c>
      <c r="F242" s="5" t="str">
        <f>IFERROR(__xludf.DUMMYFUNCTION("GOOGLETRANSLATE(A242, ""en"", ""hi"")"),"241")</f>
        <v>241</v>
      </c>
      <c r="G242" s="5" t="str">
        <f>IFERROR(__xludf.DUMMYFUNCTION("GOOGLETRANSLATE(B242, ""en"", ""hi"")"),"खिलाड़ी GGG गिल्ली मारता है और वह बर्फ की पतली परत से ढकी सतह पर गिरती है। इस हिट का नियम क्या होना चाहिए?")</f>
        <v>खिलाड़ी GGG गिल्ली मारता है और वह बर्फ की पतली परत से ढकी सतह पर गिरती है। इस हिट का नियम क्या होना चाहिए?</v>
      </c>
      <c r="H242" s="5" t="str">
        <f>IFERROR(__xludf.DUMMYFUNCTION("GOOGLETRANSLATE(C242, ""en"", ""hi"")"),"A) गिल्ली को खेल में माना जाता है। , B) गिल्ली को सीमा से बाहर माना जाता है। , C) बर्फ हटाए जाने तक खेल को रोक दिया जाता है। , D) खिलाड़ी GGG को एक और मौका दिया जाता है।")</f>
        <v>A) गिल्ली को खेल में माना जाता है। , B) गिल्ली को सीमा से बाहर माना जाता है। , C) बर्फ हटाए जाने तक खेल को रोक दिया जाता है। , D) खिलाड़ी GGG को एक और मौका दिया जाता है।</v>
      </c>
      <c r="I242" s="5" t="str">
        <f>IFERROR(__xludf.DUMMYFUNCTION("GOOGLETRANSLATE(D242, ""en"", ""hi"")"),"बी) गिल्ली को सीमा से बाहर माना जाता है।")</f>
        <v>बी) गिल्ली को सीमा से बाहर माना जाता है।</v>
      </c>
    </row>
    <row r="243" ht="22.5" customHeight="1">
      <c r="A243" s="2">
        <v>242.0</v>
      </c>
      <c r="B243" s="3" t="s">
        <v>11754</v>
      </c>
      <c r="C243" s="3" t="s">
        <v>11755</v>
      </c>
      <c r="D243" s="3" t="s">
        <v>11314</v>
      </c>
      <c r="F243" s="5" t="str">
        <f>IFERROR(__xludf.DUMMYFUNCTION("GOOGLETRANSLATE(A243, ""en"", ""hi"")"),"242")</f>
        <v>242</v>
      </c>
      <c r="G243" s="5" t="str">
        <f>IFERROR(__xludf.DUMMYFUNCTION("GOOGLETRANSLATE(B243, ""en"", ""hi"")"),"गिल्ली डंडा मैच में, खिलाड़ी HHH गिल्ली मारता है और वह धूल और छोटे कंकड़ की एक पतली परत से ढकी सतह पर गिरती है। उचित नियम क्या है?")</f>
        <v>गिल्ली डंडा मैच में, खिलाड़ी HHH गिल्ली मारता है और वह धूल और छोटे कंकड़ की एक पतली परत से ढकी सतह पर गिरती है। उचित नियम क्या है?</v>
      </c>
      <c r="H243" s="5" t="str">
        <f>IFERROR(__xludf.DUMMYFUNCTION("GOOGLETRANSLATE(C243, ""en"", ""hi"")"),"A) गिल्ली को खेल से बाहर माना जाता है। , B) गिल्ली को खेल में माना जाता है। , C) खेल को तब तक रोक दिया जाता है जब तक धूल और कंकड़ साफ नहीं हो जाते। , D) खिलाड़ी HHH को एक और मौका दिया जाता है।")</f>
        <v>A) गिल्ली को खेल से बाहर माना जाता है। , B) गिल्ली को खेल में माना जाता है। , C) खेल को तब तक रोक दिया जाता है जब तक धूल और कंकड़ साफ नहीं हो जाते। , D) खिलाड़ी HHH को एक और मौका दिया जाता है।</v>
      </c>
      <c r="I243" s="5" t="str">
        <f>IFERROR(__xludf.DUMMYFUNCTION("GOOGLETRANSLATE(D243, ""en"", ""hi"")"),"अ) गिल्ली को सीमा से बाहर माना जाता है।")</f>
        <v>अ) गिल्ली को सीमा से बाहर माना जाता है।</v>
      </c>
    </row>
    <row r="244" ht="22.5" customHeight="1">
      <c r="A244" s="2">
        <v>243.0</v>
      </c>
      <c r="B244" s="3" t="s">
        <v>11756</v>
      </c>
      <c r="C244" s="3" t="s">
        <v>11757</v>
      </c>
      <c r="D244" s="3" t="s">
        <v>11314</v>
      </c>
      <c r="F244" s="5" t="str">
        <f>IFERROR(__xludf.DUMMYFUNCTION("GOOGLETRANSLATE(A244, ""en"", ""hi"")"),"243")</f>
        <v>243</v>
      </c>
      <c r="G244" s="5" t="str">
        <f>IFERROR(__xludf.DUMMYFUNCTION("GOOGLETRANSLATE(B244, ""en"", ""hi"")"),"खिलाड़ी III गिल्ली को मारता है और वह टूटी हुई टाइलों की परत वाली सतह पर गिरती है। इस स्थिति में क्या नियम है?")</f>
        <v>खिलाड़ी III गिल्ली को मारता है और वह टूटी हुई टाइलों की परत वाली सतह पर गिरती है। इस स्थिति में क्या नियम है?</v>
      </c>
      <c r="H244" s="5" t="str">
        <f>IFERROR(__xludf.DUMMYFUNCTION("GOOGLETRANSLATE(C244, ""en"", ""hi"")"),"A) गिल्ली को सीमा से बाहर माना जाता है। , B) गिल्ली को खेल में माना जाता है। , C) खेल तब तक रुका रहता है जब तक टाइलें हटा नहीं दी जातीं। , D) खिलाड़ी III को एक और मौका दिया जाता है।")</f>
        <v>A) गिल्ली को सीमा से बाहर माना जाता है। , B) गिल्ली को खेल में माना जाता है। , C) खेल तब तक रुका रहता है जब तक टाइलें हटा नहीं दी जातीं। , D) खिलाड़ी III को एक और मौका दिया जाता है।</v>
      </c>
      <c r="I244" s="5" t="str">
        <f>IFERROR(__xludf.DUMMYFUNCTION("GOOGLETRANSLATE(D244, ""en"", ""hi"")"),"अ) गिल्ली को सीमा से बाहर माना जाता है।")</f>
        <v>अ) गिल्ली को सीमा से बाहर माना जाता है।</v>
      </c>
    </row>
    <row r="245" ht="22.5" customHeight="1">
      <c r="A245" s="2">
        <v>244.0</v>
      </c>
      <c r="B245" s="3" t="s">
        <v>11758</v>
      </c>
      <c r="C245" s="3" t="s">
        <v>11759</v>
      </c>
      <c r="D245" s="3" t="s">
        <v>11278</v>
      </c>
      <c r="F245" s="5" t="str">
        <f>IFERROR(__xludf.DUMMYFUNCTION("GOOGLETRANSLATE(A245, ""en"", ""hi"")"),"244")</f>
        <v>244</v>
      </c>
      <c r="G245" s="5" t="str">
        <f>IFERROR(__xludf.DUMMYFUNCTION("GOOGLETRANSLATE(B245, ""en"", ""hi"")"),"खिलाड़ी JJJ गिल्ली को मारता है और वह रेत और छोटे पत्थरों की पतली परत वाली सतह पर गिरती है। इस प्रहार की व्याख्या कैसे की जानी चाहिए?")</f>
        <v>खिलाड़ी JJJ गिल्ली को मारता है और वह रेत और छोटे पत्थरों की पतली परत वाली सतह पर गिरती है। इस प्रहार की व्याख्या कैसे की जानी चाहिए?</v>
      </c>
      <c r="H245" s="5" t="str">
        <f>IFERROR(__xludf.DUMMYFUNCTION("GOOGLETRANSLATE(C245, ""en"", ""hi"")"),"A) गिल्ली को खेल में माना जाता है। , B) गिल्ली को सीमा से बाहर माना जाता है। , C) रेत और चट्टानों को साफ होने तक खेल को रोक दिया जाता है। , D) खिलाड़ी JJJ को एक और मौका दिया जाता है।")</f>
        <v>A) गिल्ली को खेल में माना जाता है। , B) गिल्ली को सीमा से बाहर माना जाता है। , C) रेत और चट्टानों को साफ होने तक खेल को रोक दिया जाता है। , D) खिलाड़ी JJJ को एक और मौका दिया जाता है।</v>
      </c>
      <c r="I245" s="5" t="str">
        <f>IFERROR(__xludf.DUMMYFUNCTION("GOOGLETRANSLATE(D245, ""en"", ""hi"")"),"अ) गिल्ली को खेल में शामिल माना जाता है।")</f>
        <v>अ) गिल्ली को खेल में शामिल माना जाता है।</v>
      </c>
    </row>
    <row r="246" ht="22.5" customHeight="1">
      <c r="A246" s="2">
        <v>245.0</v>
      </c>
      <c r="B246" s="3" t="s">
        <v>11760</v>
      </c>
      <c r="C246" s="3" t="s">
        <v>11761</v>
      </c>
      <c r="D246" s="3" t="s">
        <v>11314</v>
      </c>
      <c r="F246" s="5" t="str">
        <f>IFERROR(__xludf.DUMMYFUNCTION("GOOGLETRANSLATE(A246, ""en"", ""hi"")"),"245")</f>
        <v>245</v>
      </c>
      <c r="G246" s="5" t="str">
        <f>IFERROR(__xludf.DUMMYFUNCTION("GOOGLETRANSLATE(B246, ""en"", ""hi"")"),"गिल्ली डंडा मैच के दौरान, खिलाड़ी केकेके गिल्ली मारता है और वह निर्माण सामग्री के एक बड़े ढेर से अवरुद्ध सतह पर गिरती है। इस हिट का नियम क्या है?")</f>
        <v>गिल्ली डंडा मैच के दौरान, खिलाड़ी केकेके गिल्ली मारता है और वह निर्माण सामग्री के एक बड़े ढेर से अवरुद्ध सतह पर गिरती है। इस हिट का नियम क्या है?</v>
      </c>
      <c r="H246" s="5" t="str">
        <f>IFERROR(__xludf.DUMMYFUNCTION("GOOGLETRANSLATE(C246, ""en"", ""hi"")"),"A) गिल्ली को सीमा से बाहर माना जाता है। , B) गिल्ली को खेल में माना जाता है। , C) जब तक सामग्री साफ नहीं हो जाती तब तक खेल को रोक दिया जाता है। , D) खिलाड़ी केकेके को एक और मौका दिया जाता है।")</f>
        <v>A) गिल्ली को सीमा से बाहर माना जाता है। , B) गिल्ली को खेल में माना जाता है। , C) जब तक सामग्री साफ नहीं हो जाती तब तक खेल को रोक दिया जाता है। , D) खिलाड़ी केकेके को एक और मौका दिया जाता है।</v>
      </c>
      <c r="I246" s="5" t="str">
        <f>IFERROR(__xludf.DUMMYFUNCTION("GOOGLETRANSLATE(D246, ""en"", ""hi"")"),"अ) गिल्ली को सीमा से बाहर माना जाता है।")</f>
        <v>अ) गिल्ली को सीमा से बाहर माना जाता है।</v>
      </c>
    </row>
    <row r="247" ht="22.5" customHeight="1">
      <c r="A247" s="2">
        <v>246.0</v>
      </c>
      <c r="B247" s="3" t="s">
        <v>11762</v>
      </c>
      <c r="C247" s="3" t="s">
        <v>11763</v>
      </c>
      <c r="D247" s="3" t="s">
        <v>11266</v>
      </c>
      <c r="F247" s="5" t="str">
        <f>IFERROR(__xludf.DUMMYFUNCTION("GOOGLETRANSLATE(A247, ""en"", ""hi"")"),"246")</f>
        <v>246</v>
      </c>
      <c r="G247" s="5" t="str">
        <f>IFERROR(__xludf.DUMMYFUNCTION("GOOGLETRANSLATE(B247, ""en"", ""hi"")"),"खिलाड़ी LLL गिल्ली मारता है और वह पुराने अखबारों और गत्ते की मोटी परत से ढके हुए क्षेत्र में गिरती है। उचित नियम क्या है?")</f>
        <v>खिलाड़ी LLL गिल्ली मारता है और वह पुराने अखबारों और गत्ते की मोटी परत से ढके हुए क्षेत्र में गिरती है। उचित नियम क्या है?</v>
      </c>
      <c r="H247" s="5" t="str">
        <f>IFERROR(__xludf.DUMMYFUNCTION("GOOGLETRANSLATE(C247, ""en"", ""hi"")"),"A) गिल्ली को खेल में माना जाता है। , B) गिल्ली को सीमा से बाहर माना जाता है। , C) खेल को तब तक रोक दिया जाता है जब तक अखबार और कार्डबोर्ड हटा नहीं दिए जाते। , D) खिलाड़ी LLL को एक और मौका दिया जाता है।")</f>
        <v>A) गिल्ली को खेल में माना जाता है। , B) गिल्ली को सीमा से बाहर माना जाता है। , C) खेल को तब तक रोक दिया जाता है जब तक अखबार और कार्डबोर्ड हटा नहीं दिए जाते। , D) खिलाड़ी LLL को एक और मौका दिया जाता है।</v>
      </c>
      <c r="I247" s="5" t="str">
        <f>IFERROR(__xludf.DUMMYFUNCTION("GOOGLETRANSLATE(D247, ""en"", ""hi"")"),"बी) गिल्ली को सीमा से बाहर माना जाता है।")</f>
        <v>बी) गिल्ली को सीमा से बाहर माना जाता है।</v>
      </c>
    </row>
    <row r="248" ht="22.5" customHeight="1">
      <c r="A248" s="2">
        <v>247.0</v>
      </c>
      <c r="B248" s="3" t="s">
        <v>11764</v>
      </c>
      <c r="C248" s="3" t="s">
        <v>11765</v>
      </c>
      <c r="D248" s="3" t="s">
        <v>11266</v>
      </c>
      <c r="F248" s="5" t="str">
        <f>IFERROR(__xludf.DUMMYFUNCTION("GOOGLETRANSLATE(A248, ""en"", ""hi"")"),"247")</f>
        <v>247</v>
      </c>
      <c r="G248" s="5" t="str">
        <f>IFERROR(__xludf.DUMMYFUNCTION("GOOGLETRANSLATE(B248, ""en"", ""hi"")"),"खिलाड़ी MMM गिल्ली को मारता है और वह हाल ही में हुई बारिश के पानी की पतली परत से ढकी सतह पर गिरती है। इस स्थिति में क्या नियम होना चाहिए?")</f>
        <v>खिलाड़ी MMM गिल्ली को मारता है और वह हाल ही में हुई बारिश के पानी की पतली परत से ढकी सतह पर गिरती है। इस स्थिति में क्या नियम होना चाहिए?</v>
      </c>
      <c r="H248" s="5" t="str">
        <f>IFERROR(__xludf.DUMMYFUNCTION("GOOGLETRANSLATE(C248, ""en"", ""hi"")"),"A) गिल्ली को खेल में माना जाता है। , B) गिल्ली को सीमा से बाहर माना जाता है। , C) पानी साफ होने तक खेल को रोक दिया जाता है। , D) खिलाड़ी MMM को एक और मौका दिया जाता है।")</f>
        <v>A) गिल्ली को खेल में माना जाता है। , B) गिल्ली को सीमा से बाहर माना जाता है। , C) पानी साफ होने तक खेल को रोक दिया जाता है। , D) खिलाड़ी MMM को एक और मौका दिया जाता है।</v>
      </c>
      <c r="I248" s="5" t="str">
        <f>IFERROR(__xludf.DUMMYFUNCTION("GOOGLETRANSLATE(D248, ""en"", ""hi"")"),"बी) गिल्ली को सीमा से बाहर माना जाता है।")</f>
        <v>बी) गिल्ली को सीमा से बाहर माना जाता है।</v>
      </c>
    </row>
    <row r="249" ht="22.5" customHeight="1">
      <c r="A249" s="2">
        <v>248.0</v>
      </c>
      <c r="B249" s="3" t="s">
        <v>11766</v>
      </c>
      <c r="C249" s="3" t="s">
        <v>11767</v>
      </c>
      <c r="D249" s="3" t="s">
        <v>11314</v>
      </c>
      <c r="F249" s="5" t="str">
        <f>IFERROR(__xludf.DUMMYFUNCTION("GOOGLETRANSLATE(A249, ""en"", ""hi"")"),"248")</f>
        <v>248</v>
      </c>
      <c r="G249" s="5" t="str">
        <f>IFERROR(__xludf.DUMMYFUNCTION("GOOGLETRANSLATE(B249, ""en"", ""hi"")"),"गिल्ली डंडा खेल में, खिलाड़ी NNN गिल्ली पर प्रहार करता है और वह बड़े लट्ठों के ढेर से अवरुद्ध सतह पर गिरती है। इस प्रहार का मूल्यांकन कैसे किया जाना चाहिए?")</f>
        <v>गिल्ली डंडा खेल में, खिलाड़ी NNN गिल्ली पर प्रहार करता है और वह बड़े लट्ठों के ढेर से अवरुद्ध सतह पर गिरती है। इस प्रहार का मूल्यांकन कैसे किया जाना चाहिए?</v>
      </c>
      <c r="H249" s="5" t="str">
        <f>IFERROR(__xludf.DUMMYFUNCTION("GOOGLETRANSLATE(C249, ""en"", ""hi"")"),"A) गिल्ली को सीमा से बाहर माना जाता है। , B) गिल्ली को खेल में माना जाता है। , C) खेल को तब तक रोक दिया जाता है जब तक लॉग हटा नहीं दिए जाते। , D) खिलाड़ी NNN को एक और मौका दिया जाता है।")</f>
        <v>A) गिल्ली को सीमा से बाहर माना जाता है। , B) गिल्ली को खेल में माना जाता है। , C) खेल को तब तक रोक दिया जाता है जब तक लॉग हटा नहीं दिए जाते। , D) खिलाड़ी NNN को एक और मौका दिया जाता है।</v>
      </c>
      <c r="I249" s="5" t="str">
        <f>IFERROR(__xludf.DUMMYFUNCTION("GOOGLETRANSLATE(D249, ""en"", ""hi"")"),"अ) गिल्ली को सीमा से बाहर माना जाता है।")</f>
        <v>अ) गिल्ली को सीमा से बाहर माना जाता है।</v>
      </c>
    </row>
    <row r="250" ht="22.5" customHeight="1">
      <c r="A250" s="2">
        <v>249.0</v>
      </c>
      <c r="B250" s="3" t="s">
        <v>11768</v>
      </c>
      <c r="C250" s="3" t="s">
        <v>11769</v>
      </c>
      <c r="D250" s="3" t="s">
        <v>11278</v>
      </c>
      <c r="F250" s="5" t="str">
        <f>IFERROR(__xludf.DUMMYFUNCTION("GOOGLETRANSLATE(A250, ""en"", ""hi"")"),"249")</f>
        <v>249</v>
      </c>
      <c r="G250" s="5" t="str">
        <f>IFERROR(__xludf.DUMMYFUNCTION("GOOGLETRANSLATE(B250, ""en"", ""hi"")"),"खिलाड़ी OOO गिल्ली को मारता है और वह पत्तों की एक पतली परत से ढकी सतह पर गिरती है। इस हिट का नियम क्या है?")</f>
        <v>खिलाड़ी OOO गिल्ली को मारता है और वह पत्तों की एक पतली परत से ढकी सतह पर गिरती है। इस हिट का नियम क्या है?</v>
      </c>
      <c r="H250" s="5" t="str">
        <f>IFERROR(__xludf.DUMMYFUNCTION("GOOGLETRANSLATE(C250, ""en"", ""hi"")"),"A) गिल्ली को खेल में माना जाता है। , B) गिल्ली को सीमा से बाहर माना जाता है। , C) पत्ते साफ होने तक खेल रोक दिया जाता है। , D) खिलाड़ी OOO को एक और मौका दिया जाता है।")</f>
        <v>A) गिल्ली को खेल में माना जाता है। , B) गिल्ली को सीमा से बाहर माना जाता है। , C) पत्ते साफ होने तक खेल रोक दिया जाता है। , D) खिलाड़ी OOO को एक और मौका दिया जाता है।</v>
      </c>
      <c r="I250" s="5" t="str">
        <f>IFERROR(__xludf.DUMMYFUNCTION("GOOGLETRANSLATE(D250, ""en"", ""hi"")"),"अ) गिल्ली को खेल में शामिल माना जाता है।")</f>
        <v>अ) गिल्ली को खेल में शामिल माना जाता है।</v>
      </c>
    </row>
    <row r="251" ht="22.5" customHeight="1">
      <c r="A251" s="2">
        <v>250.0</v>
      </c>
      <c r="B251" s="3" t="s">
        <v>11770</v>
      </c>
      <c r="C251" s="3" t="s">
        <v>11771</v>
      </c>
      <c r="D251" s="3" t="s">
        <v>11314</v>
      </c>
      <c r="F251" s="5" t="str">
        <f>IFERROR(__xludf.DUMMYFUNCTION("GOOGLETRANSLATE(A251, ""en"", ""hi"")"),"250")</f>
        <v>250</v>
      </c>
      <c r="G251" s="5" t="str">
        <f>IFERROR(__xludf.DUMMYFUNCTION("GOOGLETRANSLATE(B251, ""en"", ""hi"")"),"गिल्ली डंडा मैच के दौरान, खिलाड़ी PPP गिल्ली मारता है और वह धातु के टुकड़ों के ढेर से घिरे क्षेत्र में गिरती है। उचित नियम क्या है?")</f>
        <v>गिल्ली डंडा मैच के दौरान, खिलाड़ी PPP गिल्ली मारता है और वह धातु के टुकड़ों के ढेर से घिरे क्षेत्र में गिरती है। उचित नियम क्या है?</v>
      </c>
      <c r="H251" s="5" t="str">
        <f>IFERROR(__xludf.DUMMYFUNCTION("GOOGLETRANSLATE(C251, ""en"", ""hi"")"),"A) गिल्ली को सीमा से बाहर माना जाता है। , B) गिल्ली को खेल में माना जाता है। , C) खेल तब तक रुका रहता है जब तक स्क्रैप हटा नहीं दिया जाता। , D) खिलाड़ी PPP को एक और मौका दिया जाता है।")</f>
        <v>A) गिल्ली को सीमा से बाहर माना जाता है। , B) गिल्ली को खेल में माना जाता है। , C) खेल तब तक रुका रहता है जब तक स्क्रैप हटा नहीं दिया जाता। , D) खिलाड़ी PPP को एक और मौका दिया जाता है।</v>
      </c>
      <c r="I251" s="5" t="str">
        <f>IFERROR(__xludf.DUMMYFUNCTION("GOOGLETRANSLATE(D251, ""en"", ""hi"")"),"अ) गिल्ली को सीमा से बाहर माना जाता है।")</f>
        <v>अ) गिल्ली को सीमा से बाहर माना जाता है।</v>
      </c>
    </row>
    <row r="252" ht="22.5" customHeight="1">
      <c r="A252" s="2">
        <v>251.0</v>
      </c>
      <c r="B252" s="3" t="s">
        <v>11772</v>
      </c>
      <c r="C252" s="3" t="s">
        <v>11773</v>
      </c>
      <c r="D252" s="3" t="s">
        <v>11278</v>
      </c>
      <c r="F252" s="5" t="str">
        <f>IFERROR(__xludf.DUMMYFUNCTION("GOOGLETRANSLATE(A252, ""en"", ""hi"")"),"251")</f>
        <v>251</v>
      </c>
      <c r="G252" s="5" t="str">
        <f>IFERROR(__xludf.DUMMYFUNCTION("GOOGLETRANSLATE(B252, ""en"", ""hi"")"),"खिलाड़ी QQQ गिल्ली मारता है और वह बजरी की परत वाली सतह पर गिरती है। इस हिट का मूल्यांकन कैसे किया जाना चाहिए?")</f>
        <v>खिलाड़ी QQQ गिल्ली मारता है और वह बजरी की परत वाली सतह पर गिरती है। इस हिट का मूल्यांकन कैसे किया जाना चाहिए?</v>
      </c>
      <c r="H252" s="5" t="str">
        <f>IFERROR(__xludf.DUMMYFUNCTION("GOOGLETRANSLATE(C252, ""en"", ""hi"")"),"A) गिल्ली को खेल में माना जाता है। , B) गिल्ली को सीमा से बाहर माना जाता है। , C) बजरी हटाए जाने तक खेल को रोक दिया जाता है। , D) खिलाड़ी QQQ को एक और मौका दिया जाता है।")</f>
        <v>A) गिल्ली को खेल में माना जाता है। , B) गिल्ली को सीमा से बाहर माना जाता है। , C) बजरी हटाए जाने तक खेल को रोक दिया जाता है। , D) खिलाड़ी QQQ को एक और मौका दिया जाता है।</v>
      </c>
      <c r="I252" s="5" t="str">
        <f>IFERROR(__xludf.DUMMYFUNCTION("GOOGLETRANSLATE(D252, ""en"", ""hi"")"),"अ) गिल्ली को खेल में शामिल माना जाता है।")</f>
        <v>अ) गिल्ली को खेल में शामिल माना जाता है।</v>
      </c>
    </row>
    <row r="253" ht="22.5" customHeight="1">
      <c r="A253" s="2">
        <v>252.0</v>
      </c>
      <c r="B253" s="3" t="s">
        <v>11774</v>
      </c>
      <c r="C253" s="3" t="s">
        <v>11775</v>
      </c>
      <c r="D253" s="3" t="s">
        <v>11314</v>
      </c>
      <c r="F253" s="5" t="str">
        <f>IFERROR(__xludf.DUMMYFUNCTION("GOOGLETRANSLATE(A253, ""en"", ""hi"")"),"252")</f>
        <v>252</v>
      </c>
      <c r="G253" s="5" t="str">
        <f>IFERROR(__xludf.DUMMYFUNCTION("GOOGLETRANSLATE(B253, ""en"", ""hi"")"),"खिलाड़ी RRR गिल्ली मारता है और वह बर्फ और बर्फ की मोटी परत से ढकी सतह पर गिरती है। इस स्थिति में क्या नियम है?")</f>
        <v>खिलाड़ी RRR गिल्ली मारता है और वह बर्फ और बर्फ की मोटी परत से ढकी सतह पर गिरती है। इस स्थिति में क्या नियम है?</v>
      </c>
      <c r="H253" s="5" t="str">
        <f>IFERROR(__xludf.DUMMYFUNCTION("GOOGLETRANSLATE(C253, ""en"", ""hi"")"),"A) गिल्ली को सीमा से बाहर माना जाता है। , B) गिल्ली को खेल में माना जाता है। , C) खेल को तब तक रोक दिया जाता है जब तक बर्फ और बर्फ साफ नहीं हो जाती। , D) खिलाड़ी RRR को एक और मौका दिया जाता है।")</f>
        <v>A) गिल्ली को सीमा से बाहर माना जाता है। , B) गिल्ली को खेल में माना जाता है। , C) खेल को तब तक रोक दिया जाता है जब तक बर्फ और बर्फ साफ नहीं हो जाती। , D) खिलाड़ी RRR को एक और मौका दिया जाता है।</v>
      </c>
      <c r="I253" s="5" t="str">
        <f>IFERROR(__xludf.DUMMYFUNCTION("GOOGLETRANSLATE(D253, ""en"", ""hi"")"),"अ) गिल्ली को सीमा से बाहर माना जाता है।")</f>
        <v>अ) गिल्ली को सीमा से बाहर माना जाता है।</v>
      </c>
    </row>
    <row r="254" ht="22.5" customHeight="1">
      <c r="A254" s="2">
        <v>253.0</v>
      </c>
      <c r="B254" s="3" t="s">
        <v>11776</v>
      </c>
      <c r="C254" s="3" t="s">
        <v>11777</v>
      </c>
      <c r="D254" s="3" t="s">
        <v>11278</v>
      </c>
      <c r="F254" s="5" t="str">
        <f>IFERROR(__xludf.DUMMYFUNCTION("GOOGLETRANSLATE(A254, ""en"", ""hi"")"),"253")</f>
        <v>253</v>
      </c>
      <c r="G254" s="5" t="str">
        <f>IFERROR(__xludf.DUMMYFUNCTION("GOOGLETRANSLATE(B254, ""en"", ""hi"")"),"गिल्ली डंडा मैच में, खिलाड़ी SSS गिल्ली पर वार करता है और वह रेत की पतली परत से ढकी सतह पर गिरती है। इस वार की व्याख्या कैसे की जानी चाहिए?")</f>
        <v>गिल्ली डंडा मैच में, खिलाड़ी SSS गिल्ली पर वार करता है और वह रेत की पतली परत से ढकी सतह पर गिरती है। इस वार की व्याख्या कैसे की जानी चाहिए?</v>
      </c>
      <c r="H254" s="5" t="str">
        <f>IFERROR(__xludf.DUMMYFUNCTION("GOOGLETRANSLATE(C254, ""en"", ""hi"")"),"A) गिल्ली को खेल में माना जाता है। , B) गिल्ली को सीमा से बाहर माना जाता है। , C) रेत साफ होने तक खेल को रोक दिया जाता है। , D) खिलाड़ी SSS को एक और मौका दिया जाता है।")</f>
        <v>A) गिल्ली को खेल में माना जाता है। , B) गिल्ली को सीमा से बाहर माना जाता है। , C) रेत साफ होने तक खेल को रोक दिया जाता है। , D) खिलाड़ी SSS को एक और मौका दिया जाता है।</v>
      </c>
      <c r="I254" s="5" t="str">
        <f>IFERROR(__xludf.DUMMYFUNCTION("GOOGLETRANSLATE(D254, ""en"", ""hi"")"),"अ) गिल्ली को खेल में शामिल माना जाता है।")</f>
        <v>अ) गिल्ली को खेल में शामिल माना जाता है।</v>
      </c>
    </row>
    <row r="255" ht="22.5" customHeight="1">
      <c r="A255" s="2">
        <v>254.0</v>
      </c>
      <c r="B255" s="3" t="s">
        <v>11778</v>
      </c>
      <c r="C255" s="3" t="s">
        <v>11779</v>
      </c>
      <c r="D255" s="3" t="s">
        <v>11314</v>
      </c>
      <c r="F255" s="5" t="str">
        <f>IFERROR(__xludf.DUMMYFUNCTION("GOOGLETRANSLATE(A255, ""en"", ""hi"")"),"254")</f>
        <v>254</v>
      </c>
      <c r="G255" s="5" t="str">
        <f>IFERROR(__xludf.DUMMYFUNCTION("GOOGLETRANSLATE(B255, ""en"", ""hi"")"),"खिलाड़ी TTT गिल्ली मारता है और वह सूखे पत्तों के एक बड़े ढेर से घिरे क्षेत्र में गिरती है। इस हिट के लिए उपयुक्त नियम क्या है?")</f>
        <v>खिलाड़ी TTT गिल्ली मारता है और वह सूखे पत्तों के एक बड़े ढेर से घिरे क्षेत्र में गिरती है। इस हिट के लिए उपयुक्त नियम क्या है?</v>
      </c>
      <c r="H255" s="5" t="str">
        <f>IFERROR(__xludf.DUMMYFUNCTION("GOOGLETRANSLATE(C255, ""en"", ""hi"")"),"A) गिल्ली को सीमा से बाहर माना जाता है। , B) गिल्ली को खेल में माना जाता है। , C) पत्तों को हटाए जाने तक खेल को रोक दिया जाता है। , D) खिलाड़ी TTT को एक और मौका दिया जाता है।")</f>
        <v>A) गिल्ली को सीमा से बाहर माना जाता है। , B) गिल्ली को खेल में माना जाता है। , C) पत्तों को हटाए जाने तक खेल को रोक दिया जाता है। , D) खिलाड़ी TTT को एक और मौका दिया जाता है।</v>
      </c>
      <c r="I255" s="5" t="str">
        <f>IFERROR(__xludf.DUMMYFUNCTION("GOOGLETRANSLATE(D255, ""en"", ""hi"")"),"अ) गिल्ली को सीमा से बाहर माना जाता है।")</f>
        <v>अ) गिल्ली को सीमा से बाहर माना जाता है।</v>
      </c>
    </row>
    <row r="256" ht="22.5" customHeight="1">
      <c r="A256" s="2">
        <v>255.0</v>
      </c>
      <c r="B256" s="3" t="s">
        <v>11780</v>
      </c>
      <c r="C256" s="3" t="s">
        <v>11781</v>
      </c>
      <c r="D256" s="3" t="s">
        <v>11278</v>
      </c>
      <c r="F256" s="5" t="str">
        <f>IFERROR(__xludf.DUMMYFUNCTION("GOOGLETRANSLATE(A256, ""en"", ""hi"")"),"255")</f>
        <v>255</v>
      </c>
      <c r="G256" s="5" t="str">
        <f>IFERROR(__xludf.DUMMYFUNCTION("GOOGLETRANSLATE(B256, ""en"", ""hi"")"),"खिलाड़ी UUU गिल्ली को मारता है और वह धूल और छोटे मलबे की एक पतली परत से ढकी सतह पर गिरती है। इस स्थिति में क्या नियम होना चाहिए?")</f>
        <v>खिलाड़ी UUU गिल्ली को मारता है और वह धूल और छोटे मलबे की एक पतली परत से ढकी सतह पर गिरती है। इस स्थिति में क्या नियम होना चाहिए?</v>
      </c>
      <c r="H256" s="5" t="str">
        <f>IFERROR(__xludf.DUMMYFUNCTION("GOOGLETRANSLATE(C256, ""en"", ""hi"")"),"A) गिल्ली को खेल में माना जाता है। , B) गिल्ली को सीमा से बाहर माना जाता है। , C) धूल और मलबा साफ होने तक खेल रोक दिया जाता है। , D) खिलाड़ी UUU को एक और मौका दिया जाता है।")</f>
        <v>A) गिल्ली को खेल में माना जाता है। , B) गिल्ली को सीमा से बाहर माना जाता है। , C) धूल और मलबा साफ होने तक खेल रोक दिया जाता है। , D) खिलाड़ी UUU को एक और मौका दिया जाता है।</v>
      </c>
      <c r="I256" s="5" t="str">
        <f>IFERROR(__xludf.DUMMYFUNCTION("GOOGLETRANSLATE(D256, ""en"", ""hi"")"),"अ) गिल्ली को खेल में शामिल माना जाता है।")</f>
        <v>अ) गिल्ली को खेल में शामिल माना जाता है।</v>
      </c>
    </row>
    <row r="257" ht="22.5" customHeight="1">
      <c r="A257" s="2">
        <v>256.0</v>
      </c>
      <c r="B257" s="3" t="s">
        <v>11782</v>
      </c>
      <c r="C257" s="3" t="s">
        <v>11783</v>
      </c>
      <c r="D257" s="3" t="s">
        <v>11314</v>
      </c>
      <c r="F257" s="5" t="str">
        <f>IFERROR(__xludf.DUMMYFUNCTION("GOOGLETRANSLATE(A257, ""en"", ""hi"")"),"256")</f>
        <v>256</v>
      </c>
      <c r="G257" s="5" t="str">
        <f>IFERROR(__xludf.DUMMYFUNCTION("GOOGLETRANSLATE(B257, ""en"", ""hi"")"),"गिल्ली डंडा मैच के दौरान, खिलाड़ी VVV गिल्ली मारता है और वह मलबे के एक बड़े ढेर से ढकी सतह पर गिरती है। इस हिट का नियम क्या है?")</f>
        <v>गिल्ली डंडा मैच के दौरान, खिलाड़ी VVV गिल्ली मारता है और वह मलबे के एक बड़े ढेर से ढकी सतह पर गिरती है। इस हिट का नियम क्या है?</v>
      </c>
      <c r="H257" s="5" t="str">
        <f>IFERROR(__xludf.DUMMYFUNCTION("GOOGLETRANSLATE(C257, ""en"", ""hi"")"),"A) गिल्ली को खेल से बाहर माना जाता है। , B) गिल्ली को खेल में माना जाता है। , C) खेल को तब तक रोक दिया जाता है जब तक मलबा साफ नहीं हो जाता। , D) खिलाड़ी VVV को एक और मौका दिया जाता है।")</f>
        <v>A) गिल्ली को खेल से बाहर माना जाता है। , B) गिल्ली को खेल में माना जाता है। , C) खेल को तब तक रोक दिया जाता है जब तक मलबा साफ नहीं हो जाता। , D) खिलाड़ी VVV को एक और मौका दिया जाता है।</v>
      </c>
      <c r="I257" s="5" t="str">
        <f>IFERROR(__xludf.DUMMYFUNCTION("GOOGLETRANSLATE(D257, ""en"", ""hi"")"),"अ) गिल्ली को सीमा से बाहर माना जाता है।")</f>
        <v>अ) गिल्ली को सीमा से बाहर माना जाता है।</v>
      </c>
    </row>
    <row r="258" ht="22.5" customHeight="1">
      <c r="A258" s="2">
        <v>257.0</v>
      </c>
      <c r="B258" s="3" t="s">
        <v>11784</v>
      </c>
      <c r="C258" s="3" t="s">
        <v>11785</v>
      </c>
      <c r="D258" s="3" t="s">
        <v>11376</v>
      </c>
      <c r="F258" s="5" t="str">
        <f>IFERROR(__xludf.DUMMYFUNCTION("GOOGLETRANSLATE(A258, ""en"", ""hi"")"),"257")</f>
        <v>257</v>
      </c>
      <c r="G258" s="5" t="str">
        <f>IFERROR(__xludf.DUMMYFUNCTION("GOOGLETRANSLATE(B258, ""en"", ""hi"")"),"खिलाड़ी WWW गिल्ली को मारता है और वह घास और मिट्टी की एक पतली परत से ढकी सतह पर गिरती है। इस स्थिति में क्या नियम होना चाहिए?")</f>
        <v>खिलाड़ी WWW गिल्ली को मारता है और वह घास और मिट्टी की एक पतली परत से ढकी सतह पर गिरती है। इस स्थिति में क्या नियम होना चाहिए?</v>
      </c>
      <c r="H258" s="5" t="str">
        <f>IFERROR(__xludf.DUMMYFUNCTION("GOOGLETRANSLATE(C258, ""en"", ""hi"")"),"A) गिल्ली को सीमा से बाहर माना जाता है। , B) गिल्ली को खेल में माना जाता है। , C) घास और मिट्टी साफ होने तक खेल को रोक दिया जाता है। , D) खिलाड़ी WWW को एक और मौका दिया जाता है।")</f>
        <v>A) गिल्ली को सीमा से बाहर माना जाता है। , B) गिल्ली को खेल में माना जाता है। , C) घास और मिट्टी साफ होने तक खेल को रोक दिया जाता है। , D) खिलाड़ी WWW को एक और मौका दिया जाता है।</v>
      </c>
      <c r="I258" s="5" t="str">
        <f>IFERROR(__xludf.DUMMYFUNCTION("GOOGLETRANSLATE(D258, ""en"", ""hi"")"),"बी) गिल्ली को खेल में शामिल माना जाता है।")</f>
        <v>बी) गिल्ली को खेल में शामिल माना जाता है।</v>
      </c>
    </row>
    <row r="259" ht="22.5" customHeight="1">
      <c r="A259" s="2">
        <v>258.0</v>
      </c>
      <c r="B259" s="3" t="s">
        <v>11786</v>
      </c>
      <c r="C259" s="3" t="s">
        <v>11787</v>
      </c>
      <c r="D259" s="3" t="s">
        <v>11266</v>
      </c>
      <c r="F259" s="5" t="str">
        <f>IFERROR(__xludf.DUMMYFUNCTION("GOOGLETRANSLATE(A259, ""en"", ""hi"")"),"258")</f>
        <v>258</v>
      </c>
      <c r="G259" s="5" t="str">
        <f>IFERROR(__xludf.DUMMYFUNCTION("GOOGLETRANSLATE(B259, ""en"", ""hi"")"),"गिल्ली डंडा खेल में, खिलाड़ी XXX गिल्ली मारता है और वह कीचड़ की मोटी परत से ढके क्षेत्र में गिरती है। इस प्रहार के लिए उपयुक्त नियम क्या है?")</f>
        <v>गिल्ली डंडा खेल में, खिलाड़ी XXX गिल्ली मारता है और वह कीचड़ की मोटी परत से ढके क्षेत्र में गिरती है। इस प्रहार के लिए उपयुक्त नियम क्या है?</v>
      </c>
      <c r="H259" s="5" t="str">
        <f>IFERROR(__xludf.DUMMYFUNCTION("GOOGLETRANSLATE(C259, ""en"", ""hi"")"),"A) गिल्ली को खेल में माना जाता है। , B) गिल्ली को सीमा से बाहर माना जाता है। , C) कीचड़ साफ होने तक खेल रोक दिया जाता है। , D) खिलाड़ी XXX को एक और मौका दिया जाता है।")</f>
        <v>A) गिल्ली को खेल में माना जाता है। , B) गिल्ली को सीमा से बाहर माना जाता है। , C) कीचड़ साफ होने तक खेल रोक दिया जाता है। , D) खिलाड़ी XXX को एक और मौका दिया जाता है।</v>
      </c>
      <c r="I259" s="5" t="str">
        <f>IFERROR(__xludf.DUMMYFUNCTION("GOOGLETRANSLATE(D259, ""en"", ""hi"")"),"बी) गिल्ली को सीमा से बाहर माना जाता है।")</f>
        <v>बी) गिल्ली को सीमा से बाहर माना जाता है।</v>
      </c>
    </row>
    <row r="260" ht="22.5" customHeight="1">
      <c r="A260" s="2">
        <v>259.0</v>
      </c>
      <c r="B260" s="3" t="s">
        <v>11788</v>
      </c>
      <c r="C260" s="3" t="s">
        <v>11789</v>
      </c>
      <c r="D260" s="3" t="s">
        <v>11314</v>
      </c>
      <c r="F260" s="5" t="str">
        <f>IFERROR(__xludf.DUMMYFUNCTION("GOOGLETRANSLATE(A260, ""en"", ""hi"")"),"259")</f>
        <v>259</v>
      </c>
      <c r="G260" s="5" t="str">
        <f>IFERROR(__xludf.DUMMYFUNCTION("GOOGLETRANSLATE(B260, ""en"", ""hi"")"),"खिलाड़ी YYY गिल्ली मारता है और वह बर्फ़ की परत से ढकी सतह पर गिरती है। इस स्थिति में क्या नियम होना चाहिए?")</f>
        <v>खिलाड़ी YYY गिल्ली मारता है और वह बर्फ़ की परत से ढकी सतह पर गिरती है। इस स्थिति में क्या नियम होना चाहिए?</v>
      </c>
      <c r="H260" s="5" t="str">
        <f>IFERROR(__xludf.DUMMYFUNCTION("GOOGLETRANSLATE(C260, ""en"", ""hi"")"),"A) गिल्ली को सीमा से बाहर माना जाता है। , B) गिल्ली को खेल में माना जाता है। , C) बर्फ और हिम साफ होने तक खेल को रोक दिया जाता है। , D) खिलाड़ी YYY को एक और मौका दिया जाता है।")</f>
        <v>A) गिल्ली को सीमा से बाहर माना जाता है। , B) गिल्ली को खेल में माना जाता है। , C) बर्फ और हिम साफ होने तक खेल को रोक दिया जाता है। , D) खिलाड़ी YYY को एक और मौका दिया जाता है।</v>
      </c>
      <c r="I260" s="5" t="str">
        <f>IFERROR(__xludf.DUMMYFUNCTION("GOOGLETRANSLATE(D260, ""en"", ""hi"")"),"अ) गिल्ली को सीमा से बाहर माना जाता है।")</f>
        <v>अ) गिल्ली को सीमा से बाहर माना जाता है।</v>
      </c>
    </row>
    <row r="261" ht="22.5" customHeight="1">
      <c r="A261" s="2">
        <v>260.0</v>
      </c>
      <c r="B261" s="3" t="s">
        <v>11790</v>
      </c>
      <c r="C261" s="3" t="s">
        <v>11791</v>
      </c>
      <c r="D261" s="3" t="s">
        <v>11314</v>
      </c>
      <c r="F261" s="5" t="str">
        <f>IFERROR(__xludf.DUMMYFUNCTION("GOOGLETRANSLATE(A261, ""en"", ""hi"")"),"260")</f>
        <v>260</v>
      </c>
      <c r="G261" s="5" t="str">
        <f>IFERROR(__xludf.DUMMYFUNCTION("GOOGLETRANSLATE(B261, ""en"", ""hi"")"),"गिल्ली डंडा मैच के दौरान, खिलाड़ी ZZZ गिल्ली पर वार करता है और वह गीली घास की मोटी परत से ढकी सतह पर गिरती है। इस वार का नियम क्या है?")</f>
        <v>गिल्ली डंडा मैच के दौरान, खिलाड़ी ZZZ गिल्ली पर वार करता है और वह गीली घास की मोटी परत से ढकी सतह पर गिरती है। इस वार का नियम क्या है?</v>
      </c>
      <c r="H261" s="5" t="str">
        <f>IFERROR(__xludf.DUMMYFUNCTION("GOOGLETRANSLATE(C261, ""en"", ""hi"")"),"A) गिल्ली को सीमा से बाहर माना जाता है। , B) गिल्ली को खेल में माना जाता है। , C) घास साफ होने तक खेल को रोक दिया जाता है। , D) खिलाड़ी ZZZ को एक और मौका दिया जाता है।")</f>
        <v>A) गिल्ली को सीमा से बाहर माना जाता है। , B) गिल्ली को खेल में माना जाता है। , C) घास साफ होने तक खेल को रोक दिया जाता है। , D) खिलाड़ी ZZZ को एक और मौका दिया जाता है।</v>
      </c>
      <c r="I261" s="5" t="str">
        <f>IFERROR(__xludf.DUMMYFUNCTION("GOOGLETRANSLATE(D261, ""en"", ""hi"")"),"अ) गिल्ली को सीमा से बाहर माना जाता है।")</f>
        <v>अ) गिल्ली को सीमा से बाहर माना जाता है।</v>
      </c>
    </row>
    <row r="262" ht="22.5" customHeight="1">
      <c r="A262" s="2">
        <v>261.0</v>
      </c>
      <c r="B262" s="3" t="s">
        <v>11792</v>
      </c>
      <c r="C262" s="3" t="s">
        <v>11793</v>
      </c>
      <c r="D262" s="3" t="s">
        <v>11266</v>
      </c>
      <c r="F262" s="5" t="str">
        <f>IFERROR(__xludf.DUMMYFUNCTION("GOOGLETRANSLATE(A262, ""en"", ""hi"")"),"261")</f>
        <v>261</v>
      </c>
      <c r="G262" s="5" t="str">
        <f>IFERROR(__xludf.DUMMYFUNCTION("GOOGLETRANSLATE(B262, ""en"", ""hi"")"),"खिलाड़ी AAA गिल्ली मारता है और वह मिट्टी और पत्तों की पतली परत से ढकी सतह पर गिरती है। इस हिट का नियम क्या होना चाहिए?")</f>
        <v>खिलाड़ी AAA गिल्ली मारता है और वह मिट्टी और पत्तों की पतली परत से ढकी सतह पर गिरती है। इस हिट का नियम क्या होना चाहिए?</v>
      </c>
      <c r="H262" s="5" t="str">
        <f>IFERROR(__xludf.DUMMYFUNCTION("GOOGLETRANSLATE(C262, ""en"", ""hi"")"),"A) गिल्ली को खेल में माना जाता है। , B) गिल्ली को सीमा से बाहर माना जाता है। , C) खेल को तब तक रोक दिया जाता है जब तक कीचड़ और पत्तियां साफ नहीं हो जातीं। , D) खिलाड़ी AAA को एक और मौका दिया जाता है।")</f>
        <v>A) गिल्ली को खेल में माना जाता है। , B) गिल्ली को सीमा से बाहर माना जाता है। , C) खेल को तब तक रोक दिया जाता है जब तक कीचड़ और पत्तियां साफ नहीं हो जातीं। , D) खिलाड़ी AAA को एक और मौका दिया जाता है।</v>
      </c>
      <c r="I262" s="5" t="str">
        <f>IFERROR(__xludf.DUMMYFUNCTION("GOOGLETRANSLATE(D262, ""en"", ""hi"")"),"बी) गिल्ली को सीमा से बाहर माना जाता है।")</f>
        <v>बी) गिल्ली को सीमा से बाहर माना जाता है।</v>
      </c>
    </row>
    <row r="263" ht="22.5" customHeight="1">
      <c r="A263" s="2">
        <v>262.0</v>
      </c>
      <c r="B263" s="3" t="s">
        <v>11794</v>
      </c>
      <c r="C263" s="3" t="s">
        <v>11795</v>
      </c>
      <c r="D263" s="3" t="s">
        <v>11314</v>
      </c>
      <c r="F263" s="5" t="str">
        <f>IFERROR(__xludf.DUMMYFUNCTION("GOOGLETRANSLATE(A263, ""en"", ""hi"")"),"262")</f>
        <v>262</v>
      </c>
      <c r="G263" s="5" t="str">
        <f>IFERROR(__xludf.DUMMYFUNCTION("GOOGLETRANSLATE(B263, ""en"", ""hi"")"),"गिल्ली डंडा मैच में, खिलाड़ी BBB गिल्ली मारता है और वह ईंटों के एक बड़े ढेर से ढकी सतह पर गिरती है। इस हिट के लिए उपयुक्त नियम क्या है?")</f>
        <v>गिल्ली डंडा मैच में, खिलाड़ी BBB गिल्ली मारता है और वह ईंटों के एक बड़े ढेर से ढकी सतह पर गिरती है। इस हिट के लिए उपयुक्त नियम क्या है?</v>
      </c>
      <c r="H263" s="5" t="str">
        <f>IFERROR(__xludf.DUMMYFUNCTION("GOOGLETRANSLATE(C263, ""en"", ""hi"")"),"A) गिल्ली को सीमा से बाहर माना जाता है। , B) गिल्ली को खेल में माना जाता है। , C) ईंटों को हटाए जाने तक खेल को रोक दिया जाता है। , D) खिलाड़ी BBB को एक और मौका दिया जाता है।")</f>
        <v>A) गिल्ली को सीमा से बाहर माना जाता है। , B) गिल्ली को खेल में माना जाता है। , C) ईंटों को हटाए जाने तक खेल को रोक दिया जाता है। , D) खिलाड़ी BBB को एक और मौका दिया जाता है।</v>
      </c>
      <c r="I263" s="5" t="str">
        <f>IFERROR(__xludf.DUMMYFUNCTION("GOOGLETRANSLATE(D263, ""en"", ""hi"")"),"अ) गिल्ली को सीमा से बाहर माना जाता है।")</f>
        <v>अ) गिल्ली को सीमा से बाहर माना जाता है।</v>
      </c>
    </row>
    <row r="264" ht="22.5" customHeight="1">
      <c r="A264" s="2">
        <v>263.0</v>
      </c>
      <c r="B264" s="3" t="s">
        <v>11796</v>
      </c>
      <c r="C264" s="3" t="s">
        <v>11797</v>
      </c>
      <c r="D264" s="3" t="s">
        <v>11278</v>
      </c>
      <c r="F264" s="5" t="str">
        <f>IFERROR(__xludf.DUMMYFUNCTION("GOOGLETRANSLATE(A264, ""en"", ""hi"")"),"263")</f>
        <v>263</v>
      </c>
      <c r="G264" s="5" t="str">
        <f>IFERROR(__xludf.DUMMYFUNCTION("GOOGLETRANSLATE(B264, ""en"", ""hi"")"),"खिलाड़ी CCC गिल्ली मारता है और वह रेत और बजरी की पतली परत से ढकी सतह पर गिरती है। इस स्थिति में क्या नियम होना चाहिए?")</f>
        <v>खिलाड़ी CCC गिल्ली मारता है और वह रेत और बजरी की पतली परत से ढकी सतह पर गिरती है। इस स्थिति में क्या नियम होना चाहिए?</v>
      </c>
      <c r="H264" s="5" t="str">
        <f>IFERROR(__xludf.DUMMYFUNCTION("GOOGLETRANSLATE(C264, ""en"", ""hi"")"),"A) गिल्ली को खेल में माना जाता है। , B) गिल्ली को सीमा से बाहर माना जाता है। , C) रेत और बजरी साफ होने तक खेल को रोक दिया जाता है। , D) खिलाड़ी CCC को एक और मौका दिया जाता है।")</f>
        <v>A) गिल्ली को खेल में माना जाता है। , B) गिल्ली को सीमा से बाहर माना जाता है। , C) रेत और बजरी साफ होने तक खेल को रोक दिया जाता है। , D) खिलाड़ी CCC को एक और मौका दिया जाता है।</v>
      </c>
      <c r="I264" s="5" t="str">
        <f>IFERROR(__xludf.DUMMYFUNCTION("GOOGLETRANSLATE(D264, ""en"", ""hi"")"),"अ) गिल्ली को खेल में शामिल माना जाता है।")</f>
        <v>अ) गिल्ली को खेल में शामिल माना जाता है।</v>
      </c>
    </row>
    <row r="265" ht="22.5" customHeight="1">
      <c r="A265" s="2">
        <v>264.0</v>
      </c>
      <c r="B265" s="3" t="s">
        <v>11798</v>
      </c>
      <c r="C265" s="3" t="s">
        <v>11799</v>
      </c>
      <c r="D265" s="3" t="s">
        <v>11314</v>
      </c>
      <c r="F265" s="5" t="str">
        <f>IFERROR(__xludf.DUMMYFUNCTION("GOOGLETRANSLATE(A265, ""en"", ""hi"")"),"264")</f>
        <v>264</v>
      </c>
      <c r="G265" s="5" t="str">
        <f>IFERROR(__xludf.DUMMYFUNCTION("GOOGLETRANSLATE(B265, ""en"", ""hi"")"),"खिलाड़ी DDD गिल्ली पर वार करता है और वह पत्तों और शाखाओं के एक बड़े ढेर से घिरी सतह पर गिरती है। इस वार का नियम क्या है?")</f>
        <v>खिलाड़ी DDD गिल्ली पर वार करता है और वह पत्तों और शाखाओं के एक बड़े ढेर से घिरी सतह पर गिरती है। इस वार का नियम क्या है?</v>
      </c>
      <c r="H265" s="5" t="str">
        <f>IFERROR(__xludf.DUMMYFUNCTION("GOOGLETRANSLATE(C265, ""en"", ""hi"")"),"A) गिल्ली को खेल से बाहर माना जाता है। , B) गिल्ली को खेल में माना जाता है। , C) खेल तब तक रुका रहता है जब तक पत्ते और शाखाएँ हटा नहीं दी जातीं। , D) खिलाड़ी DDD को एक और मौका दिया जाता है।")</f>
        <v>A) गिल्ली को खेल से बाहर माना जाता है। , B) गिल्ली को खेल में माना जाता है। , C) खेल तब तक रुका रहता है जब तक पत्ते और शाखाएँ हटा नहीं दी जातीं। , D) खिलाड़ी DDD को एक और मौका दिया जाता है।</v>
      </c>
      <c r="I265" s="5" t="str">
        <f>IFERROR(__xludf.DUMMYFUNCTION("GOOGLETRANSLATE(D265, ""en"", ""hi"")"),"अ) गिल्ली को सीमा से बाहर माना जाता है।")</f>
        <v>अ) गिल्ली को सीमा से बाहर माना जाता है।</v>
      </c>
    </row>
    <row r="266" ht="22.5" customHeight="1">
      <c r="A266" s="2">
        <v>265.0</v>
      </c>
      <c r="B266" s="3" t="s">
        <v>11800</v>
      </c>
      <c r="C266" s="3" t="s">
        <v>11801</v>
      </c>
      <c r="D266" s="3" t="s">
        <v>11314</v>
      </c>
      <c r="F266" s="5" t="str">
        <f>IFERROR(__xludf.DUMMYFUNCTION("GOOGLETRANSLATE(A266, ""en"", ""hi"")"),"265")</f>
        <v>265</v>
      </c>
      <c r="G266" s="5" t="str">
        <f>IFERROR(__xludf.DUMMYFUNCTION("GOOGLETRANSLATE(B266, ""en"", ""hi"")"),"गिल्ली डंडा खेल के दौरान, खिलाड़ी EEE गिल्ली पर वार करता है और वह पत्थरों की एक पतली परत से ढकी सतह पर गिरती है। इस वार का नियम क्या होना चाहिए?")</f>
        <v>गिल्ली डंडा खेल के दौरान, खिलाड़ी EEE गिल्ली पर वार करता है और वह पत्थरों की एक पतली परत से ढकी सतह पर गिरती है। इस वार का नियम क्या होना चाहिए?</v>
      </c>
      <c r="H266" s="5" t="str">
        <f>IFERROR(__xludf.DUMMYFUNCTION("GOOGLETRANSLATE(C266, ""en"", ""hi"")"),"A) गिल्ली को खेल के मैदान से बाहर माना जाता है। , B) गिल्ली को खेल में माना जाता है। , C) खेल तब तक रुका रहता है जब तक पत्थर हटा नहीं दिए जाते। , D) खिलाड़ी EEE को एक और मौका दिया जाता है।")</f>
        <v>A) गिल्ली को खेल के मैदान से बाहर माना जाता है। , B) गिल्ली को खेल में माना जाता है। , C) खेल तब तक रुका रहता है जब तक पत्थर हटा नहीं दिए जाते। , D) खिलाड़ी EEE को एक और मौका दिया जाता है।</v>
      </c>
      <c r="I266" s="5" t="str">
        <f>IFERROR(__xludf.DUMMYFUNCTION("GOOGLETRANSLATE(D266, ""en"", ""hi"")"),"अ) गिल्ली को सीमा से बाहर माना जाता है।")</f>
        <v>अ) गिल्ली को सीमा से बाहर माना जाता है।</v>
      </c>
    </row>
    <row r="267" ht="22.5" customHeight="1">
      <c r="A267" s="2">
        <v>266.0</v>
      </c>
      <c r="B267" s="3" t="s">
        <v>11802</v>
      </c>
      <c r="C267" s="3" t="s">
        <v>11803</v>
      </c>
      <c r="D267" s="3" t="s">
        <v>11266</v>
      </c>
      <c r="F267" s="5" t="str">
        <f>IFERROR(__xludf.DUMMYFUNCTION("GOOGLETRANSLATE(A267, ""en"", ""hi"")"),"266")</f>
        <v>266</v>
      </c>
      <c r="G267" s="5" t="str">
        <f>IFERROR(__xludf.DUMMYFUNCTION("GOOGLETRANSLATE(B267, ""en"", ""hi"")"),"खिलाड़ी FFF गिल्ली मारता है और वह बर्फ की मोटी परत से ढकी सतह पर गिरती है। इस हिट के लिए उपयुक्त नियम क्या है?")</f>
        <v>खिलाड़ी FFF गिल्ली मारता है और वह बर्फ की मोटी परत से ढकी सतह पर गिरती है। इस हिट के लिए उपयुक्त नियम क्या है?</v>
      </c>
      <c r="H267" s="5" t="str">
        <f>IFERROR(__xludf.DUMMYFUNCTION("GOOGLETRANSLATE(C267, ""en"", ""hi"")"),"A) गिल्ली को खेल में माना जाता है। , B) गिल्ली को सीमा से बाहर माना जाता है। , C) बर्फ साफ होने तक खेल को रोक दिया जाता है। , D) खिलाड़ी FFF को एक और मौका दिया जाता है।")</f>
        <v>A) गिल्ली को खेल में माना जाता है। , B) गिल्ली को सीमा से बाहर माना जाता है। , C) बर्फ साफ होने तक खेल को रोक दिया जाता है। , D) खिलाड़ी FFF को एक और मौका दिया जाता है।</v>
      </c>
      <c r="I267" s="5" t="str">
        <f>IFERROR(__xludf.DUMMYFUNCTION("GOOGLETRANSLATE(D267, ""en"", ""hi"")"),"बी) गिल्ली को सीमा से बाहर माना जाता है।")</f>
        <v>बी) गिल्ली को सीमा से बाहर माना जाता है।</v>
      </c>
    </row>
    <row r="268" ht="22.5" customHeight="1">
      <c r="A268" s="2">
        <v>267.0</v>
      </c>
      <c r="B268" s="3" t="s">
        <v>11804</v>
      </c>
      <c r="C268" s="3" t="s">
        <v>11805</v>
      </c>
      <c r="D268" s="3" t="s">
        <v>11314</v>
      </c>
      <c r="F268" s="5" t="str">
        <f>IFERROR(__xludf.DUMMYFUNCTION("GOOGLETRANSLATE(A268, ""en"", ""hi"")"),"267")</f>
        <v>267</v>
      </c>
      <c r="G268" s="5" t="str">
        <f>IFERROR(__xludf.DUMMYFUNCTION("GOOGLETRANSLATE(B268, ""en"", ""hi"")"),"खिलाड़ी GGG गिल्ली मारता है और वह पुराने टायरों के ढेर से ढकी सतह पर गिरती है। इस स्थिति में क्या नियम है?")</f>
        <v>खिलाड़ी GGG गिल्ली मारता है और वह पुराने टायरों के ढेर से ढकी सतह पर गिरती है। इस स्थिति में क्या नियम है?</v>
      </c>
      <c r="H268" s="5" t="str">
        <f>IFERROR(__xludf.DUMMYFUNCTION("GOOGLETRANSLATE(C268, ""en"", ""hi"")"),"A) गिल्ली को सीमा से बाहर माना जाता है। , B) गिल्ली को खेल में माना जाता है। , C) खेल को तब तक रोक दिया जाता है जब तक टायर हटा नहीं दिए जाते। , D) खिलाड़ी GGG को एक और मौका दिया जाता है।")</f>
        <v>A) गिल्ली को सीमा से बाहर माना जाता है। , B) गिल्ली को खेल में माना जाता है। , C) खेल को तब तक रोक दिया जाता है जब तक टायर हटा नहीं दिए जाते। , D) खिलाड़ी GGG को एक और मौका दिया जाता है।</v>
      </c>
      <c r="I268" s="5" t="str">
        <f>IFERROR(__xludf.DUMMYFUNCTION("GOOGLETRANSLATE(D268, ""en"", ""hi"")"),"अ) गिल्ली को सीमा से बाहर माना जाता है।")</f>
        <v>अ) गिल्ली को सीमा से बाहर माना जाता है।</v>
      </c>
    </row>
    <row r="269" ht="22.5" customHeight="1">
      <c r="A269" s="2">
        <v>268.0</v>
      </c>
      <c r="B269" s="3" t="s">
        <v>11806</v>
      </c>
      <c r="C269" s="3" t="s">
        <v>11807</v>
      </c>
      <c r="D269" s="3" t="s">
        <v>11266</v>
      </c>
      <c r="F269" s="5" t="str">
        <f>IFERROR(__xludf.DUMMYFUNCTION("GOOGLETRANSLATE(A269, ""en"", ""hi"")"),"268")</f>
        <v>268</v>
      </c>
      <c r="G269" s="5" t="str">
        <f>IFERROR(__xludf.DUMMYFUNCTION("GOOGLETRANSLATE(B269, ""en"", ""hi"")"),"खिलाड़ी HHH गिल्ली मारता है और वह बर्फ की एक पतली परत से ढकी सतह पर गिरती है। इस हिट का नियम क्या होना चाहिए?")</f>
        <v>खिलाड़ी HHH गिल्ली मारता है और वह बर्फ की एक पतली परत से ढकी सतह पर गिरती है। इस हिट का नियम क्या होना चाहिए?</v>
      </c>
      <c r="H269" s="5" t="str">
        <f>IFERROR(__xludf.DUMMYFUNCTION("GOOGLETRANSLATE(C269, ""en"", ""hi"")"),"A) गिल्ली को खेल में माना जाता है। , B) गिल्ली को सीमा से बाहर माना जाता है। , C) बर्फ हटाए जाने तक खेल को रोक दिया जाता है। , D) खिलाड़ी HHH को एक और मौका दिया जाता है।")</f>
        <v>A) गिल्ली को खेल में माना जाता है। , B) गिल्ली को सीमा से बाहर माना जाता है। , C) बर्फ हटाए जाने तक खेल को रोक दिया जाता है। , D) खिलाड़ी HHH को एक और मौका दिया जाता है।</v>
      </c>
      <c r="I269" s="5" t="str">
        <f>IFERROR(__xludf.DUMMYFUNCTION("GOOGLETRANSLATE(D269, ""en"", ""hi"")"),"बी) गिल्ली को सीमा से बाहर माना जाता है।")</f>
        <v>बी) गिल्ली को सीमा से बाहर माना जाता है।</v>
      </c>
    </row>
    <row r="270" ht="22.5" customHeight="1">
      <c r="A270" s="2">
        <v>269.0</v>
      </c>
      <c r="B270" s="3" t="s">
        <v>11808</v>
      </c>
      <c r="C270" s="3" t="s">
        <v>11809</v>
      </c>
      <c r="D270" s="3" t="s">
        <v>11314</v>
      </c>
      <c r="F270" s="5" t="str">
        <f>IFERROR(__xludf.DUMMYFUNCTION("GOOGLETRANSLATE(A270, ""en"", ""hi"")"),"269")</f>
        <v>269</v>
      </c>
      <c r="G270" s="5" t="str">
        <f>IFERROR(__xludf.DUMMYFUNCTION("GOOGLETRANSLATE(B270, ""en"", ""hi"")"),"गिल्ली डंडा खेल में, खिलाड़ी III गिल्ली पर वार करता है और वह गीली मिट्टी की मोटी परत से ढकी सतह पर गिरती है। इस वार के लिए उपयुक्त नियम क्या है?")</f>
        <v>गिल्ली डंडा खेल में, खिलाड़ी III गिल्ली पर वार करता है और वह गीली मिट्टी की मोटी परत से ढकी सतह पर गिरती है। इस वार के लिए उपयुक्त नियम क्या है?</v>
      </c>
      <c r="H270" s="5" t="str">
        <f>IFERROR(__xludf.DUMMYFUNCTION("GOOGLETRANSLATE(C270, ""en"", ""hi"")"),"A) गिल्ली को सीमा से बाहर माना जाता है। , B) गिल्ली को खेल में माना जाता है। , C) कीचड़ साफ होने तक खेल को रोक दिया जाता है। , D) खिलाड़ी III को एक और मौका दिया जाता है।")</f>
        <v>A) गिल्ली को सीमा से बाहर माना जाता है। , B) गिल्ली को खेल में माना जाता है। , C) कीचड़ साफ होने तक खेल को रोक दिया जाता है। , D) खिलाड़ी III को एक और मौका दिया जाता है।</v>
      </c>
      <c r="I270" s="5" t="str">
        <f>IFERROR(__xludf.DUMMYFUNCTION("GOOGLETRANSLATE(D270, ""en"", ""hi"")"),"अ) गिल्ली को सीमा से बाहर माना जाता है।")</f>
        <v>अ) गिल्ली को सीमा से बाहर माना जाता है।</v>
      </c>
    </row>
    <row r="271" ht="22.5" customHeight="1">
      <c r="A271" s="2">
        <v>270.0</v>
      </c>
      <c r="B271" s="3" t="s">
        <v>11810</v>
      </c>
      <c r="C271" s="3" t="s">
        <v>11811</v>
      </c>
      <c r="D271" s="3" t="s">
        <v>11278</v>
      </c>
      <c r="F271" s="5" t="str">
        <f>IFERROR(__xludf.DUMMYFUNCTION("GOOGLETRANSLATE(A271, ""en"", ""hi"")"),"270")</f>
        <v>270</v>
      </c>
      <c r="G271" s="5" t="str">
        <f>IFERROR(__xludf.DUMMYFUNCTION("GOOGLETRANSLATE(B271, ""en"", ""hi"")"),"खिलाड़ी JJJ गिल्ली मारता है और वह ढीली रेत की परत से ढकी सतह पर गिरती है। इस हिट का मूल्यांकन कैसे किया जाना चाहिए?")</f>
        <v>खिलाड़ी JJJ गिल्ली मारता है और वह ढीली रेत की परत से ढकी सतह पर गिरती है। इस हिट का मूल्यांकन कैसे किया जाना चाहिए?</v>
      </c>
      <c r="H271" s="5" t="str">
        <f>IFERROR(__xludf.DUMMYFUNCTION("GOOGLETRANSLATE(C271, ""en"", ""hi"")"),"A) गिल्ली को खेल में माना जाता है। , B) गिल्ली को सीमा से बाहर माना जाता है। , C) रेत साफ होने तक खेल को रोक दिया जाता है। , D) खिलाड़ी JJJ को एक और मौका दिया जाता है।")</f>
        <v>A) गिल्ली को खेल में माना जाता है। , B) गिल्ली को सीमा से बाहर माना जाता है। , C) रेत साफ होने तक खेल को रोक दिया जाता है। , D) खिलाड़ी JJJ को एक और मौका दिया जाता है।</v>
      </c>
      <c r="I271" s="5" t="str">
        <f>IFERROR(__xludf.DUMMYFUNCTION("GOOGLETRANSLATE(D271, ""en"", ""hi"")"),"अ) गिल्ली को खेल में शामिल माना जाता है।")</f>
        <v>अ) गिल्ली को खेल में शामिल माना जाता है।</v>
      </c>
    </row>
    <row r="272" ht="22.5" customHeight="1">
      <c r="A272" s="2">
        <v>271.0</v>
      </c>
      <c r="B272" s="3" t="s">
        <v>11812</v>
      </c>
      <c r="C272" s="3" t="s">
        <v>11813</v>
      </c>
      <c r="D272" s="3" t="s">
        <v>11314</v>
      </c>
      <c r="F272" s="5" t="str">
        <f>IFERROR(__xludf.DUMMYFUNCTION("GOOGLETRANSLATE(A272, ""en"", ""hi"")"),"271")</f>
        <v>271</v>
      </c>
      <c r="G272" s="5" t="str">
        <f>IFERROR(__xludf.DUMMYFUNCTION("GOOGLETRANSLATE(B272, ""en"", ""hi"")"),"गिल्ली डंडा मैच के दौरान, खिलाड़ी केकेके गिल्ली मारता है और वह बड़े पत्थरों के ढेर से घिरी सतह पर गिरती है। इस हिट का नियम क्या है?")</f>
        <v>गिल्ली डंडा मैच के दौरान, खिलाड़ी केकेके गिल्ली मारता है और वह बड़े पत्थरों के ढेर से घिरी सतह पर गिरती है। इस हिट का नियम क्या है?</v>
      </c>
      <c r="H272" s="5" t="str">
        <f>IFERROR(__xludf.DUMMYFUNCTION("GOOGLETRANSLATE(C272, ""en"", ""hi"")"),"A) गिल्ली को सीमा से बाहर माना जाता है। , B) गिल्ली को खेल में माना जाता है। , C) पत्थर हटाये जाने तक खेल को रोक दिया जाता है। , D) खिलाड़ी KKK को एक और मौका दिया जाता है।")</f>
        <v>A) गिल्ली को सीमा से बाहर माना जाता है। , B) गिल्ली को खेल में माना जाता है। , C) पत्थर हटाये जाने तक खेल को रोक दिया जाता है। , D) खिलाड़ी KKK को एक और मौका दिया जाता है।</v>
      </c>
      <c r="I272" s="5" t="str">
        <f>IFERROR(__xludf.DUMMYFUNCTION("GOOGLETRANSLATE(D272, ""en"", ""hi"")"),"अ) गिल्ली को सीमा से बाहर माना जाता है।")</f>
        <v>अ) गिल्ली को सीमा से बाहर माना जाता है।</v>
      </c>
    </row>
    <row r="273" ht="22.5" customHeight="1">
      <c r="A273" s="2">
        <v>272.0</v>
      </c>
      <c r="B273" s="3" t="s">
        <v>11814</v>
      </c>
      <c r="C273" s="3" t="s">
        <v>11815</v>
      </c>
      <c r="D273" s="3" t="s">
        <v>11278</v>
      </c>
      <c r="F273" s="5" t="str">
        <f>IFERROR(__xludf.DUMMYFUNCTION("GOOGLETRANSLATE(A273, ""en"", ""hi"")"),"272")</f>
        <v>272</v>
      </c>
      <c r="G273" s="5" t="str">
        <f>IFERROR(__xludf.DUMMYFUNCTION("GOOGLETRANSLATE(B273, ""en"", ""hi"")"),"खिलाड़ी LLL गिल्ली मारता है और वह गिरे हुए पत्तों की एक पतली परत से ढकी सतह पर गिरती है। इस स्थिति में क्या नियम होना चाहिए?")</f>
        <v>खिलाड़ी LLL गिल्ली मारता है और वह गिरे हुए पत्तों की एक पतली परत से ढकी सतह पर गिरती है। इस स्थिति में क्या नियम होना चाहिए?</v>
      </c>
      <c r="H273" s="5" t="str">
        <f>IFERROR(__xludf.DUMMYFUNCTION("GOOGLETRANSLATE(C273, ""en"", ""hi"")"),"A) गिल्ली को खेल में माना जाता है। , B) गिल्ली को सीमा से बाहर माना जाता है। , C) पत्ते साफ होने तक खेल रोक दिया जाता है। , D) खिलाड़ी LLL को एक और मौका दिया जाता है।")</f>
        <v>A) गिल्ली को खेल में माना जाता है। , B) गिल्ली को सीमा से बाहर माना जाता है। , C) पत्ते साफ होने तक खेल रोक दिया जाता है। , D) खिलाड़ी LLL को एक और मौका दिया जाता है।</v>
      </c>
      <c r="I273" s="5" t="str">
        <f>IFERROR(__xludf.DUMMYFUNCTION("GOOGLETRANSLATE(D273, ""en"", ""hi"")"),"अ) गिल्ली को खेल में शामिल माना जाता है।")</f>
        <v>अ) गिल्ली को खेल में शामिल माना जाता है।</v>
      </c>
    </row>
    <row r="274" ht="22.5" customHeight="1">
      <c r="A274" s="2">
        <v>273.0</v>
      </c>
      <c r="B274" s="3" t="s">
        <v>11816</v>
      </c>
      <c r="C274" s="3" t="s">
        <v>11817</v>
      </c>
      <c r="D274" s="3" t="s">
        <v>11266</v>
      </c>
      <c r="F274" s="5" t="str">
        <f>IFERROR(__xludf.DUMMYFUNCTION("GOOGLETRANSLATE(A274, ""en"", ""hi"")"),"273")</f>
        <v>273</v>
      </c>
      <c r="G274" s="5" t="str">
        <f>IFERROR(__xludf.DUMMYFUNCTION("GOOGLETRANSLATE(B274, ""en"", ""hi"")"),"खिलाड़ी MMM गिल्ली मारता है और वह टूटे हुए काँच की परत से ढकी सतह पर गिरती है। इस हिट के लिए उपयुक्त नियम क्या है?")</f>
        <v>खिलाड़ी MMM गिल्ली मारता है और वह टूटे हुए काँच की परत से ढकी सतह पर गिरती है। इस हिट के लिए उपयुक्त नियम क्या है?</v>
      </c>
      <c r="H274" s="5" t="str">
        <f>IFERROR(__xludf.DUMMYFUNCTION("GOOGLETRANSLATE(C274, ""en"", ""hi"")"),"A) गिल्ली को खेल में माना जाता है। , B) गिल्ली को सीमा से बाहर माना जाता है। , C) गिलास हटाए जाने तक खेल को रोक दिया जाता है। , D) खिलाड़ी MMM को एक और मौका दिया जाता है।")</f>
        <v>A) गिल्ली को खेल में माना जाता है। , B) गिल्ली को सीमा से बाहर माना जाता है। , C) गिलास हटाए जाने तक खेल को रोक दिया जाता है। , D) खिलाड़ी MMM को एक और मौका दिया जाता है।</v>
      </c>
      <c r="I274" s="5" t="str">
        <f>IFERROR(__xludf.DUMMYFUNCTION("GOOGLETRANSLATE(D274, ""en"", ""hi"")"),"बी) गिल्ली को सीमा से बाहर माना जाता है।")</f>
        <v>बी) गिल्ली को सीमा से बाहर माना जाता है।</v>
      </c>
    </row>
    <row r="275" ht="22.5" customHeight="1">
      <c r="A275" s="2">
        <v>274.0</v>
      </c>
      <c r="B275" s="3" t="s">
        <v>11818</v>
      </c>
      <c r="C275" s="3" t="s">
        <v>11819</v>
      </c>
      <c r="D275" s="3" t="s">
        <v>11278</v>
      </c>
      <c r="F275" s="5" t="str">
        <f>IFERROR(__xludf.DUMMYFUNCTION("GOOGLETRANSLATE(A275, ""en"", ""hi"")"),"274")</f>
        <v>274</v>
      </c>
      <c r="G275" s="5" t="str">
        <f>IFERROR(__xludf.DUMMYFUNCTION("GOOGLETRANSLATE(B275, ""en"", ""hi"")"),"खिलाड़ी NNN गिल्ली मारता है और वह कीचड़ और घास की पतली परत से ढकी सतह पर गिरती है। इस स्थिति में क्या नियम होना चाहिए?")</f>
        <v>खिलाड़ी NNN गिल्ली मारता है और वह कीचड़ और घास की पतली परत से ढकी सतह पर गिरती है। इस स्थिति में क्या नियम होना चाहिए?</v>
      </c>
      <c r="H275" s="5" t="str">
        <f>IFERROR(__xludf.DUMMYFUNCTION("GOOGLETRANSLATE(C275, ""en"", ""hi"")"),"A) गिल्ली को खेल में माना जाता है। , B) गिल्ली को सीमा से बाहर माना जाता है। , C) कीचड़ और घास साफ होने तक खेल को रोक दिया जाता है। , D) खिलाड़ी NNN को एक और मौका दिया जाता है।")</f>
        <v>A) गिल्ली को खेल में माना जाता है। , B) गिल्ली को सीमा से बाहर माना जाता है। , C) कीचड़ और घास साफ होने तक खेल को रोक दिया जाता है। , D) खिलाड़ी NNN को एक और मौका दिया जाता है।</v>
      </c>
      <c r="I275" s="5" t="str">
        <f>IFERROR(__xludf.DUMMYFUNCTION("GOOGLETRANSLATE(D275, ""en"", ""hi"")"),"अ) गिल्ली को खेल में शामिल माना जाता है।")</f>
        <v>अ) गिल्ली को खेल में शामिल माना जाता है।</v>
      </c>
    </row>
    <row r="276" ht="22.5" customHeight="1">
      <c r="A276" s="2">
        <v>275.0</v>
      </c>
      <c r="B276" s="3" t="s">
        <v>11820</v>
      </c>
      <c r="C276" s="3" t="s">
        <v>11821</v>
      </c>
      <c r="D276" s="3" t="s">
        <v>11314</v>
      </c>
      <c r="F276" s="5" t="str">
        <f>IFERROR(__xludf.DUMMYFUNCTION("GOOGLETRANSLATE(A276, ""en"", ""hi"")"),"275")</f>
        <v>275</v>
      </c>
      <c r="G276" s="5" t="str">
        <f>IFERROR(__xludf.DUMMYFUNCTION("GOOGLETRANSLATE(B276, ""en"", ""hi"")"),"गिल्ली डंडा खेल के दौरान, खिलाड़ी OOO गिल्ली पर वार करता है और वह निर्माण मलबे के ढेर से अवरुद्ध सतह पर गिरती है। इस वार का नियम क्या है?")</f>
        <v>गिल्ली डंडा खेल के दौरान, खिलाड़ी OOO गिल्ली पर वार करता है और वह निर्माण मलबे के ढेर से अवरुद्ध सतह पर गिरती है। इस वार का नियम क्या है?</v>
      </c>
      <c r="H276" s="5" t="str">
        <f>IFERROR(__xludf.DUMMYFUNCTION("GOOGLETRANSLATE(C276, ""en"", ""hi"")"),"A) गिल्ली को खेल से बाहर माना जाता है। , B) गिल्ली को खेल में माना जाता है। , C) खेल को तब तक रोक दिया जाता है जब तक मलबा हटा नहीं दिया जाता। , D) खिलाड़ी OOO को एक और मौका दिया जाता है।")</f>
        <v>A) गिल्ली को खेल से बाहर माना जाता है। , B) गिल्ली को खेल में माना जाता है। , C) खेल को तब तक रोक दिया जाता है जब तक मलबा हटा नहीं दिया जाता। , D) खिलाड़ी OOO को एक और मौका दिया जाता है।</v>
      </c>
      <c r="I276" s="5" t="str">
        <f>IFERROR(__xludf.DUMMYFUNCTION("GOOGLETRANSLATE(D276, ""en"", ""hi"")"),"अ) गिल्ली को सीमा से बाहर माना जाता है।")</f>
        <v>अ) गिल्ली को सीमा से बाहर माना जाता है।</v>
      </c>
    </row>
    <row r="277" ht="22.5" customHeight="1">
      <c r="A277" s="2">
        <v>276.0</v>
      </c>
      <c r="B277" s="3" t="s">
        <v>11822</v>
      </c>
      <c r="C277" s="3" t="s">
        <v>11823</v>
      </c>
      <c r="D277" s="3" t="s">
        <v>11314</v>
      </c>
      <c r="F277" s="5" t="str">
        <f>IFERROR(__xludf.DUMMYFUNCTION("GOOGLETRANSLATE(A277, ""en"", ""hi"")"),"276")</f>
        <v>276</v>
      </c>
      <c r="G277" s="5" t="str">
        <f>IFERROR(__xludf.DUMMYFUNCTION("GOOGLETRANSLATE(B277, ""en"", ""hi"")"),"खिलाड़ी AAA गिल्ली मारता है और वह पानी से भरे एक बड़े गड्ढे वाली सतह पर गिरती है। इस स्थिति में क्या नियम है?")</f>
        <v>खिलाड़ी AAA गिल्ली मारता है और वह पानी से भरे एक बड़े गड्ढे वाली सतह पर गिरती है। इस स्थिति में क्या नियम है?</v>
      </c>
      <c r="H277" s="5" t="str">
        <f>IFERROR(__xludf.DUMMYFUNCTION("GOOGLETRANSLATE(C277, ""en"", ""hi"")"),"A) गिल्ली को खेल से बाहर माना जाता है। , B) गिल्ली को खेल में माना जाता है। , C) पानी हटाए जाने तक खेल को रोक दिया जाता है। , D) खिलाड़ी AAA को एक और मौका दिया जाता है।")</f>
        <v>A) गिल्ली को खेल से बाहर माना जाता है। , B) गिल्ली को खेल में माना जाता है। , C) पानी हटाए जाने तक खेल को रोक दिया जाता है। , D) खिलाड़ी AAA को एक और मौका दिया जाता है।</v>
      </c>
      <c r="I277" s="5" t="str">
        <f>IFERROR(__xludf.DUMMYFUNCTION("GOOGLETRANSLATE(D277, ""en"", ""hi"")"),"अ) गिल्ली को सीमा से बाहर माना जाता है।")</f>
        <v>अ) गिल्ली को सीमा से बाहर माना जाता है।</v>
      </c>
    </row>
    <row r="278" ht="22.5" customHeight="1">
      <c r="A278" s="2">
        <v>277.0</v>
      </c>
      <c r="B278" s="3" t="s">
        <v>11824</v>
      </c>
      <c r="C278" s="3" t="s">
        <v>11825</v>
      </c>
      <c r="D278" s="3" t="s">
        <v>11278</v>
      </c>
      <c r="F278" s="5" t="str">
        <f>IFERROR(__xludf.DUMMYFUNCTION("GOOGLETRANSLATE(A278, ""en"", ""hi"")"),"277")</f>
        <v>277</v>
      </c>
      <c r="G278" s="5" t="str">
        <f>IFERROR(__xludf.DUMMYFUNCTION("GOOGLETRANSLATE(B278, ""en"", ""hi"")"),"खिलाड़ी BBB गिल्ली मारता है और वह पतझड़ के पत्तों की परत से ढके क्षेत्र में गिरती है। इस हिट का मूल्यांकन कैसे किया जाना चाहिए?")</f>
        <v>खिलाड़ी BBB गिल्ली मारता है और वह पतझड़ के पत्तों की परत से ढके क्षेत्र में गिरती है। इस हिट का मूल्यांकन कैसे किया जाना चाहिए?</v>
      </c>
      <c r="H278" s="5" t="str">
        <f>IFERROR(__xludf.DUMMYFUNCTION("GOOGLETRANSLATE(C278, ""en"", ""hi"")"),"A) गिल्ली को खेल में माना जाता है। , B) गिल्ली को सीमा से बाहर माना जाता है। , C) खेल तब तक रोक दिया जाता है जब तक पत्ते साफ नहीं हो जाते। , D) खिलाड़ी BBB को एक और मौका दिया जाता है।")</f>
        <v>A) गिल्ली को खेल में माना जाता है। , B) गिल्ली को सीमा से बाहर माना जाता है। , C) खेल तब तक रोक दिया जाता है जब तक पत्ते साफ नहीं हो जाते। , D) खिलाड़ी BBB को एक और मौका दिया जाता है।</v>
      </c>
      <c r="I278" s="5" t="str">
        <f>IFERROR(__xludf.DUMMYFUNCTION("GOOGLETRANSLATE(D278, ""en"", ""hi"")"),"अ) गिल्ली को खेल में शामिल माना जाता है।")</f>
        <v>अ) गिल्ली को खेल में शामिल माना जाता है।</v>
      </c>
    </row>
    <row r="279" ht="22.5" customHeight="1">
      <c r="A279" s="2">
        <v>278.0</v>
      </c>
      <c r="B279" s="3" t="s">
        <v>11826</v>
      </c>
      <c r="C279" s="3" t="s">
        <v>11827</v>
      </c>
      <c r="D279" s="3" t="s">
        <v>11376</v>
      </c>
      <c r="F279" s="5" t="str">
        <f>IFERROR(__xludf.DUMMYFUNCTION("GOOGLETRANSLATE(A279, ""en"", ""hi"")"),"278")</f>
        <v>278</v>
      </c>
      <c r="G279" s="5" t="str">
        <f>IFERROR(__xludf.DUMMYFUNCTION("GOOGLETRANSLATE(B279, ""en"", ""hi"")"),"गिल्ली डंडा मैच के दौरान, खिलाड़ी CCC गिल्ली मारता है और वह बजरी की परत वाली सतह पर गिरती है। इस हिट का नियम क्या है?")</f>
        <v>गिल्ली डंडा मैच के दौरान, खिलाड़ी CCC गिल्ली मारता है और वह बजरी की परत वाली सतह पर गिरती है। इस हिट का नियम क्या है?</v>
      </c>
      <c r="H279" s="5" t="str">
        <f>IFERROR(__xludf.DUMMYFUNCTION("GOOGLETRANSLATE(C279, ""en"", ""hi"")"),"अ) गिल्ली को सीमा से बाहर माना जाता है। , ब) गिल्ली को खेल में माना जाता है। , स) खेल को तब तक रोक दिया जाता है जब तक गिल्ली हटा नहीं दी जाती। , द) खिलाड़ी सी.सी.सी. को एक और मौका दिया जाता है।")</f>
        <v>अ) गिल्ली को सीमा से बाहर माना जाता है। , ब) गिल्ली को खेल में माना जाता है। , स) खेल को तब तक रोक दिया जाता है जब तक गिल्ली हटा नहीं दी जाती। , द) खिलाड़ी सी.सी.सी. को एक और मौका दिया जाता है।</v>
      </c>
      <c r="I279" s="5" t="str">
        <f>IFERROR(__xludf.DUMMYFUNCTION("GOOGLETRANSLATE(D279, ""en"", ""hi"")"),"बी) गिल्ली को खेल में शामिल माना जाता है।")</f>
        <v>बी) गिल्ली को खेल में शामिल माना जाता है।</v>
      </c>
    </row>
    <row r="280" ht="22.5" customHeight="1">
      <c r="A280" s="2">
        <v>279.0</v>
      </c>
      <c r="B280" s="3" t="s">
        <v>11828</v>
      </c>
      <c r="C280" s="3" t="s">
        <v>11829</v>
      </c>
      <c r="D280" s="3" t="s">
        <v>11266</v>
      </c>
      <c r="F280" s="5" t="str">
        <f>IFERROR(__xludf.DUMMYFUNCTION("GOOGLETRANSLATE(A280, ""en"", ""hi"")"),"279")</f>
        <v>279</v>
      </c>
      <c r="G280" s="5" t="str">
        <f>IFERROR(__xludf.DUMMYFUNCTION("GOOGLETRANSLATE(B280, ""en"", ""hi"")"),"खिलाड़ी DDD गिल्ली को मारता है और वह बर्फ की पतली परत से ढकी सतह पर गिरती है। उचित नियम क्या है?")</f>
        <v>खिलाड़ी DDD गिल्ली को मारता है और वह बर्फ की पतली परत से ढकी सतह पर गिरती है। उचित नियम क्या है?</v>
      </c>
      <c r="H280" s="5" t="str">
        <f>IFERROR(__xludf.DUMMYFUNCTION("GOOGLETRANSLATE(C280, ""en"", ""hi"")"),"A) गिल्ली को खेल में माना जाता है। , B) गिल्ली को सीमा से बाहर माना जाता है। , C) बर्फ साफ होने तक खेल को रोक दिया जाता है। , D) खिलाड़ी DDD को एक और मौका दिया जाता है।")</f>
        <v>A) गिल्ली को खेल में माना जाता है। , B) गिल्ली को सीमा से बाहर माना जाता है। , C) बर्फ साफ होने तक खेल को रोक दिया जाता है। , D) खिलाड़ी DDD को एक और मौका दिया जाता है।</v>
      </c>
      <c r="I280" s="5" t="str">
        <f>IFERROR(__xludf.DUMMYFUNCTION("GOOGLETRANSLATE(D280, ""en"", ""hi"")"),"बी) गिल्ली को सीमा से बाहर माना जाता है।")</f>
        <v>बी) गिल्ली को सीमा से बाहर माना जाता है।</v>
      </c>
    </row>
    <row r="281" ht="22.5" customHeight="1">
      <c r="A281" s="2">
        <v>280.0</v>
      </c>
      <c r="B281" s="3" t="s">
        <v>11830</v>
      </c>
      <c r="C281" s="3" t="s">
        <v>11831</v>
      </c>
      <c r="D281" s="3" t="s">
        <v>11266</v>
      </c>
      <c r="F281" s="5" t="str">
        <f>IFERROR(__xludf.DUMMYFUNCTION("GOOGLETRANSLATE(A281, ""en"", ""hi"")"),"280")</f>
        <v>280</v>
      </c>
      <c r="G281" s="5" t="str">
        <f>IFERROR(__xludf.DUMMYFUNCTION("GOOGLETRANSLATE(B281, ""en"", ""hi"")"),"खिलाड़ी EEE गिल्ली पर वार करता है और वह लकड़ी के तख्तों के एक बड़े ढेर से घिरे हुए क्षेत्र में गिरती है। इस वार की व्याख्या कैसे की जानी चाहिए?")</f>
        <v>खिलाड़ी EEE गिल्ली पर वार करता है और वह लकड़ी के तख्तों के एक बड़े ढेर से घिरे हुए क्षेत्र में गिरती है। इस वार की व्याख्या कैसे की जानी चाहिए?</v>
      </c>
      <c r="H281" s="5" t="str">
        <f>IFERROR(__xludf.DUMMYFUNCTION("GOOGLETRANSLATE(C281, ""en"", ""hi"")"),"A) गिल्ली को खेल में माना जाता है। , B) गिल्ली को सीमा से बाहर माना जाता है। , C) तख्तों को हटाए जाने तक खेल को रोक दिया जाता है। , D) खिलाड़ी EEE को एक और मौका दिया जाता है।")</f>
        <v>A) गिल्ली को खेल में माना जाता है। , B) गिल्ली को सीमा से बाहर माना जाता है। , C) तख्तों को हटाए जाने तक खेल को रोक दिया जाता है। , D) खिलाड़ी EEE को एक और मौका दिया जाता है।</v>
      </c>
      <c r="I281" s="5" t="str">
        <f>IFERROR(__xludf.DUMMYFUNCTION("GOOGLETRANSLATE(D281, ""en"", ""hi"")"),"बी) गिल्ली को सीमा से बाहर माना जाता है।")</f>
        <v>बी) गिल्ली को सीमा से बाहर माना जाता है।</v>
      </c>
    </row>
    <row r="282" ht="22.5" customHeight="1">
      <c r="A282" s="2">
        <v>281.0</v>
      </c>
      <c r="B282" s="3" t="s">
        <v>11832</v>
      </c>
      <c r="C282" s="3" t="s">
        <v>11833</v>
      </c>
      <c r="D282" s="3" t="s">
        <v>11376</v>
      </c>
      <c r="F282" s="5" t="str">
        <f>IFERROR(__xludf.DUMMYFUNCTION("GOOGLETRANSLATE(A282, ""en"", ""hi"")"),"281")</f>
        <v>281</v>
      </c>
      <c r="G282" s="5" t="str">
        <f>IFERROR(__xludf.DUMMYFUNCTION("GOOGLETRANSLATE(B282, ""en"", ""hi"")"),"खिलाड़ी FFF गिल्ली मारता है और वह सूखे पत्तों की परत से ढकी सतह पर गिरती है। इस हिट का नियम क्या है?")</f>
        <v>खिलाड़ी FFF गिल्ली मारता है और वह सूखे पत्तों की परत से ढकी सतह पर गिरती है। इस हिट का नियम क्या है?</v>
      </c>
      <c r="H282" s="5" t="str">
        <f>IFERROR(__xludf.DUMMYFUNCTION("GOOGLETRANSLATE(C282, ""en"", ""hi"")"),"A) गिल्ली को सीमा से बाहर माना जाता है। , B) गिल्ली को खेल में माना जाता है। , C) पत्ते साफ होने तक खेल रोक दिया जाता है। , D) खिलाड़ी FFF को एक और मौका दिया जाता है।")</f>
        <v>A) गिल्ली को सीमा से बाहर माना जाता है। , B) गिल्ली को खेल में माना जाता है। , C) पत्ते साफ होने तक खेल रोक दिया जाता है। , D) खिलाड़ी FFF को एक और मौका दिया जाता है।</v>
      </c>
      <c r="I282" s="5" t="str">
        <f>IFERROR(__xludf.DUMMYFUNCTION("GOOGLETRANSLATE(D282, ""en"", ""hi"")"),"बी) गिल्ली को खेल में शामिल माना जाता है।")</f>
        <v>बी) गिल्ली को खेल में शामिल माना जाता है।</v>
      </c>
    </row>
    <row r="283" ht="22.5" customHeight="1">
      <c r="A283" s="2">
        <v>282.0</v>
      </c>
      <c r="B283" s="3" t="s">
        <v>11834</v>
      </c>
      <c r="C283" s="3" t="s">
        <v>11835</v>
      </c>
      <c r="D283" s="3" t="s">
        <v>11314</v>
      </c>
      <c r="F283" s="5" t="str">
        <f>IFERROR(__xludf.DUMMYFUNCTION("GOOGLETRANSLATE(A283, ""en"", ""hi"")"),"282")</f>
        <v>282</v>
      </c>
      <c r="G283" s="5" t="str">
        <f>IFERROR(__xludf.DUMMYFUNCTION("GOOGLETRANSLATE(B283, ""en"", ""hi"")"),"गिल्ली डंडा खेल में, खिलाड़ी GGG गिल्ली पर वार करता है और वह गिरी हुई शाखाओं के ढेर से अवरुद्ध सतह पर गिरती है। इस वार का नियम क्या होना चाहिए?")</f>
        <v>गिल्ली डंडा खेल में, खिलाड़ी GGG गिल्ली पर वार करता है और वह गिरी हुई शाखाओं के ढेर से अवरुद्ध सतह पर गिरती है। इस वार का नियम क्या होना चाहिए?</v>
      </c>
      <c r="H283" s="5" t="str">
        <f>IFERROR(__xludf.DUMMYFUNCTION("GOOGLETRANSLATE(C283, ""en"", ""hi"")"),"A) गिल्ली को सीमा से बाहर माना जाता है। , B) गिल्ली को खेल में माना जाता है। , C) शाखाओं को हटाए जाने तक खेल को रोक दिया जाता है। , D) खिलाड़ी GGG को एक और मौका दिया जाता है।")</f>
        <v>A) गिल्ली को सीमा से बाहर माना जाता है। , B) गिल्ली को खेल में माना जाता है। , C) शाखाओं को हटाए जाने तक खेल को रोक दिया जाता है। , D) खिलाड़ी GGG को एक और मौका दिया जाता है।</v>
      </c>
      <c r="I283" s="5" t="str">
        <f>IFERROR(__xludf.DUMMYFUNCTION("GOOGLETRANSLATE(D283, ""en"", ""hi"")"),"अ) गिल्ली को सीमा से बाहर माना जाता है।")</f>
        <v>अ) गिल्ली को सीमा से बाहर माना जाता है।</v>
      </c>
    </row>
    <row r="284" ht="22.5" customHeight="1">
      <c r="A284" s="2">
        <v>283.0</v>
      </c>
      <c r="B284" s="3" t="s">
        <v>11836</v>
      </c>
      <c r="C284" s="3" t="s">
        <v>11837</v>
      </c>
      <c r="D284" s="3" t="s">
        <v>11266</v>
      </c>
      <c r="F284" s="5" t="str">
        <f>IFERROR(__xludf.DUMMYFUNCTION("GOOGLETRANSLATE(A284, ""en"", ""hi"")"),"283")</f>
        <v>283</v>
      </c>
      <c r="G284" s="5" t="str">
        <f>IFERROR(__xludf.DUMMYFUNCTION("GOOGLETRANSLATE(B284, ""en"", ""hi"")"),"खिलाड़ी HHH गिल्ली मारता है और वह मोटी मिट्टी की परत से ढकी सतह पर गिरती है। इस हिट का मूल्यांकन कैसे किया जाना चाहिए?")</f>
        <v>खिलाड़ी HHH गिल्ली मारता है और वह मोटी मिट्टी की परत से ढकी सतह पर गिरती है। इस हिट का मूल्यांकन कैसे किया जाना चाहिए?</v>
      </c>
      <c r="H284" s="5" t="str">
        <f>IFERROR(__xludf.DUMMYFUNCTION("GOOGLETRANSLATE(C284, ""en"", ""hi"")"),"A) गिल्ली को खेल में माना जाता है। , B) गिल्ली को सीमा से बाहर माना जाता है। , C) कीचड़ साफ होने तक खेल को रोक दिया जाता है। , D) खिलाड़ी HHH को एक और मौका दिया जाता है।")</f>
        <v>A) गिल्ली को खेल में माना जाता है। , B) गिल्ली को सीमा से बाहर माना जाता है। , C) कीचड़ साफ होने तक खेल को रोक दिया जाता है। , D) खिलाड़ी HHH को एक और मौका दिया जाता है।</v>
      </c>
      <c r="I284" s="5" t="str">
        <f>IFERROR(__xludf.DUMMYFUNCTION("GOOGLETRANSLATE(D284, ""en"", ""hi"")"),"बी) गिल्ली को सीमा से बाहर माना जाता है।")</f>
        <v>बी) गिल्ली को सीमा से बाहर माना जाता है।</v>
      </c>
    </row>
    <row r="285" ht="22.5" customHeight="1">
      <c r="A285" s="2">
        <v>284.0</v>
      </c>
      <c r="B285" s="3" t="s">
        <v>11838</v>
      </c>
      <c r="C285" s="3" t="s">
        <v>11839</v>
      </c>
      <c r="D285" s="3" t="s">
        <v>11266</v>
      </c>
      <c r="F285" s="5" t="str">
        <f>IFERROR(__xludf.DUMMYFUNCTION("GOOGLETRANSLATE(A285, ""en"", ""hi"")"),"284")</f>
        <v>284</v>
      </c>
      <c r="G285" s="5" t="str">
        <f>IFERROR(__xludf.DUMMYFUNCTION("GOOGLETRANSLATE(B285, ""en"", ""hi"")"),"खिलाड़ी III गिल्ली मारता है और वह बर्फ़ की पतली परत से ढकी सतह पर गिरती है। उचित नियम क्या है?")</f>
        <v>खिलाड़ी III गिल्ली मारता है और वह बर्फ़ की पतली परत से ढकी सतह पर गिरती है। उचित नियम क्या है?</v>
      </c>
      <c r="H285" s="5" t="str">
        <f>IFERROR(__xludf.DUMMYFUNCTION("GOOGLETRANSLATE(C285, ""en"", ""hi"")"),"A) गिल्ली को खेल में माना जाता है। , B) गिल्ली को सीमा से बाहर माना जाता है। , C) बर्फ और हिम को हटाए जाने तक खेल को रोक दिया जाता है। , D) खिलाड़ी III को एक और मौका दिया जाता है।")</f>
        <v>A) गिल्ली को खेल में माना जाता है। , B) गिल्ली को सीमा से बाहर माना जाता है। , C) बर्फ और हिम को हटाए जाने तक खेल को रोक दिया जाता है। , D) खिलाड़ी III को एक और मौका दिया जाता है।</v>
      </c>
      <c r="I285" s="5" t="str">
        <f>IFERROR(__xludf.DUMMYFUNCTION("GOOGLETRANSLATE(D285, ""en"", ""hi"")"),"बी) गिल्ली को सीमा से बाहर माना जाता है।")</f>
        <v>बी) गिल्ली को सीमा से बाहर माना जाता है।</v>
      </c>
    </row>
    <row r="286" ht="22.5" customHeight="1">
      <c r="A286" s="2">
        <v>285.0</v>
      </c>
      <c r="B286" s="3" t="s">
        <v>11840</v>
      </c>
      <c r="C286" s="3" t="s">
        <v>11841</v>
      </c>
      <c r="D286" s="3" t="s">
        <v>11266</v>
      </c>
      <c r="F286" s="5" t="str">
        <f>IFERROR(__xludf.DUMMYFUNCTION("GOOGLETRANSLATE(A286, ""en"", ""hi"")"),"285")</f>
        <v>285</v>
      </c>
      <c r="G286" s="5" t="str">
        <f>IFERROR(__xludf.DUMMYFUNCTION("GOOGLETRANSLATE(B286, ""en"", ""hi"")"),"गिल्ली डंडा मैच के दौरान, खिलाड़ी JJJ गिल्ली मारता है और वह बारिश के पानी से भरे एक बड़े गड्ढे में गिरती है। इस स्थिति में क्या नियम है?")</f>
        <v>गिल्ली डंडा मैच के दौरान, खिलाड़ी JJJ गिल्ली मारता है और वह बारिश के पानी से भरे एक बड़े गड्ढे में गिरती है। इस स्थिति में क्या नियम है?</v>
      </c>
      <c r="H286" s="5" t="str">
        <f>IFERROR(__xludf.DUMMYFUNCTION("GOOGLETRANSLATE(C286, ""en"", ""hi"")"),"A) गिल्ली को खेल में माना जाता है। , B) गिल्ली को सीमा से बाहर माना जाता है। , C) पोखर साफ होने तक खेल रोक दिया जाता है। , D) खिलाड़ी JJJ को एक और मौका दिया जाता है।")</f>
        <v>A) गिल्ली को खेल में माना जाता है। , B) गिल्ली को सीमा से बाहर माना जाता है। , C) पोखर साफ होने तक खेल रोक दिया जाता है। , D) खिलाड़ी JJJ को एक और मौका दिया जाता है।</v>
      </c>
      <c r="I286" s="5" t="str">
        <f>IFERROR(__xludf.DUMMYFUNCTION("GOOGLETRANSLATE(D286, ""en"", ""hi"")"),"बी) गिल्ली को सीमा से बाहर माना जाता है।")</f>
        <v>बी) गिल्ली को सीमा से बाहर माना जाता है।</v>
      </c>
    </row>
    <row r="287" ht="22.5" customHeight="1">
      <c r="A287" s="2">
        <v>286.0</v>
      </c>
      <c r="B287" s="3" t="s">
        <v>11842</v>
      </c>
      <c r="C287" s="3" t="s">
        <v>11843</v>
      </c>
      <c r="D287" s="3" t="s">
        <v>11314</v>
      </c>
      <c r="F287" s="5" t="str">
        <f>IFERROR(__xludf.DUMMYFUNCTION("GOOGLETRANSLATE(A287, ""en"", ""hi"")"),"286")</f>
        <v>286</v>
      </c>
      <c r="G287" s="5" t="str">
        <f>IFERROR(__xludf.DUMMYFUNCTION("GOOGLETRANSLATE(B287, ""en"", ""hi"")"),"खिलाड़ी केकेके गिल्ली मारता है और वह गिरी हुई बर्फ की पतली परत से ढकी सतह पर गिरती है। इस प्रहार की व्याख्या कैसे की जानी चाहिए?")</f>
        <v>खिलाड़ी केकेके गिल्ली मारता है और वह गिरी हुई बर्फ की पतली परत से ढकी सतह पर गिरती है। इस प्रहार की व्याख्या कैसे की जानी चाहिए?</v>
      </c>
      <c r="H287" s="5" t="str">
        <f>IFERROR(__xludf.DUMMYFUNCTION("GOOGLETRANSLATE(C287, ""en"", ""hi"")"),"A) गिल्ली को सीमा से बाहर माना जाता है। , B) गिल्ली को खेल में माना जाता है। , C) बर्फ साफ होने तक खेल को रोक दिया जाता है। , D) खिलाड़ी केकेके को एक और मौका दिया जाता है।")</f>
        <v>A) गिल्ली को सीमा से बाहर माना जाता है। , B) गिल्ली को खेल में माना जाता है। , C) बर्फ साफ होने तक खेल को रोक दिया जाता है। , D) खिलाड़ी केकेके को एक और मौका दिया जाता है।</v>
      </c>
      <c r="I287" s="5" t="str">
        <f>IFERROR(__xludf.DUMMYFUNCTION("GOOGLETRANSLATE(D287, ""en"", ""hi"")"),"अ) गिल्ली को सीमा से बाहर माना जाता है।")</f>
        <v>अ) गिल्ली को सीमा से बाहर माना जाता है।</v>
      </c>
    </row>
    <row r="288" ht="22.5" customHeight="1">
      <c r="A288" s="2">
        <v>287.0</v>
      </c>
      <c r="B288" s="3" t="s">
        <v>11844</v>
      </c>
      <c r="C288" s="3" t="s">
        <v>11845</v>
      </c>
      <c r="D288" s="3" t="s">
        <v>11266</v>
      </c>
      <c r="F288" s="5" t="str">
        <f>IFERROR(__xludf.DUMMYFUNCTION("GOOGLETRANSLATE(A288, ""en"", ""hi"")"),"287")</f>
        <v>287</v>
      </c>
      <c r="G288" s="5" t="str">
        <f>IFERROR(__xludf.DUMMYFUNCTION("GOOGLETRANSLATE(B288, ""en"", ""hi"")"),"खिलाड़ी LLL गिल्ली मारता है और वह रेत की बोरियों के एक बड़े ढेर से ढकी सतह पर गिरती है। इस हिट का नियम क्या है?")</f>
        <v>खिलाड़ी LLL गिल्ली मारता है और वह रेत की बोरियों के एक बड़े ढेर से ढकी सतह पर गिरती है। इस हिट का नियम क्या है?</v>
      </c>
      <c r="H288" s="5" t="str">
        <f>IFERROR(__xludf.DUMMYFUNCTION("GOOGLETRANSLATE(C288, ""en"", ""hi"")"),"A) गिल्ली को खेल में माना जाता है। , B) गिल्ली को सीमा से बाहर माना जाता है। , C) खेल को तब तक रोक दिया जाता है जब तक कि रेत की बोरियां हटा नहीं दी जाती हैं। , D) खिलाड़ी LLL को एक और मौका दिया जाता है।")</f>
        <v>A) गिल्ली को खेल में माना जाता है। , B) गिल्ली को सीमा से बाहर माना जाता है। , C) खेल को तब तक रोक दिया जाता है जब तक कि रेत की बोरियां हटा नहीं दी जाती हैं। , D) खिलाड़ी LLL को एक और मौका दिया जाता है।</v>
      </c>
      <c r="I288" s="5" t="str">
        <f>IFERROR(__xludf.DUMMYFUNCTION("GOOGLETRANSLATE(D288, ""en"", ""hi"")"),"बी) गिल्ली को सीमा से बाहर माना जाता है।")</f>
        <v>बी) गिल्ली को सीमा से बाहर माना जाता है।</v>
      </c>
    </row>
    <row r="289" ht="22.5" customHeight="1">
      <c r="A289" s="2">
        <v>288.0</v>
      </c>
      <c r="B289" s="3" t="s">
        <v>11846</v>
      </c>
      <c r="C289" s="3" t="s">
        <v>11847</v>
      </c>
      <c r="D289" s="3" t="s">
        <v>11314</v>
      </c>
      <c r="F289" s="5" t="str">
        <f>IFERROR(__xludf.DUMMYFUNCTION("GOOGLETRANSLATE(A289, ""en"", ""hi"")"),"288")</f>
        <v>288</v>
      </c>
      <c r="G289" s="5" t="str">
        <f>IFERROR(__xludf.DUMMYFUNCTION("GOOGLETRANSLATE(B289, ""en"", ""hi"")"),"खिलाड़ी MMM गिल्ली पर वार करता है और वह हाल ही में आए तूफ़ान के मलबे की परत से ढकी सतह पर गिरती है। इस वार के लिए उपयुक्त नियम क्या है?")</f>
        <v>खिलाड़ी MMM गिल्ली पर वार करता है और वह हाल ही में आए तूफ़ान के मलबे की परत से ढकी सतह पर गिरती है। इस वार के लिए उपयुक्त नियम क्या है?</v>
      </c>
      <c r="H289" s="5" t="str">
        <f>IFERROR(__xludf.DUMMYFUNCTION("GOOGLETRANSLATE(C289, ""en"", ""hi"")"),"A) गिल्ली को सीमा से बाहर माना जाता है। , B) गिल्ली को खेल में माना जाता है। , C) खेल को तब तक रोक दिया जाता है जब तक मलबा साफ नहीं हो जाता। , D) खिलाड़ी MMM को एक और मौका दिया जाता है।")</f>
        <v>A) गिल्ली को सीमा से बाहर माना जाता है। , B) गिल्ली को खेल में माना जाता है। , C) खेल को तब तक रोक दिया जाता है जब तक मलबा साफ नहीं हो जाता। , D) खिलाड़ी MMM को एक और मौका दिया जाता है।</v>
      </c>
      <c r="I289" s="5" t="str">
        <f>IFERROR(__xludf.DUMMYFUNCTION("GOOGLETRANSLATE(D289, ""en"", ""hi"")"),"अ) गिल्ली को सीमा से बाहर माना जाता है।")</f>
        <v>अ) गिल्ली को सीमा से बाहर माना जाता है।</v>
      </c>
    </row>
    <row r="290" ht="22.5" customHeight="1">
      <c r="A290" s="2">
        <v>289.0</v>
      </c>
      <c r="B290" s="3" t="s">
        <v>11848</v>
      </c>
      <c r="C290" s="3" t="s">
        <v>11849</v>
      </c>
      <c r="D290" s="3" t="s">
        <v>11266</v>
      </c>
      <c r="F290" s="5" t="str">
        <f>IFERROR(__xludf.DUMMYFUNCTION("GOOGLETRANSLATE(A290, ""en"", ""hi"")"),"289")</f>
        <v>289</v>
      </c>
      <c r="G290" s="5" t="str">
        <f>IFERROR(__xludf.DUMMYFUNCTION("GOOGLETRANSLATE(B290, ""en"", ""hi"")"),"खिलाड़ी NNN गिल्ली मारता है और वह गीली घास की परत से ढकी सतह पर गिरती है। इस हिट का मूल्यांकन कैसे किया जाना चाहिए?")</f>
        <v>खिलाड़ी NNN गिल्ली मारता है और वह गीली घास की परत से ढकी सतह पर गिरती है। इस हिट का मूल्यांकन कैसे किया जाना चाहिए?</v>
      </c>
      <c r="H290" s="5" t="str">
        <f>IFERROR(__xludf.DUMMYFUNCTION("GOOGLETRANSLATE(C290, ""en"", ""hi"")"),"A) गिल्ली को खेल में माना जाता है। , B) गिल्ली को सीमा से बाहर माना जाता है। , C) घास साफ होने तक खेल रोक दिया जाता है। , D) खिलाड़ी NNN को एक और मौका दिया जाता है।")</f>
        <v>A) गिल्ली को खेल में माना जाता है। , B) गिल्ली को सीमा से बाहर माना जाता है। , C) घास साफ होने तक खेल रोक दिया जाता है। , D) खिलाड़ी NNN को एक और मौका दिया जाता है।</v>
      </c>
      <c r="I290" s="5" t="str">
        <f>IFERROR(__xludf.DUMMYFUNCTION("GOOGLETRANSLATE(D290, ""en"", ""hi"")"),"बी) गिल्ली को सीमा से बाहर माना जाता है।")</f>
        <v>बी) गिल्ली को सीमा से बाहर माना जाता है।</v>
      </c>
    </row>
    <row r="291" ht="22.5" customHeight="1">
      <c r="A291" s="2">
        <v>290.0</v>
      </c>
      <c r="B291" s="3" t="s">
        <v>11850</v>
      </c>
      <c r="C291" s="3" t="s">
        <v>11851</v>
      </c>
      <c r="D291" s="3" t="s">
        <v>11376</v>
      </c>
      <c r="F291" s="5" t="str">
        <f>IFERROR(__xludf.DUMMYFUNCTION("GOOGLETRANSLATE(A291, ""en"", ""hi"")"),"290")</f>
        <v>290</v>
      </c>
      <c r="G291" s="5" t="str">
        <f>IFERROR(__xludf.DUMMYFUNCTION("GOOGLETRANSLATE(B291, ""en"", ""hi"")"),"गिल्ली डंडा खेल के दौरान, खिलाड़ी OOO गिल्ली पर वार करता है और वह छोटे-छोटे कंकड़-पत्थरों की परत वाली सतह पर गिरती है। इस स्थिति में क्या नियम है?")</f>
        <v>गिल्ली डंडा खेल के दौरान, खिलाड़ी OOO गिल्ली पर वार करता है और वह छोटे-छोटे कंकड़-पत्थरों की परत वाली सतह पर गिरती है। इस स्थिति में क्या नियम है?</v>
      </c>
      <c r="H291" s="5" t="str">
        <f>IFERROR(__xludf.DUMMYFUNCTION("GOOGLETRANSLATE(C291, ""en"", ""hi"")"),"A) गिल्ली को खेल से बाहर माना जाता है। , B) गिल्ली को खेल में माना जाता है। , C) जब तक कंकड़-पत्थर साफ नहीं हो जाते तब तक खेल रोक दिया जाता है। , D) खिलाड़ी OOO को एक और मौका दिया जाता है।")</f>
        <v>A) गिल्ली को खेल से बाहर माना जाता है। , B) गिल्ली को खेल में माना जाता है। , C) जब तक कंकड़-पत्थर साफ नहीं हो जाते तब तक खेल रोक दिया जाता है। , D) खिलाड़ी OOO को एक और मौका दिया जाता है।</v>
      </c>
      <c r="I291" s="5" t="str">
        <f>IFERROR(__xludf.DUMMYFUNCTION("GOOGLETRANSLATE(D291, ""en"", ""hi"")"),"बी) गिल्ली को खेल में शामिल माना जाता है।")</f>
        <v>बी) गिल्ली को खेल में शामिल माना जाता है।</v>
      </c>
    </row>
    <row r="292" ht="22.5" customHeight="1">
      <c r="A292" s="2">
        <v>291.0</v>
      </c>
      <c r="B292" s="3" t="s">
        <v>11852</v>
      </c>
      <c r="C292" s="3" t="s">
        <v>11853</v>
      </c>
      <c r="D292" s="3" t="s">
        <v>11278</v>
      </c>
      <c r="F292" s="5" t="str">
        <f>IFERROR(__xludf.DUMMYFUNCTION("GOOGLETRANSLATE(A292, ""en"", ""hi"")"),"291")</f>
        <v>291</v>
      </c>
      <c r="G292" s="5" t="str">
        <f>IFERROR(__xludf.DUMMYFUNCTION("GOOGLETRANSLATE(B292, ""en"", ""hi"")"),"खिलाड़ी PPP गिल्ली मारता है और वह गिरी हुई चीड़ की सुइयों की परत से ढकी सतह पर गिरती है। इस हिट के लिए उपयुक्त नियम क्या है?")</f>
        <v>खिलाड़ी PPP गिल्ली मारता है और वह गिरी हुई चीड़ की सुइयों की परत से ढकी सतह पर गिरती है। इस हिट के लिए उपयुक्त नियम क्या है?</v>
      </c>
      <c r="H292" s="5" t="str">
        <f>IFERROR(__xludf.DUMMYFUNCTION("GOOGLETRANSLATE(C292, ""en"", ""hi"")"),"A) गिल्ली को खेल में माना जाता है। , B) गिल्ली को सीमा से बाहर माना जाता है। , C) खेल को तब तक रोक दिया जाता है जब तक कि पाइन सुइयां हटा नहीं दी जाती हैं। , D) खिलाड़ी पीपीपी को एक और मौका दिया जाता है।")</f>
        <v>A) गिल्ली को खेल में माना जाता है। , B) गिल्ली को सीमा से बाहर माना जाता है। , C) खेल को तब तक रोक दिया जाता है जब तक कि पाइन सुइयां हटा नहीं दी जाती हैं। , D) खिलाड़ी पीपीपी को एक और मौका दिया जाता है।</v>
      </c>
      <c r="I292" s="5" t="str">
        <f>IFERROR(__xludf.DUMMYFUNCTION("GOOGLETRANSLATE(D292, ""en"", ""hi"")"),"अ) गिल्ली को खेल में शामिल माना जाता है।")</f>
        <v>अ) गिल्ली को खेल में शामिल माना जाता है।</v>
      </c>
    </row>
    <row r="293" ht="22.5" customHeight="1">
      <c r="A293" s="2">
        <v>292.0</v>
      </c>
      <c r="B293" s="3" t="s">
        <v>11854</v>
      </c>
      <c r="C293" s="3" t="s">
        <v>11855</v>
      </c>
      <c r="D293" s="3" t="s">
        <v>11266</v>
      </c>
      <c r="F293" s="5" t="str">
        <f>IFERROR(__xludf.DUMMYFUNCTION("GOOGLETRANSLATE(A293, ""en"", ""hi"")"),"292")</f>
        <v>292</v>
      </c>
      <c r="G293" s="5" t="str">
        <f>IFERROR(__xludf.DUMMYFUNCTION("GOOGLETRANSLATE(B293, ""en"", ""hi"")"),"खिलाड़ी QQQ गिल्ली पर वार करता है और वह पत्थरों के एक बड़े ढेर से घिरी सतह पर गिरती है। इस वार की व्याख्या कैसे की जानी चाहिए?")</f>
        <v>खिलाड़ी QQQ गिल्ली पर वार करता है और वह पत्थरों के एक बड़े ढेर से घिरी सतह पर गिरती है। इस वार की व्याख्या कैसे की जानी चाहिए?</v>
      </c>
      <c r="H293" s="5" t="str">
        <f>IFERROR(__xludf.DUMMYFUNCTION("GOOGLETRANSLATE(C293, ""en"", ""hi"")"),"A) गिल्ली को खेल में माना जाता है। , B) गिल्ली को सीमा से बाहर माना जाता है। , C) खेल तब तक रुका रहता है जब तक पत्थर हटा नहीं दिए जाते। , D) खिलाड़ी QQQ को एक और मौका दिया जाता है।")</f>
        <v>A) गिल्ली को खेल में माना जाता है। , B) गिल्ली को सीमा से बाहर माना जाता है। , C) खेल तब तक रुका रहता है जब तक पत्थर हटा नहीं दिए जाते। , D) खिलाड़ी QQQ को एक और मौका दिया जाता है।</v>
      </c>
      <c r="I293" s="5" t="str">
        <f>IFERROR(__xludf.DUMMYFUNCTION("GOOGLETRANSLATE(D293, ""en"", ""hi"")"),"बी) गिल्ली को सीमा से बाहर माना जाता है।")</f>
        <v>बी) गिल्ली को सीमा से बाहर माना जाता है।</v>
      </c>
    </row>
    <row r="294" ht="22.5" customHeight="1">
      <c r="A294" s="2">
        <v>293.0</v>
      </c>
      <c r="B294" s="3" t="s">
        <v>11856</v>
      </c>
      <c r="C294" s="3" t="s">
        <v>11857</v>
      </c>
      <c r="D294" s="3" t="s">
        <v>11376</v>
      </c>
      <c r="F294" s="5" t="str">
        <f>IFERROR(__xludf.DUMMYFUNCTION("GOOGLETRANSLATE(A294, ""en"", ""hi"")"),"293")</f>
        <v>293</v>
      </c>
      <c r="G294" s="5" t="str">
        <f>IFERROR(__xludf.DUMMYFUNCTION("GOOGLETRANSLATE(B294, ""en"", ""hi"")"),"खिलाड़ी RRR गिल्ली मारता है और वह गीली मिट्टी की परत से ढकी सतह पर गिरती है। इस स्थिति में क्या नियम है?")</f>
        <v>खिलाड़ी RRR गिल्ली मारता है और वह गीली मिट्टी की परत से ढकी सतह पर गिरती है। इस स्थिति में क्या नियम है?</v>
      </c>
      <c r="H294" s="5" t="str">
        <f>IFERROR(__xludf.DUMMYFUNCTION("GOOGLETRANSLATE(C294, ""en"", ""hi"")"),"A) गिल्ली को सीमा से बाहर माना जाता है। , B) गिल्ली को खेल में माना जाता है। , C) मिट्टी साफ होने तक खेल रोक दिया जाता है। , D) खिलाड़ी RRR को एक और मौका दिया जाता है।")</f>
        <v>A) गिल्ली को सीमा से बाहर माना जाता है। , B) गिल्ली को खेल में माना जाता है। , C) मिट्टी साफ होने तक खेल रोक दिया जाता है। , D) खिलाड़ी RRR को एक और मौका दिया जाता है।</v>
      </c>
      <c r="I294" s="5" t="str">
        <f>IFERROR(__xludf.DUMMYFUNCTION("GOOGLETRANSLATE(D294, ""en"", ""hi"")"),"बी) गिल्ली को खेल में शामिल माना जाता है।")</f>
        <v>बी) गिल्ली को खेल में शामिल माना जाता है।</v>
      </c>
    </row>
    <row r="295" ht="22.5" customHeight="1">
      <c r="A295" s="2">
        <v>294.0</v>
      </c>
      <c r="B295" s="3" t="s">
        <v>11858</v>
      </c>
      <c r="C295" s="3" t="s">
        <v>11859</v>
      </c>
      <c r="D295" s="3" t="s">
        <v>11278</v>
      </c>
      <c r="F295" s="5" t="str">
        <f>IFERROR(__xludf.DUMMYFUNCTION("GOOGLETRANSLATE(A295, ""en"", ""hi"")"),"294")</f>
        <v>294</v>
      </c>
      <c r="G295" s="5" t="str">
        <f>IFERROR(__xludf.DUMMYFUNCTION("GOOGLETRANSLATE(B295, ""en"", ""hi"")"),"खिलाड़ी SSS गिल्ली को मारता है और वह छोटे-छोटे बजरी के पत्थरों की परत से ढकी सतह पर गिरती है। इस हिट का मूल्यांकन कैसे किया जाना चाहिए?")</f>
        <v>खिलाड़ी SSS गिल्ली को मारता है और वह छोटे-छोटे बजरी के पत्थरों की परत से ढकी सतह पर गिरती है। इस हिट का मूल्यांकन कैसे किया जाना चाहिए?</v>
      </c>
      <c r="H295" s="5" t="str">
        <f>IFERROR(__xludf.DUMMYFUNCTION("GOOGLETRANSLATE(C295, ""en"", ""hi"")"),"अ) गिल्ली को खेल में माना जाता है। ब) गिल्ली को सीमा से बाहर माना जाता है। स) बजरी हटाये जाने तक खेल को रोक दिया जाता है। द) खिलाड़ी एस.एस.एस. को एक और मौका दिया जाता है।")</f>
        <v>अ) गिल्ली को खेल में माना जाता है। ब) गिल्ली को सीमा से बाहर माना जाता है। स) बजरी हटाये जाने तक खेल को रोक दिया जाता है। द) खिलाड़ी एस.एस.एस. को एक और मौका दिया जाता है।</v>
      </c>
      <c r="I295" s="5" t="str">
        <f>IFERROR(__xludf.DUMMYFUNCTION("GOOGLETRANSLATE(D295, ""en"", ""hi"")"),"अ) गिल्ली को खेल में शामिल माना जाता है।")</f>
        <v>अ) गिल्ली को खेल में शामिल माना जाता है।</v>
      </c>
    </row>
    <row r="296" ht="22.5" customHeight="1">
      <c r="A296" s="2">
        <v>295.0</v>
      </c>
      <c r="B296" s="3" t="s">
        <v>11860</v>
      </c>
      <c r="C296" s="3" t="s">
        <v>11861</v>
      </c>
      <c r="D296" s="3" t="s">
        <v>11314</v>
      </c>
      <c r="F296" s="5" t="str">
        <f>IFERROR(__xludf.DUMMYFUNCTION("GOOGLETRANSLATE(A296, ""en"", ""hi"")"),"295")</f>
        <v>295</v>
      </c>
      <c r="G296" s="5" t="str">
        <f>IFERROR(__xludf.DUMMYFUNCTION("GOOGLETRANSLATE(B296, ""en"", ""hi"")"),"खिलाड़ी TTT गिल्ली मारता है और वह गीली पत्तियों और शाखाओं की परत वाले क्षेत्र में गिरती है। इस हिट का नियम क्या है?")</f>
        <v>खिलाड़ी TTT गिल्ली मारता है और वह गीली पत्तियों और शाखाओं की परत वाले क्षेत्र में गिरती है। इस हिट का नियम क्या है?</v>
      </c>
      <c r="H296" s="5" t="str">
        <f>IFERROR(__xludf.DUMMYFUNCTION("GOOGLETRANSLATE(C296, ""en"", ""hi"")"),"A) गिल्ली को सीमा से बाहर माना जाता है। , B) गिल्ली को खेल में माना जाता है। , C) खेल तब तक रोक दिया जाता है जब तक पत्ते और शाखाएँ साफ नहीं हो जातीं। , D) खिलाड़ी TTT को एक और मौका दिया जाता है।")</f>
        <v>A) गिल्ली को सीमा से बाहर माना जाता है। , B) गिल्ली को खेल में माना जाता है। , C) खेल तब तक रोक दिया जाता है जब तक पत्ते और शाखाएँ साफ नहीं हो जातीं। , D) खिलाड़ी TTT को एक और मौका दिया जाता है।</v>
      </c>
      <c r="I296" s="5" t="str">
        <f>IFERROR(__xludf.DUMMYFUNCTION("GOOGLETRANSLATE(D296, ""en"", ""hi"")"),"अ) गिल्ली को सीमा से बाहर माना जाता है।")</f>
        <v>अ) गिल्ली को सीमा से बाहर माना जाता है।</v>
      </c>
    </row>
    <row r="297" ht="22.5" customHeight="1">
      <c r="A297" s="2">
        <v>296.0</v>
      </c>
      <c r="B297" s="3" t="s">
        <v>11862</v>
      </c>
      <c r="C297" s="3" t="s">
        <v>11863</v>
      </c>
      <c r="D297" s="3" t="s">
        <v>11314</v>
      </c>
      <c r="F297" s="5" t="str">
        <f>IFERROR(__xludf.DUMMYFUNCTION("GOOGLETRANSLATE(A297, ""en"", ""hi"")"),"296")</f>
        <v>296</v>
      </c>
      <c r="G297" s="5" t="str">
        <f>IFERROR(__xludf.DUMMYFUNCTION("GOOGLETRANSLATE(B297, ""en"", ""hi"")"),"खिलाड़ी UUU गिल्ली मारता है और वह प्लास्टिक की बोतलों के ढेर से ढकी सतह पर गिरती है। इस हिट के लिए उपयुक्त नियम क्या है?")</f>
        <v>खिलाड़ी UUU गिल्ली मारता है और वह प्लास्टिक की बोतलों के ढेर से ढकी सतह पर गिरती है। इस हिट के लिए उपयुक्त नियम क्या है?</v>
      </c>
      <c r="H297" s="5" t="str">
        <f>IFERROR(__xludf.DUMMYFUNCTION("GOOGLETRANSLATE(C297, ""en"", ""hi"")"),"A) गिल्ली को सीमा से बाहर माना जाता है। , B) गिल्ली को खेल में माना जाता है। , C) बोतलें हटाए जाने तक खेल को रोक दिया जाता है। , D) खिलाड़ी UUU को एक और मौका दिया जाता है।")</f>
        <v>A) गिल्ली को सीमा से बाहर माना जाता है। , B) गिल्ली को खेल में माना जाता है। , C) बोतलें हटाए जाने तक खेल को रोक दिया जाता है। , D) खिलाड़ी UUU को एक और मौका दिया जाता है।</v>
      </c>
      <c r="I297" s="5" t="str">
        <f>IFERROR(__xludf.DUMMYFUNCTION("GOOGLETRANSLATE(D297, ""en"", ""hi"")"),"अ) गिल्ली को सीमा से बाहर माना जाता है।")</f>
        <v>अ) गिल्ली को सीमा से बाहर माना जाता है।</v>
      </c>
    </row>
    <row r="298" ht="22.5" customHeight="1">
      <c r="A298" s="2">
        <v>297.0</v>
      </c>
      <c r="B298" s="3" t="s">
        <v>11864</v>
      </c>
      <c r="C298" s="3" t="s">
        <v>11865</v>
      </c>
      <c r="D298" s="3" t="s">
        <v>11314</v>
      </c>
      <c r="F298" s="5" t="str">
        <f>IFERROR(__xludf.DUMMYFUNCTION("GOOGLETRANSLATE(A298, ""en"", ""hi"")"),"297")</f>
        <v>297</v>
      </c>
      <c r="G298" s="5" t="str">
        <f>IFERROR(__xludf.DUMMYFUNCTION("GOOGLETRANSLATE(B298, ""en"", ""hi"")"),"गिल्ली डंडा खेलते समय, खिलाड़ी VVV गिल्ली पर वार करता है और वह गीली मिट्टी की एक पतली परत से ढकी सतह पर गिरती है। इस वार का मूल्यांकन कैसे किया जाना चाहिए?")</f>
        <v>गिल्ली डंडा खेलते समय, खिलाड़ी VVV गिल्ली पर वार करता है और वह गीली मिट्टी की एक पतली परत से ढकी सतह पर गिरती है। इस वार का मूल्यांकन कैसे किया जाना चाहिए?</v>
      </c>
      <c r="H298" s="5" t="str">
        <f>IFERROR(__xludf.DUMMYFUNCTION("GOOGLETRANSLATE(C298, ""en"", ""hi"")"),"A) गिल्ली को सीमा से बाहर माना जाता है। , B) गिल्ली को खेल में माना जाता है। , C) कीचड़ साफ होने तक खेल को रोक दिया जाता है। , D) खिलाड़ी VVV को एक और मौका दिया जाता है।")</f>
        <v>A) गिल्ली को सीमा से बाहर माना जाता है। , B) गिल्ली को खेल में माना जाता है। , C) कीचड़ साफ होने तक खेल को रोक दिया जाता है। , D) खिलाड़ी VVV को एक और मौका दिया जाता है।</v>
      </c>
      <c r="I298" s="5" t="str">
        <f>IFERROR(__xludf.DUMMYFUNCTION("GOOGLETRANSLATE(D298, ""en"", ""hi"")"),"अ) गिल्ली को सीमा से बाहर माना जाता है।")</f>
        <v>अ) गिल्ली को सीमा से बाहर माना जाता है।</v>
      </c>
    </row>
    <row r="299" ht="22.5" customHeight="1">
      <c r="A299" s="2">
        <v>298.0</v>
      </c>
      <c r="B299" s="3" t="s">
        <v>11866</v>
      </c>
      <c r="C299" s="3" t="s">
        <v>11867</v>
      </c>
      <c r="D299" s="3" t="s">
        <v>11278</v>
      </c>
      <c r="F299" s="5" t="str">
        <f>IFERROR(__xludf.DUMMYFUNCTION("GOOGLETRANSLATE(A299, ""en"", ""hi"")"),"298")</f>
        <v>298</v>
      </c>
      <c r="G299" s="5" t="str">
        <f>IFERROR(__xludf.DUMMYFUNCTION("GOOGLETRANSLATE(B299, ""en"", ""hi"")"),"खिलाड़ी WWW गिल्ली को मारता है और वह सूखी रेत की परत से ढकी सतह पर गिरती है। इस स्थिति में क्या नियम है?")</f>
        <v>खिलाड़ी WWW गिल्ली को मारता है और वह सूखी रेत की परत से ढकी सतह पर गिरती है। इस स्थिति में क्या नियम है?</v>
      </c>
      <c r="H299" s="5" t="str">
        <f>IFERROR(__xludf.DUMMYFUNCTION("GOOGLETRANSLATE(C299, ""en"", ""hi"")"),"A) गिल्ली को खेल में माना जाता है। , B) गिल्ली को सीमा से बाहर माना जाता है। , C) रेत साफ होने तक खेल को रोक दिया जाता है। , D) खिलाड़ी WWW को एक और मौका दिया जाता है।")</f>
        <v>A) गिल्ली को खेल में माना जाता है। , B) गिल्ली को सीमा से बाहर माना जाता है। , C) रेत साफ होने तक खेल को रोक दिया जाता है। , D) खिलाड़ी WWW को एक और मौका दिया जाता है।</v>
      </c>
      <c r="I299" s="5" t="str">
        <f>IFERROR(__xludf.DUMMYFUNCTION("GOOGLETRANSLATE(D299, ""en"", ""hi"")"),"अ) गिल्ली को खेल में शामिल माना जाता है।")</f>
        <v>अ) गिल्ली को खेल में शामिल माना जाता है।</v>
      </c>
    </row>
    <row r="300" ht="22.5" customHeight="1">
      <c r="A300" s="2">
        <v>299.0</v>
      </c>
      <c r="B300" s="3" t="s">
        <v>11868</v>
      </c>
      <c r="C300" s="3" t="s">
        <v>11869</v>
      </c>
      <c r="D300" s="3" t="s">
        <v>11314</v>
      </c>
      <c r="F300" s="5" t="str">
        <f>IFERROR(__xludf.DUMMYFUNCTION("GOOGLETRANSLATE(A300, ""en"", ""hi"")"),"299")</f>
        <v>299</v>
      </c>
      <c r="G300" s="5" t="str">
        <f>IFERROR(__xludf.DUMMYFUNCTION("GOOGLETRANSLATE(B300, ""en"", ""hi"")"),"खिलाड़ी XXX गिल्ली मारता है और वह कार्डबोर्ड के डिब्बों के ढेर से ढकी सतह पर गिरती है। इस हिट का नियम क्या होना चाहिए?")</f>
        <v>खिलाड़ी XXX गिल्ली मारता है और वह कार्डबोर्ड के डिब्बों के ढेर से ढकी सतह पर गिरती है। इस हिट का नियम क्या होना चाहिए?</v>
      </c>
      <c r="H300" s="5" t="str">
        <f>IFERROR(__xludf.DUMMYFUNCTION("GOOGLETRANSLATE(C300, ""en"", ""hi"")"),"A) गिल्ली को सीमा से बाहर माना जाता है। , B) गिल्ली को खेल में माना जाता है। , C) खेल तब तक रुका रहता है जब तक बक्से हटा नहीं दिए जाते। , D) खिलाड़ी XXX को एक और मौका दिया जाता है।")</f>
        <v>A) गिल्ली को सीमा से बाहर माना जाता है। , B) गिल्ली को खेल में माना जाता है। , C) खेल तब तक रुका रहता है जब तक बक्से हटा नहीं दिए जाते। , D) खिलाड़ी XXX को एक और मौका दिया जाता है।</v>
      </c>
      <c r="I300" s="5" t="str">
        <f>IFERROR(__xludf.DUMMYFUNCTION("GOOGLETRANSLATE(D300, ""en"", ""hi"")"),"अ) गिल्ली को सीमा से बाहर माना जाता है।")</f>
        <v>अ) गिल्ली को सीमा से बाहर माना जाता है।</v>
      </c>
    </row>
    <row r="301" ht="22.5" customHeight="1">
      <c r="A301" s="2">
        <v>300.0</v>
      </c>
      <c r="B301" s="3" t="s">
        <v>11870</v>
      </c>
      <c r="C301" s="3" t="s">
        <v>11871</v>
      </c>
      <c r="D301" s="3" t="s">
        <v>11278</v>
      </c>
      <c r="F301" s="5" t="str">
        <f>IFERROR(__xludf.DUMMYFUNCTION("GOOGLETRANSLATE(A301, ""en"", ""hi"")"),"300")</f>
        <v>300</v>
      </c>
      <c r="G301" s="5" t="str">
        <f>IFERROR(__xludf.DUMMYFUNCTION("GOOGLETRANSLATE(B301, ""en"", ""hi"")"),"खिलाड़ी YYY गिल्ली मारता है और वह ताज़ी कटी घास की परत से ढकी सतह पर गिरती है। इस हिट के लिए उपयुक्त नियम क्या है?")</f>
        <v>खिलाड़ी YYY गिल्ली मारता है और वह ताज़ी कटी घास की परत से ढकी सतह पर गिरती है। इस हिट के लिए उपयुक्त नियम क्या है?</v>
      </c>
      <c r="H301" s="5" t="str">
        <f>IFERROR(__xludf.DUMMYFUNCTION("GOOGLETRANSLATE(C301, ""en"", ""hi"")"),"A) गिल्ली को खेल में माना जाता है। , B) गिल्ली को सीमा से बाहर माना जाता है। , C) घास साफ होने तक खेल रोक दिया जाता है। , D) खिलाड़ी YYY को एक और मौका दिया जाता है।")</f>
        <v>A) गिल्ली को खेल में माना जाता है। , B) गिल्ली को सीमा से बाहर माना जाता है। , C) घास साफ होने तक खेल रोक दिया जाता है। , D) खिलाड़ी YYY को एक और मौका दिया जाता है।</v>
      </c>
      <c r="I301" s="5" t="str">
        <f>IFERROR(__xludf.DUMMYFUNCTION("GOOGLETRANSLATE(D301, ""en"", ""hi"")"),"अ) गिल्ली को खेल में शामिल माना जाता है।")</f>
        <v>अ) गिल्ली को खेल में शामिल माना जाता है।</v>
      </c>
    </row>
    <row r="302" ht="22.5" customHeight="1">
      <c r="A302" s="2">
        <v>301.0</v>
      </c>
      <c r="B302" s="3" t="s">
        <v>11872</v>
      </c>
      <c r="C302" s="3" t="s">
        <v>11873</v>
      </c>
      <c r="D302" s="3" t="s">
        <v>11314</v>
      </c>
      <c r="F302" s="5" t="str">
        <f>IFERROR(__xludf.DUMMYFUNCTION("GOOGLETRANSLATE(A302, ""en"", ""hi"")"),"301")</f>
        <v>301</v>
      </c>
      <c r="G302" s="5" t="str">
        <f>IFERROR(__xludf.DUMMYFUNCTION("GOOGLETRANSLATE(B302, ""en"", ""hi"")"),"गिल्ली डंडा खेलते समय, खिलाड़ी गिल्ली पर ZZZ मारता है और वह टूटी हुई शाखाओं की परत से ढकी सतह पर गिरती है। इस प्रहार की व्याख्या कैसे की जानी चाहिए?")</f>
        <v>गिल्ली डंडा खेलते समय, खिलाड़ी गिल्ली पर ZZZ मारता है और वह टूटी हुई शाखाओं की परत से ढकी सतह पर गिरती है। इस प्रहार की व्याख्या कैसे की जानी चाहिए?</v>
      </c>
      <c r="H302" s="5" t="str">
        <f>IFERROR(__xludf.DUMMYFUNCTION("GOOGLETRANSLATE(C302, ""en"", ""hi"")"),"A) गिल्ली को सीमा से बाहर माना जाता है। , B) गिल्ली को खेल में माना जाता है। , C) शाखाओं के साफ होने तक खेल को रोक दिया जाता है। , D) खिलाड़ी ZZZ को एक और मौका दिया जाता है।")</f>
        <v>A) गिल्ली को सीमा से बाहर माना जाता है। , B) गिल्ली को खेल में माना जाता है। , C) शाखाओं के साफ होने तक खेल को रोक दिया जाता है। , D) खिलाड़ी ZZZ को एक और मौका दिया जाता है।</v>
      </c>
      <c r="I302" s="5" t="str">
        <f>IFERROR(__xludf.DUMMYFUNCTION("GOOGLETRANSLATE(D302, ""en"", ""hi"")"),"अ) गिल्ली को सीमा से बाहर माना जाता है।")</f>
        <v>अ) गिल्ली को सीमा से बाहर माना जाता है।</v>
      </c>
    </row>
    <row r="303" ht="22.5" customHeight="1">
      <c r="A303" s="2">
        <v>302.0</v>
      </c>
      <c r="B303" s="3" t="s">
        <v>11874</v>
      </c>
      <c r="C303" s="3" t="s">
        <v>11875</v>
      </c>
      <c r="D303" s="3" t="s">
        <v>11266</v>
      </c>
      <c r="F303" s="5" t="str">
        <f>IFERROR(__xludf.DUMMYFUNCTION("GOOGLETRANSLATE(A303, ""en"", ""hi"")"),"302")</f>
        <v>302</v>
      </c>
      <c r="G303" s="5" t="str">
        <f>IFERROR(__xludf.DUMMYFUNCTION("GOOGLETRANSLATE(B303, ""en"", ""hi"")"),"खिलाड़ी AAA गिल्ली को मारता है और वह घने पत्तों से ढकी सतह पर गिरती है। इस स्थिति में क्या नियम है?")</f>
        <v>खिलाड़ी AAA गिल्ली को मारता है और वह घने पत्तों से ढकी सतह पर गिरती है। इस स्थिति में क्या नियम है?</v>
      </c>
      <c r="H303" s="5" t="str">
        <f>IFERROR(__xludf.DUMMYFUNCTION("GOOGLETRANSLATE(C303, ""en"", ""hi"")"),"A) गिल्ली को खेल में माना जाता है। , B) गिल्ली को सीमा से बाहर माना जाता है। , C) पत्ते हटाए जाने तक खेल को रोक दिया जाता है। , D) खिलाड़ी AAA को एक और मौका दिया जाता है।")</f>
        <v>A) गिल्ली को खेल में माना जाता है। , B) गिल्ली को सीमा से बाहर माना जाता है। , C) पत्ते हटाए जाने तक खेल को रोक दिया जाता है। , D) खिलाड़ी AAA को एक और मौका दिया जाता है।</v>
      </c>
      <c r="I303" s="5" t="str">
        <f>IFERROR(__xludf.DUMMYFUNCTION("GOOGLETRANSLATE(D303, ""en"", ""hi"")"),"बी) गिल्ली को सीमा से बाहर माना जाता है।")</f>
        <v>बी) गिल्ली को सीमा से बाहर माना जाता है।</v>
      </c>
    </row>
    <row r="304" ht="22.5" customHeight="1">
      <c r="A304" s="2">
        <v>303.0</v>
      </c>
      <c r="B304" s="3" t="s">
        <v>11876</v>
      </c>
      <c r="C304" s="3" t="s">
        <v>11877</v>
      </c>
      <c r="D304" s="3" t="s">
        <v>11314</v>
      </c>
      <c r="F304" s="5" t="str">
        <f>IFERROR(__xludf.DUMMYFUNCTION("GOOGLETRANSLATE(A304, ""en"", ""hi"")"),"303")</f>
        <v>303</v>
      </c>
      <c r="G304" s="5" t="str">
        <f>IFERROR(__xludf.DUMMYFUNCTION("GOOGLETRANSLATE(B304, ""en"", ""hi"")"),"खिलाड़ी BBB गिल्ली मारता है और वह प्लास्टिक की चादर से ढकी सतह पर गिरती है। इस हिट का मूल्यांकन कैसे किया जाना चाहिए?")</f>
        <v>खिलाड़ी BBB गिल्ली मारता है और वह प्लास्टिक की चादर से ढकी सतह पर गिरती है। इस हिट का मूल्यांकन कैसे किया जाना चाहिए?</v>
      </c>
      <c r="H304" s="5" t="str">
        <f>IFERROR(__xludf.DUMMYFUNCTION("GOOGLETRANSLATE(C304, ""en"", ""hi"")"),"A) गिल्ली को सीमा से बाहर माना जाता है। , B) गिल्ली को खेल में माना जाता है। , C) प्लास्टिक हटाए जाने तक खेल को रोक दिया जाता है। , D) खिलाड़ी BBB को एक और मौका दिया जाता है।")</f>
        <v>A) गिल्ली को सीमा से बाहर माना जाता है। , B) गिल्ली को खेल में माना जाता है। , C) प्लास्टिक हटाए जाने तक खेल को रोक दिया जाता है। , D) खिलाड़ी BBB को एक और मौका दिया जाता है।</v>
      </c>
      <c r="I304" s="5" t="str">
        <f>IFERROR(__xludf.DUMMYFUNCTION("GOOGLETRANSLATE(D304, ""en"", ""hi"")"),"अ) गिल्ली को सीमा से बाहर माना जाता है।")</f>
        <v>अ) गिल्ली को सीमा से बाहर माना जाता है।</v>
      </c>
    </row>
    <row r="305" ht="22.5" customHeight="1">
      <c r="A305" s="2">
        <v>304.0</v>
      </c>
      <c r="B305" s="3" t="s">
        <v>11878</v>
      </c>
      <c r="C305" s="3" t="s">
        <v>11879</v>
      </c>
      <c r="D305" s="3" t="s">
        <v>11266</v>
      </c>
      <c r="F305" s="5" t="str">
        <f>IFERROR(__xludf.DUMMYFUNCTION("GOOGLETRANSLATE(A305, ""en"", ""hi"")"),"304")</f>
        <v>304</v>
      </c>
      <c r="G305" s="5" t="str">
        <f>IFERROR(__xludf.DUMMYFUNCTION("GOOGLETRANSLATE(B305, ""en"", ""hi"")"),"खिलाड़ी CCC गिल्ली मारता है और वह अखबारों के ढेर से ढकी सतह पर गिरती है। इस हिट का नियम क्या है?")</f>
        <v>खिलाड़ी CCC गिल्ली मारता है और वह अखबारों के ढेर से ढकी सतह पर गिरती है। इस हिट का नियम क्या है?</v>
      </c>
      <c r="H305" s="5" t="str">
        <f>IFERROR(__xludf.DUMMYFUNCTION("GOOGLETRANSLATE(C305, ""en"", ""hi"")"),"A) गिल्ली को खेल में माना जाता है। , B) गिल्ली को सीमा से बाहर माना जाता है। , C) खेल को तब तक रोक दिया जाता है जब तक अखबार हटा नहीं दिए जाते। , D) खिलाड़ी CCC को एक और मौका दिया जाता है।")</f>
        <v>A) गिल्ली को खेल में माना जाता है। , B) गिल्ली को सीमा से बाहर माना जाता है। , C) खेल को तब तक रोक दिया जाता है जब तक अखबार हटा नहीं दिए जाते। , D) खिलाड़ी CCC को एक और मौका दिया जाता है।</v>
      </c>
      <c r="I305" s="5" t="str">
        <f>IFERROR(__xludf.DUMMYFUNCTION("GOOGLETRANSLATE(D305, ""en"", ""hi"")"),"बी) गिल्ली को सीमा से बाहर माना जाता है।")</f>
        <v>बी) गिल्ली को सीमा से बाहर माना जाता है।</v>
      </c>
    </row>
    <row r="306" ht="22.5" customHeight="1">
      <c r="A306" s="2">
        <v>305.0</v>
      </c>
      <c r="B306" s="3" t="s">
        <v>11880</v>
      </c>
      <c r="C306" s="3" t="s">
        <v>11881</v>
      </c>
      <c r="D306" s="3" t="s">
        <v>11266</v>
      </c>
      <c r="F306" s="5" t="str">
        <f>IFERROR(__xludf.DUMMYFUNCTION("GOOGLETRANSLATE(A306, ""en"", ""hi"")"),"305")</f>
        <v>305</v>
      </c>
      <c r="G306" s="5" t="str">
        <f>IFERROR(__xludf.DUMMYFUNCTION("GOOGLETRANSLATE(B306, ""en"", ""hi"")"),"खिलाड़ी DDD गिल्ली पर वार करता है और वह सीमेंट की धूल से ढकी सतह पर गिरती है। इस वार की व्याख्या कैसे की जानी चाहिए?")</f>
        <v>खिलाड़ी DDD गिल्ली पर वार करता है और वह सीमेंट की धूल से ढकी सतह पर गिरती है। इस वार की व्याख्या कैसे की जानी चाहिए?</v>
      </c>
      <c r="H306" s="5" t="str">
        <f>IFERROR(__xludf.DUMMYFUNCTION("GOOGLETRANSLATE(C306, ""en"", ""hi"")"),"A) गिल्ली को खेल में माना जाता है। , B) गिल्ली को सीमा से बाहर माना जाता है। , C) धूल साफ होने तक खेल को रोक दिया जाता है। , D) खिलाड़ी DDD को एक और मौका दिया जाता है।")</f>
        <v>A) गिल्ली को खेल में माना जाता है। , B) गिल्ली को सीमा से बाहर माना जाता है। , C) धूल साफ होने तक खेल को रोक दिया जाता है। , D) खिलाड़ी DDD को एक और मौका दिया जाता है।</v>
      </c>
      <c r="I306" s="5" t="str">
        <f>IFERROR(__xludf.DUMMYFUNCTION("GOOGLETRANSLATE(D306, ""en"", ""hi"")"),"बी) गिल्ली को सीमा से बाहर माना जाता है।")</f>
        <v>बी) गिल्ली को सीमा से बाहर माना जाता है।</v>
      </c>
    </row>
    <row r="307" ht="22.5" customHeight="1">
      <c r="A307" s="2">
        <v>306.0</v>
      </c>
      <c r="B307" s="3" t="s">
        <v>11882</v>
      </c>
      <c r="C307" s="3" t="s">
        <v>11883</v>
      </c>
      <c r="D307" s="3" t="s">
        <v>11376</v>
      </c>
      <c r="F307" s="5" t="str">
        <f>IFERROR(__xludf.DUMMYFUNCTION("GOOGLETRANSLATE(A307, ""en"", ""hi"")"),"306")</f>
        <v>306</v>
      </c>
      <c r="G307" s="5" t="str">
        <f>IFERROR(__xludf.DUMMYFUNCTION("GOOGLETRANSLATE(B307, ""en"", ""hi"")"),"गिल्ली डंडा मैच के दौरान, खिलाड़ी EEE गिल्ली मारता है और वह बजरी और रेत की परत से ढकी सतह पर गिरती है। इस हिट का नियम क्या है?")</f>
        <v>गिल्ली डंडा मैच के दौरान, खिलाड़ी EEE गिल्ली मारता है और वह बजरी और रेत की परत से ढकी सतह पर गिरती है। इस हिट का नियम क्या है?</v>
      </c>
      <c r="H307" s="5" t="str">
        <f>IFERROR(__xludf.DUMMYFUNCTION("GOOGLETRANSLATE(C307, ""en"", ""hi"")"),"A) गिल्ली को खेल के मैदान से बाहर माना जाता है। , B) गिल्ली को खेल में माना जाता है। , C) खेल को तब तक रोक दिया जाता है जब तक कि बजरी और रेत साफ नहीं हो जाती। , D) खिलाड़ी EEE को एक और मौका दिया जाता है।")</f>
        <v>A) गिल्ली को खेल के मैदान से बाहर माना जाता है। , B) गिल्ली को खेल में माना जाता है। , C) खेल को तब तक रोक दिया जाता है जब तक कि बजरी और रेत साफ नहीं हो जाती। , D) खिलाड़ी EEE को एक और मौका दिया जाता है।</v>
      </c>
      <c r="I307" s="5" t="str">
        <f>IFERROR(__xludf.DUMMYFUNCTION("GOOGLETRANSLATE(D307, ""en"", ""hi"")"),"बी) गिल्ली को खेल में शामिल माना जाता है।")</f>
        <v>बी) गिल्ली को खेल में शामिल माना जाता है।</v>
      </c>
    </row>
    <row r="308" ht="22.5" customHeight="1">
      <c r="A308" s="2">
        <v>307.0</v>
      </c>
      <c r="B308" s="3" t="s">
        <v>11884</v>
      </c>
      <c r="C308" s="3" t="s">
        <v>11885</v>
      </c>
      <c r="D308" s="3" t="s">
        <v>11266</v>
      </c>
      <c r="F308" s="5" t="str">
        <f>IFERROR(__xludf.DUMMYFUNCTION("GOOGLETRANSLATE(A308, ""en"", ""hi"")"),"307")</f>
        <v>307</v>
      </c>
      <c r="G308" s="5" t="str">
        <f>IFERROR(__xludf.DUMMYFUNCTION("GOOGLETRANSLATE(B308, ""en"", ""hi"")"),"खिलाड़ी FFF गिल्ली मारता है और वह नरम मिट्टी की परत से ढकी सतह पर गिरती है। इस हिट का मूल्यांकन कैसे किया जाना चाहिए?")</f>
        <v>खिलाड़ी FFF गिल्ली मारता है और वह नरम मिट्टी की परत से ढकी सतह पर गिरती है। इस हिट का मूल्यांकन कैसे किया जाना चाहिए?</v>
      </c>
      <c r="H308" s="5" t="str">
        <f>IFERROR(__xludf.DUMMYFUNCTION("GOOGLETRANSLATE(C308, ""en"", ""hi"")"),"A) गिल्ली को खेल में माना जाता है। , B) गिल्ली को सीमा से बाहर माना जाता है। , C) कीचड़ साफ होने तक खेल को रोक दिया जाता है। , D) खिलाड़ी FFF को एक और मौका दिया जाता है।")</f>
        <v>A) गिल्ली को खेल में माना जाता है। , B) गिल्ली को सीमा से बाहर माना जाता है। , C) कीचड़ साफ होने तक खेल को रोक दिया जाता है। , D) खिलाड़ी FFF को एक और मौका दिया जाता है।</v>
      </c>
      <c r="I308" s="5" t="str">
        <f>IFERROR(__xludf.DUMMYFUNCTION("GOOGLETRANSLATE(D308, ""en"", ""hi"")"),"बी) गिल्ली को सीमा से बाहर माना जाता है।")</f>
        <v>बी) गिल्ली को सीमा से बाहर माना जाता है।</v>
      </c>
    </row>
    <row r="309" ht="22.5" customHeight="1">
      <c r="A309" s="2">
        <v>308.0</v>
      </c>
      <c r="B309" s="3" t="s">
        <v>11886</v>
      </c>
      <c r="C309" s="3" t="s">
        <v>11887</v>
      </c>
      <c r="D309" s="3" t="s">
        <v>11314</v>
      </c>
      <c r="F309" s="5" t="str">
        <f>IFERROR(__xludf.DUMMYFUNCTION("GOOGLETRANSLATE(A309, ""en"", ""hi"")"),"308")</f>
        <v>308</v>
      </c>
      <c r="G309" s="5" t="str">
        <f>IFERROR(__xludf.DUMMYFUNCTION("GOOGLETRANSLATE(B309, ""en"", ""hi"")"),"खिलाड़ी GGG गिल्ली पर वार करता है और वह एक ऐसी सतह पर गिरती है जहाँ लकड़ी का ढेर लगा हुआ है। इस वार का नियम क्या है?")</f>
        <v>खिलाड़ी GGG गिल्ली पर वार करता है और वह एक ऐसी सतह पर गिरती है जहाँ लकड़ी का ढेर लगा हुआ है। इस वार का नियम क्या है?</v>
      </c>
      <c r="H309" s="5" t="str">
        <f>IFERROR(__xludf.DUMMYFUNCTION("GOOGLETRANSLATE(C309, ""en"", ""hi"")"),"A) गिल्ली को खेल से बाहर माना जाता है। , B) गिल्ली को खेल में माना जाता है। , C) लकड़ी हटाए जाने तक खेल को रोक दिया जाता है। , D) खिलाड़ी GGG को एक और मौका दिया जाता है।")</f>
        <v>A) गिल्ली को खेल से बाहर माना जाता है। , B) गिल्ली को खेल में माना जाता है। , C) लकड़ी हटाए जाने तक खेल को रोक दिया जाता है। , D) खिलाड़ी GGG को एक और मौका दिया जाता है।</v>
      </c>
      <c r="I309" s="5" t="str">
        <f>IFERROR(__xludf.DUMMYFUNCTION("GOOGLETRANSLATE(D309, ""en"", ""hi"")"),"अ) गिल्ली को सीमा से बाहर माना जाता है।")</f>
        <v>अ) गिल्ली को सीमा से बाहर माना जाता है।</v>
      </c>
    </row>
    <row r="310" ht="22.5" customHeight="1">
      <c r="A310" s="2">
        <v>309.0</v>
      </c>
      <c r="B310" s="3" t="s">
        <v>11888</v>
      </c>
      <c r="C310" s="3" t="s">
        <v>11889</v>
      </c>
      <c r="D310" s="3" t="s">
        <v>11376</v>
      </c>
      <c r="F310" s="5" t="str">
        <f>IFERROR(__xludf.DUMMYFUNCTION("GOOGLETRANSLATE(A310, ""en"", ""hi"")"),"309")</f>
        <v>309</v>
      </c>
      <c r="G310" s="5" t="str">
        <f>IFERROR(__xludf.DUMMYFUNCTION("GOOGLETRANSLATE(B310, ""en"", ""hi"")"),"खिलाड़ी HHH गिल्ली मारता है और वह घनी घास की परत से ढकी सतह पर गिरती है। इस हिट के लिए उपयुक्त नियम क्या है?")</f>
        <v>खिलाड़ी HHH गिल्ली मारता है और वह घनी घास की परत से ढकी सतह पर गिरती है। इस हिट के लिए उपयुक्त नियम क्या है?</v>
      </c>
      <c r="H310" s="5" t="str">
        <f>IFERROR(__xludf.DUMMYFUNCTION("GOOGLETRANSLATE(C310, ""en"", ""hi"")"),"A) गिल्ली को सीमा से बाहर माना जाता है। , B) गिल्ली को खेल में माना जाता है। , C) घास साफ होने तक खेल को रोक दिया जाता है। , D) खिलाड़ी HHH को एक और मौका दिया जाता है।")</f>
        <v>A) गिल्ली को सीमा से बाहर माना जाता है। , B) गिल्ली को खेल में माना जाता है। , C) घास साफ होने तक खेल को रोक दिया जाता है। , D) खिलाड़ी HHH को एक और मौका दिया जाता है।</v>
      </c>
      <c r="I310" s="5" t="str">
        <f>IFERROR(__xludf.DUMMYFUNCTION("GOOGLETRANSLATE(D310, ""en"", ""hi"")"),"बी) गिल्ली को खेल में शामिल माना जाता है।")</f>
        <v>बी) गिल्ली को खेल में शामिल माना जाता है।</v>
      </c>
    </row>
    <row r="311" ht="22.5" customHeight="1">
      <c r="A311" s="2">
        <v>310.0</v>
      </c>
      <c r="B311" s="3" t="s">
        <v>11890</v>
      </c>
      <c r="C311" s="3" t="s">
        <v>11891</v>
      </c>
      <c r="D311" s="3" t="s">
        <v>11266</v>
      </c>
      <c r="F311" s="5" t="str">
        <f>IFERROR(__xludf.DUMMYFUNCTION("GOOGLETRANSLATE(A311, ""en"", ""hi"")"),"310")</f>
        <v>310</v>
      </c>
      <c r="G311" s="5" t="str">
        <f>IFERROR(__xludf.DUMMYFUNCTION("GOOGLETRANSLATE(B311, ""en"", ""hi"")"),"खिलाड़ी III गिल्ली मारता है और वह पत्थरों से मिश्रित मिट्टी की परत से ढकी सतह पर गिरती है। इस हिट का नियम क्या है?")</f>
        <v>खिलाड़ी III गिल्ली मारता है और वह पत्थरों से मिश्रित मिट्टी की परत से ढकी सतह पर गिरती है। इस हिट का नियम क्या है?</v>
      </c>
      <c r="H311" s="5" t="str">
        <f>IFERROR(__xludf.DUMMYFUNCTION("GOOGLETRANSLATE(C311, ""en"", ""hi"")"),"A) गिल्ली को खेल में माना जाता है। , B) गिल्ली को सीमा से बाहर माना जाता है। , C) कीचड़ और पत्थर साफ होने तक खेल रोक दिया जाता है। , D) खिलाड़ी III को एक और मौका दिया जाता है।")</f>
        <v>A) गिल्ली को खेल में माना जाता है। , B) गिल्ली को सीमा से बाहर माना जाता है। , C) कीचड़ और पत्थर साफ होने तक खेल रोक दिया जाता है। , D) खिलाड़ी III को एक और मौका दिया जाता है।</v>
      </c>
      <c r="I311" s="5" t="str">
        <f>IFERROR(__xludf.DUMMYFUNCTION("GOOGLETRANSLATE(D311, ""en"", ""hi"")"),"बी) गिल्ली को सीमा से बाहर माना जाता है।")</f>
        <v>बी) गिल्ली को सीमा से बाहर माना जाता है।</v>
      </c>
    </row>
    <row r="312" ht="22.5" customHeight="1">
      <c r="A312" s="2">
        <v>311.0</v>
      </c>
      <c r="B312" s="3" t="s">
        <v>11892</v>
      </c>
      <c r="C312" s="3" t="s">
        <v>11893</v>
      </c>
      <c r="D312" s="3" t="s">
        <v>11314</v>
      </c>
      <c r="F312" s="5" t="str">
        <f>IFERROR(__xludf.DUMMYFUNCTION("GOOGLETRANSLATE(A312, ""en"", ""hi"")"),"311")</f>
        <v>311</v>
      </c>
      <c r="G312" s="5" t="str">
        <f>IFERROR(__xludf.DUMMYFUNCTION("GOOGLETRANSLATE(B312, ""en"", ""hi"")"),"खिलाड़ी JJJ गिल्ली मारता है और वह बर्फ के एक बड़े ढेर से ढकी सतह पर गिरती है। इस चोट की व्याख्या कैसे की जानी चाहिए?")</f>
        <v>खिलाड़ी JJJ गिल्ली मारता है और वह बर्फ के एक बड़े ढेर से ढकी सतह पर गिरती है। इस चोट की व्याख्या कैसे की जानी चाहिए?</v>
      </c>
      <c r="H312" s="5" t="str">
        <f>IFERROR(__xludf.DUMMYFUNCTION("GOOGLETRANSLATE(C312, ""en"", ""hi"")"),"A) गिल्ली को सीमा से बाहर माना जाता है। , B) गिल्ली को खेल में माना जाता है। , C) बर्फ साफ होने तक खेल को रोक दिया जाता है। , D) खिलाड़ी JJJ को एक और मौका दिया जाता है।")</f>
        <v>A) गिल्ली को सीमा से बाहर माना जाता है। , B) गिल्ली को खेल में माना जाता है। , C) बर्फ साफ होने तक खेल को रोक दिया जाता है। , D) खिलाड़ी JJJ को एक और मौका दिया जाता है।</v>
      </c>
      <c r="I312" s="5" t="str">
        <f>IFERROR(__xludf.DUMMYFUNCTION("GOOGLETRANSLATE(D312, ""en"", ""hi"")"),"अ) गिल्ली को सीमा से बाहर माना जाता है।")</f>
        <v>अ) गिल्ली को सीमा से बाहर माना जाता है।</v>
      </c>
    </row>
    <row r="313" ht="22.5" customHeight="1">
      <c r="A313" s="2">
        <v>312.0</v>
      </c>
      <c r="B313" s="3" t="s">
        <v>11894</v>
      </c>
      <c r="C313" s="3" t="s">
        <v>11895</v>
      </c>
      <c r="D313" s="3" t="s">
        <v>11266</v>
      </c>
      <c r="F313" s="5" t="str">
        <f>IFERROR(__xludf.DUMMYFUNCTION("GOOGLETRANSLATE(A313, ""en"", ""hi"")"),"312")</f>
        <v>312</v>
      </c>
      <c r="G313" s="5" t="str">
        <f>IFERROR(__xludf.DUMMYFUNCTION("GOOGLETRANSLATE(B313, ""en"", ""hi"")"),"गिल्ली डंडा खेल के दौरान, खिलाड़ी केकेके गिल्ली मारता है और वह गीली मिट्टी की परत से ढकी सतह पर गिरती है। इस स्थिति में क्या नियम है?")</f>
        <v>गिल्ली डंडा खेल के दौरान, खिलाड़ी केकेके गिल्ली मारता है और वह गीली मिट्टी की परत से ढकी सतह पर गिरती है। इस स्थिति में क्या नियम है?</v>
      </c>
      <c r="H313" s="5" t="str">
        <f>IFERROR(__xludf.DUMMYFUNCTION("GOOGLETRANSLATE(C313, ""en"", ""hi"")"),"A) गिल्ली को खेल में माना जाता है। , B) गिल्ली को सीमा से बाहर माना जाता है। , C) मिट्टी साफ होने तक खेल को रोक दिया जाता है। , D) खिलाड़ी केकेके को एक और मौका दिया जाता है।")</f>
        <v>A) गिल्ली को खेल में माना जाता है। , B) गिल्ली को सीमा से बाहर माना जाता है। , C) मिट्टी साफ होने तक खेल को रोक दिया जाता है। , D) खिलाड़ी केकेके को एक और मौका दिया जाता है।</v>
      </c>
      <c r="I313" s="5" t="str">
        <f>IFERROR(__xludf.DUMMYFUNCTION("GOOGLETRANSLATE(D313, ""en"", ""hi"")"),"बी) गिल्ली को सीमा से बाहर माना जाता है।")</f>
        <v>बी) गिल्ली को सीमा से बाहर माना जाता है।</v>
      </c>
    </row>
    <row r="314" ht="22.5" customHeight="1">
      <c r="A314" s="2">
        <v>313.0</v>
      </c>
      <c r="B314" s="3" t="s">
        <v>11896</v>
      </c>
      <c r="C314" s="3" t="s">
        <v>11897</v>
      </c>
      <c r="D314" s="3" t="s">
        <v>11314</v>
      </c>
      <c r="F314" s="5" t="str">
        <f>IFERROR(__xludf.DUMMYFUNCTION("GOOGLETRANSLATE(A314, ""en"", ""hi"")"),"313")</f>
        <v>313</v>
      </c>
      <c r="G314" s="5" t="str">
        <f>IFERROR(__xludf.DUMMYFUNCTION("GOOGLETRANSLATE(B314, ""en"", ""hi"")"),"खिलाड़ी LLL गिल्ली पर वार करता है और वह पुराने पत्तों और टहनियों के ढेर से ढकी सतह पर गिरती है। इस वार का मूल्यांकन कैसे किया जाना चाहिए?")</f>
        <v>खिलाड़ी LLL गिल्ली पर वार करता है और वह पुराने पत्तों और टहनियों के ढेर से ढकी सतह पर गिरती है। इस वार का मूल्यांकन कैसे किया जाना चाहिए?</v>
      </c>
      <c r="H314" s="5" t="str">
        <f>IFERROR(__xludf.DUMMYFUNCTION("GOOGLETRANSLATE(C314, ""en"", ""hi"")"),"A) गिल्ली को खेल से बाहर माना जाता है। , B) गिल्ली को खेल में माना जाता है। , C) खेल तब तक रोक दिया जाता है जब तक पत्ते और टहनियाँ साफ नहीं हो जातीं। , D) खिलाड़ी LLL को एक और मौका दिया जाता है।")</f>
        <v>A) गिल्ली को खेल से बाहर माना जाता है। , B) गिल्ली को खेल में माना जाता है। , C) खेल तब तक रोक दिया जाता है जब तक पत्ते और टहनियाँ साफ नहीं हो जातीं। , D) खिलाड़ी LLL को एक और मौका दिया जाता है।</v>
      </c>
      <c r="I314" s="5" t="str">
        <f>IFERROR(__xludf.DUMMYFUNCTION("GOOGLETRANSLATE(D314, ""en"", ""hi"")"),"अ) गिल्ली को सीमा से बाहर माना जाता है।")</f>
        <v>अ) गिल्ली को सीमा से बाहर माना जाता है।</v>
      </c>
    </row>
    <row r="315" ht="22.5" customHeight="1">
      <c r="A315" s="2">
        <v>314.0</v>
      </c>
      <c r="B315" s="3" t="s">
        <v>11898</v>
      </c>
      <c r="C315" s="3" t="s">
        <v>11899</v>
      </c>
      <c r="D315" s="3" t="s">
        <v>11376</v>
      </c>
      <c r="F315" s="5" t="str">
        <f>IFERROR(__xludf.DUMMYFUNCTION("GOOGLETRANSLATE(A315, ""en"", ""hi"")"),"314")</f>
        <v>314</v>
      </c>
      <c r="G315" s="5" t="str">
        <f>IFERROR(__xludf.DUMMYFUNCTION("GOOGLETRANSLATE(B315, ""en"", ""hi"")"),"खिलाड़ी MMM गिल्ली को मारता है और वह ताज़ी रेत की परत से ढकी सतह पर गिरती है। इस हिट के लिए उपयुक्त नियम क्या है?")</f>
        <v>खिलाड़ी MMM गिल्ली को मारता है और वह ताज़ी रेत की परत से ढकी सतह पर गिरती है। इस हिट के लिए उपयुक्त नियम क्या है?</v>
      </c>
      <c r="H315" s="5" t="str">
        <f>IFERROR(__xludf.DUMMYFUNCTION("GOOGLETRANSLATE(C315, ""en"", ""hi"")"),"A) गिल्ली को सीमा से बाहर माना जाता है। , B) गिल्ली को खेल में माना जाता है। , C) रेत हटाए जाने तक खेल को रोक दिया जाता है। , D) खिलाड़ी MMM को एक और मौका दिया जाता है।")</f>
        <v>A) गिल्ली को सीमा से बाहर माना जाता है। , B) गिल्ली को खेल में माना जाता है। , C) रेत हटाए जाने तक खेल को रोक दिया जाता है। , D) खिलाड़ी MMM को एक और मौका दिया जाता है।</v>
      </c>
      <c r="I315" s="5" t="str">
        <f>IFERROR(__xludf.DUMMYFUNCTION("GOOGLETRANSLATE(D315, ""en"", ""hi"")"),"बी) गिल्ली को खेल में शामिल माना जाता है।")</f>
        <v>बी) गिल्ली को खेल में शामिल माना जाता है।</v>
      </c>
    </row>
    <row r="316" ht="22.5" customHeight="1">
      <c r="A316" s="2">
        <v>315.0</v>
      </c>
      <c r="B316" s="3" t="s">
        <v>11900</v>
      </c>
      <c r="C316" s="3" t="s">
        <v>11901</v>
      </c>
      <c r="D316" s="3" t="s">
        <v>11376</v>
      </c>
      <c r="F316" s="5" t="str">
        <f>IFERROR(__xludf.DUMMYFUNCTION("GOOGLETRANSLATE(A316, ""en"", ""hi"")"),"315")</f>
        <v>315</v>
      </c>
      <c r="G316" s="5" t="str">
        <f>IFERROR(__xludf.DUMMYFUNCTION("GOOGLETRANSLATE(B316, ""en"", ""hi"")"),"खिलाड़ी NNN गिल्ली को मारता है और वह पुराने अखबार की परत से ढकी सतह पर गिरती है। इस स्थिति में क्या नियम है?")</f>
        <v>खिलाड़ी NNN गिल्ली को मारता है और वह पुराने अखबार की परत से ढकी सतह पर गिरती है। इस स्थिति में क्या नियम है?</v>
      </c>
      <c r="H316" s="5" t="str">
        <f>IFERROR(__xludf.DUMMYFUNCTION("GOOGLETRANSLATE(C316, ""en"", ""hi"")"),"A) गिल्ली को सीमा से बाहर माना जाता है। , B) गिल्ली को खेल में माना जाता है। , C) अखबार साफ होने तक खेल रोक दिया जाता है। , D) खिलाड़ी NNN को एक और मौका दिया जाता है।")</f>
        <v>A) गिल्ली को सीमा से बाहर माना जाता है। , B) गिल्ली को खेल में माना जाता है। , C) अखबार साफ होने तक खेल रोक दिया जाता है। , D) खिलाड़ी NNN को एक और मौका दिया जाता है।</v>
      </c>
      <c r="I316" s="5" t="str">
        <f>IFERROR(__xludf.DUMMYFUNCTION("GOOGLETRANSLATE(D316, ""en"", ""hi"")"),"बी) गिल्ली को खेल में शामिल माना जाता है।")</f>
        <v>बी) गिल्ली को खेल में शामिल माना जाता है।</v>
      </c>
    </row>
    <row r="317" ht="22.5" customHeight="1">
      <c r="A317" s="2">
        <v>316.0</v>
      </c>
      <c r="B317" s="3" t="s">
        <v>11902</v>
      </c>
      <c r="C317" s="3" t="s">
        <v>11903</v>
      </c>
      <c r="D317" s="3" t="s">
        <v>11266</v>
      </c>
      <c r="F317" s="5" t="str">
        <f>IFERROR(__xludf.DUMMYFUNCTION("GOOGLETRANSLATE(A317, ""en"", ""hi"")"),"316")</f>
        <v>316</v>
      </c>
      <c r="G317" s="5" t="str">
        <f>IFERROR(__xludf.DUMMYFUNCTION("GOOGLETRANSLATE(B317, ""en"", ""hi"")"),"खिलाड़ी OOO गिल्ली मारता है और वह कूड़े की परत से ढकी सतह पर गिरती है। इस हिट का नियम क्या है?")</f>
        <v>खिलाड़ी OOO गिल्ली मारता है और वह कूड़े की परत से ढकी सतह पर गिरती है। इस हिट का नियम क्या है?</v>
      </c>
      <c r="H317" s="5" t="str">
        <f>IFERROR(__xludf.DUMMYFUNCTION("GOOGLETRANSLATE(C317, ""en"", ""hi"")"),"A) गिल्ली को खेल में माना जाता है। , B) गिल्ली को सीमा से बाहर माना जाता है। , C) कचरा साफ़ होने तक खेल को रोक दिया जाता है। , D) खिलाड़ी OOO को एक और मौका दिया जाता है।")</f>
        <v>A) गिल्ली को खेल में माना जाता है। , B) गिल्ली को सीमा से बाहर माना जाता है। , C) कचरा साफ़ होने तक खेल को रोक दिया जाता है। , D) खिलाड़ी OOO को एक और मौका दिया जाता है।</v>
      </c>
      <c r="I317" s="5" t="str">
        <f>IFERROR(__xludf.DUMMYFUNCTION("GOOGLETRANSLATE(D317, ""en"", ""hi"")"),"बी) गिल्ली को सीमा से बाहर माना जाता है।")</f>
        <v>बी) गिल्ली को सीमा से बाहर माना जाता है।</v>
      </c>
    </row>
    <row r="318" ht="22.5" customHeight="1">
      <c r="A318" s="2">
        <v>317.0</v>
      </c>
      <c r="B318" s="3" t="s">
        <v>11904</v>
      </c>
      <c r="C318" s="3" t="s">
        <v>11905</v>
      </c>
      <c r="D318" s="3" t="s">
        <v>11314</v>
      </c>
      <c r="F318" s="5" t="str">
        <f>IFERROR(__xludf.DUMMYFUNCTION("GOOGLETRANSLATE(A318, ""en"", ""hi"")"),"317")</f>
        <v>317</v>
      </c>
      <c r="G318" s="5" t="str">
        <f>IFERROR(__xludf.DUMMYFUNCTION("GOOGLETRANSLATE(B318, ""en"", ""hi"")"),"खिलाड़ी PPP गिल्ली मारता है और वह टूटे हुए काँच के ढेर से ढकी सतह पर गिरती है। इस हिट का मूल्यांकन कैसे किया जाना चाहिए?")</f>
        <v>खिलाड़ी PPP गिल्ली मारता है और वह टूटे हुए काँच के ढेर से ढकी सतह पर गिरती है। इस हिट का मूल्यांकन कैसे किया जाना चाहिए?</v>
      </c>
      <c r="H318" s="5" t="str">
        <f>IFERROR(__xludf.DUMMYFUNCTION("GOOGLETRANSLATE(C318, ""en"", ""hi"")"),"A) गिल्ली को सीमा से बाहर माना जाता है। , B) गिल्ली को खेल में माना जाता है। , C) गिलास हटाए जाने तक खेल को रोक दिया जाता है। , D) खिलाड़ी PPP को एक और मौका दिया जाता है।")</f>
        <v>A) गिल्ली को सीमा से बाहर माना जाता है। , B) गिल्ली को खेल में माना जाता है। , C) गिलास हटाए जाने तक खेल को रोक दिया जाता है। , D) खिलाड़ी PPP को एक और मौका दिया जाता है।</v>
      </c>
      <c r="I318" s="5" t="str">
        <f>IFERROR(__xludf.DUMMYFUNCTION("GOOGLETRANSLATE(D318, ""en"", ""hi"")"),"अ) गिल्ली को सीमा से बाहर माना जाता है।")</f>
        <v>अ) गिल्ली को सीमा से बाहर माना जाता है।</v>
      </c>
    </row>
    <row r="319" ht="22.5" customHeight="1">
      <c r="A319" s="2">
        <v>318.0</v>
      </c>
      <c r="B319" s="3" t="s">
        <v>11906</v>
      </c>
      <c r="C319" s="3" t="s">
        <v>11907</v>
      </c>
      <c r="D319" s="3" t="s">
        <v>11376</v>
      </c>
      <c r="F319" s="5" t="str">
        <f>IFERROR(__xludf.DUMMYFUNCTION("GOOGLETRANSLATE(A319, ""en"", ""hi"")"),"318")</f>
        <v>318</v>
      </c>
      <c r="G319" s="5" t="str">
        <f>IFERROR(__xludf.DUMMYFUNCTION("GOOGLETRANSLATE(B319, ""en"", ""hi"")"),"खिलाड़ी QQQ गिल्ली मारता है और वह गीले पत्थरों की परत से ढकी सतह पर गिरती है। इस हिट का नियम क्या है?")</f>
        <v>खिलाड़ी QQQ गिल्ली मारता है और वह गीले पत्थरों की परत से ढकी सतह पर गिरती है। इस हिट का नियम क्या है?</v>
      </c>
      <c r="H319" s="5" t="str">
        <f>IFERROR(__xludf.DUMMYFUNCTION("GOOGLETRANSLATE(C319, ""en"", ""hi"")"),"A) गिल्ली को सीमा से बाहर माना जाता है। , B) गिल्ली को खेल में माना जाता है। , C) पत्थर साफ होने तक खेल को रोक दिया जाता है। , D) खिलाड़ी QQQ को एक और मौका दिया जाता है।")</f>
        <v>A) गिल्ली को सीमा से बाहर माना जाता है। , B) गिल्ली को खेल में माना जाता है। , C) पत्थर साफ होने तक खेल को रोक दिया जाता है। , D) खिलाड़ी QQQ को एक और मौका दिया जाता है।</v>
      </c>
      <c r="I319" s="5" t="str">
        <f>IFERROR(__xludf.DUMMYFUNCTION("GOOGLETRANSLATE(D319, ""en"", ""hi"")"),"बी) गिल्ली को खेल में शामिल माना जाता है।")</f>
        <v>बी) गिल्ली को खेल में शामिल माना जाता है।</v>
      </c>
    </row>
    <row r="320" ht="22.5" customHeight="1">
      <c r="A320" s="2">
        <v>319.0</v>
      </c>
      <c r="B320" s="3" t="s">
        <v>11908</v>
      </c>
      <c r="C320" s="3" t="s">
        <v>11909</v>
      </c>
      <c r="D320" s="3" t="s">
        <v>11314</v>
      </c>
      <c r="F320" s="5" t="str">
        <f>IFERROR(__xludf.DUMMYFUNCTION("GOOGLETRANSLATE(A320, ""en"", ""hi"")"),"319")</f>
        <v>319</v>
      </c>
      <c r="G320" s="5" t="str">
        <f>IFERROR(__xludf.DUMMYFUNCTION("GOOGLETRANSLATE(B320, ""en"", ""hi"")"),"खिलाड़ी RRR गिल्ली मारता है और वह पुराने टायरों की परत से ढकी सतह पर गिरती है। इस हिट की व्याख्या कैसे की जानी चाहिए?")</f>
        <v>खिलाड़ी RRR गिल्ली मारता है और वह पुराने टायरों की परत से ढकी सतह पर गिरती है। इस हिट की व्याख्या कैसे की जानी चाहिए?</v>
      </c>
      <c r="H320" s="5" t="str">
        <f>IFERROR(__xludf.DUMMYFUNCTION("GOOGLETRANSLATE(C320, ""en"", ""hi"")"),"A) गिल्ली को सीमा से बाहर माना जाता है। , B) गिल्ली को खेल में माना जाता है। , C) टायर साफ होने तक खेल को रोक दिया जाता है। , D) खिलाड़ी RRR को एक और मौका दिया जाता है।")</f>
        <v>A) गिल्ली को सीमा से बाहर माना जाता है। , B) गिल्ली को खेल में माना जाता है। , C) टायर साफ होने तक खेल को रोक दिया जाता है। , D) खिलाड़ी RRR को एक और मौका दिया जाता है।</v>
      </c>
      <c r="I320" s="5" t="str">
        <f>IFERROR(__xludf.DUMMYFUNCTION("GOOGLETRANSLATE(D320, ""en"", ""hi"")"),"अ) गिल्ली को सीमा से बाहर माना जाता है।")</f>
        <v>अ) गिल्ली को सीमा से बाहर माना जाता है।</v>
      </c>
    </row>
    <row r="321" ht="22.5" customHeight="1">
      <c r="A321" s="2">
        <v>320.0</v>
      </c>
      <c r="B321" s="3" t="s">
        <v>11910</v>
      </c>
      <c r="C321" s="3" t="s">
        <v>11911</v>
      </c>
      <c r="D321" s="3" t="s">
        <v>11266</v>
      </c>
      <c r="F321" s="5" t="str">
        <f>IFERROR(__xludf.DUMMYFUNCTION("GOOGLETRANSLATE(A321, ""en"", ""hi"")"),"320")</f>
        <v>320</v>
      </c>
      <c r="G321" s="5" t="str">
        <f>IFERROR(__xludf.DUMMYFUNCTION("GOOGLETRANSLATE(B321, ""en"", ""hi"")"),"खिलाड़ी SSS गिल्ली को मारता है और वह सूखी मिट्टी की परत से ढकी सतह पर गिरती है। इस स्थिति में क्या नियम है?")</f>
        <v>खिलाड़ी SSS गिल्ली को मारता है और वह सूखी मिट्टी की परत से ढकी सतह पर गिरती है। इस स्थिति में क्या नियम है?</v>
      </c>
      <c r="H321" s="5" t="str">
        <f>IFERROR(__xludf.DUMMYFUNCTION("GOOGLETRANSLATE(C321, ""en"", ""hi"")"),"अ) गिल्ली को खेल में माना जाता है। ब) गिल्ली को सीमा से बाहर माना जाता है। स) कीचड़ हटने तक खेल रोक दिया जाता है। द) खिलाड़ी एस.एस.एस. को एक और मौका दिया जाता है।")</f>
        <v>अ) गिल्ली को खेल में माना जाता है। ब) गिल्ली को सीमा से बाहर माना जाता है। स) कीचड़ हटने तक खेल रोक दिया जाता है। द) खिलाड़ी एस.एस.एस. को एक और मौका दिया जाता है।</v>
      </c>
      <c r="I321" s="5" t="str">
        <f>IFERROR(__xludf.DUMMYFUNCTION("GOOGLETRANSLATE(D321, ""en"", ""hi"")"),"बी) गिल्ली को सीमा से बाहर माना जाता है।")</f>
        <v>बी) गिल्ली को सीमा से बाहर माना जाता है।</v>
      </c>
    </row>
    <row r="322" ht="22.5" customHeight="1">
      <c r="A322" s="2">
        <v>321.0</v>
      </c>
      <c r="B322" s="3" t="s">
        <v>11912</v>
      </c>
      <c r="C322" s="3" t="s">
        <v>11913</v>
      </c>
      <c r="D322" s="3" t="s">
        <v>11314</v>
      </c>
      <c r="F322" s="5" t="str">
        <f>IFERROR(__xludf.DUMMYFUNCTION("GOOGLETRANSLATE(A322, ""en"", ""hi"")"),"321")</f>
        <v>321</v>
      </c>
      <c r="G322" s="5" t="str">
        <f>IFERROR(__xludf.DUMMYFUNCTION("GOOGLETRANSLATE(B322, ""en"", ""hi"")"),"खिलाड़ी TTT गिल्ली को मारता है और वह पुरानी लकड़ियों के ढेर से अवरुद्ध सतह पर गिरती है। इस हिट का मूल्यांकन कैसे किया जाना चाहिए?")</f>
        <v>खिलाड़ी TTT गिल्ली को मारता है और वह पुरानी लकड़ियों के ढेर से अवरुद्ध सतह पर गिरती है। इस हिट का मूल्यांकन कैसे किया जाना चाहिए?</v>
      </c>
      <c r="H322" s="5" t="str">
        <f>IFERROR(__xludf.DUMMYFUNCTION("GOOGLETRANSLATE(C322, ""en"", ""hi"")"),"A) गिल्ली को सीमा से बाहर माना जाता है। , B) गिल्ली को खेल में माना जाता है। , C) खेल को तब तक रोक दिया जाता है जब तक लॉग साफ़ नहीं हो जाते। , D) खिलाड़ी TTT को एक और मौका दिया जाता है।")</f>
        <v>A) गिल्ली को सीमा से बाहर माना जाता है। , B) गिल्ली को खेल में माना जाता है। , C) खेल को तब तक रोक दिया जाता है जब तक लॉग साफ़ नहीं हो जाते। , D) खिलाड़ी TTT को एक और मौका दिया जाता है।</v>
      </c>
      <c r="I322" s="5" t="str">
        <f>IFERROR(__xludf.DUMMYFUNCTION("GOOGLETRANSLATE(D322, ""en"", ""hi"")"),"अ) गिल्ली को सीमा से बाहर माना जाता है।")</f>
        <v>अ) गिल्ली को सीमा से बाहर माना जाता है।</v>
      </c>
    </row>
    <row r="323" ht="22.5" customHeight="1">
      <c r="A323" s="2">
        <v>322.0</v>
      </c>
      <c r="B323" s="3" t="s">
        <v>11914</v>
      </c>
      <c r="C323" s="3" t="s">
        <v>11915</v>
      </c>
      <c r="D323" s="3" t="s">
        <v>11314</v>
      </c>
      <c r="F323" s="5" t="str">
        <f>IFERROR(__xludf.DUMMYFUNCTION("GOOGLETRANSLATE(A323, ""en"", ""hi"")"),"322")</f>
        <v>322</v>
      </c>
      <c r="G323" s="5" t="str">
        <f>IFERROR(__xludf.DUMMYFUNCTION("GOOGLETRANSLATE(B323, ""en"", ""hi"")"),"खिलाड़ी UUU गिल्ली मारता है और वह पतली बर्फ की परत से ढकी सतह पर गिरती है। इस हिट का नियम क्या है?")</f>
        <v>खिलाड़ी UUU गिल्ली मारता है और वह पतली बर्फ की परत से ढकी सतह पर गिरती है। इस हिट का नियम क्या है?</v>
      </c>
      <c r="H323" s="5" t="str">
        <f>IFERROR(__xludf.DUMMYFUNCTION("GOOGLETRANSLATE(C323, ""en"", ""hi"")"),"A) गिल्ली को सीमा से बाहर माना जाता है। , B) गिल्ली को खेल में माना जाता है। , C) बर्फ हटाए जाने तक खेल को रोक दिया जाता है। , D) खिलाड़ी UUU को एक और मौका दिया जाता है।")</f>
        <v>A) गिल्ली को सीमा से बाहर माना जाता है। , B) गिल्ली को खेल में माना जाता है। , C) बर्फ हटाए जाने तक खेल को रोक दिया जाता है। , D) खिलाड़ी UUU को एक और मौका दिया जाता है।</v>
      </c>
      <c r="I323" s="5" t="str">
        <f>IFERROR(__xludf.DUMMYFUNCTION("GOOGLETRANSLATE(D323, ""en"", ""hi"")"),"अ) गिल्ली को सीमा से बाहर माना जाता है।")</f>
        <v>अ) गिल्ली को सीमा से बाहर माना जाता है।</v>
      </c>
    </row>
    <row r="324" ht="22.5" customHeight="1">
      <c r="A324" s="2">
        <v>323.0</v>
      </c>
      <c r="B324" s="3" t="s">
        <v>11916</v>
      </c>
      <c r="C324" s="3" t="s">
        <v>11917</v>
      </c>
      <c r="D324" s="3" t="s">
        <v>11278</v>
      </c>
      <c r="F324" s="5" t="str">
        <f>IFERROR(__xludf.DUMMYFUNCTION("GOOGLETRANSLATE(A324, ""en"", ""hi"")"),"323")</f>
        <v>323</v>
      </c>
      <c r="G324" s="5" t="str">
        <f>IFERROR(__xludf.DUMMYFUNCTION("GOOGLETRANSLATE(B324, ""en"", ""hi"")"),"खिलाड़ी VVV गिल्ली पर वार करता है और वह बिखरे हुए कंकड़ों की परत से ढकी सतह पर गिरती है। इस वार का मूल्यांकन कैसे किया जाना चाहिए?")</f>
        <v>खिलाड़ी VVV गिल्ली पर वार करता है और वह बिखरे हुए कंकड़ों की परत से ढकी सतह पर गिरती है। इस वार का मूल्यांकन कैसे किया जाना चाहिए?</v>
      </c>
      <c r="H324" s="5" t="str">
        <f>IFERROR(__xludf.DUMMYFUNCTION("GOOGLETRANSLATE(C324, ""en"", ""hi"")"),"A) गिल्ली को खेल में माना जाता है। , B) गिल्ली को सीमा से बाहर माना जाता है। , C) कंकड़ साफ होने तक खेल रोक दिया जाता है। , D) खिलाड़ी VVV को एक और मौका दिया जाता है।")</f>
        <v>A) गिल्ली को खेल में माना जाता है। , B) गिल्ली को सीमा से बाहर माना जाता है। , C) कंकड़ साफ होने तक खेल रोक दिया जाता है। , D) खिलाड़ी VVV को एक और मौका दिया जाता है।</v>
      </c>
      <c r="I324" s="5" t="str">
        <f>IFERROR(__xludf.DUMMYFUNCTION("GOOGLETRANSLATE(D324, ""en"", ""hi"")"),"अ) गिल्ली को खेल में शामिल माना जाता है।")</f>
        <v>अ) गिल्ली को खेल में शामिल माना जाता है।</v>
      </c>
    </row>
    <row r="325" ht="22.5" customHeight="1">
      <c r="A325" s="2">
        <v>324.0</v>
      </c>
      <c r="B325" s="3" t="s">
        <v>11918</v>
      </c>
      <c r="C325" s="3" t="s">
        <v>11919</v>
      </c>
      <c r="D325" s="3" t="s">
        <v>11314</v>
      </c>
      <c r="F325" s="5" t="str">
        <f>IFERROR(__xludf.DUMMYFUNCTION("GOOGLETRANSLATE(A325, ""en"", ""hi"")"),"324")</f>
        <v>324</v>
      </c>
      <c r="G325" s="5" t="str">
        <f>IFERROR(__xludf.DUMMYFUNCTION("GOOGLETRANSLATE(B325, ""en"", ""hi"")"),"खिलाड़ी WWW गिल्ली पर वार करता है और वह मुड़े हुए कागज़ों के ढेर से ढकी सतह पर गिरती है। इस वार का नियम क्या है?")</f>
        <v>खिलाड़ी WWW गिल्ली पर वार करता है और वह मुड़े हुए कागज़ों के ढेर से ढकी सतह पर गिरती है। इस वार का नियम क्या है?</v>
      </c>
      <c r="H325" s="5" t="str">
        <f>IFERROR(__xludf.DUMMYFUNCTION("GOOGLETRANSLATE(C325, ""en"", ""hi"")"),"A) गिल्ली को सीमा से बाहर माना जाता है। , B) गिल्ली को खेल में माना जाता है। , C) कागज साफ होने तक खेल को रोक दिया जाता है। , D) खिलाड़ी WWW को एक और मौका दिया जाता है।")</f>
        <v>A) गिल्ली को सीमा से बाहर माना जाता है। , B) गिल्ली को खेल में माना जाता है। , C) कागज साफ होने तक खेल को रोक दिया जाता है। , D) खिलाड़ी WWW को एक और मौका दिया जाता है।</v>
      </c>
      <c r="I325" s="5" t="str">
        <f>IFERROR(__xludf.DUMMYFUNCTION("GOOGLETRANSLATE(D325, ""en"", ""hi"")"),"अ) गिल्ली को सीमा से बाहर माना जाता है।")</f>
        <v>अ) गिल्ली को सीमा से बाहर माना जाता है।</v>
      </c>
    </row>
    <row r="326" ht="22.5" customHeight="1">
      <c r="A326" s="2">
        <v>325.0</v>
      </c>
      <c r="B326" s="3" t="s">
        <v>11920</v>
      </c>
      <c r="C326" s="3" t="s">
        <v>11921</v>
      </c>
      <c r="D326" s="3" t="s">
        <v>11266</v>
      </c>
      <c r="F326" s="5" t="str">
        <f>IFERROR(__xludf.DUMMYFUNCTION("GOOGLETRANSLATE(A326, ""en"", ""hi"")"),"325")</f>
        <v>325</v>
      </c>
      <c r="G326" s="5" t="str">
        <f>IFERROR(__xludf.DUMMYFUNCTION("GOOGLETRANSLATE(B326, ""en"", ""hi"")"),"खिलाड़ी XXX गिल्ली को मारता है और वह गीली पत्तियों की परत से ढकी सतह पर गिरती है। इस हिट के लिए उपयुक्त नियम क्या है?")</f>
        <v>खिलाड़ी XXX गिल्ली को मारता है और वह गीली पत्तियों की परत से ढकी सतह पर गिरती है। इस हिट के लिए उपयुक्त नियम क्या है?</v>
      </c>
      <c r="H326" s="5" t="str">
        <f>IFERROR(__xludf.DUMMYFUNCTION("GOOGLETRANSLATE(C326, ""en"", ""hi"")"),"A) गिल्ली को खेल में माना जाता है। , B) गिल्ली को सीमा से बाहर माना जाता है। , C) पत्तों के साफ होने तक खेल को रोक दिया जाता है। , D) खिलाड़ी XXX को एक और मौका दिया जाता है।")</f>
        <v>A) गिल्ली को खेल में माना जाता है। , B) गिल्ली को सीमा से बाहर माना जाता है। , C) पत्तों के साफ होने तक खेल को रोक दिया जाता है। , D) खिलाड़ी XXX को एक और मौका दिया जाता है।</v>
      </c>
      <c r="I326" s="5" t="str">
        <f>IFERROR(__xludf.DUMMYFUNCTION("GOOGLETRANSLATE(D326, ""en"", ""hi"")"),"बी) गिल्ली को सीमा से बाहर माना जाता है।")</f>
        <v>बी) गिल्ली को सीमा से बाहर माना जाता है।</v>
      </c>
    </row>
    <row r="327" ht="22.5" customHeight="1">
      <c r="A327" s="2">
        <v>326.0</v>
      </c>
      <c r="B327" s="3" t="s">
        <v>11922</v>
      </c>
      <c r="C327" s="3" t="s">
        <v>11923</v>
      </c>
      <c r="D327" s="3" t="s">
        <v>11278</v>
      </c>
      <c r="F327" s="5" t="str">
        <f>IFERROR(__xludf.DUMMYFUNCTION("GOOGLETRANSLATE(A327, ""en"", ""hi"")"),"326")</f>
        <v>326</v>
      </c>
      <c r="G327" s="5" t="str">
        <f>IFERROR(__xludf.DUMMYFUNCTION("GOOGLETRANSLATE(B327, ""en"", ""hi"")"),"खिलाड़ी YYY गिल्ली मारता है और वह ताज़ी घास की परत से ढकी सतह पर गिरती है। इस हिट का मूल्यांकन कैसे किया जाना चाहिए?")</f>
        <v>खिलाड़ी YYY गिल्ली मारता है और वह ताज़ी घास की परत से ढकी सतह पर गिरती है। इस हिट का मूल्यांकन कैसे किया जाना चाहिए?</v>
      </c>
      <c r="H327" s="5" t="str">
        <f>IFERROR(__xludf.DUMMYFUNCTION("GOOGLETRANSLATE(C327, ""en"", ""hi"")"),"A) गिल्ली को खेल में माना जाता है। , B) गिल्ली को सीमा से बाहर माना जाता है। , C) खेल को तब तक रोक दिया जाता है जब तक कि क्लिपिंग साफ़ नहीं हो जाती। , D) खिलाड़ी YYY को एक और मौका दिया जाता है।")</f>
        <v>A) गिल्ली को खेल में माना जाता है। , B) गिल्ली को सीमा से बाहर माना जाता है। , C) खेल को तब तक रोक दिया जाता है जब तक कि क्लिपिंग साफ़ नहीं हो जाती। , D) खिलाड़ी YYY को एक और मौका दिया जाता है।</v>
      </c>
      <c r="I327" s="5" t="str">
        <f>IFERROR(__xludf.DUMMYFUNCTION("GOOGLETRANSLATE(D327, ""en"", ""hi"")"),"अ) गिल्ली को खेल में शामिल माना जाता है।")</f>
        <v>अ) गिल्ली को खेल में शामिल माना जाता है।</v>
      </c>
    </row>
    <row r="328" ht="22.5" customHeight="1">
      <c r="A328" s="2">
        <v>327.0</v>
      </c>
      <c r="B328" s="3" t="s">
        <v>11924</v>
      </c>
      <c r="C328" s="3" t="s">
        <v>11925</v>
      </c>
      <c r="D328" s="3" t="s">
        <v>11314</v>
      </c>
      <c r="F328" s="5" t="str">
        <f>IFERROR(__xludf.DUMMYFUNCTION("GOOGLETRANSLATE(A328, ""en"", ""hi"")"),"327")</f>
        <v>327</v>
      </c>
      <c r="G328" s="5" t="str">
        <f>IFERROR(__xludf.DUMMYFUNCTION("GOOGLETRANSLATE(B328, ""en"", ""hi"")"),"खिलाड़ी ZZZ गिल्ली को मारता है और वह रेत की बोरियों के एक बड़े ढेर से घिरी सतह पर गिरती है। इस स्थिति में क्या नियम है?")</f>
        <v>खिलाड़ी ZZZ गिल्ली को मारता है और वह रेत की बोरियों के एक बड़े ढेर से घिरी सतह पर गिरती है। इस स्थिति में क्या नियम है?</v>
      </c>
      <c r="H328" s="5" t="str">
        <f>IFERROR(__xludf.DUMMYFUNCTION("GOOGLETRANSLATE(C328, ""en"", ""hi"")"),"A) गिल्ली को खेल से बाहर माना जाता है। , B) गिल्ली को खेल में माना जाता है। , C) खेल को तब तक रोक दिया जाता है जब तक कि रेत की बोरियां हटा नहीं दी जाती हैं। , D) खिलाड़ी ZZZ को एक और मौका दिया जाता है।")</f>
        <v>A) गिल्ली को खेल से बाहर माना जाता है। , B) गिल्ली को खेल में माना जाता है। , C) खेल को तब तक रोक दिया जाता है जब तक कि रेत की बोरियां हटा नहीं दी जाती हैं। , D) खिलाड़ी ZZZ को एक और मौका दिया जाता है।</v>
      </c>
      <c r="I328" s="5" t="str">
        <f>IFERROR(__xludf.DUMMYFUNCTION("GOOGLETRANSLATE(D328, ""en"", ""hi"")"),"अ) गिल्ली को सीमा से बाहर माना जाता है।")</f>
        <v>अ) गिल्ली को सीमा से बाहर माना जाता है।</v>
      </c>
    </row>
    <row r="329" ht="22.5" customHeight="1">
      <c r="A329" s="2">
        <v>328.0</v>
      </c>
      <c r="B329" s="3" t="s">
        <v>11926</v>
      </c>
      <c r="C329" s="3" t="s">
        <v>11927</v>
      </c>
      <c r="D329" s="3" t="s">
        <v>11266</v>
      </c>
      <c r="F329" s="5" t="str">
        <f>IFERROR(__xludf.DUMMYFUNCTION("GOOGLETRANSLATE(A329, ""en"", ""hi"")"),"328")</f>
        <v>328</v>
      </c>
      <c r="G329" s="5" t="str">
        <f>IFERROR(__xludf.DUMMYFUNCTION("GOOGLETRANSLATE(B329, ""en"", ""hi"")"),"खिलाड़ी AAA गिल्ली मारता है और वह गीली घास और कीचड़ से ढकी सतह पर गिरती है। इस हिट का नियम क्या है?")</f>
        <v>खिलाड़ी AAA गिल्ली मारता है और वह गीली घास और कीचड़ से ढकी सतह पर गिरती है। इस हिट का नियम क्या है?</v>
      </c>
      <c r="H329" s="5" t="str">
        <f>IFERROR(__xludf.DUMMYFUNCTION("GOOGLETRANSLATE(C329, ""en"", ""hi"")"),"A) गिल्ली को खेल में माना जाता है। , B) गिल्ली को सीमा से बाहर माना जाता है। , C) घास और कीचड़ साफ होने तक खेल को रोक दिया जाता है। , D) खिलाड़ी AAA को एक और मौका दिया जाता है।")</f>
        <v>A) गिल्ली को खेल में माना जाता है। , B) गिल्ली को सीमा से बाहर माना जाता है। , C) घास और कीचड़ साफ होने तक खेल को रोक दिया जाता है। , D) खिलाड़ी AAA को एक और मौका दिया जाता है।</v>
      </c>
      <c r="I329" s="5" t="str">
        <f>IFERROR(__xludf.DUMMYFUNCTION("GOOGLETRANSLATE(D329, ""en"", ""hi"")"),"बी) गिल्ली को सीमा से बाहर माना जाता है।")</f>
        <v>बी) गिल्ली को सीमा से बाहर माना जाता है।</v>
      </c>
    </row>
    <row r="330" ht="22.5" customHeight="1">
      <c r="A330" s="2">
        <v>329.0</v>
      </c>
      <c r="B330" s="3" t="s">
        <v>11928</v>
      </c>
      <c r="C330" s="3" t="s">
        <v>11929</v>
      </c>
      <c r="D330" s="3" t="s">
        <v>11314</v>
      </c>
      <c r="F330" s="5" t="str">
        <f>IFERROR(__xludf.DUMMYFUNCTION("GOOGLETRANSLATE(A330, ""en"", ""hi"")"),"329")</f>
        <v>329</v>
      </c>
      <c r="G330" s="5" t="str">
        <f>IFERROR(__xludf.DUMMYFUNCTION("GOOGLETRANSLATE(B330, ""en"", ""hi"")"),"खिलाड़ी BBB गिल्ली पर वार करता है और वह बजरी और मलबे की परत से ढकी सतह पर गिरती है। इस वार की व्याख्या कैसे की जानी चाहिए?")</f>
        <v>खिलाड़ी BBB गिल्ली पर वार करता है और वह बजरी और मलबे की परत से ढकी सतह पर गिरती है। इस वार की व्याख्या कैसे की जानी चाहिए?</v>
      </c>
      <c r="H330" s="5" t="str">
        <f>IFERROR(__xludf.DUMMYFUNCTION("GOOGLETRANSLATE(C330, ""en"", ""hi"")"),"A) गिल्ली को सीमा से बाहर माना जाता है। , B) गिल्ली को खेल में माना जाता है। , C) खेल को तब तक रोक दिया जाता है जब तक बजरी और मलबा साफ नहीं हो जाता। , D) खिलाड़ी BBB को एक और मौका दिया जाता है।")</f>
        <v>A) गिल्ली को सीमा से बाहर माना जाता है। , B) गिल्ली को खेल में माना जाता है। , C) खेल को तब तक रोक दिया जाता है जब तक बजरी और मलबा साफ नहीं हो जाता। , D) खिलाड़ी BBB को एक और मौका दिया जाता है।</v>
      </c>
      <c r="I330" s="5" t="str">
        <f>IFERROR(__xludf.DUMMYFUNCTION("GOOGLETRANSLATE(D330, ""en"", ""hi"")"),"अ) गिल्ली को सीमा से बाहर माना जाता है।")</f>
        <v>अ) गिल्ली को सीमा से बाहर माना जाता है।</v>
      </c>
    </row>
    <row r="331" ht="22.5" customHeight="1">
      <c r="A331" s="2">
        <v>330.0</v>
      </c>
      <c r="B331" s="3" t="s">
        <v>11930</v>
      </c>
      <c r="C331" s="3" t="s">
        <v>11931</v>
      </c>
      <c r="D331" s="3" t="s">
        <v>11266</v>
      </c>
      <c r="F331" s="5" t="str">
        <f>IFERROR(__xludf.DUMMYFUNCTION("GOOGLETRANSLATE(A331, ""en"", ""hi"")"),"330")</f>
        <v>330</v>
      </c>
      <c r="G331" s="5" t="str">
        <f>IFERROR(__xludf.DUMMYFUNCTION("GOOGLETRANSLATE(B331, ""en"", ""hi"")"),"खिलाड़ी CCC गिल्ली मारता है और वह पुरानी ईंटों के ढेर से ढकी सतह पर गिरती है। इस स्थिति में क्या नियम है?")</f>
        <v>खिलाड़ी CCC गिल्ली मारता है और वह पुरानी ईंटों के ढेर से ढकी सतह पर गिरती है। इस स्थिति में क्या नियम है?</v>
      </c>
      <c r="H331" s="5" t="str">
        <f>IFERROR(__xludf.DUMMYFUNCTION("GOOGLETRANSLATE(C331, ""en"", ""hi"")"),"A) गिल्ली को खेल में माना जाता है। , B) गिल्ली को सीमा से बाहर माना जाता है। , C) ईंटों को साफ करने तक खेल को रोक दिया जाता है। , D) खिलाड़ी CCC को एक और मौका दिया जाता है।")</f>
        <v>A) गिल्ली को खेल में माना जाता है। , B) गिल्ली को सीमा से बाहर माना जाता है। , C) ईंटों को साफ करने तक खेल को रोक दिया जाता है। , D) खिलाड़ी CCC को एक और मौका दिया जाता है।</v>
      </c>
      <c r="I331" s="5" t="str">
        <f>IFERROR(__xludf.DUMMYFUNCTION("GOOGLETRANSLATE(D331, ""en"", ""hi"")"),"बी) गिल्ली को सीमा से बाहर माना जाता है।")</f>
        <v>बी) गिल्ली को सीमा से बाहर माना जाता है।</v>
      </c>
    </row>
    <row r="332" ht="22.5" customHeight="1">
      <c r="A332" s="2">
        <v>331.0</v>
      </c>
      <c r="B332" s="3" t="s">
        <v>11932</v>
      </c>
      <c r="C332" s="3" t="s">
        <v>11933</v>
      </c>
      <c r="D332" s="3" t="s">
        <v>11376</v>
      </c>
      <c r="F332" s="5" t="str">
        <f>IFERROR(__xludf.DUMMYFUNCTION("GOOGLETRANSLATE(A332, ""en"", ""hi"")"),"331")</f>
        <v>331</v>
      </c>
      <c r="G332" s="5" t="str">
        <f>IFERROR(__xludf.DUMMYFUNCTION("GOOGLETRANSLATE(B332, ""en"", ""hi"")"),"खिलाड़ी DDD गिल्ली पर वार करता है और वह गीली रेत की परत से ढकी सतह पर गिरती है। इस वार का मूल्यांकन कैसे किया जाना चाहिए?")</f>
        <v>खिलाड़ी DDD गिल्ली पर वार करता है और वह गीली रेत की परत से ढकी सतह पर गिरती है। इस वार का मूल्यांकन कैसे किया जाना चाहिए?</v>
      </c>
      <c r="H332" s="5" t="str">
        <f>IFERROR(__xludf.DUMMYFUNCTION("GOOGLETRANSLATE(C332, ""en"", ""hi"")"),"A) गिल्ली को खेल से बाहर माना जाता है। , B) गिल्ली को खेल में माना जाता है। , C) रेत साफ होने तक खेल को रोक दिया जाता है। , D) खिलाड़ी DDD को एक और मौका दिया जाता है।")</f>
        <v>A) गिल्ली को खेल से बाहर माना जाता है। , B) गिल्ली को खेल में माना जाता है। , C) रेत साफ होने तक खेल को रोक दिया जाता है। , D) खिलाड़ी DDD को एक और मौका दिया जाता है।</v>
      </c>
      <c r="I332" s="5" t="str">
        <f>IFERROR(__xludf.DUMMYFUNCTION("GOOGLETRANSLATE(D332, ""en"", ""hi"")"),"बी) गिल्ली को खेल में शामिल माना जाता है।")</f>
        <v>बी) गिल्ली को खेल में शामिल माना जाता है।</v>
      </c>
    </row>
    <row r="333" ht="22.5" customHeight="1">
      <c r="A333" s="2">
        <v>332.0</v>
      </c>
      <c r="B333" s="3" t="s">
        <v>11934</v>
      </c>
      <c r="C333" s="3" t="s">
        <v>11935</v>
      </c>
      <c r="D333" s="3" t="s">
        <v>11376</v>
      </c>
      <c r="F333" s="5" t="str">
        <f>IFERROR(__xludf.DUMMYFUNCTION("GOOGLETRANSLATE(A333, ""en"", ""hi"")"),"332")</f>
        <v>332</v>
      </c>
      <c r="G333" s="5" t="str">
        <f>IFERROR(__xludf.DUMMYFUNCTION("GOOGLETRANSLATE(B333, ""en"", ""hi"")"),"खिलाड़ी EEE गिल्ली मारता है और वह पुराने कपड़ों की परत से ढकी सतह पर गिरती है। इस हिट का नियम क्या है?")</f>
        <v>खिलाड़ी EEE गिल्ली मारता है और वह पुराने कपड़ों की परत से ढकी सतह पर गिरती है। इस हिट का नियम क्या है?</v>
      </c>
      <c r="H333" s="5" t="str">
        <f>IFERROR(__xludf.DUMMYFUNCTION("GOOGLETRANSLATE(C333, ""en"", ""hi"")"),"A) गिल्ली को सीमा से बाहर माना जाता है। , B) गिल्ली को खेल में माना जाता है। , C) खेल तब तक रोक दिया जाता है जब तक कपड़े साफ नहीं हो जाते। , D) खिलाड़ी EEE को एक और मौका दिया जाता है।")</f>
        <v>A) गिल्ली को सीमा से बाहर माना जाता है। , B) गिल्ली को खेल में माना जाता है। , C) खेल तब तक रोक दिया जाता है जब तक कपड़े साफ नहीं हो जाते। , D) खिलाड़ी EEE को एक और मौका दिया जाता है।</v>
      </c>
      <c r="I333" s="5" t="str">
        <f>IFERROR(__xludf.DUMMYFUNCTION("GOOGLETRANSLATE(D333, ""en"", ""hi"")"),"बी) गिल्ली को खेल में शामिल माना जाता है।")</f>
        <v>बी) गिल्ली को खेल में शामिल माना जाता है।</v>
      </c>
    </row>
    <row r="334" ht="22.5" customHeight="1">
      <c r="A334" s="2">
        <v>333.0</v>
      </c>
      <c r="B334" s="3" t="s">
        <v>11936</v>
      </c>
      <c r="C334" s="3" t="s">
        <v>11937</v>
      </c>
      <c r="D334" s="3" t="s">
        <v>11266</v>
      </c>
      <c r="F334" s="5" t="str">
        <f>IFERROR(__xludf.DUMMYFUNCTION("GOOGLETRANSLATE(A334, ""en"", ""hi"")"),"333")</f>
        <v>333</v>
      </c>
      <c r="G334" s="5" t="str">
        <f>IFERROR(__xludf.DUMMYFUNCTION("GOOGLETRANSLATE(B334, ""en"", ""hi"")"),"खिलाड़ी FFF गिल्ली को मारता है और वह गिरी हुई शाखाओं और टहनियों की परत से ढकी सतह पर गिरती है। इस हिट का नियम क्या होना चाहिए?")</f>
        <v>खिलाड़ी FFF गिल्ली को मारता है और वह गिरी हुई शाखाओं और टहनियों की परत से ढकी सतह पर गिरती है। इस हिट का नियम क्या होना चाहिए?</v>
      </c>
      <c r="H334" s="5" t="str">
        <f>IFERROR(__xludf.DUMMYFUNCTION("GOOGLETRANSLATE(C334, ""en"", ""hi"")"),"A) गिल्ली को खेल में माना जाता है। , B) गिल्ली को सीमा से बाहर माना जाता है। , C) शाखाओं और टहनियों को साफ होने तक खेल को रोक दिया जाता है। , D) खिलाड़ी FFF को एक और मौका दिया जाता है।")</f>
        <v>A) गिल्ली को खेल में माना जाता है। , B) गिल्ली को सीमा से बाहर माना जाता है। , C) शाखाओं और टहनियों को साफ होने तक खेल को रोक दिया जाता है। , D) खिलाड़ी FFF को एक और मौका दिया जाता है।</v>
      </c>
      <c r="I334" s="5" t="str">
        <f>IFERROR(__xludf.DUMMYFUNCTION("GOOGLETRANSLATE(D334, ""en"", ""hi"")"),"बी) गिल्ली को सीमा से बाहर माना जाता है।")</f>
        <v>बी) गिल्ली को सीमा से बाहर माना जाता है।</v>
      </c>
    </row>
    <row r="335" ht="22.5" customHeight="1">
      <c r="A335" s="2">
        <v>334.0</v>
      </c>
      <c r="B335" s="3" t="s">
        <v>11938</v>
      </c>
      <c r="C335" s="3" t="s">
        <v>11939</v>
      </c>
      <c r="D335" s="3" t="s">
        <v>11314</v>
      </c>
      <c r="F335" s="5" t="str">
        <f>IFERROR(__xludf.DUMMYFUNCTION("GOOGLETRANSLATE(A335, ""en"", ""hi"")"),"334")</f>
        <v>334</v>
      </c>
      <c r="G335" s="5" t="str">
        <f>IFERROR(__xludf.DUMMYFUNCTION("GOOGLETRANSLATE(B335, ""en"", ""hi"")"),"खिलाड़ी GGG गिल्ली पर वार करता है और वह धातु के टुकड़ों से ढकी सतह पर गिरती है। इस वार का मूल्यांकन कैसे किया जाना चाहिए?")</f>
        <v>खिलाड़ी GGG गिल्ली पर वार करता है और वह धातु के टुकड़ों से ढकी सतह पर गिरती है। इस वार का मूल्यांकन कैसे किया जाना चाहिए?</v>
      </c>
      <c r="H335" s="5" t="str">
        <f>IFERROR(__xludf.DUMMYFUNCTION("GOOGLETRANSLATE(C335, ""en"", ""hi"")"),"A) गिल्ली को खेल से बाहर माना जाता है। , B) गिल्ली को खेल में माना जाता है। , C) धातु के टुकड़े के साफ होने तक खेल को रोक दिया जाता है। , D) खिलाड़ी GGG को एक और मौका दिया जाता है।")</f>
        <v>A) गिल्ली को खेल से बाहर माना जाता है। , B) गिल्ली को खेल में माना जाता है। , C) धातु के टुकड़े के साफ होने तक खेल को रोक दिया जाता है। , D) खिलाड़ी GGG को एक और मौका दिया जाता है।</v>
      </c>
      <c r="I335" s="5" t="str">
        <f>IFERROR(__xludf.DUMMYFUNCTION("GOOGLETRANSLATE(D335, ""en"", ""hi"")"),"अ) गिल्ली को सीमा से बाहर माना जाता है।")</f>
        <v>अ) गिल्ली को सीमा से बाहर माना जाता है।</v>
      </c>
    </row>
    <row r="336" ht="22.5" customHeight="1">
      <c r="A336" s="2">
        <v>335.0</v>
      </c>
      <c r="B336" s="3" t="s">
        <v>11940</v>
      </c>
      <c r="C336" s="3" t="s">
        <v>11941</v>
      </c>
      <c r="D336" s="3" t="s">
        <v>11266</v>
      </c>
      <c r="F336" s="5" t="str">
        <f>IFERROR(__xludf.DUMMYFUNCTION("GOOGLETRANSLATE(A336, ""en"", ""hi"")"),"335")</f>
        <v>335</v>
      </c>
      <c r="G336" s="5" t="str">
        <f>IFERROR(__xludf.DUMMYFUNCTION("GOOGLETRANSLATE(B336, ""en"", ""hi"")"),"खिलाड़ी HHH गिल्ली मारता है और वह कुचले हुए पत्तों की परत से ढकी सतह पर गिरती है। इस हिट के लिए उपयुक्त नियम क्या है?")</f>
        <v>खिलाड़ी HHH गिल्ली मारता है और वह कुचले हुए पत्तों की परत से ढकी सतह पर गिरती है। इस हिट के लिए उपयुक्त नियम क्या है?</v>
      </c>
      <c r="H336" s="5" t="str">
        <f>IFERROR(__xludf.DUMMYFUNCTION("GOOGLETRANSLATE(C336, ""en"", ""hi"")"),"A) गिल्ली को खेल में माना जाता है। , B) गिल्ली को सीमा से बाहर माना जाता है। , C) पत्ते साफ होने तक खेल रोक दिया जाता है। , D) खिलाड़ी HHH को एक और मौका दिया जाता है।")</f>
        <v>A) गिल्ली को खेल में माना जाता है। , B) गिल्ली को सीमा से बाहर माना जाता है। , C) पत्ते साफ होने तक खेल रोक दिया जाता है। , D) खिलाड़ी HHH को एक और मौका दिया जाता है।</v>
      </c>
      <c r="I336" s="5" t="str">
        <f>IFERROR(__xludf.DUMMYFUNCTION("GOOGLETRANSLATE(D336, ""en"", ""hi"")"),"बी) गिल्ली को सीमा से बाहर माना जाता है।")</f>
        <v>बी) गिल्ली को सीमा से बाहर माना जाता है।</v>
      </c>
    </row>
    <row r="337" ht="22.5" customHeight="1">
      <c r="A337" s="2">
        <v>336.0</v>
      </c>
      <c r="B337" s="3" t="s">
        <v>11942</v>
      </c>
      <c r="C337" s="3" t="s">
        <v>11943</v>
      </c>
      <c r="D337" s="3" t="s">
        <v>11266</v>
      </c>
      <c r="F337" s="5" t="str">
        <f>IFERROR(__xludf.DUMMYFUNCTION("GOOGLETRANSLATE(A337, ""en"", ""hi"")"),"336")</f>
        <v>336</v>
      </c>
      <c r="G337" s="5" t="str">
        <f>IFERROR(__xludf.DUMMYFUNCTION("GOOGLETRANSLATE(B337, ""en"", ""hi"")"),"खिलाड़ी IJJ गिल्ली मारता है और वह बर्फ़ के टुकड़ों की परत से ढकी सतह पर गिरती है। इस हिट के लिए उपयुक्त नियम क्या है?")</f>
        <v>खिलाड़ी IJJ गिल्ली मारता है और वह बर्फ़ के टुकड़ों की परत से ढकी सतह पर गिरती है। इस हिट के लिए उपयुक्त नियम क्या है?</v>
      </c>
      <c r="H337" s="5" t="str">
        <f>IFERROR(__xludf.DUMMYFUNCTION("GOOGLETRANSLATE(C337, ""en"", ""hi"")"),"A) गिल्ली को खेल में माना जाता है। , B) गिल्ली को खेल से बाहर माना जाता है। , C) बर्फ के टुकड़े हटा दिए जाने तक खेल को रोक दिया जाता है। , D) खिलाड़ी IJJ को एक और मौका दिया जाता है।")</f>
        <v>A) गिल्ली को खेल में माना जाता है। , B) गिल्ली को खेल से बाहर माना जाता है। , C) बर्फ के टुकड़े हटा दिए जाने तक खेल को रोक दिया जाता है। , D) खिलाड़ी IJJ को एक और मौका दिया जाता है।</v>
      </c>
      <c r="I337" s="5" t="str">
        <f>IFERROR(__xludf.DUMMYFUNCTION("GOOGLETRANSLATE(D337, ""en"", ""hi"")"),"बी) गिल्ली को सीमा से बाहर माना जाता है।")</f>
        <v>बी) गिल्ली को सीमा से बाहर माना जाता है।</v>
      </c>
    </row>
    <row r="338" ht="22.5" customHeight="1">
      <c r="A338" s="2">
        <v>337.0</v>
      </c>
      <c r="B338" s="3" t="s">
        <v>11944</v>
      </c>
      <c r="C338" s="3" t="s">
        <v>11945</v>
      </c>
      <c r="D338" s="3" t="s">
        <v>11278</v>
      </c>
      <c r="F338" s="5" t="str">
        <f>IFERROR(__xludf.DUMMYFUNCTION("GOOGLETRANSLATE(A338, ""en"", ""hi"")"),"337")</f>
        <v>337</v>
      </c>
      <c r="G338" s="5" t="str">
        <f>IFERROR(__xludf.DUMMYFUNCTION("GOOGLETRANSLATE(B338, ""en"", ""hi"")"),"खिलाड़ी JJJ गिल्ली मारता है और वह रेत और छोटे-छोटे कंकड़ों से ढकी सतह पर गिरती है। इस हिट का मूल्यांकन कैसे किया जाना चाहिए?")</f>
        <v>खिलाड़ी JJJ गिल्ली मारता है और वह रेत और छोटे-छोटे कंकड़ों से ढकी सतह पर गिरती है। इस हिट का मूल्यांकन कैसे किया जाना चाहिए?</v>
      </c>
      <c r="H338" s="5" t="str">
        <f>IFERROR(__xludf.DUMMYFUNCTION("GOOGLETRANSLATE(C338, ""en"", ""hi"")"),"A) गिल्ली को खेल में माना जाता है। , B) गिल्ली को सीमा से बाहर माना जाता है। , C) कंकड़ हटा दिए जाने तक खेल को रोक दिया जाता है। , D) खिलाड़ी JJJ को एक और मौका दिया जाता है।")</f>
        <v>A) गिल्ली को खेल में माना जाता है। , B) गिल्ली को सीमा से बाहर माना जाता है। , C) कंकड़ हटा दिए जाने तक खेल को रोक दिया जाता है। , D) खिलाड़ी JJJ को एक और मौका दिया जाता है।</v>
      </c>
      <c r="I338" s="5" t="str">
        <f>IFERROR(__xludf.DUMMYFUNCTION("GOOGLETRANSLATE(D338, ""en"", ""hi"")"),"अ) गिल्ली को खेल में शामिल माना जाता है।")</f>
        <v>अ) गिल्ली को खेल में शामिल माना जाता है।</v>
      </c>
    </row>
    <row r="339" ht="22.5" customHeight="1">
      <c r="A339" s="2">
        <v>338.0</v>
      </c>
      <c r="B339" s="3" t="s">
        <v>11946</v>
      </c>
      <c r="C339" s="3" t="s">
        <v>11843</v>
      </c>
      <c r="D339" s="3" t="s">
        <v>11314</v>
      </c>
      <c r="F339" s="5" t="str">
        <f>IFERROR(__xludf.DUMMYFUNCTION("GOOGLETRANSLATE(A339, ""en"", ""hi"")"),"338")</f>
        <v>338</v>
      </c>
      <c r="G339" s="5" t="str">
        <f>IFERROR(__xludf.DUMMYFUNCTION("GOOGLETRANSLATE(B339, ""en"", ""hi"")"),"खिलाड़ी केकेके गिल्ली मारता है और वह बर्फ की परत से ढकी सतह पर गिरती है। इस स्थिति में क्या नियम है?")</f>
        <v>खिलाड़ी केकेके गिल्ली मारता है और वह बर्फ की परत से ढकी सतह पर गिरती है। इस स्थिति में क्या नियम है?</v>
      </c>
      <c r="H339" s="5" t="str">
        <f>IFERROR(__xludf.DUMMYFUNCTION("GOOGLETRANSLATE(C339, ""en"", ""hi"")"),"A) गिल्ली को सीमा से बाहर माना जाता है। , B) गिल्ली को खेल में माना जाता है। , C) बर्फ साफ होने तक खेल को रोक दिया जाता है। , D) खिलाड़ी केकेके को एक और मौका दिया जाता है।")</f>
        <v>A) गिल्ली को सीमा से बाहर माना जाता है। , B) गिल्ली को खेल में माना जाता है। , C) बर्फ साफ होने तक खेल को रोक दिया जाता है। , D) खिलाड़ी केकेके को एक और मौका दिया जाता है।</v>
      </c>
      <c r="I339" s="5" t="str">
        <f>IFERROR(__xludf.DUMMYFUNCTION("GOOGLETRANSLATE(D339, ""en"", ""hi"")"),"अ) गिल्ली को सीमा से बाहर माना जाता है।")</f>
        <v>अ) गिल्ली को सीमा से बाहर माना जाता है।</v>
      </c>
    </row>
    <row r="340" ht="22.5" customHeight="1">
      <c r="A340" s="2">
        <v>339.0</v>
      </c>
      <c r="B340" s="3" t="s">
        <v>11947</v>
      </c>
      <c r="C340" s="3" t="s">
        <v>11948</v>
      </c>
      <c r="D340" s="3" t="s">
        <v>11266</v>
      </c>
      <c r="F340" s="5" t="str">
        <f>IFERROR(__xludf.DUMMYFUNCTION("GOOGLETRANSLATE(A340, ""en"", ""hi"")"),"339")</f>
        <v>339</v>
      </c>
      <c r="G340" s="5" t="str">
        <f>IFERROR(__xludf.DUMMYFUNCTION("GOOGLETRANSLATE(B340, ""en"", ""hi"")"),"खिलाड़ी LLL गिल्ली मारता है और वह पानी के एक बड़े गड्ढे से अवरुद्ध सतह पर गिरती है। इस हिट का नियम क्या होना चाहिए?")</f>
        <v>खिलाड़ी LLL गिल्ली मारता है और वह पानी के एक बड़े गड्ढे से अवरुद्ध सतह पर गिरती है। इस हिट का नियम क्या होना चाहिए?</v>
      </c>
      <c r="H340" s="5" t="str">
        <f>IFERROR(__xludf.DUMMYFUNCTION("GOOGLETRANSLATE(C340, ""en"", ""hi"")"),"A) गिल्ली को खेल में माना जाता है। , B) गिल्ली को सीमा से बाहर माना जाता है। , C) पानी हटाए जाने तक खेल को रोक दिया जाता है। , D) खिलाड़ी LLL को एक और मौका दिया जाता है।")</f>
        <v>A) गिल्ली को खेल में माना जाता है। , B) गिल्ली को सीमा से बाहर माना जाता है। , C) पानी हटाए जाने तक खेल को रोक दिया जाता है। , D) खिलाड़ी LLL को एक और मौका दिया जाता है।</v>
      </c>
      <c r="I340" s="5" t="str">
        <f>IFERROR(__xludf.DUMMYFUNCTION("GOOGLETRANSLATE(D340, ""en"", ""hi"")"),"बी) गिल्ली को सीमा से बाहर माना जाता है।")</f>
        <v>बी) गिल्ली को सीमा से बाहर माना जाता है।</v>
      </c>
    </row>
    <row r="341" ht="22.5" customHeight="1">
      <c r="A341" s="2">
        <v>340.0</v>
      </c>
      <c r="B341" s="3" t="s">
        <v>11949</v>
      </c>
      <c r="C341" s="3" t="s">
        <v>11950</v>
      </c>
      <c r="D341" s="3" t="s">
        <v>11376</v>
      </c>
      <c r="F341" s="5" t="str">
        <f>IFERROR(__xludf.DUMMYFUNCTION("GOOGLETRANSLATE(A341, ""en"", ""hi"")"),"340")</f>
        <v>340</v>
      </c>
      <c r="G341" s="5" t="str">
        <f>IFERROR(__xludf.DUMMYFUNCTION("GOOGLETRANSLATE(B341, ""en"", ""hi"")"),"खिलाड़ी MMM से गिल्ली मारता है और वह पत्तों और टहनियों की परत से ढकी सतह पर गिरती है। इस हिट के लिए उपयुक्त नियम क्या है?")</f>
        <v>खिलाड़ी MMM से गिल्ली मारता है और वह पत्तों और टहनियों की परत से ढकी सतह पर गिरती है। इस हिट के लिए उपयुक्त नियम क्या है?</v>
      </c>
      <c r="H341" s="5" t="str">
        <f>IFERROR(__xludf.DUMMYFUNCTION("GOOGLETRANSLATE(C341, ""en"", ""hi"")"),"A) गिल्ली को खेल से बाहर माना जाता है। , B) गिल्ली को खेल में माना जाता है। , C) खेल को तब तक रोक दिया जाता है जब तक पत्ते और टहनियाँ साफ नहीं हो जातीं। , D) खिलाड़ी MMM को एक और मौका दिया जाता है।")</f>
        <v>A) गिल्ली को खेल से बाहर माना जाता है। , B) गिल्ली को खेल में माना जाता है। , C) खेल को तब तक रोक दिया जाता है जब तक पत्ते और टहनियाँ साफ नहीं हो जातीं। , D) खिलाड़ी MMM को एक और मौका दिया जाता है।</v>
      </c>
      <c r="I341" s="5" t="str">
        <f>IFERROR(__xludf.DUMMYFUNCTION("GOOGLETRANSLATE(D341, ""en"", ""hi"")"),"बी) गिल्ली को खेल में शामिल माना जाता है।")</f>
        <v>बी) गिल्ली को खेल में शामिल माना जाता है।</v>
      </c>
    </row>
    <row r="342" ht="22.5" customHeight="1">
      <c r="A342" s="2">
        <v>341.0</v>
      </c>
      <c r="B342" s="3" t="s">
        <v>11951</v>
      </c>
      <c r="C342" s="3" t="s">
        <v>11952</v>
      </c>
      <c r="D342" s="3" t="s">
        <v>11266</v>
      </c>
      <c r="F342" s="5" t="str">
        <f>IFERROR(__xludf.DUMMYFUNCTION("GOOGLETRANSLATE(A342, ""en"", ""hi"")"),"341")</f>
        <v>341</v>
      </c>
      <c r="G342" s="5" t="str">
        <f>IFERROR(__xludf.DUMMYFUNCTION("GOOGLETRANSLATE(B342, ""en"", ""hi"")"),"खिलाड़ी NNN गिल्ली मारता है और वह पत्थरों के ढेर से घिरी सतह पर गिरती है। इस हिट का नियम क्या होना चाहिए?")</f>
        <v>खिलाड़ी NNN गिल्ली मारता है और वह पत्थरों के ढेर से घिरी सतह पर गिरती है। इस हिट का नियम क्या होना चाहिए?</v>
      </c>
      <c r="H342" s="5" t="str">
        <f>IFERROR(__xludf.DUMMYFUNCTION("GOOGLETRANSLATE(C342, ""en"", ""hi"")"),"A) गिल्ली को खेल में माना जाता है। , B) गिल्ली को सीमा से बाहर माना जाता है। , C) खेल तब तक रोक दिया जाता है जब तक कि पत्थर हटा नहीं दिए जाते। , D) खिलाड़ी NNN को एक और मौका दिया जाता है।")</f>
        <v>A) गिल्ली को खेल में माना जाता है। , B) गिल्ली को सीमा से बाहर माना जाता है। , C) खेल तब तक रोक दिया जाता है जब तक कि पत्थर हटा नहीं दिए जाते। , D) खिलाड़ी NNN को एक और मौका दिया जाता है।</v>
      </c>
      <c r="I342" s="5" t="str">
        <f>IFERROR(__xludf.DUMMYFUNCTION("GOOGLETRANSLATE(D342, ""en"", ""hi"")"),"बी) गिल्ली को सीमा से बाहर माना जाता है।")</f>
        <v>बी) गिल्ली को सीमा से बाहर माना जाता है।</v>
      </c>
    </row>
    <row r="343" ht="22.5" customHeight="1">
      <c r="A343" s="2">
        <v>342.0</v>
      </c>
      <c r="B343" s="3" t="s">
        <v>11953</v>
      </c>
      <c r="C343" s="3" t="s">
        <v>11954</v>
      </c>
      <c r="D343" s="3" t="s">
        <v>11376</v>
      </c>
      <c r="F343" s="5" t="str">
        <f>IFERROR(__xludf.DUMMYFUNCTION("GOOGLETRANSLATE(A343, ""en"", ""hi"")"),"342")</f>
        <v>342</v>
      </c>
      <c r="G343" s="5" t="str">
        <f>IFERROR(__xludf.DUMMYFUNCTION("GOOGLETRANSLATE(B343, ""en"", ""hi"")"),"खिलाड़ी OOO गिल्ली पर वार करता है और वह घास की परत से ढकी सतह पर गिरती है। इस वार की व्याख्या कैसे की जानी चाहिए?")</f>
        <v>खिलाड़ी OOO गिल्ली पर वार करता है और वह घास की परत से ढकी सतह पर गिरती है। इस वार की व्याख्या कैसे की जानी चाहिए?</v>
      </c>
      <c r="H343" s="5" t="str">
        <f>IFERROR(__xludf.DUMMYFUNCTION("GOOGLETRANSLATE(C343, ""en"", ""hi"")"),"A) गिल्ली को सीमा से बाहर माना जाता है। , B) गिल्ली को खेल में माना जाता है। , C) घास साफ होने तक खेल को रोक दिया जाता है। , D) खिलाड़ी OOO को एक और मौका दिया जाता है।")</f>
        <v>A) गिल्ली को सीमा से बाहर माना जाता है। , B) गिल्ली को खेल में माना जाता है। , C) घास साफ होने तक खेल को रोक दिया जाता है। , D) खिलाड़ी OOO को एक और मौका दिया जाता है।</v>
      </c>
      <c r="I343" s="5" t="str">
        <f>IFERROR(__xludf.DUMMYFUNCTION("GOOGLETRANSLATE(D343, ""en"", ""hi"")"),"बी) गिल्ली को खेल में शामिल माना जाता है।")</f>
        <v>बी) गिल्ली को खेल में शामिल माना जाता है।</v>
      </c>
    </row>
    <row r="344" ht="22.5" customHeight="1">
      <c r="A344" s="2">
        <v>343.0</v>
      </c>
      <c r="B344" s="3" t="s">
        <v>11955</v>
      </c>
      <c r="C344" s="3" t="s">
        <v>11956</v>
      </c>
      <c r="D344" s="3" t="s">
        <v>11266</v>
      </c>
      <c r="F344" s="5" t="str">
        <f>IFERROR(__xludf.DUMMYFUNCTION("GOOGLETRANSLATE(A344, ""en"", ""hi"")"),"343")</f>
        <v>343</v>
      </c>
      <c r="G344" s="5" t="str">
        <f>IFERROR(__xludf.DUMMYFUNCTION("GOOGLETRANSLATE(B344, ""en"", ""hi"")"),"खिलाड़ी PPP गिल्ली मारता है और वह कीचड़ से ढकी सतह पर गिरती है। इस स्थिति में क्या नियम है?")</f>
        <v>खिलाड़ी PPP गिल्ली मारता है और वह कीचड़ से ढकी सतह पर गिरती है। इस स्थिति में क्या नियम है?</v>
      </c>
      <c r="H344" s="5" t="str">
        <f>IFERROR(__xludf.DUMMYFUNCTION("GOOGLETRANSLATE(C344, ""en"", ""hi"")"),"A) गिल्ली को खेल में माना जाता है। , B) गिल्ली को सीमा से बाहर माना जाता है। , C) कीचड़ हटने तक खेल को रोक दिया जाता है। , D) खिलाड़ी PPP को एक और मौका दिया जाता है।")</f>
        <v>A) गिल्ली को खेल में माना जाता है। , B) गिल्ली को सीमा से बाहर माना जाता है। , C) कीचड़ हटने तक खेल को रोक दिया जाता है। , D) खिलाड़ी PPP को एक और मौका दिया जाता है।</v>
      </c>
      <c r="I344" s="5" t="str">
        <f>IFERROR(__xludf.DUMMYFUNCTION("GOOGLETRANSLATE(D344, ""en"", ""hi"")"),"बी) गिल्ली को सीमा से बाहर माना जाता है।")</f>
        <v>बी) गिल्ली को सीमा से बाहर माना जाता है।</v>
      </c>
    </row>
    <row r="345" ht="22.5" customHeight="1">
      <c r="A345" s="2">
        <v>344.0</v>
      </c>
      <c r="B345" s="3" t="s">
        <v>11957</v>
      </c>
      <c r="C345" s="3" t="s">
        <v>11958</v>
      </c>
      <c r="D345" s="3" t="s">
        <v>11314</v>
      </c>
      <c r="F345" s="5" t="str">
        <f>IFERROR(__xludf.DUMMYFUNCTION("GOOGLETRANSLATE(A345, ""en"", ""hi"")"),"344")</f>
        <v>344</v>
      </c>
      <c r="G345" s="5" t="str">
        <f>IFERROR(__xludf.DUMMYFUNCTION("GOOGLETRANSLATE(B345, ""en"", ""hi"")"),"खिलाड़ी QQQ गिल्ली मारता है और वह बर्फ़ और बर्फ़ की परत से ढकी सतह पर गिरती है। इस हिट का नियम क्या है?")</f>
        <v>खिलाड़ी QQQ गिल्ली मारता है और वह बर्फ़ और बर्फ़ की परत से ढकी सतह पर गिरती है। इस हिट का नियम क्या है?</v>
      </c>
      <c r="H345" s="5" t="str">
        <f>IFERROR(__xludf.DUMMYFUNCTION("GOOGLETRANSLATE(C345, ""en"", ""hi"")"),"A) गिल्ली को सीमा से बाहर माना जाता है। , B) गिल्ली को खेल में माना जाता है। , C) खेल को तब तक रोक दिया जाता है जब तक बर्फ और बर्फ साफ नहीं हो जाती। , D) खिलाड़ी QQQ को एक और मौका दिया जाता है।")</f>
        <v>A) गिल्ली को सीमा से बाहर माना जाता है। , B) गिल्ली को खेल में माना जाता है। , C) खेल को तब तक रोक दिया जाता है जब तक बर्फ और बर्फ साफ नहीं हो जाती। , D) खिलाड़ी QQQ को एक और मौका दिया जाता है।</v>
      </c>
      <c r="I345" s="5" t="str">
        <f>IFERROR(__xludf.DUMMYFUNCTION("GOOGLETRANSLATE(D345, ""en"", ""hi"")"),"अ) गिल्ली को सीमा से बाहर माना जाता है।")</f>
        <v>अ) गिल्ली को सीमा से बाहर माना जाता है।</v>
      </c>
    </row>
    <row r="346" ht="22.5" customHeight="1">
      <c r="A346" s="2">
        <v>345.0</v>
      </c>
      <c r="B346" s="3" t="s">
        <v>11959</v>
      </c>
      <c r="C346" s="3" t="s">
        <v>11960</v>
      </c>
      <c r="D346" s="3" t="s">
        <v>11266</v>
      </c>
      <c r="F346" s="5" t="str">
        <f>IFERROR(__xludf.DUMMYFUNCTION("GOOGLETRANSLATE(A346, ""en"", ""hi"")"),"345")</f>
        <v>345</v>
      </c>
      <c r="G346" s="5" t="str">
        <f>IFERROR(__xludf.DUMMYFUNCTION("GOOGLETRANSLATE(B346, ""en"", ""hi"")"),"खिलाड़ी RRR गिल्ली मारता है और वह पत्तों और शाखाओं के ढेर से घिरी सतह पर गिरती है। इस हिट का मूल्यांकन कैसे किया जाना चाहिए?")</f>
        <v>खिलाड़ी RRR गिल्ली मारता है और वह पत्तों और शाखाओं के ढेर से घिरी सतह पर गिरती है। इस हिट का मूल्यांकन कैसे किया जाना चाहिए?</v>
      </c>
      <c r="H346" s="5" t="str">
        <f>IFERROR(__xludf.DUMMYFUNCTION("GOOGLETRANSLATE(C346, ""en"", ""hi"")"),"A) गिल्ली को खेल में माना जाता है। , B) गिल्ली को सीमा से बाहर माना जाता है। , C) खेल तब तक रुका रहता है जब तक पत्ते और शाखाएँ हटा नहीं दी जातीं। , D) खिलाड़ी RRR को एक और मौका दिया जाता है।")</f>
        <v>A) गिल्ली को खेल में माना जाता है। , B) गिल्ली को सीमा से बाहर माना जाता है। , C) खेल तब तक रुका रहता है जब तक पत्ते और शाखाएँ हटा नहीं दी जातीं। , D) खिलाड़ी RRR को एक और मौका दिया जाता है।</v>
      </c>
      <c r="I346" s="5" t="str">
        <f>IFERROR(__xludf.DUMMYFUNCTION("GOOGLETRANSLATE(D346, ""en"", ""hi"")"),"बी) गिल्ली को सीमा से बाहर माना जाता है।")</f>
        <v>बी) गिल्ली को सीमा से बाहर माना जाता है।</v>
      </c>
    </row>
    <row r="347" ht="22.5" customHeight="1">
      <c r="A347" s="2">
        <v>346.0</v>
      </c>
      <c r="B347" s="3" t="s">
        <v>11961</v>
      </c>
      <c r="C347" s="3" t="s">
        <v>11962</v>
      </c>
      <c r="D347" s="3" t="s">
        <v>11266</v>
      </c>
      <c r="F347" s="5" t="str">
        <f>IFERROR(__xludf.DUMMYFUNCTION("GOOGLETRANSLATE(A347, ""en"", ""hi"")"),"346")</f>
        <v>346</v>
      </c>
      <c r="G347" s="5" t="str">
        <f>IFERROR(__xludf.DUMMYFUNCTION("GOOGLETRANSLATE(B347, ""en"", ""hi"")"),"खिलाड़ी SSS गिल्ली को मारता है और वह प्लास्टिक शीट की परत से ढकी सतह पर गिरती है। इस हिट का नियम क्या है?")</f>
        <v>खिलाड़ी SSS गिल्ली को मारता है और वह प्लास्टिक शीट की परत से ढकी सतह पर गिरती है। इस हिट का नियम क्या है?</v>
      </c>
      <c r="H347" s="5" t="str">
        <f>IFERROR(__xludf.DUMMYFUNCTION("GOOGLETRANSLATE(C347, ""en"", ""hi"")"),"A) गिल्ली को खेल में माना जाता है। , B) गिल्ली को सीमा से बाहर माना जाता है। , C) प्लास्टिक शीट को हटाए जाने तक खेल को रोक दिया जाता है। , D) खिलाड़ी एसएसएस को एक और मौका दिया जाता है।")</f>
        <v>A) गिल्ली को खेल में माना जाता है। , B) गिल्ली को सीमा से बाहर माना जाता है। , C) प्लास्टिक शीट को हटाए जाने तक खेल को रोक दिया जाता है। , D) खिलाड़ी एसएसएस को एक और मौका दिया जाता है।</v>
      </c>
      <c r="I347" s="5" t="str">
        <f>IFERROR(__xludf.DUMMYFUNCTION("GOOGLETRANSLATE(D347, ""en"", ""hi"")"),"बी) गिल्ली को सीमा से बाहर माना जाता है।")</f>
        <v>बी) गिल्ली को सीमा से बाहर माना जाता है।</v>
      </c>
    </row>
    <row r="348" ht="22.5" customHeight="1">
      <c r="A348" s="2">
        <v>347.0</v>
      </c>
      <c r="B348" s="3" t="s">
        <v>11963</v>
      </c>
      <c r="C348" s="3" t="s">
        <v>11964</v>
      </c>
      <c r="D348" s="3" t="s">
        <v>11376</v>
      </c>
      <c r="F348" s="5" t="str">
        <f>IFERROR(__xludf.DUMMYFUNCTION("GOOGLETRANSLATE(A348, ""en"", ""hi"")"),"347")</f>
        <v>347</v>
      </c>
      <c r="G348" s="5" t="str">
        <f>IFERROR(__xludf.DUMMYFUNCTION("GOOGLETRANSLATE(B348, ""en"", ""hi"")"),"खिलाड़ी TTT गिल्ली को मारता है और वह सूखे पत्तों की परत से ढकी सतह पर गिरती है। इस प्रहार की व्याख्या कैसे की जानी चाहिए?")</f>
        <v>खिलाड़ी TTT गिल्ली को मारता है और वह सूखे पत्तों की परत से ढकी सतह पर गिरती है। इस प्रहार की व्याख्या कैसे की जानी चाहिए?</v>
      </c>
      <c r="H348" s="5" t="str">
        <f>IFERROR(__xludf.DUMMYFUNCTION("GOOGLETRANSLATE(C348, ""en"", ""hi"")"),"A) गिल्ली को सीमा से बाहर माना जाता है। , B) गिल्ली को खेल में माना जाता है। , C) पत्ते साफ होने तक खेल रोक दिया जाता है। , D) खिलाड़ी TTT को एक और मौका दिया जाता है।")</f>
        <v>A) गिल्ली को सीमा से बाहर माना जाता है। , B) गिल्ली को खेल में माना जाता है। , C) पत्ते साफ होने तक खेल रोक दिया जाता है। , D) खिलाड़ी TTT को एक और मौका दिया जाता है।</v>
      </c>
      <c r="I348" s="5" t="str">
        <f>IFERROR(__xludf.DUMMYFUNCTION("GOOGLETRANSLATE(D348, ""en"", ""hi"")"),"बी) गिल्ली को खेल में शामिल माना जाता है।")</f>
        <v>बी) गिल्ली को खेल में शामिल माना जाता है।</v>
      </c>
    </row>
    <row r="349" ht="22.5" customHeight="1">
      <c r="A349" s="2">
        <v>348.0</v>
      </c>
      <c r="B349" s="3" t="s">
        <v>11965</v>
      </c>
      <c r="C349" s="3" t="s">
        <v>11966</v>
      </c>
      <c r="D349" s="3" t="s">
        <v>11266</v>
      </c>
      <c r="F349" s="5" t="str">
        <f>IFERROR(__xludf.DUMMYFUNCTION("GOOGLETRANSLATE(A349, ""en"", ""hi"")"),"348")</f>
        <v>348</v>
      </c>
      <c r="G349" s="5" t="str">
        <f>IFERROR(__xludf.DUMMYFUNCTION("GOOGLETRANSLATE(B349, ""en"", ""hi"")"),"खिलाड़ी UUU गिल्ली पर वार करता है और वह गिरे हुए फलों की परत से ढकी सतह पर गिरती है। इस वार का उचित नियम क्या है?")</f>
        <v>खिलाड़ी UUU गिल्ली पर वार करता है और वह गिरे हुए फलों की परत से ढकी सतह पर गिरती है। इस वार का उचित नियम क्या है?</v>
      </c>
      <c r="H349" s="5" t="str">
        <f>IFERROR(__xludf.DUMMYFUNCTION("GOOGLETRANSLATE(C349, ""en"", ""hi"")"),"A) गिल्ली को खेल में माना जाता है। , B) गिल्ली को सीमा से बाहर माना जाता है। , C) फल हटाए जाने तक खेल को रोक दिया जाता है। , D) खिलाड़ी UUU को एक और मौका दिया जाता है।")</f>
        <v>A) गिल्ली को खेल में माना जाता है। , B) गिल्ली को सीमा से बाहर माना जाता है। , C) फल हटाए जाने तक खेल को रोक दिया जाता है। , D) खिलाड़ी UUU को एक और मौका दिया जाता है।</v>
      </c>
      <c r="I349" s="5" t="str">
        <f>IFERROR(__xludf.DUMMYFUNCTION("GOOGLETRANSLATE(D349, ""en"", ""hi"")"),"बी) गिल्ली को सीमा से बाहर माना जाता है।")</f>
        <v>बी) गिल्ली को सीमा से बाहर माना जाता है।</v>
      </c>
    </row>
    <row r="350" ht="22.5" customHeight="1">
      <c r="A350" s="2">
        <v>349.0</v>
      </c>
      <c r="B350" s="3" t="s">
        <v>11967</v>
      </c>
      <c r="C350" s="3" t="s">
        <v>11968</v>
      </c>
      <c r="D350" s="3" t="s">
        <v>11314</v>
      </c>
      <c r="F350" s="5" t="str">
        <f>IFERROR(__xludf.DUMMYFUNCTION("GOOGLETRANSLATE(A350, ""en"", ""hi"")"),"349")</f>
        <v>349</v>
      </c>
      <c r="G350" s="5" t="str">
        <f>IFERROR(__xludf.DUMMYFUNCTION("GOOGLETRANSLATE(B350, ""en"", ""hi"")"),"खिलाड़ी वीवीवी गिल्ली मारता है और वह निर्माण मलबे के ढेर से अवरुद्ध सतह पर गिरती है। इस स्थिति में क्या नियम है?")</f>
        <v>खिलाड़ी वीवीवी गिल्ली मारता है और वह निर्माण मलबे के ढेर से अवरुद्ध सतह पर गिरती है। इस स्थिति में क्या नियम है?</v>
      </c>
      <c r="H350" s="5" t="str">
        <f>IFERROR(__xludf.DUMMYFUNCTION("GOOGLETRANSLATE(C350, ""en"", ""hi"")"),"A) गिल्ली को खेल से बाहर माना जाता है। , B) गिल्ली को खेल में माना जाता है। , C) खेल को तब तक रोक दिया जाता है जब तक मलबा साफ नहीं हो जाता। , D) खिलाड़ी VVV को एक और मौका दिया जाता है।")</f>
        <v>A) गिल्ली को खेल से बाहर माना जाता है। , B) गिल्ली को खेल में माना जाता है। , C) खेल को तब तक रोक दिया जाता है जब तक मलबा साफ नहीं हो जाता। , D) खिलाड़ी VVV को एक और मौका दिया जाता है।</v>
      </c>
      <c r="I350" s="5" t="str">
        <f>IFERROR(__xludf.DUMMYFUNCTION("GOOGLETRANSLATE(D350, ""en"", ""hi"")"),"अ) गिल्ली को सीमा से बाहर माना जाता है।")</f>
        <v>अ) गिल्ली को सीमा से बाहर माना जाता है।</v>
      </c>
    </row>
    <row r="351" ht="22.5" customHeight="1">
      <c r="A351" s="2">
        <v>350.0</v>
      </c>
      <c r="B351" s="3" t="s">
        <v>11969</v>
      </c>
      <c r="C351" s="3" t="s">
        <v>11970</v>
      </c>
      <c r="D351" s="3" t="s">
        <v>11266</v>
      </c>
      <c r="F351" s="5" t="str">
        <f>IFERROR(__xludf.DUMMYFUNCTION("GOOGLETRANSLATE(A351, ""en"", ""hi"")"),"350")</f>
        <v>350</v>
      </c>
      <c r="G351" s="5" t="str">
        <f>IFERROR(__xludf.DUMMYFUNCTION("GOOGLETRANSLATE(B351, ""en"", ""hi"")"),"खिलाड़ी WWW गिल्ली पर वार करता है और वह प्लास्टिक की बोतलों से ढकी सतह पर गिरती है। इस वार के लिए उपयुक्त नियम क्या है?")</f>
        <v>खिलाड़ी WWW गिल्ली पर वार करता है और वह प्लास्टिक की बोतलों से ढकी सतह पर गिरती है। इस वार के लिए उपयुक्त नियम क्या है?</v>
      </c>
      <c r="H351" s="5" t="str">
        <f>IFERROR(__xludf.DUMMYFUNCTION("GOOGLETRANSLATE(C351, ""en"", ""hi"")"),"A) गिल्ली को खेल में माना जाता है। , B) गिल्ली को सीमा से बाहर माना जाता है। , C) बोतलें हटाए जाने तक खेल को रोक दिया जाता है। , D) खिलाड़ी WWW को एक और मौका दिया जाता है।")</f>
        <v>A) गिल्ली को खेल में माना जाता है। , B) गिल्ली को सीमा से बाहर माना जाता है। , C) बोतलें हटाए जाने तक खेल को रोक दिया जाता है। , D) खिलाड़ी WWW को एक और मौका दिया जाता है।</v>
      </c>
      <c r="I351" s="5" t="str">
        <f>IFERROR(__xludf.DUMMYFUNCTION("GOOGLETRANSLATE(D351, ""en"", ""hi"")"),"बी) गिल्ली को सीमा से बाहर माना जाता है।")</f>
        <v>बी) गिल्ली को सीमा से बाहर माना जाता है।</v>
      </c>
    </row>
    <row r="352" ht="22.5" customHeight="1">
      <c r="A352" s="2">
        <v>351.0</v>
      </c>
      <c r="B352" s="3" t="s">
        <v>11971</v>
      </c>
      <c r="C352" s="3" t="s">
        <v>11972</v>
      </c>
      <c r="D352" s="3" t="s">
        <v>11376</v>
      </c>
      <c r="F352" s="5" t="str">
        <f>IFERROR(__xludf.DUMMYFUNCTION("GOOGLETRANSLATE(A352, ""en"", ""hi"")"),"351")</f>
        <v>351</v>
      </c>
      <c r="G352" s="5" t="str">
        <f>IFERROR(__xludf.DUMMYFUNCTION("GOOGLETRANSLATE(B352, ""en"", ""hi"")"),"खिलाड़ी XXX गिल्ली को मारता है और वह लकड़ी के तख्तों से ढकी सतह पर गिरती है। इस हिट का मूल्यांकन कैसे किया जाना चाहिए?")</f>
        <v>खिलाड़ी XXX गिल्ली को मारता है और वह लकड़ी के तख्तों से ढकी सतह पर गिरती है। इस हिट का मूल्यांकन कैसे किया जाना चाहिए?</v>
      </c>
      <c r="H352" s="5" t="str">
        <f>IFERROR(__xludf.DUMMYFUNCTION("GOOGLETRANSLATE(C352, ""en"", ""hi"")"),"A) गिल्ली को सीमा से बाहर माना जाता है। , B) गिल्ली को खेल में माना जाता है। , C) तख्तों के साफ होने तक खेल रोक दिया जाता है। , D) खिलाड़ी XXX को एक और मौका दिया जाता है।")</f>
        <v>A) गिल्ली को सीमा से बाहर माना जाता है। , B) गिल्ली को खेल में माना जाता है। , C) तख्तों के साफ होने तक खेल रोक दिया जाता है। , D) खिलाड़ी XXX को एक और मौका दिया जाता है।</v>
      </c>
      <c r="I352" s="5" t="str">
        <f>IFERROR(__xludf.DUMMYFUNCTION("GOOGLETRANSLATE(D352, ""en"", ""hi"")"),"बी) गिल्ली को खेल में शामिल माना जाता है।")</f>
        <v>बी) गिल्ली को खेल में शामिल माना जाता है।</v>
      </c>
    </row>
    <row r="353" ht="22.5" customHeight="1">
      <c r="A353" s="2">
        <v>352.0</v>
      </c>
      <c r="B353" s="3" t="s">
        <v>11973</v>
      </c>
      <c r="C353" s="3" t="s">
        <v>11974</v>
      </c>
      <c r="D353" s="3" t="s">
        <v>11314</v>
      </c>
      <c r="F353" s="5" t="str">
        <f>IFERROR(__xludf.DUMMYFUNCTION("GOOGLETRANSLATE(A353, ""en"", ""hi"")"),"352")</f>
        <v>352</v>
      </c>
      <c r="G353" s="5" t="str">
        <f>IFERROR(__xludf.DUMMYFUNCTION("GOOGLETRANSLATE(B353, ""en"", ""hi"")"),"खिलाड़ी YYY गिल्ली को मारता है और वह खाली डिब्बों की परत से ढकी सतह पर गिरती है। इस स्थिति में क्या नियम है?")</f>
        <v>खिलाड़ी YYY गिल्ली को मारता है और वह खाली डिब्बों की परत से ढकी सतह पर गिरती है। इस स्थिति में क्या नियम है?</v>
      </c>
      <c r="H353" s="5" t="str">
        <f>IFERROR(__xludf.DUMMYFUNCTION("GOOGLETRANSLATE(C353, ""en"", ""hi"")"),"A) गिल्ली को सीमा से बाहर माना जाता है। , B) गिल्ली को खेल में माना जाता है। , C) खेल को तब तक रोक दिया जाता है जब तक डिब्बे हटा नहीं दिए जाते। , D) खिलाड़ी YYY को एक और मौका दिया जाता है।")</f>
        <v>A) गिल्ली को सीमा से बाहर माना जाता है। , B) गिल्ली को खेल में माना जाता है। , C) खेल को तब तक रोक दिया जाता है जब तक डिब्बे हटा नहीं दिए जाते। , D) खिलाड़ी YYY को एक और मौका दिया जाता है।</v>
      </c>
      <c r="I353" s="5" t="str">
        <f>IFERROR(__xludf.DUMMYFUNCTION("GOOGLETRANSLATE(D353, ""en"", ""hi"")"),"अ) गिल्ली को सीमा से बाहर माना जाता है।")</f>
        <v>अ) गिल्ली को सीमा से बाहर माना जाता है।</v>
      </c>
    </row>
    <row r="354" ht="22.5" customHeight="1">
      <c r="A354" s="2">
        <v>353.0</v>
      </c>
      <c r="B354" s="3" t="s">
        <v>11975</v>
      </c>
      <c r="C354" s="3" t="s">
        <v>11976</v>
      </c>
      <c r="D354" s="3" t="s">
        <v>11278</v>
      </c>
      <c r="F354" s="5" t="str">
        <f>IFERROR(__xludf.DUMMYFUNCTION("GOOGLETRANSLATE(A354, ""en"", ""hi"")"),"353")</f>
        <v>353</v>
      </c>
      <c r="G354" s="5" t="str">
        <f>IFERROR(__xludf.DUMMYFUNCTION("GOOGLETRANSLATE(B354, ""en"", ""hi"")"),"खिलाड़ी गिल्ली को ZZZ मारता है और वह भूसे की परत से ढकी सतह पर गिरती है। इस हिट का नियम क्या होना चाहिए?")</f>
        <v>खिलाड़ी गिल्ली को ZZZ मारता है और वह भूसे की परत से ढकी सतह पर गिरती है। इस हिट का नियम क्या होना चाहिए?</v>
      </c>
      <c r="H354" s="5" t="str">
        <f>IFERROR(__xludf.DUMMYFUNCTION("GOOGLETRANSLATE(C354, ""en"", ""hi"")"),"A) गिल्ली को खेल में माना जाता है। , B) गिल्ली को सीमा से बाहर माना जाता है। , C) स्ट्रॉ साफ होने तक खेल को रोक दिया जाता है। , D) खिलाड़ी ZZZ को एक और मौका दिया जाता है।")</f>
        <v>A) गिल्ली को खेल में माना जाता है। , B) गिल्ली को सीमा से बाहर माना जाता है। , C) स्ट्रॉ साफ होने तक खेल को रोक दिया जाता है। , D) खिलाड़ी ZZZ को एक और मौका दिया जाता है।</v>
      </c>
      <c r="I354" s="5" t="str">
        <f>IFERROR(__xludf.DUMMYFUNCTION("GOOGLETRANSLATE(D354, ""en"", ""hi"")"),"अ) गिल्ली को खेल में शामिल माना जाता है।")</f>
        <v>अ) गिल्ली को खेल में शामिल माना जाता है।</v>
      </c>
    </row>
    <row r="355" ht="22.5" customHeight="1">
      <c r="A355" s="2">
        <v>354.0</v>
      </c>
      <c r="B355" s="3" t="s">
        <v>11977</v>
      </c>
      <c r="C355" s="3" t="s">
        <v>11978</v>
      </c>
      <c r="D355" s="3" t="s">
        <v>11376</v>
      </c>
      <c r="F355" s="5" t="str">
        <f>IFERROR(__xludf.DUMMYFUNCTION("GOOGLETRANSLATE(A355, ""en"", ""hi"")"),"354")</f>
        <v>354</v>
      </c>
      <c r="G355" s="5" t="str">
        <f>IFERROR(__xludf.DUMMYFUNCTION("GOOGLETRANSLATE(B355, ""en"", ""hi"")"),"खिलाड़ी AAA गिल्ली मारता है और वह सूखी मिट्टी और घास की परत से ढकी सतह पर गिरती है। इस हिट का नियम क्या है?")</f>
        <v>खिलाड़ी AAA गिल्ली मारता है और वह सूखी मिट्टी और घास की परत से ढकी सतह पर गिरती है। इस हिट का नियम क्या है?</v>
      </c>
      <c r="H355" s="5" t="str">
        <f>IFERROR(__xludf.DUMMYFUNCTION("GOOGLETRANSLATE(C355, ""en"", ""hi"")"),"A) गिल्ली को खेल से बाहर माना जाता है। , B) गिल्ली को खेल में माना जाता है। , C) खेल को तब तक रोक दिया जाता है जब तक कीचड़ और घास साफ नहीं हो जाती। , D) खिलाड़ी AAA को एक और मौका दिया जाता है।")</f>
        <v>A) गिल्ली को खेल से बाहर माना जाता है। , B) गिल्ली को खेल में माना जाता है। , C) खेल को तब तक रोक दिया जाता है जब तक कीचड़ और घास साफ नहीं हो जाती। , D) खिलाड़ी AAA को एक और मौका दिया जाता है।</v>
      </c>
      <c r="I355" s="5" t="str">
        <f>IFERROR(__xludf.DUMMYFUNCTION("GOOGLETRANSLATE(D355, ""en"", ""hi"")"),"बी) गिल्ली को खेल में शामिल माना जाता है।")</f>
        <v>बी) गिल्ली को खेल में शामिल माना जाता है।</v>
      </c>
    </row>
    <row r="356" ht="22.5" customHeight="1">
      <c r="A356" s="2">
        <v>355.0</v>
      </c>
      <c r="B356" s="3" t="s">
        <v>11979</v>
      </c>
      <c r="C356" s="3" t="s">
        <v>11980</v>
      </c>
      <c r="D356" s="3" t="s">
        <v>11314</v>
      </c>
      <c r="F356" s="5" t="str">
        <f>IFERROR(__xludf.DUMMYFUNCTION("GOOGLETRANSLATE(A356, ""en"", ""hi"")"),"355")</f>
        <v>355</v>
      </c>
      <c r="G356" s="5" t="str">
        <f>IFERROR(__xludf.DUMMYFUNCTION("GOOGLETRANSLATE(B356, ""en"", ""hi"")"),"खिलाड़ी BBB गिल्ली मारता है और वह गीली पत्तियों की परत से ढकी सतह पर गिरती है। इस हिट का मूल्यांकन कैसे किया जाना चाहिए?")</f>
        <v>खिलाड़ी BBB गिल्ली मारता है और वह गीली पत्तियों की परत से ढकी सतह पर गिरती है। इस हिट का मूल्यांकन कैसे किया जाना चाहिए?</v>
      </c>
      <c r="H356" s="5" t="str">
        <f>IFERROR(__xludf.DUMMYFUNCTION("GOOGLETRANSLATE(C356, ""en"", ""hi"")"),"A) गिल्ली को खेल से बाहर माना जाता है। , B) गिल्ली को खेल में माना जाता है। , C) गीले पत्तों को हटाए जाने तक खेल को रोक दिया जाता है। , D) खिलाड़ी BBB को एक और मौका दिया जाता है।")</f>
        <v>A) गिल्ली को खेल से बाहर माना जाता है। , B) गिल्ली को खेल में माना जाता है। , C) गीले पत्तों को हटाए जाने तक खेल को रोक दिया जाता है। , D) खिलाड़ी BBB को एक और मौका दिया जाता है।</v>
      </c>
      <c r="I356" s="5" t="str">
        <f>IFERROR(__xludf.DUMMYFUNCTION("GOOGLETRANSLATE(D356, ""en"", ""hi"")"),"अ) गिल्ली को सीमा से बाहर माना जाता है।")</f>
        <v>अ) गिल्ली को सीमा से बाहर माना जाता है।</v>
      </c>
    </row>
    <row r="357" ht="22.5" customHeight="1">
      <c r="A357" s="2">
        <v>356.0</v>
      </c>
      <c r="B357" s="3" t="s">
        <v>11981</v>
      </c>
      <c r="C357" s="3" t="s">
        <v>11982</v>
      </c>
      <c r="D357" s="3" t="s">
        <v>11376</v>
      </c>
      <c r="F357" s="5" t="str">
        <f>IFERROR(__xludf.DUMMYFUNCTION("GOOGLETRANSLATE(A357, ""en"", ""hi"")"),"356")</f>
        <v>356</v>
      </c>
      <c r="G357" s="5" t="str">
        <f>IFERROR(__xludf.DUMMYFUNCTION("GOOGLETRANSLATE(B357, ""en"", ""hi"")"),"खिलाड़ी CCC गिल्ली मारता है और वह रेत और पत्थरों की परत से ढकी सतह पर गिरती है। इस हिट के लिए उपयुक्त नियम क्या है?")</f>
        <v>खिलाड़ी CCC गिल्ली मारता है और वह रेत और पत्थरों की परत से ढकी सतह पर गिरती है। इस हिट के लिए उपयुक्त नियम क्या है?</v>
      </c>
      <c r="H357" s="5" t="str">
        <f>IFERROR(__xludf.DUMMYFUNCTION("GOOGLETRANSLATE(C357, ""en"", ""hi"")"),"A) गिल्ली को सीमा से बाहर माना जाता है। , B) गिल्ली को खेल में माना जाता है। , C) खेल को तब तक रोक दिया जाता है जब तक पत्थर साफ नहीं हो जाते। , D) खिलाड़ी CCC को एक और मौका दिया जाता है।")</f>
        <v>A) गिल्ली को सीमा से बाहर माना जाता है। , B) गिल्ली को खेल में माना जाता है। , C) खेल को तब तक रोक दिया जाता है जब तक पत्थर साफ नहीं हो जाते। , D) खिलाड़ी CCC को एक और मौका दिया जाता है।</v>
      </c>
      <c r="I357" s="5" t="str">
        <f>IFERROR(__xludf.DUMMYFUNCTION("GOOGLETRANSLATE(D357, ""en"", ""hi"")"),"बी) गिल्ली को खेल में शामिल माना जाता है।")</f>
        <v>बी) गिल्ली को खेल में शामिल माना जाता है।</v>
      </c>
    </row>
    <row r="358" ht="22.5" customHeight="1">
      <c r="A358" s="2">
        <v>357.0</v>
      </c>
      <c r="B358" s="3" t="s">
        <v>11983</v>
      </c>
      <c r="C358" s="3" t="s">
        <v>11984</v>
      </c>
      <c r="D358" s="3" t="s">
        <v>11376</v>
      </c>
      <c r="F358" s="5" t="str">
        <f>IFERROR(__xludf.DUMMYFUNCTION("GOOGLETRANSLATE(A358, ""en"", ""hi"")"),"357")</f>
        <v>357</v>
      </c>
      <c r="G358" s="5" t="str">
        <f>IFERROR(__xludf.DUMMYFUNCTION("GOOGLETRANSLATE(B358, ""en"", ""hi"")"),"खिलाड़ी DDD गिल्ली को मारता है और वह मिट्टी और पत्तों की परत से ढकी सतह पर गिरती है। इस हिट का नियम क्या होना चाहिए?")</f>
        <v>खिलाड़ी DDD गिल्ली को मारता है और वह मिट्टी और पत्तों की परत से ढकी सतह पर गिरती है। इस हिट का नियम क्या होना चाहिए?</v>
      </c>
      <c r="H358" s="5" t="str">
        <f>IFERROR(__xludf.DUMMYFUNCTION("GOOGLETRANSLATE(C358, ""en"", ""hi"")"),"A) गिल्ली को खेल से बाहर माना जाता है। , B) गिल्ली को खेल में माना जाता है। , C) खेल को तब तक रोक दिया जाता है जब तक मिट्टी और पत्ते साफ नहीं हो जाते। , D) खिलाड़ी DDD को एक और मौका दिया जाता है।")</f>
        <v>A) गिल्ली को खेल से बाहर माना जाता है। , B) गिल्ली को खेल में माना जाता है। , C) खेल को तब तक रोक दिया जाता है जब तक मिट्टी और पत्ते साफ नहीं हो जाते। , D) खिलाड़ी DDD को एक और मौका दिया जाता है।</v>
      </c>
      <c r="I358" s="5" t="str">
        <f>IFERROR(__xludf.DUMMYFUNCTION("GOOGLETRANSLATE(D358, ""en"", ""hi"")"),"बी) गिल्ली को खेल में शामिल माना जाता है।")</f>
        <v>बी) गिल्ली को खेल में शामिल माना जाता है।</v>
      </c>
    </row>
    <row r="359" ht="22.5" customHeight="1">
      <c r="A359" s="2">
        <v>358.0</v>
      </c>
      <c r="B359" s="3" t="s">
        <v>11985</v>
      </c>
      <c r="C359" s="3" t="s">
        <v>11986</v>
      </c>
      <c r="D359" s="3" t="s">
        <v>11314</v>
      </c>
      <c r="F359" s="5" t="str">
        <f>IFERROR(__xludf.DUMMYFUNCTION("GOOGLETRANSLATE(A359, ""en"", ""hi"")"),"358")</f>
        <v>358</v>
      </c>
      <c r="G359" s="5" t="str">
        <f>IFERROR(__xludf.DUMMYFUNCTION("GOOGLETRANSLATE(B359, ""en"", ""hi"")"),"खिलाड़ी EEE गिल्ली मारता है और वह पुराने अखबारों के ढेर से ढकी सतह पर गिरती है। इस हिट का मूल्यांकन कैसे किया जाना चाहिए?")</f>
        <v>खिलाड़ी EEE गिल्ली मारता है और वह पुराने अखबारों के ढेर से ढकी सतह पर गिरती है। इस हिट का मूल्यांकन कैसे किया जाना चाहिए?</v>
      </c>
      <c r="H359" s="5" t="str">
        <f>IFERROR(__xludf.DUMMYFUNCTION("GOOGLETRANSLATE(C359, ""en"", ""hi"")"),"A) गिल्ली को सीमा से बाहर माना जाता है। , B) गिल्ली को खेल में माना जाता है। , C) खेल को तब तक रोक दिया जाता है जब तक अखबार साफ नहीं हो जाते। , D) खिलाड़ी EEE को एक और मौका दिया जाता है।")</f>
        <v>A) गिल्ली को सीमा से बाहर माना जाता है। , B) गिल्ली को खेल में माना जाता है। , C) खेल को तब तक रोक दिया जाता है जब तक अखबार साफ नहीं हो जाते। , D) खिलाड़ी EEE को एक और मौका दिया जाता है।</v>
      </c>
      <c r="I359" s="5" t="str">
        <f>IFERROR(__xludf.DUMMYFUNCTION("GOOGLETRANSLATE(D359, ""en"", ""hi"")"),"अ) गिल्ली को सीमा से बाहर माना जाता है।")</f>
        <v>अ) गिल्ली को सीमा से बाहर माना जाता है।</v>
      </c>
    </row>
    <row r="360" ht="22.5" customHeight="1">
      <c r="A360" s="2">
        <v>359.0</v>
      </c>
      <c r="B360" s="3" t="s">
        <v>11987</v>
      </c>
      <c r="C360" s="3" t="s">
        <v>11988</v>
      </c>
      <c r="D360" s="3" t="s">
        <v>11266</v>
      </c>
      <c r="F360" s="5" t="str">
        <f>IFERROR(__xludf.DUMMYFUNCTION("GOOGLETRANSLATE(A360, ""en"", ""hi"")"),"359")</f>
        <v>359</v>
      </c>
      <c r="G360" s="5" t="str">
        <f>IFERROR(__xludf.DUMMYFUNCTION("GOOGLETRANSLATE(B360, ""en"", ""hi"")"),"खिलाड़ी FFF गिल्ली को मारता है और वह प्लास्टिक शीट और पत्तों की परत से ढकी सतह पर गिरती है। इस हिट का नियम क्या है?")</f>
        <v>खिलाड़ी FFF गिल्ली को मारता है और वह प्लास्टिक शीट और पत्तों की परत से ढकी सतह पर गिरती है। इस हिट का नियम क्या है?</v>
      </c>
      <c r="H360" s="5" t="str">
        <f>IFERROR(__xludf.DUMMYFUNCTION("GOOGLETRANSLATE(C360, ""en"", ""hi"")"),"A) गिल्ली को खेल में माना जाता है। , B) गिल्ली को सीमा से बाहर माना जाता है। , C) प्लास्टिक शीट और पत्तियों को साफ होने तक खेल को रोक दिया जाता है। , D) खिलाड़ी FFF को एक और मौका दिया जाता है।")</f>
        <v>A) गिल्ली को खेल में माना जाता है। , B) गिल्ली को सीमा से बाहर माना जाता है। , C) प्लास्टिक शीट और पत्तियों को साफ होने तक खेल को रोक दिया जाता है। , D) खिलाड़ी FFF को एक और मौका दिया जाता है।</v>
      </c>
      <c r="I360" s="5" t="str">
        <f>IFERROR(__xludf.DUMMYFUNCTION("GOOGLETRANSLATE(D360, ""en"", ""hi"")"),"बी) गिल्ली को सीमा से बाहर माना जाता है।")</f>
        <v>बी) गिल्ली को सीमा से बाहर माना जाता है।</v>
      </c>
    </row>
    <row r="361" ht="22.5" customHeight="1">
      <c r="A361" s="2">
        <v>360.0</v>
      </c>
      <c r="B361" s="3" t="s">
        <v>11989</v>
      </c>
      <c r="C361" s="3" t="s">
        <v>11990</v>
      </c>
      <c r="D361" s="3" t="s">
        <v>11314</v>
      </c>
      <c r="F361" s="5" t="str">
        <f>IFERROR(__xludf.DUMMYFUNCTION("GOOGLETRANSLATE(A361, ""en"", ""hi"")"),"360")</f>
        <v>360</v>
      </c>
      <c r="G361" s="5" t="str">
        <f>IFERROR(__xludf.DUMMYFUNCTION("GOOGLETRANSLATE(B361, ""en"", ""hi"")"),"खिलाड़ी GGG गिल्ली मारता है और वह पुराने फ़र्नीचर के ढेर से ढकी सतह पर गिरती है। इस हिट के लिए उचित नियम क्या है?")</f>
        <v>खिलाड़ी GGG गिल्ली मारता है और वह पुराने फ़र्नीचर के ढेर से ढकी सतह पर गिरती है। इस हिट के लिए उचित नियम क्या है?</v>
      </c>
      <c r="H361" s="5" t="str">
        <f>IFERROR(__xludf.DUMMYFUNCTION("GOOGLETRANSLATE(C361, ""en"", ""hi"")"),"A) गिल्ली को खेल से बाहर माना जाता है। , B) गिल्ली को खेल में माना जाता है। , C) खेल को तब तक रोक दिया जाता है जब तक कि फर्नीचर साफ नहीं हो जाता। , D) खिलाड़ी GGG को एक और मौका दिया जाता है।")</f>
        <v>A) गिल्ली को खेल से बाहर माना जाता है। , B) गिल्ली को खेल में माना जाता है। , C) खेल को तब तक रोक दिया जाता है जब तक कि फर्नीचर साफ नहीं हो जाता। , D) खिलाड़ी GGG को एक और मौका दिया जाता है।</v>
      </c>
      <c r="I361" s="5" t="str">
        <f>IFERROR(__xludf.DUMMYFUNCTION("GOOGLETRANSLATE(D361, ""en"", ""hi"")"),"अ) गिल्ली को सीमा से बाहर माना जाता है।")</f>
        <v>अ) गिल्ली को सीमा से बाहर माना जाता है।</v>
      </c>
    </row>
    <row r="362" ht="22.5" customHeight="1">
      <c r="A362" s="2">
        <v>361.0</v>
      </c>
      <c r="B362" s="3" t="s">
        <v>11991</v>
      </c>
      <c r="C362" s="3" t="s">
        <v>11992</v>
      </c>
      <c r="D362" s="3" t="s">
        <v>11376</v>
      </c>
      <c r="F362" s="5" t="str">
        <f>IFERROR(__xludf.DUMMYFUNCTION("GOOGLETRANSLATE(A362, ""en"", ""hi"")"),"361")</f>
        <v>361</v>
      </c>
      <c r="G362" s="5" t="str">
        <f>IFERROR(__xludf.DUMMYFUNCTION("GOOGLETRANSLATE(B362, ""en"", ""hi"")"),"खिलाड़ी HHH गिल्ली मारता है और वह बजरी की परत से ढकी सतह पर गिरती है। इस हिट की व्याख्या कैसे की जानी चाहिए?")</f>
        <v>खिलाड़ी HHH गिल्ली मारता है और वह बजरी की परत से ढकी सतह पर गिरती है। इस हिट की व्याख्या कैसे की जानी चाहिए?</v>
      </c>
      <c r="H362" s="5" t="str">
        <f>IFERROR(__xludf.DUMMYFUNCTION("GOOGLETRANSLATE(C362, ""en"", ""hi"")"),"A) गिल्ली को सीमा से बाहर माना जाता है। , B) गिल्ली को खेल में माना जाता है। , C) बजरी साफ होने तक खेल को रोक दिया जाता है। , D) खिलाड़ी HHH को एक और मौका दिया जाता है।")</f>
        <v>A) गिल्ली को सीमा से बाहर माना जाता है। , B) गिल्ली को खेल में माना जाता है। , C) बजरी साफ होने तक खेल को रोक दिया जाता है। , D) खिलाड़ी HHH को एक और मौका दिया जाता है।</v>
      </c>
      <c r="I362" s="5" t="str">
        <f>IFERROR(__xludf.DUMMYFUNCTION("GOOGLETRANSLATE(D362, ""en"", ""hi"")"),"बी) गिल्ली को खेल में शामिल माना जाता है।")</f>
        <v>बी) गिल्ली को खेल में शामिल माना जाता है।</v>
      </c>
    </row>
    <row r="363" ht="22.5" customHeight="1">
      <c r="A363" s="2">
        <v>362.0</v>
      </c>
      <c r="B363" s="3" t="s">
        <v>11993</v>
      </c>
      <c r="C363" s="3" t="s">
        <v>11994</v>
      </c>
      <c r="D363" s="3" t="s">
        <v>11314</v>
      </c>
      <c r="F363" s="5" t="str">
        <f>IFERROR(__xludf.DUMMYFUNCTION("GOOGLETRANSLATE(A363, ""en"", ""hi"")"),"362")</f>
        <v>362</v>
      </c>
      <c r="G363" s="5" t="str">
        <f>IFERROR(__xludf.DUMMYFUNCTION("GOOGLETRANSLATE(B363, ""en"", ""hi"")"),"खिलाड़ी III गिल्ली मारता है और वह टूटे हुए काँच के ढेर से ढकी सतह पर गिरती है। इस स्थिति में क्या नियम है?")</f>
        <v>खिलाड़ी III गिल्ली मारता है और वह टूटे हुए काँच के ढेर से ढकी सतह पर गिरती है। इस स्थिति में क्या नियम है?</v>
      </c>
      <c r="H363" s="5" t="str">
        <f>IFERROR(__xludf.DUMMYFUNCTION("GOOGLETRANSLATE(C363, ""en"", ""hi"")"),"A) गिल्ली को सीमा से बाहर माना जाता है। , B) गिल्ली को खेल में माना जाता है। , C) गिलास हटाए जाने तक खेल को रोक दिया जाता है। , D) खिलाड़ी III को एक और मौका दिया जाता है।")</f>
        <v>A) गिल्ली को सीमा से बाहर माना जाता है। , B) गिल्ली को खेल में माना जाता है। , C) गिलास हटाए जाने तक खेल को रोक दिया जाता है। , D) खिलाड़ी III को एक और मौका दिया जाता है।</v>
      </c>
      <c r="I363" s="5" t="str">
        <f>IFERROR(__xludf.DUMMYFUNCTION("GOOGLETRANSLATE(D363, ""en"", ""hi"")"),"अ) गिल्ली को सीमा से बाहर माना जाता है।")</f>
        <v>अ) गिल्ली को सीमा से बाहर माना जाता है।</v>
      </c>
    </row>
    <row r="364" ht="22.5" customHeight="1">
      <c r="A364" s="2">
        <v>363.0</v>
      </c>
      <c r="B364" s="3" t="s">
        <v>11995</v>
      </c>
      <c r="C364" s="3" t="s">
        <v>11996</v>
      </c>
      <c r="D364" s="3" t="s">
        <v>11278</v>
      </c>
      <c r="F364" s="5" t="str">
        <f>IFERROR(__xludf.DUMMYFUNCTION("GOOGLETRANSLATE(A364, ""en"", ""hi"")"),"363")</f>
        <v>363</v>
      </c>
      <c r="G364" s="5" t="str">
        <f>IFERROR(__xludf.DUMMYFUNCTION("GOOGLETRANSLATE(B364, ""en"", ""hi"")"),"खिलाड़ी JJJ गिल्ली मारता है और वह फूलों की पंखुड़ियों से ढकी सतह पर गिरती है। इस हिट के लिए उपयुक्त नियम क्या है?")</f>
        <v>खिलाड़ी JJJ गिल्ली मारता है और वह फूलों की पंखुड़ियों से ढकी सतह पर गिरती है। इस हिट के लिए उपयुक्त नियम क्या है?</v>
      </c>
      <c r="H364" s="5" t="str">
        <f>IFERROR(__xludf.DUMMYFUNCTION("GOOGLETRANSLATE(C364, ""en"", ""hi"")"),"A) गिल्ली को खेल में माना जाता है। , B) गिल्ली को सीमा से बाहर माना जाता है। , C) पंखुड़ियों के साफ होने तक खेल को रोक दिया जाता है। , D) खिलाड़ी JJJ को एक और मौका दिया जाता है।")</f>
        <v>A) गिल्ली को खेल में माना जाता है। , B) गिल्ली को सीमा से बाहर माना जाता है। , C) पंखुड़ियों के साफ होने तक खेल को रोक दिया जाता है। , D) खिलाड़ी JJJ को एक और मौका दिया जाता है।</v>
      </c>
      <c r="I364" s="5" t="str">
        <f>IFERROR(__xludf.DUMMYFUNCTION("GOOGLETRANSLATE(D364, ""en"", ""hi"")"),"अ) गिल्ली को खेल में शामिल माना जाता है।")</f>
        <v>अ) गिल्ली को खेल में शामिल माना जाता है।</v>
      </c>
    </row>
    <row r="365" ht="22.5" customHeight="1">
      <c r="A365" s="2">
        <v>364.0</v>
      </c>
      <c r="B365" s="3" t="s">
        <v>11997</v>
      </c>
      <c r="C365" s="3" t="s">
        <v>11998</v>
      </c>
      <c r="D365" s="3" t="s">
        <v>11266</v>
      </c>
      <c r="F365" s="5" t="str">
        <f>IFERROR(__xludf.DUMMYFUNCTION("GOOGLETRANSLATE(A365, ""en"", ""hi"")"),"364")</f>
        <v>364</v>
      </c>
      <c r="G365" s="5" t="str">
        <f>IFERROR(__xludf.DUMMYFUNCTION("GOOGLETRANSLATE(B365, ""en"", ""hi"")"),"खिलाड़ी KKK गिल्ली मारता है और वह कटे हुए कागज़ की परत से ढकी सतह पर गिरती है। इस हिट का नियम क्या होना चाहिए?")</f>
        <v>खिलाड़ी KKK गिल्ली मारता है और वह कटे हुए कागज़ की परत से ढकी सतह पर गिरती है। इस हिट का नियम क्या होना चाहिए?</v>
      </c>
      <c r="H365" s="5" t="str">
        <f>IFERROR(__xludf.DUMMYFUNCTION("GOOGLETRANSLATE(C365, ""en"", ""hi"")"),"A) गिल्ली को खेल में माना जाता है। , B) गिल्ली को सीमा से बाहर माना जाता है। , C) खेल को तब तक रोक दिया जाता है जब तक कागज को हटा नहीं दिया जाता है। , D) खिलाड़ी केकेके को एक और मौका दिया जाता है।")</f>
        <v>A) गिल्ली को खेल में माना जाता है। , B) गिल्ली को सीमा से बाहर माना जाता है। , C) खेल को तब तक रोक दिया जाता है जब तक कागज को हटा नहीं दिया जाता है। , D) खिलाड़ी केकेके को एक और मौका दिया जाता है।</v>
      </c>
      <c r="I365" s="5" t="str">
        <f>IFERROR(__xludf.DUMMYFUNCTION("GOOGLETRANSLATE(D365, ""en"", ""hi"")"),"बी) गिल्ली को सीमा से बाहर माना जाता है।")</f>
        <v>बी) गिल्ली को सीमा से बाहर माना जाता है।</v>
      </c>
    </row>
    <row r="366" ht="22.5" customHeight="1">
      <c r="A366" s="2">
        <v>365.0</v>
      </c>
      <c r="B366" s="3" t="s">
        <v>11999</v>
      </c>
      <c r="C366" s="3" t="s">
        <v>12000</v>
      </c>
      <c r="D366" s="3" t="s">
        <v>11266</v>
      </c>
      <c r="F366" s="5" t="str">
        <f>IFERROR(__xludf.DUMMYFUNCTION("GOOGLETRANSLATE(A366, ""en"", ""hi"")"),"365")</f>
        <v>365</v>
      </c>
      <c r="G366" s="5" t="str">
        <f>IFERROR(__xludf.DUMMYFUNCTION("GOOGLETRANSLATE(B366, ""en"", ""hi"")"),"खिलाड़ी LLL गिल्ली मारता है और वह गीली मिट्टी की परत से ढकी सतह पर गिरती है। इस हिट का मूल्यांकन कैसे किया जाना चाहिए?")</f>
        <v>खिलाड़ी LLL गिल्ली मारता है और वह गीली मिट्टी की परत से ढकी सतह पर गिरती है। इस हिट का मूल्यांकन कैसे किया जाना चाहिए?</v>
      </c>
      <c r="H366" s="5" t="str">
        <f>IFERROR(__xludf.DUMMYFUNCTION("GOOGLETRANSLATE(C366, ""en"", ""hi"")"),"A) गिल्ली को खेल में माना जाता है। , B) गिल्ली को सीमा से बाहर माना जाता है। , C) मिट्टी सूखने तक खेल रोक दिया जाता है। , D) खिलाड़ी LLL को एक और मौका दिया जाता है।")</f>
        <v>A) गिल्ली को खेल में माना जाता है। , B) गिल्ली को सीमा से बाहर माना जाता है। , C) मिट्टी सूखने तक खेल रोक दिया जाता है। , D) खिलाड़ी LLL को एक और मौका दिया जाता है।</v>
      </c>
      <c r="I366" s="5" t="str">
        <f>IFERROR(__xludf.DUMMYFUNCTION("GOOGLETRANSLATE(D366, ""en"", ""hi"")"),"बी) गिल्ली को सीमा से बाहर माना जाता है।")</f>
        <v>बी) गिल्ली को सीमा से बाहर माना जाता है।</v>
      </c>
    </row>
    <row r="367" ht="22.5" customHeight="1">
      <c r="A367" s="2">
        <v>366.0</v>
      </c>
      <c r="B367" s="3" t="s">
        <v>12001</v>
      </c>
      <c r="C367" s="3" t="s">
        <v>12002</v>
      </c>
      <c r="D367" s="3" t="s">
        <v>11314</v>
      </c>
      <c r="F367" s="5" t="str">
        <f>IFERROR(__xludf.DUMMYFUNCTION("GOOGLETRANSLATE(A367, ""en"", ""hi"")"),"366")</f>
        <v>366</v>
      </c>
      <c r="G367" s="5" t="str">
        <f>IFERROR(__xludf.DUMMYFUNCTION("GOOGLETRANSLATE(B367, ""en"", ""hi"")"),"खिलाड़ी MMM गिल्ली को मारता है और वह प्लास्टिक की थैलियों के ढेर से ढकी सतह पर गिरती है। इस स्थिति में क्या नियम है?")</f>
        <v>खिलाड़ी MMM गिल्ली को मारता है और वह प्लास्टिक की थैलियों के ढेर से ढकी सतह पर गिरती है। इस स्थिति में क्या नियम है?</v>
      </c>
      <c r="H367" s="5" t="str">
        <f>IFERROR(__xludf.DUMMYFUNCTION("GOOGLETRANSLATE(C367, ""en"", ""hi"")"),"A) गिल्ली को सीमा से बाहर माना जाता है। , B) गिल्ली को खेल में माना जाता है। , C) प्लास्टिक की थैलियों को हटाए जाने तक खेल को रोक दिया जाता है। , D) खिलाड़ी MMM को एक और मौका दिया जाता है।")</f>
        <v>A) गिल्ली को सीमा से बाहर माना जाता है। , B) गिल्ली को खेल में माना जाता है। , C) प्लास्टिक की थैलियों को हटाए जाने तक खेल को रोक दिया जाता है। , D) खिलाड़ी MMM को एक और मौका दिया जाता है।</v>
      </c>
      <c r="I367" s="5" t="str">
        <f>IFERROR(__xludf.DUMMYFUNCTION("GOOGLETRANSLATE(D367, ""en"", ""hi"")"),"अ) गिल्ली को सीमा से बाहर माना जाता है।")</f>
        <v>अ) गिल्ली को सीमा से बाहर माना जाता है।</v>
      </c>
    </row>
    <row r="368" ht="22.5" customHeight="1">
      <c r="A368" s="2">
        <v>367.0</v>
      </c>
      <c r="B368" s="3" t="s">
        <v>12003</v>
      </c>
      <c r="C368" s="3" t="s">
        <v>12004</v>
      </c>
      <c r="D368" s="3" t="s">
        <v>11314</v>
      </c>
      <c r="F368" s="5" t="str">
        <f>IFERROR(__xludf.DUMMYFUNCTION("GOOGLETRANSLATE(A368, ""en"", ""hi"")"),"367")</f>
        <v>367</v>
      </c>
      <c r="G368" s="5" t="str">
        <f>IFERROR(__xludf.DUMMYFUNCTION("GOOGLETRANSLATE(B368, ""en"", ""hi"")"),"खिलाड़ी NNN गिल्ली मारता है और वह गीली घास की परत से ढकी सतह पर गिरती है। इस हिट के लिए उपयुक्त नियम क्या है?")</f>
        <v>खिलाड़ी NNN गिल्ली मारता है और वह गीली घास की परत से ढकी सतह पर गिरती है। इस हिट के लिए उपयुक्त नियम क्या है?</v>
      </c>
      <c r="H368" s="5" t="str">
        <f>IFERROR(__xludf.DUMMYFUNCTION("GOOGLETRANSLATE(C368, ""en"", ""hi"")"),"A) गिल्ली को सीमा से बाहर माना जाता है। , B) गिल्ली को खेल में माना जाता है। , C) घास सूखने तक खेल को रोक दिया जाता है। , D) खिलाड़ी NNN को एक और मौका दिया जाता है।")</f>
        <v>A) गिल्ली को सीमा से बाहर माना जाता है। , B) गिल्ली को खेल में माना जाता है। , C) घास सूखने तक खेल को रोक दिया जाता है। , D) खिलाड़ी NNN को एक और मौका दिया जाता है।</v>
      </c>
      <c r="I368" s="5" t="str">
        <f>IFERROR(__xludf.DUMMYFUNCTION("GOOGLETRANSLATE(D368, ""en"", ""hi"")"),"अ) गिल्ली को सीमा से बाहर माना जाता है।")</f>
        <v>अ) गिल्ली को सीमा से बाहर माना जाता है।</v>
      </c>
    </row>
    <row r="369" ht="22.5" customHeight="1">
      <c r="A369" s="2">
        <v>368.0</v>
      </c>
      <c r="B369" s="3" t="s">
        <v>12005</v>
      </c>
      <c r="C369" s="3" t="s">
        <v>12006</v>
      </c>
      <c r="D369" s="3" t="s">
        <v>11266</v>
      </c>
      <c r="F369" s="5" t="str">
        <f>IFERROR(__xludf.DUMMYFUNCTION("GOOGLETRANSLATE(A369, ""en"", ""hi"")"),"368")</f>
        <v>368</v>
      </c>
      <c r="G369" s="5" t="str">
        <f>IFERROR(__xludf.DUMMYFUNCTION("GOOGLETRANSLATE(B369, ""en"", ""hi"")"),"खिलाड़ी OOO गिल्ली मारता है और वह पेड़ की छाल से ढकी सतह पर गिरती है। इस हिट का नियम क्या है?")</f>
        <v>खिलाड़ी OOO गिल्ली मारता है और वह पेड़ की छाल से ढकी सतह पर गिरती है। इस हिट का नियम क्या है?</v>
      </c>
      <c r="H369" s="5" t="str">
        <f>IFERROR(__xludf.DUMMYFUNCTION("GOOGLETRANSLATE(C369, ""en"", ""hi"")"),"A) गिल्ली को खेल में माना जाता है। , B) गिल्ली को सीमा से बाहर माना जाता है। , C) पेड़ की छाल साफ होने तक खेल को रोक दिया जाता है। , D) खिलाड़ी OOO को एक और मौका दिया जाता है।")</f>
        <v>A) गिल्ली को खेल में माना जाता है। , B) गिल्ली को सीमा से बाहर माना जाता है। , C) पेड़ की छाल साफ होने तक खेल को रोक दिया जाता है। , D) खिलाड़ी OOO को एक और मौका दिया जाता है।</v>
      </c>
      <c r="I369" s="5" t="str">
        <f>IFERROR(__xludf.DUMMYFUNCTION("GOOGLETRANSLATE(D369, ""en"", ""hi"")"),"बी) गिल्ली को सीमा से बाहर माना जाता है।")</f>
        <v>बी) गिल्ली को सीमा से बाहर माना जाता है।</v>
      </c>
    </row>
    <row r="370" ht="22.5" customHeight="1">
      <c r="A370" s="2">
        <v>369.0</v>
      </c>
      <c r="B370" s="3" t="s">
        <v>12007</v>
      </c>
      <c r="C370" s="3" t="s">
        <v>12008</v>
      </c>
      <c r="D370" s="3" t="s">
        <v>11266</v>
      </c>
      <c r="F370" s="5" t="str">
        <f>IFERROR(__xludf.DUMMYFUNCTION("GOOGLETRANSLATE(A370, ""en"", ""hi"")"),"369")</f>
        <v>369</v>
      </c>
      <c r="G370" s="5" t="str">
        <f>IFERROR(__xludf.DUMMYFUNCTION("GOOGLETRANSLATE(B370, ""en"", ""hi"")"),"खिलाड़ी PPP गिल्ली मारता है और वह बड़े पत्थरों के ढेर से घिरी सतह पर गिरती है। इस हिट का मूल्यांकन कैसे किया जाना चाहिए?")</f>
        <v>खिलाड़ी PPP गिल्ली मारता है और वह बड़े पत्थरों के ढेर से घिरी सतह पर गिरती है। इस हिट का मूल्यांकन कैसे किया जाना चाहिए?</v>
      </c>
      <c r="H370" s="5" t="str">
        <f>IFERROR(__xludf.DUMMYFUNCTION("GOOGLETRANSLATE(C370, ""en"", ""hi"")"),"A) गिल्ली को खेल में माना जाता है। , B) गिल्ली को सीमा से बाहर माना जाता है। , C) पत्थर साफ होने तक खेल को रोक दिया जाता है। , D) खिलाड़ी पीपीपी को एक और मौका दिया जाता है।")</f>
        <v>A) गिल्ली को खेल में माना जाता है। , B) गिल्ली को सीमा से बाहर माना जाता है। , C) पत्थर साफ होने तक खेल को रोक दिया जाता है। , D) खिलाड़ी पीपीपी को एक और मौका दिया जाता है।</v>
      </c>
      <c r="I370" s="5" t="str">
        <f>IFERROR(__xludf.DUMMYFUNCTION("GOOGLETRANSLATE(D370, ""en"", ""hi"")"),"बी) गिल्ली को सीमा से बाहर माना जाता है।")</f>
        <v>बी) गिल्ली को सीमा से बाहर माना जाता है।</v>
      </c>
    </row>
    <row r="371" ht="22.5" customHeight="1">
      <c r="A371" s="2">
        <v>370.0</v>
      </c>
      <c r="B371" s="3" t="s">
        <v>12009</v>
      </c>
      <c r="C371" s="3" t="s">
        <v>12010</v>
      </c>
      <c r="D371" s="3" t="s">
        <v>11314</v>
      </c>
      <c r="F371" s="5" t="str">
        <f>IFERROR(__xludf.DUMMYFUNCTION("GOOGLETRANSLATE(A371, ""en"", ""hi"")"),"370")</f>
        <v>370</v>
      </c>
      <c r="G371" s="5" t="str">
        <f>IFERROR(__xludf.DUMMYFUNCTION("GOOGLETRANSLATE(B371, ""en"", ""hi"")"),"खिलाड़ी QQQ गिल्ली मारता है और वह गीली पत्तियों की परत से ढकी सतह पर गिरती है। इस हिट के लिए उपयुक्त नियम क्या है?")</f>
        <v>खिलाड़ी QQQ गिल्ली मारता है और वह गीली पत्तियों की परत से ढकी सतह पर गिरती है। इस हिट के लिए उपयुक्त नियम क्या है?</v>
      </c>
      <c r="H371" s="5" t="str">
        <f>IFERROR(__xludf.DUMMYFUNCTION("GOOGLETRANSLATE(C371, ""en"", ""hi"")"),"A) गिल्ली को खेल से बाहर माना जाता है। , B) गिल्ली को खेल में माना जाता है। , C) पत्ते सूखने तक खेल रोक दिया जाता है। , D) खिलाड़ी QQQ को एक और मौका दिया जाता है।")</f>
        <v>A) गिल्ली को खेल से बाहर माना जाता है। , B) गिल्ली को खेल में माना जाता है। , C) पत्ते सूखने तक खेल रोक दिया जाता है। , D) खिलाड़ी QQQ को एक और मौका दिया जाता है।</v>
      </c>
      <c r="I371" s="5" t="str">
        <f>IFERROR(__xludf.DUMMYFUNCTION("GOOGLETRANSLATE(D371, ""en"", ""hi"")"),"अ) गिल्ली को सीमा से बाहर माना जाता है।")</f>
        <v>अ) गिल्ली को सीमा से बाहर माना जाता है।</v>
      </c>
    </row>
    <row r="372" ht="22.5" customHeight="1">
      <c r="A372" s="2">
        <v>371.0</v>
      </c>
      <c r="B372" s="3" t="s">
        <v>12011</v>
      </c>
      <c r="C372" s="3" t="s">
        <v>12012</v>
      </c>
      <c r="D372" s="3" t="s">
        <v>11266</v>
      </c>
      <c r="F372" s="5" t="str">
        <f>IFERROR(__xludf.DUMMYFUNCTION("GOOGLETRANSLATE(A372, ""en"", ""hi"")"),"371")</f>
        <v>371</v>
      </c>
      <c r="G372" s="5" t="str">
        <f>IFERROR(__xludf.DUMMYFUNCTION("GOOGLETRANSLATE(B372, ""en"", ""hi"")"),"खिलाड़ी RRR गिल्ली मारता है और वह घास की परत से ढकी सतह पर गिरती है। इस हिट की व्याख्या कैसे की जानी चाहिए?")</f>
        <v>खिलाड़ी RRR गिल्ली मारता है और वह घास की परत से ढकी सतह पर गिरती है। इस हिट की व्याख्या कैसे की जानी चाहिए?</v>
      </c>
      <c r="H372" s="5" t="str">
        <f>IFERROR(__xludf.DUMMYFUNCTION("GOOGLETRANSLATE(C372, ""en"", ""hi"")"),"A) गिल्ली को खेल में माना जाता है। , B) गिल्ली को सीमा से बाहर माना जाता है। , C) घास की कतरनें हटाए जाने तक खेल को रोक दिया जाता है। , D) खिलाड़ी RRR को एक और मौका दिया जाता है।")</f>
        <v>A) गिल्ली को खेल में माना जाता है। , B) गिल्ली को सीमा से बाहर माना जाता है। , C) घास की कतरनें हटाए जाने तक खेल को रोक दिया जाता है। , D) खिलाड़ी RRR को एक और मौका दिया जाता है।</v>
      </c>
      <c r="I372" s="5" t="str">
        <f>IFERROR(__xludf.DUMMYFUNCTION("GOOGLETRANSLATE(D372, ""en"", ""hi"")"),"बी) गिल्ली को सीमा से बाहर माना जाता है।")</f>
        <v>बी) गिल्ली को सीमा से बाहर माना जाता है।</v>
      </c>
    </row>
    <row r="373" ht="22.5" customHeight="1">
      <c r="A373" s="2">
        <v>372.0</v>
      </c>
      <c r="B373" s="3" t="s">
        <v>12013</v>
      </c>
      <c r="C373" s="3" t="s">
        <v>12014</v>
      </c>
      <c r="D373" s="3" t="s">
        <v>11376</v>
      </c>
      <c r="F373" s="5" t="str">
        <f>IFERROR(__xludf.DUMMYFUNCTION("GOOGLETRANSLATE(A373, ""en"", ""hi"")"),"372")</f>
        <v>372</v>
      </c>
      <c r="G373" s="5" t="str">
        <f>IFERROR(__xludf.DUMMYFUNCTION("GOOGLETRANSLATE(B373, ""en"", ""hi"")"),"खिलाड़ी SSS गिल्ली को मारता है और वह कंकड़ और कीचड़ से ढकी सतह पर गिरती है। इस स्थिति में क्या नियम है?")</f>
        <v>खिलाड़ी SSS गिल्ली को मारता है और वह कंकड़ और कीचड़ से ढकी सतह पर गिरती है। इस स्थिति में क्या नियम है?</v>
      </c>
      <c r="H373" s="5" t="str">
        <f>IFERROR(__xludf.DUMMYFUNCTION("GOOGLETRANSLATE(C373, ""en"", ""hi"")"),"A) गिल्ली को खेल से बाहर माना जाता है। , B) गिल्ली को खेल में माना जाता है। , C) खेल को तब तक रोक दिया जाता है जब तक कि कंकड़ और कीचड़ साफ नहीं हो जाते। , D) खिलाड़ी SSS को एक और मौका दिया जाता है।")</f>
        <v>A) गिल्ली को खेल से बाहर माना जाता है। , B) गिल्ली को खेल में माना जाता है। , C) खेल को तब तक रोक दिया जाता है जब तक कि कंकड़ और कीचड़ साफ नहीं हो जाते। , D) खिलाड़ी SSS को एक और मौका दिया जाता है।</v>
      </c>
      <c r="I373" s="5" t="str">
        <f>IFERROR(__xludf.DUMMYFUNCTION("GOOGLETRANSLATE(D373, ""en"", ""hi"")"),"बी) गिल्ली को खेल में शामिल माना जाता है।")</f>
        <v>बी) गिल्ली को खेल में शामिल माना जाता है।</v>
      </c>
    </row>
    <row r="374" ht="22.5" customHeight="1">
      <c r="A374" s="2">
        <v>373.0</v>
      </c>
      <c r="B374" s="3" t="s">
        <v>12015</v>
      </c>
      <c r="C374" s="3" t="s">
        <v>12016</v>
      </c>
      <c r="D374" s="3" t="s">
        <v>11278</v>
      </c>
      <c r="F374" s="5" t="str">
        <f>IFERROR(__xludf.DUMMYFUNCTION("GOOGLETRANSLATE(A374, ""en"", ""hi"")"),"373")</f>
        <v>373</v>
      </c>
      <c r="G374" s="5" t="str">
        <f>IFERROR(__xludf.DUMMYFUNCTION("GOOGLETRANSLATE(B374, ""en"", ""hi"")"),"खिलाड़ी TTT गिल्ली को मारता है और वह पुराने कपड़ों की परत से ढकी सतह पर गिरती है। इस हिट का मूल्यांकन कैसे किया जाना चाहिए?")</f>
        <v>खिलाड़ी TTT गिल्ली को मारता है और वह पुराने कपड़ों की परत से ढकी सतह पर गिरती है। इस हिट का मूल्यांकन कैसे किया जाना चाहिए?</v>
      </c>
      <c r="H374" s="5" t="str">
        <f>IFERROR(__xludf.DUMMYFUNCTION("GOOGLETRANSLATE(C374, ""en"", ""hi"")"),"A) गिल्ली को खेल में माना जाता है। , B) गिल्ली को सीमा से बाहर माना जाता है। , C) कपड़े उतारे जाने तक खेल को रोक दिया जाता है। , D) खिलाड़ी TTT को एक और मौका दिया जाता है।")</f>
        <v>A) गिल्ली को खेल में माना जाता है। , B) गिल्ली को सीमा से बाहर माना जाता है। , C) कपड़े उतारे जाने तक खेल को रोक दिया जाता है। , D) खिलाड़ी TTT को एक और मौका दिया जाता है।</v>
      </c>
      <c r="I374" s="5" t="str">
        <f>IFERROR(__xludf.DUMMYFUNCTION("GOOGLETRANSLATE(D374, ""en"", ""hi"")"),"अ) गिल्ली को खेल में शामिल माना जाता है।")</f>
        <v>अ) गिल्ली को खेल में शामिल माना जाता है।</v>
      </c>
    </row>
    <row r="375" ht="22.5" customHeight="1">
      <c r="A375" s="2">
        <v>374.0</v>
      </c>
      <c r="B375" s="3" t="s">
        <v>12017</v>
      </c>
      <c r="C375" s="3" t="s">
        <v>12018</v>
      </c>
      <c r="D375" s="3" t="s">
        <v>11314</v>
      </c>
      <c r="F375" s="5" t="str">
        <f>IFERROR(__xludf.DUMMYFUNCTION("GOOGLETRANSLATE(A375, ""en"", ""hi"")"),"374")</f>
        <v>374</v>
      </c>
      <c r="G375" s="5" t="str">
        <f>IFERROR(__xludf.DUMMYFUNCTION("GOOGLETRANSLATE(B375, ""en"", ""hi"")"),"खिलाड़ी UUU गिल्ली मारता है और वह कूड़े के ढेर से घिरी सतह पर गिरती है। इस हिट के लिए उपयुक्त नियम क्या है?")</f>
        <v>खिलाड़ी UUU गिल्ली मारता है और वह कूड़े के ढेर से घिरी सतह पर गिरती है। इस हिट के लिए उपयुक्त नियम क्या है?</v>
      </c>
      <c r="H375" s="5" t="str">
        <f>IFERROR(__xludf.DUMMYFUNCTION("GOOGLETRANSLATE(C375, ""en"", ""hi"")"),"A) गिल्ली को सीमा से बाहर माना जाता है। , B) गिल्ली को खेल में माना जाता है। , C) कचरा साफ़ होने तक खेल को रोक दिया जाता है। , D) खिलाड़ी UUU को एक और मौका दिया जाता है।")</f>
        <v>A) गिल्ली को सीमा से बाहर माना जाता है। , B) गिल्ली को खेल में माना जाता है। , C) कचरा साफ़ होने तक खेल को रोक दिया जाता है। , D) खिलाड़ी UUU को एक और मौका दिया जाता है।</v>
      </c>
      <c r="I375" s="5" t="str">
        <f>IFERROR(__xludf.DUMMYFUNCTION("GOOGLETRANSLATE(D375, ""en"", ""hi"")"),"अ) गिल्ली को सीमा से बाहर माना जाता है।")</f>
        <v>अ) गिल्ली को सीमा से बाहर माना जाता है।</v>
      </c>
    </row>
    <row r="376" ht="22.5" customHeight="1">
      <c r="A376" s="2">
        <v>375.0</v>
      </c>
      <c r="B376" s="3" t="s">
        <v>12019</v>
      </c>
      <c r="C376" s="3" t="s">
        <v>12020</v>
      </c>
      <c r="D376" s="3" t="s">
        <v>11266</v>
      </c>
      <c r="F376" s="5" t="str">
        <f>IFERROR(__xludf.DUMMYFUNCTION("GOOGLETRANSLATE(A376, ""en"", ""hi"")"),"375")</f>
        <v>375</v>
      </c>
      <c r="G376" s="5" t="str">
        <f>IFERROR(__xludf.DUMMYFUNCTION("GOOGLETRANSLATE(B376, ""en"", ""hi"")"),"खिलाड़ी VVV गिल्ली मारता है और वह बर्फ और पत्तों की परत से ढकी सतह पर गिरती है। इस हिट का नियम क्या है?")</f>
        <v>खिलाड़ी VVV गिल्ली मारता है और वह बर्फ और पत्तों की परत से ढकी सतह पर गिरती है। इस हिट का नियम क्या है?</v>
      </c>
      <c r="H376" s="5" t="str">
        <f>IFERROR(__xludf.DUMMYFUNCTION("GOOGLETRANSLATE(C376, ""en"", ""hi"")"),"A) गिल्ली को खेल में माना जाता है। , B) गिल्ली को सीमा से बाहर माना जाता है। , C) खेल को तब तक रोक दिया जाता है जब तक बर्फ और पत्तियां साफ नहीं हो जातीं। , D) खिलाड़ी VVV को एक और मौका दिया जाता है।")</f>
        <v>A) गिल्ली को खेल में माना जाता है। , B) गिल्ली को सीमा से बाहर माना जाता है। , C) खेल को तब तक रोक दिया जाता है जब तक बर्फ और पत्तियां साफ नहीं हो जातीं। , D) खिलाड़ी VVV को एक और मौका दिया जाता है।</v>
      </c>
      <c r="I376" s="5" t="str">
        <f>IFERROR(__xludf.DUMMYFUNCTION("GOOGLETRANSLATE(D376, ""en"", ""hi"")"),"बी) गिल्ली को सीमा से बाहर माना जाता है।")</f>
        <v>बी) गिल्ली को सीमा से बाहर माना जाता है।</v>
      </c>
    </row>
    <row r="377" ht="22.5" customHeight="1">
      <c r="A377" s="2">
        <v>376.0</v>
      </c>
      <c r="B377" s="3" t="s">
        <v>11866</v>
      </c>
      <c r="C377" s="3" t="s">
        <v>12021</v>
      </c>
      <c r="D377" s="3" t="s">
        <v>11376</v>
      </c>
      <c r="F377" s="5" t="str">
        <f>IFERROR(__xludf.DUMMYFUNCTION("GOOGLETRANSLATE(A377, ""en"", ""hi"")"),"376")</f>
        <v>376</v>
      </c>
      <c r="G377" s="5" t="str">
        <f>IFERROR(__xludf.DUMMYFUNCTION("GOOGLETRANSLATE(B377, ""en"", ""hi"")"),"खिलाड़ी WWW गिल्ली को मारता है और वह सूखी रेत की परत से ढकी सतह पर गिरती है। इस स्थिति में क्या नियम है?")</f>
        <v>खिलाड़ी WWW गिल्ली को मारता है और वह सूखी रेत की परत से ढकी सतह पर गिरती है। इस स्थिति में क्या नियम है?</v>
      </c>
      <c r="H377" s="5" t="str">
        <f>IFERROR(__xludf.DUMMYFUNCTION("GOOGLETRANSLATE(C377, ""en"", ""hi"")"),"A) गिल्ली को सीमा से बाहर माना जाता है। , B) गिल्ली को खेल में माना जाता है। , C) रेत साफ होने तक खेल को रोक दिया जाता है। , D) खिलाड़ी WWW को एक और मौका दिया जाता है।")</f>
        <v>A) गिल्ली को सीमा से बाहर माना जाता है। , B) गिल्ली को खेल में माना जाता है। , C) रेत साफ होने तक खेल को रोक दिया जाता है। , D) खिलाड़ी WWW को एक और मौका दिया जाता है।</v>
      </c>
      <c r="I377" s="5" t="str">
        <f>IFERROR(__xludf.DUMMYFUNCTION("GOOGLETRANSLATE(D377, ""en"", ""hi"")"),"बी) गिल्ली को खेल में शामिल माना जाता है।")</f>
        <v>बी) गिल्ली को खेल में शामिल माना जाता है।</v>
      </c>
    </row>
    <row r="378" ht="22.5" customHeight="1">
      <c r="A378" s="2">
        <v>377.0</v>
      </c>
      <c r="B378" s="3" t="s">
        <v>12022</v>
      </c>
      <c r="C378" s="3" t="s">
        <v>12023</v>
      </c>
      <c r="D378" s="3" t="s">
        <v>11278</v>
      </c>
      <c r="F378" s="5" t="str">
        <f>IFERROR(__xludf.DUMMYFUNCTION("GOOGLETRANSLATE(A378, ""en"", ""hi"")"),"377")</f>
        <v>377</v>
      </c>
      <c r="G378" s="5" t="str">
        <f>IFERROR(__xludf.DUMMYFUNCTION("GOOGLETRANSLATE(B378, ""en"", ""hi"")"),"खिलाड़ी XXX गिल्ली पर प्रहार करता है और वह ईंटों के ढेर से घिरी सतह पर गिरती है। इस प्रहार का मूल्यांकन कैसे किया जाना चाहिए?")</f>
        <v>खिलाड़ी XXX गिल्ली पर प्रहार करता है और वह ईंटों के ढेर से घिरी सतह पर गिरती है। इस प्रहार का मूल्यांकन कैसे किया जाना चाहिए?</v>
      </c>
      <c r="H378" s="5" t="str">
        <f>IFERROR(__xludf.DUMMYFUNCTION("GOOGLETRANSLATE(C378, ""en"", ""hi"")"),"A) गिल्ली को खेल में माना जाता है। , B) गिल्ली को सीमा से बाहर माना जाता है। , C) ईंटों के साफ होने तक खेल को रोक दिया जाता है। , D) खिलाड़ी XXX को एक और मौका दिया जाता है।")</f>
        <v>A) गिल्ली को खेल में माना जाता है। , B) गिल्ली को सीमा से बाहर माना जाता है। , C) ईंटों के साफ होने तक खेल को रोक दिया जाता है। , D) खिलाड़ी XXX को एक और मौका दिया जाता है।</v>
      </c>
      <c r="I378" s="5" t="str">
        <f>IFERROR(__xludf.DUMMYFUNCTION("GOOGLETRANSLATE(D378, ""en"", ""hi"")"),"अ) गिल्ली को खेल में शामिल माना जाता है।")</f>
        <v>अ) गिल्ली को खेल में शामिल माना जाता है।</v>
      </c>
    </row>
    <row r="379" ht="22.5" customHeight="1">
      <c r="A379" s="2">
        <v>378.0</v>
      </c>
      <c r="B379" s="3" t="s">
        <v>12024</v>
      </c>
      <c r="C379" s="3" t="s">
        <v>12025</v>
      </c>
      <c r="D379" s="3" t="s">
        <v>11278</v>
      </c>
      <c r="F379" s="5" t="str">
        <f>IFERROR(__xludf.DUMMYFUNCTION("GOOGLETRANSLATE(A379, ""en"", ""hi"")"),"378")</f>
        <v>378</v>
      </c>
      <c r="G379" s="5" t="str">
        <f>IFERROR(__xludf.DUMMYFUNCTION("GOOGLETRANSLATE(B379, ""en"", ""hi"")"),"खिलाड़ी YYY गिल्ली मारता है और वह सब्ज़ियों के छिलकों से ढकी सतह पर गिरती है। इस हिट के लिए उपयुक्त नियम क्या है?")</f>
        <v>खिलाड़ी YYY गिल्ली मारता है और वह सब्ज़ियों के छिलकों से ढकी सतह पर गिरती है। इस हिट के लिए उपयुक्त नियम क्या है?</v>
      </c>
      <c r="H379" s="5" t="str">
        <f>IFERROR(__xludf.DUMMYFUNCTION("GOOGLETRANSLATE(C379, ""en"", ""hi"")"),"A) गिल्ली को खेल में माना जाता है। , B) गिल्ली को सीमा से बाहर माना जाता है। , C) खेल को तब तक रोक दिया जाता है जब तक कि छिलके साफ नहीं हो जाते। , D) खिलाड़ी YYY को एक और मौका दिया जाता है।")</f>
        <v>A) गिल्ली को खेल में माना जाता है। , B) गिल्ली को सीमा से बाहर माना जाता है। , C) खेल को तब तक रोक दिया जाता है जब तक कि छिलके साफ नहीं हो जाते। , D) खिलाड़ी YYY को एक और मौका दिया जाता है।</v>
      </c>
      <c r="I379" s="5" t="str">
        <f>IFERROR(__xludf.DUMMYFUNCTION("GOOGLETRANSLATE(D379, ""en"", ""hi"")"),"अ) गिल्ली को खेल में शामिल माना जाता है।")</f>
        <v>अ) गिल्ली को खेल में शामिल माना जाता है।</v>
      </c>
    </row>
    <row r="380" ht="22.5" customHeight="1">
      <c r="A380" s="2">
        <v>379.0</v>
      </c>
      <c r="B380" s="3" t="s">
        <v>12026</v>
      </c>
      <c r="C380" s="3" t="s">
        <v>12027</v>
      </c>
      <c r="D380" s="3" t="s">
        <v>11278</v>
      </c>
      <c r="F380" s="5" t="str">
        <f>IFERROR(__xludf.DUMMYFUNCTION("GOOGLETRANSLATE(A380, ""en"", ""hi"")"),"379")</f>
        <v>379</v>
      </c>
      <c r="G380" s="5" t="str">
        <f>IFERROR(__xludf.DUMMYFUNCTION("GOOGLETRANSLATE(B380, ""en"", ""hi"")"),"खिलाड़ी ZZZ गिल्ली मारता है और वह घास और टहनियों की परत से ढकी सतह पर गिरती है। इस हिट का नियम क्या है?")</f>
        <v>खिलाड़ी ZZZ गिल्ली मारता है और वह घास और टहनियों की परत से ढकी सतह पर गिरती है। इस हिट का नियम क्या है?</v>
      </c>
      <c r="H380" s="5" t="str">
        <f>IFERROR(__xludf.DUMMYFUNCTION("GOOGLETRANSLATE(C380, ""en"", ""hi"")"),"A) गिल्ली को खेल में माना जाता है। , B) गिल्ली को सीमा से बाहर माना जाता है। , C) घास और टहनियाँ साफ होने तक खेल को रोक दिया जाता है। , D) खिलाड़ी ZZZ को एक और मौका दिया जाता है।")</f>
        <v>A) गिल्ली को खेल में माना जाता है। , B) गिल्ली को सीमा से बाहर माना जाता है। , C) घास और टहनियाँ साफ होने तक खेल को रोक दिया जाता है। , D) खिलाड़ी ZZZ को एक और मौका दिया जाता है।</v>
      </c>
      <c r="I380" s="5" t="str">
        <f>IFERROR(__xludf.DUMMYFUNCTION("GOOGLETRANSLATE(D380, ""en"", ""hi"")"),"अ) गिल्ली को खेल में शामिल माना जाता है।")</f>
        <v>अ) गिल्ली को खेल में शामिल माना जाता है।</v>
      </c>
    </row>
    <row r="381" ht="22.5" customHeight="1">
      <c r="A381" s="2">
        <v>380.0</v>
      </c>
      <c r="B381" s="3" t="s">
        <v>12028</v>
      </c>
      <c r="C381" s="3" t="s">
        <v>12029</v>
      </c>
      <c r="D381" s="3" t="s">
        <v>11278</v>
      </c>
      <c r="F381" s="5" t="str">
        <f>IFERROR(__xludf.DUMMYFUNCTION("GOOGLETRANSLATE(A381, ""en"", ""hi"")"),"380")</f>
        <v>380</v>
      </c>
      <c r="G381" s="5" t="str">
        <f>IFERROR(__xludf.DUMMYFUNCTION("GOOGLETRANSLATE(B381, ""en"", ""hi"")"),"खिलाड़ी AAA गिल्ली पर वार करता है और वह फेंके गए खिलौनों के ढेर से ढकी सतह पर गिरती है। इस वार का नियम क्या होना चाहिए?")</f>
        <v>खिलाड़ी AAA गिल्ली पर वार करता है और वह फेंके गए खिलौनों के ढेर से ढकी सतह पर गिरती है। इस वार का नियम क्या होना चाहिए?</v>
      </c>
      <c r="H381" s="5" t="str">
        <f>IFERROR(__xludf.DUMMYFUNCTION("GOOGLETRANSLATE(C381, ""en"", ""hi"")"),"A) गिल्ली को खेल में माना जाता है। , B) गिल्ली को खेल से बाहर माना जाता है। , C) खेल को तब तक रोक दिया जाता है जब तक खिलौने हटा नहीं दिए जाते। , D) खिलाड़ी AAA को एक और मौका दिया जाता है।")</f>
        <v>A) गिल्ली को खेल में माना जाता है। , B) गिल्ली को खेल से बाहर माना जाता है। , C) खेल को तब तक रोक दिया जाता है जब तक खिलौने हटा नहीं दिए जाते। , D) खिलाड़ी AAA को एक और मौका दिया जाता है।</v>
      </c>
      <c r="I381" s="5" t="str">
        <f>IFERROR(__xludf.DUMMYFUNCTION("GOOGLETRANSLATE(D381, ""en"", ""hi"")"),"अ) गिल्ली को खेल में शामिल माना जाता है।")</f>
        <v>अ) गिल्ली को खेल में शामिल माना जाता है।</v>
      </c>
    </row>
    <row r="382" ht="22.5" customHeight="1">
      <c r="A382" s="2">
        <v>381.0</v>
      </c>
      <c r="B382" s="3" t="s">
        <v>12030</v>
      </c>
      <c r="C382" s="3" t="s">
        <v>11596</v>
      </c>
      <c r="D382" s="3" t="s">
        <v>11314</v>
      </c>
      <c r="F382" s="5" t="str">
        <f>IFERROR(__xludf.DUMMYFUNCTION("GOOGLETRANSLATE(A382, ""en"", ""hi"")"),"381")</f>
        <v>381</v>
      </c>
      <c r="G382" s="5" t="str">
        <f>IFERROR(__xludf.DUMMYFUNCTION("GOOGLETRANSLATE(B382, ""en"", ""hi"")"),"खिलाड़ी BBB गिल्ली मारता है और वह पुराने टायरों की परत से ढकी सतह पर गिरती है। इस हिट का मूल्यांकन कैसे किया जाना चाहिए?")</f>
        <v>खिलाड़ी BBB गिल्ली मारता है और वह पुराने टायरों की परत से ढकी सतह पर गिरती है। इस हिट का मूल्यांकन कैसे किया जाना चाहिए?</v>
      </c>
      <c r="H382" s="5" t="str">
        <f>IFERROR(__xludf.DUMMYFUNCTION("GOOGLETRANSLATE(C382, ""en"", ""hi"")"),"A) गिल्ली को सीमा से बाहर माना जाता है। , B) गिल्ली को खेल में माना जाता है। , C) खेल को तब तक रोक दिया जाता है जब तक टायर हटा नहीं दिए जाते। , D) खिलाड़ी BBB को एक और मौका दिया जाता है।")</f>
        <v>A) गिल्ली को सीमा से बाहर माना जाता है। , B) गिल्ली को खेल में माना जाता है। , C) खेल को तब तक रोक दिया जाता है जब तक टायर हटा नहीं दिए जाते। , D) खिलाड़ी BBB को एक और मौका दिया जाता है।</v>
      </c>
      <c r="I382" s="5" t="str">
        <f>IFERROR(__xludf.DUMMYFUNCTION("GOOGLETRANSLATE(D382, ""en"", ""hi"")"),"अ) गिल्ली को सीमा से बाहर माना जाता है।")</f>
        <v>अ) गिल्ली को सीमा से बाहर माना जाता है।</v>
      </c>
    </row>
    <row r="383" ht="22.5" customHeight="1">
      <c r="A383" s="2">
        <v>382.0</v>
      </c>
      <c r="B383" s="3" t="s">
        <v>12031</v>
      </c>
      <c r="C383" s="3" t="s">
        <v>12032</v>
      </c>
      <c r="D383" s="3" t="s">
        <v>11376</v>
      </c>
      <c r="F383" s="5" t="str">
        <f>IFERROR(__xludf.DUMMYFUNCTION("GOOGLETRANSLATE(A383, ""en"", ""hi"")"),"382")</f>
        <v>382</v>
      </c>
      <c r="G383" s="5" t="str">
        <f>IFERROR(__xludf.DUMMYFUNCTION("GOOGLETRANSLATE(B383, ""en"", ""hi"")"),"खिलाड़ी CCC गिल्ली को मारता है और वह एक ऐसी सतह पर गिरती है जिस पर खाने के रैपर की एक परत जमी होती है। इस स्थिति में क्या नियम है?")</f>
        <v>खिलाड़ी CCC गिल्ली को मारता है और वह एक ऐसी सतह पर गिरती है जिस पर खाने के रैपर की एक परत जमी होती है। इस स्थिति में क्या नियम है?</v>
      </c>
      <c r="H383" s="5" t="str">
        <f>IFERROR(__xludf.DUMMYFUNCTION("GOOGLETRANSLATE(C383, ""en"", ""hi"")"),"A) गिल्ली को सीमा से बाहर माना जाता है। , B) गिल्ली को खेल में माना जाता है। , C) रैपर साफ़ होने तक खेल को रोक दिया जाता है। , D) खिलाड़ी CCC को एक और मौका दिया जाता है।")</f>
        <v>A) गिल्ली को सीमा से बाहर माना जाता है। , B) गिल्ली को खेल में माना जाता है। , C) रैपर साफ़ होने तक खेल को रोक दिया जाता है। , D) खिलाड़ी CCC को एक और मौका दिया जाता है।</v>
      </c>
      <c r="I383" s="5" t="str">
        <f>IFERROR(__xludf.DUMMYFUNCTION("GOOGLETRANSLATE(D383, ""en"", ""hi"")"),"बी) गिल्ली को खेल में शामिल माना जाता है।")</f>
        <v>बी) गिल्ली को खेल में शामिल माना जाता है।</v>
      </c>
    </row>
    <row r="384" ht="22.5" customHeight="1">
      <c r="A384" s="2">
        <v>383.0</v>
      </c>
      <c r="B384" s="3" t="s">
        <v>12033</v>
      </c>
      <c r="C384" s="3" t="s">
        <v>12034</v>
      </c>
      <c r="D384" s="3" t="s">
        <v>11278</v>
      </c>
      <c r="F384" s="5" t="str">
        <f>IFERROR(__xludf.DUMMYFUNCTION("GOOGLETRANSLATE(A384, ""en"", ""hi"")"),"383")</f>
        <v>383</v>
      </c>
      <c r="G384" s="5" t="str">
        <f>IFERROR(__xludf.DUMMYFUNCTION("GOOGLETRANSLATE(B384, ""en"", ""hi"")"),"खिलाड़ी DDD गिल्ली को मारता है और वह गीले अखबारों की परत से ढकी सतह पर गिरती है। इस हिट के लिए उपयुक्त नियम क्या है?")</f>
        <v>खिलाड़ी DDD गिल्ली को मारता है और वह गीले अखबारों की परत से ढकी सतह पर गिरती है। इस हिट के लिए उपयुक्त नियम क्या है?</v>
      </c>
      <c r="H384" s="5" t="str">
        <f>IFERROR(__xludf.DUMMYFUNCTION("GOOGLETRANSLATE(C384, ""en"", ""hi"")"),"A) गिल्ली को खेल में माना जाता है। , B) गिल्ली को सीमा से बाहर माना जाता है। , C) खेल को तब तक रोक दिया जाता है जब तक अखबार सूख नहीं जाते। , D) खिलाड़ी DDD को एक और मौका दिया जाता है।")</f>
        <v>A) गिल्ली को खेल में माना जाता है। , B) गिल्ली को सीमा से बाहर माना जाता है। , C) खेल को तब तक रोक दिया जाता है जब तक अखबार सूख नहीं जाते। , D) खिलाड़ी DDD को एक और मौका दिया जाता है।</v>
      </c>
      <c r="I384" s="5" t="str">
        <f>IFERROR(__xludf.DUMMYFUNCTION("GOOGLETRANSLATE(D384, ""en"", ""hi"")"),"अ) गिल्ली को खेल में शामिल माना जाता है।")</f>
        <v>अ) गिल्ली को खेल में शामिल माना जाता है।</v>
      </c>
    </row>
    <row r="385" ht="22.5" customHeight="1">
      <c r="A385" s="2">
        <v>384.0</v>
      </c>
      <c r="B385" s="3" t="s">
        <v>12035</v>
      </c>
      <c r="C385" s="3" t="s">
        <v>12036</v>
      </c>
      <c r="D385" s="3" t="s">
        <v>11314</v>
      </c>
      <c r="F385" s="5" t="str">
        <f>IFERROR(__xludf.DUMMYFUNCTION("GOOGLETRANSLATE(A385, ""en"", ""hi"")"),"384")</f>
        <v>384</v>
      </c>
      <c r="G385" s="5" t="str">
        <f>IFERROR(__xludf.DUMMYFUNCTION("GOOGLETRANSLATE(B385, ""en"", ""hi"")"),"खिलाड़ी EEE गिल्ली पर वार करता है और वह टूटी हुई ईंटों की परत से ढकी सतह पर गिरती है। इस वार का मूल्यांकन कैसे किया जाना चाहिए?")</f>
        <v>खिलाड़ी EEE गिल्ली पर वार करता है और वह टूटी हुई ईंटों की परत से ढकी सतह पर गिरती है। इस वार का मूल्यांकन कैसे किया जाना चाहिए?</v>
      </c>
      <c r="H385" s="5" t="str">
        <f>IFERROR(__xludf.DUMMYFUNCTION("GOOGLETRANSLATE(C385, ""en"", ""hi"")"),"A) गिल्ली को सीमा से बाहर माना जाता है। , B) गिल्ली को खेल में माना जाता है। , C) ईंटों के साफ होने तक खेल को रोक दिया जाता है। , D) खिलाड़ी EEE को एक और मौका दिया जाता है।")</f>
        <v>A) गिल्ली को सीमा से बाहर माना जाता है। , B) गिल्ली को खेल में माना जाता है। , C) ईंटों के साफ होने तक खेल को रोक दिया जाता है। , D) खिलाड़ी EEE को एक और मौका दिया जाता है।</v>
      </c>
      <c r="I385" s="5" t="str">
        <f>IFERROR(__xludf.DUMMYFUNCTION("GOOGLETRANSLATE(D385, ""en"", ""hi"")"),"अ) गिल्ली को सीमा से बाहर माना जाता है।")</f>
        <v>अ) गिल्ली को सीमा से बाहर माना जाता है।</v>
      </c>
    </row>
    <row r="386" ht="22.5" customHeight="1">
      <c r="A386" s="2">
        <v>385.0</v>
      </c>
      <c r="B386" s="3" t="s">
        <v>12037</v>
      </c>
      <c r="C386" s="3" t="s">
        <v>12038</v>
      </c>
      <c r="D386" s="3" t="s">
        <v>11314</v>
      </c>
      <c r="F386" s="5" t="str">
        <f>IFERROR(__xludf.DUMMYFUNCTION("GOOGLETRANSLATE(A386, ""en"", ""hi"")"),"385")</f>
        <v>385</v>
      </c>
      <c r="G386" s="5" t="str">
        <f>IFERROR(__xludf.DUMMYFUNCTION("GOOGLETRANSLATE(B386, ""en"", ""hi"")"),"खिलाड़ी FFF गिल्ली मारता है और वह बर्फ की परत से ढकी सतह पर गिरती है। इस हिट का नियम क्या है?")</f>
        <v>खिलाड़ी FFF गिल्ली मारता है और वह बर्फ की परत से ढकी सतह पर गिरती है। इस हिट का नियम क्या है?</v>
      </c>
      <c r="H386" s="5" t="str">
        <f>IFERROR(__xludf.DUMMYFUNCTION("GOOGLETRANSLATE(C386, ""en"", ""hi"")"),"A) गिल्ली को सीमा से बाहर माना जाता है। , B) गिल्ली को खेल में माना जाता है। , C) बर्फ साफ होने तक खेल को रोक दिया जाता है। , D) खिलाड़ी FFF को एक और मौका दिया जाता है।")</f>
        <v>A) गिल्ली को सीमा से बाहर माना जाता है। , B) गिल्ली को खेल में माना जाता है। , C) बर्फ साफ होने तक खेल को रोक दिया जाता है। , D) खिलाड़ी FFF को एक और मौका दिया जाता है।</v>
      </c>
      <c r="I386" s="5" t="str">
        <f>IFERROR(__xludf.DUMMYFUNCTION("GOOGLETRANSLATE(D386, ""en"", ""hi"")"),"अ) गिल्ली को सीमा से बाहर माना जाता है।")</f>
        <v>अ) गिल्ली को सीमा से बाहर माना जाता है।</v>
      </c>
    </row>
    <row r="387" ht="22.5" customHeight="1">
      <c r="A387" s="2">
        <v>386.0</v>
      </c>
      <c r="B387" s="3" t="s">
        <v>12039</v>
      </c>
      <c r="C387" s="3" t="s">
        <v>12040</v>
      </c>
      <c r="D387" s="3" t="s">
        <v>11314</v>
      </c>
      <c r="F387" s="5" t="str">
        <f>IFERROR(__xludf.DUMMYFUNCTION("GOOGLETRANSLATE(A387, ""en"", ""hi"")"),"386")</f>
        <v>386</v>
      </c>
      <c r="G387" s="5" t="str">
        <f>IFERROR(__xludf.DUMMYFUNCTION("GOOGLETRANSLATE(B387, ""en"", ""hi"")"),"खिलाड़ी GGG गिल्ली पर वार करता है और वह टूटे हुए काँच की परत से ढकी सतह पर गिरती है। इस वार की व्याख्या कैसे की जानी चाहिए?")</f>
        <v>खिलाड़ी GGG गिल्ली पर वार करता है और वह टूटे हुए काँच की परत से ढकी सतह पर गिरती है। इस वार की व्याख्या कैसे की जानी चाहिए?</v>
      </c>
      <c r="H387" s="5" t="str">
        <f>IFERROR(__xludf.DUMMYFUNCTION("GOOGLETRANSLATE(C387, ""en"", ""hi"")"),"A) गिल्ली को खेल से बाहर माना जाता है। , B) गिल्ली को खेल में माना जाता है। , C) खेल को तब तक रोक दिया जाता है जब तक गिलास हटा नहीं दिया जाता। , D) खिलाड़ी GGG को एक और मौका दिया जाता है।")</f>
        <v>A) गिल्ली को खेल से बाहर माना जाता है। , B) गिल्ली को खेल में माना जाता है। , C) खेल को तब तक रोक दिया जाता है जब तक गिलास हटा नहीं दिया जाता। , D) खिलाड़ी GGG को एक और मौका दिया जाता है।</v>
      </c>
      <c r="I387" s="5" t="str">
        <f>IFERROR(__xludf.DUMMYFUNCTION("GOOGLETRANSLATE(D387, ""en"", ""hi"")"),"अ) गिल्ली को सीमा से बाहर माना जाता है।")</f>
        <v>अ) गिल्ली को सीमा से बाहर माना जाता है।</v>
      </c>
    </row>
    <row r="388" ht="22.5" customHeight="1">
      <c r="A388" s="2">
        <v>387.0</v>
      </c>
      <c r="B388" s="3" t="s">
        <v>12041</v>
      </c>
      <c r="C388" s="3" t="s">
        <v>12042</v>
      </c>
      <c r="D388" s="3" t="s">
        <v>11376</v>
      </c>
      <c r="F388" s="5" t="str">
        <f>IFERROR(__xludf.DUMMYFUNCTION("GOOGLETRANSLATE(A388, ""en"", ""hi"")"),"387")</f>
        <v>387</v>
      </c>
      <c r="G388" s="5" t="str">
        <f>IFERROR(__xludf.DUMMYFUNCTION("GOOGLETRANSLATE(B388, ""en"", ""hi"")"),"खिलाड़ी HHH गिल्ली मारता है और वह सूखे पत्तों और टहनियों की परत से ढकी सतह पर गिरती है। इस हिट के लिए उपयुक्त नियम क्या है?")</f>
        <v>खिलाड़ी HHH गिल्ली मारता है और वह सूखे पत्तों और टहनियों की परत से ढकी सतह पर गिरती है। इस हिट के लिए उपयुक्त नियम क्या है?</v>
      </c>
      <c r="H388" s="5" t="str">
        <f>IFERROR(__xludf.DUMMYFUNCTION("GOOGLETRANSLATE(C388, ""en"", ""hi"")"),"A) गिल्ली को खेल से बाहर माना जाता है। , B) गिल्ली को खेल में माना जाता है। , C) खेल तब तक रुका रहता है जब तक पत्ते और टहनियाँ साफ नहीं हो जातीं। , D) खिलाड़ी HHH को एक और मौका दिया जाता है।")</f>
        <v>A) गिल्ली को खेल से बाहर माना जाता है। , B) गिल्ली को खेल में माना जाता है। , C) खेल तब तक रुका रहता है जब तक पत्ते और टहनियाँ साफ नहीं हो जातीं। , D) खिलाड़ी HHH को एक और मौका दिया जाता है।</v>
      </c>
      <c r="I388" s="5" t="str">
        <f>IFERROR(__xludf.DUMMYFUNCTION("GOOGLETRANSLATE(D388, ""en"", ""hi"")"),"बी) गिल्ली को खेल में शामिल माना जाता है।")</f>
        <v>बी) गिल्ली को खेल में शामिल माना जाता है।</v>
      </c>
    </row>
    <row r="389" ht="22.5" customHeight="1">
      <c r="A389" s="2">
        <v>388.0</v>
      </c>
      <c r="B389" s="3" t="s">
        <v>12043</v>
      </c>
      <c r="C389" s="3" t="s">
        <v>12044</v>
      </c>
      <c r="D389" s="3" t="s">
        <v>11278</v>
      </c>
      <c r="F389" s="5" t="str">
        <f>IFERROR(__xludf.DUMMYFUNCTION("GOOGLETRANSLATE(A389, ""en"", ""hi"")"),"388")</f>
        <v>388</v>
      </c>
      <c r="G389" s="5" t="str">
        <f>IFERROR(__xludf.DUMMYFUNCTION("GOOGLETRANSLATE(B389, ""en"", ""hi"")"),"खिलाड़ी III गिल्ली को मारता है और वह गीली मिट्टी और घास की परत से ढकी सतह पर गिरती है। इस स्थिति में क्या नियम है?")</f>
        <v>खिलाड़ी III गिल्ली को मारता है और वह गीली मिट्टी और घास की परत से ढकी सतह पर गिरती है। इस स्थिति में क्या नियम है?</v>
      </c>
      <c r="H389" s="5" t="str">
        <f>IFERROR(__xludf.DUMMYFUNCTION("GOOGLETRANSLATE(C389, ""en"", ""hi"")"),"A) गिल्ली को खेल में माना जाता है। , B) गिल्ली को सीमा से बाहर माना जाता है। , C) खेल को तब तक रोक दिया जाता है जब तक मिट्टी और घास साफ नहीं हो जाती। , D) खिलाड़ी III को एक और मौका दिया जाता है।")</f>
        <v>A) गिल्ली को खेल में माना जाता है। , B) गिल्ली को सीमा से बाहर माना जाता है। , C) खेल को तब तक रोक दिया जाता है जब तक मिट्टी और घास साफ नहीं हो जाती। , D) खिलाड़ी III को एक और मौका दिया जाता है।</v>
      </c>
      <c r="I389" s="5" t="str">
        <f>IFERROR(__xludf.DUMMYFUNCTION("GOOGLETRANSLATE(D389, ""en"", ""hi"")"),"अ) गिल्ली को खेल में शामिल माना जाता है।")</f>
        <v>अ) गिल्ली को खेल में शामिल माना जाता है।</v>
      </c>
    </row>
    <row r="390" ht="22.5" customHeight="1">
      <c r="A390" s="2">
        <v>389.0</v>
      </c>
      <c r="B390" s="3" t="s">
        <v>12045</v>
      </c>
      <c r="C390" s="3" t="s">
        <v>12046</v>
      </c>
      <c r="D390" s="3" t="s">
        <v>11278</v>
      </c>
      <c r="F390" s="5" t="str">
        <f>IFERROR(__xludf.DUMMYFUNCTION("GOOGLETRANSLATE(A390, ""en"", ""hi"")"),"389")</f>
        <v>389</v>
      </c>
      <c r="G390" s="5" t="str">
        <f>IFERROR(__xludf.DUMMYFUNCTION("GOOGLETRANSLATE(B390, ""en"", ""hi"")"),"खिलाड़ी JJJ गिल्ली मारता है और वह निर्माण सामग्री के ढेर से अवरुद्ध सतह पर गिरती है। इस हिट का मूल्यांकन कैसे किया जाना चाहिए?")</f>
        <v>खिलाड़ी JJJ गिल्ली मारता है और वह निर्माण सामग्री के ढेर से अवरुद्ध सतह पर गिरती है। इस हिट का मूल्यांकन कैसे किया जाना चाहिए?</v>
      </c>
      <c r="H390" s="5" t="str">
        <f>IFERROR(__xludf.DUMMYFUNCTION("GOOGLETRANSLATE(C390, ""en"", ""hi"")"),"A) गिल्ली को खेल में माना जाता है। , B) गिल्ली को सीमा से बाहर माना जाता है। , C) निर्माण सामग्री साफ होने तक खेल को रोक दिया जाता है। , D) खिलाड़ी JJJ को एक और मौका दिया जाता है।")</f>
        <v>A) गिल्ली को खेल में माना जाता है। , B) गिल्ली को सीमा से बाहर माना जाता है। , C) निर्माण सामग्री साफ होने तक खेल को रोक दिया जाता है। , D) खिलाड़ी JJJ को एक और मौका दिया जाता है।</v>
      </c>
      <c r="I390" s="5" t="str">
        <f>IFERROR(__xludf.DUMMYFUNCTION("GOOGLETRANSLATE(D390, ""en"", ""hi"")"),"अ) गिल्ली को खेल में शामिल माना जाता है।")</f>
        <v>अ) गिल्ली को खेल में शामिल माना जाता है।</v>
      </c>
    </row>
    <row r="391" ht="22.5" customHeight="1">
      <c r="A391" s="2">
        <v>390.0</v>
      </c>
      <c r="B391" s="3" t="s">
        <v>12047</v>
      </c>
      <c r="C391" s="3" t="s">
        <v>12048</v>
      </c>
      <c r="D391" s="3" t="s">
        <v>11278</v>
      </c>
      <c r="F391" s="5" t="str">
        <f>IFERROR(__xludf.DUMMYFUNCTION("GOOGLETRANSLATE(A391, ""en"", ""hi"")"),"390")</f>
        <v>390</v>
      </c>
      <c r="G391" s="5" t="str">
        <f>IFERROR(__xludf.DUMMYFUNCTION("GOOGLETRANSLATE(B391, ""en"", ""hi"")"),"खिलाड़ी KKK गिल्ली मारता है और वह कीचड़ और टहनियों की परत से ढकी सतह पर गिरती है। इस हिट के लिए उपयुक्त नियम क्या है?")</f>
        <v>खिलाड़ी KKK गिल्ली मारता है और वह कीचड़ और टहनियों की परत से ढकी सतह पर गिरती है। इस हिट के लिए उपयुक्त नियम क्या है?</v>
      </c>
      <c r="H391" s="5" t="str">
        <f>IFERROR(__xludf.DUMMYFUNCTION("GOOGLETRANSLATE(C391, ""en"", ""hi"")"),"A) गिल्ली को खेल में माना जाता है। , B) गिल्ली को सीमा से बाहर माना जाता है। , C) कीचड़ और टहनियाँ साफ होने तक खेल को रोक दिया जाता है। , D) खिलाड़ी केकेके को एक और मौका दिया जाता है।")</f>
        <v>A) गिल्ली को खेल में माना जाता है। , B) गिल्ली को सीमा से बाहर माना जाता है। , C) कीचड़ और टहनियाँ साफ होने तक खेल को रोक दिया जाता है। , D) खिलाड़ी केकेके को एक और मौका दिया जाता है।</v>
      </c>
      <c r="I391" s="5" t="str">
        <f>IFERROR(__xludf.DUMMYFUNCTION("GOOGLETRANSLATE(D391, ""en"", ""hi"")"),"अ) गिल्ली को खेल में शामिल माना जाता है।")</f>
        <v>अ) गिल्ली को खेल में शामिल माना जाता है।</v>
      </c>
    </row>
    <row r="392" ht="22.5" customHeight="1">
      <c r="A392" s="2">
        <v>391.0</v>
      </c>
      <c r="B392" s="3" t="s">
        <v>12049</v>
      </c>
      <c r="C392" s="3" t="s">
        <v>12050</v>
      </c>
      <c r="D392" s="3" t="s">
        <v>11376</v>
      </c>
      <c r="F392" s="5" t="str">
        <f>IFERROR(__xludf.DUMMYFUNCTION("GOOGLETRANSLATE(A392, ""en"", ""hi"")"),"391")</f>
        <v>391</v>
      </c>
      <c r="G392" s="5" t="str">
        <f>IFERROR(__xludf.DUMMYFUNCTION("GOOGLETRANSLATE(B392, ""en"", ""hi"")"),"खिलाड़ी LLL गिल्ली को मारता है और वह छोटे पत्थरों और रेत की परत से ढकी सतह पर गिरती है। इस स्थिति में क्या नियम है?")</f>
        <v>खिलाड़ी LLL गिल्ली को मारता है और वह छोटे पत्थरों और रेत की परत से ढकी सतह पर गिरती है। इस स्थिति में क्या नियम है?</v>
      </c>
      <c r="H392" s="5" t="str">
        <f>IFERROR(__xludf.DUMMYFUNCTION("GOOGLETRANSLATE(C392, ""en"", ""hi"")"),"A) गिल्ली को खेल से बाहर माना जाता है। , B) गिल्ली को खेल में माना जाता है। , C) पत्थर और रेत साफ होने तक खेल रोक दिया जाता है। , D) खिलाड़ी LLL को एक और मौका दिया जाता है।")</f>
        <v>A) गिल्ली को खेल से बाहर माना जाता है। , B) गिल्ली को खेल में माना जाता है। , C) पत्थर और रेत साफ होने तक खेल रोक दिया जाता है। , D) खिलाड़ी LLL को एक और मौका दिया जाता है।</v>
      </c>
      <c r="I392" s="5" t="str">
        <f>IFERROR(__xludf.DUMMYFUNCTION("GOOGLETRANSLATE(D392, ""en"", ""hi"")"),"बी) गिल्ली को खेल में शामिल माना जाता है।")</f>
        <v>बी) गिल्ली को खेल में शामिल माना जाता है।</v>
      </c>
    </row>
    <row r="393" ht="22.5" customHeight="1">
      <c r="A393" s="2">
        <v>392.0</v>
      </c>
      <c r="B393" s="3" t="s">
        <v>12051</v>
      </c>
      <c r="C393" s="3" t="s">
        <v>12052</v>
      </c>
      <c r="D393" s="3" t="s">
        <v>11266</v>
      </c>
      <c r="F393" s="5" t="str">
        <f>IFERROR(__xludf.DUMMYFUNCTION("GOOGLETRANSLATE(A393, ""en"", ""hi"")"),"392")</f>
        <v>392</v>
      </c>
      <c r="G393" s="5" t="str">
        <f>IFERROR(__xludf.DUMMYFUNCTION("GOOGLETRANSLATE(B393, ""en"", ""hi"")"),"खिलाड़ी MMM गिल्ली को मारता है और वह गीली पत्तियों और कीचड़ से ढकी सतह पर गिरती है। इस हिट का मूल्यांकन कैसे किया जाना चाहिए?")</f>
        <v>खिलाड़ी MMM गिल्ली को मारता है और वह गीली पत्तियों और कीचड़ से ढकी सतह पर गिरती है। इस हिट का मूल्यांकन कैसे किया जाना चाहिए?</v>
      </c>
      <c r="H393" s="5" t="str">
        <f>IFERROR(__xludf.DUMMYFUNCTION("GOOGLETRANSLATE(C393, ""en"", ""hi"")"),"A) गिल्ली को खेल में माना जाता है। , B) गिल्ली को सीमा से बाहर माना जाता है। , C) खेल को तब तक रोक दिया जाता है जब तक पत्ते और कीचड़ साफ नहीं हो जाते। , D) खिलाड़ी MMM को एक और मौका दिया जाता है।")</f>
        <v>A) गिल्ली को खेल में माना जाता है। , B) गिल्ली को सीमा से बाहर माना जाता है। , C) खेल को तब तक रोक दिया जाता है जब तक पत्ते और कीचड़ साफ नहीं हो जाते। , D) खिलाड़ी MMM को एक और मौका दिया जाता है।</v>
      </c>
      <c r="I393" s="5" t="str">
        <f>IFERROR(__xludf.DUMMYFUNCTION("GOOGLETRANSLATE(D393, ""en"", ""hi"")"),"बी) गिल्ली को सीमा से बाहर माना जाता है।")</f>
        <v>बी) गिल्ली को सीमा से बाहर माना जाता है।</v>
      </c>
    </row>
    <row r="394" ht="22.5" customHeight="1">
      <c r="A394" s="2">
        <v>393.0</v>
      </c>
      <c r="B394" s="3" t="s">
        <v>12053</v>
      </c>
      <c r="C394" s="3" t="s">
        <v>12054</v>
      </c>
      <c r="D394" s="3" t="s">
        <v>11376</v>
      </c>
      <c r="F394" s="5" t="str">
        <f>IFERROR(__xludf.DUMMYFUNCTION("GOOGLETRANSLATE(A394, ""en"", ""hi"")"),"393")</f>
        <v>393</v>
      </c>
      <c r="G394" s="5" t="str">
        <f>IFERROR(__xludf.DUMMYFUNCTION("GOOGLETRANSLATE(B394, ""en"", ""hi"")"),"खिलाड़ी NNN गिल्ली मारता है और वह गिरी हुई शाखाओं की परत से ढकी सतह पर गिरती है। इस हिट के लिए उपयुक्त नियम क्या है?")</f>
        <v>खिलाड़ी NNN गिल्ली मारता है और वह गिरी हुई शाखाओं की परत से ढकी सतह पर गिरती है। इस हिट के लिए उपयुक्त नियम क्या है?</v>
      </c>
      <c r="H394" s="5" t="str">
        <f>IFERROR(__xludf.DUMMYFUNCTION("GOOGLETRANSLATE(C394, ""en"", ""hi"")"),"A) गिल्ली को सीमा से बाहर माना जाता है। , B) गिल्ली को खेल में माना जाता है। , C) शाखाओं के साफ होने तक खेल को रोक दिया जाता है। , D) खिलाड़ी NNN को एक और मौका दिया जाता है।")</f>
        <v>A) गिल्ली को सीमा से बाहर माना जाता है। , B) गिल्ली को खेल में माना जाता है। , C) शाखाओं के साफ होने तक खेल को रोक दिया जाता है। , D) खिलाड़ी NNN को एक और मौका दिया जाता है।</v>
      </c>
      <c r="I394" s="5" t="str">
        <f>IFERROR(__xludf.DUMMYFUNCTION("GOOGLETRANSLATE(D394, ""en"", ""hi"")"),"बी) गिल्ली को खेल में शामिल माना जाता है।")</f>
        <v>बी) गिल्ली को खेल में शामिल माना जाता है।</v>
      </c>
    </row>
    <row r="395" ht="22.5" customHeight="1">
      <c r="A395" s="2">
        <v>394.0</v>
      </c>
      <c r="B395" s="3" t="s">
        <v>12055</v>
      </c>
      <c r="C395" s="3" t="s">
        <v>12056</v>
      </c>
      <c r="D395" s="3" t="s">
        <v>11314</v>
      </c>
      <c r="F395" s="5" t="str">
        <f>IFERROR(__xludf.DUMMYFUNCTION("GOOGLETRANSLATE(A395, ""en"", ""hi"")"),"394")</f>
        <v>394</v>
      </c>
      <c r="G395" s="5" t="str">
        <f>IFERROR(__xludf.DUMMYFUNCTION("GOOGLETRANSLATE(B395, ""en"", ""hi"")"),"खिलाड़ी OOO गिल्ली को मारता है और वह पुराने अखबारों और रेत की परत से ढकी सतह पर गिरती है। इस हिट का मूल्यांकन कैसे किया जाना चाहिए?")</f>
        <v>खिलाड़ी OOO गिल्ली को मारता है और वह पुराने अखबारों और रेत की परत से ढकी सतह पर गिरती है। इस हिट का मूल्यांकन कैसे किया जाना चाहिए?</v>
      </c>
      <c r="H395" s="5" t="str">
        <f>IFERROR(__xludf.DUMMYFUNCTION("GOOGLETRANSLATE(C395, ""en"", ""hi"")"),"A) गिल्ली को खेल से बाहर माना जाता है। , B) गिल्ली को खेल में माना जाता है। , C) खेल को तब तक रोक दिया जाता है जब तक अखबार और रेत साफ नहीं हो जाते। , D) खिलाड़ी OOO को एक और मौका दिया जाता है।")</f>
        <v>A) गिल्ली को खेल से बाहर माना जाता है। , B) गिल्ली को खेल में माना जाता है। , C) खेल को तब तक रोक दिया जाता है जब तक अखबार और रेत साफ नहीं हो जाते। , D) खिलाड़ी OOO को एक और मौका दिया जाता है।</v>
      </c>
      <c r="I395" s="5" t="str">
        <f>IFERROR(__xludf.DUMMYFUNCTION("GOOGLETRANSLATE(D395, ""en"", ""hi"")"),"अ) गिल्ली को सीमा से बाहर माना जाता है।")</f>
        <v>अ) गिल्ली को सीमा से बाहर माना जाता है।</v>
      </c>
    </row>
    <row r="396" ht="22.5" customHeight="1">
      <c r="A396" s="2">
        <v>395.0</v>
      </c>
      <c r="B396" s="3" t="s">
        <v>12057</v>
      </c>
      <c r="C396" s="3" t="s">
        <v>12058</v>
      </c>
      <c r="D396" s="3" t="s">
        <v>11314</v>
      </c>
      <c r="F396" s="5" t="str">
        <f>IFERROR(__xludf.DUMMYFUNCTION("GOOGLETRANSLATE(A396, ""en"", ""hi"")"),"395")</f>
        <v>395</v>
      </c>
      <c r="G396" s="5" t="str">
        <f>IFERROR(__xludf.DUMMYFUNCTION("GOOGLETRANSLATE(B396, ""en"", ""hi"")"),"खिलाड़ी PPP गिल्ली को मारता है और वह जलाऊ लकड़ी के ढेर से घिरी सतह पर गिरती है। इस स्थिति में क्या नियम है?")</f>
        <v>खिलाड़ी PPP गिल्ली को मारता है और वह जलाऊ लकड़ी के ढेर से घिरी सतह पर गिरती है। इस स्थिति में क्या नियम है?</v>
      </c>
      <c r="H396" s="5" t="str">
        <f>IFERROR(__xludf.DUMMYFUNCTION("GOOGLETRANSLATE(C396, ""en"", ""hi"")"),"A) गिल्ली को खेल के मैदान से बाहर माना जाता है। , B) गिल्ली को खेल में माना जाता है। , C) जब तक लकड़ी हटाई नहीं जाती तब तक खेल रोक दिया जाता है। , D) खिलाड़ी PPP को एक और मौका दिया जाता है।")</f>
        <v>A) गिल्ली को खेल के मैदान से बाहर माना जाता है। , B) गिल्ली को खेल में माना जाता है। , C) जब तक लकड़ी हटाई नहीं जाती तब तक खेल रोक दिया जाता है। , D) खिलाड़ी PPP को एक और मौका दिया जाता है।</v>
      </c>
      <c r="I396" s="5" t="str">
        <f>IFERROR(__xludf.DUMMYFUNCTION("GOOGLETRANSLATE(D396, ""en"", ""hi"")"),"अ) गिल्ली को सीमा से बाहर माना जाता है।")</f>
        <v>अ) गिल्ली को सीमा से बाहर माना जाता है।</v>
      </c>
    </row>
    <row r="397" ht="22.5" customHeight="1">
      <c r="A397" s="2">
        <v>396.0</v>
      </c>
      <c r="B397" s="3" t="s">
        <v>12059</v>
      </c>
      <c r="C397" s="3" t="s">
        <v>12060</v>
      </c>
      <c r="D397" s="3" t="s">
        <v>11314</v>
      </c>
      <c r="F397" s="5" t="str">
        <f>IFERROR(__xludf.DUMMYFUNCTION("GOOGLETRANSLATE(A397, ""en"", ""hi"")"),"396")</f>
        <v>396</v>
      </c>
      <c r="G397" s="5" t="str">
        <f>IFERROR(__xludf.DUMMYFUNCTION("GOOGLETRANSLATE(B397, ""en"", ""hi"")"),"खिलाड़ी QQQ गिल्ली को मारता है और वह गीली मिट्टी की परत से ढकी सतह पर गिरती है। इस प्रहार की व्याख्या कैसे की जानी चाहिए?")</f>
        <v>खिलाड़ी QQQ गिल्ली को मारता है और वह गीली मिट्टी की परत से ढकी सतह पर गिरती है। इस प्रहार की व्याख्या कैसे की जानी चाहिए?</v>
      </c>
      <c r="H397" s="5" t="str">
        <f>IFERROR(__xludf.DUMMYFUNCTION("GOOGLETRANSLATE(C397, ""en"", ""hi"")"),"A) गिल्ली को सीमा से बाहर माना जाता है। , B) गिल्ली को खेल में माना जाता है। , C) मिट्टी के सूखने तक खेल को रोक दिया जाता है। , D) खिलाड़ी QQQ को एक और मौका दिया जाता है।")</f>
        <v>A) गिल्ली को सीमा से बाहर माना जाता है। , B) गिल्ली को खेल में माना जाता है। , C) मिट्टी के सूखने तक खेल को रोक दिया जाता है। , D) खिलाड़ी QQQ को एक और मौका दिया जाता है।</v>
      </c>
      <c r="I397" s="5" t="str">
        <f>IFERROR(__xludf.DUMMYFUNCTION("GOOGLETRANSLATE(D397, ""en"", ""hi"")"),"अ) गिल्ली को सीमा से बाहर माना जाता है।")</f>
        <v>अ) गिल्ली को सीमा से बाहर माना जाता है।</v>
      </c>
    </row>
    <row r="398" ht="22.5" customHeight="1">
      <c r="A398" s="2">
        <v>397.0</v>
      </c>
      <c r="B398" s="3" t="s">
        <v>12061</v>
      </c>
      <c r="C398" s="3" t="s">
        <v>12062</v>
      </c>
      <c r="D398" s="3" t="s">
        <v>11278</v>
      </c>
      <c r="F398" s="5" t="str">
        <f>IFERROR(__xludf.DUMMYFUNCTION("GOOGLETRANSLATE(A398, ""en"", ""hi"")"),"397")</f>
        <v>397</v>
      </c>
      <c r="G398" s="5" t="str">
        <f>IFERROR(__xludf.DUMMYFUNCTION("GOOGLETRANSLATE(B398, ""en"", ""hi"")"),"खिलाड़ी AAA गिल्ली मारता है और वह धूल की एक पतली परत से ढकी सतह पर गिरती है। इस हिट का नियम क्या है?")</f>
        <v>खिलाड़ी AAA गिल्ली मारता है और वह धूल की एक पतली परत से ढकी सतह पर गिरती है। इस हिट का नियम क्या है?</v>
      </c>
      <c r="H398" s="5" t="str">
        <f>IFERROR(__xludf.DUMMYFUNCTION("GOOGLETRANSLATE(C398, ""en"", ""hi"")"),"A) गिल्ली को खेल में माना जाता है। , B) गिल्ली को सीमा से बाहर माना जाता है। , C) धूल साफ होने तक खेल को रोक दिया जाता है। , D) खिलाड़ी AAA को एक और मौका दिया जाता है।")</f>
        <v>A) गिल्ली को खेल में माना जाता है। , B) गिल्ली को सीमा से बाहर माना जाता है। , C) धूल साफ होने तक खेल को रोक दिया जाता है। , D) खिलाड़ी AAA को एक और मौका दिया जाता है।</v>
      </c>
      <c r="I398" s="5" t="str">
        <f>IFERROR(__xludf.DUMMYFUNCTION("GOOGLETRANSLATE(D398, ""en"", ""hi"")"),"अ) गिल्ली को खेल में शामिल माना जाता है।")</f>
        <v>अ) गिल्ली को खेल में शामिल माना जाता है।</v>
      </c>
    </row>
    <row r="399" ht="22.5" customHeight="1">
      <c r="A399" s="2">
        <v>398.0</v>
      </c>
      <c r="B399" s="3" t="s">
        <v>12063</v>
      </c>
      <c r="C399" s="3" t="s">
        <v>12064</v>
      </c>
      <c r="D399" s="3" t="s">
        <v>11314</v>
      </c>
      <c r="F399" s="5" t="str">
        <f>IFERROR(__xludf.DUMMYFUNCTION("GOOGLETRANSLATE(A399, ""en"", ""hi"")"),"398")</f>
        <v>398</v>
      </c>
      <c r="G399" s="5" t="str">
        <f>IFERROR(__xludf.DUMMYFUNCTION("GOOGLETRANSLATE(B399, ""en"", ""hi"")"),"खिलाड़ी BBB गिल्ली मारता है और वह गीली घास की परत से ढकी सतह पर गिरती है। इस हिट का नियम क्या होना चाहिए?")</f>
        <v>खिलाड़ी BBB गिल्ली मारता है और वह गीली घास की परत से ढकी सतह पर गिरती है। इस हिट का नियम क्या होना चाहिए?</v>
      </c>
      <c r="H399" s="5" t="str">
        <f>IFERROR(__xludf.DUMMYFUNCTION("GOOGLETRANSLATE(C399, ""en"", ""hi"")"),"A) गिल्ली को खेल से बाहर माना जाता है। , B) गिल्ली को खेल में माना जाता है। , C) घास सूखने तक खेल रोक दिया जाता है। , D) खिलाड़ी BBB को एक और मौका दिया जाता है।")</f>
        <v>A) गिल्ली को खेल से बाहर माना जाता है। , B) गिल्ली को खेल में माना जाता है। , C) घास सूखने तक खेल रोक दिया जाता है। , D) खिलाड़ी BBB को एक और मौका दिया जाता है।</v>
      </c>
      <c r="I399" s="5" t="str">
        <f>IFERROR(__xludf.DUMMYFUNCTION("GOOGLETRANSLATE(D399, ""en"", ""hi"")"),"अ) गिल्ली को सीमा से बाहर माना जाता है।")</f>
        <v>अ) गिल्ली को सीमा से बाहर माना जाता है।</v>
      </c>
    </row>
    <row r="400" ht="22.5" customHeight="1">
      <c r="A400" s="2">
        <v>399.0</v>
      </c>
      <c r="B400" s="3" t="s">
        <v>12065</v>
      </c>
      <c r="C400" s="3" t="s">
        <v>12066</v>
      </c>
      <c r="D400" s="3" t="s">
        <v>11278</v>
      </c>
      <c r="F400" s="5" t="str">
        <f>IFERROR(__xludf.DUMMYFUNCTION("GOOGLETRANSLATE(A400, ""en"", ""hi"")"),"399")</f>
        <v>399</v>
      </c>
      <c r="G400" s="5" t="str">
        <f>IFERROR(__xludf.DUMMYFUNCTION("GOOGLETRANSLATE(B400, ""en"", ""hi"")"),"खिलाड़ी CCC गिल्ली मारता है और वह गिरे हुए पत्तों की परत से ढकी सतह पर गिरती है। इस हिट का मूल्यांकन कैसे किया जाना चाहिए?")</f>
        <v>खिलाड़ी CCC गिल्ली मारता है और वह गिरे हुए पत्तों की परत से ढकी सतह पर गिरती है। इस हिट का मूल्यांकन कैसे किया जाना चाहिए?</v>
      </c>
      <c r="H400" s="5" t="str">
        <f>IFERROR(__xludf.DUMMYFUNCTION("GOOGLETRANSLATE(C400, ""en"", ""hi"")"),"A) गिल्ली को खेल में माना जाता है। , B) गिल्ली को सीमा से बाहर माना जाता है। , C) पत्ते साफ होने तक खेल रोक दिया जाता है। , D) खिलाड़ी CCC को एक और मौका दिया जाता है।")</f>
        <v>A) गिल्ली को खेल में माना जाता है। , B) गिल्ली को सीमा से बाहर माना जाता है। , C) पत्ते साफ होने तक खेल रोक दिया जाता है। , D) खिलाड़ी CCC को एक और मौका दिया जाता है।</v>
      </c>
      <c r="I400" s="5" t="str">
        <f>IFERROR(__xludf.DUMMYFUNCTION("GOOGLETRANSLATE(D400, ""en"", ""hi"")"),"अ) गिल्ली को खेल में शामिल माना जाता है।")</f>
        <v>अ) गिल्ली को खेल में शामिल माना जाता है।</v>
      </c>
    </row>
    <row r="401" ht="22.5" customHeight="1">
      <c r="A401" s="2">
        <v>400.0</v>
      </c>
      <c r="B401" s="3" t="s">
        <v>12067</v>
      </c>
      <c r="C401" s="3" t="s">
        <v>12068</v>
      </c>
      <c r="D401" s="3" t="s">
        <v>11266</v>
      </c>
      <c r="F401" s="5" t="str">
        <f>IFERROR(__xludf.DUMMYFUNCTION("GOOGLETRANSLATE(A401, ""en"", ""hi"")"),"400")</f>
        <v>400</v>
      </c>
      <c r="G401" s="5" t="str">
        <f>IFERROR(__xludf.DUMMYFUNCTION("GOOGLETRANSLATE(B401, ""en"", ""hi"")"),"खिलाड़ी DDD गिल्ली पर वार करता है और वह पत्थरों के ढेर से घिरी सतह पर गिरती है। इस वार के लिए उपयुक्त नियम क्या है?")</f>
        <v>खिलाड़ी DDD गिल्ली पर वार करता है और वह पत्थरों के ढेर से घिरी सतह पर गिरती है। इस वार के लिए उपयुक्त नियम क्या है?</v>
      </c>
      <c r="H401" s="5" t="str">
        <f>IFERROR(__xludf.DUMMYFUNCTION("GOOGLETRANSLATE(C401, ""en"", ""hi"")"),"A) गिल्ली को खेल में माना जाता है। , B) गिल्ली को सीमा से बाहर माना जाता है। , C) पत्थर साफ होने तक खेल को रोक दिया जाता है। , D) खिलाड़ी DDD को एक और मौका दिया जाता है।")</f>
        <v>A) गिल्ली को खेल में माना जाता है। , B) गिल्ली को सीमा से बाहर माना जाता है। , C) पत्थर साफ होने तक खेल को रोक दिया जाता है। , D) खिलाड़ी DDD को एक और मौका दिया जाता है।</v>
      </c>
      <c r="I401" s="5" t="str">
        <f>IFERROR(__xludf.DUMMYFUNCTION("GOOGLETRANSLATE(D401, ""en"", ""hi"")"),"बी) गिल्ली को सीमा से बाहर माना जाता है।")</f>
        <v>बी) गिल्ली को सीमा से बाहर माना जाता है।</v>
      </c>
    </row>
    <row r="402" ht="22.5" customHeight="1">
      <c r="A402" s="2">
        <v>401.0</v>
      </c>
      <c r="B402" s="3" t="s">
        <v>12069</v>
      </c>
      <c r="C402" s="3" t="s">
        <v>12070</v>
      </c>
      <c r="D402" s="3" t="s">
        <v>11278</v>
      </c>
      <c r="F402" s="5" t="str">
        <f>IFERROR(__xludf.DUMMYFUNCTION("GOOGLETRANSLATE(A402, ""en"", ""hi"")"),"401")</f>
        <v>401</v>
      </c>
      <c r="G402" s="5" t="str">
        <f>IFERROR(__xludf.DUMMYFUNCTION("GOOGLETRANSLATE(B402, ""en"", ""hi"")"),"खिलाड़ी EEE गिल्ली को मारता है और वह प्लास्टिक की थैलियों से ढकी सतह पर गिरती है। इस प्रहार की व्याख्या कैसे की जानी चाहिए?")</f>
        <v>खिलाड़ी EEE गिल्ली को मारता है और वह प्लास्टिक की थैलियों से ढकी सतह पर गिरती है। इस प्रहार की व्याख्या कैसे की जानी चाहिए?</v>
      </c>
      <c r="H402" s="5" t="str">
        <f>IFERROR(__xludf.DUMMYFUNCTION("GOOGLETRANSLATE(C402, ""en"", ""hi"")"),"A) गिल्ली को खेल में माना जाता है। , B) गिल्ली को सीमा से बाहर माना जाता है। , C) प्लास्टिक की थैलियों को हटाए जाने तक खेल को रोक दिया जाता है। , D) खिलाड़ी EEE को एक और मौका दिया जाता है।")</f>
        <v>A) गिल्ली को खेल में माना जाता है। , B) गिल्ली को सीमा से बाहर माना जाता है। , C) प्लास्टिक की थैलियों को हटाए जाने तक खेल को रोक दिया जाता है। , D) खिलाड़ी EEE को एक और मौका दिया जाता है।</v>
      </c>
      <c r="I402" s="5" t="str">
        <f>IFERROR(__xludf.DUMMYFUNCTION("GOOGLETRANSLATE(D402, ""en"", ""hi"")"),"अ) गिल्ली को खेल में शामिल माना जाता है।")</f>
        <v>अ) गिल्ली को खेल में शामिल माना जाता है।</v>
      </c>
    </row>
    <row r="403" ht="22.5" customHeight="1">
      <c r="A403" s="2">
        <v>402.0</v>
      </c>
      <c r="B403" s="3" t="s">
        <v>12071</v>
      </c>
      <c r="C403" s="3" t="s">
        <v>12072</v>
      </c>
      <c r="D403" s="3" t="s">
        <v>11314</v>
      </c>
      <c r="F403" s="5" t="str">
        <f>IFERROR(__xludf.DUMMYFUNCTION("GOOGLETRANSLATE(A403, ""en"", ""hi"")"),"402")</f>
        <v>402</v>
      </c>
      <c r="G403" s="5" t="str">
        <f>IFERROR(__xludf.DUMMYFUNCTION("GOOGLETRANSLATE(B403, ""en"", ""hi"")"),"खिलाड़ी FFF गिल्ली को मारता है और वह कीचड़ और पत्थरों की परत से ढकी सतह पर गिरती है। इस स्थिति में क्या नियम है?")</f>
        <v>खिलाड़ी FFF गिल्ली को मारता है और वह कीचड़ और पत्थरों की परत से ढकी सतह पर गिरती है। इस स्थिति में क्या नियम है?</v>
      </c>
      <c r="H403" s="5" t="str">
        <f>IFERROR(__xludf.DUMMYFUNCTION("GOOGLETRANSLATE(C403, ""en"", ""hi"")"),"A) गिल्ली को सीमा से बाहर माना जाता है। , B) गिल्ली को खेल में माना जाता है। , C) कीचड़ और चट्टानों को साफ होने तक खेल को रोक दिया जाता है। , D) खिलाड़ी FFF को एक और मौका दिया जाता है।")</f>
        <v>A) गिल्ली को सीमा से बाहर माना जाता है। , B) गिल्ली को खेल में माना जाता है। , C) कीचड़ और चट्टानों को साफ होने तक खेल को रोक दिया जाता है। , D) खिलाड़ी FFF को एक और मौका दिया जाता है।</v>
      </c>
      <c r="I403" s="5" t="str">
        <f>IFERROR(__xludf.DUMMYFUNCTION("GOOGLETRANSLATE(D403, ""en"", ""hi"")"),"अ) गिल्ली को सीमा से बाहर माना जाता है।")</f>
        <v>अ) गिल्ली को सीमा से बाहर माना जाता है।</v>
      </c>
    </row>
    <row r="404" ht="22.5" customHeight="1">
      <c r="A404" s="2">
        <v>403.0</v>
      </c>
      <c r="B404" s="3" t="s">
        <v>12073</v>
      </c>
      <c r="C404" s="3" t="s">
        <v>12074</v>
      </c>
      <c r="D404" s="3" t="s">
        <v>11314</v>
      </c>
      <c r="F404" s="5" t="str">
        <f>IFERROR(__xludf.DUMMYFUNCTION("GOOGLETRANSLATE(A404, ""en"", ""hi"")"),"403")</f>
        <v>403</v>
      </c>
      <c r="G404" s="5" t="str">
        <f>IFERROR(__xludf.DUMMYFUNCTION("GOOGLETRANSLATE(B404, ""en"", ""hi"")"),"खिलाड़ी GGG गिल्ली मारता है और वह लकड़ी के तख्तों के ढेर से घिरी सतह पर गिरती है। इस हिट का नियम क्या होना चाहिए?")</f>
        <v>खिलाड़ी GGG गिल्ली मारता है और वह लकड़ी के तख्तों के ढेर से घिरी सतह पर गिरती है। इस हिट का नियम क्या होना चाहिए?</v>
      </c>
      <c r="H404" s="5" t="str">
        <f>IFERROR(__xludf.DUMMYFUNCTION("GOOGLETRANSLATE(C404, ""en"", ""hi"")"),"A) गिल्ली को खेल के मैदान से बाहर माना जाता है। , B) गिल्ली को खेल में माना जाता है। , C) खेल तब तक रुका रहता है जब तक लकड़ी के तख्ते हटा नहीं दिए जाते। , D) खिलाड़ी GGG को एक और मौका दिया जाता है।")</f>
        <v>A) गिल्ली को खेल के मैदान से बाहर माना जाता है। , B) गिल्ली को खेल में माना जाता है। , C) खेल तब तक रुका रहता है जब तक लकड़ी के तख्ते हटा नहीं दिए जाते। , D) खिलाड़ी GGG को एक और मौका दिया जाता है।</v>
      </c>
      <c r="I404" s="5" t="str">
        <f>IFERROR(__xludf.DUMMYFUNCTION("GOOGLETRANSLATE(D404, ""en"", ""hi"")"),"अ) गिल्ली को सीमा से बाहर माना जाता है।")</f>
        <v>अ) गिल्ली को सीमा से बाहर माना जाता है।</v>
      </c>
    </row>
    <row r="405" ht="22.5" customHeight="1">
      <c r="A405" s="2">
        <v>404.0</v>
      </c>
      <c r="B405" s="3" t="s">
        <v>12075</v>
      </c>
      <c r="C405" s="3" t="s">
        <v>11992</v>
      </c>
      <c r="D405" s="3" t="s">
        <v>11376</v>
      </c>
      <c r="F405" s="5" t="str">
        <f>IFERROR(__xludf.DUMMYFUNCTION("GOOGLETRANSLATE(A405, ""en"", ""hi"")"),"404")</f>
        <v>404</v>
      </c>
      <c r="G405" s="5" t="str">
        <f>IFERROR(__xludf.DUMMYFUNCTION("GOOGLETRANSLATE(B405, ""en"", ""hi"")"),"खिलाड़ी HHH गिल्ली मारता है और वह बजरी की परत से ढकी सतह पर गिरती है। इस हिट का मूल्यांकन कैसे किया जाना चाहिए?")</f>
        <v>खिलाड़ी HHH गिल्ली मारता है और वह बजरी की परत से ढकी सतह पर गिरती है। इस हिट का मूल्यांकन कैसे किया जाना चाहिए?</v>
      </c>
      <c r="H405" s="5" t="str">
        <f>IFERROR(__xludf.DUMMYFUNCTION("GOOGLETRANSLATE(C405, ""en"", ""hi"")"),"A) गिल्ली को सीमा से बाहर माना जाता है। , B) गिल्ली को खेल में माना जाता है। , C) बजरी साफ होने तक खेल को रोक दिया जाता है। , D) खिलाड़ी HHH को एक और मौका दिया जाता है।")</f>
        <v>A) गिल्ली को सीमा से बाहर माना जाता है। , B) गिल्ली को खेल में माना जाता है। , C) बजरी साफ होने तक खेल को रोक दिया जाता है। , D) खिलाड़ी HHH को एक और मौका दिया जाता है।</v>
      </c>
      <c r="I405" s="5" t="str">
        <f>IFERROR(__xludf.DUMMYFUNCTION("GOOGLETRANSLATE(D405, ""en"", ""hi"")"),"बी) गिल्ली को खेल में शामिल माना जाता है।")</f>
        <v>बी) गिल्ली को खेल में शामिल माना जाता है।</v>
      </c>
    </row>
    <row r="406" ht="22.5" customHeight="1">
      <c r="A406" s="2">
        <v>405.0</v>
      </c>
      <c r="B406" s="3" t="s">
        <v>12076</v>
      </c>
      <c r="C406" s="3" t="s">
        <v>12077</v>
      </c>
      <c r="D406" s="3" t="s">
        <v>11376</v>
      </c>
      <c r="F406" s="5" t="str">
        <f>IFERROR(__xludf.DUMMYFUNCTION("GOOGLETRANSLATE(A406, ""en"", ""hi"")"),"405")</f>
        <v>405</v>
      </c>
      <c r="G406" s="5" t="str">
        <f>IFERROR(__xludf.DUMMYFUNCTION("GOOGLETRANSLATE(B406, ""en"", ""hi"")"),"खिलाड़ी III गिल्ली मारता है और वह रेत की परत से ढकी सतह पर गिरती है। इस हिट के लिए उपयुक्त नियम क्या है?")</f>
        <v>खिलाड़ी III गिल्ली मारता है और वह रेत की परत से ढकी सतह पर गिरती है। इस हिट के लिए उपयुक्त नियम क्या है?</v>
      </c>
      <c r="H406" s="5" t="str">
        <f>IFERROR(__xludf.DUMMYFUNCTION("GOOGLETRANSLATE(C406, ""en"", ""hi"")"),"A) गिल्ली को सीमा से बाहर माना जाता है। , B) गिल्ली को खेल में माना जाता है। , C) रेत साफ होने तक खेल को रोक दिया जाता है। , D) खिलाड़ी III को एक और मौका दिया जाता है।")</f>
        <v>A) गिल्ली को सीमा से बाहर माना जाता है। , B) गिल्ली को खेल में माना जाता है। , C) रेत साफ होने तक खेल को रोक दिया जाता है। , D) खिलाड़ी III को एक और मौका दिया जाता है।</v>
      </c>
      <c r="I406" s="5" t="str">
        <f>IFERROR(__xludf.DUMMYFUNCTION("GOOGLETRANSLATE(D406, ""en"", ""hi"")"),"बी) गिल्ली को खेल में शामिल माना जाता है।")</f>
        <v>बी) गिल्ली को खेल में शामिल माना जाता है।</v>
      </c>
    </row>
    <row r="407" ht="22.5" customHeight="1">
      <c r="A407" s="2">
        <v>406.0</v>
      </c>
      <c r="B407" s="3" t="s">
        <v>12078</v>
      </c>
      <c r="C407" s="3" t="s">
        <v>12079</v>
      </c>
      <c r="D407" s="3" t="s">
        <v>11314</v>
      </c>
      <c r="F407" s="5" t="str">
        <f>IFERROR(__xludf.DUMMYFUNCTION("GOOGLETRANSLATE(A407, ""en"", ""hi"")"),"406")</f>
        <v>406</v>
      </c>
      <c r="G407" s="5" t="str">
        <f>IFERROR(__xludf.DUMMYFUNCTION("GOOGLETRANSLATE(B407, ""en"", ""hi"")"),"खिलाड़ी JJJ गिल्ली मारता है और वह आइसक्रीम रैपर की परत से ढकी सतह पर गिरती है। इस हिट का नियम क्या है?")</f>
        <v>खिलाड़ी JJJ गिल्ली मारता है और वह आइसक्रीम रैपर की परत से ढकी सतह पर गिरती है। इस हिट का नियम क्या है?</v>
      </c>
      <c r="H407" s="5" t="str">
        <f>IFERROR(__xludf.DUMMYFUNCTION("GOOGLETRANSLATE(C407, ""en"", ""hi"")"),"A) गिल्ली को सीमा से बाहर माना जाता है। , B) गिल्ली को खेल में माना जाता है। , C) रैपर साफ़ होने तक खेल को रोक दिया जाता है। , D) खिलाड़ी JJJ को एक और मौका दिया जाता है।")</f>
        <v>A) गिल्ली को सीमा से बाहर माना जाता है। , B) गिल्ली को खेल में माना जाता है। , C) रैपर साफ़ होने तक खेल को रोक दिया जाता है। , D) खिलाड़ी JJJ को एक और मौका दिया जाता है।</v>
      </c>
      <c r="I407" s="5" t="str">
        <f>IFERROR(__xludf.DUMMYFUNCTION("GOOGLETRANSLATE(D407, ""en"", ""hi"")"),"अ) गिल्ली को सीमा से बाहर माना जाता है।")</f>
        <v>अ) गिल्ली को सीमा से बाहर माना जाता है।</v>
      </c>
    </row>
    <row r="408" ht="22.5" customHeight="1">
      <c r="A408" s="2">
        <v>407.0</v>
      </c>
      <c r="B408" s="3" t="s">
        <v>12080</v>
      </c>
      <c r="C408" s="3" t="s">
        <v>12081</v>
      </c>
      <c r="D408" s="3" t="s">
        <v>11266</v>
      </c>
      <c r="F408" s="5" t="str">
        <f>IFERROR(__xludf.DUMMYFUNCTION("GOOGLETRANSLATE(A408, ""en"", ""hi"")"),"407")</f>
        <v>407</v>
      </c>
      <c r="G408" s="5" t="str">
        <f>IFERROR(__xludf.DUMMYFUNCTION("GOOGLETRANSLATE(B408, ""en"", ""hi"")"),"खिलाड़ी KKK गिल्ली मारता है और वह बजरी और कीचड़ से ढकी सतह पर गिरती है। इस हिट का नियम क्या होना चाहिए?")</f>
        <v>खिलाड़ी KKK गिल्ली मारता है और वह बजरी और कीचड़ से ढकी सतह पर गिरती है। इस हिट का नियम क्या होना चाहिए?</v>
      </c>
      <c r="H408" s="5" t="str">
        <f>IFERROR(__xludf.DUMMYFUNCTION("GOOGLETRANSLATE(C408, ""en"", ""hi"")"),"A) गिल्ली को खेल में माना जाता है। , B) गिल्ली को सीमा से बाहर माना जाता है। , C) खेल को तब तक रोक दिया जाता है जब तक बजरी और कीचड़ साफ नहीं हो जाता। , D) खिलाड़ी केकेके को एक और मौका दिया जाता है।")</f>
        <v>A) गिल्ली को खेल में माना जाता है। , B) गिल्ली को सीमा से बाहर माना जाता है। , C) खेल को तब तक रोक दिया जाता है जब तक बजरी और कीचड़ साफ नहीं हो जाता। , D) खिलाड़ी केकेके को एक और मौका दिया जाता है।</v>
      </c>
      <c r="I408" s="5" t="str">
        <f>IFERROR(__xludf.DUMMYFUNCTION("GOOGLETRANSLATE(D408, ""en"", ""hi"")"),"बी) गिल्ली को सीमा से बाहर माना जाता है।")</f>
        <v>बी) गिल्ली को सीमा से बाहर माना जाता है।</v>
      </c>
    </row>
    <row r="409" ht="22.5" customHeight="1">
      <c r="A409" s="2">
        <v>408.0</v>
      </c>
      <c r="B409" s="3" t="s">
        <v>12082</v>
      </c>
      <c r="C409" s="3" t="s">
        <v>12083</v>
      </c>
      <c r="D409" s="3" t="s">
        <v>11278</v>
      </c>
      <c r="F409" s="5" t="str">
        <f>IFERROR(__xludf.DUMMYFUNCTION("GOOGLETRANSLATE(A409, ""en"", ""hi"")"),"408")</f>
        <v>408</v>
      </c>
      <c r="G409" s="5" t="str">
        <f>IFERROR(__xludf.DUMMYFUNCTION("GOOGLETRANSLATE(B409, ""en"", ""hi"")"),"खिलाड़ी LLL गिल्ली को मारता है और वह सूखे पत्तों और छोटी टहनियों की परत से ढकी सतह पर गिरती है। इस हिट का मूल्यांकन कैसे किया जाना चाहिए?")</f>
        <v>खिलाड़ी LLL गिल्ली को मारता है और वह सूखे पत्तों और छोटी टहनियों की परत से ढकी सतह पर गिरती है। इस हिट का मूल्यांकन कैसे किया जाना चाहिए?</v>
      </c>
      <c r="H409" s="5" t="str">
        <f>IFERROR(__xludf.DUMMYFUNCTION("GOOGLETRANSLATE(C409, ""en"", ""hi"")"),"A) गिल्ली को खेल में माना जाता है। , B) गिल्ली को सीमा से बाहर माना जाता है। , C) खेल तब तक रोक दिया जाता है जब तक पत्ते और टहनियाँ साफ नहीं हो जातीं। , D) खिलाड़ी LLL को एक और मौका दिया जाता है।")</f>
        <v>A) गिल्ली को खेल में माना जाता है। , B) गिल्ली को सीमा से बाहर माना जाता है। , C) खेल तब तक रोक दिया जाता है जब तक पत्ते और टहनियाँ साफ नहीं हो जातीं। , D) खिलाड़ी LLL को एक और मौका दिया जाता है।</v>
      </c>
      <c r="I409" s="5" t="str">
        <f>IFERROR(__xludf.DUMMYFUNCTION("GOOGLETRANSLATE(D409, ""en"", ""hi"")"),"अ) गिल्ली को खेल में शामिल माना जाता है।")</f>
        <v>अ) गिल्ली को खेल में शामिल माना जाता है।</v>
      </c>
    </row>
    <row r="410" ht="22.5" customHeight="1">
      <c r="A410" s="2">
        <v>409.0</v>
      </c>
      <c r="B410" s="3" t="s">
        <v>11816</v>
      </c>
      <c r="C410" s="3" t="s">
        <v>12084</v>
      </c>
      <c r="D410" s="3" t="s">
        <v>11314</v>
      </c>
      <c r="F410" s="5" t="str">
        <f>IFERROR(__xludf.DUMMYFUNCTION("GOOGLETRANSLATE(A410, ""en"", ""hi"")"),"409")</f>
        <v>409</v>
      </c>
      <c r="G410" s="5" t="str">
        <f>IFERROR(__xludf.DUMMYFUNCTION("GOOGLETRANSLATE(B410, ""en"", ""hi"")"),"खिलाड़ी MMM गिल्ली मारता है और वह टूटे हुए काँच की परत से ढकी सतह पर गिरती है। इस हिट के लिए उपयुक्त नियम क्या है?")</f>
        <v>खिलाड़ी MMM गिल्ली मारता है और वह टूटे हुए काँच की परत से ढकी सतह पर गिरती है। इस हिट के लिए उपयुक्त नियम क्या है?</v>
      </c>
      <c r="H410" s="5" t="str">
        <f>IFERROR(__xludf.DUMMYFUNCTION("GOOGLETRANSLATE(C410, ""en"", ""hi"")"),"A) गिल्ली को सीमा से बाहर माना जाता है। , B) गिल्ली को खेल में माना जाता है। , C) खेल को तब तक रोक दिया जाता है जब तक कि गिलास साफ नहीं हो जाता। , D) खिलाड़ी MMM को एक और मौका दिया जाता है।")</f>
        <v>A) गिल्ली को सीमा से बाहर माना जाता है। , B) गिल्ली को खेल में माना जाता है। , C) खेल को तब तक रोक दिया जाता है जब तक कि गिलास साफ नहीं हो जाता। , D) खिलाड़ी MMM को एक और मौका दिया जाता है।</v>
      </c>
      <c r="I410" s="5" t="str">
        <f>IFERROR(__xludf.DUMMYFUNCTION("GOOGLETRANSLATE(D410, ""en"", ""hi"")"),"अ) गिल्ली को सीमा से बाहर माना जाता है।")</f>
        <v>अ) गिल्ली को सीमा से बाहर माना जाता है।</v>
      </c>
    </row>
    <row r="411" ht="22.5" customHeight="1">
      <c r="A411" s="2">
        <v>410.0</v>
      </c>
      <c r="B411" s="3" t="s">
        <v>12085</v>
      </c>
      <c r="C411" s="3" t="s">
        <v>12086</v>
      </c>
      <c r="D411" s="3" t="s">
        <v>11376</v>
      </c>
      <c r="F411" s="5" t="str">
        <f>IFERROR(__xludf.DUMMYFUNCTION("GOOGLETRANSLATE(A411, ""en"", ""hi"")"),"410")</f>
        <v>410</v>
      </c>
      <c r="G411" s="5" t="str">
        <f>IFERROR(__xludf.DUMMYFUNCTION("GOOGLETRANSLATE(B411, ""en"", ""hi"")"),"खिलाड़ी NNN गिल्ली को मारता है और वह पुराने अखबारों की परत से ढकी सतह पर गिरती है। इस हिट का मूल्यांकन कैसे किया जाना चाहिए?")</f>
        <v>खिलाड़ी NNN गिल्ली को मारता है और वह पुराने अखबारों की परत से ढकी सतह पर गिरती है। इस हिट का मूल्यांकन कैसे किया जाना चाहिए?</v>
      </c>
      <c r="H411" s="5" t="str">
        <f>IFERROR(__xludf.DUMMYFUNCTION("GOOGLETRANSLATE(C411, ""en"", ""hi"")"),"A) गिल्ली को सीमा से बाहर माना जाता है। , B) गिल्ली को खेल में माना जाता है। , C) खेल को तब तक रोक दिया जाता है जब तक अखबार साफ नहीं हो जाते। , D) खिलाड़ी NNN को एक और मौका दिया जाता है।")</f>
        <v>A) गिल्ली को सीमा से बाहर माना जाता है। , B) गिल्ली को खेल में माना जाता है। , C) खेल को तब तक रोक दिया जाता है जब तक अखबार साफ नहीं हो जाते। , D) खिलाड़ी NNN को एक और मौका दिया जाता है।</v>
      </c>
      <c r="I411" s="5" t="str">
        <f>IFERROR(__xludf.DUMMYFUNCTION("GOOGLETRANSLATE(D411, ""en"", ""hi"")"),"बी) गिल्ली को खेल में शामिल माना जाता है।")</f>
        <v>बी) गिल्ली को खेल में शामिल माना जाता है।</v>
      </c>
    </row>
    <row r="412" ht="22.5" customHeight="1">
      <c r="A412" s="2">
        <v>411.0</v>
      </c>
      <c r="B412" s="3" t="s">
        <v>12087</v>
      </c>
      <c r="C412" s="3" t="s">
        <v>12088</v>
      </c>
      <c r="D412" s="3" t="s">
        <v>11314</v>
      </c>
      <c r="F412" s="5" t="str">
        <f>IFERROR(__xludf.DUMMYFUNCTION("GOOGLETRANSLATE(A412, ""en"", ""hi"")"),"411")</f>
        <v>411</v>
      </c>
      <c r="G412" s="5" t="str">
        <f>IFERROR(__xludf.DUMMYFUNCTION("GOOGLETRANSLATE(B412, ""en"", ""hi"")"),"खिलाड़ी OOO गिल्ली को मारता है और वह टूटी हुई टाइलों की परत से ढकी सतह पर गिरती है। इस स्थिति में क्या नियम है?")</f>
        <v>खिलाड़ी OOO गिल्ली को मारता है और वह टूटी हुई टाइलों की परत से ढकी सतह पर गिरती है। इस स्थिति में क्या नियम है?</v>
      </c>
      <c r="H412" s="5" t="str">
        <f>IFERROR(__xludf.DUMMYFUNCTION("GOOGLETRANSLATE(C412, ""en"", ""hi"")"),"A) गिल्ली को सीमा से बाहर माना जाता है। , B) गिल्ली को खेल में माना जाता है। , C) खेल तब तक रुका रहता है जब तक टाइलें साफ नहीं हो जातीं। , D) खिलाड़ी OOO को एक और मौका दिया जाता है।")</f>
        <v>A) गिल्ली को सीमा से बाहर माना जाता है। , B) गिल्ली को खेल में माना जाता है। , C) खेल तब तक रुका रहता है जब तक टाइलें साफ नहीं हो जातीं। , D) खिलाड़ी OOO को एक और मौका दिया जाता है।</v>
      </c>
      <c r="I412" s="5" t="str">
        <f>IFERROR(__xludf.DUMMYFUNCTION("GOOGLETRANSLATE(D412, ""en"", ""hi"")"),"अ) गिल्ली को सीमा से बाहर माना जाता है।")</f>
        <v>अ) गिल्ली को सीमा से बाहर माना जाता है।</v>
      </c>
    </row>
    <row r="413" ht="22.5" customHeight="1">
      <c r="A413" s="2">
        <v>412.0</v>
      </c>
      <c r="B413" s="3" t="s">
        <v>12089</v>
      </c>
      <c r="C413" s="3" t="s">
        <v>12090</v>
      </c>
      <c r="D413" s="3" t="s">
        <v>11266</v>
      </c>
      <c r="F413" s="5" t="str">
        <f>IFERROR(__xludf.DUMMYFUNCTION("GOOGLETRANSLATE(A413, ""en"", ""hi"")"),"412")</f>
        <v>412</v>
      </c>
      <c r="G413" s="5" t="str">
        <f>IFERROR(__xludf.DUMMYFUNCTION("GOOGLETRANSLATE(B413, ""en"", ""hi"")"),"खिलाड़ी PPP गिल्ली मारता है और वह नरम मिट्टी की परत से ढकी सतह पर गिरती है। इस हिट का नियम क्या होना चाहिए?")</f>
        <v>खिलाड़ी PPP गिल्ली मारता है और वह नरम मिट्टी की परत से ढकी सतह पर गिरती है। इस हिट का नियम क्या होना चाहिए?</v>
      </c>
      <c r="H413" s="5" t="str">
        <f>IFERROR(__xludf.DUMMYFUNCTION("GOOGLETRANSLATE(C413, ""en"", ""hi"")"),"A) गिल्ली को खेल में माना जाता है। , B) गिल्ली को सीमा से बाहर माना जाता है। , C) कीचड़ साफ होने तक खेल को रोक दिया जाता है। , D) खिलाड़ी पीपीपी को एक और मौका दिया जाता है।")</f>
        <v>A) गिल्ली को खेल में माना जाता है। , B) गिल्ली को सीमा से बाहर माना जाता है। , C) कीचड़ साफ होने तक खेल को रोक दिया जाता है। , D) खिलाड़ी पीपीपी को एक और मौका दिया जाता है।</v>
      </c>
      <c r="I413" s="5" t="str">
        <f>IFERROR(__xludf.DUMMYFUNCTION("GOOGLETRANSLATE(D413, ""en"", ""hi"")"),"बी) गिल्ली को सीमा से बाहर माना जाता है।")</f>
        <v>बी) गिल्ली को सीमा से बाहर माना जाता है।</v>
      </c>
    </row>
    <row r="414" ht="22.5" customHeight="1">
      <c r="A414" s="2">
        <v>413.0</v>
      </c>
      <c r="B414" s="3" t="s">
        <v>12091</v>
      </c>
      <c r="C414" s="3" t="s">
        <v>12092</v>
      </c>
      <c r="D414" s="3" t="s">
        <v>11278</v>
      </c>
      <c r="F414" s="5" t="str">
        <f>IFERROR(__xludf.DUMMYFUNCTION("GOOGLETRANSLATE(A414, ""en"", ""hi"")"),"413")</f>
        <v>413</v>
      </c>
      <c r="G414" s="5" t="str">
        <f>IFERROR(__xludf.DUMMYFUNCTION("GOOGLETRANSLATE(B414, ""en"", ""hi"")"),"खिलाड़ी QQQ गिल्ली को मारता है और वह धूल और रेत की परत से ढकी सतह पर गिरती है। इस चोट की व्याख्या कैसे की जानी चाहिए?")</f>
        <v>खिलाड़ी QQQ गिल्ली को मारता है और वह धूल और रेत की परत से ढकी सतह पर गिरती है। इस चोट की व्याख्या कैसे की जानी चाहिए?</v>
      </c>
      <c r="H414" s="5" t="str">
        <f>IFERROR(__xludf.DUMMYFUNCTION("GOOGLETRANSLATE(C414, ""en"", ""hi"")"),"A) गिल्ली को खेल में माना जाता है। , B) गिल्ली को सीमा से बाहर माना जाता है। , C) धूल और रेत साफ होने तक खेल को रोक दिया जाता है। , D) खिलाड़ी QQQ को एक और मौका दिया जाता है।")</f>
        <v>A) गिल्ली को खेल में माना जाता है। , B) गिल्ली को सीमा से बाहर माना जाता है। , C) धूल और रेत साफ होने तक खेल को रोक दिया जाता है। , D) खिलाड़ी QQQ को एक और मौका दिया जाता है।</v>
      </c>
      <c r="I414" s="5" t="str">
        <f>IFERROR(__xludf.DUMMYFUNCTION("GOOGLETRANSLATE(D414, ""en"", ""hi"")"),"अ) गिल्ली को खेल में शामिल माना जाता है।")</f>
        <v>अ) गिल्ली को खेल में शामिल माना जाता है।</v>
      </c>
    </row>
    <row r="415" ht="22.5" customHeight="1">
      <c r="A415" s="2">
        <v>414.0</v>
      </c>
      <c r="B415" s="3" t="s">
        <v>12093</v>
      </c>
      <c r="C415" s="3" t="s">
        <v>12094</v>
      </c>
      <c r="D415" s="3" t="s">
        <v>11278</v>
      </c>
      <c r="F415" s="5" t="str">
        <f>IFERROR(__xludf.DUMMYFUNCTION("GOOGLETRANSLATE(A415, ""en"", ""hi"")"),"414")</f>
        <v>414</v>
      </c>
      <c r="G415" s="5" t="str">
        <f>IFERROR(__xludf.DUMMYFUNCTION("GOOGLETRANSLATE(B415, ""en"", ""hi"")"),"खिलाड़ी RRR गिल्ली मारता है और वह सूखे पत्तों और छोटे पत्थरों की परत से ढकी सतह पर गिरती है। इस हिट का नियम क्या है?")</f>
        <v>खिलाड़ी RRR गिल्ली मारता है और वह सूखे पत्तों और छोटे पत्थरों की परत से ढकी सतह पर गिरती है। इस हिट का नियम क्या है?</v>
      </c>
      <c r="H415" s="5" t="str">
        <f>IFERROR(__xludf.DUMMYFUNCTION("GOOGLETRANSLATE(C415, ""en"", ""hi"")"),"A) गिल्ली को खेल में माना जाता है। , B) गिल्ली को सीमा से बाहर माना जाता है। , C) खेल तब तक रोक दिया जाता है जब तक पत्ते और पत्थर साफ नहीं हो जाते। , D) खिलाड़ी RRR को एक और मौका दिया जाता है।")</f>
        <v>A) गिल्ली को खेल में माना जाता है। , B) गिल्ली को सीमा से बाहर माना जाता है। , C) खेल तब तक रोक दिया जाता है जब तक पत्ते और पत्थर साफ नहीं हो जाते। , D) खिलाड़ी RRR को एक और मौका दिया जाता है।</v>
      </c>
      <c r="I415" s="5" t="str">
        <f>IFERROR(__xludf.DUMMYFUNCTION("GOOGLETRANSLATE(D415, ""en"", ""hi"")"),"अ) गिल्ली को खेल में शामिल माना जाता है।")</f>
        <v>अ) गिल्ली को खेल में शामिल माना जाता है।</v>
      </c>
    </row>
    <row r="416" ht="22.5" customHeight="1">
      <c r="A416" s="2">
        <v>415.0</v>
      </c>
      <c r="B416" s="3" t="s">
        <v>12095</v>
      </c>
      <c r="C416" s="3" t="s">
        <v>12096</v>
      </c>
      <c r="D416" s="3" t="s">
        <v>11314</v>
      </c>
      <c r="F416" s="5" t="str">
        <f>IFERROR(__xludf.DUMMYFUNCTION("GOOGLETRANSLATE(A416, ""en"", ""hi"")"),"415")</f>
        <v>415</v>
      </c>
      <c r="G416" s="5" t="str">
        <f>IFERROR(__xludf.DUMMYFUNCTION("GOOGLETRANSLATE(B416, ""en"", ""hi"")"),"खिलाड़ी SSS गिल्ली पर वार करता है और वह कूड़े और मलबे की परत से ढकी सतह पर गिरती है। इस वार का नियम क्या होना चाहिए?")</f>
        <v>खिलाड़ी SSS गिल्ली पर वार करता है और वह कूड़े और मलबे की परत से ढकी सतह पर गिरती है। इस वार का नियम क्या होना चाहिए?</v>
      </c>
      <c r="H416" s="5" t="str">
        <f>IFERROR(__xludf.DUMMYFUNCTION("GOOGLETRANSLATE(C416, ""en"", ""hi"")"),"A) गिल्ली को सीमा से बाहर माना जाता है। , B) गिल्ली को खेल में माना जाता है। , C) खेल को तब तक रोक दिया जाता है जब तक कचरा और मलबा साफ नहीं हो जाता। , D) खिलाड़ी एसएसएस को एक और मौका दिया जाता है।")</f>
        <v>A) गिल्ली को सीमा से बाहर माना जाता है। , B) गिल्ली को खेल में माना जाता है। , C) खेल को तब तक रोक दिया जाता है जब तक कचरा और मलबा साफ नहीं हो जाता। , D) खिलाड़ी एसएसएस को एक और मौका दिया जाता है।</v>
      </c>
      <c r="I416" s="5" t="str">
        <f>IFERROR(__xludf.DUMMYFUNCTION("GOOGLETRANSLATE(D416, ""en"", ""hi"")"),"अ) गिल्ली को सीमा से बाहर माना जाता है।")</f>
        <v>अ) गिल्ली को सीमा से बाहर माना जाता है।</v>
      </c>
    </row>
    <row r="417" ht="22.5" customHeight="1">
      <c r="A417" s="2">
        <v>416.0</v>
      </c>
      <c r="B417" s="3" t="s">
        <v>12097</v>
      </c>
      <c r="C417" s="3" t="s">
        <v>12098</v>
      </c>
      <c r="D417" s="3" t="s">
        <v>11314</v>
      </c>
      <c r="F417" s="5" t="str">
        <f>IFERROR(__xludf.DUMMYFUNCTION("GOOGLETRANSLATE(A417, ""en"", ""hi"")"),"416")</f>
        <v>416</v>
      </c>
      <c r="G417" s="5" t="str">
        <f>IFERROR(__xludf.DUMMYFUNCTION("GOOGLETRANSLATE(B417, ""en"", ""hi"")"),"खिलाड़ी TTT गिल्ली को मारता है और वह प्लास्टिक और धातु के टुकड़ों से ढकी सतह पर गिरती है। इस हिट का मूल्यांकन कैसे किया जाना चाहिए?")</f>
        <v>खिलाड़ी TTT गिल्ली को मारता है और वह प्लास्टिक और धातु के टुकड़ों से ढकी सतह पर गिरती है। इस हिट का मूल्यांकन कैसे किया जाना चाहिए?</v>
      </c>
      <c r="H417" s="5" t="str">
        <f>IFERROR(__xludf.DUMMYFUNCTION("GOOGLETRANSLATE(C417, ""en"", ""hi"")"),"A) गिल्ली को सीमा से बाहर माना जाता है। , B) गिल्ली को खेल में माना जाता है। , C) प्लास्टिक और धातु के टुकड़े साफ होने तक खेल को रोक दिया जाता है। , D) खिलाड़ी TTT को एक और मौका दिया जाता है।")</f>
        <v>A) गिल्ली को सीमा से बाहर माना जाता है। , B) गिल्ली को खेल में माना जाता है। , C) प्लास्टिक और धातु के टुकड़े साफ होने तक खेल को रोक दिया जाता है। , D) खिलाड़ी TTT को एक और मौका दिया जाता है।</v>
      </c>
      <c r="I417" s="5" t="str">
        <f>IFERROR(__xludf.DUMMYFUNCTION("GOOGLETRANSLATE(D417, ""en"", ""hi"")"),"अ) गिल्ली को सीमा से बाहर माना जाता है।")</f>
        <v>अ) गिल्ली को सीमा से बाहर माना जाता है।</v>
      </c>
    </row>
    <row r="418" ht="22.5" customHeight="1">
      <c r="A418" s="2">
        <v>417.0</v>
      </c>
      <c r="B418" s="3" t="s">
        <v>12099</v>
      </c>
      <c r="C418" s="3" t="s">
        <v>12100</v>
      </c>
      <c r="D418" s="3" t="s">
        <v>11278</v>
      </c>
      <c r="F418" s="5" t="str">
        <f>IFERROR(__xludf.DUMMYFUNCTION("GOOGLETRANSLATE(A418, ""en"", ""hi"")"),"417")</f>
        <v>417</v>
      </c>
      <c r="G418" s="5" t="str">
        <f>IFERROR(__xludf.DUMMYFUNCTION("GOOGLETRANSLATE(B418, ""en"", ""hi"")"),"खिलाड़ी UUU गिल्ली को मारता है और वह घास और खरपतवार से ढकी सतह पर गिरती है। इस स्थिति में क्या नियम है?")</f>
        <v>खिलाड़ी UUU गिल्ली को मारता है और वह घास और खरपतवार से ढकी सतह पर गिरती है। इस स्थिति में क्या नियम है?</v>
      </c>
      <c r="H418" s="5" t="str">
        <f>IFERROR(__xludf.DUMMYFUNCTION("GOOGLETRANSLATE(C418, ""en"", ""hi"")"),"A) गिल्ली को खेल में माना जाता है। , B) गिल्ली को सीमा से बाहर माना जाता है। , C) घास और खरपतवार साफ होने तक खेल को रोक दिया जाता है। , D) खिलाड़ी UUU को एक और मौका दिया जाता है।")</f>
        <v>A) गिल्ली को खेल में माना जाता है। , B) गिल्ली को सीमा से बाहर माना जाता है। , C) घास और खरपतवार साफ होने तक खेल को रोक दिया जाता है। , D) खिलाड़ी UUU को एक और मौका दिया जाता है।</v>
      </c>
      <c r="I418" s="5" t="str">
        <f>IFERROR(__xludf.DUMMYFUNCTION("GOOGLETRANSLATE(D418, ""en"", ""hi"")"),"अ) गिल्ली को खेल में शामिल माना जाता है।")</f>
        <v>अ) गिल्ली को खेल में शामिल माना जाता है।</v>
      </c>
    </row>
    <row r="419" ht="22.5" customHeight="1">
      <c r="A419" s="2">
        <v>418.0</v>
      </c>
      <c r="B419" s="3" t="s">
        <v>12101</v>
      </c>
      <c r="C419" s="3" t="s">
        <v>12102</v>
      </c>
      <c r="D419" s="3" t="s">
        <v>11278</v>
      </c>
      <c r="F419" s="5" t="str">
        <f>IFERROR(__xludf.DUMMYFUNCTION("GOOGLETRANSLATE(A419, ""en"", ""hi"")"),"418")</f>
        <v>418</v>
      </c>
      <c r="G419" s="5" t="str">
        <f>IFERROR(__xludf.DUMMYFUNCTION("GOOGLETRANSLATE(B419, ""en"", ""hi"")"),"खिलाड़ी VVV गिल्ली को मारता है और वह कंकड़ और छोटे पत्थरों की परत से ढकी सतह पर गिरती है। इस हिट का नियम क्या होना चाहिए?")</f>
        <v>खिलाड़ी VVV गिल्ली को मारता है और वह कंकड़ और छोटे पत्थरों की परत से ढकी सतह पर गिरती है। इस हिट का नियम क्या होना चाहिए?</v>
      </c>
      <c r="H419" s="5" t="str">
        <f>IFERROR(__xludf.DUMMYFUNCTION("GOOGLETRANSLATE(C419, ""en"", ""hi"")"),"A) गिल्ली को खेल में माना जाता है। , B) गिल्ली को खेल से बाहर माना जाता है। , C) खेल को तब तक रोक दिया जाता है जब तक कि कंकड़ और पत्थर साफ नहीं हो जाते। , D) खिलाड़ी VVV को एक और मौका दिया जाता है।")</f>
        <v>A) गिल्ली को खेल में माना जाता है। , B) गिल्ली को खेल से बाहर माना जाता है। , C) खेल को तब तक रोक दिया जाता है जब तक कि कंकड़ और पत्थर साफ नहीं हो जाते। , D) खिलाड़ी VVV को एक और मौका दिया जाता है।</v>
      </c>
      <c r="I419" s="5" t="str">
        <f>IFERROR(__xludf.DUMMYFUNCTION("GOOGLETRANSLATE(D419, ""en"", ""hi"")"),"अ) गिल्ली को खेल में शामिल माना जाता है।")</f>
        <v>अ) गिल्ली को खेल में शामिल माना जाता है।</v>
      </c>
    </row>
    <row r="420" ht="22.5" customHeight="1">
      <c r="A420" s="2">
        <v>419.0</v>
      </c>
      <c r="B420" s="3" t="s">
        <v>12103</v>
      </c>
      <c r="C420" s="3" t="s">
        <v>12104</v>
      </c>
      <c r="D420" s="3" t="s">
        <v>11278</v>
      </c>
      <c r="F420" s="5" t="str">
        <f>IFERROR(__xludf.DUMMYFUNCTION("GOOGLETRANSLATE(A420, ""en"", ""hi"")"),"419")</f>
        <v>419</v>
      </c>
      <c r="G420" s="5" t="str">
        <f>IFERROR(__xludf.DUMMYFUNCTION("GOOGLETRANSLATE(B420, ""en"", ""hi"")"),"खिलाड़ी WWW गिल्ली पर वार करता है और वह गिरे हुए फलों की परत से ढकी सतह पर गिरती है। इस वार के लिए उपयुक्त नियम क्या है?")</f>
        <v>खिलाड़ी WWW गिल्ली पर वार करता है और वह गिरे हुए फलों की परत से ढकी सतह पर गिरती है। इस वार के लिए उपयुक्त नियम क्या है?</v>
      </c>
      <c r="H420" s="5" t="str">
        <f>IFERROR(__xludf.DUMMYFUNCTION("GOOGLETRANSLATE(C420, ""en"", ""hi"")"),"A) गिल्ली को खेल में माना जाता है। , B) गिल्ली को सीमा से बाहर माना जाता है। , C) फल को हटाए जाने तक खेल को रोक दिया जाता है। , D) खिलाड़ी WWW को एक और मौका दिया जाता है।")</f>
        <v>A) गिल्ली को खेल में माना जाता है। , B) गिल्ली को सीमा से बाहर माना जाता है। , C) फल को हटाए जाने तक खेल को रोक दिया जाता है। , D) खिलाड़ी WWW को एक और मौका दिया जाता है।</v>
      </c>
      <c r="I420" s="5" t="str">
        <f>IFERROR(__xludf.DUMMYFUNCTION("GOOGLETRANSLATE(D420, ""en"", ""hi"")"),"अ) गिल्ली को खेल में शामिल माना जाता है।")</f>
        <v>अ) गिल्ली को खेल में शामिल माना जाता है।</v>
      </c>
    </row>
    <row r="421" ht="22.5" customHeight="1">
      <c r="A421" s="2">
        <v>420.0</v>
      </c>
      <c r="B421" s="3" t="s">
        <v>12105</v>
      </c>
      <c r="C421" s="3" t="s">
        <v>12106</v>
      </c>
      <c r="D421" s="3" t="s">
        <v>11314</v>
      </c>
      <c r="F421" s="5" t="str">
        <f>IFERROR(__xludf.DUMMYFUNCTION("GOOGLETRANSLATE(A421, ""en"", ""hi"")"),"420")</f>
        <v>420</v>
      </c>
      <c r="G421" s="5" t="str">
        <f>IFERROR(__xludf.DUMMYFUNCTION("GOOGLETRANSLATE(B421, ""en"", ""hi"")"),"खिलाड़ी XXX गिल्ली को मारता है और वह गीली घास और कीचड़ से ढकी सतह पर गिरती है। इस हिट का मूल्यांकन कैसे किया जाना चाहिए?")</f>
        <v>खिलाड़ी XXX गिल्ली को मारता है और वह गीली घास और कीचड़ से ढकी सतह पर गिरती है। इस हिट का मूल्यांकन कैसे किया जाना चाहिए?</v>
      </c>
      <c r="H421" s="5" t="str">
        <f>IFERROR(__xludf.DUMMYFUNCTION("GOOGLETRANSLATE(C421, ""en"", ""hi"")"),"A) गिल्ली को खेल के मैदान से बाहर माना जाता है। , B) गिल्ली को खेल में माना जाता है। , C) घास और कीचड़ साफ होने तक खेल रोक दिया जाता है। , D) खिलाड़ी XXX को एक और मौका दिया जाता है।")</f>
        <v>A) गिल्ली को खेल के मैदान से बाहर माना जाता है। , B) गिल्ली को खेल में माना जाता है। , C) घास और कीचड़ साफ होने तक खेल रोक दिया जाता है। , D) खिलाड़ी XXX को एक और मौका दिया जाता है।</v>
      </c>
      <c r="I421" s="5" t="str">
        <f>IFERROR(__xludf.DUMMYFUNCTION("GOOGLETRANSLATE(D421, ""en"", ""hi"")"),"अ) गिल्ली को सीमा से बाहर माना जाता है।")</f>
        <v>अ) गिल्ली को सीमा से बाहर माना जाता है।</v>
      </c>
    </row>
    <row r="422" ht="22.5" customHeight="1">
      <c r="A422" s="2">
        <v>421.0</v>
      </c>
      <c r="B422" s="3" t="s">
        <v>12107</v>
      </c>
      <c r="C422" s="3" t="s">
        <v>12108</v>
      </c>
      <c r="D422" s="3" t="s">
        <v>11278</v>
      </c>
      <c r="F422" s="5" t="str">
        <f>IFERROR(__xludf.DUMMYFUNCTION("GOOGLETRANSLATE(A422, ""en"", ""hi"")"),"421")</f>
        <v>421</v>
      </c>
      <c r="G422" s="5" t="str">
        <f>IFERROR(__xludf.DUMMYFUNCTION("GOOGLETRANSLATE(B422, ""en"", ""hi"")"),"खिलाड़ी YYY गिल्ली मारता है और वह पुरानी रस्सी की परत से ढकी सतह पर गिरती है। इस स्थिति में क्या नियम है?")</f>
        <v>खिलाड़ी YYY गिल्ली मारता है और वह पुरानी रस्सी की परत से ढकी सतह पर गिरती है। इस स्थिति में क्या नियम है?</v>
      </c>
      <c r="H422" s="5" t="str">
        <f>IFERROR(__xludf.DUMMYFUNCTION("GOOGLETRANSLATE(C422, ""en"", ""hi"")"),"A) गिल्ली को खेल में माना जाता है। , B) गिल्ली को सीमा से बाहर माना जाता है। , C) रस्सी साफ होने तक खेल को रोक दिया जाता है। , D) खिलाड़ी YYY को एक और मौका दिया जाता है।")</f>
        <v>A) गिल्ली को खेल में माना जाता है। , B) गिल्ली को सीमा से बाहर माना जाता है। , C) रस्सी साफ होने तक खेल को रोक दिया जाता है। , D) खिलाड़ी YYY को एक और मौका दिया जाता है।</v>
      </c>
      <c r="I422" s="5" t="str">
        <f>IFERROR(__xludf.DUMMYFUNCTION("GOOGLETRANSLATE(D422, ""en"", ""hi"")"),"अ) गिल्ली को खेल में शामिल माना जाता है।")</f>
        <v>अ) गिल्ली को खेल में शामिल माना जाता है।</v>
      </c>
    </row>
    <row r="423" ht="22.5" customHeight="1">
      <c r="A423" s="2">
        <v>422.0</v>
      </c>
      <c r="B423" s="3" t="s">
        <v>12109</v>
      </c>
      <c r="C423" s="3" t="s">
        <v>12110</v>
      </c>
      <c r="D423" s="3" t="s">
        <v>11314</v>
      </c>
      <c r="F423" s="5" t="str">
        <f>IFERROR(__xludf.DUMMYFUNCTION("GOOGLETRANSLATE(A423, ""en"", ""hi"")"),"422")</f>
        <v>422</v>
      </c>
      <c r="G423" s="5" t="str">
        <f>IFERROR(__xludf.DUMMYFUNCTION("GOOGLETRANSLATE(B423, ""en"", ""hi"")"),"खिलाड़ी ZZZ गिल्ली को मारता है और वह रेत की बोरियों से ढकी सतह पर गिरती है। इस प्रहार की व्याख्या कैसे की जानी चाहिए?")</f>
        <v>खिलाड़ी ZZZ गिल्ली को मारता है और वह रेत की बोरियों से ढकी सतह पर गिरती है। इस प्रहार की व्याख्या कैसे की जानी चाहिए?</v>
      </c>
      <c r="H423" s="5" t="str">
        <f>IFERROR(__xludf.DUMMYFUNCTION("GOOGLETRANSLATE(C423, ""en"", ""hi"")"),"A) गिल्ली को सीमा से बाहर माना जाता है। , B) गिल्ली को खेल में माना जाता है। , C) खेल को तब तक रोक दिया जाता है जब तक कि रेत की बोरियाँ साफ नहीं हो जातीं। , D) खिलाड़ी ZZZ को एक और मौका दिया जाता है।")</f>
        <v>A) गिल्ली को सीमा से बाहर माना जाता है। , B) गिल्ली को खेल में माना जाता है। , C) खेल को तब तक रोक दिया जाता है जब तक कि रेत की बोरियाँ साफ नहीं हो जातीं। , D) खिलाड़ी ZZZ को एक और मौका दिया जाता है।</v>
      </c>
      <c r="I423" s="5" t="str">
        <f>IFERROR(__xludf.DUMMYFUNCTION("GOOGLETRANSLATE(D423, ""en"", ""hi"")"),"अ) गिल्ली को सीमा से बाहर माना जाता है।")</f>
        <v>अ) गिल्ली को सीमा से बाहर माना जाता है।</v>
      </c>
    </row>
    <row r="424" ht="22.5" customHeight="1">
      <c r="A424" s="2">
        <v>423.0</v>
      </c>
      <c r="B424" s="3" t="s">
        <v>12111</v>
      </c>
      <c r="C424" s="3" t="s">
        <v>12112</v>
      </c>
      <c r="D424" s="3" t="s">
        <v>11278</v>
      </c>
      <c r="F424" s="5" t="str">
        <f>IFERROR(__xludf.DUMMYFUNCTION("GOOGLETRANSLATE(A424, ""en"", ""hi"")"),"423")</f>
        <v>423</v>
      </c>
      <c r="G424" s="5" t="str">
        <f>IFERROR(__xludf.DUMMYFUNCTION("GOOGLETRANSLATE(B424, ""en"", ""hi"")"),"खिलाड़ी AAA गिल्ली मारता है और वह छोटे-छोटे कंकड़-पत्थरों की परत से ढकी सतह पर गिरती है। इस हिट के लिए उपयुक्त नियम क्या है?")</f>
        <v>खिलाड़ी AAA गिल्ली मारता है और वह छोटे-छोटे कंकड़-पत्थरों की परत से ढकी सतह पर गिरती है। इस हिट के लिए उपयुक्त नियम क्या है?</v>
      </c>
      <c r="H424" s="5" t="str">
        <f>IFERROR(__xludf.DUMMYFUNCTION("GOOGLETRANSLATE(C424, ""en"", ""hi"")"),"A) गिल्ली को खेल में माना जाता है। , B) गिल्ली को सीमा से बाहर माना जाता है। , C) कंकड़ और बजरी साफ होने तक खेल को रोक दिया जाता है। , D) खिलाड़ी AAA को एक और मौका दिया जाता है।")</f>
        <v>A) गिल्ली को खेल में माना जाता है। , B) गिल्ली को सीमा से बाहर माना जाता है। , C) कंकड़ और बजरी साफ होने तक खेल को रोक दिया जाता है। , D) खिलाड़ी AAA को एक और मौका दिया जाता है।</v>
      </c>
      <c r="I424" s="5" t="str">
        <f>IFERROR(__xludf.DUMMYFUNCTION("GOOGLETRANSLATE(D424, ""en"", ""hi"")"),"अ) गिल्ली को खेल में शामिल माना जाता है।")</f>
        <v>अ) गिल्ली को खेल में शामिल माना जाता है।</v>
      </c>
    </row>
  </sheetData>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2">
        <v>1.0</v>
      </c>
      <c r="B2" s="3" t="s">
        <v>12113</v>
      </c>
      <c r="C2" s="3" t="s">
        <v>12114</v>
      </c>
      <c r="D2" s="3" t="s">
        <v>12115</v>
      </c>
      <c r="F2" s="5" t="str">
        <f>IFERROR(__xludf.DUMMYFUNCTION("GOOGLETRANSLATE(A2, ""en"", ""hi"")"),"1")</f>
        <v>1</v>
      </c>
      <c r="G2" s="5" t="str">
        <f>IFERROR(__xludf.DUMMYFUNCTION("GOOGLETRANSLATE(B2, ""en"", ""hi"")"),"थांग-ता प्रदर्शन में, एक अभ्यासी तलवार से वार करने और काटने सहित कई क्रियाओं का एक क्रम प्रदर्शित करता है। इस क्रम का मुख्य उद्देश्य क्या है?")</f>
        <v>थांग-ता प्रदर्शन में, एक अभ्यासी तलवार से वार करने और काटने सहित कई क्रियाओं का एक क्रम प्रदर्शित करता है। इस क्रम का मुख्य उद्देश्य क्या है?</v>
      </c>
      <c r="H2" s="5" t="str">
        <f>IFERROR(__xludf.DUMMYFUNCTION("GOOGLETRANSLATE(C2, ""en"", ""hi"")"),"ए) आक्रामक तकनीकों का प्रदर्शन करना। , बी) रक्षात्मक युद्धाभ्यास प्रदर्शित करना। , सी) संतुलन और चपलता पर जोर देना। , डी) पारंपरिक नृत्य कदम प्रदर्शन करना।")</f>
        <v>ए) आक्रामक तकनीकों का प्रदर्शन करना। , बी) रक्षात्मक युद्धाभ्यास प्रदर्शित करना। , सी) संतुलन और चपलता पर जोर देना। , डी) पारंपरिक नृत्य कदम प्रदर्शन करना।</v>
      </c>
      <c r="I2" s="5" t="str">
        <f>IFERROR(__xludf.DUMMYFUNCTION("GOOGLETRANSLATE(D2, ""en"", ""hi"")"),"अ) आक्रामक तकनीकों का प्रदर्शन करना।")</f>
        <v>अ) आक्रामक तकनीकों का प्रदर्शन करना।</v>
      </c>
    </row>
    <row r="3" ht="22.5" customHeight="1">
      <c r="A3" s="2">
        <v>2.0</v>
      </c>
      <c r="B3" s="3" t="s">
        <v>12116</v>
      </c>
      <c r="C3" s="3" t="s">
        <v>12117</v>
      </c>
      <c r="D3" s="3" t="s">
        <v>12118</v>
      </c>
      <c r="F3" s="5" t="str">
        <f>IFERROR(__xludf.DUMMYFUNCTION("GOOGLETRANSLATE(A3, ""en"", ""hi"")"),"2")</f>
        <v>2</v>
      </c>
      <c r="G3" s="5" t="str">
        <f>IFERROR(__xludf.DUMMYFUNCTION("GOOGLETRANSLATE(B3, ""en"", ""hi"")"),"थांग-ता प्रतियोगिता के दौरान, प्रतिभागी का मूल्यांकन तकनीक, गति और सटीकता सहित विभिन्न पहलुओं पर किया जाता है। स्कोरिंग के लिए सबसे महत्वपूर्ण पहलू क्या माना जाता है?")</f>
        <v>थांग-ता प्रतियोगिता के दौरान, प्रतिभागी का मूल्यांकन तकनीक, गति और सटीकता सहित विभिन्न पहलुओं पर किया जाता है। स्कोरिंग के लिए सबसे महत्वपूर्ण पहलू क्या माना जाता है?</v>
      </c>
      <c r="H3" s="5" t="str">
        <f>IFERROR(__xludf.DUMMYFUNCTION("GOOGLETRANSLATE(C3, ""en"", ""hi"")"),"ए) गतिविधियों की गति।, बी) तकनीकों की सटीकता और शुद्धता।, सी) किए गए आंदोलनों की संख्या।, डी) अभ्यासकर्ता की शैली और उपस्थिति।")</f>
        <v>ए) गतिविधियों की गति।, बी) तकनीकों की सटीकता और शुद्धता।, सी) किए गए आंदोलनों की संख्या।, डी) अभ्यासकर्ता की शैली और उपस्थिति।</v>
      </c>
      <c r="I3" s="5" t="str">
        <f>IFERROR(__xludf.DUMMYFUNCTION("GOOGLETRANSLATE(D3, ""en"", ""hi"")"),"बी) तकनीकों की परिशुद्धता और सटीकता।")</f>
        <v>बी) तकनीकों की परिशुद्धता और सटीकता।</v>
      </c>
    </row>
    <row r="4" ht="22.5" customHeight="1">
      <c r="A4" s="2">
        <v>3.0</v>
      </c>
      <c r="B4" s="3" t="s">
        <v>12119</v>
      </c>
      <c r="C4" s="3" t="s">
        <v>12120</v>
      </c>
      <c r="D4" s="3" t="s">
        <v>12121</v>
      </c>
      <c r="F4" s="5" t="str">
        <f>IFERROR(__xludf.DUMMYFUNCTION("GOOGLETRANSLATE(A4, ""en"", ""hi"")"),"3")</f>
        <v>3</v>
      </c>
      <c r="G4" s="5" t="str">
        <f>IFERROR(__xludf.DUMMYFUNCTION("GOOGLETRANSLATE(B4, ""en"", ""hi"")"),"थांग-ता में, कौन सा हथियार पारंपरिक रूप से प्रहार तकनीक और रक्षात्मक युद्धाभ्यास के अभ्यास से जुड़ा हुआ है?")</f>
        <v>थांग-ता में, कौन सा हथियार पारंपरिक रूप से प्रहार तकनीक और रक्षात्मक युद्धाभ्यास के अभ्यास से जुड़ा हुआ है?</v>
      </c>
      <c r="H4" s="5" t="str">
        <f>IFERROR(__xludf.DUMMYFUNCTION("GOOGLETRANSLATE(C4, ""en"", ""hi"")"),"A) तलवार (चक) , B) भाला (थांग) , C) ढाल (नंग) , D) धनुष (लुप)")</f>
        <v>A) तलवार (चक) , B) भाला (थांग) , C) ढाल (नंग) , D) धनुष (लुप)</v>
      </c>
      <c r="I4" s="5" t="str">
        <f>IFERROR(__xludf.DUMMYFUNCTION("GOOGLETRANSLATE(D4, ""en"", ""hi"")"),"बी) भाला (थांग)")</f>
        <v>बी) भाला (थांग)</v>
      </c>
    </row>
    <row r="5" ht="22.5" customHeight="1">
      <c r="A5" s="2">
        <v>4.0</v>
      </c>
      <c r="B5" s="3" t="s">
        <v>12122</v>
      </c>
      <c r="C5" s="3" t="s">
        <v>12123</v>
      </c>
      <c r="D5" s="3" t="s">
        <v>12124</v>
      </c>
      <c r="F5" s="5" t="str">
        <f>IFERROR(__xludf.DUMMYFUNCTION("GOOGLETRANSLATE(A5, ""en"", ""hi"")"),"4")</f>
        <v>4</v>
      </c>
      <c r="G5" s="5" t="str">
        <f>IFERROR(__xludf.DUMMYFUNCTION("GOOGLETRANSLATE(B5, ""en"", ""hi"")"),"एक थांग-ता अभ्यासी आक्रामक और रक्षात्मक चालों के बीच सहज संक्रमण पर केंद्रित एक क्रम का प्रदर्शन करता है। इस अभ्यास का प्राथमिक उद्देश्य क्या है?")</f>
        <v>एक थांग-ता अभ्यासी आक्रामक और रक्षात्मक चालों के बीच सहज संक्रमण पर केंद्रित एक क्रम का प्रदर्शन करता है। इस अभ्यास का प्राथमिक उद्देश्य क्या है?</v>
      </c>
      <c r="H5" s="5" t="str">
        <f>IFERROR(__xludf.DUMMYFUNCTION("GOOGLETRANSLATE(C5, ""en"", ""hi"")"),"ए) चपलता और लचीलेपन का प्रदर्शन करना। , बी) ताकत और शक्ति पर जोर देना। , सी) आंदोलनों के प्रवाह और अनुकूलनशीलता को परिपूर्ण करना। , डी) धीरज और सहनशक्ति का प्रदर्शन करना।")</f>
        <v>ए) चपलता और लचीलेपन का प्रदर्शन करना। , बी) ताकत और शक्ति पर जोर देना। , सी) आंदोलनों के प्रवाह और अनुकूलनशीलता को परिपूर्ण करना। , डी) धीरज और सहनशक्ति का प्रदर्शन करना।</v>
      </c>
      <c r="I5" s="5" t="str">
        <f>IFERROR(__xludf.DUMMYFUNCTION("GOOGLETRANSLATE(D5, ""en"", ""hi"")"),"ग) आंदोलनों के प्रवाह और अनुकूलनशीलता को परिपूर्ण करना।")</f>
        <v>ग) आंदोलनों के प्रवाह और अनुकूलनशीलता को परिपूर्ण करना।</v>
      </c>
    </row>
    <row r="6" ht="22.5" customHeight="1">
      <c r="A6" s="2">
        <v>5.0</v>
      </c>
      <c r="B6" s="3" t="s">
        <v>12125</v>
      </c>
      <c r="C6" s="3" t="s">
        <v>12126</v>
      </c>
      <c r="D6" s="3" t="s">
        <v>12127</v>
      </c>
      <c r="F6" s="5" t="str">
        <f>IFERROR(__xludf.DUMMYFUNCTION("GOOGLETRANSLATE(A6, ""en"", ""hi"")"),"5")</f>
        <v>5</v>
      </c>
      <c r="G6" s="5" t="str">
        <f>IFERROR(__xludf.DUMMYFUNCTION("GOOGLETRANSLATE(B6, ""en"", ""hi"")"),"थांग-ता प्रदर्शन में, अभ्यासी प्रहार और घुमाव तकनीकों के संयोजन का उपयोग करता है। यह संयोजन मुख्यतः क्या दर्शाता है?")</f>
        <v>थांग-ता प्रदर्शन में, अभ्यासी प्रहार और घुमाव तकनीकों के संयोजन का उपयोग करता है। यह संयोजन मुख्यतः क्या दर्शाता है?</v>
      </c>
      <c r="H6" s="5" t="str">
        <f>IFERROR(__xludf.DUMMYFUNCTION("GOOGLETRANSLATE(C6, ""en"", ""hi"")"),"ए) पारंपरिक नृत्य का प्रदर्शन।, बी) तरल आंदोलनों में अभ्यासकर्ता की निपुणता।, सी) विरोधियों को विचलित करने की एक तकनीक।, डी) एक साथ कई हथियारों का उपयोग।")</f>
        <v>ए) पारंपरिक नृत्य का प्रदर्शन।, बी) तरल आंदोलनों में अभ्यासकर्ता की निपुणता।, सी) विरोधियों को विचलित करने की एक तकनीक।, डी) एक साथ कई हथियारों का उपयोग।</v>
      </c>
      <c r="I6" s="5" t="str">
        <f>IFERROR(__xludf.DUMMYFUNCTION("GOOGLETRANSLATE(D6, ""en"", ""hi"")"),"बी) अभ्यासकर्ता की तरल गतियों पर महारत।")</f>
        <v>बी) अभ्यासकर्ता की तरल गतियों पर महारत।</v>
      </c>
    </row>
    <row r="7" ht="22.5" customHeight="1">
      <c r="A7" s="2">
        <v>6.0</v>
      </c>
      <c r="B7" s="3" t="s">
        <v>12128</v>
      </c>
      <c r="C7" s="3" t="s">
        <v>12129</v>
      </c>
      <c r="D7" s="3" t="s">
        <v>12130</v>
      </c>
      <c r="F7" s="5" t="str">
        <f>IFERROR(__xludf.DUMMYFUNCTION("GOOGLETRANSLATE(A7, ""en"", ""hi"")"),"6")</f>
        <v>6</v>
      </c>
      <c r="G7" s="5" t="str">
        <f>IFERROR(__xludf.DUMMYFUNCTION("GOOGLETRANSLATE(B7, ""en"", ""hi"")"),"थांग-ता द्वंद्वयुद्ध के दौरान, एक अभ्यासी ऊँची किक के बाद नीची मार करता है। इस क्रम का सामरिक लाभ क्या है?")</f>
        <v>थांग-ता द्वंद्वयुद्ध के दौरान, एक अभ्यासी ऊँची किक के बाद नीची मार करता है। इस क्रम का सामरिक लाभ क्या है?</v>
      </c>
      <c r="H7" s="5" t="str">
        <f>IFERROR(__xludf.DUMMYFUNCTION("GOOGLETRANSLATE(C7, ""en"", ""hi"")"),"क) ऊंचाई में अचानक परिवर्तन करके प्रतिद्वंद्वी को आश्चर्यचकित करना।, ख) लचीलापन और संतुलन प्रदर्शित करना।, ग) कई कोणों से आक्रामक हमलों पर ध्यान केंद्रित करना।, घ) जटिल चालों के माध्यम से प्रतिद्वंद्वी को थका देना।")</f>
        <v>क) ऊंचाई में अचानक परिवर्तन करके प्रतिद्वंद्वी को आश्चर्यचकित करना।, ख) लचीलापन और संतुलन प्रदर्शित करना।, ग) कई कोणों से आक्रामक हमलों पर ध्यान केंद्रित करना।, घ) जटिल चालों के माध्यम से प्रतिद्वंद्वी को थका देना।</v>
      </c>
      <c r="I7" s="5" t="str">
        <f>IFERROR(__xludf.DUMMYFUNCTION("GOOGLETRANSLATE(D7, ""en"", ""hi"")"),"क) प्रतिद्वंद्वी को अचानक ऊंचाई में परिवर्तन करके आश्चर्यचकित करना।")</f>
        <v>क) प्रतिद्वंद्वी को अचानक ऊंचाई में परिवर्तन करके आश्चर्यचकित करना।</v>
      </c>
    </row>
    <row r="8" ht="22.5" customHeight="1">
      <c r="A8" s="2">
        <v>7.0</v>
      </c>
      <c r="B8" s="3" t="s">
        <v>12131</v>
      </c>
      <c r="C8" s="3" t="s">
        <v>12132</v>
      </c>
      <c r="D8" s="3" t="s">
        <v>12133</v>
      </c>
      <c r="F8" s="5" t="str">
        <f>IFERROR(__xludf.DUMMYFUNCTION("GOOGLETRANSLATE(A8, ""en"", ""hi"")"),"7")</f>
        <v>7</v>
      </c>
      <c r="G8" s="5" t="str">
        <f>IFERROR(__xludf.DUMMYFUNCTION("GOOGLETRANSLATE(B8, ""en"", ""hi"")"),"थांग-ता में निम्नलिखित में से कौन सा हथियार इस्तेमाल नहीं किया जाता है?")</f>
        <v>थांग-ता में निम्नलिखित में से कौन सा हथियार इस्तेमाल नहीं किया जाता है?</v>
      </c>
      <c r="H8" s="5" t="str">
        <f>IFERROR(__xludf.DUMMYFUNCTION("GOOGLETRANSLATE(C8, ""en"", ""hi"")"),"A) तलवार (चक) , B) भाला (थांग) , C) ढाल (नंग) , D) बंदूक (मारोन)")</f>
        <v>A) तलवार (चक) , B) भाला (थांग) , C) ढाल (नंग) , D) बंदूक (मारोन)</v>
      </c>
      <c r="I8" s="5" t="str">
        <f>IFERROR(__xludf.DUMMYFUNCTION("GOOGLETRANSLATE(D8, ""en"", ""hi"")"),"D) गन (मैरोन)")</f>
        <v>D) गन (मैरोन)</v>
      </c>
    </row>
    <row r="9" ht="22.5" customHeight="1">
      <c r="A9" s="2">
        <v>8.0</v>
      </c>
      <c r="B9" s="3" t="s">
        <v>12134</v>
      </c>
      <c r="C9" s="3" t="s">
        <v>12135</v>
      </c>
      <c r="D9" s="3" t="s">
        <v>12136</v>
      </c>
      <c r="F9" s="5" t="str">
        <f>IFERROR(__xludf.DUMMYFUNCTION("GOOGLETRANSLATE(A9, ""en"", ""hi"")"),"8")</f>
        <v>8</v>
      </c>
      <c r="G9" s="5" t="str">
        <f>IFERROR(__xludf.DUMMYFUNCTION("GOOGLETRANSLATE(B9, ""en"", ""hi"")"),"थांग-ता का अभ्यासी भाले से कई तेज़ प्रहार करता है। इस तकनीक का मुख्य उद्देश्य क्या है?")</f>
        <v>थांग-ता का अभ्यासी भाले से कई तेज़ प्रहार करता है। इस तकनीक का मुख्य उद्देश्य क्या है?</v>
      </c>
      <c r="H9" s="5" t="str">
        <f>IFERROR(__xludf.DUMMYFUNCTION("GOOGLETRANSLATE(C9, ""en"", ""hi"")"),"ए) अभ्यासकर्ता की गति बढ़ाने के लिए। , बी) ऊपरी शरीर में ताकत विकसित करने के लिए। , सी) प्रहार में सटीकता में सुधार करने के लिए। , डी) रक्षात्मक तकनीकों में निपुणता प्राप्त करने के लिए।")</f>
        <v>ए) अभ्यासकर्ता की गति बढ़ाने के लिए। , बी) ऊपरी शरीर में ताकत विकसित करने के लिए। , सी) प्रहार में सटीकता में सुधार करने के लिए। , डी) रक्षात्मक तकनीकों में निपुणता प्राप्त करने के लिए।</v>
      </c>
      <c r="I9" s="5" t="str">
        <f>IFERROR(__xludf.DUMMYFUNCTION("GOOGLETRANSLATE(D9, ""en"", ""hi"")"),"ग) प्रहार में सटीकता में सुधार करना।")</f>
        <v>ग) प्रहार में सटीकता में सुधार करना।</v>
      </c>
    </row>
    <row r="10" ht="22.5" customHeight="1">
      <c r="A10" s="2">
        <v>9.0</v>
      </c>
      <c r="B10" s="3" t="s">
        <v>12137</v>
      </c>
      <c r="C10" s="3" t="s">
        <v>12138</v>
      </c>
      <c r="D10" s="3" t="s">
        <v>12139</v>
      </c>
      <c r="F10" s="5" t="str">
        <f>IFERROR(__xludf.DUMMYFUNCTION("GOOGLETRANSLATE(A10, ""en"", ""hi"")"),"9")</f>
        <v>9</v>
      </c>
      <c r="G10" s="5" t="str">
        <f>IFERROR(__xludf.DUMMYFUNCTION("GOOGLETRANSLATE(B10, ""en"", ""hi"")"),"थांग-ता प्रदर्शन के दौरान, अभ्यासकर्ता को कई गतिविधियों के दौरान नीचे की ओर झुके रहना होता है। इस मुद्रा का उद्देश्य क्या है?")</f>
        <v>थांग-ता प्रदर्शन के दौरान, अभ्यासकर्ता को कई गतिविधियों के दौरान नीचे की ओर झुके रहना होता है। इस मुद्रा का उद्देश्य क्या है?</v>
      </c>
      <c r="H10" s="5" t="str">
        <f>IFERROR(__xludf.DUMMYFUNCTION("GOOGLETRANSLATE(C10, ""en"", ""hi"")"),"A) सहनशक्ति बढ़ाने के लिए। , B) संतुलन और स्थिरता बढ़ाने के लिए। , C) गतिविधियों की गति में सुधार करने के लिए। , D) लचीलापन प्रदर्शित करने के लिए।")</f>
        <v>A) सहनशक्ति बढ़ाने के लिए। , B) संतुलन और स्थिरता बढ़ाने के लिए। , C) गतिविधियों की गति में सुधार करने के लिए। , D) लचीलापन प्रदर्शित करने के लिए।</v>
      </c>
      <c r="I10" s="5" t="str">
        <f>IFERROR(__xludf.DUMMYFUNCTION("GOOGLETRANSLATE(D10, ""en"", ""hi"")"),"बी) संतुलन और स्थिरता बढ़ाने के लिए।")</f>
        <v>बी) संतुलन और स्थिरता बढ़ाने के लिए।</v>
      </c>
    </row>
    <row r="11" ht="22.5" customHeight="1">
      <c r="A11" s="2">
        <v>10.0</v>
      </c>
      <c r="B11" s="3" t="s">
        <v>12140</v>
      </c>
      <c r="C11" s="3" t="s">
        <v>12141</v>
      </c>
      <c r="D11" s="3" t="s">
        <v>12142</v>
      </c>
      <c r="F11" s="5" t="str">
        <f>IFERROR(__xludf.DUMMYFUNCTION("GOOGLETRANSLATE(A11, ""en"", ""hi"")"),"10")</f>
        <v>10</v>
      </c>
      <c r="G11" s="5" t="str">
        <f>IFERROR(__xludf.DUMMYFUNCTION("GOOGLETRANSLATE(B11, ""en"", ""hi"")"),"थांग-ता में, एक साधक हाथों और पैरों दोनों से तकनीकों का एक क्रम करता है। यह क्या दर्शाता है?")</f>
        <v>थांग-ता में, एक साधक हाथों और पैरों दोनों से तकनीकों का एक क्रम करता है। यह क्या दर्शाता है?</v>
      </c>
      <c r="H11" s="5" t="str">
        <f>IFERROR(__xludf.DUMMYFUNCTION("GOOGLETRANSLATE(C11, ""en"", ""hi"")"),"ए) एकाधिक हथियारों का उपयोग करने की क्षमता।, बी) विभिन्न युद्ध कौशल का एकीकरण।, सी) एकल-हथियार तकनीकों में निपुणता।, डी) आक्रामक तकनीकों के बजाय रक्षात्मक पर ध्यान केंद्रित करना।")</f>
        <v>ए) एकाधिक हथियारों का उपयोग करने की क्षमता।, बी) विभिन्न युद्ध कौशल का एकीकरण।, सी) एकल-हथियार तकनीकों में निपुणता।, डी) आक्रामक तकनीकों के बजाय रक्षात्मक पर ध्यान केंद्रित करना।</v>
      </c>
      <c r="I11" s="5" t="str">
        <f>IFERROR(__xludf.DUMMYFUNCTION("GOOGLETRANSLATE(D11, ""en"", ""hi"")"),"बी) विभिन्न युद्ध कौशल का एकीकरण।")</f>
        <v>बी) विभिन्न युद्ध कौशल का एकीकरण।</v>
      </c>
    </row>
    <row r="12" ht="22.5" customHeight="1">
      <c r="A12" s="2">
        <v>11.0</v>
      </c>
      <c r="B12" s="3" t="s">
        <v>12143</v>
      </c>
      <c r="C12" s="3" t="s">
        <v>12144</v>
      </c>
      <c r="D12" s="3" t="s">
        <v>12145</v>
      </c>
      <c r="F12" s="5" t="str">
        <f>IFERROR(__xludf.DUMMYFUNCTION("GOOGLETRANSLATE(A12, ""en"", ""hi"")"),"11")</f>
        <v>11</v>
      </c>
      <c r="G12" s="5" t="str">
        <f>IFERROR(__xludf.DUMMYFUNCTION("GOOGLETRANSLATE(B12, ""en"", ""hi"")"),"एक थांग-ता साधक को तलवार से गोलाकार गति करते हुए देखा जा सकता है। इन गतियों का क्या महत्व है?")</f>
        <v>एक थांग-ता साधक को तलवार से गोलाकार गति करते हुए देखा जा सकता है। इन गतियों का क्या महत्व है?</v>
      </c>
      <c r="H12" s="5" t="str">
        <f>IFERROR(__xludf.DUMMYFUNCTION("GOOGLETRANSLATE(C12, ""en"", ""hi"")"),"A) आक्रामक क्षमताओं को बढ़ाने के लिए। , B) रक्षात्मक तकनीकों में सुधार करने के लिए। , C) लय और प्रवाह का अभ्यास करने के लिए। , D) पारंपरिक नृत्य रूपों का प्रदर्शन करने के लिए।")</f>
        <v>A) आक्रामक क्षमताओं को बढ़ाने के लिए। , B) रक्षात्मक तकनीकों में सुधार करने के लिए। , C) लय और प्रवाह का अभ्यास करने के लिए। , D) पारंपरिक नृत्य रूपों का प्रदर्शन करने के लिए।</v>
      </c>
      <c r="I12" s="5" t="str">
        <f>IFERROR(__xludf.DUMMYFUNCTION("GOOGLETRANSLATE(D12, ""en"", ""hi"")"),"अ) आक्रामक क्षमताओं को बढ़ाना।")</f>
        <v>अ) आक्रामक क्षमताओं को बढ़ाना।</v>
      </c>
    </row>
    <row r="13" ht="22.5" customHeight="1">
      <c r="A13" s="2">
        <v>12.0</v>
      </c>
      <c r="B13" s="3" t="s">
        <v>12146</v>
      </c>
      <c r="C13" s="3" t="s">
        <v>12147</v>
      </c>
      <c r="D13" s="3" t="s">
        <v>12148</v>
      </c>
      <c r="F13" s="5" t="str">
        <f>IFERROR(__xludf.DUMMYFUNCTION("GOOGLETRANSLATE(A13, ""en"", ""hi"")"),"12")</f>
        <v>12</v>
      </c>
      <c r="G13" s="5" t="str">
        <f>IFERROR(__xludf.DUMMYFUNCTION("GOOGLETRANSLATE(B13, ""en"", ""hi"")"),"थांग-ता प्रतियोगिता के दौरान, एक अभ्यासकर्ता को एक क्रम के दौरान संतुलन खोने पर दंडित किया जाता है। इस दंड का कारण क्या है?")</f>
        <v>थांग-ता प्रतियोगिता के दौरान, एक अभ्यासकर्ता को एक क्रम के दौरान संतुलन खोने पर दंडित किया जाता है। इस दंड का कारण क्या है?</v>
      </c>
      <c r="H13" s="5" t="str">
        <f>IFERROR(__xludf.DUMMYFUNCTION("GOOGLETRANSLATE(C13, ""en"", ""hi"")"),"A) यह नियंत्रण और सटीकता की कमी को दर्शाता है। , B) यह खराब तकनीक निष्पादन को इंगित करता है। , C) यह अपर्याप्त शक्ति प्रशिक्षण को दर्शाता है। , D) यह अपर्याप्त हथियार संचालन कौशल का सुझाव देता है।")</f>
        <v>A) यह नियंत्रण और सटीकता की कमी को दर्शाता है। , B) यह खराब तकनीक निष्पादन को इंगित करता है। , C) यह अपर्याप्त शक्ति प्रशिक्षण को दर्शाता है। , D) यह अपर्याप्त हथियार संचालन कौशल का सुझाव देता है।</v>
      </c>
      <c r="I13" s="5" t="str">
        <f>IFERROR(__xludf.DUMMYFUNCTION("GOOGLETRANSLATE(D13, ""en"", ""hi"")"),"A) यह नियंत्रण और परिशुद्धता की कमी को दर्शाता है।")</f>
        <v>A) यह नियंत्रण और परिशुद्धता की कमी को दर्शाता है।</v>
      </c>
    </row>
    <row r="14" ht="22.5" customHeight="1">
      <c r="A14" s="2">
        <v>13.0</v>
      </c>
      <c r="B14" s="3" t="s">
        <v>12149</v>
      </c>
      <c r="C14" s="3" t="s">
        <v>12150</v>
      </c>
      <c r="D14" s="3" t="s">
        <v>12151</v>
      </c>
      <c r="F14" s="5" t="str">
        <f>IFERROR(__xludf.DUMMYFUNCTION("GOOGLETRANSLATE(A14, ""en"", ""hi"")"),"13")</f>
        <v>13</v>
      </c>
      <c r="G14" s="5" t="str">
        <f>IFERROR(__xludf.DUMMYFUNCTION("GOOGLETRANSLATE(B14, ""en"", ""hi"")"),"थांग-ता प्रदर्शन में, एक अभ्यासकर्ता ऊँचे प्रहारों और निचले प्रहारों का संयोजन करता है। यह संयोजन क्या दर्शाता है?")</f>
        <v>थांग-ता प्रदर्शन में, एक अभ्यासकर्ता ऊँचे प्रहारों और निचले प्रहारों का संयोजन करता है। यह संयोजन क्या दर्शाता है?</v>
      </c>
      <c r="H14" s="5" t="str">
        <f>IFERROR(__xludf.DUMMYFUNCTION("GOOGLETRANSLATE(C14, ""en"", ""hi"")"),"ए) जटिल गतिविधियों को करने की क्षमता।, बी) एक मजबूत रक्षात्मक स्थिति बनाए रखने पर ध्यान केंद्रित करना।, सी) आक्रामक और रक्षात्मक दोनों तकनीकों का अनुप्रयोग।, डी) हथियार संचालन में अभ्यासकर्ता का कौशल।")</f>
        <v>ए) जटिल गतिविधियों को करने की क्षमता।, बी) एक मजबूत रक्षात्मक स्थिति बनाए रखने पर ध्यान केंद्रित करना।, सी) आक्रामक और रक्षात्मक दोनों तकनीकों का अनुप्रयोग।, डी) हथियार संचालन में अभ्यासकर्ता का कौशल।</v>
      </c>
      <c r="I14" s="5" t="str">
        <f>IFERROR(__xludf.DUMMYFUNCTION("GOOGLETRANSLATE(D14, ""en"", ""hi"")"),"सी) आक्रामक और रक्षात्मक दोनों तकनीकों का अनुप्रयोग।")</f>
        <v>सी) आक्रामक और रक्षात्मक दोनों तकनीकों का अनुप्रयोग।</v>
      </c>
    </row>
    <row r="15" ht="22.5" customHeight="1">
      <c r="A15" s="2">
        <v>14.0</v>
      </c>
      <c r="B15" s="3" t="s">
        <v>12152</v>
      </c>
      <c r="C15" s="3" t="s">
        <v>12153</v>
      </c>
      <c r="D15" s="3" t="s">
        <v>12154</v>
      </c>
      <c r="F15" s="5" t="str">
        <f>IFERROR(__xludf.DUMMYFUNCTION("GOOGLETRANSLATE(A15, ""en"", ""hi"")"),"14")</f>
        <v>14</v>
      </c>
      <c r="G15" s="5" t="str">
        <f>IFERROR(__xludf.DUMMYFUNCTION("GOOGLETRANSLATE(B15, ""en"", ""hi"")"),"थांग-ता मैच के दौरान, एक अभ्यासकर्ता छलांग और घुमावों की एक श्रृंखला करता है। इन चालों को शामिल करने का मुख्य लाभ क्या है?")</f>
        <v>थांग-ता मैच के दौरान, एक अभ्यासकर्ता छलांग और घुमावों की एक श्रृंखला करता है। इन चालों को शामिल करने का मुख्य लाभ क्या है?</v>
      </c>
      <c r="H15" s="5" t="str">
        <f>IFERROR(__xludf.DUMMYFUNCTION("GOOGLETRANSLATE(C15, ""en"", ""hi"")"),"ए) प्रदर्शन की दृश्य अपील को बढ़ाने के लिए। , बी) अभ्यासकर्ता की चपलता और समन्वय में सुधार करने के लिए। , सी) उन्नत हथियार कौशल का प्रदर्शन करने के लिए। , डी) पारंपरिक युद्ध तकनीकों का प्रदर्शन करने के लिए।")</f>
        <v>ए) प्रदर्शन की दृश्य अपील को बढ़ाने के लिए। , बी) अभ्यासकर्ता की चपलता और समन्वय में सुधार करने के लिए। , सी) उन्नत हथियार कौशल का प्रदर्शन करने के लिए। , डी) पारंपरिक युद्ध तकनीकों का प्रदर्शन करने के लिए।</v>
      </c>
      <c r="I15" s="5" t="str">
        <f>IFERROR(__xludf.DUMMYFUNCTION("GOOGLETRANSLATE(D15, ""en"", ""hi"")"),"बी) अभ्यासकर्ता की चपलता और समन्वय में सुधार करना।")</f>
        <v>बी) अभ्यासकर्ता की चपलता और समन्वय में सुधार करना।</v>
      </c>
    </row>
    <row r="16" ht="22.5" customHeight="1">
      <c r="A16" s="2">
        <v>15.0</v>
      </c>
      <c r="B16" s="3" t="s">
        <v>12155</v>
      </c>
      <c r="C16" s="3" t="s">
        <v>12156</v>
      </c>
      <c r="D16" s="3" t="s">
        <v>12157</v>
      </c>
      <c r="F16" s="5" t="str">
        <f>IFERROR(__xludf.DUMMYFUNCTION("GOOGLETRANSLATE(A16, ""en"", ""hi"")"),"15")</f>
        <v>15</v>
      </c>
      <c r="G16" s="5" t="str">
        <f>IFERROR(__xludf.DUMMYFUNCTION("GOOGLETRANSLATE(B16, ""en"", ""hi"")"),"थांग-ता में निम्नलिखित में से किसे मौलिक रुख माना जाता है?")</f>
        <v>थांग-ता में निम्नलिखित में से किसे मौलिक रुख माना जाता है?</v>
      </c>
      <c r="H16" s="5" t="str">
        <f>IFERROR(__xludf.DUMMYFUNCTION("GOOGLETRANSLATE(C16, ""en"", ""hi"")"),"A) अश्व मुद्रा, B) सारस मुद्रा, C) बाघ मुद्रा, D) ड्रैगन मुद्रा")</f>
        <v>A) अश्व मुद्रा, B) सारस मुद्रा, C) बाघ मुद्रा, D) ड्रैगन मुद्रा</v>
      </c>
      <c r="I16" s="5" t="str">
        <f>IFERROR(__xludf.DUMMYFUNCTION("GOOGLETRANSLATE(D16, ""en"", ""hi"")"),"A) घोड़े की मुद्रा")</f>
        <v>A) घोड़े की मुद्रा</v>
      </c>
    </row>
    <row r="17" ht="22.5" customHeight="1">
      <c r="A17" s="2">
        <v>16.0</v>
      </c>
      <c r="B17" s="3" t="s">
        <v>12158</v>
      </c>
      <c r="C17" s="3" t="s">
        <v>12159</v>
      </c>
      <c r="D17" s="3" t="s">
        <v>12160</v>
      </c>
      <c r="F17" s="5" t="str">
        <f>IFERROR(__xludf.DUMMYFUNCTION("GOOGLETRANSLATE(A17, ""en"", ""hi"")"),"16")</f>
        <v>16</v>
      </c>
      <c r="G17" s="5" t="str">
        <f>IFERROR(__xludf.DUMMYFUNCTION("GOOGLETRANSLATE(B17, ""en"", ""hi"")"),"एक थांग-ता साधक भाले से प्रहार और प्रतिक्षेप दोनों का एक क्रम कर रहा है। इस अभ्यास का मुख्य उद्देश्य क्या है?")</f>
        <v>एक थांग-ता साधक भाले से प्रहार और प्रतिक्षेप दोनों का एक क्रम कर रहा है। इस अभ्यास का मुख्य उद्देश्य क्या है?</v>
      </c>
      <c r="H17" s="5" t="str">
        <f>IFERROR(__xludf.DUMMYFUNCTION("GOOGLETRANSLATE(C17, ""en"", ""hi"")"),"ए) आक्रामक और रक्षात्मक संतुलन विकसित करना। , बी) आंदोलनों की गति को बढ़ाना। , सी) व्यक्तिगत हथियार तकनीकों पर ध्यान केंद्रित करना। , डी) पारंपरिक औपचारिक आंदोलनों का अभ्यास करना।")</f>
        <v>ए) आक्रामक और रक्षात्मक संतुलन विकसित करना। , बी) आंदोलनों की गति को बढ़ाना। , सी) व्यक्तिगत हथियार तकनीकों पर ध्यान केंद्रित करना। , डी) पारंपरिक औपचारिक आंदोलनों का अभ्यास करना।</v>
      </c>
      <c r="I17" s="5" t="str">
        <f>IFERROR(__xludf.DUMMYFUNCTION("GOOGLETRANSLATE(D17, ""en"", ""hi"")"),"क) आक्रामक और रक्षात्मक संतुलन विकसित करना।")</f>
        <v>क) आक्रामक और रक्षात्मक संतुलन विकसित करना।</v>
      </c>
    </row>
    <row r="18" ht="22.5" customHeight="1">
      <c r="A18" s="2">
        <v>17.0</v>
      </c>
      <c r="B18" s="3" t="s">
        <v>12161</v>
      </c>
      <c r="C18" s="3" t="s">
        <v>12162</v>
      </c>
      <c r="D18" s="3" t="s">
        <v>12163</v>
      </c>
      <c r="F18" s="5" t="str">
        <f>IFERROR(__xludf.DUMMYFUNCTION("GOOGLETRANSLATE(A18, ""en"", ""hi"")"),"17")</f>
        <v>17</v>
      </c>
      <c r="G18" s="5" t="str">
        <f>IFERROR(__xludf.DUMMYFUNCTION("GOOGLETRANSLATE(B18, ""en"", ""hi"")"),"थांग-ता में, कताई हड़ताल का प्रयोग मुख्य रूप से किस उद्देश्य को प्राप्त करने के लिए किया जाता है?")</f>
        <v>थांग-ता में, कताई हड़ताल का प्रयोग मुख्य रूप से किस उद्देश्य को प्राप्त करने के लिए किया जाता है?</v>
      </c>
      <c r="H18" s="5" t="str">
        <f>IFERROR(__xludf.DUMMYFUNCTION("GOOGLETRANSLATE(C18, ""en"", ""hi"")"),"ए) नाटकीय दृश्य प्रभाव प्रदर्शित करना। , बी) प्रहार के प्रभाव और प्रभावशीलता को बढ़ाना। , सी) प्रतिद्वंद्वी का ध्यान भटकाना। , डी) लचीलापन और ताकत प्रदर्शित करना।")</f>
        <v>ए) नाटकीय दृश्य प्रभाव प्रदर्शित करना। , बी) प्रहार के प्रभाव और प्रभावशीलता को बढ़ाना। , सी) प्रतिद्वंद्वी का ध्यान भटकाना। , डी) लचीलापन और ताकत प्रदर्शित करना।</v>
      </c>
      <c r="I18" s="5" t="str">
        <f>IFERROR(__xludf.DUMMYFUNCTION("GOOGLETRANSLATE(D18, ""en"", ""hi"")"),"(ख) हड़ताल के प्रभाव और प्रभावशीलता को बढ़ाना।")</f>
        <v>(ख) हड़ताल के प्रभाव और प्रभावशीलता को बढ़ाना।</v>
      </c>
    </row>
    <row r="19" ht="22.5" customHeight="1">
      <c r="A19" s="2">
        <v>18.0</v>
      </c>
      <c r="B19" s="3" t="s">
        <v>12164</v>
      </c>
      <c r="C19" s="3" t="s">
        <v>12165</v>
      </c>
      <c r="D19" s="3" t="s">
        <v>12166</v>
      </c>
      <c r="F19" s="5" t="str">
        <f>IFERROR(__xludf.DUMMYFUNCTION("GOOGLETRANSLATE(A19, ""en"", ""hi"")"),"18")</f>
        <v>18</v>
      </c>
      <c r="G19" s="5" t="str">
        <f>IFERROR(__xludf.DUMMYFUNCTION("GOOGLETRANSLATE(B19, ""en"", ""hi"")"),"थांग-ता प्रदर्शन के दौरान, एक अभ्यासकर्ता तीव्र गति से चलने वाली कई तकनीकों का प्रयोग करता है। इन तकनीकों का उद्देश्य क्या है?")</f>
        <v>थांग-ता प्रदर्शन के दौरान, एक अभ्यासकर्ता तीव्र गति से चलने वाली कई तकनीकों का प्रयोग करता है। इन तकनीकों का उद्देश्य क्या है?</v>
      </c>
      <c r="H19" s="5" t="str">
        <f>IFERROR(__xludf.DUMMYFUNCTION("GOOGLETRANSLATE(C19, ""en"", ""hi"")"),"ए) गतिविधियों की गति और चपलता में सुधार करना। , बी) अभ्यासकर्ता के संतुलन को बढ़ाना। , सी) पारंपरिक फुटवर्क पैटर्न का प्रदर्शन करना। , डी) आक्रामक हमलों पर ध्यान केंद्रित करना।")</f>
        <v>ए) गतिविधियों की गति और चपलता में सुधार करना। , बी) अभ्यासकर्ता के संतुलन को बढ़ाना। , सी) पारंपरिक फुटवर्क पैटर्न का प्रदर्शन करना। , डी) आक्रामक हमलों पर ध्यान केंद्रित करना।</v>
      </c>
      <c r="I19" s="5" t="str">
        <f>IFERROR(__xludf.DUMMYFUNCTION("GOOGLETRANSLATE(D19, ""en"", ""hi"")"),"क) गतिविधियों की गति और चपलता में सुधार करना।")</f>
        <v>क) गतिविधियों की गति और चपलता में सुधार करना।</v>
      </c>
    </row>
    <row r="20" ht="22.5" customHeight="1">
      <c r="A20" s="2">
        <v>19.0</v>
      </c>
      <c r="B20" s="3" t="s">
        <v>12167</v>
      </c>
      <c r="C20" s="3" t="s">
        <v>12168</v>
      </c>
      <c r="D20" s="3" t="s">
        <v>12169</v>
      </c>
      <c r="F20" s="5" t="str">
        <f>IFERROR(__xludf.DUMMYFUNCTION("GOOGLETRANSLATE(A20, ""en"", ""hi"")"),"19")</f>
        <v>19</v>
      </c>
      <c r="G20" s="5" t="str">
        <f>IFERROR(__xludf.DUMMYFUNCTION("GOOGLETRANSLATE(B20, ""en"", ""hi"")"),"थांग-ता का एक अभ्यासी ढाल के साथ गोलाकार गति से रक्षात्मक युद्धाभ्यास करता है। इस युद्धाभ्यास का मुख्य उद्देश्य क्या है?")</f>
        <v>थांग-ता का एक अभ्यासी ढाल के साथ गोलाकार गति से रक्षात्मक युद्धाभ्यास करता है। इस युद्धाभ्यास का मुख्य उद्देश्य क्या है?</v>
      </c>
      <c r="H20" s="5" t="str">
        <f>IFERROR(__xludf.DUMMYFUNCTION("GOOGLETRANSLATE(C20, ""en"", ""hi"")"),"A) कई आने वाले हमलों को रोकने के लिए। , B) प्रदर्शन की सौंदर्यात्मक अपील को बढ़ाने के लिए। , C) हथियार संचालन कौशल का अभ्यास करने के लिए। , D) पारंपरिक तकनीकों का प्रदर्शन करने के लिए।")</f>
        <v>A) कई आने वाले हमलों को रोकने के लिए। , B) प्रदर्शन की सौंदर्यात्मक अपील को बढ़ाने के लिए। , C) हथियार संचालन कौशल का अभ्यास करने के लिए। , D) पारंपरिक तकनीकों का प्रदर्शन करने के लिए।</v>
      </c>
      <c r="I20" s="5" t="str">
        <f>IFERROR(__xludf.DUMMYFUNCTION("GOOGLETRANSLATE(D20, ""en"", ""hi"")"),"A) आने वाले कई हमलों को रोकने के लिए।")</f>
        <v>A) आने वाले कई हमलों को रोकने के लिए।</v>
      </c>
    </row>
    <row r="21" ht="22.5" customHeight="1">
      <c r="A21" s="2">
        <v>20.0</v>
      </c>
      <c r="B21" s="3" t="s">
        <v>12170</v>
      </c>
      <c r="C21" s="3" t="s">
        <v>12171</v>
      </c>
      <c r="D21" s="3" t="s">
        <v>12172</v>
      </c>
      <c r="F21" s="5" t="str">
        <f>IFERROR(__xludf.DUMMYFUNCTION("GOOGLETRANSLATE(A21, ""en"", ""hi"")"),"20")</f>
        <v>20</v>
      </c>
      <c r="G21" s="5" t="str">
        <f>IFERROR(__xludf.DUMMYFUNCTION("GOOGLETRANSLATE(B21, ""en"", ""hi"")"),"थांग-ता प्रतियोगिता में, एक प्रतिभागी तलवार से ऊँचे और नीचे के वारों का एक क्रम अपनाता है। इस क्रम का मुख्य लक्ष्य क्या है?")</f>
        <v>थांग-ता प्रतियोगिता में, एक प्रतिभागी तलवार से ऊँचे और नीचे के वारों का एक क्रम अपनाता है। इस क्रम का मुख्य लक्ष्य क्या है?</v>
      </c>
      <c r="H21" s="5" t="str">
        <f>IFERROR(__xludf.DUMMYFUNCTION("GOOGLETRANSLATE(C21, ""en"", ""hi"")"),"ए) अभ्यासकर्ता की विभिन्न ऊंचाइयों को संभालने की क्षमता का प्रदर्शन करना।, बी) शक्ति प्रशिक्षण पर ध्यान केंद्रित करना।, सी) पारंपरिक नृत्य करना।, डी) गति और शक्ति पर जोर देना।")</f>
        <v>ए) अभ्यासकर्ता की विभिन्न ऊंचाइयों को संभालने की क्षमता का प्रदर्शन करना।, बी) शक्ति प्रशिक्षण पर ध्यान केंद्रित करना।, सी) पारंपरिक नृत्य करना।, डी) गति और शक्ति पर जोर देना।</v>
      </c>
      <c r="I21" s="5" t="str">
        <f>IFERROR(__xludf.DUMMYFUNCTION("GOOGLETRANSLATE(D21, ""en"", ""hi"")"),"क) विभिन्न ऊंचाइयों को संभालने की अभ्यासकर्ता की क्षमता का प्रदर्शन करना।")</f>
        <v>क) विभिन्न ऊंचाइयों को संभालने की अभ्यासकर्ता की क्षमता का प्रदर्शन करना।</v>
      </c>
    </row>
    <row r="22" ht="22.5" customHeight="1">
      <c r="A22" s="2">
        <v>21.0</v>
      </c>
      <c r="B22" s="3" t="s">
        <v>12173</v>
      </c>
      <c r="C22" s="3" t="s">
        <v>12174</v>
      </c>
      <c r="D22" s="3" t="s">
        <v>12175</v>
      </c>
      <c r="F22" s="5" t="str">
        <f>IFERROR(__xludf.DUMMYFUNCTION("GOOGLETRANSLATE(A22, ""en"", ""hi"")"),"21")</f>
        <v>21</v>
      </c>
      <c r="G22" s="5" t="str">
        <f>IFERROR(__xludf.DUMMYFUNCTION("GOOGLETRANSLATE(B22, ""en"", ""hi"")"),"एक थांग-ता साधक भाले और ढाल से जुड़े एक क्रम का प्रदर्शन करता हुआ दिखाई दे रहा है। यह संयोजन क्या दर्शाता है?")</f>
        <v>एक थांग-ता साधक भाले और ढाल से जुड़े एक क्रम का प्रदर्शन करता हुआ दिखाई दे रहा है। यह संयोजन क्या दर्शाता है?</v>
      </c>
      <c r="H22" s="5" t="str">
        <f>IFERROR(__xludf.DUMMYFUNCTION("GOOGLETRANSLATE(C22, ""en"", ""hi"")"),"ए) आक्रामक और रक्षात्मक तकनीकों का एकीकरण।, बी) एकल-हथियार तकनीकों पर ध्यान केंद्रित करना।, सी) पारंपरिक नृत्य रूपों पर जोर।, डी) उन्नत फुटवर्क का अभ्यास।")</f>
        <v>ए) आक्रामक और रक्षात्मक तकनीकों का एकीकरण।, बी) एकल-हथियार तकनीकों पर ध्यान केंद्रित करना।, सी) पारंपरिक नृत्य रूपों पर जोर।, डी) उन्नत फुटवर्क का अभ्यास।</v>
      </c>
      <c r="I22" s="5" t="str">
        <f>IFERROR(__xludf.DUMMYFUNCTION("GOOGLETRANSLATE(D22, ""en"", ""hi"")"),"अ) आक्रामक और रक्षात्मक तकनीकों का एकीकरण।")</f>
        <v>अ) आक्रामक और रक्षात्मक तकनीकों का एकीकरण।</v>
      </c>
    </row>
    <row r="23" ht="22.5" customHeight="1">
      <c r="A23" s="2">
        <v>22.0</v>
      </c>
      <c r="B23" s="3" t="s">
        <v>12176</v>
      </c>
      <c r="C23" s="3" t="s">
        <v>12177</v>
      </c>
      <c r="D23" s="3" t="s">
        <v>12178</v>
      </c>
      <c r="F23" s="5" t="str">
        <f>IFERROR(__xludf.DUMMYFUNCTION("GOOGLETRANSLATE(A23, ""en"", ""hi"")"),"22")</f>
        <v>22</v>
      </c>
      <c r="G23" s="5" t="str">
        <f>IFERROR(__xludf.DUMMYFUNCTION("GOOGLETRANSLATE(B23, ""en"", ""hi"")"),"थांग-ता अभ्यास के दौरान, साधक तलवार से सटीक प्रहार पर ध्यान केंद्रित करता है। इस प्रशिक्षण का मुख्य केंद्रबिंदु क्या है?")</f>
        <v>थांग-ता अभ्यास के दौरान, साधक तलवार से सटीक प्रहार पर ध्यान केंद्रित करता है। इस प्रशिक्षण का मुख्य केंद्रबिंदु क्या है?</v>
      </c>
      <c r="H23" s="5" t="str">
        <f>IFERROR(__xludf.DUMMYFUNCTION("GOOGLETRANSLATE(C23, ""en"", ""hi"")"),"A) हमलों की सटीकता और प्रभावशीलता को बढ़ाने के लिए। , B) रक्षात्मक युद्धाभ्यास विकसित करने के लिए। , C) आंदोलनों की गति बढ़ाने के लिए। , D) संतुलन और स्थिरता में सुधार करने के लिए।")</f>
        <v>A) हमलों की सटीकता और प्रभावशीलता को बढ़ाने के लिए। , B) रक्षात्मक युद्धाभ्यास विकसित करने के लिए। , C) आंदोलनों की गति बढ़ाने के लिए। , D) संतुलन और स्थिरता में सुधार करने के लिए।</v>
      </c>
      <c r="I23" s="5" t="str">
        <f>IFERROR(__xludf.DUMMYFUNCTION("GOOGLETRANSLATE(D23, ""en"", ""hi"")"),"क) हमलों की सटीकता और प्रभावशीलता को बढ़ाना।")</f>
        <v>क) हमलों की सटीकता और प्रभावशीलता को बढ़ाना।</v>
      </c>
    </row>
    <row r="24" ht="22.5" customHeight="1">
      <c r="A24" s="2">
        <v>23.0</v>
      </c>
      <c r="B24" s="3" t="s">
        <v>12179</v>
      </c>
      <c r="C24" s="3" t="s">
        <v>12180</v>
      </c>
      <c r="D24" s="3" t="s">
        <v>12181</v>
      </c>
      <c r="F24" s="5" t="str">
        <f>IFERROR(__xludf.DUMMYFUNCTION("GOOGLETRANSLATE(A24, ""en"", ""hi"")"),"23")</f>
        <v>23</v>
      </c>
      <c r="G24" s="5" t="str">
        <f>IFERROR(__xludf.DUMMYFUNCTION("GOOGLETRANSLATE(B24, ""en"", ""hi"")"),"थांग-ता प्रदर्शन में, एक अभ्यासकर्ता तीव्र गति से झपट्टा मारने और पीछे हटने की एक श्रृंखला करता है। इन गतिविधियों का मुख्य लाभ क्या है?")</f>
        <v>थांग-ता प्रदर्शन में, एक अभ्यासकर्ता तीव्र गति से झपट्टा मारने और पीछे हटने की एक श्रृंखला करता है। इन गतिविधियों का मुख्य लाभ क्या है?</v>
      </c>
      <c r="H24" s="5" t="str">
        <f>IFERROR(__xludf.DUMMYFUNCTION("GOOGLETRANSLATE(C24, ""en"", ""hi"")"),"ए) अभ्यासकर्ता की सहनशक्ति में सुधार करना। , बी) आक्रामक और रक्षात्मक गतिशीलता को बढ़ाना। , सी) पारंपरिक फुटवर्क तकनीकों का प्रदर्शन करना। , डी) लचीलापन और संतुलन प्रदर्शित करना।")</f>
        <v>ए) अभ्यासकर्ता की सहनशक्ति में सुधार करना। , बी) आक्रामक और रक्षात्मक गतिशीलता को बढ़ाना। , सी) पारंपरिक फुटवर्क तकनीकों का प्रदर्शन करना। , डी) लचीलापन और संतुलन प्रदर्शित करना।</v>
      </c>
      <c r="I24" s="5" t="str">
        <f>IFERROR(__xludf.DUMMYFUNCTION("GOOGLETRANSLATE(D24, ""en"", ""hi"")"),"बी) आक्रामक और रक्षात्मक गतिशीलता को बढ़ाना।")</f>
        <v>बी) आक्रामक और रक्षात्मक गतिशीलता को बढ़ाना।</v>
      </c>
    </row>
    <row r="25" ht="22.5" customHeight="1">
      <c r="A25" s="2">
        <v>24.0</v>
      </c>
      <c r="B25" s="3" t="s">
        <v>12182</v>
      </c>
      <c r="C25" s="3" t="s">
        <v>12183</v>
      </c>
      <c r="D25" s="3" t="s">
        <v>12184</v>
      </c>
      <c r="F25" s="5" t="str">
        <f>IFERROR(__xludf.DUMMYFUNCTION("GOOGLETRANSLATE(A25, ""en"", ""hi"")"),"24")</f>
        <v>24</v>
      </c>
      <c r="G25" s="5" t="str">
        <f>IFERROR(__xludf.DUMMYFUNCTION("GOOGLETRANSLATE(B25, ""en"", ""hi"")"),"एक थांग-ता साधक को तलवार से तिरछे वार करते हुए देखा गया है। इन वारों का मुख्य उद्देश्य क्या है?")</f>
        <v>एक थांग-ता साधक को तलवार से तिरछे वार करते हुए देखा गया है। इन वारों का मुख्य उद्देश्य क्या है?</v>
      </c>
      <c r="H25" s="5" t="str">
        <f>IFERROR(__xludf.DUMMYFUNCTION("GOOGLETRANSLATE(C25, ""en"", ""hi"")"),"ए) आक्रमण कोणों में बहुमुखी प्रतिभा का प्रदर्शन करना। , बी) रक्षात्मक युद्धाभ्यास का अभ्यास करना। , सी) प्रदर्शन की सौंदर्य गुणवत्ता को बढ़ाना। , डी) फुटवर्क तकनीकों पर ध्यान केंद्रित करना।")</f>
        <v>ए) आक्रमण कोणों में बहुमुखी प्रतिभा का प्रदर्शन करना। , बी) रक्षात्मक युद्धाभ्यास का अभ्यास करना। , सी) प्रदर्शन की सौंदर्य गुणवत्ता को बढ़ाना। , डी) फुटवर्क तकनीकों पर ध्यान केंद्रित करना।</v>
      </c>
      <c r="I25" s="5" t="str">
        <f>IFERROR(__xludf.DUMMYFUNCTION("GOOGLETRANSLATE(D25, ""en"", ""hi"")"),"ए) आक्रमण कोणों में बहुमुखी प्रतिभा का प्रदर्शन करना।")</f>
        <v>ए) आक्रमण कोणों में बहुमुखी प्रतिभा का प्रदर्शन करना।</v>
      </c>
    </row>
    <row r="26" ht="22.5" customHeight="1">
      <c r="A26" s="2">
        <v>25.0</v>
      </c>
      <c r="B26" s="3" t="s">
        <v>12185</v>
      </c>
      <c r="C26" s="3" t="s">
        <v>12186</v>
      </c>
      <c r="D26" s="3" t="s">
        <v>12187</v>
      </c>
      <c r="F26" s="5" t="str">
        <f>IFERROR(__xludf.DUMMYFUNCTION("GOOGLETRANSLATE(A26, ""en"", ""hi"")"),"25")</f>
        <v>25</v>
      </c>
      <c r="G26" s="5" t="str">
        <f>IFERROR(__xludf.DUMMYFUNCTION("GOOGLETRANSLATE(B26, ""en"", ""hi"")"),"थांग-ता प्रदर्शन के दौरान, एक अभ्यासी भाले के साथ कताई तकनीकों को एकीकृत करता है। इस एकीकरण का मुख्यतः क्या अर्थ है?")</f>
        <v>थांग-ता प्रदर्शन के दौरान, एक अभ्यासी भाले के साथ कताई तकनीकों को एकीकृत करता है। इस एकीकरण का मुख्यतः क्या अर्थ है?</v>
      </c>
      <c r="H26" s="5" t="str">
        <f>IFERROR(__xludf.DUMMYFUNCTION("GOOGLETRANSLATE(C26, ""en"", ""hi"")"),"ए) उन्नत हथियार संचालन कौशल।, बी) भ्रामक रणनीति का उपयोग।, सी) पारंपरिक नृत्य तत्वों पर ध्यान केंद्रित।, डी) रक्षात्मक तकनीकों पर जोर।")</f>
        <v>ए) उन्नत हथियार संचालन कौशल।, बी) भ्रामक रणनीति का उपयोग।, सी) पारंपरिक नृत्य तत्वों पर ध्यान केंद्रित।, डी) रक्षात्मक तकनीकों पर जोर।</v>
      </c>
      <c r="I26" s="5" t="str">
        <f>IFERROR(__xludf.DUMMYFUNCTION("GOOGLETRANSLATE(D26, ""en"", ""hi"")"),"ए) उन्नत हथियार संचालन कौशल।")</f>
        <v>ए) उन्नत हथियार संचालन कौशल।</v>
      </c>
    </row>
    <row r="27" ht="22.5" customHeight="1">
      <c r="A27" s="2">
        <v>26.0</v>
      </c>
      <c r="B27" s="3" t="s">
        <v>12188</v>
      </c>
      <c r="C27" s="3" t="s">
        <v>12189</v>
      </c>
      <c r="D27" s="3" t="s">
        <v>12190</v>
      </c>
      <c r="F27" s="5" t="str">
        <f>IFERROR(__xludf.DUMMYFUNCTION("GOOGLETRANSLATE(A27, ""en"", ""hi"")"),"26")</f>
        <v>26</v>
      </c>
      <c r="G27" s="5" t="str">
        <f>IFERROR(__xludf.DUMMYFUNCTION("GOOGLETRANSLATE(B27, ""en"", ""hi"")"),"थांग-ता प्रतियोगिता में, एक प्रतिभागी तेज़ी से प्रहारों की एक श्रृंखला के बाद ऊँची छलांग लगाता है। इस क्रम में छलांग लगाने का मुख्य उद्देश्य क्या है?")</f>
        <v>थांग-ता प्रतियोगिता में, एक प्रतिभागी तेज़ी से प्रहारों की एक श्रृंखला के बाद ऊँची छलांग लगाता है। इस क्रम में छलांग लगाने का मुख्य उद्देश्य क्या है?</v>
      </c>
      <c r="H27" s="5" t="str">
        <f>IFERROR(__xludf.DUMMYFUNCTION("GOOGLETRANSLATE(C27, ""en"", ""hi"")"),"ए) आश्चर्य और जटिलता का एक तत्व जोड़ने के लिए। , बी) हवाई तकनीकों का अभ्यास करने के लिए। , सी) फुटवर्क चपलता में सुधार करने के लिए। , डी) ताकत और शक्ति का प्रदर्शन करने के लिए।")</f>
        <v>ए) आश्चर्य और जटिलता का एक तत्व जोड़ने के लिए। , बी) हवाई तकनीकों का अभ्यास करने के लिए। , सी) फुटवर्क चपलता में सुधार करने के लिए। , डी) ताकत और शक्ति का प्रदर्शन करने के लिए।</v>
      </c>
      <c r="I27" s="5" t="str">
        <f>IFERROR(__xludf.DUMMYFUNCTION("GOOGLETRANSLATE(D27, ""en"", ""hi"")"),"अ) आश्चर्य और जटिलता का तत्व जोड़ना।")</f>
        <v>अ) आश्चर्य और जटिलता का तत्व जोड़ना।</v>
      </c>
    </row>
    <row r="28" ht="22.5" customHeight="1">
      <c r="A28" s="2">
        <v>27.0</v>
      </c>
      <c r="B28" s="3" t="s">
        <v>12191</v>
      </c>
      <c r="C28" s="3" t="s">
        <v>12192</v>
      </c>
      <c r="D28" s="3" t="s">
        <v>12193</v>
      </c>
      <c r="F28" s="5" t="str">
        <f>IFERROR(__xludf.DUMMYFUNCTION("GOOGLETRANSLATE(A28, ""en"", ""hi"")"),"27")</f>
        <v>27</v>
      </c>
      <c r="G28" s="5" t="str">
        <f>IFERROR(__xludf.DUMMYFUNCTION("GOOGLETRANSLATE(B28, ""en"", ""hi"")"),"एक थांग-ता अभ्यासी एक ऐसी तकनीक का प्रदर्शन करता है जिसमें पहले कम स्वीप के बाद ऊँची चोट होती है। इस क्रम का मुख्य उद्देश्य क्या है?")</f>
        <v>एक थांग-ता अभ्यासी एक ऐसी तकनीक का प्रदर्शन करता है जिसमें पहले कम स्वीप के बाद ऊँची चोट होती है। इस क्रम का मुख्य उद्देश्य क्या है?</v>
      </c>
      <c r="H28" s="5" t="str">
        <f>IFERROR(__xludf.DUMMYFUNCTION("GOOGLETRANSLATE(C28, ""en"", ""hi"")"),"ए) एक प्रभावी आक्रामक संयोजन बनाने के लिए। , बी) रक्षात्मक तकनीकों का प्रदर्शन करने के लिए। , सी) पारंपरिक आंदोलनों का अभ्यास करने के लिए। , डी) गति और शक्ति पर जोर देने के लिए।")</f>
        <v>ए) एक प्रभावी आक्रामक संयोजन बनाने के लिए। , बी) रक्षात्मक तकनीकों का प्रदर्शन करने के लिए। , सी) पारंपरिक आंदोलनों का अभ्यास करने के लिए। , डी) गति और शक्ति पर जोर देने के लिए।</v>
      </c>
      <c r="I28" s="5" t="str">
        <f>IFERROR(__xludf.DUMMYFUNCTION("GOOGLETRANSLATE(D28, ""en"", ""hi"")"),"क) एक प्रभावी आक्रामक संयोजन बनाना।")</f>
        <v>क) एक प्रभावी आक्रामक संयोजन बनाना।</v>
      </c>
    </row>
    <row r="29" ht="22.5" customHeight="1">
      <c r="A29" s="2">
        <v>28.0</v>
      </c>
      <c r="B29" s="3" t="s">
        <v>12194</v>
      </c>
      <c r="C29" s="3" t="s">
        <v>12195</v>
      </c>
      <c r="D29" s="3" t="s">
        <v>12196</v>
      </c>
      <c r="F29" s="5" t="str">
        <f>IFERROR(__xludf.DUMMYFUNCTION("GOOGLETRANSLATE(A29, ""en"", ""hi"")"),"28")</f>
        <v>28</v>
      </c>
      <c r="G29" s="5" t="str">
        <f>IFERROR(__xludf.DUMMYFUNCTION("GOOGLETRANSLATE(B29, ""en"", ""hi"")"),"थांग-ता अभ्यास के दौरान, अभ्यासकर्ता ऊँची और नीची किक का एक क्रम अपनाता है। इन किक का मुख्य उद्देश्य क्या है?")</f>
        <v>थांग-ता अभ्यास के दौरान, अभ्यासकर्ता ऊँची और नीची किक का एक क्रम अपनाता है। इन किक का मुख्य उद्देश्य क्या है?</v>
      </c>
      <c r="H29" s="5" t="str">
        <f>IFERROR(__xludf.DUMMYFUNCTION("GOOGLETRANSLATE(C29, ""en"", ""hi"")"),"ए) आक्रमण के विकल्पों की एक श्रृंखला विकसित करना। , बी) संतुलन और स्थिरता में सुधार करना। , सी) रक्षात्मक तकनीकों पर ध्यान केंद्रित करना। , डी) प्रदर्शन की दृश्य अपील को बढ़ाना।")</f>
        <v>ए) आक्रमण के विकल्पों की एक श्रृंखला विकसित करना। , बी) संतुलन और स्थिरता में सुधार करना। , सी) रक्षात्मक तकनीकों पर ध्यान केंद्रित करना। , डी) प्रदर्शन की दृश्य अपील को बढ़ाना।</v>
      </c>
      <c r="I29" s="5" t="str">
        <f>IFERROR(__xludf.DUMMYFUNCTION("GOOGLETRANSLATE(D29, ""en"", ""hi"")"),"अ) आक्रमण के विभिन्न विकल्पों का विकास करना।")</f>
        <v>अ) आक्रमण के विभिन्न विकल्पों का विकास करना।</v>
      </c>
    </row>
    <row r="30" ht="22.5" customHeight="1">
      <c r="A30" s="2">
        <v>29.0</v>
      </c>
      <c r="B30" s="3" t="s">
        <v>12197</v>
      </c>
      <c r="C30" s="3" t="s">
        <v>12198</v>
      </c>
      <c r="D30" s="3" t="s">
        <v>12199</v>
      </c>
      <c r="F30" s="5" t="str">
        <f>IFERROR(__xludf.DUMMYFUNCTION("GOOGLETRANSLATE(A30, ""en"", ""hi"")"),"29")</f>
        <v>29</v>
      </c>
      <c r="G30" s="5" t="str">
        <f>IFERROR(__xludf.DUMMYFUNCTION("GOOGLETRANSLATE(B30, ""en"", ""hi"")"),"थांग-ता में, एक साधक नीची मुद्रा में रहते हुए तलवार से कई वार करता है। यह संयोजन क्या दर्शाता है?")</f>
        <v>थांग-ता में, एक साधक नीची मुद्रा में रहते हुए तलवार से कई वार करता है। यह संयोजन क्या दर्शाता है?</v>
      </c>
      <c r="H30" s="5" t="str">
        <f>IFERROR(__xludf.DUMMYFUNCTION("GOOGLETRANSLATE(C30, ""en"", ""hi"")"),"ए) शक्ति और स्थिरता का एकीकरण। , बी) उच्च गति तकनीकों पर जोर। , सी) पारंपरिक फुटवर्क पर ध्यान। , डी) रक्षात्मक युद्धाभ्यास का उपयोग।")</f>
        <v>ए) शक्ति और स्थिरता का एकीकरण। , बी) उच्च गति तकनीकों पर जोर। , सी) पारंपरिक फुटवर्क पर ध्यान। , डी) रक्षात्मक युद्धाभ्यास का उपयोग।</v>
      </c>
      <c r="I30" s="5" t="str">
        <f>IFERROR(__xludf.DUMMYFUNCTION("GOOGLETRANSLATE(D30, ""en"", ""hi"")"),"क) शक्ति और स्थिरता का एकीकरण।")</f>
        <v>क) शक्ति और स्थिरता का एकीकरण।</v>
      </c>
    </row>
    <row r="31" ht="22.5" customHeight="1">
      <c r="A31" s="2">
        <v>30.0</v>
      </c>
      <c r="B31" s="3" t="s">
        <v>12200</v>
      </c>
      <c r="C31" s="3" t="s">
        <v>12201</v>
      </c>
      <c r="D31" s="3" t="s">
        <v>12202</v>
      </c>
      <c r="F31" s="5" t="str">
        <f>IFERROR(__xludf.DUMMYFUNCTION("GOOGLETRANSLATE(A31, ""en"", ""hi"")"),"30")</f>
        <v>30</v>
      </c>
      <c r="G31" s="5" t="str">
        <f>IFERROR(__xludf.DUMMYFUNCTION("GOOGLETRANSLATE(B31, ""en"", ""hi"")"),"एक थांग-ता प्रतियोगी कई हमलों को रोकने के लिए ढाल का इस्तेमाल करता है। इस तरह ढाल का इस्तेमाल करने का मुख्य उद्देश्य क्या है?")</f>
        <v>एक थांग-ता प्रतियोगी कई हमलों को रोकने के लिए ढाल का इस्तेमाल करता है। इस तरह ढाल का इस्तेमाल करने का मुख्य उद्देश्य क्या है?</v>
      </c>
      <c r="H31" s="5" t="str">
        <f>IFERROR(__xludf.DUMMYFUNCTION("GOOGLETRANSLATE(C31, ""en"", ""hi"")"),"ए) प्रभावी रक्षात्मक तकनीकों का अभ्यास करना। , बी) अभ्यासकर्ता की ताकत का प्रदर्शन करना। , सी) उन्नत आक्रामक कौशल का प्रदर्शन करना। , डी) प्रदर्शन की दृश्य अपील को बढ़ाना।")</f>
        <v>ए) प्रभावी रक्षात्मक तकनीकों का अभ्यास करना। , बी) अभ्यासकर्ता की ताकत का प्रदर्शन करना। , सी) उन्नत आक्रामक कौशल का प्रदर्शन करना। , डी) प्रदर्शन की दृश्य अपील को बढ़ाना।</v>
      </c>
      <c r="I31" s="5" t="str">
        <f>IFERROR(__xludf.DUMMYFUNCTION("GOOGLETRANSLATE(D31, ""en"", ""hi"")"),"क) प्रभावी रक्षात्मक तकनीकों का अभ्यास करना।")</f>
        <v>क) प्रभावी रक्षात्मक तकनीकों का अभ्यास करना।</v>
      </c>
    </row>
    <row r="32" ht="22.5" customHeight="1">
      <c r="A32" s="2">
        <v>31.0</v>
      </c>
      <c r="B32" s="3" t="s">
        <v>12203</v>
      </c>
      <c r="C32" s="3" t="s">
        <v>12204</v>
      </c>
      <c r="D32" s="3" t="s">
        <v>12205</v>
      </c>
      <c r="F32" s="5" t="str">
        <f>IFERROR(__xludf.DUMMYFUNCTION("GOOGLETRANSLATE(A32, ""en"", ""hi"")"),"31")</f>
        <v>31</v>
      </c>
      <c r="G32" s="5" t="str">
        <f>IFERROR(__xludf.DUMMYFUNCTION("GOOGLETRANSLATE(B32, ""en"", ""hi"")"),"थांग-ता प्रदर्शन के दौरान, एक अभ्यासी भाले से प्रहार और प्रतिक्षेप का संयोजन करता है। इस संयोजन का मुख्य उद्देश्य क्या है?")</f>
        <v>थांग-ता प्रदर्शन के दौरान, एक अभ्यासी भाले से प्रहार और प्रतिक्षेप का संयोजन करता है। इस संयोजन का मुख्य उद्देश्य क्या है?</v>
      </c>
      <c r="H32" s="5" t="str">
        <f>IFERROR(__xludf.DUMMYFUNCTION("GOOGLETRANSLATE(C32, ""en"", ""hi"")"),"ए) आक्रामक और रक्षात्मक तकनीकों को संतुलित करने के लिए।, बी) अभ्यासकर्ता की गति में सुधार करने के लिए।, सी) पारंपरिक नृत्य आंदोलनों का अभ्यास करने के लिए।, डी) हथियार संचालन कौशल को बढ़ाने के लिए।")</f>
        <v>ए) आक्रामक और रक्षात्मक तकनीकों को संतुलित करने के लिए।, बी) अभ्यासकर्ता की गति में सुधार करने के लिए।, सी) पारंपरिक नृत्य आंदोलनों का अभ्यास करने के लिए।, डी) हथियार संचालन कौशल को बढ़ाने के लिए।</v>
      </c>
      <c r="I32" s="5" t="str">
        <f>IFERROR(__xludf.DUMMYFUNCTION("GOOGLETRANSLATE(D32, ""en"", ""hi"")"),"क) आक्रामक और रक्षात्मक तकनीकों में संतुलन बनाना।")</f>
        <v>क) आक्रामक और रक्षात्मक तकनीकों में संतुलन बनाना।</v>
      </c>
    </row>
    <row r="33" ht="22.5" customHeight="1">
      <c r="A33" s="2">
        <v>32.0</v>
      </c>
      <c r="B33" s="3" t="s">
        <v>12206</v>
      </c>
      <c r="C33" s="3" t="s">
        <v>12207</v>
      </c>
      <c r="D33" s="3" t="s">
        <v>12208</v>
      </c>
      <c r="F33" s="5" t="str">
        <f>IFERROR(__xludf.DUMMYFUNCTION("GOOGLETRANSLATE(A33, ""en"", ""hi"")"),"32")</f>
        <v>32</v>
      </c>
      <c r="G33" s="5" t="str">
        <f>IFERROR(__xludf.DUMMYFUNCTION("GOOGLETRANSLATE(B33, ""en"", ""hi"")"),"थांग-ता में, एक साधक तलवार को घुमाकर घुमाने का एक क्रम करता है। यह क्रम मुख्यतः क्या दर्शाता है?")</f>
        <v>थांग-ता में, एक साधक तलवार को घुमाकर घुमाने का एक क्रम करता है। यह क्रम मुख्यतः क्या दर्शाता है?</v>
      </c>
      <c r="H33" s="5" t="str">
        <f>IFERROR(__xludf.DUMMYFUNCTION("GOOGLETRANSLATE(C33, ""en"", ""hi"")"),"ए) तरल आंदोलनों में अभ्यासकर्ता का कौशल।, बी) रक्षात्मक तकनीकों पर जोर।, सी) ताकत और शक्ति पर ध्यान केंद्रित।, डी) पारंपरिक तकनीकों का प्रदर्शन।")</f>
        <v>ए) तरल आंदोलनों में अभ्यासकर्ता का कौशल।, बी) रक्षात्मक तकनीकों पर जोर।, सी) ताकत और शक्ति पर ध्यान केंद्रित।, डी) पारंपरिक तकनीकों का प्रदर्शन।</v>
      </c>
      <c r="I33" s="5" t="str">
        <f>IFERROR(__xludf.DUMMYFUNCTION("GOOGLETRANSLATE(D33, ""en"", ""hi"")"),"अ) द्रव गतियों में अभ्यासकर्ता का कौशल।")</f>
        <v>अ) द्रव गतियों में अभ्यासकर्ता का कौशल।</v>
      </c>
    </row>
    <row r="34" ht="22.5" customHeight="1">
      <c r="A34" s="2">
        <v>33.0</v>
      </c>
      <c r="B34" s="3" t="s">
        <v>12209</v>
      </c>
      <c r="C34" s="3" t="s">
        <v>12210</v>
      </c>
      <c r="D34" s="3" t="s">
        <v>12211</v>
      </c>
      <c r="F34" s="5" t="str">
        <f>IFERROR(__xludf.DUMMYFUNCTION("GOOGLETRANSLATE(A34, ""en"", ""hi"")"),"33")</f>
        <v>33</v>
      </c>
      <c r="G34" s="5" t="str">
        <f>IFERROR(__xludf.DUMMYFUNCTION("GOOGLETRANSLATE(B34, ""en"", ""hi"")"),"एक थांग-ता साधक भाले के प्रहार और उसके बाद तेज़ी से पीछे हटने की एक तकनीक का प्रदर्शन कर रहा है। इस तकनीक का मुख्य उद्देश्य क्या है?")</f>
        <v>एक थांग-ता साधक भाले के प्रहार और उसके बाद तेज़ी से पीछे हटने की एक तकनीक का प्रदर्शन कर रहा है। इस तकनीक का मुख्य उद्देश्य क्या है?</v>
      </c>
      <c r="H34" s="5" t="str">
        <f>IFERROR(__xludf.DUMMYFUNCTION("GOOGLETRANSLATE(C34, ""en"", ""hi"")"),"ए) एक प्रभावी हिट-एंड-रन पैंतरेबाज़ी करने के लिए। , बी) अभ्यासकर्ता की चपलता का प्रदर्शन करने के लिए। , सी) आक्रामक शक्ति पर ध्यान केंद्रित करने के लिए। , डी) पारंपरिक फुटवर्क का प्रदर्शन करने के लिए।")</f>
        <v>ए) एक प्रभावी हिट-एंड-रन पैंतरेबाज़ी करने के लिए। , बी) अभ्यासकर्ता की चपलता का प्रदर्शन करने के लिए। , सी) आक्रामक शक्ति पर ध्यान केंद्रित करने के लिए। , डी) पारंपरिक फुटवर्क का प्रदर्शन करने के लिए।</v>
      </c>
      <c r="I34" s="5" t="str">
        <f>IFERROR(__xludf.DUMMYFUNCTION("GOOGLETRANSLATE(D34, ""en"", ""hi"")"),"क) प्रभावी हिट-एंड-रन पैंतरेबाज़ी करना।")</f>
        <v>क) प्रभावी हिट-एंड-रन पैंतरेबाज़ी करना।</v>
      </c>
    </row>
    <row r="35" ht="22.5" customHeight="1">
      <c r="A35" s="2">
        <v>34.0</v>
      </c>
      <c r="B35" s="3" t="s">
        <v>12212</v>
      </c>
      <c r="C35" s="3" t="s">
        <v>12213</v>
      </c>
      <c r="D35" s="3" t="s">
        <v>12214</v>
      </c>
      <c r="F35" s="5" t="str">
        <f>IFERROR(__xludf.DUMMYFUNCTION("GOOGLETRANSLATE(A35, ""en"", ""hi"")"),"34")</f>
        <v>34</v>
      </c>
      <c r="G35" s="5" t="str">
        <f>IFERROR(__xludf.DUMMYFUNCTION("GOOGLETRANSLATE(B35, ""en"", ""hi"")"),"थांग-ता अभ्यास के दौरान, अभ्यासी दोनों हाथों से प्रहारों का एक क्रम अपनाता है। दोनों हाथों का एक साथ उपयोग करने का मुख्य उद्देश्य क्या है?")</f>
        <v>थांग-ता अभ्यास के दौरान, अभ्यासी दोनों हाथों से प्रहारों का एक क्रम अपनाता है। दोनों हाथों का एक साथ उपयोग करने का मुख्य उद्देश्य क्या है?</v>
      </c>
      <c r="H35" s="5" t="str">
        <f>IFERROR(__xludf.DUMMYFUNCTION("GOOGLETRANSLATE(C35, ""en"", ""hi"")"),"A) समन्वय और संतुलन में सुधार करने के लिए। , B) आक्रामक शक्ति को बढ़ाने के लिए। , C) रक्षात्मक तकनीकों का अभ्यास करने के लिए। , D) गति और चपलता पर ध्यान केंद्रित करने के लिए।")</f>
        <v>A) समन्वय और संतुलन में सुधार करने के लिए। , B) आक्रामक शक्ति को बढ़ाने के लिए। , C) रक्षात्मक तकनीकों का अभ्यास करने के लिए। , D) गति और चपलता पर ध्यान केंद्रित करने के लिए।</v>
      </c>
      <c r="I35" s="5" t="str">
        <f>IFERROR(__xludf.DUMMYFUNCTION("GOOGLETRANSLATE(D35, ""en"", ""hi"")"),"क) समन्वय और संतुलन में सुधार करना।")</f>
        <v>क) समन्वय और संतुलन में सुधार करना।</v>
      </c>
    </row>
    <row r="36" ht="22.5" customHeight="1">
      <c r="A36" s="2">
        <v>35.0</v>
      </c>
      <c r="B36" s="3" t="s">
        <v>12215</v>
      </c>
      <c r="C36" s="3" t="s">
        <v>12216</v>
      </c>
      <c r="D36" s="3" t="s">
        <v>12217</v>
      </c>
      <c r="F36" s="5" t="str">
        <f>IFERROR(__xludf.DUMMYFUNCTION("GOOGLETRANSLATE(A36, ""en"", ""hi"")"),"35")</f>
        <v>35</v>
      </c>
      <c r="G36" s="5" t="str">
        <f>IFERROR(__xludf.DUMMYFUNCTION("GOOGLETRANSLATE(B36, ""en"", ""hi"")"),"थांग-ता प्रदर्शन में, एक अभ्यासी भाले से ऊँचे और नीचे के प्रहारों का संयोजन करता है। यह संयोजन मुख्यतः क्या दर्शाता है?")</f>
        <v>थांग-ता प्रदर्शन में, एक अभ्यासी भाले से ऊँचे और नीचे के प्रहारों का संयोजन करता है। यह संयोजन मुख्यतः क्या दर्शाता है?</v>
      </c>
      <c r="H36" s="5" t="str">
        <f>IFERROR(__xludf.DUMMYFUNCTION("GOOGLETRANSLATE(C36, ""en"", ""hi"")"),"ए) आक्रमण और बचाव के लिए एक व्यापक दृष्टिकोण।, बी) व्यक्तिगत हथियार कौशल पर ध्यान।, सी) पारंपरिक आंदोलनों का अभ्यास।, डी) चपलता और गति पर जोर।")</f>
        <v>ए) आक्रमण और बचाव के लिए एक व्यापक दृष्टिकोण।, बी) व्यक्तिगत हथियार कौशल पर ध्यान।, सी) पारंपरिक आंदोलनों का अभ्यास।, डी) चपलता और गति पर जोर।</v>
      </c>
      <c r="I36" s="5" t="str">
        <f>IFERROR(__xludf.DUMMYFUNCTION("GOOGLETRANSLATE(D36, ""en"", ""hi"")"),"ए) आक्रमण और बचाव के लिए एक व्यापक दृष्टिकोण।")</f>
        <v>ए) आक्रमण और बचाव के लिए एक व्यापक दृष्टिकोण।</v>
      </c>
    </row>
    <row r="37" ht="22.5" customHeight="1">
      <c r="A37" s="2">
        <v>36.0</v>
      </c>
      <c r="B37" s="3" t="s">
        <v>12218</v>
      </c>
      <c r="C37" s="3" t="s">
        <v>12219</v>
      </c>
      <c r="D37" s="3" t="s">
        <v>12220</v>
      </c>
      <c r="F37" s="5" t="str">
        <f>IFERROR(__xludf.DUMMYFUNCTION("GOOGLETRANSLATE(A37, ""en"", ""hi"")"),"36")</f>
        <v>36</v>
      </c>
      <c r="G37" s="5" t="str">
        <f>IFERROR(__xludf.DUMMYFUNCTION("GOOGLETRANSLATE(B37, ""en"", ""hi"")"),"थांग-ता का एक अभ्यासी एक ऐसी तकनीक का प्रदर्शन करता है जिसमें एक निम्न स्वीप के बाद ढाल से उच्च ब्लॉक किया जाता है। इस तकनीक का मुख्य लाभ क्या है?")</f>
        <v>थांग-ता का एक अभ्यासी एक ऐसी तकनीक का प्रदर्शन करता है जिसमें एक निम्न स्वीप के बाद ढाल से उच्च ब्लॉक किया जाता है। इस तकनीक का मुख्य लाभ क्या है?</v>
      </c>
      <c r="H37" s="5" t="str">
        <f>IFERROR(__xludf.DUMMYFUNCTION("GOOGLETRANSLATE(C37, ""en"", ""hi"")"),"ए) आक्रामक और रक्षात्मक कौशल को एकीकृत करना।, बी) पारंपरिक तकनीकों का प्रदर्शन करना।, सी) गति और शक्ति में सुधार करना।, डी) संतुलन और स्थिरता पर ध्यान केंद्रित करना।")</f>
        <v>ए) आक्रामक और रक्षात्मक कौशल को एकीकृत करना।, बी) पारंपरिक तकनीकों का प्रदर्शन करना।, सी) गति और शक्ति में सुधार करना।, डी) संतुलन और स्थिरता पर ध्यान केंद्रित करना।</v>
      </c>
      <c r="I37" s="5" t="str">
        <f>IFERROR(__xludf.DUMMYFUNCTION("GOOGLETRANSLATE(D37, ""en"", ""hi"")"),"अ) आक्रामक और रक्षात्मक कौशल को एकीकृत करना।")</f>
        <v>अ) आक्रामक और रक्षात्मक कौशल को एकीकृत करना।</v>
      </c>
    </row>
    <row r="38" ht="22.5" customHeight="1">
      <c r="A38" s="2">
        <v>37.0</v>
      </c>
      <c r="B38" s="3" t="s">
        <v>12221</v>
      </c>
      <c r="C38" s="3" t="s">
        <v>12222</v>
      </c>
      <c r="D38" s="3" t="s">
        <v>12223</v>
      </c>
      <c r="F38" s="5" t="str">
        <f>IFERROR(__xludf.DUMMYFUNCTION("GOOGLETRANSLATE(A38, ""en"", ""hi"")"),"37")</f>
        <v>37</v>
      </c>
      <c r="G38" s="5" t="str">
        <f>IFERROR(__xludf.DUMMYFUNCTION("GOOGLETRANSLATE(B38, ""en"", ""hi"")"),"थांग-ता में, एक साधक तलवार के साथ कई तेज़ गति की गतिविधियों का प्रदर्शन करता है। इन गतिविधियों का मुख्य केंद्र क्या है?")</f>
        <v>थांग-ता में, एक साधक तलवार के साथ कई तेज़ गति की गतिविधियों का प्रदर्शन करता है। इन गतिविधियों का मुख्य केंद्र क्या है?</v>
      </c>
      <c r="H38" s="5" t="str">
        <f>IFERROR(__xludf.DUMMYFUNCTION("GOOGLETRANSLATE(C38, ""en"", ""hi"")"),"ए) गति और सटीकता बढ़ाने के लिए। , बी) रक्षात्मक युद्धाभ्यास का अभ्यास करने के लिए। , सी) पारंपरिक फुटवर्क का प्रदर्शन करने के लिए। , डी) शक्ति प्रशिक्षण पर ध्यान केंद्रित करने के लिए।")</f>
        <v>ए) गति और सटीकता बढ़ाने के लिए। , बी) रक्षात्मक युद्धाभ्यास का अभ्यास करने के लिए। , सी) पारंपरिक फुटवर्क का प्रदर्शन करने के लिए। , डी) शक्ति प्रशिक्षण पर ध्यान केंद्रित करने के लिए।</v>
      </c>
      <c r="I38" s="5" t="str">
        <f>IFERROR(__xludf.DUMMYFUNCTION("GOOGLETRANSLATE(D38, ""en"", ""hi"")"),"क) गति और परिशुद्धता बढ़ाने के लिए।")</f>
        <v>क) गति और परिशुद्धता बढ़ाने के लिए।</v>
      </c>
    </row>
    <row r="39" ht="22.5" customHeight="1">
      <c r="A39" s="2">
        <v>38.0</v>
      </c>
      <c r="B39" s="3" t="s">
        <v>12224</v>
      </c>
      <c r="C39" s="3" t="s">
        <v>12225</v>
      </c>
      <c r="D39" s="3" t="s">
        <v>12226</v>
      </c>
      <c r="F39" s="5" t="str">
        <f>IFERROR(__xludf.DUMMYFUNCTION("GOOGLETRANSLATE(A39, ""en"", ""hi"")"),"38")</f>
        <v>38</v>
      </c>
      <c r="G39" s="5" t="str">
        <f>IFERROR(__xludf.DUMMYFUNCTION("GOOGLETRANSLATE(B39, ""en"", ""hi"")"),"थांग-ता प्रतियोगिता के दौरान, एक प्रतिभागी भाले से प्रहार और प्रहार का संयोजन करता है। इस संयोजन का उद्देश्य क्या है?")</f>
        <v>थांग-ता प्रतियोगिता के दौरान, एक प्रतिभागी भाले से प्रहार और प्रहार का संयोजन करता है। इस संयोजन का उद्देश्य क्या है?</v>
      </c>
      <c r="H39" s="5" t="str">
        <f>IFERROR(__xludf.DUMMYFUNCTION("GOOGLETRANSLATE(C39, ""en"", ""hi"")"),"ए) आक्रमण तकनीकों में बहुमुखी प्रतिभा विकसित करना। , बी) रक्षात्मक युद्धाभ्यास पर ध्यान केंद्रित करना। , सी) पारंपरिक आंदोलनों का अभ्यास करना। , डी) संतुलन और समन्वय में सुधार करना।")</f>
        <v>ए) आक्रमण तकनीकों में बहुमुखी प्रतिभा विकसित करना। , बी) रक्षात्मक युद्धाभ्यास पर ध्यान केंद्रित करना। , सी) पारंपरिक आंदोलनों का अभ्यास करना। , डी) संतुलन और समन्वय में सुधार करना।</v>
      </c>
      <c r="I39" s="5" t="str">
        <f>IFERROR(__xludf.DUMMYFUNCTION("GOOGLETRANSLATE(D39, ""en"", ""hi"")"),"अ) आक्रमण तकनीकों में बहुमुखी प्रतिभा विकसित करना।")</f>
        <v>अ) आक्रमण तकनीकों में बहुमुखी प्रतिभा विकसित करना।</v>
      </c>
    </row>
    <row r="40" ht="22.5" customHeight="1">
      <c r="A40" s="2">
        <v>39.0</v>
      </c>
      <c r="B40" s="3" t="s">
        <v>12227</v>
      </c>
      <c r="C40" s="3" t="s">
        <v>12228</v>
      </c>
      <c r="D40" s="3" t="s">
        <v>12229</v>
      </c>
      <c r="F40" s="5" t="str">
        <f>IFERROR(__xludf.DUMMYFUNCTION("GOOGLETRANSLATE(A40, ""en"", ""hi"")"),"39")</f>
        <v>39</v>
      </c>
      <c r="G40" s="5" t="str">
        <f>IFERROR(__xludf.DUMMYFUNCTION("GOOGLETRANSLATE(B40, ""en"", ""hi"")"),"थांग-ता का अभ्यासी आगे बढ़ते हुए तलवार से कई वार करता है। यह तकनीक मुख्यतः क्या दर्शाती है?")</f>
        <v>थांग-ता का अभ्यासी आगे बढ़ते हुए तलवार से कई वार करता है। यह तकनीक मुख्यतः क्या दर्शाती है?</v>
      </c>
      <c r="H40" s="5" t="str">
        <f>IFERROR(__xludf.DUMMYFUNCTION("GOOGLETRANSLATE(C40, ""en"", ""hi"")"),"ए) आक्रामक दबाव बनाए रखने की क्षमता।, बी) रक्षात्मक तकनीकों पर ध्यान केंद्रित करना।, सी) पारंपरिक फुटवर्क का अभ्यास।, डी) चपलता और गति का प्रदर्शन।")</f>
        <v>ए) आक्रामक दबाव बनाए रखने की क्षमता।, बी) रक्षात्मक तकनीकों पर ध्यान केंद्रित करना।, सी) पारंपरिक फुटवर्क का अभ्यास।, डी) चपलता और गति का प्रदर्शन।</v>
      </c>
      <c r="I40" s="5" t="str">
        <f>IFERROR(__xludf.DUMMYFUNCTION("GOOGLETRANSLATE(D40, ""en"", ""hi"")"),"ए) आक्रामक दबाव बनाए रखने की क्षमता।")</f>
        <v>ए) आक्रामक दबाव बनाए रखने की क्षमता।</v>
      </c>
    </row>
    <row r="41" ht="22.5" customHeight="1">
      <c r="A41" s="2">
        <v>40.0</v>
      </c>
      <c r="B41" s="3" t="s">
        <v>12230</v>
      </c>
      <c r="C41" s="3" t="s">
        <v>12231</v>
      </c>
      <c r="D41" s="3" t="s">
        <v>12232</v>
      </c>
      <c r="F41" s="5" t="str">
        <f>IFERROR(__xludf.DUMMYFUNCTION("GOOGLETRANSLATE(A41, ""en"", ""hi"")"),"40")</f>
        <v>40</v>
      </c>
      <c r="G41" s="5" t="str">
        <f>IFERROR(__xludf.DUMMYFUNCTION("GOOGLETRANSLATE(B41, ""en"", ""hi"")"),"थांग-ता में, एक अभ्यासी प्रतिद्वंद्वी के वार से बचने के लिए तेज़ पैरों की कई तकनीकों का इस्तेमाल करता है। इन तकनीकों का मुख्य उद्देश्य क्या है?")</f>
        <v>थांग-ता में, एक अभ्यासी प्रतिद्वंद्वी के वार से बचने के लिए तेज़ पैरों की कई तकनीकों का इस्तेमाल करता है। इन तकनीकों का मुख्य उद्देश्य क्या है?</v>
      </c>
      <c r="H41" s="5" t="str">
        <f>IFERROR(__xludf.DUMMYFUNCTION("GOOGLETRANSLATE(C41, ""en"", ""hi"")"),"ए) चोरी और गतिशीलता को बढ़ाने के लिए।, बी) ताकत और शक्ति का प्रदर्शन करने के लिए।, सी) पारंपरिक तकनीकों पर ध्यान केंद्रित करने के लिए।, डी) उन्नत हथियार संचालन कौशल का प्रदर्शन करने के लिए।")</f>
        <v>ए) चोरी और गतिशीलता को बढ़ाने के लिए।, बी) ताकत और शक्ति का प्रदर्शन करने के लिए।, सी) पारंपरिक तकनीकों पर ध्यान केंद्रित करने के लिए।, डी) उन्नत हथियार संचालन कौशल का प्रदर्शन करने के लिए।</v>
      </c>
      <c r="I41" s="5" t="str">
        <f>IFERROR(__xludf.DUMMYFUNCTION("GOOGLETRANSLATE(D41, ""en"", ""hi"")"),"क) चोरी और गतिशीलता को बढ़ाने के लिए।")</f>
        <v>क) चोरी और गतिशीलता को बढ़ाने के लिए।</v>
      </c>
    </row>
    <row r="42" ht="22.5" customHeight="1">
      <c r="A42" s="2">
        <v>41.0</v>
      </c>
      <c r="B42" s="3" t="s">
        <v>12233</v>
      </c>
      <c r="C42" s="3" t="s">
        <v>12234</v>
      </c>
      <c r="D42" s="3" t="s">
        <v>12235</v>
      </c>
      <c r="F42" s="5" t="str">
        <f>IFERROR(__xludf.DUMMYFUNCTION("GOOGLETRANSLATE(A42, ""en"", ""hi"")"),"41")</f>
        <v>41</v>
      </c>
      <c r="G42" s="5" t="str">
        <f>IFERROR(__xludf.DUMMYFUNCTION("GOOGLETRANSLATE(B42, ""en"", ""hi"")"),"थांग-ता प्रदर्शन के दौरान, एक अभ्यासी तलवार से एक ऊँचे प्रहार के बाद एक नीची तलवार चलाता है। इस क्रम का मुख्य लाभ क्या है?")</f>
        <v>थांग-ता प्रदर्शन के दौरान, एक अभ्यासी तलवार से एक ऊँचे प्रहार के बाद एक नीची तलवार चलाता है। इस क्रम का मुख्य लाभ क्या है?</v>
      </c>
      <c r="H42" s="5" t="str">
        <f>IFERROR(__xludf.DUMMYFUNCTION("GOOGLETRANSLATE(C42, ""en"", ""hi"")"),"ए) गतिशील और प्रभावी आक्रामक संयोजन बनाना। , बी) रक्षात्मक तकनीकों का अभ्यास करना। , सी) पारंपरिक आंदोलनों का प्रदर्शन करना। , डी) चपलता और गति पर ध्यान केंद्रित करना।")</f>
        <v>ए) गतिशील और प्रभावी आक्रामक संयोजन बनाना। , बी) रक्षात्मक तकनीकों का अभ्यास करना। , सी) पारंपरिक आंदोलनों का प्रदर्शन करना। , डी) चपलता और गति पर ध्यान केंद्रित करना।</v>
      </c>
      <c r="I42" s="5" t="str">
        <f>IFERROR(__xludf.DUMMYFUNCTION("GOOGLETRANSLATE(D42, ""en"", ""hi"")"),"क) एक गतिशील और प्रभावी आक्रामक संयोजन बनाना।")</f>
        <v>क) एक गतिशील और प्रभावी आक्रामक संयोजन बनाना।</v>
      </c>
    </row>
    <row r="43" ht="22.5" customHeight="1">
      <c r="A43" s="2">
        <v>42.0</v>
      </c>
      <c r="B43" s="3" t="s">
        <v>12236</v>
      </c>
      <c r="C43" s="3" t="s">
        <v>12237</v>
      </c>
      <c r="D43" s="3" t="s">
        <v>12238</v>
      </c>
      <c r="F43" s="5" t="str">
        <f>IFERROR(__xludf.DUMMYFUNCTION("GOOGLETRANSLATE(A43, ""en"", ""hi"")"),"42")</f>
        <v>42</v>
      </c>
      <c r="G43" s="5" t="str">
        <f>IFERROR(__xludf.DUMMYFUNCTION("GOOGLETRANSLATE(B43, ""en"", ""hi"")"),"एक थांग-ता साधक को ढाल के साथ ऊँची और नीची ब्लॉकों की एक श्रृंखला करते हुए देखा जा सकता है। यह क्रम मुख्यतः क्या दर्शाता है?")</f>
        <v>एक थांग-ता साधक को ढाल के साथ ऊँची और नीची ब्लॉकों की एक श्रृंखला करते हुए देखा जा सकता है। यह क्रम मुख्यतः क्या दर्शाता है?</v>
      </c>
      <c r="H43" s="5" t="str">
        <f>IFERROR(__xludf.DUMMYFUNCTION("GOOGLETRANSLATE(C43, ""en"", ""hi"")"),"ए) कई आक्रमण कोणों से बचाव करने की क्षमता।, बी) आक्रामक तकनीकों पर ध्यान केंद्रित करना।, सी) पारंपरिक आंदोलनों का अभ्यास।, डी) गति और चपलता में वृद्धि।")</f>
        <v>ए) कई आक्रमण कोणों से बचाव करने की क्षमता।, बी) आक्रामक तकनीकों पर ध्यान केंद्रित करना।, सी) पारंपरिक आंदोलनों का अभ्यास।, डी) गति और चपलता में वृद्धि।</v>
      </c>
      <c r="I43" s="5" t="str">
        <f>IFERROR(__xludf.DUMMYFUNCTION("GOOGLETRANSLATE(D43, ""en"", ""hi"")"),"A) कई आक्रमण कोणों से बचाव करने की क्षमता।")</f>
        <v>A) कई आक्रमण कोणों से बचाव करने की क्षमता।</v>
      </c>
    </row>
    <row r="44" ht="22.5" customHeight="1">
      <c r="A44" s="2">
        <v>43.0</v>
      </c>
      <c r="B44" s="3" t="s">
        <v>12239</v>
      </c>
      <c r="C44" s="3" t="s">
        <v>12240</v>
      </c>
      <c r="D44" s="3" t="s">
        <v>12241</v>
      </c>
      <c r="F44" s="5" t="str">
        <f>IFERROR(__xludf.DUMMYFUNCTION("GOOGLETRANSLATE(A44, ""en"", ""hi"")"),"43")</f>
        <v>43</v>
      </c>
      <c r="G44" s="5" t="str">
        <f>IFERROR(__xludf.DUMMYFUNCTION("GOOGLETRANSLATE(B44, ""en"", ""hi"")"),"थांग-ता में, एक साधक भाले से घूमता हुआ प्रहार करता है। घूमने वाली गति को शामिल करने का मुख्य उद्देश्य क्या है?")</f>
        <v>थांग-ता में, एक साधक भाले से घूमता हुआ प्रहार करता है। घूमने वाली गति को शामिल करने का मुख्य उद्देश्य क्या है?</v>
      </c>
      <c r="H44" s="5" t="str">
        <f>IFERROR(__xludf.DUMMYFUNCTION("GOOGLETRANSLATE(C44, ""en"", ""hi"")"),"ए) प्रहार के प्रभाव और प्रभावशीलता को बढ़ाने के लिए।, बी) पारंपरिक नृत्य तत्वों का प्रदर्शन करने के लिए।, सी) रक्षात्मक युद्धाभ्यास का अभ्यास करने के लिए।, डी) शक्ति प्रशिक्षण पर ध्यान केंद्रित करने के लिए।")</f>
        <v>ए) प्रहार के प्रभाव और प्रभावशीलता को बढ़ाने के लिए।, बी) पारंपरिक नृत्य तत्वों का प्रदर्शन करने के लिए।, सी) रक्षात्मक युद्धाभ्यास का अभ्यास करने के लिए।, डी) शक्ति प्रशिक्षण पर ध्यान केंद्रित करने के लिए।</v>
      </c>
      <c r="I44" s="5" t="str">
        <f>IFERROR(__xludf.DUMMYFUNCTION("GOOGLETRANSLATE(D44, ""en"", ""hi"")"),"क) हड़ताल के प्रभाव और प्रभावशीलता को बढ़ाना।")</f>
        <v>क) हड़ताल के प्रभाव और प्रभावशीलता को बढ़ाना।</v>
      </c>
    </row>
    <row r="45" ht="22.5" customHeight="1">
      <c r="A45" s="2">
        <v>44.0</v>
      </c>
      <c r="B45" s="3" t="s">
        <v>12242</v>
      </c>
      <c r="C45" s="3" t="s">
        <v>12243</v>
      </c>
      <c r="D45" s="3" t="s">
        <v>12244</v>
      </c>
      <c r="F45" s="5" t="str">
        <f>IFERROR(__xludf.DUMMYFUNCTION("GOOGLETRANSLATE(A45, ""en"", ""hi"")"),"44")</f>
        <v>44</v>
      </c>
      <c r="G45" s="5" t="str">
        <f>IFERROR(__xludf.DUMMYFUNCTION("GOOGLETRANSLATE(B45, ""en"", ""hi"")"),"थांग-ता अभ्यास सत्र के दौरान, एक अभ्यासी रक्षात्मक मुद्रा बनाए रखते हुए तलवार से ऊपर की ओर कई वार करता है। इन ऊपर की ओर वारों का मुख्य उद्देश्य क्या है?")</f>
        <v>थांग-ता अभ्यास सत्र के दौरान, एक अभ्यासी रक्षात्मक मुद्रा बनाए रखते हुए तलवार से ऊपर की ओर कई वार करता है। इन ऊपर की ओर वारों का मुख्य उद्देश्य क्या है?</v>
      </c>
      <c r="H45" s="5" t="str">
        <f>IFERROR(__xludf.DUMMYFUNCTION("GOOGLETRANSLATE(C45, ""en"", ""hi"")"),"क) ऊंचे कोणों से होने वाले हमलों से बचाने के लिए।, ख) पारंपरिक तलवार तकनीक का प्रदर्शन करने के लिए।, ग) पैरों की चपलता में सुधार करने के लिए।, घ) प्रदर्शन की सौंदर्यात्मक अपील को बढ़ाने के लिए।")</f>
        <v>क) ऊंचे कोणों से होने वाले हमलों से बचाने के लिए।, ख) पारंपरिक तलवार तकनीक का प्रदर्शन करने के लिए।, ग) पैरों की चपलता में सुधार करने के लिए।, घ) प्रदर्शन की सौंदर्यात्मक अपील को बढ़ाने के लिए।</v>
      </c>
      <c r="I45" s="5" t="str">
        <f>IFERROR(__xludf.DUMMYFUNCTION("GOOGLETRANSLATE(D45, ""en"", ""hi"")"),"क) ऊँचे कोणों से होने वाले हमलों से सुरक्षा के लिए।")</f>
        <v>क) ऊँचे कोणों से होने वाले हमलों से सुरक्षा के लिए।</v>
      </c>
    </row>
    <row r="46" ht="22.5" customHeight="1">
      <c r="A46" s="2">
        <v>45.0</v>
      </c>
      <c r="B46" s="3" t="s">
        <v>12245</v>
      </c>
      <c r="C46" s="3" t="s">
        <v>12246</v>
      </c>
      <c r="D46" s="3" t="s">
        <v>12247</v>
      </c>
      <c r="F46" s="5" t="str">
        <f>IFERROR(__xludf.DUMMYFUNCTION("GOOGLETRANSLATE(A46, ""en"", ""hi"")"),"45")</f>
        <v>45</v>
      </c>
      <c r="G46" s="5" t="str">
        <f>IFERROR(__xludf.DUMMYFUNCTION("GOOGLETRANSLATE(B46, ""en"", ""hi"")"),"थांग-ता प्रतियोगिता में, एक प्रतिभागी तेज़ पैरों और ऊँचे प्रहारों के संयोजन का उपयोग करता है। इस संयोजन का मुख्य उद्देश्य क्या है?")</f>
        <v>थांग-ता प्रतियोगिता में, एक प्रतिभागी तेज़ पैरों और ऊँचे प्रहारों के संयोजन का उपयोग करता है। इस संयोजन का मुख्य उद्देश्य क्या है?</v>
      </c>
      <c r="H46" s="5" t="str">
        <f>IFERROR(__xludf.DUMMYFUNCTION("GOOGLETRANSLATE(C46, ""en"", ""hi"")"),"ए) प्रतिद्वंद्वी को गति और अप्रत्याशितता से परास्त करना।, बी) पारंपरिक रूपों में निपुणता प्रदर्शित करना।, सी) रक्षात्मक मुद्राओं पर ध्यान केंद्रित करना।, डी) ताकत और शक्ति में सुधार करना।")</f>
        <v>ए) प्रतिद्वंद्वी को गति और अप्रत्याशितता से परास्त करना।, बी) पारंपरिक रूपों में निपुणता प्रदर्शित करना।, सी) रक्षात्मक मुद्राओं पर ध्यान केंद्रित करना।, डी) ताकत और शक्ति में सुधार करना।</v>
      </c>
      <c r="I46" s="5" t="str">
        <f>IFERROR(__xludf.DUMMYFUNCTION("GOOGLETRANSLATE(D46, ""en"", ""hi"")"),"क) गति और अप्रत्याशितता से प्रतिद्वंद्वी को परास्त करना।")</f>
        <v>क) गति और अप्रत्याशितता से प्रतिद्वंद्वी को परास्त करना।</v>
      </c>
    </row>
    <row r="47" ht="22.5" customHeight="1">
      <c r="A47" s="2">
        <v>46.0</v>
      </c>
      <c r="B47" s="3" t="s">
        <v>12248</v>
      </c>
      <c r="C47" s="3" t="s">
        <v>12249</v>
      </c>
      <c r="D47" s="3" t="s">
        <v>12250</v>
      </c>
      <c r="F47" s="5" t="str">
        <f>IFERROR(__xludf.DUMMYFUNCTION("GOOGLETRANSLATE(A47, ""en"", ""hi"")"),"46")</f>
        <v>46</v>
      </c>
      <c r="G47" s="5" t="str">
        <f>IFERROR(__xludf.DUMMYFUNCTION("GOOGLETRANSLATE(B47, ""en"", ""hi"")"),"एक थांग-ता साधक भाले से क्षैतिज प्रहारों का एक क्रम करता है। इन क्षैतिज प्रहारों का मुख्य उद्देश्य क्या है?")</f>
        <v>एक थांग-ता साधक भाले से क्षैतिज प्रहारों का एक क्रम करता है। इन क्षैतिज प्रहारों का मुख्य उद्देश्य क्या है?</v>
      </c>
      <c r="H47" s="5" t="str">
        <f>IFERROR(__xludf.DUMMYFUNCTION("GOOGLETRANSLATE(C47, ""en"", ""hi"")"),"ए) हमले के विकल्पों की एक विस्तृत श्रृंखला तैयार करना। , बी) रक्षात्मक क्षमताओं का प्रदर्शन करना। , सी) संतुलन और समन्वय पर ध्यान केंद्रित करना। , डी) पारंपरिक भाला चालों का प्रदर्शन करना।")</f>
        <v>ए) हमले के विकल्पों की एक विस्तृत श्रृंखला तैयार करना। , बी) रक्षात्मक क्षमताओं का प्रदर्शन करना। , सी) संतुलन और समन्वय पर ध्यान केंद्रित करना। , डी) पारंपरिक भाला चालों का प्रदर्शन करना।</v>
      </c>
      <c r="I47" s="5" t="str">
        <f>IFERROR(__xludf.DUMMYFUNCTION("GOOGLETRANSLATE(D47, ""en"", ""hi"")"),"क) आक्रमण के विकल्पों की एक विस्तृत श्रृंखला तैयार करना।")</f>
        <v>क) आक्रमण के विकल्पों की एक विस्तृत श्रृंखला तैयार करना।</v>
      </c>
    </row>
    <row r="48" ht="22.5" customHeight="1">
      <c r="A48" s="2">
        <v>47.0</v>
      </c>
      <c r="B48" s="3" t="s">
        <v>12251</v>
      </c>
      <c r="C48" s="3" t="s">
        <v>12252</v>
      </c>
      <c r="D48" s="3" t="s">
        <v>12253</v>
      </c>
      <c r="F48" s="5" t="str">
        <f>IFERROR(__xludf.DUMMYFUNCTION("GOOGLETRANSLATE(A48, ""en"", ""hi"")"),"47")</f>
        <v>47</v>
      </c>
      <c r="G48" s="5" t="str">
        <f>IFERROR(__xludf.DUMMYFUNCTION("GOOGLETRANSLATE(B48, ""en"", ""hi"")"),"थांग-ता प्रशिक्षण सत्र के दौरान, अभ्यासी निम्न स्वीप की एक श्रृंखला के बाद उच्च थ्रस्ट का अभ्यास करता है। इस संयोजन का मुख्य उद्देश्य क्या है?")</f>
        <v>थांग-ता प्रशिक्षण सत्र के दौरान, अभ्यासी निम्न स्वीप की एक श्रृंखला के बाद उच्च थ्रस्ट का अभ्यास करता है। इस संयोजन का मुख्य उद्देश्य क्या है?</v>
      </c>
      <c r="H48" s="5" t="str">
        <f>IFERROR(__xludf.DUMMYFUNCTION("GOOGLETRANSLATE(C48, ""en"", ""hi"")"),"ए) आक्रामक और रक्षात्मक क्रियाओं का एक प्रभावी मिश्रण बनाना। , बी) पारंपरिक व्यापक तकनीकों का प्रदर्शन करना। , सी) संतुलन और स्थिरता में सुधार करना। , डी) गति और चपलता पर ध्यान केंद्रित करना।")</f>
        <v>ए) आक्रामक और रक्षात्मक क्रियाओं का एक प्रभावी मिश्रण बनाना। , बी) पारंपरिक व्यापक तकनीकों का प्रदर्शन करना। , सी) संतुलन और स्थिरता में सुधार करना। , डी) गति और चपलता पर ध्यान केंद्रित करना।</v>
      </c>
      <c r="I48" s="5" t="str">
        <f>IFERROR(__xludf.DUMMYFUNCTION("GOOGLETRANSLATE(D48, ""en"", ""hi"")"),"क) आक्रामक और रक्षात्मक कार्यों का प्रभावी मिश्रण बनाना।")</f>
        <v>क) आक्रामक और रक्षात्मक कार्यों का प्रभावी मिश्रण बनाना।</v>
      </c>
    </row>
    <row r="49" ht="22.5" customHeight="1">
      <c r="A49" s="2">
        <v>48.0</v>
      </c>
      <c r="B49" s="3" t="s">
        <v>12254</v>
      </c>
      <c r="C49" s="3" t="s">
        <v>12255</v>
      </c>
      <c r="D49" s="3" t="s">
        <v>12256</v>
      </c>
      <c r="F49" s="5" t="str">
        <f>IFERROR(__xludf.DUMMYFUNCTION("GOOGLETRANSLATE(A49, ""en"", ""hi"")"),"48")</f>
        <v>48</v>
      </c>
      <c r="G49" s="5" t="str">
        <f>IFERROR(__xludf.DUMMYFUNCTION("GOOGLETRANSLATE(B49, ""en"", ""hi"")"),"थांग-ता में, एक अभ्यासी अपनी दिनचर्या में भाले से कई तेज़ वार करता है। इन वारों का मुख्य उद्देश्य क्या है?")</f>
        <v>थांग-ता में, एक अभ्यासी अपनी दिनचर्या में भाले से कई तेज़ वार करता है। इन वारों का मुख्य उद्देश्य क्या है?</v>
      </c>
      <c r="H49" s="5" t="str">
        <f>IFERROR(__xludf.DUMMYFUNCTION("GOOGLETRANSLATE(C49, ""en"", ""hi"")"),"ए) प्रतिद्वंद्वी की सुरक्षा को बाधित करने के लिए।, बी) पारंपरिक भाला तकनीक का प्रदर्शन करने के लिए।, सी) फुटवर्क चपलता का अभ्यास करने के लिए।, डी) संतुलन और मुद्रा में सुधार करने के लिए।")</f>
        <v>ए) प्रतिद्वंद्वी की सुरक्षा को बाधित करने के लिए।, बी) पारंपरिक भाला तकनीक का प्रदर्शन करने के लिए।, सी) फुटवर्क चपलता का अभ्यास करने के लिए।, डी) संतुलन और मुद्रा में सुधार करने के लिए।</v>
      </c>
      <c r="I49" s="5" t="str">
        <f>IFERROR(__xludf.DUMMYFUNCTION("GOOGLETRANSLATE(D49, ""en"", ""hi"")"),"अ) प्रतिद्वंद्वी की सुरक्षा को बाधित करना।")</f>
        <v>अ) प्रतिद्वंद्वी की सुरक्षा को बाधित करना।</v>
      </c>
    </row>
    <row r="50" ht="22.5" customHeight="1">
      <c r="A50" s="2">
        <v>49.0</v>
      </c>
      <c r="B50" s="3" t="s">
        <v>12257</v>
      </c>
      <c r="C50" s="3" t="s">
        <v>12258</v>
      </c>
      <c r="D50" s="3" t="s">
        <v>12259</v>
      </c>
      <c r="F50" s="5" t="str">
        <f>IFERROR(__xludf.DUMMYFUNCTION("GOOGLETRANSLATE(A50, ""en"", ""hi"")"),"49")</f>
        <v>49</v>
      </c>
      <c r="G50" s="5" t="str">
        <f>IFERROR(__xludf.DUMMYFUNCTION("GOOGLETRANSLATE(B50, ""en"", ""hi"")"),"थांग-ता का अभ्यास करने वाला व्यक्ति आगे की ओर झुककर तलवार से तिरछे वार करता है। इस संयोजन का मुख्य लाभ क्या है?")</f>
        <v>थांग-ता का अभ्यास करने वाला व्यक्ति आगे की ओर झुककर तलवार से तिरछे वार करता है। इस संयोजन का मुख्य लाभ क्या है?</v>
      </c>
      <c r="H50" s="5" t="str">
        <f>IFERROR(__xludf.DUMMYFUNCTION("GOOGLETRANSLATE(C50, ""en"", ""hi"")"),"ए) आक्रामक दबाव बनाए रखते हुए दूरी तय करना। , बी) पारंपरिक लंजिंग तकनीकों का प्रदर्शन करना। , सी) रक्षात्मक मुद्राओं पर ध्यान केंद्रित करना। , डी) ताकत और शक्ति में सुधार करना।")</f>
        <v>ए) आक्रामक दबाव बनाए रखते हुए दूरी तय करना। , बी) पारंपरिक लंजिंग तकनीकों का प्रदर्शन करना। , सी) रक्षात्मक मुद्राओं पर ध्यान केंद्रित करना। , डी) ताकत और शक्ति में सुधार करना।</v>
      </c>
      <c r="I50" s="5" t="str">
        <f>IFERROR(__xludf.DUMMYFUNCTION("GOOGLETRANSLATE(D50, ""en"", ""hi"")"),"ए) आक्रामक दबाव बनाए रखते हुए दूरी तय करना।")</f>
        <v>ए) आक्रामक दबाव बनाए रखते हुए दूरी तय करना।</v>
      </c>
    </row>
    <row r="51" ht="22.5" customHeight="1">
      <c r="A51" s="2">
        <v>50.0</v>
      </c>
      <c r="B51" s="3" t="s">
        <v>12260</v>
      </c>
      <c r="C51" s="3" t="s">
        <v>12261</v>
      </c>
      <c r="D51" s="3" t="s">
        <v>12262</v>
      </c>
      <c r="F51" s="5" t="str">
        <f>IFERROR(__xludf.DUMMYFUNCTION("GOOGLETRANSLATE(A51, ""en"", ""hi"")"),"50")</f>
        <v>50</v>
      </c>
      <c r="G51" s="5" t="str">
        <f>IFERROR(__xludf.DUMMYFUNCTION("GOOGLETRANSLATE(B51, ""en"", ""hi"")"),"थांग-ता प्रतियोगिता के दौरान, एक प्रतिभागी एक क्रम में छल-कपट की एक श्रृंखला के बाद एक शक्तिशाली प्रहार करता है। इस रणनीति का मुख्य उद्देश्य क्या है?")</f>
        <v>थांग-ता प्रतियोगिता के दौरान, एक प्रतिभागी एक क्रम में छल-कपट की एक श्रृंखला के बाद एक शक्तिशाली प्रहार करता है। इस रणनीति का मुख्य उद्देश्य क्या है?</v>
      </c>
      <c r="H51" s="5" t="str">
        <f>IFERROR(__xludf.DUMMYFUNCTION("GOOGLETRANSLATE(C51, ""en"", ""hi"")"),"ए) प्रतिद्वंद्वी को भ्रमित करना और एक अवसर पैदा करना। , बी) पारंपरिक तकनीकों का प्रदर्शन करना। , सी) गति और चपलता में सुधार करना। , डी) रक्षात्मक युद्धाभ्यास पर ध्यान केंद्रित करना।")</f>
        <v>ए) प्रतिद्वंद्वी को भ्रमित करना और एक अवसर पैदा करना। , बी) पारंपरिक तकनीकों का प्रदर्शन करना। , सी) गति और चपलता में सुधार करना। , डी) रक्षात्मक युद्धाभ्यास पर ध्यान केंद्रित करना।</v>
      </c>
      <c r="I51" s="5" t="str">
        <f>IFERROR(__xludf.DUMMYFUNCTION("GOOGLETRANSLATE(D51, ""en"", ""hi"")"),"क) प्रतिद्वंद्वी को भ्रमित करना और अवसर पैदा करना।")</f>
        <v>क) प्रतिद्वंद्वी को भ्रमित करना और अवसर पैदा करना।</v>
      </c>
    </row>
    <row r="52" ht="22.5" customHeight="1">
      <c r="A52" s="2">
        <v>51.0</v>
      </c>
      <c r="B52" s="3" t="s">
        <v>12263</v>
      </c>
      <c r="C52" s="3" t="s">
        <v>12264</v>
      </c>
      <c r="D52" s="3" t="s">
        <v>12265</v>
      </c>
      <c r="F52" s="5" t="str">
        <f>IFERROR(__xludf.DUMMYFUNCTION("GOOGLETRANSLATE(A52, ""en"", ""hi"")"),"51")</f>
        <v>51</v>
      </c>
      <c r="G52" s="5" t="str">
        <f>IFERROR(__xludf.DUMMYFUNCTION("GOOGLETRANSLATE(B52, ""en"", ""hi"")"),"थांग-ता में, एक अभ्यासी भाले से ऊँचे प्रहार और निचले प्रहार का संयोजन करता है। इस संयोजन का मुख्य उद्देश्य क्या है?")</f>
        <v>थांग-ता में, एक अभ्यासी भाले से ऊँचे प्रहार और निचले प्रहार का संयोजन करता है। इस संयोजन का मुख्य उद्देश्य क्या है?</v>
      </c>
      <c r="H52" s="5" t="str">
        <f>IFERROR(__xludf.DUMMYFUNCTION("GOOGLETRANSLATE(C52, ""en"", ""hi"")"),"A) अप्रत्याशित आक्रामक रणनीति बनाना। , B) पारंपरिक गतिविधियों का अभ्यास करना। , C) गति और चपलता बढ़ाना। , D) रक्षात्मक तकनीकों का प्रदर्शन करना।")</f>
        <v>A) अप्रत्याशित आक्रामक रणनीति बनाना। , B) पारंपरिक गतिविधियों का अभ्यास करना। , C) गति और चपलता बढ़ाना। , D) रक्षात्मक तकनीकों का प्रदर्शन करना।</v>
      </c>
      <c r="I52" s="5" t="str">
        <f>IFERROR(__xludf.DUMMYFUNCTION("GOOGLETRANSLATE(D52, ""en"", ""hi"")"),"अ) अप्रत्याशित आक्रामक रणनीति बनाना।")</f>
        <v>अ) अप्रत्याशित आक्रामक रणनीति बनाना।</v>
      </c>
    </row>
    <row r="53" ht="22.5" customHeight="1">
      <c r="A53" s="2">
        <v>52.0</v>
      </c>
      <c r="B53" s="3" t="s">
        <v>12266</v>
      </c>
      <c r="C53" s="3" t="s">
        <v>12267</v>
      </c>
      <c r="D53" s="3" t="s">
        <v>12268</v>
      </c>
      <c r="F53" s="5" t="str">
        <f>IFERROR(__xludf.DUMMYFUNCTION("GOOGLETRANSLATE(A53, ""en"", ""hi"")"),"52")</f>
        <v>52</v>
      </c>
      <c r="G53" s="5" t="str">
        <f>IFERROR(__xludf.DUMMYFUNCTION("GOOGLETRANSLATE(B53, ""en"", ""hi"")"),"थांग-ता का अभ्यास करने वाले लोग अपनी दिनचर्या में स्पिनिंग किक्स को शामिल करते हैं। इन स्पिनिंग किक्स का मुख्य उद्देश्य क्या है?")</f>
        <v>थांग-ता का अभ्यास करने वाले लोग अपनी दिनचर्या में स्पिनिंग किक्स को शामिल करते हैं। इन स्पिनिंग किक्स का मुख्य उद्देश्य क्या है?</v>
      </c>
      <c r="H53" s="5" t="str">
        <f>IFERROR(__xludf.DUMMYFUNCTION("GOOGLETRANSLATE(C53, ""en"", ""hi"")"),"ए) आश्चर्य का तत्व जोड़ने और बचाव की कठिनाई बढ़ाने के लिए। , बी) पारंपरिक किकिंग तकनीकों का प्रदर्शन करने के लिए। , सी) संतुलन और स्थिरता में सुधार करने के लिए। , डी) शक्ति प्रशिक्षण पर ध्यान केंद्रित करने के लिए।")</f>
        <v>ए) आश्चर्य का तत्व जोड़ने और बचाव की कठिनाई बढ़ाने के लिए। , बी) पारंपरिक किकिंग तकनीकों का प्रदर्शन करने के लिए। , सी) संतुलन और स्थिरता में सुधार करने के लिए। , डी) शक्ति प्रशिक्षण पर ध्यान केंद्रित करने के लिए।</v>
      </c>
      <c r="I53" s="5" t="str">
        <f>IFERROR(__xludf.DUMMYFUNCTION("GOOGLETRANSLATE(D53, ""en"", ""hi"")"),"A) आश्चर्य का तत्व जोड़ना और रक्षा की कठिनाई को बढ़ाना।")</f>
        <v>A) आश्चर्य का तत्व जोड़ना और रक्षा की कठिनाई को बढ़ाना।</v>
      </c>
    </row>
    <row r="54" ht="22.5" customHeight="1">
      <c r="A54" s="2">
        <v>53.0</v>
      </c>
      <c r="B54" s="3" t="s">
        <v>12269</v>
      </c>
      <c r="C54" s="3" t="s">
        <v>12270</v>
      </c>
      <c r="D54" s="3" t="s">
        <v>12271</v>
      </c>
      <c r="F54" s="5" t="str">
        <f>IFERROR(__xludf.DUMMYFUNCTION("GOOGLETRANSLATE(A54, ""en"", ""hi"")"),"53")</f>
        <v>53</v>
      </c>
      <c r="G54" s="5" t="str">
        <f>IFERROR(__xludf.DUMMYFUNCTION("GOOGLETRANSLATE(B54, ""en"", ""hi"")"),"थांग-ता प्रदर्शन के दौरान, एक अभ्यासी नीची मुद्रा में रहते हुए तलवार से तेज़ वार करने का एक क्रम करता है। इस तकनीक का मुख्य उद्देश्य क्या है?")</f>
        <v>थांग-ता प्रदर्शन के दौरान, एक अभ्यासी नीची मुद्रा में रहते हुए तलवार से तेज़ वार करने का एक क्रम करता है। इस तकनीक का मुख्य उद्देश्य क्या है?</v>
      </c>
      <c r="H54" s="5" t="str">
        <f>IFERROR(__xludf.DUMMYFUNCTION("GOOGLETRANSLATE(C54, ""en"", ""hi"")"),"ए) प्रतिद्वंद्वी की निचली सुरक्षा को लक्ष्य बनाना।, बी) पारंपरिक निम्न रुख तकनीकों का अभ्यास करना।, सी) गति और चपलता को बढ़ाना।, डी) संतुलन और समन्वय पर ध्यान केंद्रित करना।")</f>
        <v>ए) प्रतिद्वंद्वी की निचली सुरक्षा को लक्ष्य बनाना।, बी) पारंपरिक निम्न रुख तकनीकों का अभ्यास करना।, सी) गति और चपलता को बढ़ाना।, डी) संतुलन और समन्वय पर ध्यान केंद्रित करना।</v>
      </c>
      <c r="I54" s="5" t="str">
        <f>IFERROR(__xludf.DUMMYFUNCTION("GOOGLETRANSLATE(D54, ""en"", ""hi"")"),"अ) प्रतिद्वंद्वी की निचली सुरक्षा को निशाना बनाना।")</f>
        <v>अ) प्रतिद्वंद्वी की निचली सुरक्षा को निशाना बनाना।</v>
      </c>
    </row>
    <row r="55" ht="22.5" customHeight="1">
      <c r="A55" s="2">
        <v>54.0</v>
      </c>
      <c r="B55" s="3" t="s">
        <v>12272</v>
      </c>
      <c r="C55" s="3" t="s">
        <v>12273</v>
      </c>
      <c r="D55" s="3" t="s">
        <v>12274</v>
      </c>
      <c r="F55" s="5" t="str">
        <f>IFERROR(__xludf.DUMMYFUNCTION("GOOGLETRANSLATE(A55, ""en"", ""hi"")"),"54")</f>
        <v>54</v>
      </c>
      <c r="G55" s="5" t="str">
        <f>IFERROR(__xludf.DUMMYFUNCTION("GOOGLETRANSLATE(B55, ""en"", ""hi"")"),"थांग-ता में, एक अभ्यासी प्रतिद्वंद्वी की ओर बढ़ते हुए तलवार से कई तिरछे वार करता है। इस युद्धाभ्यास का मुख्य उद्देश्य क्या है?")</f>
        <v>थांग-ता में, एक अभ्यासी प्रतिद्वंद्वी की ओर बढ़ते हुए तलवार से कई तिरछे वार करता है। इस युद्धाभ्यास का मुख्य उद्देश्य क्या है?</v>
      </c>
      <c r="H55" s="5" t="str">
        <f>IFERROR(__xludf.DUMMYFUNCTION("GOOGLETRANSLATE(C55, ""en"", ""hi"")"),"A) निरंतर आक्रामक दबाव बनाना। , B) पारंपरिक तलवारबाजी का प्रदर्शन करना। , C) रक्षात्मक तकनीकों का अभ्यास करना। , D) फुटवर्क और चपलता में सुधार करना।")</f>
        <v>A) निरंतर आक्रामक दबाव बनाना। , B) पारंपरिक तलवारबाजी का प्रदर्शन करना। , C) रक्षात्मक तकनीकों का अभ्यास करना। , D) फुटवर्क और चपलता में सुधार करना।</v>
      </c>
      <c r="I55" s="5" t="str">
        <f>IFERROR(__xludf.DUMMYFUNCTION("GOOGLETRANSLATE(D55, ""en"", ""hi"")"),"क) निरंतर आक्रामक दबाव बनाना।")</f>
        <v>क) निरंतर आक्रामक दबाव बनाना।</v>
      </c>
    </row>
    <row r="56" ht="22.5" customHeight="1">
      <c r="A56" s="2">
        <v>55.0</v>
      </c>
      <c r="B56" s="3" t="s">
        <v>12275</v>
      </c>
      <c r="C56" s="3" t="s">
        <v>12276</v>
      </c>
      <c r="D56" s="3" t="s">
        <v>12277</v>
      </c>
      <c r="F56" s="5" t="str">
        <f>IFERROR(__xludf.DUMMYFUNCTION("GOOGLETRANSLATE(A56, ""en"", ""hi"")"),"55")</f>
        <v>55</v>
      </c>
      <c r="G56" s="5" t="str">
        <f>IFERROR(__xludf.DUMMYFUNCTION("GOOGLETRANSLATE(B56, ""en"", ""hi"")"),"थांग-ता का एक अभ्यासी ढाल का उपयोग करके हमलों और बचावों का एक क्रम अपनाता है। ढाल को अपनी दिनचर्या में शामिल करने का मुख्य लाभ क्या है?")</f>
        <v>थांग-ता का एक अभ्यासी ढाल का उपयोग करके हमलों और बचावों का एक क्रम अपनाता है। ढाल को अपनी दिनचर्या में शामिल करने का मुख्य लाभ क्या है?</v>
      </c>
      <c r="H56" s="5" t="str">
        <f>IFERROR(__xludf.DUMMYFUNCTION("GOOGLETRANSLATE(C56, ""en"", ""hi"")"),"ए) रक्षात्मक और आक्रामक रणनीति को प्रभावी ढंग से एकीकृत करना।, बी) ताकत और शक्ति पर ध्यान केंद्रित करना।, सी) पारंपरिक तकनीकों का प्रदर्शन करना।, डी) दृश्य अपील को बढ़ाना।")</f>
        <v>ए) रक्षात्मक और आक्रामक रणनीति को प्रभावी ढंग से एकीकृत करना।, बी) ताकत और शक्ति पर ध्यान केंद्रित करना।, सी) पारंपरिक तकनीकों का प्रदर्शन करना।, डी) दृश्य अपील को बढ़ाना।</v>
      </c>
      <c r="I56" s="5" t="str">
        <f>IFERROR(__xludf.DUMMYFUNCTION("GOOGLETRANSLATE(D56, ""en"", ""hi"")"),"क) रक्षात्मक और आक्रामक रणनीति को प्रभावी ढंग से एकीकृत करना।")</f>
        <v>क) रक्षात्मक और आक्रामक रणनीति को प्रभावी ढंग से एकीकृत करना।</v>
      </c>
    </row>
    <row r="57" ht="22.5" customHeight="1">
      <c r="A57" s="2">
        <v>56.0</v>
      </c>
      <c r="B57" s="3" t="s">
        <v>12278</v>
      </c>
      <c r="C57" s="3" t="s">
        <v>12279</v>
      </c>
      <c r="D57" s="3" t="s">
        <v>12280</v>
      </c>
      <c r="F57" s="5" t="str">
        <f>IFERROR(__xludf.DUMMYFUNCTION("GOOGLETRANSLATE(A57, ""en"", ""hi"")"),"56")</f>
        <v>56</v>
      </c>
      <c r="G57" s="5" t="str">
        <f>IFERROR(__xludf.DUMMYFUNCTION("GOOGLETRANSLATE(B57, ""en"", ""hi"")"),"थांग-ता प्रशिक्षण सत्र के दौरान, अभ्यासकर्ता ऊँची किक और नीची स्वीप के संयोजन का उपयोग करता है। इस संयोजन का मुख्य उद्देश्य क्या है?")</f>
        <v>थांग-ता प्रशिक्षण सत्र के दौरान, अभ्यासकर्ता ऊँची किक और नीची स्वीप के संयोजन का उपयोग करता है। इस संयोजन का मुख्य उद्देश्य क्या है?</v>
      </c>
      <c r="H57" s="5" t="str">
        <f>IFERROR(__xludf.DUMMYFUNCTION("GOOGLETRANSLATE(C57, ""en"", ""hi"")"),"A) एक बहुमुखी आक्रामक रणनीति बनाना जो कई क्षेत्रों को लक्षित करती है। , B) पारंपरिक आंदोलनों पर ध्यान केंद्रित करना। , C) रक्षात्मक तकनीकों का अभ्यास करना। , D) गति और शक्ति को बढ़ाना।")</f>
        <v>A) एक बहुमुखी आक्रामक रणनीति बनाना जो कई क्षेत्रों को लक्षित करती है। , B) पारंपरिक आंदोलनों पर ध्यान केंद्रित करना। , C) रक्षात्मक तकनीकों का अभ्यास करना। , D) गति और शक्ति को बढ़ाना।</v>
      </c>
      <c r="I57" s="5" t="str">
        <f>IFERROR(__xludf.DUMMYFUNCTION("GOOGLETRANSLATE(D57, ""en"", ""hi"")"),"क) एक बहुमुखी आक्रामक रणनीति बनाना जो कई क्षेत्रों को लक्ष्य करे।")</f>
        <v>क) एक बहुमुखी आक्रामक रणनीति बनाना जो कई क्षेत्रों को लक्ष्य करे।</v>
      </c>
    </row>
    <row r="58" ht="22.5" customHeight="1">
      <c r="A58" s="2">
        <v>57.0</v>
      </c>
      <c r="B58" s="3" t="s">
        <v>12281</v>
      </c>
      <c r="C58" s="3" t="s">
        <v>12282</v>
      </c>
      <c r="D58" s="3" t="s">
        <v>12283</v>
      </c>
      <c r="F58" s="5" t="str">
        <f>IFERROR(__xludf.DUMMYFUNCTION("GOOGLETRANSLATE(A58, ""en"", ""hi"")"),"57")</f>
        <v>57</v>
      </c>
      <c r="G58" s="5" t="str">
        <f>IFERROR(__xludf.DUMMYFUNCTION("GOOGLETRANSLATE(B58, ""en"", ""hi"")"),"थांग-ता में, एक अभ्यासी बारी-बारी से हाथों से तीव्र प्रहारों की एक श्रृंखला करता है। बारी-बारी से हाथों से प्रहार करने का मुख्य उद्देश्य क्या है?")</f>
        <v>थांग-ता में, एक अभ्यासी बारी-बारी से हाथों से तीव्र प्रहारों की एक श्रृंखला करता है। बारी-बारी से हाथों से प्रहार करने का मुख्य उद्देश्य क्या है?</v>
      </c>
      <c r="H58" s="5" t="str">
        <f>IFERROR(__xludf.DUMMYFUNCTION("GOOGLETRANSLATE(C58, ""en"", ""hi"")"),"A) हमलों में समन्वय और गति बढ़ाने के लिए। , B) पारंपरिक आंदोलनों पर ध्यान केंद्रित करने के लिए। , C) रक्षात्मक तकनीकों का अभ्यास करने के लिए। , D) हथियार संचालन कौशल का प्रदर्शन करने के लिए।")</f>
        <v>A) हमलों में समन्वय और गति बढ़ाने के लिए। , B) पारंपरिक आंदोलनों पर ध्यान केंद्रित करने के लिए। , C) रक्षात्मक तकनीकों का अभ्यास करने के लिए। , D) हथियार संचालन कौशल का प्रदर्शन करने के लिए।</v>
      </c>
      <c r="I58" s="5" t="str">
        <f>IFERROR(__xludf.DUMMYFUNCTION("GOOGLETRANSLATE(D58, ""en"", ""hi"")"),"क) हमलों में समन्वय और गति बढ़ाने के लिए।")</f>
        <v>क) हमलों में समन्वय और गति बढ़ाने के लिए।</v>
      </c>
    </row>
    <row r="59" ht="22.5" customHeight="1">
      <c r="A59" s="2">
        <v>58.0</v>
      </c>
      <c r="B59" s="3" t="s">
        <v>12284</v>
      </c>
      <c r="C59" s="3" t="s">
        <v>12285</v>
      </c>
      <c r="D59" s="3" t="s">
        <v>12286</v>
      </c>
      <c r="F59" s="5" t="str">
        <f>IFERROR(__xludf.DUMMYFUNCTION("GOOGLETRANSLATE(A59, ""en"", ""hi"")"),"58")</f>
        <v>58</v>
      </c>
      <c r="G59" s="5" t="str">
        <f>IFERROR(__xludf.DUMMYFUNCTION("GOOGLETRANSLATE(B59, ""en"", ""hi"")"),"थांग-ता का अभ्यासी आगे की ओर झुककर भाले से घूमते हुए प्रहार करता है। इस तकनीक का मुख्य लाभ क्या है?")</f>
        <v>थांग-ता का अभ्यासी आगे की ओर झुककर भाले से घूमते हुए प्रहार करता है। इस तकनीक का मुख्य लाभ क्या है?</v>
      </c>
      <c r="H59" s="5" t="str">
        <f>IFERROR(__xludf.DUMMYFUNCTION("GOOGLETRANSLATE(C59, ""en"", ""hi"")"),"क) शक्तिशाली प्रहार करते समय जमीन को कवर करना।, ख) पारंपरिक लंजिंग तकनीकों का प्रदर्शन करना।, ग) रक्षात्मक युद्धाभ्यास पर ध्यान केंद्रित करना।, घ) संतुलन और मुद्रा में सुधार करना।")</f>
        <v>क) शक्तिशाली प्रहार करते समय जमीन को कवर करना।, ख) पारंपरिक लंजिंग तकनीकों का प्रदर्शन करना।, ग) रक्षात्मक युद्धाभ्यास पर ध्यान केंद्रित करना।, घ) संतुलन और मुद्रा में सुधार करना।</v>
      </c>
      <c r="I59" s="5" t="str">
        <f>IFERROR(__xludf.DUMMYFUNCTION("GOOGLETRANSLATE(D59, ""en"", ""hi"")"),"क) शक्तिशाली प्रहार करते हुए जमीन को कवर करना।")</f>
        <v>क) शक्तिशाली प्रहार करते हुए जमीन को कवर करना।</v>
      </c>
    </row>
    <row r="60" ht="22.5" customHeight="1">
      <c r="A60" s="2">
        <v>59.0</v>
      </c>
      <c r="B60" s="3" t="s">
        <v>12287</v>
      </c>
      <c r="C60" s="3" t="s">
        <v>12288</v>
      </c>
      <c r="D60" s="3" t="s">
        <v>12289</v>
      </c>
      <c r="F60" s="5" t="str">
        <f>IFERROR(__xludf.DUMMYFUNCTION("GOOGLETRANSLATE(A60, ""en"", ""hi"")"),"59")</f>
        <v>59</v>
      </c>
      <c r="G60" s="5" t="str">
        <f>IFERROR(__xludf.DUMMYFUNCTION("GOOGLETRANSLATE(B60, ""en"", ""hi"")"),"थांग-ता प्रतियोगिता के दौरान, एक प्रतिभागी ऊँचे प्रहारों और आक्रामक पैरों का संयोजन करता है। इस दृष्टिकोण का मुख्य उद्देश्य क्या है?")</f>
        <v>थांग-ता प्रतियोगिता के दौरान, एक प्रतिभागी ऊँचे प्रहारों और आक्रामक पैरों का संयोजन करता है। इस दृष्टिकोण का मुख्य उद्देश्य क्या है?</v>
      </c>
      <c r="H60" s="5" t="str">
        <f>IFERROR(__xludf.DUMMYFUNCTION("GOOGLETRANSLATE(C60, ""en"", ""hi"")"),"क) जवाबी हमलों से बचते हुए आक्रामक बढ़त बनाए रखना। , ख) पारंपरिक तकनीकों का प्रदर्शन करना। , ग) ताकत और शक्ति में सुधार करना। , घ) रक्षात्मक मुद्राओं पर ध्यान केंद्रित करना।")</f>
        <v>क) जवाबी हमलों से बचते हुए आक्रामक बढ़त बनाए रखना। , ख) पारंपरिक तकनीकों का प्रदर्शन करना। , ग) ताकत और शक्ति में सुधार करना। , घ) रक्षात्मक मुद्राओं पर ध्यान केंद्रित करना।</v>
      </c>
      <c r="I60" s="5" t="str">
        <f>IFERROR(__xludf.DUMMYFUNCTION("GOOGLETRANSLATE(D60, ""en"", ""hi"")"),"क) जवाबी हमलों से बचते हुए आक्रामक बढ़त बनाए रखना।")</f>
        <v>क) जवाबी हमलों से बचते हुए आक्रामक बढ़त बनाए रखना।</v>
      </c>
    </row>
    <row r="61" ht="22.5" customHeight="1">
      <c r="A61" s="2">
        <v>60.0</v>
      </c>
      <c r="B61" s="3" t="s">
        <v>12290</v>
      </c>
      <c r="C61" s="3" t="s">
        <v>12291</v>
      </c>
      <c r="D61" s="3" t="s">
        <v>12292</v>
      </c>
      <c r="F61" s="5" t="str">
        <f>IFERROR(__xludf.DUMMYFUNCTION("GOOGLETRANSLATE(A61, ""en"", ""hi"")"),"60")</f>
        <v>60</v>
      </c>
      <c r="G61" s="5" t="str">
        <f>IFERROR(__xludf.DUMMYFUNCTION("GOOGLETRANSLATE(B61, ""en"", ""hi"")"),"थांग-ता में, साधक कई प्रहार करता है और उसके बाद पीछे की ओर छलांग लगाता है। इस पीछे की ओर छलांग का मुख्य उद्देश्य क्या है?")</f>
        <v>थांग-ता में, साधक कई प्रहार करता है और उसके बाद पीछे की ओर छलांग लगाता है। इस पीछे की ओर छलांग का मुख्य उद्देश्य क्या है?</v>
      </c>
      <c r="H61" s="5" t="str">
        <f>IFERROR(__xludf.DUMMYFUNCTION("GOOGLETRANSLATE(C61, ""en"", ""hi"")"),"ए) दूरी बनाना और जवाबी कार्रवाई से बचना। , बी) पारंपरिक फुटवर्क पर ध्यान केंद्रित करना। , सी) चपलता और गति का प्रदर्शन करना। , डी) संतुलन और स्थिरता में सुधार करना।")</f>
        <v>ए) दूरी बनाना और जवाबी कार्रवाई से बचना। , बी) पारंपरिक फुटवर्क पर ध्यान केंद्रित करना। , सी) चपलता और गति का प्रदर्शन करना। , डी) संतुलन और स्थिरता में सुधार करना।</v>
      </c>
      <c r="I61" s="5" t="str">
        <f>IFERROR(__xludf.DUMMYFUNCTION("GOOGLETRANSLATE(D61, ""en"", ""hi"")"),"क) दूरी बनाना और प्रतिशोध से बचना।")</f>
        <v>क) दूरी बनाना और प्रतिशोध से बचना।</v>
      </c>
    </row>
    <row r="62" ht="22.5" customHeight="1">
      <c r="A62" s="2">
        <v>61.0</v>
      </c>
      <c r="B62" s="3" t="s">
        <v>12293</v>
      </c>
      <c r="C62" s="3" t="s">
        <v>12294</v>
      </c>
      <c r="D62" s="3" t="s">
        <v>12295</v>
      </c>
      <c r="F62" s="5" t="str">
        <f>IFERROR(__xludf.DUMMYFUNCTION("GOOGLETRANSLATE(A62, ""en"", ""hi"")"),"61")</f>
        <v>61</v>
      </c>
      <c r="G62" s="5" t="str">
        <f>IFERROR(__xludf.DUMMYFUNCTION("GOOGLETRANSLATE(B62, ""en"", ""hi"")"),"थांग-ता का अभ्यासी तलवार से कई व्यापक हमले करता है। इन व्यापक हमलों का मुख्य उद्देश्य क्या है?")</f>
        <v>थांग-ता का अभ्यासी तलवार से कई व्यापक हमले करता है। इन व्यापक हमलों का मुख्य उद्देश्य क्या है?</v>
      </c>
      <c r="H62" s="5" t="str">
        <f>IFERROR(__xludf.DUMMYFUNCTION("GOOGLETRANSLATE(C62, ""en"", ""hi"")"),"ए) प्रतिद्वंद्वी की निचली सुरक्षा को प्रभावी ढंग से निशाना बनाना। , बी) पारंपरिक व्यापक तकनीकों का प्रदर्शन करना। , सी) गति और शक्ति में सुधार करना। , डी) रक्षात्मक आंदोलनों पर ध्यान केंद्रित करना।")</f>
        <v>ए) प्रतिद्वंद्वी की निचली सुरक्षा को प्रभावी ढंग से निशाना बनाना। , बी) पारंपरिक व्यापक तकनीकों का प्रदर्शन करना। , सी) गति और शक्ति में सुधार करना। , डी) रक्षात्मक आंदोलनों पर ध्यान केंद्रित करना।</v>
      </c>
      <c r="I62" s="5" t="str">
        <f>IFERROR(__xludf.DUMMYFUNCTION("GOOGLETRANSLATE(D62, ""en"", ""hi"")"),"क) प्रतिद्वंद्वी की निचली सुरक्षा को प्रभावी ढंग से निशाना बनाना।")</f>
        <v>क) प्रतिद्वंद्वी की निचली सुरक्षा को प्रभावी ढंग से निशाना बनाना।</v>
      </c>
    </row>
    <row r="63" ht="22.5" customHeight="1">
      <c r="A63" s="2">
        <v>62.0</v>
      </c>
      <c r="B63" s="3" t="s">
        <v>12296</v>
      </c>
      <c r="C63" s="3" t="s">
        <v>12297</v>
      </c>
      <c r="D63" s="3" t="s">
        <v>12265</v>
      </c>
      <c r="F63" s="5" t="str">
        <f>IFERROR(__xludf.DUMMYFUNCTION("GOOGLETRANSLATE(A63, ""en"", ""hi"")"),"62")</f>
        <v>62</v>
      </c>
      <c r="G63" s="5" t="str">
        <f>IFERROR(__xludf.DUMMYFUNCTION("GOOGLETRANSLATE(B63, ""en"", ""hi"")"),"थांग-ता प्रदर्शन के दौरान, एक अभ्यासी कई तेज़ वार करता है और उसके बाद भाले से घूमता हुआ वार करता है। इस संयोजन का मुख्य उद्देश्य क्या है?")</f>
        <v>थांग-ता प्रदर्शन के दौरान, एक अभ्यासी कई तेज़ वार करता है और उसके बाद भाले से घूमता हुआ वार करता है। इस संयोजन का मुख्य उद्देश्य क्या है?</v>
      </c>
      <c r="H63" s="5" t="str">
        <f>IFERROR(__xludf.DUMMYFUNCTION("GOOGLETRANSLATE(C63, ""en"", ""hi"")"),"A) अप्रत्याशित आक्रामक रणनीति बनाना। , B) पारंपरिक तकनीकों पर ध्यान केंद्रित करना। , C) रक्षात्मक युद्धाभ्यास का अभ्यास करना। , D) गति और चपलता को बढ़ाना।")</f>
        <v>A) अप्रत्याशित आक्रामक रणनीति बनाना। , B) पारंपरिक तकनीकों पर ध्यान केंद्रित करना। , C) रक्षात्मक युद्धाभ्यास का अभ्यास करना। , D) गति और चपलता को बढ़ाना।</v>
      </c>
      <c r="I63" s="5" t="str">
        <f>IFERROR(__xludf.DUMMYFUNCTION("GOOGLETRANSLATE(D63, ""en"", ""hi"")"),"अ) अप्रत्याशित आक्रामक रणनीति बनाना।")</f>
        <v>अ) अप्रत्याशित आक्रामक रणनीति बनाना।</v>
      </c>
    </row>
    <row r="64" ht="22.5" customHeight="1">
      <c r="A64" s="2">
        <v>63.0</v>
      </c>
      <c r="B64" s="3" t="s">
        <v>12298</v>
      </c>
      <c r="C64" s="3" t="s">
        <v>12299</v>
      </c>
      <c r="D64" s="3" t="s">
        <v>12300</v>
      </c>
      <c r="F64" s="5" t="str">
        <f>IFERROR(__xludf.DUMMYFUNCTION("GOOGLETRANSLATE(A64, ""en"", ""hi"")"),"63")</f>
        <v>63</v>
      </c>
      <c r="G64" s="5" t="str">
        <f>IFERROR(__xludf.DUMMYFUNCTION("GOOGLETRANSLATE(B64, ""en"", ""hi"")"),"थांग-ता में, एक साधक तलवार और ढाल, दोनों का उपयोग करके कई वार करता है और उन्हें रोकता है। दोनों हथियारों का एक साथ उपयोग करने का मुख्य लाभ क्या है?")</f>
        <v>थांग-ता में, एक साधक तलवार और ढाल, दोनों का उपयोग करके कई वार करता है और उन्हें रोकता है। दोनों हथियारों का एक साथ उपयोग करने का मुख्य लाभ क्या है?</v>
      </c>
      <c r="H64" s="5" t="str">
        <f>IFERROR(__xludf.DUMMYFUNCTION("GOOGLETRANSLATE(C64, ""en"", ""hi"")"),"ए) आक्रमण और बचाव को प्रभावी ढंग से संतुलित करना।, बी) पारंपरिक तकनीकों का प्रदर्शन करना।, सी) ताकत और शक्ति पर ध्यान केंद्रित करना।, डी) समन्वय और गति में सुधार करना।")</f>
        <v>ए) आक्रमण और बचाव को प्रभावी ढंग से संतुलित करना।, बी) पारंपरिक तकनीकों का प्रदर्शन करना।, सी) ताकत और शक्ति पर ध्यान केंद्रित करना।, डी) समन्वय और गति में सुधार करना।</v>
      </c>
      <c r="I64" s="5" t="str">
        <f>IFERROR(__xludf.DUMMYFUNCTION("GOOGLETRANSLATE(D64, ""en"", ""hi"")"),"क) आक्रमण और बचाव में प्रभावी संतुलन बनाना।")</f>
        <v>क) आक्रमण और बचाव में प्रभावी संतुलन बनाना।</v>
      </c>
    </row>
    <row r="65" ht="22.5" customHeight="1">
      <c r="A65" s="2">
        <v>64.0</v>
      </c>
      <c r="B65" s="3" t="s">
        <v>12301</v>
      </c>
      <c r="C65" s="3" t="s">
        <v>12302</v>
      </c>
      <c r="D65" s="3" t="s">
        <v>12303</v>
      </c>
      <c r="F65" s="5" t="str">
        <f>IFERROR(__xludf.DUMMYFUNCTION("GOOGLETRANSLATE(A65, ""en"", ""hi"")"),"64")</f>
        <v>64</v>
      </c>
      <c r="G65" s="5" t="str">
        <f>IFERROR(__xludf.DUMMYFUNCTION("GOOGLETRANSLATE(B65, ""en"", ""hi"")"),"थांग-ता का अभ्यासी तलवार से तेज़ प्रहार और उसके बाद घूमती हुई किक का संयोजन करता है। घूमती हुई किक जोड़ने का मुख्य उद्देश्य क्या है?")</f>
        <v>थांग-ता का अभ्यासी तलवार से तेज़ प्रहार और उसके बाद घूमती हुई किक का संयोजन करता है। घूमती हुई किक जोड़ने का मुख्य उद्देश्य क्या है?</v>
      </c>
      <c r="H65" s="5" t="str">
        <f>IFERROR(__xludf.DUMMYFUNCTION("GOOGLETRANSLATE(C65, ""en"", ""hi"")"),"ए) प्रतिद्वंद्वी को आश्चर्यचकित करना और एक शक्तिशाली अनुवर्ती हमला जोड़ना। , बी) पारंपरिक स्पिनिंग तकनीकों का प्रदर्शन करना। , सी) रक्षात्मक युद्धाभ्यास पर ध्यान केंद्रित करना। , डी) संतुलन और स्थिरता में सुधार करना।")</f>
        <v>ए) प्रतिद्वंद्वी को आश्चर्यचकित करना और एक शक्तिशाली अनुवर्ती हमला जोड़ना। , बी) पारंपरिक स्पिनिंग तकनीकों का प्रदर्शन करना। , सी) रक्षात्मक युद्धाभ्यास पर ध्यान केंद्रित करना। , डी) संतुलन और स्थिरता में सुधार करना।</v>
      </c>
      <c r="I65" s="5" t="str">
        <f>IFERROR(__xludf.DUMMYFUNCTION("GOOGLETRANSLATE(D65, ""en"", ""hi"")"),"क) प्रतिद्वंद्वी को आश्चर्यचकित करना तथा शक्तिशाली अनुवर्ती आक्रमण करना।")</f>
        <v>क) प्रतिद्वंद्वी को आश्चर्यचकित करना तथा शक्तिशाली अनुवर्ती आक्रमण करना।</v>
      </c>
    </row>
    <row r="66" ht="22.5" customHeight="1">
      <c r="A66" s="2">
        <v>65.0</v>
      </c>
      <c r="B66" s="3" t="s">
        <v>12304</v>
      </c>
      <c r="C66" s="3" t="s">
        <v>12305</v>
      </c>
      <c r="D66" s="3" t="s">
        <v>12306</v>
      </c>
      <c r="F66" s="5" t="str">
        <f>IFERROR(__xludf.DUMMYFUNCTION("GOOGLETRANSLATE(A66, ""en"", ""hi"")"),"65")</f>
        <v>65</v>
      </c>
      <c r="G66" s="5" t="str">
        <f>IFERROR(__xludf.DUMMYFUNCTION("GOOGLETRANSLATE(B66, ""en"", ""hi"")"),"थांग-ता प्रशिक्षण सत्र के दौरान, एक अभ्यासकर्ता भाले से झपट्टा और छलाँग के संयोजन का उपयोग करता है। इस संयोजन का मुख्य उद्देश्य क्या है?")</f>
        <v>थांग-ता प्रशिक्षण सत्र के दौरान, एक अभ्यासकर्ता भाले से झपट्टा और छलाँग के संयोजन का उपयोग करता है। इस संयोजन का मुख्य उद्देश्य क्या है?</v>
      </c>
      <c r="H66" s="5" t="str">
        <f>IFERROR(__xludf.DUMMYFUNCTION("GOOGLETRANSLATE(C66, ""en"", ""hi"")"),"ए) अप्रत्याशित और आक्रामक आक्रामक दृष्टिकोण बनाना। , बी) पारंपरिक लंजिंग तकनीकों का अभ्यास करना। , सी) रक्षात्मक मुद्राओं पर ध्यान केंद्रित करना। , डी) फुटवर्क और चपलता में सुधार करना।")</f>
        <v>ए) अप्रत्याशित और आक्रामक आक्रामक दृष्टिकोण बनाना। , बी) पारंपरिक लंजिंग तकनीकों का अभ्यास करना। , सी) रक्षात्मक मुद्राओं पर ध्यान केंद्रित करना। , डी) फुटवर्क और चपलता में सुधार करना।</v>
      </c>
      <c r="I66" s="5" t="str">
        <f>IFERROR(__xludf.DUMMYFUNCTION("GOOGLETRANSLATE(D66, ""en"", ""hi"")"),"अ) अप्रत्याशित और आक्रामक आक्रामक दृष्टिकोण बनाना।")</f>
        <v>अ) अप्रत्याशित और आक्रामक आक्रामक दृष्टिकोण बनाना।</v>
      </c>
    </row>
    <row r="67" ht="22.5" customHeight="1">
      <c r="A67" s="2">
        <v>66.0</v>
      </c>
      <c r="B67" s="3" t="s">
        <v>12307</v>
      </c>
      <c r="C67" s="3" t="s">
        <v>12308</v>
      </c>
      <c r="D67" s="3" t="s">
        <v>12309</v>
      </c>
      <c r="F67" s="5" t="str">
        <f>IFERROR(__xludf.DUMMYFUNCTION("GOOGLETRANSLATE(A67, ""en"", ""hi"")"),"66")</f>
        <v>66</v>
      </c>
      <c r="G67" s="5" t="str">
        <f>IFERROR(__xludf.DUMMYFUNCTION("GOOGLETRANSLATE(B67, ""en"", ""hi"")"),"थांग-ता में, एक साधक तेज़ी से बचाव की एक श्रृंखला करता है और उसके बाद तलवार से जवाबी हमला करता है। इस क्रम का मुख्य लक्ष्य क्या है?")</f>
        <v>थांग-ता में, एक साधक तेज़ी से बचाव की एक श्रृंखला करता है और उसके बाद तलवार से जवाबी हमला करता है। इस क्रम का मुख्य लक्ष्य क्या है?</v>
      </c>
      <c r="H67" s="5" t="str">
        <f>IFERROR(__xludf.DUMMYFUNCTION("GOOGLETRANSLATE(C67, ""en"", ""hi"")"),"ए) प्रतिद्वंद्वी के हमले को विफल करने और जवाबी हमले के लिए अवसर पैदा करने के लिए। , बी) पारंपरिक बचाव तकनीकों का प्रदर्शन करने के लिए। , सी) गति और चपलता में सुधार करने के लिए। , डी) रक्षात्मक गतिविधियों पर ध्यान केंद्रित करने के लिए।")</f>
        <v>ए) प्रतिद्वंद्वी के हमले को विफल करने और जवाबी हमले के लिए अवसर पैदा करने के लिए। , बी) पारंपरिक बचाव तकनीकों का प्रदर्शन करने के लिए। , सी) गति और चपलता में सुधार करने के लिए। , डी) रक्षात्मक गतिविधियों पर ध्यान केंद्रित करने के लिए।</v>
      </c>
      <c r="I67" s="5" t="str">
        <f>IFERROR(__xludf.DUMMYFUNCTION("GOOGLETRANSLATE(D67, ""en"", ""hi"")"),"क) प्रतिद्वंद्वी के हमले को विफल करना और जवाबी हमले के लिए अवसर पैदा करना।")</f>
        <v>क) प्रतिद्वंद्वी के हमले को विफल करना और जवाबी हमले के लिए अवसर पैदा करना।</v>
      </c>
    </row>
    <row r="68" ht="22.5" customHeight="1">
      <c r="A68" s="2">
        <v>67.0</v>
      </c>
      <c r="B68" s="3" t="s">
        <v>12310</v>
      </c>
      <c r="C68" s="3" t="s">
        <v>12311</v>
      </c>
      <c r="D68" s="3" t="s">
        <v>12312</v>
      </c>
      <c r="F68" s="5" t="str">
        <f>IFERROR(__xludf.DUMMYFUNCTION("GOOGLETRANSLATE(A68, ""en"", ""hi"")"),"67")</f>
        <v>67</v>
      </c>
      <c r="G68" s="5" t="str">
        <f>IFERROR(__xludf.DUMMYFUNCTION("GOOGLETRANSLATE(B68, ""en"", ""hi"")"),"थांग-ता का अभ्यास करने वाला व्यक्ति बारी-बारी से हाथों का उपयोग करके ऊँचे और निचले प्रहारों की एक श्रृंखला अपनाता है। इस क्रम में बारी-बारी से हाथों का उपयोग करने का मुख्य लाभ क्या है?")</f>
        <v>थांग-ता का अभ्यास करने वाला व्यक्ति बारी-बारी से हाथों का उपयोग करके ऊँचे और निचले प्रहारों की एक श्रृंखला अपनाता है। इस क्रम में बारी-बारी से हाथों का उपयोग करने का मुख्य लाभ क्या है?</v>
      </c>
      <c r="H68" s="5" t="str">
        <f>IFERROR(__xludf.DUMMYFUNCTION("GOOGLETRANSLATE(C68, ""en"", ""hi"")"),"ए) निरंतर और विविध आक्रामक दबाव बनाना। , बी) पारंपरिक तकनीकों का अभ्यास करना। , सी) समन्वय और गति में सुधार करना। , डी) रक्षात्मक युद्धाभ्यास पर ध्यान केंद्रित करना।")</f>
        <v>ए) निरंतर और विविध आक्रामक दबाव बनाना। , बी) पारंपरिक तकनीकों का अभ्यास करना। , सी) समन्वय और गति में सुधार करना। , डी) रक्षात्मक युद्धाभ्यास पर ध्यान केंद्रित करना।</v>
      </c>
      <c r="I68" s="5" t="str">
        <f>IFERROR(__xludf.DUMMYFUNCTION("GOOGLETRANSLATE(D68, ""en"", ""hi"")"),"क) निरंतर और विविध आक्रामक दबाव बनाना।")</f>
        <v>क) निरंतर और विविध आक्रामक दबाव बनाना।</v>
      </c>
    </row>
    <row r="69" ht="22.5" customHeight="1">
      <c r="A69" s="2">
        <v>68.0</v>
      </c>
      <c r="B69" s="3" t="s">
        <v>12313</v>
      </c>
      <c r="C69" s="3" t="s">
        <v>12314</v>
      </c>
      <c r="D69" s="3" t="s">
        <v>12315</v>
      </c>
      <c r="F69" s="5" t="str">
        <f>IFERROR(__xludf.DUMMYFUNCTION("GOOGLETRANSLATE(A69, ""en"", ""hi"")"),"68")</f>
        <v>68</v>
      </c>
      <c r="G69" s="5" t="str">
        <f>IFERROR(__xludf.DUMMYFUNCTION("GOOGLETRANSLATE(B69, ""en"", ""hi"")"),"थांग-ता प्रतियोगिता के दौरान, एक प्रतिभागी तेज़ धक्कों के संयोजन के बाद पीछे की ओर कदम बढ़ाता है। इस पीछे की ओर कदम बढ़ाने का मुख्य उद्देश्य क्या है?")</f>
        <v>थांग-ता प्रतियोगिता के दौरान, एक प्रतिभागी तेज़ धक्कों के संयोजन के बाद पीछे की ओर कदम बढ़ाता है। इस पीछे की ओर कदम बढ़ाने का मुख्य उद्देश्य क्या है?</v>
      </c>
      <c r="H69" s="5" t="str">
        <f>IFERROR(__xludf.DUMMYFUNCTION("GOOGLETRANSLATE(C69, ""en"", ""hi"")"),"ए) संभावित जवाबी हमले से बचने के लिए। , बी) पारंपरिक फुटवर्क का प्रदर्शन करने के लिए। , सी) रक्षात्मक मुद्राओं पर ध्यान केंद्रित करने के लिए। , डी) संतुलन और चपलता में सुधार करने के लिए।")</f>
        <v>ए) संभावित जवाबी हमले से बचने के लिए। , बी) पारंपरिक फुटवर्क का प्रदर्शन करने के लिए। , सी) रक्षात्मक मुद्राओं पर ध्यान केंद्रित करने के लिए। , डी) संतुलन और चपलता में सुधार करने के लिए।</v>
      </c>
      <c r="I69" s="5" t="str">
        <f>IFERROR(__xludf.DUMMYFUNCTION("GOOGLETRANSLATE(D69, ""en"", ""hi"")"),"क) संभावित जवाबी हमले से बचने के लिए।")</f>
        <v>क) संभावित जवाबी हमले से बचने के लिए।</v>
      </c>
    </row>
    <row r="70" ht="22.5" customHeight="1">
      <c r="A70" s="2">
        <v>69.0</v>
      </c>
      <c r="B70" s="3" t="s">
        <v>12316</v>
      </c>
      <c r="C70" s="3" t="s">
        <v>12317</v>
      </c>
      <c r="D70" s="3" t="s">
        <v>12318</v>
      </c>
      <c r="F70" s="5" t="str">
        <f>IFERROR(__xludf.DUMMYFUNCTION("GOOGLETRANSLATE(A70, ""en"", ""hi"")"),"69")</f>
        <v>69</v>
      </c>
      <c r="G70" s="5" t="str">
        <f>IFERROR(__xludf.DUMMYFUNCTION("GOOGLETRANSLATE(B70, ""en"", ""hi"")"),"थांग-ता में, अभ्यासी प्रतिद्वंद्वी की ओर बढ़ते हुए तिरछे वार करता है। इस तकनीक का मुख्य उद्देश्य क्या है?")</f>
        <v>थांग-ता में, अभ्यासी प्रतिद्वंद्वी की ओर बढ़ते हुए तिरछे वार करता है। इस तकनीक का मुख्य उद्देश्य क्या है?</v>
      </c>
      <c r="H70" s="5" t="str">
        <f>IFERROR(__xludf.DUMMYFUNCTION("GOOGLETRANSLATE(C70, ""en"", ""hi"")"),"ए) दूरी कम करते समय आक्रामक दबाव बनाए रखना।, बी) पारंपरिक तलवारबाजी का प्रदर्शन करना।, सी) रक्षात्मक युद्धाभ्यास का अभ्यास करना।, डी) फुटवर्क और समन्वय में सुधार करना।")</f>
        <v>ए) दूरी कम करते समय आक्रामक दबाव बनाए रखना।, बी) पारंपरिक तलवारबाजी का प्रदर्शन करना।, सी) रक्षात्मक युद्धाभ्यास का अभ्यास करना।, डी) फुटवर्क और समन्वय में सुधार करना।</v>
      </c>
      <c r="I70" s="5" t="str">
        <f>IFERROR(__xludf.DUMMYFUNCTION("GOOGLETRANSLATE(D70, ""en"", ""hi"")"),"ए) दूरी कम करते समय आक्रामक दबाव बनाए रखना।")</f>
        <v>ए) दूरी कम करते समय आक्रामक दबाव बनाए रखना।</v>
      </c>
    </row>
    <row r="71" ht="22.5" customHeight="1">
      <c r="A71" s="2">
        <v>70.0</v>
      </c>
      <c r="B71" s="3" t="s">
        <v>12319</v>
      </c>
      <c r="C71" s="3" t="s">
        <v>12320</v>
      </c>
      <c r="D71" s="3" t="s">
        <v>12321</v>
      </c>
      <c r="F71" s="5" t="str">
        <f>IFERROR(__xludf.DUMMYFUNCTION("GOOGLETRANSLATE(A71, ""en"", ""hi"")"),"70")</f>
        <v>70</v>
      </c>
      <c r="G71" s="5" t="str">
        <f>IFERROR(__xludf.DUMMYFUNCTION("GOOGLETRANSLATE(B71, ""en"", ""hi"")"),"एक थांग-ता अभ्यासी प्रशिक्षण सत्र के दौरान तेज़ प्रहारों और आक्रामक पैरों के संयोजन का उपयोग करता है। इस संयोजन का मुख्य लक्ष्य क्या है?")</f>
        <v>एक थांग-ता अभ्यासी प्रशिक्षण सत्र के दौरान तेज़ प्रहारों और आक्रामक पैरों के संयोजन का उपयोग करता है। इस संयोजन का मुख्य लक्ष्य क्या है?</v>
      </c>
      <c r="H71" s="5" t="str">
        <f>IFERROR(__xludf.DUMMYFUNCTION("GOOGLETRANSLATE(C71, ""en"", ""hi"")"),"ए) एक आक्रामक दृष्टिकोण बनाना जिसका पूर्वानुमान लगाना और प्रतिकार करना कठिन हो।, बी) पारंपरिक गतिविधियों पर ध्यान केंद्रित करना।, सी) रक्षात्मक तकनीकों का अभ्यास करना।, डी) गति और चपलता में सुधार करना।")</f>
        <v>ए) एक आक्रामक दृष्टिकोण बनाना जिसका पूर्वानुमान लगाना और प्रतिकार करना कठिन हो।, बी) पारंपरिक गतिविधियों पर ध्यान केंद्रित करना।, सी) रक्षात्मक तकनीकों का अभ्यास करना।, डी) गति और चपलता में सुधार करना।</v>
      </c>
      <c r="I71" s="5" t="str">
        <f>IFERROR(__xludf.DUMMYFUNCTION("GOOGLETRANSLATE(D71, ""en"", ""hi"")"),"क) एक आक्रामक दृष्टिकोण तैयार करना जिसका पूर्वानुमान लगाना और प्रतिकार करना कठिन हो।")</f>
        <v>क) एक आक्रामक दृष्टिकोण तैयार करना जिसका पूर्वानुमान लगाना और प्रतिकार करना कठिन हो।</v>
      </c>
    </row>
    <row r="72" ht="22.5" customHeight="1">
      <c r="A72" s="2">
        <v>71.0</v>
      </c>
      <c r="B72" s="3" t="s">
        <v>12322</v>
      </c>
      <c r="C72" s="3" t="s">
        <v>12323</v>
      </c>
      <c r="D72" s="3" t="s">
        <v>12324</v>
      </c>
      <c r="F72" s="5" t="str">
        <f>IFERROR(__xludf.DUMMYFUNCTION("GOOGLETRANSLATE(A72, ""en"", ""hi"")"),"71")</f>
        <v>71</v>
      </c>
      <c r="G72" s="5" t="str">
        <f>IFERROR(__xludf.DUMMYFUNCTION("GOOGLETRANSLATE(B72, ""en"", ""hi"")"),"थांग-ता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f>
        <v>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v>
      </c>
      <c r="H72" s="5" t="str">
        <f>IFERROR(__xludf.DUMMYFUNCTION("GOOGLETRANSLATE(C72, ""en"", ""hi"")"),"ए)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f>
        <v>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v>
      </c>
      <c r="I72" s="5" t="str">
        <f>IFERROR(__xludf.DUMMYFUNCTION("GOOGLETRANSLATE(D72, ""en"", ""hi"")"),"क) रक्षा और आक्रमण में प्रभावी संतुलन बनाना।")</f>
        <v>क) रक्षा और आक्रमण में प्रभावी संतुलन बनाना।</v>
      </c>
    </row>
    <row r="73" ht="22.5" customHeight="1">
      <c r="A73" s="2">
        <v>72.0</v>
      </c>
      <c r="B73" s="3" t="s">
        <v>12325</v>
      </c>
      <c r="C73" s="3" t="s">
        <v>12326</v>
      </c>
      <c r="D73" s="3" t="s">
        <v>12327</v>
      </c>
      <c r="F73" s="5" t="str">
        <f>IFERROR(__xludf.DUMMYFUNCTION("GOOGLETRANSLATE(A73, ""en"", ""hi"")"),"72")</f>
        <v>72</v>
      </c>
      <c r="G73" s="5" t="str">
        <f>IFERROR(__xludf.DUMMYFUNCTION("GOOGLETRANSLATE(B73, ""en"", ""hi"")"),"थांग-ता में, एक अभ्यासी एक ऐसा क्रम करता है जिसमें भाले से पहले एक निम्न स्वीप और फिर एक उच्च प्रहार शामिल होता है। इस संयोजन का मुख्य लाभ क्या है?")</f>
        <v>थांग-ता में, एक अभ्यासी एक ऐसा क्रम करता है जिसमें भाले से पहले एक निम्न स्वीप और फिर एक उच्च प्रहार शामिल होता है। इस संयोजन का मुख्य लाभ क्या है?</v>
      </c>
      <c r="H73" s="5" t="str">
        <f>IFERROR(__xludf.DUMMYFUNCTION("GOOGLETRANSLATE(C73, ""en"", ""hi"")"),"ए) एक बहुमुखी आक्रामक दृष्टिकोण बनाना जो कई क्षेत्रों को लक्षित करता है।, बी) पारंपरिक तकनीकों का अभ्यास करना।, सी) रक्षात्मक युद्धाभ्यास पर ध्यान केंद्रित करना।, डी) संतुलन और चपलता में सुधार करना।")</f>
        <v>ए) एक बहुमुखी आक्रामक दृष्टिकोण बनाना जो कई क्षेत्रों को लक्षित करता है।, बी) पारंपरिक तकनीकों का अभ्यास करना।, सी) रक्षात्मक युद्धाभ्यास पर ध्यान केंद्रित करना।, डी) संतुलन और चपलता में सुधार करना।</v>
      </c>
      <c r="I73" s="5" t="str">
        <f>IFERROR(__xludf.DUMMYFUNCTION("GOOGLETRANSLATE(D73, ""en"", ""hi"")"),"क) एक बहुमुखी आक्रामक दृष्टिकोण बनाना जो कई क्षेत्रों को लक्ष्य करता हो।")</f>
        <v>क) एक बहुमुखी आक्रामक दृष्टिकोण बनाना जो कई क्षेत्रों को लक्ष्य करता हो।</v>
      </c>
    </row>
    <row r="74" ht="22.5" customHeight="1">
      <c r="A74" s="2">
        <v>73.0</v>
      </c>
      <c r="B74" s="3" t="s">
        <v>12328</v>
      </c>
      <c r="C74" s="3" t="s">
        <v>12329</v>
      </c>
      <c r="D74" s="3" t="s">
        <v>12330</v>
      </c>
      <c r="F74" s="5" t="str">
        <f>IFERROR(__xludf.DUMMYFUNCTION("GOOGLETRANSLATE(A74, ""en"", ""hi"")"),"73")</f>
        <v>73</v>
      </c>
      <c r="G74" s="5" t="str">
        <f>IFERROR(__xludf.DUMMYFUNCTION("GOOGLETRANSLATE(B74, ""en"", ""hi"")"),"थांग-ता का अभ्यासी तलवार से तेज़ प्रहारों की एक श्रृंखला के बाद एक घूमती हुई किक करता है। इस क्रम में घूमती हुई किक को शामिल करने का मुख्य उद्देश्य क्या है?")</f>
        <v>थांग-ता का अभ्यासी तलवार से तेज़ प्रहारों की एक श्रृंखला के बाद एक घूमती हुई किक करता है। इस क्रम में घूमती हुई किक को शामिल करने का मुख्य उद्देश्य क्या है?</v>
      </c>
      <c r="H74" s="5" t="str">
        <f>IFERROR(__xludf.DUMMYFUNCTION("GOOGLETRANSLATE(C74, ""en"", ""hi"")"),"ए) आक्रामक रणनीति में एक अप्रत्याशित तत्व जोड़ने के लिए। , बी) पारंपरिक स्पिनिंग तकनीकों पर ध्यान केंद्रित करने के लिए। , सी) ताकत और शक्ति में सुधार करने के लिए। , डी) संतुलन और समन्वय का प्रदर्शन करने के लिए।")</f>
        <v>ए) आक्रामक रणनीति में एक अप्रत्याशित तत्व जोड़ने के लिए। , बी) पारंपरिक स्पिनिंग तकनीकों पर ध्यान केंद्रित करने के लिए। , सी) ताकत और शक्ति में सुधार करने के लिए। , डी) संतुलन और समन्वय का प्रदर्शन करने के लिए।</v>
      </c>
      <c r="I74" s="5" t="str">
        <f>IFERROR(__xludf.DUMMYFUNCTION("GOOGLETRANSLATE(D74, ""en"", ""hi"")"),"क) आक्रामक रणनीति में एक अप्रत्याशित तत्व जोड़ना।")</f>
        <v>क) आक्रामक रणनीति में एक अप्रत्याशित तत्व जोड़ना।</v>
      </c>
    </row>
    <row r="75" ht="22.5" customHeight="1">
      <c r="A75" s="2">
        <v>74.0</v>
      </c>
      <c r="B75" s="3" t="s">
        <v>12331</v>
      </c>
      <c r="C75" s="3" t="s">
        <v>12332</v>
      </c>
      <c r="D75" s="3" t="s">
        <v>12333</v>
      </c>
      <c r="F75" s="5" t="str">
        <f>IFERROR(__xludf.DUMMYFUNCTION("GOOGLETRANSLATE(A75, ""en"", ""hi"")"),"74")</f>
        <v>74</v>
      </c>
      <c r="G75" s="5" t="str">
        <f>IFERROR(__xludf.DUMMYFUNCTION("GOOGLETRANSLATE(B75, ""en"", ""hi"")"),"थांग-ता प्रतियोगिता के दौरान, एक प्रतिभागी आगे की ओर झपट्टा मारने और तलवार से तिरछे वार करने का संयोजन करता है। इस संयोजन का मुख्य उद्देश्य क्या है?")</f>
        <v>थांग-ता प्रतियोगिता के दौरान, एक प्रतिभागी आगे की ओर झपट्टा मारने और तलवार से तिरछे वार करने का संयोजन करता है। इस संयोजन का मुख्य उद्देश्य क्या है?</v>
      </c>
      <c r="H75" s="5" t="str">
        <f>IFERROR(__xludf.DUMMYFUNCTION("GOOGLETRANSLATE(C75, ""en"", ""hi"")"),"ए) एक आक्रामक और अप्रत्याशित आक्रामक दृष्टिकोण बनाना। , बी) पारंपरिक तकनीकों का प्रदर्शन करना। , सी) रक्षात्मक युद्धाभ्यास पर ध्यान केंद्रित करना। , डी) गति और चपलता में सुधार करना।")</f>
        <v>ए) एक आक्रामक और अप्रत्याशित आक्रामक दृष्टिकोण बनाना। , बी) पारंपरिक तकनीकों का प्रदर्शन करना। , सी) रक्षात्मक युद्धाभ्यास पर ध्यान केंद्रित करना। , डी) गति और चपलता में सुधार करना।</v>
      </c>
      <c r="I75" s="5" t="str">
        <f>IFERROR(__xludf.DUMMYFUNCTION("GOOGLETRANSLATE(D75, ""en"", ""hi"")"),"क) आक्रामक और अप्रत्याशित आक्रामक दृष्टिकोण बनाना।")</f>
        <v>क) आक्रामक और अप्रत्याशित आक्रामक दृष्टिकोण बनाना।</v>
      </c>
    </row>
    <row r="76" ht="22.5" customHeight="1">
      <c r="A76" s="2">
        <v>75.0</v>
      </c>
      <c r="B76" s="3" t="s">
        <v>12334</v>
      </c>
      <c r="C76" s="3" t="s">
        <v>12335</v>
      </c>
      <c r="D76" s="3" t="s">
        <v>12336</v>
      </c>
      <c r="F76" s="5" t="str">
        <f>IFERROR(__xludf.DUMMYFUNCTION("GOOGLETRANSLATE(A76, ""en"", ""hi"")"),"75")</f>
        <v>75</v>
      </c>
      <c r="G76" s="5" t="str">
        <f>IFERROR(__xludf.DUMMYFUNCTION("GOOGLETRANSLATE(B76, ""en"", ""hi"")"),"थांग-ता में, एक अभ्यासी ऊँचे प्रहारों की एक श्रृंखला के बाद भाले से एक नीची गति से प्रहार करता है। इस संयोजन का मुख्य उद्देश्य क्या है?")</f>
        <v>थांग-ता में, एक अभ्यासी ऊँचे प्रहारों की एक श्रृंखला के बाद भाले से एक नीची गति से प्रहार करता है। इस संयोजन का मुख्य उद्देश्य क्या है?</v>
      </c>
      <c r="H76" s="5" t="str">
        <f>IFERROR(__xludf.DUMMYFUNCTION("GOOGLETRANSLATE(C76, ""en"", ""hi"")"),"ए) प्रतिद्वंद्वी के बचाव के विभिन्न क्षेत्रों को निशाना बनाना।, बी) पारंपरिक भाला तकनीक का प्रदर्शन करना।, सी) रक्षात्मक युद्धाभ्यास का अभ्यास करना।, डी) समन्वय और गति में सुधार करना।")</f>
        <v>ए) प्रतिद्वंद्वी के बचाव के विभिन्न क्षेत्रों को निशाना बनाना।, बी) पारंपरिक भाला तकनीक का प्रदर्शन करना।, सी) रक्षात्मक युद्धाभ्यास का अभ्यास करना।, डी) समन्वय और गति में सुधार करना।</v>
      </c>
      <c r="I76" s="5" t="str">
        <f>IFERROR(__xludf.DUMMYFUNCTION("GOOGLETRANSLATE(D76, ""en"", ""hi"")"),"अ) प्रतिद्वंद्वी की सुरक्षा के विभिन्न क्षेत्रों को लक्ष्य बनाना।")</f>
        <v>अ) प्रतिद्वंद्वी की सुरक्षा के विभिन्न क्षेत्रों को लक्ष्य बनाना।</v>
      </c>
    </row>
    <row r="77" ht="22.5" customHeight="1">
      <c r="A77" s="2">
        <v>76.0</v>
      </c>
      <c r="B77" s="3" t="s">
        <v>12337</v>
      </c>
      <c r="C77" s="3" t="s">
        <v>12338</v>
      </c>
      <c r="D77" s="3" t="s">
        <v>12339</v>
      </c>
      <c r="F77" s="5" t="str">
        <f>IFERROR(__xludf.DUMMYFUNCTION("GOOGLETRANSLATE(A77, ""en"", ""hi"")"),"76")</f>
        <v>76</v>
      </c>
      <c r="G77" s="5" t="str">
        <f>IFERROR(__xludf.DUMMYFUNCTION("GOOGLETRANSLATE(B77, ""en"", ""hi"")"),"एक थांग-ता अभ्यासी अभ्यास सत्र के दौरान भाले से कई प्रहार और छल-कपट करता है। इस क्रम में छल-कपट को शामिल करने का मुख्य उद्देश्य क्या है?")</f>
        <v>एक थांग-ता अभ्यासी अभ्यास सत्र के दौरान भाले से कई प्रहार और छल-कपट करता है। इस क्रम में छल-कपट को शामिल करने का मुख्य उद्देश्य क्या है?</v>
      </c>
      <c r="H77" s="5" t="str">
        <f>IFERROR(__xludf.DUMMYFUNCTION("GOOGLETRANSLATE(C77, ""en"", ""hi"")"),"ए) प्रतिद्वंद्वी को भ्रमित करना और हमलों के लिए अवसर पैदा करना।, बी) पारंपरिक तकनीकों का प्रदर्शन करना।, सी) रक्षात्मक गतिविधियों पर ध्यान केंद्रित करना।, डी) गति और चपलता में सुधार करना।")</f>
        <v>ए) प्रतिद्वंद्वी को भ्रमित करना और हमलों के लिए अवसर पैदा करना।, बी) पारंपरिक तकनीकों का प्रदर्शन करना।, सी) रक्षात्मक गतिविधियों पर ध्यान केंद्रित करना।, डी) गति और चपलता में सुधार करना।</v>
      </c>
      <c r="I77" s="5" t="str">
        <f>IFERROR(__xludf.DUMMYFUNCTION("GOOGLETRANSLATE(D77, ""en"", ""hi"")"),"क) प्रतिद्वंद्वी को भ्रमित करना और आक्रमण के लिए अवसर पैदा करना।")</f>
        <v>क) प्रतिद्वंद्वी को भ्रमित करना और आक्रमण के लिए अवसर पैदा करना।</v>
      </c>
    </row>
    <row r="78" ht="22.5" customHeight="1">
      <c r="A78" s="2">
        <v>77.0</v>
      </c>
      <c r="B78" s="3" t="s">
        <v>12340</v>
      </c>
      <c r="C78" s="3" t="s">
        <v>12341</v>
      </c>
      <c r="D78" s="3" t="s">
        <v>12342</v>
      </c>
      <c r="F78" s="5" t="str">
        <f>IFERROR(__xludf.DUMMYFUNCTION("GOOGLETRANSLATE(A78, ""en"", ""hi"")"),"77")</f>
        <v>77</v>
      </c>
      <c r="G78" s="5" t="str">
        <f>IFERROR(__xludf.DUMMYFUNCTION("GOOGLETRANSLATE(B78, ""en"", ""hi"")"),"थांग-ता प्रदर्शन के दौरान, एक अभ्यासकर्ता ऊँची किक और नीची स्वीप के संयोजन का उपयोग करता है। ऊँची किक और नीची स्वीप दोनों का उपयोग करने का प्राथमिक उद्देश्य क्या है?")</f>
        <v>थांग-ता प्रदर्शन के दौरान, एक अभ्यासकर्ता ऊँची किक और नीची स्वीप के संयोजन का उपयोग करता है। ऊँची किक और नीची स्वीप दोनों का उपयोग करने का प्राथमिक उद्देश्य क्या है?</v>
      </c>
      <c r="H78" s="5" t="str">
        <f>IFERROR(__xludf.DUMMYFUNCTION("GOOGLETRANSLATE(C78, ""en"", ""hi"")"),"ए) एक बहुमुखी आक्रामक रणनीति बनाना जिसका पूर्वानुमान लगाना कठिन हो।, बी) पारंपरिक किकिंग तकनीकों का प्रदर्शन करना।, सी) ताकत और शक्ति पर ध्यान केंद्रित करना।, डी) संतुलन और चपलता में सुधार करना।")</f>
        <v>ए) एक बहुमुखी आक्रामक रणनीति बनाना जिसका पूर्वानुमान लगाना कठिन हो।, बी) पारंपरिक किकिंग तकनीकों का प्रदर्शन करना।, सी) ताकत और शक्ति पर ध्यान केंद्रित करना।, डी) संतुलन और चपलता में सुधार करना।</v>
      </c>
      <c r="I78" s="5" t="str">
        <f>IFERROR(__xludf.DUMMYFUNCTION("GOOGLETRANSLATE(D78, ""en"", ""hi"")"),"क) एक बहुमुखी आक्रामक रणनीति बनाना जिसका पूर्वानुमान लगाना कठिन हो।")</f>
        <v>क) एक बहुमुखी आक्रामक रणनीति बनाना जिसका पूर्वानुमान लगाना कठिन हो।</v>
      </c>
    </row>
    <row r="79" ht="22.5" customHeight="1">
      <c r="A79" s="2">
        <v>78.0</v>
      </c>
      <c r="B79" s="3" t="s">
        <v>12343</v>
      </c>
      <c r="C79" s="3" t="s">
        <v>12344</v>
      </c>
      <c r="D79" s="3" t="s">
        <v>12345</v>
      </c>
      <c r="F79" s="5" t="str">
        <f>IFERROR(__xludf.DUMMYFUNCTION("GOOGLETRANSLATE(A79, ""en"", ""hi"")"),"78")</f>
        <v>78</v>
      </c>
      <c r="G79" s="5" t="str">
        <f>IFERROR(__xludf.DUMMYFUNCTION("GOOGLETRANSLATE(B79, ""en"", ""hi"")"),"थांग-ता में, एक साधक वृत्ताकार गति करते हुए तलवार से तिरछे प्रहारों की एक श्रृंखला का उपयोग करता है। इस तकनीक का मुख्य उद्देश्य क्या है?")</f>
        <v>थांग-ता में, एक साधक वृत्ताकार गति करते हुए तलवार से तिरछे प्रहारों की एक श्रृंखला का उपयोग करता है। इस तकनीक का मुख्य उद्देश्य क्या है?</v>
      </c>
      <c r="H79" s="5" t="str">
        <f>IFERROR(__xludf.DUMMYFUNCTION("GOOGLETRANSLATE(C79, ""en"", ""hi"")"),"ए) प्रत्यक्ष मुठभेड़ से बचते हुए निरंतर आक्रामक दबाव बनाए रखना।, बी) पारंपरिक तलवारबाजी का प्रदर्शन करना।, सी) रक्षात्मक तकनीकों का अभ्यास करना।, डी) फुटवर्क और चपलता में सुधार करना।")</f>
        <v>ए) प्रत्यक्ष मुठभेड़ से बचते हुए निरंतर आक्रामक दबाव बनाए रखना।, बी) पारंपरिक तलवारबाजी का प्रदर्शन करना।, सी) रक्षात्मक तकनीकों का अभ्यास करना।, डी) फुटवर्क और चपलता में सुधार करना।</v>
      </c>
      <c r="I79" s="5" t="str">
        <f>IFERROR(__xludf.DUMMYFUNCTION("GOOGLETRANSLATE(D79, ""en"", ""hi"")"),"क) प्रत्यक्ष मुठभेड़ से बचते हुए निरंतर आक्रामक दबाव बनाए रखना।")</f>
        <v>क) प्रत्यक्ष मुठभेड़ से बचते हुए निरंतर आक्रामक दबाव बनाए रखना।</v>
      </c>
    </row>
    <row r="80" ht="22.5" customHeight="1">
      <c r="A80" s="2">
        <v>79.0</v>
      </c>
      <c r="B80" s="3" t="s">
        <v>12346</v>
      </c>
      <c r="C80" s="3" t="s">
        <v>12347</v>
      </c>
      <c r="D80" s="3" t="s">
        <v>12348</v>
      </c>
      <c r="F80" s="5" t="str">
        <f>IFERROR(__xludf.DUMMYFUNCTION("GOOGLETRANSLATE(A80, ""en"", ""hi"")"),"79")</f>
        <v>79</v>
      </c>
      <c r="G80" s="5" t="str">
        <f>IFERROR(__xludf.DUMMYFUNCTION("GOOGLETRANSLATE(B80, ""en"", ""hi"")"),"एक थांग-ता अभ्यासी एक प्रतियोगिता के दौरान बारी-बारी से हाथों से कई प्रहार करता है। बारी-बारी से हाथों से प्रहार करने का मुख्य उद्देश्य क्या है?")</f>
        <v>एक थांग-ता अभ्यासी एक प्रतियोगिता के दौरान बारी-बारी से हाथों से कई प्रहार करता है। बारी-बारी से हाथों से प्रहार करने का मुख्य उद्देश्य क्या है?</v>
      </c>
      <c r="H80" s="5" t="str">
        <f>IFERROR(__xludf.DUMMYFUNCTION("GOOGLETRANSLATE(C80, ""en"", ""hi"")"),"A) तीव्र और अप्रत्याशित आक्रामक रणनीति बनाना। , B) पारंपरिक तकनीकों का प्रदर्शन करना। , C) रक्षात्मक गतिविधियों पर ध्यान केंद्रित करना। , D) समन्वय और गति में सुधार करना।")</f>
        <v>A) तीव्र और अप्रत्याशित आक्रामक रणनीति बनाना। , B) पारंपरिक तकनीकों का प्रदर्शन करना। , C) रक्षात्मक गतिविधियों पर ध्यान केंद्रित करना। , D) समन्वय और गति में सुधार करना।</v>
      </c>
      <c r="I80" s="5" t="str">
        <f>IFERROR(__xludf.DUMMYFUNCTION("GOOGLETRANSLATE(D80, ""en"", ""hi"")"),"क) तीव्र एवं अप्रत्याशित आक्रामक रणनीति बनाना।")</f>
        <v>क) तीव्र एवं अप्रत्याशित आक्रामक रणनीति बनाना।</v>
      </c>
    </row>
    <row r="81" ht="22.5" customHeight="1">
      <c r="A81" s="2">
        <v>80.0</v>
      </c>
      <c r="B81" s="3" t="s">
        <v>12349</v>
      </c>
      <c r="C81" s="3" t="s">
        <v>12350</v>
      </c>
      <c r="D81" s="3" t="s">
        <v>12351</v>
      </c>
      <c r="F81" s="5" t="str">
        <f>IFERROR(__xludf.DUMMYFUNCTION("GOOGLETRANSLATE(A81, ""en"", ""hi"")"),"80")</f>
        <v>80</v>
      </c>
      <c r="G81" s="5" t="str">
        <f>IFERROR(__xludf.DUMMYFUNCTION("GOOGLETRANSLATE(B81, ""en"", ""hi"")"),"थांग-ता प्रशिक्षण सत्र के दौरान, अभ्यासकर्ता आगे की ओर झुकने और भाले से घूमते हुए प्रहारों का संयोजन करता है। इस संयोजन का मुख्य लाभ क्या है?")</f>
        <v>थांग-ता प्रशिक्षण सत्र के दौरान, अभ्यासकर्ता आगे की ओर झुकने और भाले से घूमते हुए प्रहारों का संयोजन करता है। इस संयोजन का मुख्य लाभ क्या है?</v>
      </c>
      <c r="H81" s="5" t="str">
        <f>IFERROR(__xludf.DUMMYFUNCTION("GOOGLETRANSLATE(C81, ""en"", ""hi"")"),"ए)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f>
        <v>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v>
      </c>
      <c r="I81" s="5" t="str">
        <f>IFERROR(__xludf.DUMMYFUNCTION("GOOGLETRANSLATE(D81, ""en"", ""hi"")"),"ए) आक्रामक दबाव बनाए रखते हुए तेजी से जमीन को कवर करना।")</f>
        <v>ए) आक्रामक दबाव बनाए रखते हुए तेजी से जमीन को कवर करना।</v>
      </c>
    </row>
    <row r="82" ht="22.5" customHeight="1">
      <c r="A82" s="2">
        <v>81.0</v>
      </c>
      <c r="B82" s="3" t="s">
        <v>12352</v>
      </c>
      <c r="C82" s="3" t="s">
        <v>12353</v>
      </c>
      <c r="D82" s="3" t="s">
        <v>12354</v>
      </c>
      <c r="F82" s="5" t="str">
        <f>IFERROR(__xludf.DUMMYFUNCTION("GOOGLETRANSLATE(A82, ""en"", ""hi"")"),"81")</f>
        <v>81</v>
      </c>
      <c r="G82" s="5" t="str">
        <f>IFERROR(__xludf.DUMMYFUNCTION("GOOGLETRANSLATE(B82, ""en"", ""hi"")"),"थांग-ता में, एक साधक तलवार से कई ऊँचे प्रहार करता है और उसके बाद एक हल्का प्रहार करता है। इस संयोजन का मुख्य उद्देश्य क्या है?")</f>
        <v>थांग-ता में, एक साधक तलवार से कई ऊँचे प्रहार करता है और उसके बाद एक हल्का प्रहार करता है। इस संयोजन का मुख्य उद्देश्य क्या है?</v>
      </c>
      <c r="H82" s="5" t="str">
        <f>IFERROR(__xludf.DUMMYFUNCTION("GOOGLETRANSLATE(C82, ""en"", ""hi"")"),"ए) एक आक्रामक दृष्टिकोण बनाना जो कई क्षेत्रों को लक्षित करता है।, बी) पारंपरिक तलवारबाजी का प्रदर्शन करना।, सी) रक्षात्मक युद्धाभ्यास पर ध्यान केंद्रित करना।, डी) गति और चपलता में सुधार करना।")</f>
        <v>ए) एक आक्रामक दृष्टिकोण बनाना जो कई क्षेत्रों को लक्षित करता है।, बी) पारंपरिक तलवारबाजी का प्रदर्शन करना।, सी) रक्षात्मक युद्धाभ्यास पर ध्यान केंद्रित करना।, डी) गति और चपलता में सुधार करना।</v>
      </c>
      <c r="I82" s="5" t="str">
        <f>IFERROR(__xludf.DUMMYFUNCTION("GOOGLETRANSLATE(D82, ""en"", ""hi"")"),"क) एक आक्रामक दृष्टिकोण तैयार करना जो कई क्षेत्रों को लक्ष्य बनाए।")</f>
        <v>क) एक आक्रामक दृष्टिकोण तैयार करना जो कई क्षेत्रों को लक्ष्य बनाए।</v>
      </c>
    </row>
    <row r="83" ht="22.5" customHeight="1">
      <c r="A83" s="2">
        <v>82.0</v>
      </c>
      <c r="B83" s="3" t="s">
        <v>12355</v>
      </c>
      <c r="C83" s="3" t="s">
        <v>12356</v>
      </c>
      <c r="D83" s="3" t="s">
        <v>12357</v>
      </c>
      <c r="F83" s="5" t="str">
        <f>IFERROR(__xludf.DUMMYFUNCTION("GOOGLETRANSLATE(A83, ""en"", ""hi"")"),"82")</f>
        <v>82</v>
      </c>
      <c r="G83" s="5" t="str">
        <f>IFERROR(__xludf.DUMMYFUNCTION("GOOGLETRANSLATE(B83, ""en"", ""hi"")"),"थांग-ता का अभ्यासी व्यापक हमलों की एक श्रृंखला का उपयोग करता है और उसके बाद भाले से पीछे की ओर कदम बढ़ाता है। पीछे की ओर कदम बढ़ाने का मुख्य उद्देश्य क्या है?")</f>
        <v>थांग-ता का अभ्यासी व्यापक हमलों की एक श्रृंखला का उपयोग करता है और उसके बाद भाले से पीछे की ओर कदम बढ़ाता है। पीछे की ओर कदम बढ़ाने का मुख्य उद्देश्य क्या है?</v>
      </c>
      <c r="H83" s="5" t="str">
        <f>IFERROR(__xludf.DUMMYFUNCTION("GOOGLETRANSLATE(C83, ""en"", ""hi"")"),"ए) दूरी बनाए रखते हुए संभावित जवाबी हमले से बचना।, बी) पारंपरिक गतिविधियों पर ध्यान केंद्रित करना।, सी) रक्षात्मक तकनीकों का अभ्यास करना।, डी) संतुलन और स्थिरता में सुधार करना।")</f>
        <v>ए) दूरी बनाए रखते हुए संभावित जवाबी हमले से बचना।, बी) पारंपरिक गतिविधियों पर ध्यान केंद्रित करना।, सी) रक्षात्मक तकनीकों का अभ्यास करना।, डी) संतुलन और स्थिरता में सुधार करना।</v>
      </c>
      <c r="I83" s="5" t="str">
        <f>IFERROR(__xludf.DUMMYFUNCTION("GOOGLETRANSLATE(D83, ""en"", ""hi"")"),"क) दूरी बनाए रखते हुए संभावित जवाबी हमले से बचना।")</f>
        <v>क) दूरी बनाए रखते हुए संभावित जवाबी हमले से बचना।</v>
      </c>
    </row>
    <row r="84" ht="22.5" customHeight="1">
      <c r="A84" s="2">
        <v>83.0</v>
      </c>
      <c r="B84" s="3" t="s">
        <v>12358</v>
      </c>
      <c r="C84" s="3" t="s">
        <v>12359</v>
      </c>
      <c r="D84" s="3" t="s">
        <v>12360</v>
      </c>
      <c r="F84" s="5" t="str">
        <f>IFERROR(__xludf.DUMMYFUNCTION("GOOGLETRANSLATE(A84, ""en"", ""hi"")"),"83")</f>
        <v>83</v>
      </c>
      <c r="G84" s="5" t="str">
        <f>IFERROR(__xludf.DUMMYFUNCTION("GOOGLETRANSLATE(B84, ""en"", ""hi"")"),"थांग-ता प्रदर्शन के दौरान, एक अभ्यासी उच्च गति और आक्रामक पैरों के संयोजन का उपयोग करता है। इस संयोजन का मुख्य उद्देश्य क्या है?")</f>
        <v>थांग-ता प्रदर्शन के दौरान, एक अभ्यासी उच्च गति और आक्रामक पैरों के संयोजन का उपयोग करता है। इस संयोजन का मुख्य उद्देश्य क्या है?</v>
      </c>
      <c r="H84" s="5" t="str">
        <f>IFERROR(__xludf.DUMMYFUNCTION("GOOGLETRANSLATE(C84, ""en"", ""hi"")"),"ए) प्रत्यक्ष काउंटरों से बचते हुए आक्रामक दृष्टिकोण बनाए रखना।, बी) पारंपरिक तकनीकों का प्रदर्शन करना।, सी) रक्षात्मक आंदोलनों पर ध्यान केंद्रित करना।, डी) गति और चपलता में सुधार करना।")</f>
        <v>ए) प्रत्यक्ष काउंटरों से बचते हुए आक्रामक दृष्टिकोण बनाए रखना।, बी) पारंपरिक तकनीकों का प्रदर्शन करना।, सी) रक्षात्मक आंदोलनों पर ध्यान केंद्रित करना।, डी) गति और चपलता में सुधार करना।</v>
      </c>
      <c r="I84" s="5" t="str">
        <f>IFERROR(__xludf.DUMMYFUNCTION("GOOGLETRANSLATE(D84, ""en"", ""hi"")"),"क) प्रत्यक्ष जवाबी हमले से बचते हुए आक्रामक रुख बनाए रखना।")</f>
        <v>क) प्रत्यक्ष जवाबी हमले से बचते हुए आक्रामक रुख बनाए रखना।</v>
      </c>
    </row>
    <row r="85" ht="22.5" customHeight="1">
      <c r="A85" s="2">
        <v>84.0</v>
      </c>
      <c r="B85" s="3" t="s">
        <v>12361</v>
      </c>
      <c r="C85" s="3" t="s">
        <v>12362</v>
      </c>
      <c r="D85" s="3" t="s">
        <v>12363</v>
      </c>
      <c r="F85" s="5" t="str">
        <f>IFERROR(__xludf.DUMMYFUNCTION("GOOGLETRANSLATE(A85, ""en"", ""hi"")"),"84")</f>
        <v>84</v>
      </c>
      <c r="G85" s="5" t="str">
        <f>IFERROR(__xludf.DUMMYFUNCTION("GOOGLETRANSLATE(B85, ""en"", ""hi"")"),"थांग-ता में, अभ्यासी पीछे हटते हुए कई तिरछे कट लगाता है। इस तकनीक का मुख्य उद्देश्य क्या है?")</f>
        <v>थांग-ता में, अभ्यासी पीछे हटते हुए कई तिरछे कट लगाता है। इस तकनीक का मुख्य उद्देश्य क्या है?</v>
      </c>
      <c r="H85" s="5" t="str">
        <f>IFERROR(__xludf.DUMMYFUNCTION("GOOGLETRANSLATE(C85, ""en"", ""hi"")"),"ए) दूरी बनाते हुए आक्रामक उपस्थिति बनाए रखना।, बी) पारंपरिक तलवारबाजी का प्रदर्शन करना।, सी) रक्षात्मक युद्धाभ्यास का अभ्यास करना।, डी) फुटवर्क और समन्वय में सुधार करना।")</f>
        <v>ए) दूरी बनाते हुए आक्रामक उपस्थिति बनाए रखना।, बी) पारंपरिक तलवारबाजी का प्रदर्शन करना।, सी) रक्षात्मक युद्धाभ्यास का अभ्यास करना।, डी) फुटवर्क और समन्वय में सुधार करना।</v>
      </c>
      <c r="I85" s="5" t="str">
        <f>IFERROR(__xludf.DUMMYFUNCTION("GOOGLETRANSLATE(D85, ""en"", ""hi"")"),"क) दूरी बनाते हुए आक्रामक उपस्थिति बनाए रखना।")</f>
        <v>क) दूरी बनाते हुए आक्रामक उपस्थिति बनाए रखना।</v>
      </c>
    </row>
    <row r="86" ht="22.5" customHeight="1">
      <c r="A86" s="2">
        <v>85.0</v>
      </c>
      <c r="B86" s="3" t="s">
        <v>12364</v>
      </c>
      <c r="C86" s="3" t="s">
        <v>12365</v>
      </c>
      <c r="D86" s="3" t="s">
        <v>12366</v>
      </c>
      <c r="F86" s="5" t="str">
        <f>IFERROR(__xludf.DUMMYFUNCTION("GOOGLETRANSLATE(A86, ""en"", ""hi"")"),"85")</f>
        <v>85</v>
      </c>
      <c r="G86" s="5" t="str">
        <f>IFERROR(__xludf.DUMMYFUNCTION("GOOGLETRANSLATE(B86, ""en"", ""hi"")"),"थांग-ता का अभ्यासी तेज़ी से बचाव की एक श्रृंखला के बाद भाले से एक नीची स्वीप करता है। इस संयोजन का मुख्य उद्देश्य क्या है?")</f>
        <v>थांग-ता का अभ्यासी तेज़ी से बचाव की एक श्रृंखला के बाद भाले से एक नीची स्वीप करता है। इस संयोजन का मुख्य उद्देश्य क्या है?</v>
      </c>
      <c r="H86" s="5" t="str">
        <f>IFERROR(__xludf.DUMMYFUNCTION("GOOGLETRANSLATE(C86, ""en"", ""hi"")"),"ए) प्रतिद्वंद्वी के हमले को विफल करने और स्वीप के लिए एक अवसर बनाने के लिए। , बी) पारंपरिक पैरीइंग तकनीकों का प्रदर्शन करने के लिए। , सी) रक्षात्मक आंदोलनों पर ध्यान केंद्रित करने के लिए। , डी) गति और चपलता में सुधार करने के लिए।")</f>
        <v>ए) प्रतिद्वंद्वी के हमले को विफल करने और स्वीप के लिए एक अवसर बनाने के लिए। , बी) पारंपरिक पैरीइंग तकनीकों का प्रदर्शन करने के लिए। , सी) रक्षात्मक आंदोलनों पर ध्यान केंद्रित करने के लिए। , डी) गति और चपलता में सुधार करने के लिए।</v>
      </c>
      <c r="I86" s="5" t="str">
        <f>IFERROR(__xludf.DUMMYFUNCTION("GOOGLETRANSLATE(D86, ""en"", ""hi"")"),"ए) प्रतिद्वंद्वी के हमले को विफल करना और स्वीप के लिए अवसर पैदा करना।")</f>
        <v>ए) प्रतिद्वंद्वी के हमले को विफल करना और स्वीप के लिए अवसर पैदा करना।</v>
      </c>
    </row>
    <row r="87" ht="22.5" customHeight="1">
      <c r="A87" s="2">
        <v>86.0</v>
      </c>
      <c r="B87" s="3" t="s">
        <v>12367</v>
      </c>
      <c r="C87" s="3" t="s">
        <v>12368</v>
      </c>
      <c r="D87" s="3" t="s">
        <v>12369</v>
      </c>
      <c r="F87" s="5" t="str">
        <f>IFERROR(__xludf.DUMMYFUNCTION("GOOGLETRANSLATE(A87, ""en"", ""hi"")"),"86")</f>
        <v>86</v>
      </c>
      <c r="G87" s="5" t="str">
        <f>IFERROR(__xludf.DUMMYFUNCTION("GOOGLETRANSLATE(B87, ""en"", ""hi"")"),"थांग-ता प्रतियोगिता के दौरान, एक प्रतिभागी ऊँची स्ट्राइक और स्पिनिंग किक्स का संयोजन करता है। इस क्रम में स्पिनिंग किक्स को शामिल करने का मुख्य उद्देश्य क्या है?")</f>
        <v>थांग-ता प्रतियोगिता के दौरान, एक प्रतिभागी ऊँची स्ट्राइक और स्पिनिंग किक्स का संयोजन करता है। इस क्रम में स्पिनिंग किक्स को शामिल करने का मुख्य उद्देश्य क्या है?</v>
      </c>
      <c r="H87" s="5" t="str">
        <f>IFERROR(__xludf.DUMMYFUNCTION("GOOGLETRANSLATE(C87, ""en"", ""hi"")"),"ए) एक अप्रत्याशित और शक्तिशाली आक्रामक तत्व जोड़ने के लिए। , बी) पारंपरिक किकिंग तकनीकों का प्रदर्शन करने के लिए। , सी) ताकत और शक्ति पर ध्यान केंद्रित करने के लिए। , डी) संतुलन और चपलता में सुधार करने के लिए।")</f>
        <v>ए) एक अप्रत्याशित और शक्तिशाली आक्रामक तत्व जोड़ने के लिए। , बी) पारंपरिक किकिंग तकनीकों का प्रदर्शन करने के लिए। , सी) ताकत और शक्ति पर ध्यान केंद्रित करने के लिए। , डी) संतुलन और चपलता में सुधार करने के लिए।</v>
      </c>
      <c r="I87" s="5" t="str">
        <f>IFERROR(__xludf.DUMMYFUNCTION("GOOGLETRANSLATE(D87, ""en"", ""hi"")"),"क) एक अप्रत्याशित और शक्तिशाली आक्रामक तत्व जोड़ने के लिए।")</f>
        <v>क) एक अप्रत्याशित और शक्तिशाली आक्रामक तत्व जोड़ने के लिए।</v>
      </c>
    </row>
    <row r="88" ht="22.5" customHeight="1">
      <c r="A88" s="2">
        <v>87.0</v>
      </c>
      <c r="B88" s="3" t="s">
        <v>12370</v>
      </c>
      <c r="C88" s="3" t="s">
        <v>12371</v>
      </c>
      <c r="D88" s="3" t="s">
        <v>12333</v>
      </c>
      <c r="F88" s="5" t="str">
        <f>IFERROR(__xludf.DUMMYFUNCTION("GOOGLETRANSLATE(A88, ""en"", ""hi"")"),"87")</f>
        <v>87</v>
      </c>
      <c r="G88" s="5" t="str">
        <f>IFERROR(__xludf.DUMMYFUNCTION("GOOGLETRANSLATE(B88, ""en"", ""hi"")"),"थांग-ता में, अभ्यासी भाले से कई तेज़ वार और झपट्टे लगाता है। इस संयोजन का मुख्य उद्देश्य क्या है?")</f>
        <v>थांग-ता में, अभ्यासी भाले से कई तेज़ वार और झपट्टे लगाता है। इस संयोजन का मुख्य उद्देश्य क्या है?</v>
      </c>
      <c r="H88" s="5" t="str">
        <f>IFERROR(__xludf.DUMMYFUNCTION("GOOGLETRANSLATE(C88, ""en"", ""hi"")"),"ए) एक आक्रामक और अप्रत्याशित आक्रामक दृष्टिकोण बनाना। , बी) पारंपरिक तकनीकों का अभ्यास करना। , सी) रक्षात्मक आंदोलनों पर ध्यान केंद्रित करना। , डी) गति और चपलता में सुधार करना।")</f>
        <v>ए) एक आक्रामक और अप्रत्याशित आक्रामक दृष्टिकोण बनाना। , बी) पारंपरिक तकनीकों का अभ्यास करना। , सी) रक्षात्मक आंदोलनों पर ध्यान केंद्रित करना। , डी) गति और चपलता में सुधार करना।</v>
      </c>
      <c r="I88" s="5" t="str">
        <f>IFERROR(__xludf.DUMMYFUNCTION("GOOGLETRANSLATE(D88, ""en"", ""hi"")"),"क) आक्रामक और अप्रत्याशित आक्रामक दृष्टिकोण बनाना।")</f>
        <v>क) आक्रामक और अप्रत्याशित आक्रामक दृष्टिकोण बनाना।</v>
      </c>
    </row>
    <row r="89" ht="22.5" customHeight="1">
      <c r="A89" s="2">
        <v>88.0</v>
      </c>
      <c r="B89" s="3" t="s">
        <v>12372</v>
      </c>
      <c r="C89" s="3" t="s">
        <v>12373</v>
      </c>
      <c r="D89" s="3" t="s">
        <v>12312</v>
      </c>
      <c r="F89" s="5" t="str">
        <f>IFERROR(__xludf.DUMMYFUNCTION("GOOGLETRANSLATE(A89, ""en"", ""hi"")"),"88")</f>
        <v>88</v>
      </c>
      <c r="G89" s="5" t="str">
        <f>IFERROR(__xludf.DUMMYFUNCTION("GOOGLETRANSLATE(B89, ""en"", ""hi"")"),"एक थांग-ता अभ्यासी प्रशिक्षण सत्र के दौरान बारी-बारी से हाथों का उपयोग करके ऊँचे और निचले प्रहारों की एक श्रृंखला करता है। इस क्रम में बारी-बारी से हाथों का उपयोग करने का मुख्य लाभ क्या है?")</f>
        <v>एक थांग-ता अभ्यासी प्रशिक्षण सत्र के दौरान बारी-बारी से हाथों का उपयोग करके ऊँचे और निचले प्रहारों की एक श्रृंखला करता है। इस क्रम में बारी-बारी से हाथों का उपयोग करने का मुख्य लाभ क्या है?</v>
      </c>
      <c r="H89" s="5" t="str">
        <f>IFERROR(__xludf.DUMMYFUNCTION("GOOGLETRANSLATE(C89, ""en"", ""hi"")"),"ए) निरंतर और विविध आक्रामक दबाव बनाना। , बी) पारंपरिक तकनीकों पर ध्यान केंद्रित करना। , सी) रक्षात्मक आंदोलनों का अभ्यास करना। , डी) समन्वय और गति में सुधार करना।")</f>
        <v>ए) निरंतर और विविध आक्रामक दबाव बनाना। , बी) पारंपरिक तकनीकों पर ध्यान केंद्रित करना। , सी) रक्षात्मक आंदोलनों का अभ्यास करना। , डी) समन्वय और गति में सुधार करना।</v>
      </c>
      <c r="I89" s="5" t="str">
        <f>IFERROR(__xludf.DUMMYFUNCTION("GOOGLETRANSLATE(D89, ""en"", ""hi"")"),"क) निरंतर और विविध आक्रामक दबाव बनाना।")</f>
        <v>क) निरंतर और विविध आक्रामक दबाव बनाना।</v>
      </c>
    </row>
    <row r="90" ht="22.5" customHeight="1">
      <c r="A90" s="2">
        <v>89.0</v>
      </c>
      <c r="B90" s="3" t="s">
        <v>12374</v>
      </c>
      <c r="C90" s="3" t="s">
        <v>12323</v>
      </c>
      <c r="D90" s="3" t="s">
        <v>12324</v>
      </c>
      <c r="F90" s="5" t="str">
        <f>IFERROR(__xludf.DUMMYFUNCTION("GOOGLETRANSLATE(A90, ""en"", ""hi"")"),"89")</f>
        <v>89</v>
      </c>
      <c r="G90" s="5" t="str">
        <f>IFERROR(__xludf.DUMMYFUNCTION("GOOGLETRANSLATE(B90, ""en"", ""hi"")"),"थांग-ता प्रदर्शन के दौरान, एक अभ्यासी प्रति-आक्रमण की तैयारी करते हुए, प्रतिद्वंद्वी के प्रहार को रोकने के लिए ढाल का उपयोग करता है। इस तकनीक का मुख्य उद्देश्य क्या है?")</f>
        <v>थांग-ता प्रदर्शन के दौरान, एक अभ्यासी प्रति-आक्रमण की तैयारी करते हुए, प्रतिद्वंद्वी के प्रहार को रोकने के लिए ढाल का उपयोग करता है। इस तकनीक का मुख्य उद्देश्य क्या है?</v>
      </c>
      <c r="H90" s="5" t="str">
        <f>IFERROR(__xludf.DUMMYFUNCTION("GOOGLETRANSLATE(C90, ""en"", ""hi"")"),"ए)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f>
        <v>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v>
      </c>
      <c r="I90" s="5" t="str">
        <f>IFERROR(__xludf.DUMMYFUNCTION("GOOGLETRANSLATE(D90, ""en"", ""hi"")"),"क) रक्षा और आक्रमण में प्रभावी संतुलन बनाना।")</f>
        <v>क) रक्षा और आक्रमण में प्रभावी संतुलन बनाना।</v>
      </c>
    </row>
    <row r="91" ht="22.5" customHeight="1">
      <c r="A91" s="2">
        <v>90.0</v>
      </c>
      <c r="B91" s="3" t="s">
        <v>12375</v>
      </c>
      <c r="C91" s="3" t="s">
        <v>12376</v>
      </c>
      <c r="D91" s="3" t="s">
        <v>12318</v>
      </c>
      <c r="F91" s="5" t="str">
        <f>IFERROR(__xludf.DUMMYFUNCTION("GOOGLETRANSLATE(A91, ""en"", ""hi"")"),"90")</f>
        <v>90</v>
      </c>
      <c r="G91" s="5" t="str">
        <f>IFERROR(__xludf.DUMMYFUNCTION("GOOGLETRANSLATE(B91, ""en"", ""hi"")"),"थांग-ता में, एक साधक प्रतिद्वंद्वी की ओर बढ़ते हुए भाले से कई वार करता है। इस तकनीक का मुख्य उद्देश्य क्या है?")</f>
        <v>थांग-ता में, एक साधक प्रतिद्वंद्वी की ओर बढ़ते हुए भाले से कई वार करता है। इस तकनीक का मुख्य उद्देश्य क्या है?</v>
      </c>
      <c r="H91" s="5" t="str">
        <f>IFERROR(__xludf.DUMMYFUNCTION("GOOGLETRANSLATE(C91, ""en"", ""hi"")"),"ए) दूरी कम करते समय आक्रामक दबाव बनाए रखना।, बी) पारंपरिक भाला तकनीक का प्रदर्शन करना।, सी) रक्षात्मक युद्धाभ्यास पर ध्यान केंद्रित करना।, डी) गति और चपलता में सुधार करना।")</f>
        <v>ए) दूरी कम करते समय आक्रामक दबाव बनाए रखना।, बी) पारंपरिक भाला तकनीक का प्रदर्शन करना।, सी) रक्षात्मक युद्धाभ्यास पर ध्यान केंद्रित करना।, डी) गति और चपलता में सुधार करना।</v>
      </c>
      <c r="I91" s="5" t="str">
        <f>IFERROR(__xludf.DUMMYFUNCTION("GOOGLETRANSLATE(D91, ""en"", ""hi"")"),"ए) दूरी कम करते समय आक्रामक दबाव बनाए रखना।")</f>
        <v>ए) दूरी कम करते समय आक्रामक दबाव बनाए रखना।</v>
      </c>
    </row>
    <row r="92" ht="22.5" customHeight="1">
      <c r="A92" s="2">
        <v>91.0</v>
      </c>
      <c r="B92" s="3" t="s">
        <v>12377</v>
      </c>
      <c r="C92" s="3" t="s">
        <v>12378</v>
      </c>
      <c r="D92" s="3" t="s">
        <v>12306</v>
      </c>
      <c r="F92" s="5" t="str">
        <f>IFERROR(__xludf.DUMMYFUNCTION("GOOGLETRANSLATE(A92, ""en"", ""hi"")"),"91")</f>
        <v>91</v>
      </c>
      <c r="G92" s="5" t="str">
        <f>IFERROR(__xludf.DUMMYFUNCTION("GOOGLETRANSLATE(B92, ""en"", ""hi"")"),"थांग-ता का अभ्यास करते समय, एक अभ्यासी तलवार से झपट्टा और तिरछे वार का संयोजन करता है। इस संयोजन का मुख्य लक्ष्य क्या है?")</f>
        <v>थांग-ता का अभ्यास करते समय, एक अभ्यासी तलवार से झपट्टा और तिरछे वार का संयोजन करता है। इस संयोजन का मुख्य लक्ष्य क्या है?</v>
      </c>
      <c r="H92" s="5" t="str">
        <f>IFERROR(__xludf.DUMMYFUNCTION("GOOGLETRANSLATE(C92, ""en"", ""hi"")"),"ए) अप्रत्याशित और आक्रामक आक्रामक दृष्टिकोण बनाना। , बी) पारंपरिक लंजिंग तकनीकों का अभ्यास करना। , सी) रक्षात्मक आंदोलनों पर ध्यान केंद्रित करना। , डी) फुटवर्क और चपलता में सुधार करना।")</f>
        <v>ए) अप्रत्याशित और आक्रामक आक्रामक दृष्टिकोण बनाना। , बी) पारंपरिक लंजिंग तकनीकों का अभ्यास करना। , सी) रक्षात्मक आंदोलनों पर ध्यान केंद्रित करना। , डी) फुटवर्क और चपलता में सुधार करना।</v>
      </c>
      <c r="I92" s="5" t="str">
        <f>IFERROR(__xludf.DUMMYFUNCTION("GOOGLETRANSLATE(D92, ""en"", ""hi"")"),"अ) अप्रत्याशित और आक्रामक आक्रामक दृष्टिकोण बनाना।")</f>
        <v>अ) अप्रत्याशित और आक्रामक आक्रामक दृष्टिकोण बनाना।</v>
      </c>
    </row>
    <row r="93" ht="22.5" customHeight="1">
      <c r="A93" s="2">
        <v>92.0</v>
      </c>
      <c r="B93" s="3" t="s">
        <v>12379</v>
      </c>
      <c r="C93" s="3" t="s">
        <v>12314</v>
      </c>
      <c r="D93" s="3" t="s">
        <v>12315</v>
      </c>
      <c r="F93" s="5" t="str">
        <f>IFERROR(__xludf.DUMMYFUNCTION("GOOGLETRANSLATE(A93, ""en"", ""hi"")"),"92")</f>
        <v>92</v>
      </c>
      <c r="G93" s="5" t="str">
        <f>IFERROR(__xludf.DUMMYFUNCTION("GOOGLETRANSLATE(B93, ""en"", ""hi"")"),"थांग-ता प्रतियोगिता के दौरान, एक प्रतिभागी कई तेज़ प्रहार करता है और फिर भाले से पीछे की ओर कदम बढ़ाता है। इस पीछे की ओर कदम बढ़ाने का मुख्य उद्देश्य क्या है?")</f>
        <v>थांग-ता प्रतियोगिता के दौरान, एक प्रतिभागी कई तेज़ प्रहार करता है और फिर भाले से पीछे की ओर कदम बढ़ाता है। इस पीछे की ओर कदम बढ़ाने का मुख्य उद्देश्य क्या है?</v>
      </c>
      <c r="H93" s="5" t="str">
        <f>IFERROR(__xludf.DUMMYFUNCTION("GOOGLETRANSLATE(C93, ""en"", ""hi"")"),"ए) संभावित जवाबी हमले से बचने के लिए। , बी) पारंपरिक फुटवर्क का प्रदर्शन करने के लिए। , सी) रक्षात्मक मुद्राओं पर ध्यान केंद्रित करने के लिए। , डी) संतुलन और चपलता में सुधार करने के लिए।")</f>
        <v>ए) संभावित जवाबी हमले से बचने के लिए। , बी) पारंपरिक फुटवर्क का प्रदर्शन करने के लिए। , सी) रक्षात्मक मुद्राओं पर ध्यान केंद्रित करने के लिए। , डी) संतुलन और चपलता में सुधार करने के लिए।</v>
      </c>
      <c r="I93" s="5" t="str">
        <f>IFERROR(__xludf.DUMMYFUNCTION("GOOGLETRANSLATE(D93, ""en"", ""hi"")"),"क) संभावित जवाबी हमले से बचने के लिए।")</f>
        <v>क) संभावित जवाबी हमले से बचने के लिए।</v>
      </c>
    </row>
    <row r="94" ht="22.5" customHeight="1">
      <c r="A94" s="2">
        <v>93.0</v>
      </c>
      <c r="B94" s="3" t="s">
        <v>12380</v>
      </c>
      <c r="C94" s="3" t="s">
        <v>12381</v>
      </c>
      <c r="D94" s="3" t="s">
        <v>12348</v>
      </c>
      <c r="F94" s="5" t="str">
        <f>IFERROR(__xludf.DUMMYFUNCTION("GOOGLETRANSLATE(A94, ""en"", ""hi"")"),"93")</f>
        <v>93</v>
      </c>
      <c r="G94" s="5" t="str">
        <f>IFERROR(__xludf.DUMMYFUNCTION("GOOGLETRANSLATE(B94, ""en"", ""hi"")"),"थांग-ता में, एक अभ्यासी बारी-बारी से हाथों से उच्च प्रहारों की एक श्रृंखला करता है। इस क्रम में बारी-बारी से हाथों का उपयोग करने का मुख्य लाभ क्या है?")</f>
        <v>थांग-ता में, एक अभ्यासी बारी-बारी से हाथों से उच्च प्रहारों की एक श्रृंखला करता है। इस क्रम में बारी-बारी से हाथों का उपयोग करने का मुख्य लाभ क्या है?</v>
      </c>
      <c r="H94" s="5" t="str">
        <f>IFERROR(__xludf.DUMMYFUNCTION("GOOGLETRANSLATE(C94, ""en"", ""hi"")"),"A) तीव्र और अप्रत्याशित आक्रामक रणनीति बनाना। , B) पारंपरिक तकनीकों पर ध्यान केंद्रित करना। , C) रक्षात्मक गतिविधियों का अभ्यास करना। , D) समन्वय और गति में सुधार करना।")</f>
        <v>A) तीव्र और अप्रत्याशित आक्रामक रणनीति बनाना। , B) पारंपरिक तकनीकों पर ध्यान केंद्रित करना। , C) रक्षात्मक गतिविधियों का अभ्यास करना। , D) समन्वय और गति में सुधार करना।</v>
      </c>
      <c r="I94" s="5" t="str">
        <f>IFERROR(__xludf.DUMMYFUNCTION("GOOGLETRANSLATE(D94, ""en"", ""hi"")"),"क) तीव्र एवं अप्रत्याशित आक्रामक रणनीति बनाना।")</f>
        <v>क) तीव्र एवं अप्रत्याशित आक्रामक रणनीति बनाना।</v>
      </c>
    </row>
    <row r="95" ht="22.5" customHeight="1">
      <c r="A95" s="2">
        <v>94.0</v>
      </c>
      <c r="B95" s="3" t="s">
        <v>12382</v>
      </c>
      <c r="C95" s="3" t="s">
        <v>12350</v>
      </c>
      <c r="D95" s="3" t="s">
        <v>12351</v>
      </c>
      <c r="F95" s="5" t="str">
        <f>IFERROR(__xludf.DUMMYFUNCTION("GOOGLETRANSLATE(A95, ""en"", ""hi"")"),"94")</f>
        <v>94</v>
      </c>
      <c r="G95" s="5" t="str">
        <f>IFERROR(__xludf.DUMMYFUNCTION("GOOGLETRANSLATE(B95, ""en"", ""hi"")"),"थांग-ता का अभ्यासी भाले से आगे की ओर झपट्टा मारने और घूमते हुए वार करने का संयोजन करता है। इस संयोजन का मुख्य लाभ क्या है?")</f>
        <v>थांग-ता का अभ्यासी भाले से आगे की ओर झपट्टा मारने और घूमते हुए वार करने का संयोजन करता है। इस संयोजन का मुख्य लाभ क्या है?</v>
      </c>
      <c r="H95" s="5" t="str">
        <f>IFERROR(__xludf.DUMMYFUNCTION("GOOGLETRANSLATE(C95, ""en"", ""hi"")"),"ए)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f>
        <v>ए) आक्रामक दबाव बनाए रखते हुए तेजी से जमीन को कवर करना।, बी) पारंपरिक लंजिंग तकनीकों पर ध्यान केंद्रित करना।, सी) रक्षात्मक युद्धाभ्यास का अभ्यास करना।, डी) ताकत और शक्ति में सुधार करना।</v>
      </c>
      <c r="I95" s="5" t="str">
        <f>IFERROR(__xludf.DUMMYFUNCTION("GOOGLETRANSLATE(D95, ""en"", ""hi"")"),"ए) आक्रामक दबाव बनाए रखते हुए तेजी से जमीन को कवर करना।")</f>
        <v>ए) आक्रामक दबाव बनाए रखते हुए तेजी से जमीन को कवर करना।</v>
      </c>
    </row>
    <row r="96" ht="22.5" customHeight="1">
      <c r="A96" s="2">
        <v>95.0</v>
      </c>
      <c r="B96" s="3" t="s">
        <v>12383</v>
      </c>
      <c r="C96" s="3" t="s">
        <v>12384</v>
      </c>
      <c r="D96" s="3" t="s">
        <v>12336</v>
      </c>
      <c r="F96" s="5" t="str">
        <f>IFERROR(__xludf.DUMMYFUNCTION("GOOGLETRANSLATE(A96, ""en"", ""hi"")"),"95")</f>
        <v>95</v>
      </c>
      <c r="G96" s="5" t="str">
        <f>IFERROR(__xludf.DUMMYFUNCTION("GOOGLETRANSLATE(B96, ""en"", ""hi"")"),"थांग-ता प्रशिक्षण सत्र के दौरान, एक अभ्यासी भाले से ऊँचे प्रहार और निचले प्रहार का संयोजन करता है। इस संयोजन का मुख्य उद्देश्य क्या है?")</f>
        <v>थांग-ता प्रशिक्षण सत्र के दौरान, एक अभ्यासी भाले से ऊँचे प्रहार और निचले प्रहार का संयोजन करता है। इस संयोजन का मुख्य उद्देश्य क्या है?</v>
      </c>
      <c r="H96" s="5" t="str">
        <f>IFERROR(__xludf.DUMMYFUNCTION("GOOGLETRANSLATE(C96, ""en"", ""hi"")"),"ए) प्रतिद्वंद्वी के बचाव के विभिन्न क्षेत्रों को निशाना बनाना।, बी) पारंपरिक तकनीकों का प्रदर्शन करना।, सी) रक्षात्मक युद्धाभ्यास पर ध्यान केंद्रित करना।, डी) समन्वय और गति में सुधार करना।")</f>
        <v>ए) प्रतिद्वंद्वी के बचाव के विभिन्न क्षेत्रों को निशाना बनाना।, बी) पारंपरिक तकनीकों का प्रदर्शन करना।, सी) रक्षात्मक युद्धाभ्यास पर ध्यान केंद्रित करना।, डी) समन्वय और गति में सुधार करना।</v>
      </c>
      <c r="I96" s="5" t="str">
        <f>IFERROR(__xludf.DUMMYFUNCTION("GOOGLETRANSLATE(D96, ""en"", ""hi"")"),"अ) प्रतिद्वंद्वी की सुरक्षा के विभिन्न क्षेत्रों को लक्ष्य बनाना।")</f>
        <v>अ) प्रतिद्वंद्वी की सुरक्षा के विभिन्न क्षेत्रों को लक्ष्य बनाना।</v>
      </c>
    </row>
    <row r="97" ht="22.5" customHeight="1">
      <c r="A97" s="2">
        <v>96.0</v>
      </c>
      <c r="B97" s="3" t="s">
        <v>12385</v>
      </c>
      <c r="C97" s="3" t="s">
        <v>12386</v>
      </c>
      <c r="D97" s="3" t="s">
        <v>12333</v>
      </c>
      <c r="F97" s="5" t="str">
        <f>IFERROR(__xludf.DUMMYFUNCTION("GOOGLETRANSLATE(A97, ""en"", ""hi"")"),"96")</f>
        <v>96</v>
      </c>
      <c r="G97" s="5" t="str">
        <f>IFERROR(__xludf.DUMMYFUNCTION("GOOGLETRANSLATE(B97, ""en"", ""hi"")"),"थांग-ता में, एक अभ्यासकर्ता प्रतियोगिता के दौरान तेज़ झटकों और झटकों की एक श्रृंखला का उपयोग करता है। इस संयोजन का प्राथमिक लक्ष्य क्या है?")</f>
        <v>थांग-ता में, एक अभ्यासकर्ता प्रतियोगिता के दौरान तेज़ झटकों और झटकों की एक श्रृंखला का उपयोग करता है। इस संयोजन का प्राथमिक लक्ष्य क्या है?</v>
      </c>
      <c r="H97" s="5" t="str">
        <f>IFERROR(__xludf.DUMMYFUNCTION("GOOGLETRANSLATE(C97, ""en"", ""hi"")"),"ए) एक आक्रामक और अप्रत्याशित आक्रामक दृष्टिकोण बनाना। , बी) पारंपरिक तकनीकों का प्रदर्शन करना। , सी) रक्षात्मक आंदोलनों पर ध्यान केंद्रित करना। , डी) गति और चपलता में सुधार करना।")</f>
        <v>ए) एक आक्रामक और अप्रत्याशित आक्रामक दृष्टिकोण बनाना। , बी) पारंपरिक तकनीकों का प्रदर्शन करना। , सी) रक्षात्मक आंदोलनों पर ध्यान केंद्रित करना। , डी) गति और चपलता में सुधार करना।</v>
      </c>
      <c r="I97" s="5" t="str">
        <f>IFERROR(__xludf.DUMMYFUNCTION("GOOGLETRANSLATE(D97, ""en"", ""hi"")"),"क) आक्रामक और अप्रत्याशित आक्रामक दृष्टिकोण बनाना।")</f>
        <v>क) आक्रामक और अप्रत्याशित आक्रामक दृष्टिकोण बनाना।</v>
      </c>
    </row>
    <row r="98" ht="22.5" customHeight="1">
      <c r="A98" s="2">
        <v>97.0</v>
      </c>
      <c r="B98" s="3" t="s">
        <v>12387</v>
      </c>
      <c r="C98" s="3" t="s">
        <v>12388</v>
      </c>
      <c r="D98" s="3" t="s">
        <v>12354</v>
      </c>
      <c r="F98" s="5" t="str">
        <f>IFERROR(__xludf.DUMMYFUNCTION("GOOGLETRANSLATE(A98, ""en"", ""hi"")"),"97")</f>
        <v>97</v>
      </c>
      <c r="G98" s="5" t="str">
        <f>IFERROR(__xludf.DUMMYFUNCTION("GOOGLETRANSLATE(B98, ""en"", ""hi"")"),"थांग-ता का अभ्यासी आगे बढ़ते हुए तलवार से ऊँची और नीची वार की एक श्रृंखला करता है। इस संयोजन का मुख्य उद्देश्य क्या है?")</f>
        <v>थांग-ता का अभ्यासी आगे बढ़ते हुए तलवार से ऊँची और नीची वार की एक श्रृंखला करता है। इस संयोजन का मुख्य उद्देश्य क्या है?</v>
      </c>
      <c r="H98" s="5" t="str">
        <f>IFERROR(__xludf.DUMMYFUNCTION("GOOGLETRANSLATE(C98, ""en"", ""hi"")"),"ए) एक आक्रामक दृष्टिकोण बनाना जो कई क्षेत्रों को लक्षित करता है।, बी) पारंपरिक तलवारबाजी का प्रदर्शन करना।, सी) रक्षात्मक युद्धाभ्यास पर ध्यान केंद्रित करना।, डी) फुटवर्क और समन्वय में सुधार करना।")</f>
        <v>ए) एक आक्रामक दृष्टिकोण बनाना जो कई क्षेत्रों को लक्षित करता है।, बी) पारंपरिक तलवारबाजी का प्रदर्शन करना।, सी) रक्षात्मक युद्धाभ्यास पर ध्यान केंद्रित करना।, डी) फुटवर्क और समन्वय में सुधार करना।</v>
      </c>
      <c r="I98" s="5" t="str">
        <f>IFERROR(__xludf.DUMMYFUNCTION("GOOGLETRANSLATE(D98, ""en"", ""hi"")"),"क) एक आक्रामक दृष्टिकोण तैयार करना जो कई क्षेत्रों को लक्ष्य बनाए।")</f>
        <v>क) एक आक्रामक दृष्टिकोण तैयार करना जो कई क्षेत्रों को लक्ष्य बनाए।</v>
      </c>
    </row>
    <row r="99" ht="22.5" customHeight="1">
      <c r="A99" s="2">
        <v>98.0</v>
      </c>
      <c r="B99" s="3" t="s">
        <v>12389</v>
      </c>
      <c r="C99" s="3" t="s">
        <v>12390</v>
      </c>
      <c r="D99" s="3" t="s">
        <v>12357</v>
      </c>
      <c r="F99" s="5" t="str">
        <f>IFERROR(__xludf.DUMMYFUNCTION("GOOGLETRANSLATE(A99, ""en"", ""hi"")"),"98")</f>
        <v>98</v>
      </c>
      <c r="G99" s="5" t="str">
        <f>IFERROR(__xludf.DUMMYFUNCTION("GOOGLETRANSLATE(B99, ""en"", ""hi"")"),"थांग-ता प्रतियोगिता के दौरान, एक प्रतिभागी व्यापक हमलों के संयोजन के बाद पीछे की ओर कदम बढ़ाता है। पीछे की ओर कदम बढ़ाने का मुख्य उद्देश्य क्या है?")</f>
        <v>थांग-ता प्रतियोगिता के दौरान, एक प्रतिभागी व्यापक हमलों के संयोजन के बाद पीछे की ओर कदम बढ़ाता है। पीछे की ओर कदम बढ़ाने का मुख्य उद्देश्य क्या है?</v>
      </c>
      <c r="H99" s="5" t="str">
        <f>IFERROR(__xludf.DUMMYFUNCTION("GOOGLETRANSLATE(C99, ""en"", ""hi"")"),"ए) दूरी बनाए रखते हुए संभावित जवाबी हमले से बचना।, बी) पारंपरिक तकनीकों का प्रदर्शन करना।, सी) रक्षात्मक गतिविधियों पर ध्यान केंद्रित करना।, डी) संतुलन और स्थिरता में सुधार करना।")</f>
        <v>ए) दूरी बनाए रखते हुए संभावित जवाबी हमले से बचना।, बी) पारंपरिक तकनीकों का प्रदर्शन करना।, सी) रक्षात्मक गतिविधियों पर ध्यान केंद्रित करना।, डी) संतुलन और स्थिरता में सुधार करना।</v>
      </c>
      <c r="I99" s="5" t="str">
        <f>IFERROR(__xludf.DUMMYFUNCTION("GOOGLETRANSLATE(D99, ""en"", ""hi"")"),"क) दूरी बनाए रखते हुए संभावित जवाबी हमले से बचना।")</f>
        <v>क) दूरी बनाए रखते हुए संभावित जवाबी हमले से बचना।</v>
      </c>
    </row>
    <row r="100" ht="22.5" customHeight="1">
      <c r="A100" s="2">
        <v>99.0</v>
      </c>
      <c r="B100" s="3" t="s">
        <v>12391</v>
      </c>
      <c r="C100" s="3" t="s">
        <v>12362</v>
      </c>
      <c r="D100" s="3" t="s">
        <v>12363</v>
      </c>
      <c r="F100" s="5" t="str">
        <f>IFERROR(__xludf.DUMMYFUNCTION("GOOGLETRANSLATE(A100, ""en"", ""hi"")"),"99")</f>
        <v>99</v>
      </c>
      <c r="G100" s="5" t="str">
        <f>IFERROR(__xludf.DUMMYFUNCTION("GOOGLETRANSLATE(B100, ""en"", ""hi"")"),"थांग-ता में, अभ्यास सत्र के दौरान पीछे हटते समय अभ्यासकर्ता कई तिरछे कट लगाता है। इस तकनीक का मुख्य केंद्र क्या है?")</f>
        <v>थांग-ता में, अभ्यास सत्र के दौरान पीछे हटते समय अभ्यासकर्ता कई तिरछे कट लगाता है। इस तकनीक का मुख्य केंद्र क्या है?</v>
      </c>
      <c r="H100" s="5" t="str">
        <f>IFERROR(__xludf.DUMMYFUNCTION("GOOGLETRANSLATE(C100, ""en"", ""hi"")"),"ए) दूरी बनाते हुए आक्रामक उपस्थिति बनाए रखना।, बी) पारंपरिक तलवारबाजी का प्रदर्शन करना।, सी) रक्षात्मक युद्धाभ्यास का अभ्यास करना।, डी) फुटवर्क और समन्वय में सुधार करना।")</f>
        <v>ए) दूरी बनाते हुए आक्रामक उपस्थिति बनाए रखना।, बी) पारंपरिक तलवारबाजी का प्रदर्शन करना।, सी) रक्षात्मक युद्धाभ्यास का अभ्यास करना।, डी) फुटवर्क और समन्वय में सुधार करना।</v>
      </c>
      <c r="I100" s="5" t="str">
        <f>IFERROR(__xludf.DUMMYFUNCTION("GOOGLETRANSLATE(D100, ""en"", ""hi"")"),"क) दूरी बनाते हुए आक्रामक उपस्थिति बनाए रखना।")</f>
        <v>क) दूरी बनाते हुए आक्रामक उपस्थिति बनाए रखना।</v>
      </c>
    </row>
    <row r="101" ht="22.5" customHeight="1">
      <c r="A101" s="2">
        <v>100.0</v>
      </c>
      <c r="B101" s="3" t="s">
        <v>12392</v>
      </c>
      <c r="C101" s="3" t="s">
        <v>12393</v>
      </c>
      <c r="D101" s="3" t="s">
        <v>12394</v>
      </c>
      <c r="F101" s="5" t="str">
        <f>IFERROR(__xludf.DUMMYFUNCTION("GOOGLETRANSLATE(A101, ""en"", ""hi"")"),"100")</f>
        <v>100</v>
      </c>
      <c r="G101" s="5" t="str">
        <f>IFERROR(__xludf.DUMMYFUNCTION("GOOGLETRANSLATE(B101, ""en"", ""hi"")"),"थांग-ता का अभ्यासी तलवार से तेज़ प्रहार और चकमा देने वाले पैरों का संयोजन करता है। इस संयोजन का मुख्य लाभ क्या है?")</f>
        <v>थांग-ता का अभ्यासी तलवार से तेज़ प्रहार और चकमा देने वाले पैरों का संयोजन करता है। इस संयोजन का मुख्य लाभ क्या है?</v>
      </c>
      <c r="H101" s="5" t="str">
        <f>IFERROR(__xludf.DUMMYFUNCTION("GOOGLETRANSLATE(C101, ""en"", ""hi"")"),"ए) प्रत्यक्ष काउंटरों से बचते हुए एक आक्रामक आक्रामक दृष्टिकोण बनाना। , बी) पारंपरिक तकनीकों पर ध्यान केंद्रित करना। , सी) रक्षात्मक आंदोलनों का अभ्यास करना। , डी) गति और चपलता में सुधार करना।")</f>
        <v>ए) प्रत्यक्ष काउंटरों से बचते हुए एक आक्रामक आक्रामक दृष्टिकोण बनाना। , बी) पारंपरिक तकनीकों पर ध्यान केंद्रित करना। , सी) रक्षात्मक आंदोलनों का अभ्यास करना। , डी) गति और चपलता में सुधार करना।</v>
      </c>
      <c r="I101" s="5" t="str">
        <f>IFERROR(__xludf.DUMMYFUNCTION("GOOGLETRANSLATE(D101, ""en"", ""hi"")"),"क) प्रत्यक्ष जवाबी हमले से बचते हुए आक्रामक रुख अपनाना।")</f>
        <v>क) प्रत्यक्ष जवाबी हमले से बचते हुए आक्रामक रुख अपनाना।</v>
      </c>
    </row>
    <row r="102" ht="22.5" customHeight="1">
      <c r="A102" s="2">
        <v>101.0</v>
      </c>
      <c r="B102" s="3" t="s">
        <v>12322</v>
      </c>
      <c r="C102" s="3" t="s">
        <v>12323</v>
      </c>
      <c r="D102" s="3" t="s">
        <v>12324</v>
      </c>
      <c r="F102" s="5" t="str">
        <f>IFERROR(__xludf.DUMMYFUNCTION("GOOGLETRANSLATE(A102, ""en"", ""hi"")"),"101")</f>
        <v>101</v>
      </c>
      <c r="G102" s="5" t="str">
        <f>IFERROR(__xludf.DUMMYFUNCTION("GOOGLETRANSLATE(B102, ""en"", ""hi"")"),"थांग-ता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f>
        <v>थांग-ता प्रदर्शन के दौरान, एक अभ्यासी प्रतिद्वंदी के प्रहार को विफल करने के लिए ढाल का उपयोग करता है और साथ ही पलटवार की तैयारी भी करता है। इस तकनीक का मुख्य उद्देश्य क्या है?</v>
      </c>
      <c r="H102" s="5" t="str">
        <f>IFERROR(__xludf.DUMMYFUNCTION("GOOGLETRANSLATE(C102, ""en"", ""hi"")"),"ए)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f>
        <v>ए) रक्षा और आक्रमण को प्रभावी ढंग से संतुलित करना।, बी) पारंपरिक ढाल तकनीकों का प्रदर्शन करना।, सी) ताकत और शक्ति पर ध्यान केंद्रित करना।, डी) समन्वय और गति में सुधार करना।</v>
      </c>
      <c r="I102" s="5" t="str">
        <f>IFERROR(__xludf.DUMMYFUNCTION("GOOGLETRANSLATE(D102, ""en"", ""hi"")"),"क) रक्षा और आक्रमण में प्रभावी संतुलन बनाना।")</f>
        <v>क) रक्षा और आक्रमण में प्रभावी संतुलन बनाना।</v>
      </c>
    </row>
    <row r="103" ht="22.5" customHeight="1">
      <c r="A103" s="2">
        <v>102.0</v>
      </c>
      <c r="B103" s="3" t="s">
        <v>12375</v>
      </c>
      <c r="C103" s="3" t="s">
        <v>12376</v>
      </c>
      <c r="D103" s="3" t="s">
        <v>12318</v>
      </c>
      <c r="F103" s="5" t="str">
        <f>IFERROR(__xludf.DUMMYFUNCTION("GOOGLETRANSLATE(A103, ""en"", ""hi"")"),"102")</f>
        <v>102</v>
      </c>
      <c r="G103" s="5" t="str">
        <f>IFERROR(__xludf.DUMMYFUNCTION("GOOGLETRANSLATE(B103, ""en"", ""hi"")"),"थांग-ता में, एक साधक प्रतिद्वंद्वी की ओर बढ़ते हुए भाले से कई वार करता है। इस तकनीक का मुख्य उद्देश्य क्या है?")</f>
        <v>थांग-ता में, एक साधक प्रतिद्वंद्वी की ओर बढ़ते हुए भाले से कई वार करता है। इस तकनीक का मुख्य उद्देश्य क्या है?</v>
      </c>
      <c r="H103" s="5" t="str">
        <f>IFERROR(__xludf.DUMMYFUNCTION("GOOGLETRANSLATE(C103, ""en"", ""hi"")"),"ए) दूरी कम करते समय आक्रामक दबाव बनाए रखना।, बी) पारंपरिक भाला तकनीक का प्रदर्शन करना।, सी) रक्षात्मक युद्धाभ्यास पर ध्यान केंद्रित करना।, डी) गति और चपलता में सुधार करना।")</f>
        <v>ए) दूरी कम करते समय आक्रामक दबाव बनाए रखना।, बी) पारंपरिक भाला तकनीक का प्रदर्शन करना।, सी) रक्षात्मक युद्धाभ्यास पर ध्यान केंद्रित करना।, डी) गति और चपलता में सुधार करना।</v>
      </c>
      <c r="I103" s="5" t="str">
        <f>IFERROR(__xludf.DUMMYFUNCTION("GOOGLETRANSLATE(D103, ""en"", ""hi"")"),"ए) दूरी कम करते समय आक्रामक दबाव बनाए रखना।")</f>
        <v>ए) दूरी कम करते समय आक्रामक दबाव बनाए रखना।</v>
      </c>
    </row>
    <row r="104" ht="22.5" customHeight="1">
      <c r="A104" s="2">
        <v>103.0</v>
      </c>
      <c r="B104" s="3" t="s">
        <v>12377</v>
      </c>
      <c r="C104" s="3" t="s">
        <v>12378</v>
      </c>
      <c r="D104" s="3" t="s">
        <v>12306</v>
      </c>
      <c r="F104" s="5" t="str">
        <f>IFERROR(__xludf.DUMMYFUNCTION("GOOGLETRANSLATE(A104, ""en"", ""hi"")"),"103")</f>
        <v>103</v>
      </c>
      <c r="G104" s="5" t="str">
        <f>IFERROR(__xludf.DUMMYFUNCTION("GOOGLETRANSLATE(B104, ""en"", ""hi"")"),"थांग-ता का अभ्यास करते समय, एक अभ्यासी तलवार से झपट्टा और तिरछे वार का संयोजन करता है। इस संयोजन का मुख्य लक्ष्य क्या है?")</f>
        <v>थांग-ता का अभ्यास करते समय, एक अभ्यासी तलवार से झपट्टा और तिरछे वार का संयोजन करता है। इस संयोजन का मुख्य लक्ष्य क्या है?</v>
      </c>
      <c r="H104" s="5" t="str">
        <f>IFERROR(__xludf.DUMMYFUNCTION("GOOGLETRANSLATE(C104, ""en"", ""hi"")"),"ए) अप्रत्याशित और आक्रामक आक्रामक दृष्टिकोण बनाना। , बी) पारंपरिक लंजिंग तकनीकों का अभ्यास करना। , सी) रक्षात्मक आंदोलनों पर ध्यान केंद्रित करना। , डी) फुटवर्क और चपलता में सुधार करना।")</f>
        <v>ए) अप्रत्याशित और आक्रामक आक्रामक दृष्टिकोण बनाना। , बी) पारंपरिक लंजिंग तकनीकों का अभ्यास करना। , सी) रक्षात्मक आंदोलनों पर ध्यान केंद्रित करना। , डी) फुटवर्क और चपलता में सुधार करना।</v>
      </c>
      <c r="I104" s="5" t="str">
        <f>IFERROR(__xludf.DUMMYFUNCTION("GOOGLETRANSLATE(D104, ""en"", ""hi"")"),"अ) अप्रत्याशित और आक्रामक आक्रामक दृष्टिकोण बनाना।")</f>
        <v>अ) अप्रत्याशित और आक्रामक आक्रामक दृष्टिकोण बनाना।</v>
      </c>
    </row>
    <row r="105" ht="22.5" customHeight="1">
      <c r="A105" s="2">
        <v>104.0</v>
      </c>
      <c r="B105" s="3" t="s">
        <v>12395</v>
      </c>
      <c r="C105" s="3" t="s">
        <v>12396</v>
      </c>
      <c r="D105" s="3" t="s">
        <v>12315</v>
      </c>
      <c r="F105" s="5" t="str">
        <f>IFERROR(__xludf.DUMMYFUNCTION("GOOGLETRANSLATE(A105, ""en"", ""hi"")"),"104")</f>
        <v>104</v>
      </c>
      <c r="G105" s="5" t="str">
        <f>IFERROR(__xludf.DUMMYFUNCTION("GOOGLETRANSLATE(B105, ""en"", ""hi"")"),"थांग-ता अभ्यास के दौरान, एक अभ्यासी नीचे की ओर प्रहार करता है और फिर तेज़ी से पीछे की ओर कदम बढ़ाता है। इस कदम पीछे हटने का मुख्य उद्देश्य क्या है?")</f>
        <v>थांग-ता अभ्यास के दौरान, एक अभ्यासी नीचे की ओर प्रहार करता है और फिर तेज़ी से पीछे की ओर कदम बढ़ाता है। इस कदम पीछे हटने का मुख्य उद्देश्य क्या है?</v>
      </c>
      <c r="H105" s="5" t="str">
        <f>IFERROR(__xludf.DUMMYFUNCTION("GOOGLETRANSLATE(C105, ""en"", ""hi"")"),"ए) संभावित जवाबी हमले से बचने के लिए, , बी) फुटवर्क तकनीक दिखाने के लिए।, , सी) एक और हमले के लिए तैयार करने के लिए।, , डी) प्रतिद्वंद्वी को भ्रमित करने के लिए।")</f>
        <v>ए) संभावित जवाबी हमले से बचने के लिए, , बी) फुटवर्क तकनीक दिखाने के लिए।, , सी) एक और हमले के लिए तैयार करने के लिए।, , डी) प्रतिद्वंद्वी को भ्रमित करने के लिए।</v>
      </c>
      <c r="I105" s="5" t="str">
        <f>IFERROR(__xludf.DUMMYFUNCTION("GOOGLETRANSLATE(D105, ""en"", ""hi"")"),"क) संभावित जवाबी हमले से बचने के लिए।")</f>
        <v>क) संभावित जवाबी हमले से बचने के लिए।</v>
      </c>
    </row>
    <row r="106" ht="22.5" customHeight="1">
      <c r="A106" s="2">
        <v>105.0</v>
      </c>
      <c r="B106" s="3" t="s">
        <v>12397</v>
      </c>
      <c r="C106" s="3" t="s">
        <v>12398</v>
      </c>
      <c r="D106" s="3" t="s">
        <v>12399</v>
      </c>
      <c r="F106" s="5" t="str">
        <f>IFERROR(__xludf.DUMMYFUNCTION("GOOGLETRANSLATE(A106, ""en"", ""hi"")"),"105")</f>
        <v>105</v>
      </c>
      <c r="G106" s="5" t="str">
        <f>IFERROR(__xludf.DUMMYFUNCTION("GOOGLETRANSLATE(B106, ""en"", ""hi"")"),"थांग-ता का अभ्यासी अपने प्रतिद्वंद्वी के हमले को विफल करने के लिए तलवार की गोलाकार गति का उपयोग करता है। इस तकनीक का मुख्य लक्ष्य क्या है?")</f>
        <v>थांग-ता का अभ्यासी अपने प्रतिद्वंद्वी के हमले को विफल करने के लिए तलवार की गोलाकार गति का उपयोग करता है। इस तकनीक का मुख्य लक्ष्य क्या है?</v>
      </c>
      <c r="H106" s="5" t="str">
        <f>IFERROR(__xludf.DUMMYFUNCTION("GOOGLETRANSLATE(C106, ""en"", ""hi"")"),"ए) प्रतिद्वंद्वी की सेना को पुनर्निर्देशित करना।, , बी) उन्नत तलवारबाजी का प्रदर्शन करना।, , सी) जवाबी हमला करना।, , डी) सुचारू गति का अभ्यास करना।")</f>
        <v>ए) प्रतिद्वंद्वी की सेना को पुनर्निर्देशित करना।, , बी) उन्नत तलवारबाजी का प्रदर्शन करना।, , सी) जवाबी हमला करना।, , डी) सुचारू गति का अभ्यास करना।</v>
      </c>
      <c r="I106" s="5" t="str">
        <f>IFERROR(__xludf.DUMMYFUNCTION("GOOGLETRANSLATE(D106, ""en"", ""hi"")"),"अ) प्रतिद्वंद्वी की सेना को पुनर्निर्देशित करना।")</f>
        <v>अ) प्रतिद्वंद्वी की सेना को पुनर्निर्देशित करना।</v>
      </c>
    </row>
    <row r="107" ht="22.5" customHeight="1">
      <c r="A107" s="2">
        <v>106.0</v>
      </c>
      <c r="B107" s="3" t="s">
        <v>12400</v>
      </c>
      <c r="C107" s="3" t="s">
        <v>12401</v>
      </c>
      <c r="D107" s="3" t="s">
        <v>12402</v>
      </c>
      <c r="F107" s="5" t="str">
        <f>IFERROR(__xludf.DUMMYFUNCTION("GOOGLETRANSLATE(A107, ""en"", ""hi"")"),"106")</f>
        <v>106</v>
      </c>
      <c r="G107" s="5" t="str">
        <f>IFERROR(__xludf.DUMMYFUNCTION("GOOGLETRANSLATE(B107, ""en"", ""hi"")"),"थांग-ता अभ्यास सत्र में, एक छात्र अपनी मुद्रा बदलते हुए लो कट्स की एक श्रृंखला करता है। इस मुद्रा परिवर्तन का मुख्य उद्देश्य क्या है?")</f>
        <v>थांग-ता अभ्यास सत्र में, एक छात्र अपनी मुद्रा बदलते हुए लो कट्स की एक श्रृंखला करता है। इस मुद्रा परिवर्तन का मुख्य उद्देश्य क्या है?</v>
      </c>
      <c r="H107" s="5" t="str">
        <f>IFERROR(__xludf.DUMMYFUNCTION("GOOGLETRANSLATE(C107, ""en"", ""hi"")"),"ए) संतुलन और चपलता बनाए रखने के लिए।, , बी) काटने की शक्ति बढ़ाने के लिए।, , सी) प्रतिद्वंद्वी को भ्रमित करने के लिए।, , डी) एक उच्च हमले के लिए तैयार करने के लिए।")</f>
        <v>ए) संतुलन और चपलता बनाए रखने के लिए।, , बी) काटने की शक्ति बढ़ाने के लिए।, , सी) प्रतिद्वंद्वी को भ्रमित करने के लिए।, , डी) एक उच्च हमले के लिए तैयार करने के लिए।</v>
      </c>
      <c r="I107" s="5" t="str">
        <f>IFERROR(__xludf.DUMMYFUNCTION("GOOGLETRANSLATE(D107, ""en"", ""hi"")"),"क) संतुलन और चपलता बनाए रखने के लिए।")</f>
        <v>क) संतुलन और चपलता बनाए रखने के लिए।</v>
      </c>
    </row>
    <row r="108" ht="22.5" customHeight="1">
      <c r="A108" s="2">
        <v>107.0</v>
      </c>
      <c r="B108" s="3" t="s">
        <v>12403</v>
      </c>
      <c r="C108" s="3" t="s">
        <v>12404</v>
      </c>
      <c r="D108" s="3" t="s">
        <v>12405</v>
      </c>
      <c r="F108" s="5" t="str">
        <f>IFERROR(__xludf.DUMMYFUNCTION("GOOGLETRANSLATE(A108, ""en"", ""hi"")"),"107")</f>
        <v>107</v>
      </c>
      <c r="G108" s="5" t="str">
        <f>IFERROR(__xludf.DUMMYFUNCTION("GOOGLETRANSLATE(B108, ""en"", ""hi"")"),"थांग-ता का एक अभ्यासी पीछे हटते समय भाले से बारी-बारी से वार करता है। इस तकनीक का मुख्य लाभ क्या है?")</f>
        <v>थांग-ता का एक अभ्यासी पीछे हटते समय भाले से बारी-बारी से वार करता है। इस तकनीक का मुख्य लाभ क्या है?</v>
      </c>
      <c r="H108" s="5" t="str">
        <f>IFERROR(__xludf.DUMMYFUNCTION("GOOGLETRANSLATE(C108, ""en"", ""hi"")"),"ए) प्रतिद्वंद्वी को दूरी पर रखना।, , बी) भाला चलाने का कौशल दिखाना।, , सी) रक्षात्मक रुख अपनाना।, , डी) प्रतिद्वंद्वी का ध्यान भटकाना।")</f>
        <v>ए) प्रतिद्वंद्वी को दूरी पर रखना।, , बी) भाला चलाने का कौशल दिखाना।, , सी) रक्षात्मक रुख अपनाना।, , डी) प्रतिद्वंद्वी का ध्यान भटकाना।</v>
      </c>
      <c r="I108" s="5" t="str">
        <f>IFERROR(__xludf.DUMMYFUNCTION("GOOGLETRANSLATE(D108, ""en"", ""hi"")"),"अ) प्रतिद्वंद्वी को दूर रखना।")</f>
        <v>अ) प्रतिद्वंद्वी को दूर रखना।</v>
      </c>
    </row>
    <row r="109" ht="22.5" customHeight="1">
      <c r="A109" s="2">
        <v>108.0</v>
      </c>
      <c r="B109" s="3" t="s">
        <v>12406</v>
      </c>
      <c r="C109" s="3" t="s">
        <v>12407</v>
      </c>
      <c r="D109" s="3" t="s">
        <v>12408</v>
      </c>
      <c r="F109" s="5" t="str">
        <f>IFERROR(__xludf.DUMMYFUNCTION("GOOGLETRANSLATE(A109, ""en"", ""hi"")"),"108")</f>
        <v>108</v>
      </c>
      <c r="G109" s="5" t="str">
        <f>IFERROR(__xludf.DUMMYFUNCTION("GOOGLETRANSLATE(B109, ""en"", ""hi"")"),"थांग-ता प्रदर्शन के दौरान, एक अभ्यासी एक ऊँचे ब्लॉक का उपयोग करता है और उसके बाद एक स्पिनिंग स्ट्राइक करता है। स्पिनिंग स्ट्राइक का मुख्य उद्देश्य क्या है?")</f>
        <v>थांग-ता प्रदर्शन के दौरान, एक अभ्यासी एक ऊँचे ब्लॉक का उपयोग करता है और उसके बाद एक स्पिनिंग स्ट्राइक करता है। स्पिनिंग स्ट्राइक का मुख्य उद्देश्य क्या है?</v>
      </c>
      <c r="H109" s="5" t="str">
        <f>IFERROR(__xludf.DUMMYFUNCTION("GOOGLETRANSLATE(C109, ""en"", ""hi"")"),"ए) हमले में शक्ति और गति जोड़ने के लिए।, , बी) उन्नत कौशल प्रदर्शित करने के लिए।, , सी) गति और समन्वय में सुधार करने के लिए।, , डी) प्रतिद्वंद्वी को भ्रमित करने के लिए।")</f>
        <v>ए) हमले में शक्ति और गति जोड़ने के लिए।, , बी) उन्नत कौशल प्रदर्शित करने के लिए।, , सी) गति और समन्वय में सुधार करने के लिए।, , डी) प्रतिद्वंद्वी को भ्रमित करने के लिए।</v>
      </c>
      <c r="I109" s="5" t="str">
        <f>IFERROR(__xludf.DUMMYFUNCTION("GOOGLETRANSLATE(D109, ""en"", ""hi"")"),"अ) आक्रमण में शक्ति और गति जोड़ना।")</f>
        <v>अ) आक्रमण में शक्ति और गति जोड़ना।</v>
      </c>
    </row>
    <row r="110" ht="22.5" customHeight="1">
      <c r="A110" s="2">
        <v>109.0</v>
      </c>
      <c r="B110" s="3" t="s">
        <v>12409</v>
      </c>
      <c r="C110" s="3" t="s">
        <v>12410</v>
      </c>
      <c r="D110" s="3" t="s">
        <v>12411</v>
      </c>
      <c r="F110" s="5" t="str">
        <f>IFERROR(__xludf.DUMMYFUNCTION("GOOGLETRANSLATE(A110, ""en"", ""hi"")"),"109")</f>
        <v>109</v>
      </c>
      <c r="G110" s="5" t="str">
        <f>IFERROR(__xludf.DUMMYFUNCTION("GOOGLETRANSLATE(B110, ""en"", ""hi"")"),"थांग-ता में, एक अभ्यासी अपने प्रतिद्वंद्वी के चारों ओर चक्कर लगाते हुए ऊँची और नीची प्रहारों की एक श्रृंखला करता है। इस क्रिया का मुख्य लक्ष्य क्या है?")</f>
        <v>थांग-ता में, एक अभ्यासी अपने प्रतिद्वंद्वी के चारों ओर चक्कर लगाते हुए ऊँची और नीची प्रहारों की एक श्रृंखला करता है। इस क्रिया का मुख्य लक्ष्य क्या है?</v>
      </c>
      <c r="H110" s="5" t="str">
        <f>IFERROR(__xludf.DUMMYFUNCTION("GOOGLETRANSLATE(C110, ""en"", ""hi"")"),"ए) प्रतिद्वंद्वी के बचाव में खुलने के लिए।, , बी) फुटवर्क दिखाने के लिए।, , सी) रक्षात्मक आंदोलनों का अभ्यास करने के लिए।, , डी) ध्यान भंग करने के लिए।")</f>
        <v>ए) प्रतिद्वंद्वी के बचाव में खुलने के लिए।, , बी) फुटवर्क दिखाने के लिए।, , सी) रक्षात्मक आंदोलनों का अभ्यास करने के लिए।, , डी) ध्यान भंग करने के लिए।</v>
      </c>
      <c r="I110" s="5" t="str">
        <f>IFERROR(__xludf.DUMMYFUNCTION("GOOGLETRANSLATE(D110, ""en"", ""hi"")"),"अ) प्रतिद्वंद्वी के बचाव में छेद ढूंढना।")</f>
        <v>अ) प्रतिद्वंद्वी के बचाव में छेद ढूंढना।</v>
      </c>
    </row>
    <row r="111" ht="22.5" customHeight="1">
      <c r="A111" s="2">
        <v>110.0</v>
      </c>
      <c r="B111" s="3" t="s">
        <v>12412</v>
      </c>
      <c r="C111" s="3" t="s">
        <v>12413</v>
      </c>
      <c r="D111" s="3" t="s">
        <v>12414</v>
      </c>
      <c r="F111" s="5" t="str">
        <f>IFERROR(__xludf.DUMMYFUNCTION("GOOGLETRANSLATE(A111, ""en"", ""hi"")"),"110")</f>
        <v>110</v>
      </c>
      <c r="G111" s="5" t="str">
        <f>IFERROR(__xludf.DUMMYFUNCTION("GOOGLETRANSLATE(B111, ""en"", ""hi"")"),"थांग-ता का अभ्यासी आने वाले हमले से बचने के लिए तेज़ी से साइड स्टेप का इस्तेमाल करता है। इस साइड स्टेप का मुख्य उद्देश्य क्या है?")</f>
        <v>थांग-ता का अभ्यासी आने वाले हमले से बचने के लिए तेज़ी से साइड स्टेप का इस्तेमाल करता है। इस साइड स्टेप का मुख्य उद्देश्य क्या है?</v>
      </c>
      <c r="H111" s="5" t="str">
        <f>IFERROR(__xludf.DUMMYFUNCTION("GOOGLETRANSLATE(C111, ""en"", ""hi"")"),"ए) प्रतिद्वंद्वी के वार से बचने के लिए।, , बी) चपलता दिखाने के लिए।, , सी) जवाबी हमले की तैयारी करने के लिए।, , डी) फुटवर्क का अभ्यास करने के लिए।")</f>
        <v>ए) प्रतिद्वंद्वी के वार से बचने के लिए।, , बी) चपलता दिखाने के लिए।, , सी) जवाबी हमले की तैयारी करने के लिए।, , डी) फुटवर्क का अभ्यास करने के लिए।</v>
      </c>
      <c r="I111" s="5" t="str">
        <f>IFERROR(__xludf.DUMMYFUNCTION("GOOGLETRANSLATE(D111, ""en"", ""hi"")"),"अ) प्रतिद्वंद्वी के हमले से बचने के लिए।")</f>
        <v>अ) प्रतिद्वंद्वी के हमले से बचने के लिए।</v>
      </c>
    </row>
    <row r="112" ht="22.5" customHeight="1">
      <c r="A112" s="2">
        <v>111.0</v>
      </c>
      <c r="B112" s="3" t="s">
        <v>12415</v>
      </c>
      <c r="C112" s="3" t="s">
        <v>12416</v>
      </c>
      <c r="D112" s="3" t="s">
        <v>12417</v>
      </c>
      <c r="F112" s="5" t="str">
        <f>IFERROR(__xludf.DUMMYFUNCTION("GOOGLETRANSLATE(A112, ""en"", ""hi"")"),"111")</f>
        <v>111</v>
      </c>
      <c r="G112" s="5" t="str">
        <f>IFERROR(__xludf.DUMMYFUNCTION("GOOGLETRANSLATE(B112, ""en"", ""hi"")"),"थांग-ता स्पैरिंग सत्र के दौरान, एक प्रतिभागी आगे बढ़ते हुए तलवार से कई वार करता है। इस तकनीक का मुख्य उद्देश्य क्या है?")</f>
        <v>थांग-ता स्पैरिंग सत्र के दौरान, एक प्रतिभागी आगे बढ़ते हुए तलवार से कई वार करता है। इस तकनीक का मुख्य उद्देश्य क्या है?</v>
      </c>
      <c r="H112" s="5" t="str">
        <f>IFERROR(__xludf.DUMMYFUNCTION("GOOGLETRANSLATE(C112, ""en"", ""hi"")"),"ए) आक्रामक दबाव बनाए रखने के लिए।, , बी) तलवार कौशल का प्रदर्शन करने के लिए।, , सी) सटीकता का अभ्यास करने के लिए।, , डी) गति में सुधार करने के लिए।")</f>
        <v>ए) आक्रामक दबाव बनाए रखने के लिए।, , बी) तलवार कौशल का प्रदर्शन करने के लिए।, , सी) सटीकता का अभ्यास करने के लिए।, , डी) गति में सुधार करने के लिए।</v>
      </c>
      <c r="I112" s="5" t="str">
        <f>IFERROR(__xludf.DUMMYFUNCTION("GOOGLETRANSLATE(D112, ""en"", ""hi"")"),"अ) आक्रामक दबाव बनाए रखना।")</f>
        <v>अ) आक्रामक दबाव बनाए रखना।</v>
      </c>
    </row>
    <row r="113" ht="22.5" customHeight="1">
      <c r="A113" s="2">
        <v>112.0</v>
      </c>
      <c r="B113" s="3" t="s">
        <v>12418</v>
      </c>
      <c r="C113" s="3" t="s">
        <v>12419</v>
      </c>
      <c r="D113" s="3" t="s">
        <v>12420</v>
      </c>
      <c r="F113" s="5" t="str">
        <f>IFERROR(__xludf.DUMMYFUNCTION("GOOGLETRANSLATE(A113, ""en"", ""hi"")"),"112")</f>
        <v>112</v>
      </c>
      <c r="G113" s="5" t="str">
        <f>IFERROR(__xludf.DUMMYFUNCTION("GOOGLETRANSLATE(B113, ""en"", ""hi"")"),"थांग-ता का अभ्यास करने वाला व्यक्ति तिरछे कट्स की एक श्रृंखला के बाद अचानक झपट्टा मारता है। इस झपट्टे का मुख्य उद्देश्य क्या है?")</f>
        <v>थांग-ता का अभ्यास करने वाला व्यक्ति तिरछे कट्स की एक श्रृंखला के बाद अचानक झपट्टा मारता है। इस झपट्टे का मुख्य उद्देश्य क्या है?</v>
      </c>
      <c r="H113" s="5" t="str">
        <f>IFERROR(__xludf.DUMMYFUNCTION("GOOGLETRANSLATE(C113, ""en"", ""hi"")"),"ए) तेजी से दूरी कम करना।, , बी) सटीकता दिखाना।, , सी) हमले के लिए रास्ता बनाना।, , डी) प्रतिद्वंद्वी को भ्रमित करना।")</f>
        <v>ए) तेजी से दूरी कम करना।, , बी) सटीकता दिखाना।, , सी) हमले के लिए रास्ता बनाना।, , डी) प्रतिद्वंद्वी को भ्रमित करना।</v>
      </c>
      <c r="I113" s="5" t="str">
        <f>IFERROR(__xludf.DUMMYFUNCTION("GOOGLETRANSLATE(D113, ""en"", ""hi"")"),"क) दूरी को तेजी से कम करना।")</f>
        <v>क) दूरी को तेजी से कम करना।</v>
      </c>
    </row>
    <row r="114" ht="22.5" customHeight="1">
      <c r="A114" s="2">
        <v>113.0</v>
      </c>
      <c r="B114" s="3" t="s">
        <v>12421</v>
      </c>
      <c r="C114" s="3" t="s">
        <v>12422</v>
      </c>
      <c r="D114" s="3" t="s">
        <v>12423</v>
      </c>
      <c r="F114" s="5" t="str">
        <f>IFERROR(__xludf.DUMMYFUNCTION("GOOGLETRANSLATE(A114, ""en"", ""hi"")"),"113")</f>
        <v>113</v>
      </c>
      <c r="G114" s="5" t="str">
        <f>IFERROR(__xludf.DUMMYFUNCTION("GOOGLETRANSLATE(B114, ""en"", ""hi"")"),"थांग-ता में, एक अभ्यासी प्रतिद्वंद्वी के पैरों पर निशाना साधने के लिए भाले से व्यापक हमला करता है। इस हमले का मुख्य लक्ष्य क्या है?")</f>
        <v>थांग-ता में, एक अभ्यासी प्रतिद्वंद्वी के पैरों पर निशाना साधने के लिए भाले से व्यापक हमला करता है। इस हमले का मुख्य लक्ष्य क्या है?</v>
      </c>
      <c r="H114" s="5" t="str">
        <f>IFERROR(__xludf.DUMMYFUNCTION("GOOGLETRANSLATE(C114, ""en"", ""hi"")"),"ए) प्रतिद्वंद्वी का संतुलन बिगाड़ना।, , बी) भाला तकनीक का प्रदर्शन करना।, , सी) ऊंचे प्रहार की तैयारी करना।, , डी) समय का अभ्यास करना।")</f>
        <v>ए) प्रतिद्वंद्वी का संतुलन बिगाड़ना।, , बी) भाला तकनीक का प्रदर्शन करना।, , सी) ऊंचे प्रहार की तैयारी करना।, , डी) समय का अभ्यास करना।</v>
      </c>
      <c r="I114" s="5" t="str">
        <f>IFERROR(__xludf.DUMMYFUNCTION("GOOGLETRANSLATE(D114, ""en"", ""hi"")"),"अ) प्रतिद्वंद्वी का संतुलन बिगाड़ना।")</f>
        <v>अ) प्रतिद्वंद्वी का संतुलन बिगाड़ना।</v>
      </c>
    </row>
    <row r="115" ht="22.5" customHeight="1">
      <c r="A115" s="2">
        <v>114.0</v>
      </c>
      <c r="B115" s="3" t="s">
        <v>12424</v>
      </c>
      <c r="C115" s="3" t="s">
        <v>12425</v>
      </c>
      <c r="D115" s="3" t="s">
        <v>12426</v>
      </c>
      <c r="F115" s="5" t="str">
        <f>IFERROR(__xludf.DUMMYFUNCTION("GOOGLETRANSLATE(A115, ""en"", ""hi"")"),"114")</f>
        <v>114</v>
      </c>
      <c r="G115" s="5" t="str">
        <f>IFERROR(__xludf.DUMMYFUNCTION("GOOGLETRANSLATE(B115, ""en"", ""hi"")"),"थांग-ता अभ्यास अभ्यास के दौरान, एक छात्र बारी-बारी से हाथों से ऊपर की ओर वार करता है। इस अभ्यास में बारी-बारी से हाथ चलाने का मुख्य लाभ क्या है?")</f>
        <v>थांग-ता अभ्यास अभ्यास के दौरान, एक छात्र बारी-बारी से हाथों से ऊपर की ओर वार करता है। इस अभ्यास में बारी-बारी से हाथ चलाने का मुख्य लाभ क्या है?</v>
      </c>
      <c r="H115" s="5" t="str">
        <f>IFERROR(__xludf.DUMMYFUNCTION("GOOGLETRANSLATE(C115, ""en"", ""hi"")"),"ए) अप्रत्याशित आक्रमण बनाना।, , बी) हाथ समन्वय में सुधार करना।, , सी) बहुमुखी प्रतिभा का प्रदर्शन करना।, , डी) प्रतिद्वंद्वी को भ्रमित करना।")</f>
        <v>ए) अप्रत्याशित आक्रमण बनाना।, , बी) हाथ समन्वय में सुधार करना।, , सी) बहुमुखी प्रतिभा का प्रदर्शन करना।, , डी) प्रतिद्वंद्वी को भ्रमित करना।</v>
      </c>
      <c r="I115" s="5" t="str">
        <f>IFERROR(__xludf.DUMMYFUNCTION("GOOGLETRANSLATE(D115, ""en"", ""hi"")"),"अ) अप्रत्याशित आक्रमण की स्थिति पैदा करना।")</f>
        <v>अ) अप्रत्याशित आक्रमण की स्थिति पैदा करना।</v>
      </c>
    </row>
    <row r="116" ht="22.5" customHeight="1">
      <c r="A116" s="2">
        <v>115.0</v>
      </c>
      <c r="B116" s="3" t="s">
        <v>12427</v>
      </c>
      <c r="C116" s="3" t="s">
        <v>12428</v>
      </c>
      <c r="D116" s="3" t="s">
        <v>12429</v>
      </c>
      <c r="F116" s="5" t="str">
        <f>IFERROR(__xludf.DUMMYFUNCTION("GOOGLETRANSLATE(A116, ""en"", ""hi"")"),"115")</f>
        <v>115</v>
      </c>
      <c r="G116" s="5" t="str">
        <f>IFERROR(__xludf.DUMMYFUNCTION("GOOGLETRANSLATE(B116, ""en"", ""hi"")"),"थांग-ता का अभ्यासी भाले से एक नीची गति से वार करता है और उसके बाद एक तेज़ प्रहार करता है। इस तेज़ प्रहार का मुख्य उद्देश्य क्या है?")</f>
        <v>थांग-ता का अभ्यासी भाले से एक नीची गति से वार करता है और उसके बाद एक तेज़ प्रहार करता है। इस तेज़ प्रहार का मुख्य उद्देश्य क्या है?</v>
      </c>
      <c r="H116" s="5" t="str">
        <f>IFERROR(__xludf.DUMMYFUNCTION("GOOGLETRANSLATE(C116, ""en"", ""hi"")"),"ए) प्रतिद्वंद्वी के कमजोर गार्ड का फायदा उठाने के लिए।, , बी) गति दिखाने के लिए।, , सी) सटीकता में सुधार करने के लिए।, , डी) ध्यान भटकाने के लिए।")</f>
        <v>ए) प्रतिद्वंद्वी के कमजोर गार्ड का फायदा उठाने के लिए।, , बी) गति दिखाने के लिए।, , सी) सटीकता में सुधार करने के लिए।, , डी) ध्यान भटकाने के लिए।</v>
      </c>
      <c r="I116" s="5" t="str">
        <f>IFERROR(__xludf.DUMMYFUNCTION("GOOGLETRANSLATE(D116, ""en"", ""hi"")"),"ए) प्रतिद्वंद्वी के कमजोर गार्ड का फायदा उठाना।")</f>
        <v>ए) प्रतिद्वंद्वी के कमजोर गार्ड का फायदा उठाना।</v>
      </c>
    </row>
    <row r="117" ht="22.5" customHeight="1">
      <c r="A117" s="2">
        <v>116.0</v>
      </c>
      <c r="B117" s="3" t="s">
        <v>12430</v>
      </c>
      <c r="C117" s="3" t="s">
        <v>12431</v>
      </c>
      <c r="D117" s="3" t="s">
        <v>12432</v>
      </c>
      <c r="F117" s="5" t="str">
        <f>IFERROR(__xludf.DUMMYFUNCTION("GOOGLETRANSLATE(A117, ""en"", ""hi"")"),"116")</f>
        <v>116</v>
      </c>
      <c r="G117" s="5" t="str">
        <f>IFERROR(__xludf.DUMMYFUNCTION("GOOGLETRANSLATE(B117, ""en"", ""hi"")"),"थांग-ता स्पैरिंग मैच में, एक प्रतिभागी कई ऊँचे ब्लॉक लगाता है और उसके बाद अचानक एक स्ट्राइक के साथ आगे बढ़ता है। आगे बढ़ने का मुख्य उद्देश्य क्या है?")</f>
        <v>थांग-ता स्पैरिंग मैच में, एक प्रतिभागी कई ऊँचे ब्लॉक लगाता है और उसके बाद अचानक एक स्ट्राइक के साथ आगे बढ़ता है। आगे बढ़ने का मुख्य उद्देश्य क्या है?</v>
      </c>
      <c r="H117" s="5" t="str">
        <f>IFERROR(__xludf.DUMMYFUNCTION("GOOGLETRANSLATE(C117, ""en"", ""hi"")"),"ए) प्रभावी प्रहार के लिए अंतराल को पाटना।, , बी) फुटवर्क का प्रदर्शन करना।, , सी) समय का अभ्यास करना।, , डी) रक्षात्मक मुद्रा बनाना।")</f>
        <v>ए) प्रभावी प्रहार के लिए अंतराल को पाटना।, , बी) फुटवर्क का प्रदर्शन करना।, , सी) समय का अभ्यास करना।, , डी) रक्षात्मक मुद्रा बनाना।</v>
      </c>
      <c r="I117" s="5" t="str">
        <f>IFERROR(__xludf.DUMMYFUNCTION("GOOGLETRANSLATE(D117, ""en"", ""hi"")"),"क) प्रभावी हमले के लिए अंतराल को पाटना।")</f>
        <v>क) प्रभावी हमले के लिए अंतराल को पाटना।</v>
      </c>
    </row>
    <row r="118" ht="22.5" customHeight="1">
      <c r="A118" s="2">
        <v>117.0</v>
      </c>
      <c r="B118" s="3" t="s">
        <v>12433</v>
      </c>
      <c r="C118" s="3" t="s">
        <v>12434</v>
      </c>
      <c r="D118" s="3" t="s">
        <v>12435</v>
      </c>
      <c r="F118" s="5" t="str">
        <f>IFERROR(__xludf.DUMMYFUNCTION("GOOGLETRANSLATE(A118, ""en"", ""hi"")"),"117")</f>
        <v>117</v>
      </c>
      <c r="G118" s="5" t="str">
        <f>IFERROR(__xludf.DUMMYFUNCTION("GOOGLETRANSLATE(B118, ""en"", ""hi"")"),"थांग-ता का एक अभ्यासी पीछे हटते समय तेज़ झटकों का एक क्रम अपनाता है। इस पीछे हटने की गति का मुख्य लाभ क्या है?")</f>
        <v>थांग-ता का एक अभ्यासी पीछे हटते समय तेज़ झटकों का एक क्रम अपनाता है। इस पीछे हटने की गति का मुख्य लाभ क्या है?</v>
      </c>
      <c r="H118" s="5" t="str">
        <f>IFERROR(__xludf.DUMMYFUNCTION("GOOGLETRANSLATE(C118, ""en"", ""hi"")"),"ए) रक्षात्मक स्थिति बनाए रखने के लिए।, , बी) चपलता दिखाने के लिए।, , सी) फुटवर्क का अभ्यास करने के लिए।, , डी) प्रतिद्वंद्वी को भ्रमित करने के लिए।")</f>
        <v>ए) रक्षात्मक स्थिति बनाए रखने के लिए।, , बी) चपलता दिखाने के लिए।, , सी) फुटवर्क का अभ्यास करने के लिए।, , डी) प्रतिद्वंद्वी को भ्रमित करने के लिए।</v>
      </c>
      <c r="I118" s="5" t="str">
        <f>IFERROR(__xludf.DUMMYFUNCTION("GOOGLETRANSLATE(D118, ""en"", ""hi"")"),"अ) रक्षात्मक स्थिति बनाए रखना।")</f>
        <v>अ) रक्षात्मक स्थिति बनाए रखना।</v>
      </c>
    </row>
    <row r="119" ht="22.5" customHeight="1">
      <c r="A119" s="2">
        <v>118.0</v>
      </c>
      <c r="B119" s="3" t="s">
        <v>12436</v>
      </c>
      <c r="C119" s="3" t="s">
        <v>12437</v>
      </c>
      <c r="D119" s="3" t="s">
        <v>12438</v>
      </c>
      <c r="F119" s="5" t="str">
        <f>IFERROR(__xludf.DUMMYFUNCTION("GOOGLETRANSLATE(A119, ""en"", ""hi"")"),"118")</f>
        <v>118</v>
      </c>
      <c r="G119" s="5" t="str">
        <f>IFERROR(__xludf.DUMMYFUNCTION("GOOGLETRANSLATE(B119, ""en"", ""hi"")"),"थांग-ता प्रदर्शन के दौरान, एक अभ्यासी तलवार से घूमता हुआ वार करता है और फिर नीचे की ओर वार करता है। इस घूमते हुए वार का मुख्य उद्देश्य क्या है?")</f>
        <v>थांग-ता प्रदर्शन के दौरान, एक अभ्यासी तलवार से घूमता हुआ वार करता है और फिर नीचे की ओर वार करता है। इस घूमते हुए वार का मुख्य उद्देश्य क्या है?</v>
      </c>
      <c r="H119" s="5" t="str">
        <f>IFERROR(__xludf.DUMMYFUNCTION("GOOGLETRANSLATE(C119, ""en"", ""hi"")"),"ए) नीचे की ओर वार के लिए गति बनाने के लिए।, , बी) कौशल दिखाने के लिए।, , सी) प्रतिद्वंद्वी को विचलित करने के लिए।, , डी) संतुलन में सुधार करने के लिए।")</f>
        <v>ए) नीचे की ओर वार के लिए गति बनाने के लिए।, , बी) कौशल दिखाने के लिए।, , सी) प्रतिद्वंद्वी को विचलित करने के लिए।, , डी) संतुलन में सुधार करने के लिए।</v>
      </c>
      <c r="I119" s="5" t="str">
        <f>IFERROR(__xludf.DUMMYFUNCTION("GOOGLETRANSLATE(D119, ""en"", ""hi"")"),"A) नीचे की ओर कटौती के लिए गति का निर्माण करना।")</f>
        <v>A) नीचे की ओर कटौती के लिए गति का निर्माण करना।</v>
      </c>
    </row>
    <row r="120" ht="22.5" customHeight="1">
      <c r="A120" s="2">
        <v>119.0</v>
      </c>
      <c r="B120" s="3" t="s">
        <v>12439</v>
      </c>
      <c r="C120" s="3" t="s">
        <v>12440</v>
      </c>
      <c r="D120" s="3" t="s">
        <v>12441</v>
      </c>
      <c r="F120" s="5" t="str">
        <f>IFERROR(__xludf.DUMMYFUNCTION("GOOGLETRANSLATE(A120, ""en"", ""hi"")"),"119")</f>
        <v>119</v>
      </c>
      <c r="G120" s="5" t="str">
        <f>IFERROR(__xludf.DUMMYFUNCTION("GOOGLETRANSLATE(B120, ""en"", ""hi"")"),"थांग-ता में, एक अभ्यासी प्रतिद्वंद्वी पर आगे बढ़ते हुए कई निम्न प्रहार करता है। इस प्रगति का मुख्य लक्ष्य क्या है?")</f>
        <v>थांग-ता में, एक अभ्यासी प्रतिद्वंद्वी पर आगे बढ़ते हुए कई निम्न प्रहार करता है। इस प्रगति का मुख्य लक्ष्य क्या है?</v>
      </c>
      <c r="H120" s="5" t="str">
        <f>IFERROR(__xludf.DUMMYFUNCTION("GOOGLETRANSLATE(C120, ""en"", ""hi"")"),"ए) लगातार दबाव डालना।, , बी) आक्रामक कौशल का प्रदर्शन करना।, , सी) सटीकता का अभ्यास करना।, , डी) प्रतिद्वंद्वी को भ्रमित करना।")</f>
        <v>ए) लगातार दबाव डालना।, , बी) आक्रामक कौशल का प्रदर्शन करना।, , सी) सटीकता का अभ्यास करना।, , डी) प्रतिद्वंद्वी को भ्रमित करना।</v>
      </c>
      <c r="I120" s="5" t="str">
        <f>IFERROR(__xludf.DUMMYFUNCTION("GOOGLETRANSLATE(D120, ""en"", ""hi"")"),"अ) लगातार दबाव डालना।")</f>
        <v>अ) लगातार दबाव डालना।</v>
      </c>
    </row>
    <row r="121" ht="22.5" customHeight="1">
      <c r="A121" s="2">
        <v>120.0</v>
      </c>
      <c r="B121" s="3" t="s">
        <v>12442</v>
      </c>
      <c r="C121" s="3" t="s">
        <v>12443</v>
      </c>
      <c r="D121" s="3" t="s">
        <v>12444</v>
      </c>
      <c r="F121" s="5" t="str">
        <f>IFERROR(__xludf.DUMMYFUNCTION("GOOGLETRANSLATE(A121, ""en"", ""hi"")"),"120")</f>
        <v>120</v>
      </c>
      <c r="G121" s="5" t="str">
        <f>IFERROR(__xludf.DUMMYFUNCTION("GOOGLETRANSLATE(B121, ""en"", ""hi"")"),"थांग-ता का अभ्यासी साइडस्टेपिंग करते समय तलवार से ऊपर की ओर तेज़ी से वार करता है। साइडस्टेपिंग क्रिया का मुख्य उद्देश्य क्या है?")</f>
        <v>थांग-ता का अभ्यासी साइडस्टेपिंग करते समय तलवार से ऊपर की ओर तेज़ी से वार करता है। साइडस्टेपिंग क्रिया का मुख्य उद्देश्य क्या है?</v>
      </c>
      <c r="H121" s="5" t="str">
        <f>IFERROR(__xludf.DUMMYFUNCTION("GOOGLETRANSLATE(C121, ""en"", ""hi"")"),"ए) हमले का अप्रत्याशित कोण बनाना।, , बी) फुटवर्क दिखाना।, , सी) चपलता का अभ्यास करना।, , डी) प्रतिद्वंद्वी को भ्रमित करना।")</f>
        <v>ए) हमले का अप्रत्याशित कोण बनाना।, , बी) फुटवर्क दिखाना।, , सी) चपलता का अभ्यास करना।, , डी) प्रतिद्वंद्वी को भ्रमित करना।</v>
      </c>
      <c r="I121" s="5" t="str">
        <f>IFERROR(__xludf.DUMMYFUNCTION("GOOGLETRANSLATE(D121, ""en"", ""hi"")"),"अ) आक्रमण का अप्रत्याशित कोण बनाना।")</f>
        <v>अ) आक्रमण का अप्रत्याशित कोण बनाना।</v>
      </c>
    </row>
    <row r="122" ht="22.5" customHeight="1">
      <c r="A122" s="2">
        <v>121.0</v>
      </c>
      <c r="B122" s="3" t="s">
        <v>12445</v>
      </c>
      <c r="C122" s="3" t="s">
        <v>12446</v>
      </c>
      <c r="D122" s="3" t="s">
        <v>12447</v>
      </c>
      <c r="F122" s="5" t="str">
        <f>IFERROR(__xludf.DUMMYFUNCTION("GOOGLETRANSLATE(A122, ""en"", ""hi"")"),"121")</f>
        <v>121</v>
      </c>
      <c r="G122" s="5" t="str">
        <f>IFERROR(__xludf.DUMMYFUNCTION("GOOGLETRANSLATE(B122, ""en"", ""hi"")"),"थांग-ता स्पैरिंग सत्र के दौरान, एक प्रतिभागी एक उच्च ब्लॉक करता है और उसके बाद नीचे की ओर प्रहार करता है। नीचे की ओर प्रहार का मुख्य उद्देश्य क्या है?")</f>
        <v>थांग-ता स्पैरिंग सत्र के दौरान, एक प्रतिभागी एक उच्च ब्लॉक करता है और उसके बाद नीचे की ओर प्रहार करता है। नीचे की ओर प्रहार का मुख्य उद्देश्य क्या है?</v>
      </c>
      <c r="H122" s="5" t="str">
        <f>IFERROR(__xludf.DUMMYFUNCTION("GOOGLETRANSLATE(C122, ""en"", ""hi"")"),"ए) प्रतिद्वंद्वी के खुले क्षेत्र का लाभ उठाना।, , बी) रक्षात्मक कौशल का प्रदर्शन करना।, , सी) समय का अभ्यास करना।, , डी) ध्यान भंग करना।")</f>
        <v>ए) प्रतिद्वंद्वी के खुले क्षेत्र का लाभ उठाना।, , बी) रक्षात्मक कौशल का प्रदर्शन करना।, , सी) समय का अभ्यास करना।, , डी) ध्यान भंग करना।</v>
      </c>
      <c r="I122" s="5" t="str">
        <f>IFERROR(__xludf.DUMMYFUNCTION("GOOGLETRANSLATE(D122, ""en"", ""hi"")"),"अ) प्रतिद्वंद्वी के खुले क्षेत्र का लाभ उठाना।")</f>
        <v>अ) प्रतिद्वंद्वी के खुले क्षेत्र का लाभ उठाना।</v>
      </c>
    </row>
    <row r="123" ht="22.5" customHeight="1">
      <c r="A123" s="2">
        <v>122.0</v>
      </c>
      <c r="B123" s="3" t="s">
        <v>12448</v>
      </c>
      <c r="C123" s="3" t="s">
        <v>12449</v>
      </c>
      <c r="D123" s="3" t="s">
        <v>12450</v>
      </c>
      <c r="F123" s="5" t="str">
        <f>IFERROR(__xludf.DUMMYFUNCTION("GOOGLETRANSLATE(A123, ""en"", ""hi"")"),"122")</f>
        <v>122</v>
      </c>
      <c r="G123" s="5" t="str">
        <f>IFERROR(__xludf.DUMMYFUNCTION("GOOGLETRANSLATE(B123, ""en"", ""hi"")"),"थांग-ता मुकाबले में, अभ्यासी एक तेज़ वापसी के बाद भाले से अचानक आगे की ओर झपट्टा मारता है। इस अचानक झपट्टे का मुख्य लाभ क्या है?")</f>
        <v>थांग-ता मुकाबले में, अभ्यासी एक तेज़ वापसी के बाद भाले से अचानक आगे की ओर झपट्टा मारता है। इस अचानक झपट्टे का मुख्य लाभ क्या है?</v>
      </c>
      <c r="H123" s="5" t="str">
        <f>IFERROR(__xludf.DUMMYFUNCTION("GOOGLETRANSLATE(C123, ""en"", ""hi"")"),"ए) प्रतिद्वंद्वी को आश्चर्यचकित करने के लिए।, , बी) गति दिखाने के लिए।, , सी) समय सुधारने के लिए।, , डी) रक्षात्मक मुद्रा बनाने के लिए।")</f>
        <v>ए) प्रतिद्वंद्वी को आश्चर्यचकित करने के लिए।, , बी) गति दिखाने के लिए।, , सी) समय सुधारने के लिए।, , डी) रक्षात्मक मुद्रा बनाने के लिए।</v>
      </c>
      <c r="I123" s="5" t="str">
        <f>IFERROR(__xludf.DUMMYFUNCTION("GOOGLETRANSLATE(D123, ""en"", ""hi"")"),"अ) प्रतिद्वंद्वी को आश्चर्यचकित करना।")</f>
        <v>अ) प्रतिद्वंद्वी को आश्चर्यचकित करना।</v>
      </c>
    </row>
    <row r="124" ht="22.5" customHeight="1">
      <c r="A124" s="2">
        <v>123.0</v>
      </c>
      <c r="B124" s="3" t="s">
        <v>12451</v>
      </c>
      <c r="C124" s="3" t="s">
        <v>12452</v>
      </c>
      <c r="D124" s="3" t="s">
        <v>12453</v>
      </c>
      <c r="F124" s="5" t="str">
        <f>IFERROR(__xludf.DUMMYFUNCTION("GOOGLETRANSLATE(A124, ""en"", ""hi"")"),"123")</f>
        <v>123</v>
      </c>
      <c r="G124" s="5" t="str">
        <f>IFERROR(__xludf.DUMMYFUNCTION("GOOGLETRANSLATE(B124, ""en"", ""hi"")"),"थांग-ता का अभ्यासी तलवार से ऊँचे और निचले प्रहारों का संयोजन करता है। इस संयोजन का मुख्य लक्ष्य क्या है?")</f>
        <v>थांग-ता का अभ्यासी तलवार से ऊँचे और निचले प्रहारों का संयोजन करता है। इस संयोजन का मुख्य लक्ष्य क्या है?</v>
      </c>
      <c r="H124" s="5" t="str">
        <f>IFERROR(__xludf.DUMMYFUNCTION("GOOGLETRANSLATE(C124, ""en"", ""hi"")"),"A) प्रतिद्वंद्वी पर कई स्तरों से हमला करना।, , B) तलवारबाजी का प्रदर्शन करना।, , C) समन्वय का अभ्यास करना।, , D) प्रतिद्वंद्वी को भ्रमित करना।")</f>
        <v>A) प्रतिद्वंद्वी पर कई स्तरों से हमला करना।, , B) तलवारबाजी का प्रदर्शन करना।, , C) समन्वय का अभ्यास करना।, , D) प्रतिद्वंद्वी को भ्रमित करना।</v>
      </c>
      <c r="I124" s="5" t="str">
        <f>IFERROR(__xludf.DUMMYFUNCTION("GOOGLETRANSLATE(D124, ""en"", ""hi"")"),"क) प्रतिद्वंद्वी पर कई स्तरों से हमला करना।")</f>
        <v>क) प्रतिद्वंद्वी पर कई स्तरों से हमला करना।</v>
      </c>
    </row>
    <row r="125" ht="22.5" customHeight="1">
      <c r="A125" s="2">
        <v>124.0</v>
      </c>
      <c r="B125" s="3" t="s">
        <v>12454</v>
      </c>
      <c r="C125" s="3" t="s">
        <v>12455</v>
      </c>
      <c r="D125" s="3" t="s">
        <v>12456</v>
      </c>
      <c r="F125" s="5" t="str">
        <f>IFERROR(__xludf.DUMMYFUNCTION("GOOGLETRANSLATE(A125, ""en"", ""hi"")"),"124")</f>
        <v>124</v>
      </c>
      <c r="G125" s="5" t="str">
        <f>IFERROR(__xludf.DUMMYFUNCTION("GOOGLETRANSLATE(B125, ""en"", ""hi"")"),"थांग-ता प्रशिक्षण सत्र के दौरान, एक छात्र गोलाकार पैरीज़ की एक श्रृंखला का अभ्यास करता है और उसके बाद एक तेज़ जैब का अभ्यास करता है। जैब का मुख्य उद्देश्य क्या है?")</f>
        <v>थांग-ता प्रशिक्षण सत्र के दौरान, एक छात्र गोलाकार पैरीज़ की एक श्रृंखला का अभ्यास करता है और उसके बाद एक तेज़ जैब का अभ्यास करता है। जैब का मुख्य उद्देश्य क्या है?</v>
      </c>
      <c r="H125" s="5" t="str">
        <f>IFERROR(__xludf.DUMMYFUNCTION("GOOGLETRANSLATE(C125, ""en"", ""hi"")"),"ए) पैरीज़ द्वारा बनाए गए अवसर का फायदा उठाने के लिए।, , बी) आक्रामक कौशल का प्रदर्शन करने के लिए।, , सी) सटीकता में सुधार करने के लिए।, , डी) प्रतिद्वंद्वी को भ्रमित करने के लिए।")</f>
        <v>ए) पैरीज़ द्वारा बनाए गए अवसर का फायदा उठाने के लिए।, , बी) आक्रामक कौशल का प्रदर्शन करने के लिए।, , सी) सटीकता में सुधार करने के लिए।, , डी) प्रतिद्वंद्वी को भ्रमित करने के लिए।</v>
      </c>
      <c r="I125" s="5" t="str">
        <f>IFERROR(__xludf.DUMMYFUNCTION("GOOGLETRANSLATE(D125, ""en"", ""hi"")"),"ए) पैरीज़ द्वारा बनाए गए अवसर का फायदा उठाना।")</f>
        <v>ए) पैरीज़ द्वारा बनाए गए अवसर का फायदा उठाना।</v>
      </c>
    </row>
    <row r="126" ht="22.5" customHeight="1">
      <c r="A126" s="2">
        <v>125.0</v>
      </c>
      <c r="B126" s="3" t="s">
        <v>12457</v>
      </c>
      <c r="C126" s="3" t="s">
        <v>12458</v>
      </c>
      <c r="D126" s="3" t="s">
        <v>12459</v>
      </c>
      <c r="F126" s="5" t="str">
        <f>IFERROR(__xludf.DUMMYFUNCTION("GOOGLETRANSLATE(A126, ""en"", ""hi"")"),"125")</f>
        <v>125</v>
      </c>
      <c r="G126" s="5" t="str">
        <f>IFERROR(__xludf.DUMMYFUNCTION("GOOGLETRANSLATE(B126, ""en"", ""hi"")"),"थांग-ता में, एक साधक भाले का उपयोग करके प्रहार करने से पहले कई छल-कपट करता है। इन छल-कपटों का मुख्य उद्देश्य क्या है?")</f>
        <v>थांग-ता में, एक साधक भाले का उपयोग करके प्रहार करने से पहले कई छल-कपट करता है। इन छल-कपटों का मुख्य उद्देश्य क्या है?</v>
      </c>
      <c r="H126" s="5" t="str">
        <f>IFERROR(__xludf.DUMMYFUNCTION("GOOGLETRANSLATE(C126, ""en"", ""hi"")"),"ए) प्रतिद्वंद्वी की सुरक्षा को गुमराह करने के लिए।, , बी) भाला संचालन का प्रदर्शन करने के लिए।, , सी) समय का अभ्यास करने के लिए।, , डी) ध्यान भंग करने के लिए।")</f>
        <v>ए) प्रतिद्वंद्वी की सुरक्षा को गुमराह करने के लिए।, , बी) भाला संचालन का प्रदर्शन करने के लिए।, , सी) समय का अभ्यास करने के लिए।, , डी) ध्यान भंग करने के लिए।</v>
      </c>
      <c r="I126" s="5" t="str">
        <f>IFERROR(__xludf.DUMMYFUNCTION("GOOGLETRANSLATE(D126, ""en"", ""hi"")"),"अ) प्रतिद्वंद्वी की सुरक्षा को गुमराह करना।")</f>
        <v>अ) प्रतिद्वंद्वी की सुरक्षा को गुमराह करना।</v>
      </c>
    </row>
    <row r="127" ht="22.5" customHeight="1">
      <c r="A127" s="2">
        <v>126.0</v>
      </c>
      <c r="B127" s="3" t="s">
        <v>12460</v>
      </c>
      <c r="C127" s="3" t="s">
        <v>12461</v>
      </c>
      <c r="D127" s="3" t="s">
        <v>12462</v>
      </c>
      <c r="F127" s="5" t="str">
        <f>IFERROR(__xludf.DUMMYFUNCTION("GOOGLETRANSLATE(A127, ""en"", ""hi"")"),"126")</f>
        <v>126</v>
      </c>
      <c r="G127" s="5" t="str">
        <f>IFERROR(__xludf.DUMMYFUNCTION("GOOGLETRANSLATE(B127, ""en"", ""hi"")"),"थांग-ता का अभ्यास करने वाला एक तेज़ साइड स्टेप करता है और उसके बाद एक क्षैतिज स्लैश करता है। साइड स्टेप का मुख्य लाभ क्या है?")</f>
        <v>थांग-ता का अभ्यास करने वाला एक तेज़ साइड स्टेप करता है और उसके बाद एक क्षैतिज स्लैश करता है। साइड स्टेप का मुख्य लाभ क्या है?</v>
      </c>
      <c r="H127" s="5" t="str">
        <f>IFERROR(__xludf.DUMMYFUNCTION("GOOGLETRANSLATE(C127, ""en"", ""hi"")"),"ए) प्रतिद्वंद्वी के हमले से बचने और एक कोण बनाने के लिए।, , बी) चपलता दिखाने के लिए।, , सी) एक काउंटर के लिए तैयार करने के लिए।, , डी) प्रतिद्वंद्वी को भ्रमित करने के लिए।")</f>
        <v>ए) प्रतिद्वंद्वी के हमले से बचने और एक कोण बनाने के लिए।, , बी) चपलता दिखाने के लिए।, , सी) एक काउंटर के लिए तैयार करने के लिए।, , डी) प्रतिद्वंद्वी को भ्रमित करने के लिए।</v>
      </c>
      <c r="I127" s="5" t="str">
        <f>IFERROR(__xludf.DUMMYFUNCTION("GOOGLETRANSLATE(D127, ""en"", ""hi"")"),"अ) प्रतिद्वंद्वी के हमले से बचने और एक कोण बनाने के लिए।")</f>
        <v>अ) प्रतिद्वंद्वी के हमले से बचने और एक कोण बनाने के लिए।</v>
      </c>
    </row>
    <row r="128" ht="22.5" customHeight="1">
      <c r="A128" s="2">
        <v>127.0</v>
      </c>
      <c r="B128" s="3" t="s">
        <v>12463</v>
      </c>
      <c r="C128" s="3" t="s">
        <v>12464</v>
      </c>
      <c r="D128" s="3" t="s">
        <v>12465</v>
      </c>
      <c r="F128" s="5" t="str">
        <f>IFERROR(__xludf.DUMMYFUNCTION("GOOGLETRANSLATE(A128, ""en"", ""hi"")"),"127")</f>
        <v>127</v>
      </c>
      <c r="G128" s="5" t="str">
        <f>IFERROR(__xludf.DUMMYFUNCTION("GOOGLETRANSLATE(B128, ""en"", ""hi"")"),"थांग-ता स्पैरिंग मैच के दौरान, एक प्रतिभागी कम ज़ोर और तेज़ी से पीछे हटने का क्रम अपनाता है। इन तेज़ पीछे हटने का मुख्य उद्देश्य क्या है?")</f>
        <v>थांग-ता स्पैरिंग मैच के दौरान, एक प्रतिभागी कम ज़ोर और तेज़ी से पीछे हटने का क्रम अपनाता है। इन तेज़ पीछे हटने का मुख्य उद्देश्य क्या है?</v>
      </c>
      <c r="H128" s="5" t="str">
        <f>IFERROR(__xludf.DUMMYFUNCTION("GOOGLETRANSLATE(C128, ""en"", ""hi"")"),"ए) दूरी बनाए रखना और काउंटर से बचना।, , बी) फुटवर्क दिखाना।, , सी) दूसरे हमले की तैयारी करना।, , डी) प्रतिद्वंद्वी को भ्रमित करना।")</f>
        <v>ए) दूरी बनाए रखना और काउंटर से बचना।, , बी) फुटवर्क दिखाना।, , सी) दूसरे हमले की तैयारी करना।, , डी) प्रतिद्वंद्वी को भ्रमित करना।</v>
      </c>
      <c r="I128" s="5" t="str">
        <f>IFERROR(__xludf.DUMMYFUNCTION("GOOGLETRANSLATE(D128, ""en"", ""hi"")"),"क) दूरी बनाए रखें और काउंटरों से बचें।")</f>
        <v>क) दूरी बनाए रखें और काउंटरों से बचें।</v>
      </c>
    </row>
    <row r="129" ht="22.5" customHeight="1">
      <c r="A129" s="2">
        <v>128.0</v>
      </c>
      <c r="B129" s="3" t="s">
        <v>12466</v>
      </c>
      <c r="C129" s="3" t="s">
        <v>12467</v>
      </c>
      <c r="D129" s="3" t="s">
        <v>12468</v>
      </c>
      <c r="F129" s="5" t="str">
        <f>IFERROR(__xludf.DUMMYFUNCTION("GOOGLETRANSLATE(A129, ""en"", ""hi"")"),"128")</f>
        <v>128</v>
      </c>
      <c r="G129" s="5" t="str">
        <f>IFERROR(__xludf.DUMMYFUNCTION("GOOGLETRANSLATE(B129, ""en"", ""hi"")"),"थांग-ता में, एक अभ्यासी एक घूमती हुई किक का उपयोग करता है और उसके बाद तलवार से नीचे की ओर वार करता है। इस घूमती हुई किक का मुख्य उद्देश्य क्या है?")</f>
        <v>थांग-ता में, एक अभ्यासी एक घूमती हुई किक का उपयोग करता है और उसके बाद तलवार से नीचे की ओर वार करता है। इस घूमती हुई किक का मुख्य उद्देश्य क्या है?</v>
      </c>
      <c r="H129" s="5" t="str">
        <f>IFERROR(__xludf.DUMMYFUNCTION("GOOGLETRANSLATE(C129, ""en"", ""hi"")"),"ए) नीचे की ओर प्रहार के लिए अवसर पैदा करना।, , बी) उन्नत तकनीकों का प्रदर्शन करना।, , सी) गति में सुधार करना।, , डी) प्रतिद्वंद्वी को भ्रमित करना।")</f>
        <v>ए) नीचे की ओर प्रहार के लिए अवसर पैदा करना।, , बी) उन्नत तकनीकों का प्रदर्शन करना।, , सी) गति में सुधार करना।, , डी) प्रतिद्वंद्वी को भ्रमित करना।</v>
      </c>
      <c r="I129" s="5" t="str">
        <f>IFERROR(__xludf.DUMMYFUNCTION("GOOGLETRANSLATE(D129, ""en"", ""hi"")"),"A) नीचे की ओर प्रहार के लिए रास्ता बनाना।")</f>
        <v>A) नीचे की ओर प्रहार के लिए रास्ता बनाना।</v>
      </c>
    </row>
    <row r="130" ht="22.5" customHeight="1">
      <c r="A130" s="2">
        <v>129.0</v>
      </c>
      <c r="B130" s="3" t="s">
        <v>12469</v>
      </c>
      <c r="C130" s="3" t="s">
        <v>12470</v>
      </c>
      <c r="D130" s="3" t="s">
        <v>12471</v>
      </c>
      <c r="F130" s="5" t="str">
        <f>IFERROR(__xludf.DUMMYFUNCTION("GOOGLETRANSLATE(A130, ""en"", ""hi"")"),"129")</f>
        <v>129</v>
      </c>
      <c r="G130" s="5" t="str">
        <f>IFERROR(__xludf.DUMMYFUNCTION("GOOGLETRANSLATE(B130, ""en"", ""hi"")"),"थांग-ता का अभ्यासी आगे बढ़ते हुए भाले से ऊपर की ओर कई वार करता है। इस आगे बढ़ने की गति का मुख्य उद्देश्य क्या है?")</f>
        <v>थांग-ता का अभ्यासी आगे बढ़ते हुए भाले से ऊपर की ओर कई वार करता है। इस आगे बढ़ने की गति का मुख्य उद्देश्य क्या है?</v>
      </c>
      <c r="H130" s="5" t="str">
        <f>IFERROR(__xludf.DUMMYFUNCTION("GOOGLETRANSLATE(C130, ""en"", ""hi"")"),"ए) आक्रामक गति बनाए रखने के लिए।, , बी) भाला कौशल दिखाने के लिए।, , सी) समय का अभ्यास करने के लिए।, , डी) ध्यान भटकाने के लिए।")</f>
        <v>ए) आक्रामक गति बनाए रखने के लिए।, , बी) भाला कौशल दिखाने के लिए।, , सी) समय का अभ्यास करने के लिए।, , डी) ध्यान भटकाने के लिए।</v>
      </c>
      <c r="I130" s="5" t="str">
        <f>IFERROR(__xludf.DUMMYFUNCTION("GOOGLETRANSLATE(D130, ""en"", ""hi"")"),"अ) आक्रामक गति बनाए रखना।")</f>
        <v>अ) आक्रामक गति बनाए रखना।</v>
      </c>
    </row>
    <row r="131" ht="22.5" customHeight="1">
      <c r="A131" s="2">
        <v>130.0</v>
      </c>
      <c r="B131" s="3" t="s">
        <v>12472</v>
      </c>
      <c r="C131" s="3" t="s">
        <v>12473</v>
      </c>
      <c r="D131" s="3" t="s">
        <v>12474</v>
      </c>
      <c r="F131" s="5" t="str">
        <f>IFERROR(__xludf.DUMMYFUNCTION("GOOGLETRANSLATE(A131, ""en"", ""hi"")"),"130")</f>
        <v>130</v>
      </c>
      <c r="G131" s="5" t="str">
        <f>IFERROR(__xludf.DUMMYFUNCTION("GOOGLETRANSLATE(B131, ""en"", ""hi"")"),"थांग-ता प्रदर्शन के दौरान, एक अभ्यासी ऊँचे ब्लॉक और तेज़ प्रहारों के संयोजन का उपयोग करता है। इन तेज़ प्रहारों का मुख्य उद्देश्य क्या है?")</f>
        <v>थांग-ता प्रदर्शन के दौरान, एक अभ्यासी ऊँचे ब्लॉक और तेज़ प्रहारों के संयोजन का उपयोग करता है। इन तेज़ प्रहारों का मुख्य उद्देश्य क्या है?</v>
      </c>
      <c r="H131" s="5" t="str">
        <f>IFERROR(__xludf.DUMMYFUNCTION("GOOGLETRANSLATE(C131, ""en"", ""hi"")"),"ए) ब्लॉकों द्वारा बनाए गए अवसरों का लाभ उठाने के लिए।, , बी) आक्रामक कौशल का प्रदर्शन करने के लिए।, , सी) समन्वय का अभ्यास करने के लिए।, , डी) प्रतिद्वंद्वी को भ्रमित करने के लिए।")</f>
        <v>ए) ब्लॉकों द्वारा बनाए गए अवसरों का लाभ उठाने के लिए।, , बी) आक्रामक कौशल का प्रदर्शन करने के लिए।, , सी) समन्वय का अभ्यास करने के लिए।, , डी) प्रतिद्वंद्वी को भ्रमित करने के लिए।</v>
      </c>
      <c r="I131" s="5" t="str">
        <f>IFERROR(__xludf.DUMMYFUNCTION("GOOGLETRANSLATE(D131, ""en"", ""hi"")"),"अ) ब्लॉकों द्वारा बनाए गए खुले स्थानों का लाभ उठाना।")</f>
        <v>अ) ब्लॉकों द्वारा बनाए गए खुले स्थानों का लाभ उठाना।</v>
      </c>
    </row>
    <row r="132" ht="22.5" customHeight="1">
      <c r="A132" s="2">
        <v>131.0</v>
      </c>
      <c r="B132" s="3" t="s">
        <v>12475</v>
      </c>
      <c r="C132" s="3" t="s">
        <v>12476</v>
      </c>
      <c r="D132" s="3" t="s">
        <v>12477</v>
      </c>
      <c r="F132" s="5" t="str">
        <f>IFERROR(__xludf.DUMMYFUNCTION("GOOGLETRANSLATE(A132, ""en"", ""hi"")"),"131")</f>
        <v>131</v>
      </c>
      <c r="G132" s="5" t="str">
        <f>IFERROR(__xludf.DUMMYFUNCTION("GOOGLETRANSLATE(B132, ""en"", ""hi"")"),"थांग-ता में, अभ्यासी तीव्र प्रहारों की एक श्रृंखला के बाद अचानक नीचे की ओर आघात करता है। इस अधोमुखी आघात का मुख्य उद्देश्य क्या है?")</f>
        <v>थांग-ता में, अभ्यासी तीव्र प्रहारों की एक श्रृंखला के बाद अचानक नीचे की ओर आघात करता है। इस अधोमुखी आघात का मुख्य उद्देश्य क्या है?</v>
      </c>
      <c r="H132" s="5" t="str">
        <f>IFERROR(__xludf.DUMMYFUNCTION("GOOGLETRANSLATE(C132, ""en"", ""hi"")"),"ए) प्रतिद्वंद्वी के निचले शरीर को निशाना बनाने के लिए।, , बी) बहुमुखी प्रतिभा का प्रदर्शन करने के लिए।, , सी) सटीकता का अभ्यास करने के लिए।, , डी) ध्यान भटकाने के लिए।")</f>
        <v>ए) प्रतिद्वंद्वी के निचले शरीर को निशाना बनाने के लिए।, , बी) बहुमुखी प्रतिभा का प्रदर्शन करने के लिए।, , सी) सटीकता का अभ्यास करने के लिए।, , डी) ध्यान भटकाने के लिए।</v>
      </c>
      <c r="I132" s="5" t="str">
        <f>IFERROR(__xludf.DUMMYFUNCTION("GOOGLETRANSLATE(D132, ""en"", ""hi"")"),"अ) प्रतिद्वंद्वी के निचले शरीर को निशाना बनाना।")</f>
        <v>अ) प्रतिद्वंद्वी के निचले शरीर को निशाना बनाना।</v>
      </c>
    </row>
    <row r="133" ht="22.5" customHeight="1">
      <c r="A133" s="2">
        <v>132.0</v>
      </c>
      <c r="B133" s="3" t="s">
        <v>12478</v>
      </c>
      <c r="C133" s="3" t="s">
        <v>12479</v>
      </c>
      <c r="D133" s="3" t="s">
        <v>12480</v>
      </c>
      <c r="F133" s="5" t="str">
        <f>IFERROR(__xludf.DUMMYFUNCTION("GOOGLETRANSLATE(A133, ""en"", ""hi"")"),"132")</f>
        <v>132</v>
      </c>
      <c r="G133" s="5" t="str">
        <f>IFERROR(__xludf.DUMMYFUNCTION("GOOGLETRANSLATE(B133, ""en"", ""hi"")"),"थांग-ता का अभ्यासी आने वाले प्रहार से बचने के लिए तेज़ी से एक तरफ़ हट जाता है, और फिर पलटवार करता है। इस पलटवार का मुख्य उद्देश्य क्या है?")</f>
        <v>थांग-ता का अभ्यासी आने वाले प्रहार से बचने के लिए तेज़ी से एक तरफ़ हट जाता है, और फिर पलटवार करता है। इस पलटवार का मुख्य उद्देश्य क्या है?</v>
      </c>
      <c r="H133" s="5" t="str">
        <f>IFERROR(__xludf.DUMMYFUNCTION("GOOGLETRANSLATE(C133, ""en"", ""hi"")"),"ए) प्रतिद्वंद्वी के खुले पक्ष का लाभ उठाने के लिए।, , बी) गति दिखाने के लिए।, , सी) समय में सुधार करने के लिए।, , डी) ध्यान भंग करने के लिए।")</f>
        <v>ए) प्रतिद्वंद्वी के खुले पक्ष का लाभ उठाने के लिए।, , बी) गति दिखाने के लिए।, , सी) समय में सुधार करने के लिए।, , डी) ध्यान भंग करने के लिए।</v>
      </c>
      <c r="I133" s="5" t="str">
        <f>IFERROR(__xludf.DUMMYFUNCTION("GOOGLETRANSLATE(D133, ""en"", ""hi"")"),"अ) प्रतिद्वंद्वी के खुले पक्ष का लाभ उठाना।")</f>
        <v>अ) प्रतिद्वंद्वी के खुले पक्ष का लाभ उठाना।</v>
      </c>
    </row>
    <row r="134" ht="22.5" customHeight="1">
      <c r="A134" s="2">
        <v>133.0</v>
      </c>
      <c r="B134" s="3" t="s">
        <v>12481</v>
      </c>
      <c r="C134" s="3" t="s">
        <v>12482</v>
      </c>
      <c r="D134" s="3" t="s">
        <v>12483</v>
      </c>
      <c r="F134" s="5" t="str">
        <f>IFERROR(__xludf.DUMMYFUNCTION("GOOGLETRANSLATE(A134, ""en"", ""hi"")"),"133")</f>
        <v>133</v>
      </c>
      <c r="G134" s="5" t="str">
        <f>IFERROR(__xludf.DUMMYFUNCTION("GOOGLETRANSLATE(B134, ""en"", ""hi"")"),"थांग-ता स्पैरिंग सत्र के दौरान, एक प्रतिभागी पीछे हटते समय विकर्ण वार की एक श्रृंखला करता है। इस रिट्रीट का मुख्य लक्ष्य क्या है?")</f>
        <v>थांग-ता स्पैरिंग सत्र के दौरान, एक प्रतिभागी पीछे हटते समय विकर्ण वार की एक श्रृंखला करता है। इस रिट्रीट का मुख्य लक्ष्य क्या है?</v>
      </c>
      <c r="H134" s="5" t="str">
        <f>IFERROR(__xludf.DUMMYFUNCTION("GOOGLETRANSLATE(C134, ""en"", ""hi"")"),"ए) सुरक्षित दूरी बनाए रखने के लिए।, , बी) फुटवर्क दिखाने के लिए।, , सी) रक्षात्मक गतिविधि का अभ्यास करने के लिए।, , डी) प्रतिद्वंद्वी को भ्रमित करने के लिए।")</f>
        <v>ए) सुरक्षित दूरी बनाए रखने के लिए।, , बी) फुटवर्क दिखाने के लिए।, , सी) रक्षात्मक गतिविधि का अभ्यास करने के लिए।, , डी) प्रतिद्वंद्वी को भ्रमित करने के लिए।</v>
      </c>
      <c r="I134" s="5" t="str">
        <f>IFERROR(__xludf.DUMMYFUNCTION("GOOGLETRANSLATE(D134, ""en"", ""hi"")"),"क) सुरक्षित दूरी बनाए रखें।")</f>
        <v>क) सुरक्षित दूरी बनाए रखें।</v>
      </c>
    </row>
    <row r="135" ht="22.5" customHeight="1">
      <c r="A135" s="2">
        <v>134.0</v>
      </c>
      <c r="B135" s="3" t="s">
        <v>12484</v>
      </c>
      <c r="C135" s="3" t="s">
        <v>12485</v>
      </c>
      <c r="D135" s="3" t="s">
        <v>12486</v>
      </c>
      <c r="F135" s="5" t="str">
        <f>IFERROR(__xludf.DUMMYFUNCTION("GOOGLETRANSLATE(A135, ""en"", ""hi"")"),"134")</f>
        <v>134</v>
      </c>
      <c r="G135" s="5" t="str">
        <f>IFERROR(__xludf.DUMMYFUNCTION("GOOGLETRANSLATE(B135, ""en"", ""hi"")"),"थांग-ता में, एक साधक तलवार से एक व्यापक प्रहार करता है और उसके बाद एक तेज़ वार करता है। इस वार का मुख्य लाभ क्या है?")</f>
        <v>थांग-ता में, एक साधक तलवार से एक व्यापक प्रहार करता है और उसके बाद एक तेज़ वार करता है। इस वार का मुख्य लाभ क्या है?</v>
      </c>
      <c r="H135" s="5" t="str">
        <f>IFERROR(__xludf.DUMMYFUNCTION("GOOGLETRANSLATE(C135, ""en"", ""hi"")"),"ए) स्वीप द्वारा बनाई गई ओपनिंग का फायदा उठाने के लिए।, , बी) आक्रामक कौशल का प्रदर्शन करने के लिए।, , सी) सटीकता का अभ्यास करने के लिए।, , डी) प्रतिद्वंद्वी को भ्रमित करने के लिए।")</f>
        <v>ए) स्वीप द्वारा बनाई गई ओपनिंग का फायदा उठाने के लिए।, , बी) आक्रामक कौशल का प्रदर्शन करने के लिए।, , सी) सटीकता का अभ्यास करने के लिए।, , डी) प्रतिद्वंद्वी को भ्रमित करने के लिए।</v>
      </c>
      <c r="I135" s="5" t="str">
        <f>IFERROR(__xludf.DUMMYFUNCTION("GOOGLETRANSLATE(D135, ""en"", ""hi"")"),"ए) स्वीप द्वारा बनाए गए अवसर का फायदा उठाना।")</f>
        <v>ए) स्वीप द्वारा बनाए गए अवसर का फायदा उठाना।</v>
      </c>
    </row>
    <row r="136" ht="22.5" customHeight="1">
      <c r="A136" s="2">
        <v>135.0</v>
      </c>
      <c r="B136" s="3" t="s">
        <v>12487</v>
      </c>
      <c r="C136" s="3" t="s">
        <v>12488</v>
      </c>
      <c r="D136" s="3" t="s">
        <v>12489</v>
      </c>
      <c r="F136" s="5" t="str">
        <f>IFERROR(__xludf.DUMMYFUNCTION("GOOGLETRANSLATE(A136, ""en"", ""hi"")"),"135")</f>
        <v>135</v>
      </c>
      <c r="G136" s="5" t="str">
        <f>IFERROR(__xludf.DUMMYFUNCTION("GOOGLETRANSLATE(B136, ""en"", ""hi"")"),"थांग-ता का अभ्यासी रक्षात्मक मुद्रा बनाए रखते हुए भाले से कई तेज़ प्रहार करता है। इस मुद्रा को बनाए रखने का मुख्य उद्देश्य क्या है?")</f>
        <v>थांग-ता का अभ्यासी रक्षात्मक मुद्रा बनाए रखते हुए भाले से कई तेज़ प्रहार करता है। इस मुद्रा को बनाए रखने का मुख्य उद्देश्य क्या है?</v>
      </c>
      <c r="H136" s="5" t="str">
        <f>IFERROR(__xludf.DUMMYFUNCTION("GOOGLETRANSLATE(C136, ""en"", ""hi"")"),"ए) जवाबी हमलों से बचाने के लिए।, , बी) भाला चलाने का प्रदर्शन करने के लिए।, , सी) समय का अभ्यास करने के लिए।, , डी) ध्यान भटकाने के लिए।")</f>
        <v>ए) जवाबी हमलों से बचाने के लिए।, , बी) भाला चलाने का प्रदर्शन करने के लिए।, , सी) समय का अभ्यास करने के लिए।, , डी) ध्यान भटकाने के लिए।</v>
      </c>
      <c r="I136" s="5" t="str">
        <f>IFERROR(__xludf.DUMMYFUNCTION("GOOGLETRANSLATE(D136, ""en"", ""hi"")"),"क) जवाबी हमलों से बचाव के लिए।")</f>
        <v>क) जवाबी हमलों से बचाव के लिए।</v>
      </c>
    </row>
    <row r="137" ht="22.5" customHeight="1">
      <c r="A137" s="2">
        <v>136.0</v>
      </c>
      <c r="B137" s="3" t="s">
        <v>12490</v>
      </c>
      <c r="C137" s="3" t="s">
        <v>12491</v>
      </c>
      <c r="D137" s="3" t="s">
        <v>12492</v>
      </c>
      <c r="F137" s="5" t="str">
        <f>IFERROR(__xludf.DUMMYFUNCTION("GOOGLETRANSLATE(A137, ""en"", ""hi"")"),"136")</f>
        <v>136</v>
      </c>
      <c r="G137" s="5" t="str">
        <f>IFERROR(__xludf.DUMMYFUNCTION("GOOGLETRANSLATE(B137, ""en"", ""hi"")"),"थांग-ता प्रदर्शन के दौरान, एक अभ्यासी ऊपर की ओर कट और स्पिनिंग स्ट्राइक का संयोजन करता है। स्पिनिंग स्ट्राइक का मुख्य उद्देश्य क्या है?")</f>
        <v>थांग-ता प्रदर्शन के दौरान, एक अभ्यासी ऊपर की ओर कट और स्पिनिंग स्ट्राइक का संयोजन करता है। स्पिनिंग स्ट्राइक का मुख्य उद्देश्य क्या है?</v>
      </c>
      <c r="H137" s="5" t="str">
        <f>IFERROR(__xludf.DUMMYFUNCTION("GOOGLETRANSLATE(C137, ""en"", ""hi"")"),"ए) शक्ति और गति जोड़ने के लिए।, , बी) कौशल दिखाने के लिए।, , सी) प्रतिद्वंद्वी को भ्रमित करने के लिए।, , डी) संतुलन में सुधार करने के लिए।")</f>
        <v>ए) शक्ति और गति जोड़ने के लिए।, , बी) कौशल दिखाने के लिए।, , सी) प्रतिद्वंद्वी को भ्रमित करने के लिए।, , डी) संतुलन में सुधार करने के लिए।</v>
      </c>
      <c r="I137" s="5" t="str">
        <f>IFERROR(__xludf.DUMMYFUNCTION("GOOGLETRANSLATE(D137, ""en"", ""hi"")"),"क) शक्ति और गति बढ़ाने के लिए।")</f>
        <v>क) शक्ति और गति बढ़ाने के लिए।</v>
      </c>
    </row>
    <row r="138" ht="22.5" customHeight="1">
      <c r="A138" s="2">
        <v>137.0</v>
      </c>
      <c r="B138" s="3" t="s">
        <v>12493</v>
      </c>
      <c r="C138" s="3" t="s">
        <v>12494</v>
      </c>
      <c r="D138" s="3" t="s">
        <v>12495</v>
      </c>
      <c r="F138" s="5" t="str">
        <f>IFERROR(__xludf.DUMMYFUNCTION("GOOGLETRANSLATE(A138, ""en"", ""hi"")"),"137")</f>
        <v>137</v>
      </c>
      <c r="G138" s="5" t="str">
        <f>IFERROR(__xludf.DUMMYFUNCTION("GOOGLETRANSLATE(B138, ""en"", ""hi"")"),"थांग-ता में, साधक एक तेज़ स्टेप-इन का उपयोग करता है और फिर तलवार से नीचे की ओर वार करता है। स्टेप-इन का मुख्य उद्देश्य क्या है?")</f>
        <v>थांग-ता में, साधक एक तेज़ स्टेप-इन का उपयोग करता है और फिर तलवार से नीचे की ओर वार करता है। स्टेप-इन का मुख्य उद्देश्य क्या है?</v>
      </c>
      <c r="H138" s="5" t="str">
        <f>IFERROR(__xludf.DUMMYFUNCTION("GOOGLETRANSLATE(C138, ""en"", ""hi"")"),"ए) प्रभावी हमले के लिए अंतराल को कम करना।, , बी) फुटवर्क का प्रदर्शन करना।, , सी) समय का अभ्यास करना।, , डी) प्रतिद्वंद्वी को भ्रमित करना।")</f>
        <v>ए) प्रभावी हमले के लिए अंतराल को कम करना।, , बी) फुटवर्क का प्रदर्शन करना।, , सी) समय का अभ्यास करना।, , डी) प्रतिद्वंद्वी को भ्रमित करना।</v>
      </c>
      <c r="I138" s="5" t="str">
        <f>IFERROR(__xludf.DUMMYFUNCTION("GOOGLETRANSLATE(D138, ""en"", ""hi"")"),"क) प्रभावी हमले के लिए अंतराल को पाटना।")</f>
        <v>क) प्रभावी हमले के लिए अंतराल को पाटना।</v>
      </c>
    </row>
    <row r="139" ht="22.5" customHeight="1">
      <c r="A139" s="2">
        <v>138.0</v>
      </c>
      <c r="B139" s="3" t="s">
        <v>12496</v>
      </c>
      <c r="C139" s="3" t="s">
        <v>12497</v>
      </c>
      <c r="D139" s="3" t="s">
        <v>12315</v>
      </c>
      <c r="F139" s="5" t="str">
        <f>IFERROR(__xludf.DUMMYFUNCTION("GOOGLETRANSLATE(A139, ""en"", ""hi"")"),"138")</f>
        <v>138</v>
      </c>
      <c r="G139" s="5" t="str">
        <f>IFERROR(__xludf.DUMMYFUNCTION("GOOGLETRANSLATE(B139, ""en"", ""hi"")"),"थांग-ता का अभ्यासी तीव्र गति से वार करने के बाद अचानक पीछे हटता है। इस पीछे हटने का मुख्य उद्देश्य क्या है?")</f>
        <v>थांग-ता का अभ्यासी तीव्र गति से वार करने के बाद अचानक पीछे हटता है। इस पीछे हटने का मुख्य उद्देश्य क्या है?</v>
      </c>
      <c r="H139" s="5" t="str">
        <f>IFERROR(__xludf.DUMMYFUNCTION("GOOGLETRANSLATE(C139, ""en"", ""hi"")"),"ए) संभावित जवाबी हमले से बचने के लिए।, , बी) चपलता दिखाने के लिए।, , सी) एक और हमले के लिए तैयार होने के लिए।, , डी) प्रतिद्वंद्वी को भ्रमित करने के लिए।")</f>
        <v>ए) संभावित जवाबी हमले से बचने के लिए।, , बी) चपलता दिखाने के लिए।, , सी) एक और हमले के लिए तैयार होने के लिए।, , डी) प्रतिद्वंद्वी को भ्रमित करने के लिए।</v>
      </c>
      <c r="I139" s="5" t="str">
        <f>IFERROR(__xludf.DUMMYFUNCTION("GOOGLETRANSLATE(D139, ""en"", ""hi"")"),"क) संभावित जवाबी हमले से बचने के लिए।")</f>
        <v>क) संभावित जवाबी हमले से बचने के लिए।</v>
      </c>
    </row>
    <row r="140" ht="22.5" customHeight="1">
      <c r="A140" s="2">
        <v>139.0</v>
      </c>
      <c r="B140" s="3" t="s">
        <v>12498</v>
      </c>
      <c r="C140" s="3" t="s">
        <v>12499</v>
      </c>
      <c r="D140" s="3" t="s">
        <v>12426</v>
      </c>
      <c r="F140" s="5" t="str">
        <f>IFERROR(__xludf.DUMMYFUNCTION("GOOGLETRANSLATE(A140, ""en"", ""hi"")"),"139")</f>
        <v>139</v>
      </c>
      <c r="G140" s="5" t="str">
        <f>IFERROR(__xludf.DUMMYFUNCTION("GOOGLETRANSLATE(B140, ""en"", ""hi"")"),"थांग-ता स्पैरिंग मैच के दौरान, एक प्रतिभागी भाले से बारी-बारी से वार करता है। बारी-बारी से वार करने का मुख्य लाभ क्या है?")</f>
        <v>थांग-ता स्पैरिंग मैच के दौरान, एक प्रतिभागी भाले से बारी-बारी से वार करता है। बारी-बारी से वार करने का मुख्य लाभ क्या है?</v>
      </c>
      <c r="H140" s="5" t="str">
        <f>IFERROR(__xludf.DUMMYFUNCTION("GOOGLETRANSLATE(C140, ""en"", ""hi"")"),"ए) अप्रत्याशित आक्रमण बनाना।, , बी) भाला कौशल का प्रदर्शन करना।, , सी) समन्वय का अभ्यास करना।, , डी) प्रतिद्वंद्वी को भ्रमित करना।")</f>
        <v>ए) अप्रत्याशित आक्रमण बनाना।, , बी) भाला कौशल का प्रदर्शन करना।, , सी) समन्वय का अभ्यास करना।, , डी) प्रतिद्वंद्वी को भ्रमित करना।</v>
      </c>
      <c r="I140" s="5" t="str">
        <f>IFERROR(__xludf.DUMMYFUNCTION("GOOGLETRANSLATE(D140, ""en"", ""hi"")"),"अ) अप्रत्याशित आक्रमण की स्थिति पैदा करना।")</f>
        <v>अ) अप्रत्याशित आक्रमण की स्थिति पैदा करना।</v>
      </c>
    </row>
    <row r="141" ht="22.5" customHeight="1">
      <c r="A141" s="2">
        <v>140.0</v>
      </c>
      <c r="B141" s="3" t="s">
        <v>12500</v>
      </c>
      <c r="C141" s="3" t="s">
        <v>12501</v>
      </c>
      <c r="D141" s="3" t="s">
        <v>12502</v>
      </c>
      <c r="F141" s="5" t="str">
        <f>IFERROR(__xludf.DUMMYFUNCTION("GOOGLETRANSLATE(A141, ""en"", ""hi"")"),"140")</f>
        <v>140</v>
      </c>
      <c r="G141" s="5" t="str">
        <f>IFERROR(__xludf.DUMMYFUNCTION("GOOGLETRANSLATE(B141, ""en"", ""hi"")"),"थांग-ता में, एक साधक पहले घूमता हुआ वार करता है और फिर तलवार से नीचे की ओर वार करता है। नीचे की ओर वार करने का मुख्य उद्देश्य क्या है?")</f>
        <v>थांग-ता में, एक साधक पहले घूमता हुआ वार करता है और फिर तलवार से नीचे की ओर वार करता है। नीचे की ओर वार करने का मुख्य उद्देश्य क्या है?</v>
      </c>
      <c r="H141" s="5" t="str">
        <f>IFERROR(__xludf.DUMMYFUNCTION("GOOGLETRANSLATE(C141, ""en"", ""hi"")"),"ए) स्पिन से गति का लाभ उठाने के लिए।, , बी) उन्नत तकनीकों का प्रदर्शन करने के लिए।, , सी) सटीकता में सुधार करने के लिए।, , डी) ध्यान भटकाने के लिए।")</f>
        <v>ए) स्पिन से गति का लाभ उठाने के लिए।, , बी) उन्नत तकनीकों का प्रदर्शन करने के लिए।, , सी) सटीकता में सुधार करने के लिए।, , डी) ध्यान भटकाने के लिए।</v>
      </c>
      <c r="I141" s="5" t="str">
        <f>IFERROR(__xludf.DUMMYFUNCTION("GOOGLETRANSLATE(D141, ""en"", ""hi"")"),"A) स्पिन से प्राप्त गति का लाभ उठाना।")</f>
        <v>A) स्पिन से प्राप्त गति का लाभ उठाना।</v>
      </c>
    </row>
    <row r="142" ht="22.5" customHeight="1">
      <c r="A142" s="2">
        <v>141.0</v>
      </c>
      <c r="B142" s="3" t="s">
        <v>12503</v>
      </c>
      <c r="C142" s="3" t="s">
        <v>12504</v>
      </c>
      <c r="D142" s="3" t="s">
        <v>12477</v>
      </c>
      <c r="F142" s="5" t="str">
        <f>IFERROR(__xludf.DUMMYFUNCTION("GOOGLETRANSLATE(A142, ""en"", ""hi"")"),"141")</f>
        <v>141</v>
      </c>
      <c r="G142" s="5" t="str">
        <f>IFERROR(__xludf.DUMMYFUNCTION("GOOGLETRANSLATE(B142, ""en"", ""hi"")"),"थांग-ता का अभ्यासी हमले से बचने के लिए तेज़ी से एक तरफ़ कदम बढ़ाता है, और फिर भाले से हल्का प्रहार करता है। इस हल्के प्रहार का मुख्य उद्देश्य क्या है?")</f>
        <v>थांग-ता का अभ्यासी हमले से बचने के लिए तेज़ी से एक तरफ़ कदम बढ़ाता है, और फिर भाले से हल्का प्रहार करता है। इस हल्के प्रहार का मुख्य उद्देश्य क्या है?</v>
      </c>
      <c r="H142" s="5" t="str">
        <f>IFERROR(__xludf.DUMMYFUNCTION("GOOGLETRANSLATE(C142, ""en"", ""hi"")"),"ए) प्रतिद्वंद्वी के निचले शरीर को निशाना बनाना।, , बी) भाला चलाने का प्रदर्शन करना।, , सी) समय का अभ्यास करना।, , डी) प्रतिद्वंद्वी को भ्रमित करना।")</f>
        <v>ए) प्रतिद्वंद्वी के निचले शरीर को निशाना बनाना।, , बी) भाला चलाने का प्रदर्शन करना।, , सी) समय का अभ्यास करना।, , डी) प्रतिद्वंद्वी को भ्रमित करना।</v>
      </c>
      <c r="I142" s="5" t="str">
        <f>IFERROR(__xludf.DUMMYFUNCTION("GOOGLETRANSLATE(D142, ""en"", ""hi"")"),"अ) प्रतिद्वंद्वी के निचले शरीर को निशाना बनाना।")</f>
        <v>अ) प्रतिद्वंद्वी के निचले शरीर को निशाना बनाना।</v>
      </c>
    </row>
    <row r="143" ht="22.5" customHeight="1">
      <c r="A143" s="2">
        <v>142.0</v>
      </c>
      <c r="B143" s="3" t="s">
        <v>12505</v>
      </c>
      <c r="C143" s="3" t="s">
        <v>12506</v>
      </c>
      <c r="D143" s="3" t="s">
        <v>12507</v>
      </c>
      <c r="F143" s="5" t="str">
        <f>IFERROR(__xludf.DUMMYFUNCTION("GOOGLETRANSLATE(A143, ""en"", ""hi"")"),"142")</f>
        <v>142</v>
      </c>
      <c r="G143" s="5" t="str">
        <f>IFERROR(__xludf.DUMMYFUNCTION("GOOGLETRANSLATE(B143, ""en"", ""hi"")"),"थांग-ता अभ्यास सत्र के दौरान, एक छात्र मुद्रा बदलते हुए क्षैतिज स्लैश की एक श्रृंखला करता है। इस अभ्यास में मुद्रा बदलने का मुख्य लाभ क्या है?")</f>
        <v>थांग-ता अभ्यास सत्र के दौरान, एक छात्र मुद्रा बदलते हुए क्षैतिज स्लैश की एक श्रृंखला करता है। इस अभ्यास में मुद्रा बदलने का मुख्य लाभ क्या है?</v>
      </c>
      <c r="H143" s="5" t="str">
        <f>IFERROR(__xludf.DUMMYFUNCTION("GOOGLETRANSLATE(C143, ""en"", ""hi"")"),"ए) संतुलन बनाए रखना और प्रतिद्वंद्वी की गतिविधियों के साथ तालमेल बिठाना।, , बी) बहुमुखी प्रतिभा का प्रदर्शन करना।, , सी) चपलता का अभ्यास करना।, , डी) प्रतिद्वंद्वी को भ्रमित करना।")</f>
        <v>ए) संतुलन बनाए रखना और प्रतिद्वंद्वी की गतिविधियों के साथ तालमेल बिठाना।, , बी) बहुमुखी प्रतिभा का प्रदर्शन करना।, , सी) चपलता का अभ्यास करना।, , डी) प्रतिद्वंद्वी को भ्रमित करना।</v>
      </c>
      <c r="I143" s="5" t="str">
        <f>IFERROR(__xludf.DUMMYFUNCTION("GOOGLETRANSLATE(D143, ""en"", ""hi"")"),"क) संतुलन बनाए रखना और प्रतिद्वंद्वी की गतिविधियों के अनुसार समायोजन करना।")</f>
        <v>क) संतुलन बनाए रखना और प्रतिद्वंद्वी की गतिविधियों के अनुसार समायोजन करना।</v>
      </c>
    </row>
    <row r="144" ht="22.5" customHeight="1">
      <c r="A144" s="2">
        <v>143.0</v>
      </c>
      <c r="B144" s="3" t="s">
        <v>12508</v>
      </c>
      <c r="C144" s="3" t="s">
        <v>12509</v>
      </c>
      <c r="D144" s="3" t="s">
        <v>12474</v>
      </c>
      <c r="F144" s="5" t="str">
        <f>IFERROR(__xludf.DUMMYFUNCTION("GOOGLETRANSLATE(A144, ""en"", ""hi"")"),"143")</f>
        <v>143</v>
      </c>
      <c r="G144" s="5" t="str">
        <f>IFERROR(__xludf.DUMMYFUNCTION("GOOGLETRANSLATE(B144, ""en"", ""hi"")"),"थांग-ता में, अभ्यासी ऊँचे ब्लॉक और भाले से तेज़ वार का संयोजन करता है। तेज़ वार का मुख्य उद्देश्य क्या है?")</f>
        <v>थांग-ता में, अभ्यासी ऊँचे ब्लॉक और भाले से तेज़ वार का संयोजन करता है। तेज़ वार का मुख्य उद्देश्य क्या है?</v>
      </c>
      <c r="H144" s="5" t="str">
        <f>IFERROR(__xludf.DUMMYFUNCTION("GOOGLETRANSLATE(C144, ""en"", ""hi"")"),"ए) ब्लॉकों द्वारा बनाए गए अवसरों का लाभ उठाने के लिए।, , बी) आक्रामक कौशल का प्रदर्शन करने के लिए।, , सी) सटीकता का अभ्यास करने के लिए।, , डी) प्रतिद्वंद्वी को भ्रमित करने के लिए।")</f>
        <v>ए) ब्लॉकों द्वारा बनाए गए अवसरों का लाभ उठाने के लिए।, , बी) आक्रामक कौशल का प्रदर्शन करने के लिए।, , सी) सटीकता का अभ्यास करने के लिए।, , डी) प्रतिद्वंद्वी को भ्रमित करने के लिए।</v>
      </c>
      <c r="I144" s="5" t="str">
        <f>IFERROR(__xludf.DUMMYFUNCTION("GOOGLETRANSLATE(D144, ""en"", ""hi"")"),"अ) ब्लॉकों द्वारा बनाए गए खुले स्थानों का लाभ उठाना।")</f>
        <v>अ) ब्लॉकों द्वारा बनाए गए खुले स्थानों का लाभ उठाना।</v>
      </c>
    </row>
    <row r="145" ht="22.5" customHeight="1">
      <c r="A145" s="2">
        <v>144.0</v>
      </c>
      <c r="B145" s="3" t="s">
        <v>12510</v>
      </c>
      <c r="C145" s="3" t="s">
        <v>12511</v>
      </c>
      <c r="D145" s="3" t="s">
        <v>12512</v>
      </c>
      <c r="F145" s="5" t="str">
        <f>IFERROR(__xludf.DUMMYFUNCTION("GOOGLETRANSLATE(A145, ""en"", ""hi"")"),"144")</f>
        <v>144</v>
      </c>
      <c r="G145" s="5" t="str">
        <f>IFERROR(__xludf.DUMMYFUNCTION("GOOGLETRANSLATE(B145, ""en"", ""hi"")"),"थांग-ता का अभ्यासी निम्न प्रहारों की एक श्रृंखला के बाद अचानक उच्च आघात करता है। उच्च आघात का मुख्य उद्देश्य क्या है?")</f>
        <v>थांग-ता का अभ्यासी निम्न प्रहारों की एक श्रृंखला के बाद अचानक उच्च आघात करता है। उच्च आघात का मुख्य उद्देश्य क्या है?</v>
      </c>
      <c r="H145" s="5" t="str">
        <f>IFERROR(__xludf.DUMMYFUNCTION("GOOGLETRANSLATE(C145, ""en"", ""hi"")"),"ए) प्रतिद्वंद्वी को चौंका देने के लिए।, , बी) बहुमुखी प्रतिभा का प्रदर्शन करने के लिए।, , सी) सटीकता का अभ्यास करने के लिए।, , डी) ध्यान भंग करने के लिए।")</f>
        <v>ए) प्रतिद्वंद्वी को चौंका देने के लिए।, , बी) बहुमुखी प्रतिभा का प्रदर्शन करने के लिए।, , सी) सटीकता का अभ्यास करने के लिए।, , डी) ध्यान भंग करने के लिए।</v>
      </c>
      <c r="I145" s="5" t="str">
        <f>IFERROR(__xludf.DUMMYFUNCTION("GOOGLETRANSLATE(D145, ""en"", ""hi"")"),"अ) प्रतिद्वंद्वी को चौंका देना।")</f>
        <v>अ) प्रतिद्वंद्वी को चौंका देना।</v>
      </c>
    </row>
    <row r="146" ht="22.5" customHeight="1">
      <c r="A146" s="2">
        <v>145.0</v>
      </c>
      <c r="B146" s="3" t="s">
        <v>12513</v>
      </c>
      <c r="C146" s="3" t="s">
        <v>12514</v>
      </c>
      <c r="D146" s="3" t="s">
        <v>12420</v>
      </c>
      <c r="F146" s="5" t="str">
        <f>IFERROR(__xludf.DUMMYFUNCTION("GOOGLETRANSLATE(A146, ""en"", ""hi"")"),"145")</f>
        <v>145</v>
      </c>
      <c r="G146" s="5" t="str">
        <f>IFERROR(__xludf.DUMMYFUNCTION("GOOGLETRANSLATE(B146, ""en"", ""hi"")"),"थांग-ता स्पैरिंग सत्र के दौरान, प्रतिभागी कई तेज़ साइडस्टेप्स के बाद लंज करता है। लंज का मुख्य लाभ क्या है?")</f>
        <v>थांग-ता स्पैरिंग सत्र के दौरान, प्रतिभागी कई तेज़ साइडस्टेप्स के बाद लंज करता है। लंज का मुख्य लाभ क्या है?</v>
      </c>
      <c r="H146" s="5" t="str">
        <f>IFERROR(__xludf.DUMMYFUNCTION("GOOGLETRANSLATE(C146, ""en"", ""hi"")"),"ए) तेजी से दूरी कम करना।, , बी) चपलता दिखाना।, , सी) समय में सुधार करना।, , डी) प्रतिद्वंद्वी को भ्रमित करना।")</f>
        <v>ए) तेजी से दूरी कम करना।, , बी) चपलता दिखाना।, , सी) समय में सुधार करना।, , डी) प्रतिद्वंद्वी को भ्रमित करना।</v>
      </c>
      <c r="I146" s="5" t="str">
        <f>IFERROR(__xludf.DUMMYFUNCTION("GOOGLETRANSLATE(D146, ""en"", ""hi"")"),"क) दूरी को तेजी से कम करना।")</f>
        <v>क) दूरी को तेजी से कम करना।</v>
      </c>
    </row>
    <row r="147" ht="22.5" customHeight="1">
      <c r="A147" s="2">
        <v>146.0</v>
      </c>
      <c r="B147" s="3" t="s">
        <v>12515</v>
      </c>
      <c r="C147" s="3" t="s">
        <v>12501</v>
      </c>
      <c r="D147" s="3" t="s">
        <v>12502</v>
      </c>
      <c r="F147" s="5" t="str">
        <f>IFERROR(__xludf.DUMMYFUNCTION("GOOGLETRANSLATE(A147, ""en"", ""hi"")"),"146")</f>
        <v>146</v>
      </c>
      <c r="G147" s="5" t="str">
        <f>IFERROR(__xludf.DUMMYFUNCTION("GOOGLETRANSLATE(B147, ""en"", ""hi"")"),"थांग-ता में, एक साधक तलवार से घूमता हुआ वार करता है और फिर नीचे की ओर वार करता है। नीचे की ओर वार करने का मुख्य उद्देश्य क्या है?")</f>
        <v>थांग-ता में, एक साधक तलवार से घूमता हुआ वार करता है और फिर नीचे की ओर वार करता है। नीचे की ओर वार करने का मुख्य उद्देश्य क्या है?</v>
      </c>
      <c r="H147" s="5" t="str">
        <f>IFERROR(__xludf.DUMMYFUNCTION("GOOGLETRANSLATE(C147, ""en"", ""hi"")"),"ए) स्पिन से गति का लाभ उठाने के लिए।, , बी) उन्नत तकनीकों का प्रदर्शन करने के लिए।, , सी) सटीकता में सुधार करने के लिए।, , डी) ध्यान भटकाने के लिए।")</f>
        <v>ए) स्पिन से गति का लाभ उठाने के लिए।, , बी) उन्नत तकनीकों का प्रदर्शन करने के लिए।, , सी) सटीकता में सुधार करने के लिए।, , डी) ध्यान भटकाने के लिए।</v>
      </c>
      <c r="I147" s="5" t="str">
        <f>IFERROR(__xludf.DUMMYFUNCTION("GOOGLETRANSLATE(D147, ""en"", ""hi"")"),"A) स्पिन से प्राप्त गति का लाभ उठाना।")</f>
        <v>A) स्पिन से प्राप्त गति का लाभ उठाना।</v>
      </c>
    </row>
    <row r="148" ht="22.5" customHeight="1">
      <c r="A148" s="2">
        <v>147.0</v>
      </c>
      <c r="B148" s="3" t="s">
        <v>12516</v>
      </c>
      <c r="C148" s="3" t="s">
        <v>12517</v>
      </c>
      <c r="D148" s="3" t="s">
        <v>12518</v>
      </c>
      <c r="F148" s="5" t="str">
        <f>IFERROR(__xludf.DUMMYFUNCTION("GOOGLETRANSLATE(A148, ""en"", ""hi"")"),"147")</f>
        <v>147</v>
      </c>
      <c r="G148" s="5" t="str">
        <f>IFERROR(__xludf.DUMMYFUNCTION("GOOGLETRANSLATE(B148, ""en"", ""hi"")"),"थांग-ता का अभ्यासी भाले से तेज़ी से आगे बढ़कर एक व्यापक प्रहार करता है। व्यापक प्रहार का मुख्य उद्देश्य क्या है?")</f>
        <v>थांग-ता का अभ्यासी भाले से तेज़ी से आगे बढ़कर एक व्यापक प्रहार करता है। व्यापक प्रहार का मुख्य उद्देश्य क्या है?</v>
      </c>
      <c r="H148" s="5" t="str">
        <f>IFERROR(__xludf.DUMMYFUNCTION("GOOGLETRANSLATE(C148, ""en"", ""hi"")"),"ए) प्रतिद्वंद्वी के पैरों को निशाना बनाना और संतुलन बिगाड़ना।, , बी) भाला चलाने का प्रदर्शन करना।, , सी) समय का अभ्यास करना।, , डी) प्रतिद्वंद्वी को भ्रमित करना।")</f>
        <v>ए) प्रतिद्वंद्वी के पैरों को निशाना बनाना और संतुलन बिगाड़ना।, , बी) भाला चलाने का प्रदर्शन करना।, , सी) समय का अभ्यास करना।, , डी) प्रतिद्वंद्वी को भ्रमित करना।</v>
      </c>
      <c r="I148" s="5" t="str">
        <f>IFERROR(__xludf.DUMMYFUNCTION("GOOGLETRANSLATE(D148, ""en"", ""hi"")"),"क) प्रतिद्वंद्वी के पैरों को निशाना बनाना और संतुलन बिगाड़ना।")</f>
        <v>क) प्रतिद्वंद्वी के पैरों को निशाना बनाना और संतुलन बिगाड़ना।</v>
      </c>
    </row>
    <row r="149" ht="22.5" customHeight="1">
      <c r="A149" s="2">
        <v>148.0</v>
      </c>
      <c r="B149" s="3" t="s">
        <v>12519</v>
      </c>
      <c r="C149" s="3" t="s">
        <v>12520</v>
      </c>
      <c r="D149" s="3" t="s">
        <v>12521</v>
      </c>
      <c r="F149" s="5" t="str">
        <f>IFERROR(__xludf.DUMMYFUNCTION("GOOGLETRANSLATE(A149, ""en"", ""hi"")"),"148")</f>
        <v>148</v>
      </c>
      <c r="G149" s="5" t="str">
        <f>IFERROR(__xludf.DUMMYFUNCTION("GOOGLETRANSLATE(B149, ""en"", ""hi"")"),"थांग-ता प्रदर्शन के दौरान, एक अभ्यासी ऊपर की ओर कई प्रहार करता है और उसके बाद एक क्षैतिज कट करता है। क्षैतिज कट का मुख्य लाभ क्या है?")</f>
        <v>थांग-ता प्रदर्शन के दौरान, एक अभ्यासी ऊपर की ओर कई प्रहार करता है और उसके बाद एक क्षैतिज कट करता है। क्षैतिज कट का मुख्य लाभ क्या है?</v>
      </c>
      <c r="H149" s="5" t="str">
        <f>IFERROR(__xludf.DUMMYFUNCTION("GOOGLETRANSLATE(C149, ""en"", ""hi"")"),"ए) ऊपर की ओर जोर लगाने से उत्पन्न अवसरों का लाभ उठाना।, , बी) बहुमुखी प्रतिभा का प्रदर्शन करना।, , सी) सटीकता का अभ्यास करना।, , डी) ध्यान भटकाना।")</f>
        <v>ए) ऊपर की ओर जोर लगाने से उत्पन्न अवसरों का लाभ उठाना।, , बी) बहुमुखी प्रतिभा का प्रदर्शन करना।, , सी) सटीकता का अभ्यास करना।, , डी) ध्यान भटकाना।</v>
      </c>
      <c r="I149" s="5" t="str">
        <f>IFERROR(__xludf.DUMMYFUNCTION("GOOGLETRANSLATE(D149, ""en"", ""hi"")"),"क) ऊपर की ओर धक्का देने से उत्पन्न खुले स्थानों का लाभ उठाना।")</f>
        <v>क) ऊपर की ओर धक्का देने से उत्पन्न खुले स्थानों का लाभ उठाना।</v>
      </c>
    </row>
    <row r="150" ht="22.5" customHeight="1">
      <c r="A150" s="2">
        <v>149.0</v>
      </c>
      <c r="B150" s="3" t="s">
        <v>12522</v>
      </c>
      <c r="C150" s="3" t="s">
        <v>12523</v>
      </c>
      <c r="D150" s="3" t="s">
        <v>12524</v>
      </c>
      <c r="F150" s="5" t="str">
        <f>IFERROR(__xludf.DUMMYFUNCTION("GOOGLETRANSLATE(A150, ""en"", ""hi"")"),"149")</f>
        <v>149</v>
      </c>
      <c r="G150" s="5" t="str">
        <f>IFERROR(__xludf.DUMMYFUNCTION("GOOGLETRANSLATE(B150, ""en"", ""hi"")"),"थांग-ता में, एक अभ्यासी एक तेज़ साइड स्टेप का उपयोग करता है और उसके बाद तलवार से नीचे की ओर वार करता है। साइड स्टेप का मुख्य उद्देश्य क्या है?")</f>
        <v>थांग-ता में, एक अभ्यासी एक तेज़ साइड स्टेप का उपयोग करता है और उसके बाद तलवार से नीचे की ओर वार करता है। साइड स्टेप का मुख्य उद्देश्य क्या है?</v>
      </c>
      <c r="H150" s="5" t="str">
        <f>IFERROR(__xludf.DUMMYFUNCTION("GOOGLETRANSLATE(C150, ""en"", ""hi"")"),"ए) प्रतिद्वंद्वी के हमले से बचने और जवाबी हमले के लिए कोण बनाने के लिए।, , बी) फुटवर्क दिखाने के लिए।, , सी) समय का अभ्यास करने के लिए।, , डी) प्रतिद्वंद्वी को भ्रमित करने के लिए।")</f>
        <v>ए) प्रतिद्वंद्वी के हमले से बचने और जवाबी हमले के लिए कोण बनाने के लिए।, , बी) फुटवर्क दिखाने के लिए।, , सी) समय का अभ्यास करने के लिए।, , डी) प्रतिद्वंद्वी को भ्रमित करने के लिए।</v>
      </c>
      <c r="I150" s="5" t="str">
        <f>IFERROR(__xludf.DUMMYFUNCTION("GOOGLETRANSLATE(D150, ""en"", ""hi"")"),"अ) प्रतिद्वंद्वी के हमले से बचने और जवाबी हमले के लिए कोण बनाने के लिए।")</f>
        <v>अ) प्रतिद्वंद्वी के हमले से बचने और जवाबी हमले के लिए कोण बनाने के लिए।</v>
      </c>
    </row>
    <row r="151" ht="22.5" customHeight="1">
      <c r="A151" s="2">
        <v>150.0</v>
      </c>
      <c r="B151" s="3" t="s">
        <v>12525</v>
      </c>
      <c r="C151" s="3" t="s">
        <v>12526</v>
      </c>
      <c r="D151" s="3" t="s">
        <v>12527</v>
      </c>
      <c r="F151" s="5" t="str">
        <f>IFERROR(__xludf.DUMMYFUNCTION("GOOGLETRANSLATE(A151, ""en"", ""hi"")"),"150")</f>
        <v>150</v>
      </c>
      <c r="G151" s="5" t="str">
        <f>IFERROR(__xludf.DUMMYFUNCTION("GOOGLETRANSLATE(B151, ""en"", ""hi"")"),"थांग-ता का अभ्यासी अपने प्रतिद्वंद्वी की ओर बढ़ते हुए कई बार निम्न गति से प्रहार करता है। इस गति का मुख्य उद्देश्य क्या है?")</f>
        <v>थांग-ता का अभ्यासी अपने प्रतिद्वंद्वी की ओर बढ़ते हुए कई बार निम्न गति से प्रहार करता है। इस गति का मुख्य उद्देश्य क्या है?</v>
      </c>
      <c r="H151" s="5" t="str">
        <f>IFERROR(__xludf.DUMMYFUNCTION("GOOGLETRANSLATE(C151, ""en"", ""hi"")"),"ए) आक्रामक दबाव बनाए रखना और दूरी कम करना।, , बी) आक्रामकता दिखाना।, , सी) समन्वय का अभ्यास करना।, , डी) प्रतिद्वंद्वी को भ्रमित करना।")</f>
        <v>ए) आक्रामक दबाव बनाए रखना और दूरी कम करना।, , बी) आक्रामकता दिखाना।, , सी) समन्वय का अभ्यास करना।, , डी) प्रतिद्वंद्वी को भ्रमित करना।</v>
      </c>
      <c r="I151" s="5" t="str">
        <f>IFERROR(__xludf.DUMMYFUNCTION("GOOGLETRANSLATE(D151, ""en"", ""hi"")"),"ए) आक्रामक दबाव बनाए रखना और दूरी को कम करना।")</f>
        <v>ए) आक्रामक दबाव बनाए रखना और दूरी को कम करना।</v>
      </c>
    </row>
    <row r="152" ht="22.5" customHeight="1">
      <c r="A152" s="2">
        <v>151.0</v>
      </c>
      <c r="B152" s="3" t="s">
        <v>12528</v>
      </c>
      <c r="C152" s="3" t="s">
        <v>12529</v>
      </c>
      <c r="D152" s="3" t="s">
        <v>12530</v>
      </c>
      <c r="F152" s="5" t="str">
        <f>IFERROR(__xludf.DUMMYFUNCTION("GOOGLETRANSLATE(A152, ""en"", ""hi"")"),"151")</f>
        <v>151</v>
      </c>
      <c r="G152" s="5" t="str">
        <f>IFERROR(__xludf.DUMMYFUNCTION("GOOGLETRANSLATE(B152, ""en"", ""hi"")"),"थांग-ता स्पैरिंग मैच के दौरान, एक प्रतिभागी तलवार से बारी-बारी से वार करता है। बारी-बारी से वार करने का मुख्य लाभ क्या है?")</f>
        <v>थांग-ता स्पैरिंग मैच के दौरान, एक प्रतिभागी तलवार से बारी-बारी से वार करता है। बारी-बारी से वार करने का मुख्य लाभ क्या है?</v>
      </c>
      <c r="H152" s="5" t="str">
        <f>IFERROR(__xludf.DUMMYFUNCTION("GOOGLETRANSLATE(C152, ""en"", ""hi"")"),"ए) अप्रत्याशित आक्रामक पैटर्न बनाने के लिए।, , बी) तलवार चलाने का प्रदर्शन करने के लिए।, , सी) समन्वय का अभ्यास करने के लिए।, , डी) प्रतिद्वंद्वी को भ्रमित करने के लिए।")</f>
        <v>ए) अप्रत्याशित आक्रामक पैटर्न बनाने के लिए।, , बी) तलवार चलाने का प्रदर्शन करने के लिए।, , सी) समन्वय का अभ्यास करने के लिए।, , डी) प्रतिद्वंद्वी को भ्रमित करने के लिए।</v>
      </c>
      <c r="I152" s="5" t="str">
        <f>IFERROR(__xludf.DUMMYFUNCTION("GOOGLETRANSLATE(D152, ""en"", ""hi"")"),"अ) अप्रत्याशित आक्रामक पैटर्न बनाना।")</f>
        <v>अ) अप्रत्याशित आक्रामक पैटर्न बनाना।</v>
      </c>
    </row>
    <row r="153" ht="22.5" customHeight="1">
      <c r="A153" s="2">
        <v>152.0</v>
      </c>
      <c r="B153" s="3" t="s">
        <v>12531</v>
      </c>
      <c r="C153" s="3" t="s">
        <v>12497</v>
      </c>
      <c r="D153" s="3" t="s">
        <v>12315</v>
      </c>
      <c r="F153" s="5" t="str">
        <f>IFERROR(__xludf.DUMMYFUNCTION("GOOGLETRANSLATE(A153, ""en"", ""hi"")"),"152")</f>
        <v>152</v>
      </c>
      <c r="G153" s="5" t="str">
        <f>IFERROR(__xludf.DUMMYFUNCTION("GOOGLETRANSLATE(B153, ""en"", ""hi"")"),"थांग-ता में, एक साधक एक घूमता हुआ प्रहार करता है और उसके बाद तेज़ी से पीछे हटता है। इस पीछे हटने का मुख्य उद्देश्य क्या है?")</f>
        <v>थांग-ता में, एक साधक एक घूमता हुआ प्रहार करता है और उसके बाद तेज़ी से पीछे हटता है। इस पीछे हटने का मुख्य उद्देश्य क्या है?</v>
      </c>
      <c r="H153" s="5" t="str">
        <f>IFERROR(__xludf.DUMMYFUNCTION("GOOGLETRANSLATE(C153, ""en"", ""hi"")"),"ए) संभावित जवाबी हमले से बचने के लिए।, , बी) चपलता दिखाने के लिए।, , सी) एक और हमले के लिए तैयार होने के लिए।, , डी) प्रतिद्वंद्वी को भ्रमित करने के लिए।")</f>
        <v>ए) संभावित जवाबी हमले से बचने के लिए।, , बी) चपलता दिखाने के लिए।, , सी) एक और हमले के लिए तैयार होने के लिए।, , डी) प्रतिद्वंद्वी को भ्रमित करने के लिए।</v>
      </c>
      <c r="I153" s="5" t="str">
        <f>IFERROR(__xludf.DUMMYFUNCTION("GOOGLETRANSLATE(D153, ""en"", ""hi"")"),"क) संभावित जवाबी हमले से बचने के लिए।")</f>
        <v>क) संभावित जवाबी हमले से बचने के लिए।</v>
      </c>
    </row>
    <row r="154" ht="22.5" customHeight="1">
      <c r="A154" s="2">
        <v>153.0</v>
      </c>
      <c r="B154" s="3" t="s">
        <v>12532</v>
      </c>
      <c r="C154" s="3" t="s">
        <v>12533</v>
      </c>
      <c r="D154" s="3" t="s">
        <v>12534</v>
      </c>
      <c r="F154" s="5" t="str">
        <f>IFERROR(__xludf.DUMMYFUNCTION("GOOGLETRANSLATE(A154, ""en"", ""hi"")"),"153")</f>
        <v>153</v>
      </c>
      <c r="G154" s="5" t="str">
        <f>IFERROR(__xludf.DUMMYFUNCTION("GOOGLETRANSLATE(B154, ""en"", ""hi"")"),"थांग-ता का अभ्यासी भाले से तेज़ी से आगे बढ़ता है और फिर नीचे की ओर प्रहार करता है। नीचे की ओर प्रहार का मुख्य उद्देश्य क्या है?")</f>
        <v>थांग-ता का अभ्यासी भाले से तेज़ी से आगे बढ़ता है और फिर नीचे की ओर प्रहार करता है। नीचे की ओर प्रहार का मुख्य उद्देश्य क्या है?</v>
      </c>
      <c r="H154" s="5" t="str">
        <f>IFERROR(__xludf.DUMMYFUNCTION("GOOGLETRANSLATE(C154, ""en"", ""hi"")"),"ए) प्रतिद्वंद्वी के ऊपरी शरीर को निशाना बनाने के लिए।, , बी) भाला कौशल का प्रदर्शन करने के लिए।, , सी) सटीकता का अभ्यास करने के लिए।, , डी) ध्यान भंग करने के लिए।")</f>
        <v>ए) प्रतिद्वंद्वी के ऊपरी शरीर को निशाना बनाने के लिए।, , बी) भाला कौशल का प्रदर्शन करने के लिए।, , सी) सटीकता का अभ्यास करने के लिए।, , डी) ध्यान भंग करने के लिए।</v>
      </c>
      <c r="I154" s="5" t="str">
        <f>IFERROR(__xludf.DUMMYFUNCTION("GOOGLETRANSLATE(D154, ""en"", ""hi"")"),"अ) प्रतिद्वंद्वी के ऊपरी शरीर को निशाना बनाना।")</f>
        <v>अ) प्रतिद्वंद्वी के ऊपरी शरीर को निशाना बनाना।</v>
      </c>
    </row>
    <row r="155" ht="22.5" customHeight="1">
      <c r="A155" s="2">
        <v>154.0</v>
      </c>
      <c r="B155" s="3" t="s">
        <v>12535</v>
      </c>
      <c r="C155" s="3" t="s">
        <v>12536</v>
      </c>
      <c r="D155" s="3" t="s">
        <v>12537</v>
      </c>
      <c r="F155" s="5" t="str">
        <f>IFERROR(__xludf.DUMMYFUNCTION("GOOGLETRANSLATE(A155, ""en"", ""hi"")"),"154")</f>
        <v>154</v>
      </c>
      <c r="G155" s="5" t="str">
        <f>IFERROR(__xludf.DUMMYFUNCTION("GOOGLETRANSLATE(B155, ""en"", ""hi"")"),"थांग-ता अभ्यास सत्र के दौरान, एक छात्र लो ब्लॉक और हाई स्लैश का संयोजन करता है। इस संयोजन का मुख्य लाभ क्या है?")</f>
        <v>थांग-ता अभ्यास सत्र के दौरान, एक छात्र लो ब्लॉक और हाई स्लैश का संयोजन करता है। इस संयोजन का मुख्य लाभ क्या है?</v>
      </c>
      <c r="H155" s="5" t="str">
        <f>IFERROR(__xludf.DUMMYFUNCTION("GOOGLETRANSLATE(C155, ""en"", ""hi"")"),"क) उच्च जवाबी हमले की तैयारी करते समय निम्न हमलों से बचाव करना।, , ख) बहुमुखी प्रतिभा का प्रदर्शन करना।, , ग) समन्वय का अभ्यास करना।, , घ) प्रतिद्वंद्वी को भ्रमित करना।")</f>
        <v>क) उच्च जवाबी हमले की तैयारी करते समय निम्न हमलों से बचाव करना।, , ख) बहुमुखी प्रतिभा का प्रदर्शन करना।, , ग) समन्वय का अभ्यास करना।, , घ) प्रतिद्वंद्वी को भ्रमित करना।</v>
      </c>
      <c r="I155" s="5" t="str">
        <f>IFERROR(__xludf.DUMMYFUNCTION("GOOGLETRANSLATE(D155, ""en"", ""hi"")"),"क) उच्च जवाबी हमले की तैयारी करते समय निम्न हमलों से बचाव करना।")</f>
        <v>क) उच्च जवाबी हमले की तैयारी करते समय निम्न हमलों से बचाव करना।</v>
      </c>
    </row>
    <row r="156" ht="22.5" customHeight="1">
      <c r="A156" s="2">
        <v>155.0</v>
      </c>
      <c r="B156" s="3" t="s">
        <v>12538</v>
      </c>
      <c r="C156" s="3" t="s">
        <v>12539</v>
      </c>
      <c r="D156" s="3" t="s">
        <v>12540</v>
      </c>
      <c r="F156" s="5" t="str">
        <f>IFERROR(__xludf.DUMMYFUNCTION("GOOGLETRANSLATE(A156, ""en"", ""hi"")"),"155")</f>
        <v>155</v>
      </c>
      <c r="G156" s="5" t="str">
        <f>IFERROR(__xludf.DUMMYFUNCTION("GOOGLETRANSLATE(B156, ""en"", ""hi"")"),"थांग-ता में, एक अभ्यासी एक तेज़ साइडस्टेप के बाद तलवार से झपट्टा मारता है। झपट्टे का मुख्य उद्देश्य क्या है?")</f>
        <v>थांग-ता में, एक अभ्यासी एक तेज़ साइडस्टेप के बाद तलवार से झपट्टा मारता है। झपट्टे का मुख्य उद्देश्य क्या है?</v>
      </c>
      <c r="H156" s="5" t="str">
        <f>IFERROR(__xludf.DUMMYFUNCTION("GOOGLETRANSLATE(C156, ""en"", ""hi"")"),"ए) तेजी से दूरी कम करना और प्रतिद्वंद्वी पर प्रहार करना।, , बी) गति दिखाना।, , सी) समय में सुधार करना।, , डी) ध्यान भंग करना।")</f>
        <v>ए) तेजी से दूरी कम करना और प्रतिद्वंद्वी पर प्रहार करना।, , बी) गति दिखाना।, , सी) समय में सुधार करना।, , डी) ध्यान भंग करना।</v>
      </c>
      <c r="I156" s="5" t="str">
        <f>IFERROR(__xludf.DUMMYFUNCTION("GOOGLETRANSLATE(D156, ""en"", ""hi"")"),"क) तेजी से दूरी कम करना और प्रतिद्वंद्वी पर प्रहार करना।")</f>
        <v>क) तेजी से दूरी कम करना और प्रतिद्वंद्वी पर प्रहार करना।</v>
      </c>
    </row>
    <row r="157" ht="22.5" customHeight="1">
      <c r="A157" s="2">
        <v>156.0</v>
      </c>
      <c r="B157" s="3" t="s">
        <v>12541</v>
      </c>
      <c r="C157" s="3" t="s">
        <v>12542</v>
      </c>
      <c r="D157" s="3" t="s">
        <v>12518</v>
      </c>
      <c r="F157" s="5" t="str">
        <f>IFERROR(__xludf.DUMMYFUNCTION("GOOGLETRANSLATE(A157, ""en"", ""hi"")"),"156")</f>
        <v>156</v>
      </c>
      <c r="G157" s="5" t="str">
        <f>IFERROR(__xludf.DUMMYFUNCTION("GOOGLETRANSLATE(B157, ""en"", ""hi"")"),"थांग-ता का अभ्यासी भाले से कई बार तेज़ प्रहार करता है और उसके बाद अचानक नीचे की ओर वार करता है। इस नीचे की ओर वार का मुख्य उद्देश्य क्या है?")</f>
        <v>थांग-ता का अभ्यासी भाले से कई बार तेज़ प्रहार करता है और उसके बाद अचानक नीचे की ओर वार करता है। इस नीचे की ओर वार का मुख्य उद्देश्य क्या है?</v>
      </c>
      <c r="H157" s="5" t="str">
        <f>IFERROR(__xludf.DUMMYFUNCTION("GOOGLETRANSLATE(C157, ""en"", ""hi"")"),"ए) प्रतिद्वंद्वी के पैरों को निशाना बनाना और संतुलन बिगाड़ना।, , बी) बहुमुखी प्रतिभा का प्रदर्शन करना।, , सी) सटीकता का अभ्यास करना।, , डी) ध्यान भंग करना।")</f>
        <v>ए) प्रतिद्वंद्वी के पैरों को निशाना बनाना और संतुलन बिगाड़ना।, , बी) बहुमुखी प्रतिभा का प्रदर्शन करना।, , सी) सटीकता का अभ्यास करना।, , डी) ध्यान भंग करना।</v>
      </c>
      <c r="I157" s="5" t="str">
        <f>IFERROR(__xludf.DUMMYFUNCTION("GOOGLETRANSLATE(D157, ""en"", ""hi"")"),"क) प्रतिद्वंद्वी के पैरों को निशाना बनाना और संतुलन बिगाड़ना।")</f>
        <v>क) प्रतिद्वंद्वी के पैरों को निशाना बनाना और संतुलन बिगाड़ना।</v>
      </c>
    </row>
    <row r="158" ht="22.5" customHeight="1">
      <c r="A158" s="2">
        <v>157.0</v>
      </c>
      <c r="B158" s="3" t="s">
        <v>12543</v>
      </c>
      <c r="C158" s="3" t="s">
        <v>12544</v>
      </c>
      <c r="D158" s="3" t="s">
        <v>12545</v>
      </c>
      <c r="F158" s="5" t="str">
        <f>IFERROR(__xludf.DUMMYFUNCTION("GOOGLETRANSLATE(A158, ""en"", ""hi"")"),"157")</f>
        <v>157</v>
      </c>
      <c r="G158" s="5" t="str">
        <f>IFERROR(__xludf.DUMMYFUNCTION("GOOGLETRANSLATE(B158, ""en"", ""hi"")"),"थांग-ता प्रदर्शन के दौरान, एक अभ्यासकर्ता आगे बढ़ते हुए नीचे की ओर कई कट लगाता है। आगे बढ़ने की इस गति का मुख्य उद्देश्य क्या है?")</f>
        <v>थांग-ता प्रदर्शन के दौरान, एक अभ्यासकर्ता आगे बढ़ते हुए नीचे की ओर कई कट लगाता है। आगे बढ़ने की इस गति का मुख्य उद्देश्य क्या है?</v>
      </c>
      <c r="H158" s="5" t="str">
        <f>IFERROR(__xludf.DUMMYFUNCTION("GOOGLETRANSLATE(C158, ""en"", ""hi"")"),"ए) आक्रामक गति और दबाव बनाए रखने के लिए।, , बी) आक्रामकता दिखाने के लिए।, , सी) समन्वय का अभ्यास करने के लिए।, , डी) प्रतिद्वंद्वी को भ्रमित करने के लिए।")</f>
        <v>ए) आक्रामक गति और दबाव बनाए रखने के लिए।, , बी) आक्रामकता दिखाने के लिए।, , सी) समन्वय का अभ्यास करने के लिए।, , डी) प्रतिद्वंद्वी को भ्रमित करने के लिए।</v>
      </c>
      <c r="I158" s="5" t="str">
        <f>IFERROR(__xludf.DUMMYFUNCTION("GOOGLETRANSLATE(D158, ""en"", ""hi"")"),"ए) आक्रामक गति और दबाव बनाए रखना।")</f>
        <v>ए) आक्रामक गति और दबाव बनाए रखना।</v>
      </c>
    </row>
    <row r="159" ht="22.5" customHeight="1">
      <c r="A159" s="2">
        <v>158.0</v>
      </c>
      <c r="B159" s="3" t="s">
        <v>12546</v>
      </c>
      <c r="C159" s="3" t="s">
        <v>12501</v>
      </c>
      <c r="D159" s="3" t="s">
        <v>12502</v>
      </c>
      <c r="F159" s="5" t="str">
        <f>IFERROR(__xludf.DUMMYFUNCTION("GOOGLETRANSLATE(A159, ""en"", ""hi"")"),"158")</f>
        <v>158</v>
      </c>
      <c r="G159" s="5" t="str">
        <f>IFERROR(__xludf.DUMMYFUNCTION("GOOGLETRANSLATE(B159, ""en"", ""hi"")"),"थांग-ता में, एक साधक पहले घूमता हुआ वार करता है और फिर तलवार से क्षैतिज वार करता है। क्षैतिज वार का मुख्य उद्देश्य क्या है?")</f>
        <v>थांग-ता में, एक साधक पहले घूमता हुआ वार करता है और फिर तलवार से क्षैतिज वार करता है। क्षैतिज वार का मुख्य उद्देश्य क्या है?</v>
      </c>
      <c r="H159" s="5" t="str">
        <f>IFERROR(__xludf.DUMMYFUNCTION("GOOGLETRANSLATE(C159, ""en"", ""hi"")"),"ए) स्पिन से गति का लाभ उठाने के लिए।, , बी) उन्नत तकनीकों का प्रदर्शन करने के लिए।, , सी) सटीकता में सुधार करने के लिए।, , डी) ध्यान भटकाने के लिए।")</f>
        <v>ए) स्पिन से गति का लाभ उठाने के लिए।, , बी) उन्नत तकनीकों का प्रदर्शन करने के लिए।, , सी) सटीकता में सुधार करने के लिए।, , डी) ध्यान भटकाने के लिए।</v>
      </c>
      <c r="I159" s="5" t="str">
        <f>IFERROR(__xludf.DUMMYFUNCTION("GOOGLETRANSLATE(D159, ""en"", ""hi"")"),"A) स्पिन से प्राप्त गति का लाभ उठाना।")</f>
        <v>A) स्पिन से प्राप्त गति का लाभ उठाना।</v>
      </c>
    </row>
    <row r="160" ht="22.5" customHeight="1">
      <c r="A160" s="2">
        <v>159.0</v>
      </c>
      <c r="B160" s="3" t="s">
        <v>12547</v>
      </c>
      <c r="C160" s="3" t="s">
        <v>12548</v>
      </c>
      <c r="D160" s="3" t="s">
        <v>12549</v>
      </c>
      <c r="F160" s="5" t="str">
        <f>IFERROR(__xludf.DUMMYFUNCTION("GOOGLETRANSLATE(A160, ""en"", ""hi"")"),"159")</f>
        <v>159</v>
      </c>
      <c r="G160" s="5" t="str">
        <f>IFERROR(__xludf.DUMMYFUNCTION("GOOGLETRANSLATE(B160, ""en"", ""hi"")"),"थांग-ता का अभ्यासी आने वाले हमले से बचने के लिए तेज़ी से एक तरफ़ कदम बढ़ाता है, और फिर तलवार से हल्का वार करता है। इस हल्के वार का मुख्य उद्देश्य क्या है?")</f>
        <v>थांग-ता का अभ्यासी आने वाले हमले से बचने के लिए तेज़ी से एक तरफ़ कदम बढ़ाता है, और फिर तलवार से हल्का वार करता है। इस हल्के वार का मुख्य उद्देश्य क्या है?</v>
      </c>
      <c r="H160" s="5" t="str">
        <f>IFERROR(__xludf.DUMMYFUNCTION("GOOGLETRANSLATE(C160, ""en"", ""hi"")"),"ए) प्रतिद्वंद्वी के निचले शरीर को निशाना बनाना और एक उद्घाटन बनाना।, , बी) तलवार चलाने का प्रदर्शन करना।, , सी) समय का अभ्यास करना।, , डी) प्रतिद्वंद्वी को भ्रमित करना।")</f>
        <v>ए) प्रतिद्वंद्वी के निचले शरीर को निशाना बनाना और एक उद्घाटन बनाना।, , बी) तलवार चलाने का प्रदर्शन करना।, , सी) समय का अभ्यास करना।, , डी) प्रतिद्वंद्वी को भ्रमित करना।</v>
      </c>
      <c r="I160" s="5" t="str">
        <f>IFERROR(__xludf.DUMMYFUNCTION("GOOGLETRANSLATE(D160, ""en"", ""hi"")"),"ए) प्रतिद्वंद्वी के निचले शरीर को निशाना बनाना और एक खुला स्थान बनाना।")</f>
        <v>ए) प्रतिद्वंद्वी के निचले शरीर को निशाना बनाना और एक खुला स्थान बनाना।</v>
      </c>
    </row>
    <row r="161" ht="22.5" customHeight="1">
      <c r="A161" s="2">
        <v>160.0</v>
      </c>
      <c r="B161" s="3" t="s">
        <v>12498</v>
      </c>
      <c r="C161" s="3" t="s">
        <v>12550</v>
      </c>
      <c r="D161" s="3" t="s">
        <v>12530</v>
      </c>
      <c r="F161" s="5" t="str">
        <f>IFERROR(__xludf.DUMMYFUNCTION("GOOGLETRANSLATE(A161, ""en"", ""hi"")"),"160")</f>
        <v>160</v>
      </c>
      <c r="G161" s="5" t="str">
        <f>IFERROR(__xludf.DUMMYFUNCTION("GOOGLETRANSLATE(B161, ""en"", ""hi"")"),"थांग-ता स्पैरिंग मैच के दौरान, एक प्रतिभागी भाले से बारी-बारी से वार करता है। बारी-बारी से वार करने का मुख्य लाभ क्या है?")</f>
        <v>थांग-ता स्पैरिंग मैच के दौरान, एक प्रतिभागी भाले से बारी-बारी से वार करता है। बारी-बारी से वार करने का मुख्य लाभ क्या है?</v>
      </c>
      <c r="H161" s="5" t="str">
        <f>IFERROR(__xludf.DUMMYFUNCTION("GOOGLETRANSLATE(C161, ""en"", ""hi"")"),"ए) अप्रत्याशित आक्रामक पैटर्न बनाने के लिए।, , बी) भाला संचालन का प्रदर्शन करने के लिए।, , सी) समन्वय का अभ्यास करने के लिए।, , डी) प्रतिद्वंद्वी को भ्रमित करने के लिए।")</f>
        <v>ए) अप्रत्याशित आक्रामक पैटर्न बनाने के लिए।, , बी) भाला संचालन का प्रदर्शन करने के लिए।, , सी) समन्वय का अभ्यास करने के लिए।, , डी) प्रतिद्वंद्वी को भ्रमित करने के लिए।</v>
      </c>
      <c r="I161" s="5" t="str">
        <f>IFERROR(__xludf.DUMMYFUNCTION("GOOGLETRANSLATE(D161, ""en"", ""hi"")"),"अ) अप्रत्याशित आक्रामक पैटर्न बनाना।")</f>
        <v>अ) अप्रत्याशित आक्रामक पैटर्न बनाना।</v>
      </c>
    </row>
    <row r="162" ht="22.5" customHeight="1">
      <c r="A162" s="2">
        <v>161.0</v>
      </c>
      <c r="B162" s="3" t="s">
        <v>12551</v>
      </c>
      <c r="C162" s="3" t="s">
        <v>12501</v>
      </c>
      <c r="D162" s="3" t="s">
        <v>12502</v>
      </c>
      <c r="F162" s="5" t="str">
        <f>IFERROR(__xludf.DUMMYFUNCTION("GOOGLETRANSLATE(A162, ""en"", ""hi"")"),"161")</f>
        <v>161</v>
      </c>
      <c r="G162" s="5" t="str">
        <f>IFERROR(__xludf.DUMMYFUNCTION("GOOGLETRANSLATE(B162, ""en"", ""hi"")"),"थांग-ता में, एक साधक तलवार से घूमता हुआ वार करता है और फिर नीचे की ओर वार करता है। नीचे की ओर वार करने का मुख्य उद्देश्य क्या है?")</f>
        <v>थांग-ता में, एक साधक तलवार से घूमता हुआ वार करता है और फिर नीचे की ओर वार करता है। नीचे की ओर वार करने का मुख्य उद्देश्य क्या है?</v>
      </c>
      <c r="H162" s="5" t="str">
        <f>IFERROR(__xludf.DUMMYFUNCTION("GOOGLETRANSLATE(C162, ""en"", ""hi"")"),"ए) स्पिन से गति का लाभ उठाने के लिए।, , बी) उन्नत तकनीकों का प्रदर्शन करने के लिए।, , सी) सटीकता में सुधार करने के लिए।, , डी) ध्यान भटकाने के लिए।")</f>
        <v>ए) स्पिन से गति का लाभ उठाने के लिए।, , बी) उन्नत तकनीकों का प्रदर्शन करने के लिए।, , सी) सटीकता में सुधार करने के लिए।, , डी) ध्यान भटकाने के लिए।</v>
      </c>
      <c r="I162" s="5" t="str">
        <f>IFERROR(__xludf.DUMMYFUNCTION("GOOGLETRANSLATE(D162, ""en"", ""hi"")"),"A) स्पिन से प्राप्त गति का लाभ उठाना।")</f>
        <v>A) स्पिन से प्राप्त गति का लाभ उठाना।</v>
      </c>
    </row>
    <row r="163" ht="22.5" customHeight="1">
      <c r="A163" s="2">
        <v>162.0</v>
      </c>
      <c r="B163" s="3" t="s">
        <v>12516</v>
      </c>
      <c r="C163" s="3" t="s">
        <v>12517</v>
      </c>
      <c r="D163" s="3" t="s">
        <v>12518</v>
      </c>
      <c r="F163" s="5" t="str">
        <f>IFERROR(__xludf.DUMMYFUNCTION("GOOGLETRANSLATE(A163, ""en"", ""hi"")"),"162")</f>
        <v>162</v>
      </c>
      <c r="G163" s="5" t="str">
        <f>IFERROR(__xludf.DUMMYFUNCTION("GOOGLETRANSLATE(B163, ""en"", ""hi"")"),"थांग-ता का अभ्यासी भाले से तेज़ी से आगे बढ़कर एक व्यापक प्रहार करता है। व्यापक प्रहार का मुख्य उद्देश्य क्या है?")</f>
        <v>थांग-ता का अभ्यासी भाले से तेज़ी से आगे बढ़कर एक व्यापक प्रहार करता है। व्यापक प्रहार का मुख्य उद्देश्य क्या है?</v>
      </c>
      <c r="H163" s="5" t="str">
        <f>IFERROR(__xludf.DUMMYFUNCTION("GOOGLETRANSLATE(C163, ""en"", ""hi"")"),"ए) प्रतिद्वंद्वी के पैरों को निशाना बनाना और संतुलन बिगाड़ना।, , बी) भाला चलाने का प्रदर्शन करना।, , सी) समय का अभ्यास करना।, , डी) प्रतिद्वंद्वी को भ्रमित करना।")</f>
        <v>ए) प्रतिद्वंद्वी के पैरों को निशाना बनाना और संतुलन बिगाड़ना।, , बी) भाला चलाने का प्रदर्शन करना।, , सी) समय का अभ्यास करना।, , डी) प्रतिद्वंद्वी को भ्रमित करना।</v>
      </c>
      <c r="I163" s="5" t="str">
        <f>IFERROR(__xludf.DUMMYFUNCTION("GOOGLETRANSLATE(D163, ""en"", ""hi"")"),"क) प्रतिद्वंद्वी के पैरों को निशाना बनाना और संतुलन बिगाड़ना।")</f>
        <v>क) प्रतिद्वंद्वी के पैरों को निशाना बनाना और संतुलन बिगाड़ना।</v>
      </c>
    </row>
    <row r="164" ht="22.5" customHeight="1">
      <c r="A164" s="2">
        <v>163.0</v>
      </c>
      <c r="B164" s="3" t="s">
        <v>12519</v>
      </c>
      <c r="C164" s="3" t="s">
        <v>12520</v>
      </c>
      <c r="D164" s="3" t="s">
        <v>12521</v>
      </c>
      <c r="F164" s="5" t="str">
        <f>IFERROR(__xludf.DUMMYFUNCTION("GOOGLETRANSLATE(A164, ""en"", ""hi"")"),"163")</f>
        <v>163</v>
      </c>
      <c r="G164" s="5" t="str">
        <f>IFERROR(__xludf.DUMMYFUNCTION("GOOGLETRANSLATE(B164, ""en"", ""hi"")"),"थांग-ता प्रदर्शन के दौरान, एक अभ्यासी ऊपर की ओर कई प्रहार करता है और उसके बाद एक क्षैतिज कट करता है। क्षैतिज कट का मुख्य लाभ क्या है?")</f>
        <v>थांग-ता प्रदर्शन के दौरान, एक अभ्यासी ऊपर की ओर कई प्रहार करता है और उसके बाद एक क्षैतिज कट करता है। क्षैतिज कट का मुख्य लाभ क्या है?</v>
      </c>
      <c r="H164" s="5" t="str">
        <f>IFERROR(__xludf.DUMMYFUNCTION("GOOGLETRANSLATE(C164, ""en"", ""hi"")"),"ए) ऊपर की ओर जोर लगाने से उत्पन्न अवसरों का लाभ उठाना।, , बी) बहुमुखी प्रतिभा का प्रदर्शन करना।, , सी) सटीकता का अभ्यास करना।, , डी) ध्यान भटकाना।")</f>
        <v>ए) ऊपर की ओर जोर लगाने से उत्पन्न अवसरों का लाभ उठाना।, , बी) बहुमुखी प्रतिभा का प्रदर्शन करना।, , सी) सटीकता का अभ्यास करना।, , डी) ध्यान भटकाना।</v>
      </c>
      <c r="I164" s="5" t="str">
        <f>IFERROR(__xludf.DUMMYFUNCTION("GOOGLETRANSLATE(D164, ""en"", ""hi"")"),"क) ऊपर की ओर धक्का देने से उत्पन्न खुले स्थानों का लाभ उठाना।")</f>
        <v>क) ऊपर की ओर धक्का देने से उत्पन्न खुले स्थानों का लाभ उठाना।</v>
      </c>
    </row>
    <row r="165" ht="22.5" customHeight="1">
      <c r="A165" s="2">
        <v>164.0</v>
      </c>
      <c r="B165" s="3" t="s">
        <v>12522</v>
      </c>
      <c r="C165" s="3" t="s">
        <v>12523</v>
      </c>
      <c r="D165" s="3" t="s">
        <v>12524</v>
      </c>
      <c r="F165" s="5" t="str">
        <f>IFERROR(__xludf.DUMMYFUNCTION("GOOGLETRANSLATE(A165, ""en"", ""hi"")"),"164")</f>
        <v>164</v>
      </c>
      <c r="G165" s="5" t="str">
        <f>IFERROR(__xludf.DUMMYFUNCTION("GOOGLETRANSLATE(B165, ""en"", ""hi"")"),"थांग-ता में, एक अभ्यासी एक तेज़ साइड स्टेप का उपयोग करता है और उसके बाद तलवार से नीचे की ओर वार करता है। साइड स्टेप का मुख्य उद्देश्य क्या है?")</f>
        <v>थांग-ता में, एक अभ्यासी एक तेज़ साइड स्टेप का उपयोग करता है और उसके बाद तलवार से नीचे की ओर वार करता है। साइड स्टेप का मुख्य उद्देश्य क्या है?</v>
      </c>
      <c r="H165" s="5" t="str">
        <f>IFERROR(__xludf.DUMMYFUNCTION("GOOGLETRANSLATE(C165, ""en"", ""hi"")"),"ए) प्रतिद्वंद्वी के हमले से बचने और जवाबी हमले के लिए कोण बनाने के लिए।, , बी) फुटवर्क दिखाने के लिए।, , सी) समय का अभ्यास करने के लिए।, , डी) प्रतिद्वंद्वी को भ्रमित करने के लिए।")</f>
        <v>ए) प्रतिद्वंद्वी के हमले से बचने और जवाबी हमले के लिए कोण बनाने के लिए।, , बी) फुटवर्क दिखाने के लिए।, , सी) समय का अभ्यास करने के लिए।, , डी) प्रतिद्वंद्वी को भ्रमित करने के लिए।</v>
      </c>
      <c r="I165" s="5" t="str">
        <f>IFERROR(__xludf.DUMMYFUNCTION("GOOGLETRANSLATE(D165, ""en"", ""hi"")"),"अ) प्रतिद्वंद्वी के हमले से बचने और जवाबी हमले के लिए कोण बनाने के लिए।")</f>
        <v>अ) प्रतिद्वंद्वी के हमले से बचने और जवाबी हमले के लिए कोण बनाने के लिए।</v>
      </c>
    </row>
    <row r="166" ht="22.5" customHeight="1">
      <c r="A166" s="2">
        <v>165.0</v>
      </c>
      <c r="B166" s="3" t="s">
        <v>12525</v>
      </c>
      <c r="C166" s="3" t="s">
        <v>12526</v>
      </c>
      <c r="D166" s="3" t="s">
        <v>12527</v>
      </c>
      <c r="F166" s="5" t="str">
        <f>IFERROR(__xludf.DUMMYFUNCTION("GOOGLETRANSLATE(A166, ""en"", ""hi"")"),"165")</f>
        <v>165</v>
      </c>
      <c r="G166" s="5" t="str">
        <f>IFERROR(__xludf.DUMMYFUNCTION("GOOGLETRANSLATE(B166, ""en"", ""hi"")"),"थांग-ता का अभ्यासी अपने प्रतिद्वंद्वी की ओर बढ़ते हुए कई बार निम्न गति से प्रहार करता है। इस गति का मुख्य उद्देश्य क्या है?")</f>
        <v>थांग-ता का अभ्यासी अपने प्रतिद्वंद्वी की ओर बढ़ते हुए कई बार निम्न गति से प्रहार करता है। इस गति का मुख्य उद्देश्य क्या है?</v>
      </c>
      <c r="H166" s="5" t="str">
        <f>IFERROR(__xludf.DUMMYFUNCTION("GOOGLETRANSLATE(C166, ""en"", ""hi"")"),"ए) आक्रामक दबाव बनाए रखना और दूरी कम करना।, , बी) आक्रामकता दिखाना।, , सी) समन्वय का अभ्यास करना।, , डी) प्रतिद्वंद्वी को भ्रमित करना।")</f>
        <v>ए) आक्रामक दबाव बनाए रखना और दूरी कम करना।, , बी) आक्रामकता दिखाना।, , सी) समन्वय का अभ्यास करना।, , डी) प्रतिद्वंद्वी को भ्रमित करना।</v>
      </c>
      <c r="I166" s="5" t="str">
        <f>IFERROR(__xludf.DUMMYFUNCTION("GOOGLETRANSLATE(D166, ""en"", ""hi"")"),"ए) आक्रामक दबाव बनाए रखना और दूरी को कम करना।")</f>
        <v>ए) आक्रामक दबाव बनाए रखना और दूरी को कम करना।</v>
      </c>
    </row>
    <row r="167" ht="22.5" customHeight="1">
      <c r="A167" s="2">
        <v>166.0</v>
      </c>
      <c r="B167" s="3" t="s">
        <v>12528</v>
      </c>
      <c r="C167" s="3" t="s">
        <v>12529</v>
      </c>
      <c r="D167" s="3" t="s">
        <v>12530</v>
      </c>
      <c r="F167" s="5" t="str">
        <f>IFERROR(__xludf.DUMMYFUNCTION("GOOGLETRANSLATE(A167, ""en"", ""hi"")"),"166")</f>
        <v>166</v>
      </c>
      <c r="G167" s="5" t="str">
        <f>IFERROR(__xludf.DUMMYFUNCTION("GOOGLETRANSLATE(B167, ""en"", ""hi"")"),"थांग-ता स्पैरिंग मैच के दौरान, एक प्रतिभागी तलवार से बारी-बारी से वार करता है। बारी-बारी से वार करने का मुख्य लाभ क्या है?")</f>
        <v>थांग-ता स्पैरिंग मैच के दौरान, एक प्रतिभागी तलवार से बारी-बारी से वार करता है। बारी-बारी से वार करने का मुख्य लाभ क्या है?</v>
      </c>
      <c r="H167" s="5" t="str">
        <f>IFERROR(__xludf.DUMMYFUNCTION("GOOGLETRANSLATE(C167, ""en"", ""hi"")"),"ए) अप्रत्याशित आक्रामक पैटर्न बनाने के लिए।, , बी) तलवार चलाने का प्रदर्शन करने के लिए।, , सी) समन्वय का अभ्यास करने के लिए।, , डी) प्रतिद्वंद्वी को भ्रमित करने के लिए।")</f>
        <v>ए) अप्रत्याशित आक्रामक पैटर्न बनाने के लिए।, , बी) तलवार चलाने का प्रदर्शन करने के लिए।, , सी) समन्वय का अभ्यास करने के लिए।, , डी) प्रतिद्वंद्वी को भ्रमित करने के लिए।</v>
      </c>
      <c r="I167" s="5" t="str">
        <f>IFERROR(__xludf.DUMMYFUNCTION("GOOGLETRANSLATE(D167, ""en"", ""hi"")"),"अ) अप्रत्याशित आक्रामक पैटर्न बनाना।")</f>
        <v>अ) अप्रत्याशित आक्रामक पैटर्न बनाना।</v>
      </c>
    </row>
    <row r="168" ht="22.5" customHeight="1">
      <c r="A168" s="2">
        <v>167.0</v>
      </c>
      <c r="B168" s="3" t="s">
        <v>12531</v>
      </c>
      <c r="C168" s="3" t="s">
        <v>12497</v>
      </c>
      <c r="D168" s="3" t="s">
        <v>12315</v>
      </c>
      <c r="F168" s="5" t="str">
        <f>IFERROR(__xludf.DUMMYFUNCTION("GOOGLETRANSLATE(A168, ""en"", ""hi"")"),"167")</f>
        <v>167</v>
      </c>
      <c r="G168" s="5" t="str">
        <f>IFERROR(__xludf.DUMMYFUNCTION("GOOGLETRANSLATE(B168, ""en"", ""hi"")"),"थांग-ता में, एक साधक एक घूमता हुआ प्रहार करता है और उसके बाद तेज़ी से पीछे हटता है। इस पीछे हटने का मुख्य उद्देश्य क्या है?")</f>
        <v>थांग-ता में, एक साधक एक घूमता हुआ प्रहार करता है और उसके बाद तेज़ी से पीछे हटता है। इस पीछे हटने का मुख्य उद्देश्य क्या है?</v>
      </c>
      <c r="H168" s="5" t="str">
        <f>IFERROR(__xludf.DUMMYFUNCTION("GOOGLETRANSLATE(C168, ""en"", ""hi"")"),"ए) संभावित जवाबी हमले से बचने के लिए।, , बी) चपलता दिखाने के लिए।, , सी) एक और हमले के लिए तैयार होने के लिए।, , डी) प्रतिद्वंद्वी को भ्रमित करने के लिए।")</f>
        <v>ए) संभावित जवाबी हमले से बचने के लिए।, , बी) चपलता दिखाने के लिए।, , सी) एक और हमले के लिए तैयार होने के लिए।, , डी) प्रतिद्वंद्वी को भ्रमित करने के लिए।</v>
      </c>
      <c r="I168" s="5" t="str">
        <f>IFERROR(__xludf.DUMMYFUNCTION("GOOGLETRANSLATE(D168, ""en"", ""hi"")"),"क) संभावित जवाबी हमले से बचने के लिए।")</f>
        <v>क) संभावित जवाबी हमले से बचने के लिए।</v>
      </c>
    </row>
    <row r="169" ht="22.5" customHeight="1">
      <c r="A169" s="2">
        <v>168.0</v>
      </c>
      <c r="B169" s="3" t="s">
        <v>12552</v>
      </c>
      <c r="C169" s="3" t="s">
        <v>12553</v>
      </c>
      <c r="D169" s="3" t="s">
        <v>12554</v>
      </c>
      <c r="F169" s="5" t="str">
        <f>IFERROR(__xludf.DUMMYFUNCTION("GOOGLETRANSLATE(A169, ""en"", ""hi"")"),"168")</f>
        <v>168</v>
      </c>
      <c r="G169" s="5" t="str">
        <f>IFERROR(__xludf.DUMMYFUNCTION("GOOGLETRANSLATE(B169, ""en"", ""hi"")"),"थांग-ता का अभ्यासी अपने प्रतिद्वंद्वी को रक्षात्मक स्थिति में लाने के लिए तलवार से छल का प्रयोग करता है। इस छल का मुख्य उद्देश्य क्या है?")</f>
        <v>थांग-ता का अभ्यासी अपने प्रतिद्वंद्वी को रक्षात्मक स्थिति में लाने के लिए तलवार से छल का प्रयोग करता है। इस छल का मुख्य उद्देश्य क्या है?</v>
      </c>
      <c r="H169" s="5" t="str">
        <f>IFERROR(__xludf.DUMMYFUNCTION("GOOGLETRANSLATE(C169, ""en"", ""hi"")"),"A) प्रतिद्वंद्वी को धोखा देने और वास्तविक हमले के लिए अवसर पैदा करने के लिए।, B) गति दिखाने के लिए।, C) चपलता का अभ्यास करने के लिए।, D) ध्यान भटकाने के लिए।")</f>
        <v>A) प्रतिद्वंद्वी को धोखा देने और वास्तविक हमले के लिए अवसर पैदा करने के लिए।, B) गति दिखाने के लिए।, C) चपलता का अभ्यास करने के लिए।, D) ध्यान भटकाने के लिए।</v>
      </c>
      <c r="I169" s="5" t="str">
        <f>IFERROR(__xludf.DUMMYFUNCTION("GOOGLETRANSLATE(D169, ""en"", ""hi"")"),"क) प्रतिद्वंद्वी को धोखा देना और वास्तविक हमले के लिए अवसर पैदा करना।")</f>
        <v>क) प्रतिद्वंद्वी को धोखा देना और वास्तविक हमले के लिए अवसर पैदा करना।</v>
      </c>
    </row>
    <row r="170" ht="22.5" customHeight="1">
      <c r="A170" s="2">
        <v>169.0</v>
      </c>
      <c r="B170" s="3" t="s">
        <v>12555</v>
      </c>
      <c r="C170" s="3" t="s">
        <v>12556</v>
      </c>
      <c r="D170" s="3" t="s">
        <v>12557</v>
      </c>
      <c r="F170" s="5" t="str">
        <f>IFERROR(__xludf.DUMMYFUNCTION("GOOGLETRANSLATE(A170, ""en"", ""hi"")"),"169")</f>
        <v>169</v>
      </c>
      <c r="G170" s="5" t="str">
        <f>IFERROR(__xludf.DUMMYFUNCTION("GOOGLETRANSLATE(B170, ""en"", ""hi"")"),"थांग-ता अभ्यास के दौरान, एक छात्र पहले एक नीची ब्लॉक का इस्तेमाल करता है और फिर तलवार से ऊपर की ओर वार करता है। ऊपर की ओर वार करने का मुख्य उद्देश्य क्या है?")</f>
        <v>थांग-ता अभ्यास के दौरान, एक छात्र पहले एक नीची ब्लॉक का इस्तेमाल करता है और फिर तलवार से ऊपर की ओर वार करता है। ऊपर की ओर वार करने का मुख्य उद्देश्य क्या है?</v>
      </c>
      <c r="H170" s="5" t="str">
        <f>IFERROR(__xludf.DUMMYFUNCTION("GOOGLETRANSLATE(C170, ""en"", ""hi"")"),"A) प्रतिद्वंद्वी के उच्च हमले का मुकाबला करने के लिए।, B) ताकत दिखाने के लिए।, C) लचीलेपन में सुधार करने के लिए।, D) प्रतिद्वंद्वी को विचलित करने के लिए।")</f>
        <v>A) प्रतिद्वंद्वी के उच्च हमले का मुकाबला करने के लिए।, B) ताकत दिखाने के लिए।, C) लचीलेपन में सुधार करने के लिए।, D) प्रतिद्वंद्वी को विचलित करने के लिए।</v>
      </c>
      <c r="I170" s="5" t="str">
        <f>IFERROR(__xludf.DUMMYFUNCTION("GOOGLETRANSLATE(D170, ""en"", ""hi"")"),"अ) प्रतिद्वंद्वी के तीव्र आक्रमण का प्रतिकार करना।")</f>
        <v>अ) प्रतिद्वंद्वी के तीव्र आक्रमण का प्रतिकार करना।</v>
      </c>
    </row>
    <row r="171" ht="22.5" customHeight="1">
      <c r="A171" s="2">
        <v>170.0</v>
      </c>
      <c r="B171" s="3" t="s">
        <v>12558</v>
      </c>
      <c r="C171" s="3" t="s">
        <v>12559</v>
      </c>
      <c r="D171" s="3" t="s">
        <v>12560</v>
      </c>
      <c r="F171" s="5" t="str">
        <f>IFERROR(__xludf.DUMMYFUNCTION("GOOGLETRANSLATE(A171, ""en"", ""hi"")"),"170")</f>
        <v>170</v>
      </c>
      <c r="G171" s="5" t="str">
        <f>IFERROR(__xludf.DUMMYFUNCTION("GOOGLETRANSLATE(B171, ""en"", ""hi"")"),"थांग-ता स्पैरिंग सत्र में, एक प्रतिभागी विकर्ण वार की एक श्रृंखला करता है। विकर्ण वार का मुख्य लाभ क्या है?")</f>
        <v>थांग-ता स्पैरिंग सत्र में, एक प्रतिभागी विकर्ण वार की एक श्रृंखला करता है। विकर्ण वार का मुख्य लाभ क्या है?</v>
      </c>
      <c r="H171" s="5" t="str">
        <f>IFERROR(__xludf.DUMMYFUNCTION("GOOGLETRANSLATE(C171, ""en"", ""hi"")"),"A) प्रतिद्वंद्वी के बचाव के लिए कठिन कोण बनाना।, B) कौशल का प्रदर्शन करना।, C) समन्वय का अभ्यास करना।, D) प्रतिद्वंद्वी को भ्रमित करना।")</f>
        <v>A) प्रतिद्वंद्वी के बचाव के लिए कठिन कोण बनाना।, B) कौशल का प्रदर्शन करना।, C) समन्वय का अभ्यास करना।, D) प्रतिद्वंद्वी को भ्रमित करना।</v>
      </c>
      <c r="I171" s="5" t="str">
        <f>IFERROR(__xludf.DUMMYFUNCTION("GOOGLETRANSLATE(D171, ""en"", ""hi"")"),"अ) प्रतिद्वंद्वी के लिए बचाव हेतु कठिन कोण बनाना।")</f>
        <v>अ) प्रतिद्वंद्वी के लिए बचाव हेतु कठिन कोण बनाना।</v>
      </c>
    </row>
    <row r="172" ht="22.5" customHeight="1">
      <c r="A172" s="2">
        <v>171.0</v>
      </c>
      <c r="B172" s="3" t="s">
        <v>12561</v>
      </c>
      <c r="C172" s="3" t="s">
        <v>12562</v>
      </c>
      <c r="D172" s="3" t="s">
        <v>12563</v>
      </c>
      <c r="F172" s="5" t="str">
        <f>IFERROR(__xludf.DUMMYFUNCTION("GOOGLETRANSLATE(A172, ""en"", ""hi"")"),"171")</f>
        <v>171</v>
      </c>
      <c r="G172" s="5" t="str">
        <f>IFERROR(__xludf.DUMMYFUNCTION("GOOGLETRANSLATE(B172, ""en"", ""hi"")"),"एक थांग-ता अभ्यासी प्रदर्शन के दौरान तेज़ी से तलवार और भाले के बीच स्विच करता है। इस हथियार परिवर्तन का मुख्य उद्देश्य क्या है?")</f>
        <v>एक थांग-ता अभ्यासी प्रदर्शन के दौरान तेज़ी से तलवार और भाले के बीच स्विच करता है। इस हथियार परिवर्तन का मुख्य उद्देश्य क्या है?</v>
      </c>
      <c r="H172" s="5" t="str">
        <f>IFERROR(__xludf.DUMMYFUNCTION("GOOGLETRANSLATE(C172, ""en"", ""hi"")"),"A) बदलती युद्ध स्थितियों के अनुकूल ढलने के लिए।, B) बहुमुखी प्रतिभा का प्रदर्शन करने के लिए।, C) हथियार चलाने का अभ्यास करने के लिए।, D) प्रतिद्वंद्वी को भ्रमित करने के लिए।")</f>
        <v>A) बदलती युद्ध स्थितियों के अनुकूल ढलने के लिए।, B) बहुमुखी प्रतिभा का प्रदर्शन करने के लिए।, C) हथियार चलाने का अभ्यास करने के लिए।, D) प्रतिद्वंद्वी को भ्रमित करने के लिए।</v>
      </c>
      <c r="I172" s="5" t="str">
        <f>IFERROR(__xludf.DUMMYFUNCTION("GOOGLETRANSLATE(D172, ""en"", ""hi"")"),"क) बदलती युद्ध स्थितियों के अनुकूल ढलना।")</f>
        <v>क) बदलती युद्ध स्थितियों के अनुकूल ढलना।</v>
      </c>
    </row>
    <row r="173" ht="22.5" customHeight="1">
      <c r="A173" s="2">
        <v>172.0</v>
      </c>
      <c r="B173" s="3" t="s">
        <v>12564</v>
      </c>
      <c r="C173" s="3" t="s">
        <v>12565</v>
      </c>
      <c r="D173" s="3" t="s">
        <v>12566</v>
      </c>
      <c r="F173" s="5" t="str">
        <f>IFERROR(__xludf.DUMMYFUNCTION("GOOGLETRANSLATE(A173, ""en"", ""hi"")"),"172")</f>
        <v>172</v>
      </c>
      <c r="G173" s="5" t="str">
        <f>IFERROR(__xludf.DUMMYFUNCTION("GOOGLETRANSLATE(B173, ""en"", ""hi"")"),"थांग-ता प्रशिक्षण के दौरान, एक अभ्यासी भाले से तेज़ प्रहार करता है और उसके बाद एक निम्न स्वीप करता है। निम्न स्वीप का मुख्य उद्देश्य क्या है?")</f>
        <v>थांग-ता प्रशिक्षण के दौरान, एक अभ्यासी भाले से तेज़ प्रहार करता है और उसके बाद एक निम्न स्वीप करता है। निम्न स्वीप का मुख्य उद्देश्य क्या है?</v>
      </c>
      <c r="H173" s="5" t="str">
        <f>IFERROR(__xludf.DUMMYFUNCTION("GOOGLETRANSLATE(C173, ""en"", ""hi"")"),"A) प्रतिद्वंद्वी के पैरों को निशाना बनाना और उनका संतुलन बिगाड़ना।, B) कौशल का प्रदर्शन करना।, C) सटीकता का अभ्यास करना।, D) प्रतिद्वंद्वी का ध्यान भटकाना।")</f>
        <v>A) प्रतिद्वंद्वी के पैरों को निशाना बनाना और उनका संतुलन बिगाड़ना।, B) कौशल का प्रदर्शन करना।, C) सटीकता का अभ्यास करना।, D) प्रतिद्वंद्वी का ध्यान भटकाना।</v>
      </c>
      <c r="I173" s="5" t="str">
        <f>IFERROR(__xludf.DUMMYFUNCTION("GOOGLETRANSLATE(D173, ""en"", ""hi"")"),"क) प्रतिद्वंद्वी के पैरों को निशाना बनाना और उनका संतुलन बिगाड़ना।")</f>
        <v>क) प्रतिद्वंद्वी के पैरों को निशाना बनाना और उनका संतुलन बिगाड़ना।</v>
      </c>
    </row>
    <row r="174" ht="22.5" customHeight="1">
      <c r="A174" s="2">
        <v>173.0</v>
      </c>
      <c r="B174" s="3" t="s">
        <v>12567</v>
      </c>
      <c r="C174" s="3" t="s">
        <v>12568</v>
      </c>
      <c r="D174" s="3" t="s">
        <v>12569</v>
      </c>
      <c r="F174" s="5" t="str">
        <f>IFERROR(__xludf.DUMMYFUNCTION("GOOGLETRANSLATE(A174, ""en"", ""hi"")"),"173")</f>
        <v>173</v>
      </c>
      <c r="G174" s="5" t="str">
        <f>IFERROR(__xludf.DUMMYFUNCTION("GOOGLETRANSLATE(B174, ""en"", ""hi"")"),"थांग-ता अभ्यास में, एक छात्र तलवार से लगातार तेज़ वार करने का अभ्यास करता है। इस अभ्यास का मुख्य लाभ क्या है?")</f>
        <v>थांग-ता अभ्यास में, एक छात्र तलवार से लगातार तेज़ वार करने का अभ्यास करता है। इस अभ्यास का मुख्य लाभ क्या है?</v>
      </c>
      <c r="H174" s="5" t="str">
        <f>IFERROR(__xludf.DUMMYFUNCTION("GOOGLETRANSLATE(C174, ""en"", ""hi"")"),"A) जोर लगाने में गति और सटीकता विकसित करना।, B) आक्रामकता प्रदर्शित करना।, C) ताकत में सुधार करना।, D) भ्रम पैदा करना।")</f>
        <v>A) जोर लगाने में गति और सटीकता विकसित करना।, B) आक्रामकता प्रदर्शित करना।, C) ताकत में सुधार करना।, D) भ्रम पैदा करना।</v>
      </c>
      <c r="I174" s="5" t="str">
        <f>IFERROR(__xludf.DUMMYFUNCTION("GOOGLETRANSLATE(D174, ""en"", ""hi"")"),"क) जोर लगाने में गति और सटीकता विकसित करना।")</f>
        <v>क) जोर लगाने में गति और सटीकता विकसित करना।</v>
      </c>
    </row>
    <row r="175" ht="22.5" customHeight="1">
      <c r="A175" s="2">
        <v>174.0</v>
      </c>
      <c r="B175" s="3" t="s">
        <v>12570</v>
      </c>
      <c r="C175" s="3" t="s">
        <v>12571</v>
      </c>
      <c r="D175" s="3" t="s">
        <v>12572</v>
      </c>
      <c r="F175" s="5" t="str">
        <f>IFERROR(__xludf.DUMMYFUNCTION("GOOGLETRANSLATE(A175, ""en"", ""hi"")"),"174")</f>
        <v>174</v>
      </c>
      <c r="G175" s="5" t="str">
        <f>IFERROR(__xludf.DUMMYFUNCTION("GOOGLETRANSLATE(B175, ""en"", ""hi"")"),"थांग-ता का अभ्यासी भाले से घूमता हुआ वार करता है और उसके बाद तेज़ी से झपट्टा मारता है। इस झपट्टे का मुख्य उद्देश्य क्या है?")</f>
        <v>थांग-ता का अभ्यासी भाले से घूमता हुआ वार करता है और उसके बाद तेज़ी से झपट्टा मारता है। इस झपट्टे का मुख्य उद्देश्य क्या है?</v>
      </c>
      <c r="H175" s="5" t="str">
        <f>IFERROR(__xludf.DUMMYFUNCTION("GOOGLETRANSLATE(C175, ""en"", ""hi"")"),"A) शीघ्रता से दूरी कम करना और वार करना।, B) चपलता प्रदर्शित करना।, C) समन्वय का अभ्यास करना।, D) प्रतिद्वंद्वी का ध्यान भटकाना।")</f>
        <v>A) शीघ्रता से दूरी कम करना और वार करना।, B) चपलता प्रदर्शित करना।, C) समन्वय का अभ्यास करना।, D) प्रतिद्वंद्वी का ध्यान भटकाना।</v>
      </c>
      <c r="I175" s="5" t="str">
        <f>IFERROR(__xludf.DUMMYFUNCTION("GOOGLETRANSLATE(D175, ""en"", ""hi"")"),"क) शीघ्रता से दूरी कम करना और प्रहार करना।")</f>
        <v>क) शीघ्रता से दूरी कम करना और प्रहार करना।</v>
      </c>
    </row>
    <row r="176" ht="22.5" customHeight="1">
      <c r="A176" s="2">
        <v>175.0</v>
      </c>
      <c r="B176" s="3" t="s">
        <v>12573</v>
      </c>
      <c r="C176" s="3" t="s">
        <v>12574</v>
      </c>
      <c r="D176" s="3" t="s">
        <v>12575</v>
      </c>
      <c r="F176" s="5" t="str">
        <f>IFERROR(__xludf.DUMMYFUNCTION("GOOGLETRANSLATE(A176, ""en"", ""hi"")"),"175")</f>
        <v>175</v>
      </c>
      <c r="G176" s="5" t="str">
        <f>IFERROR(__xludf.DUMMYFUNCTION("GOOGLETRANSLATE(B176, ""en"", ""hi"")"),"थांग-ता प्रदर्शन के दौरान, अभ्यासी तेज़ी से ऊपर की ओर कट लगाने की एक श्रृंखला का उपयोग करता है। इन ऊपर की ओर कट लगाने का मुख्य उद्देश्य क्या है?")</f>
        <v>थांग-ता प्रदर्शन के दौरान, अभ्यासी तेज़ी से ऊपर की ओर कट लगाने की एक श्रृंखला का उपयोग करता है। इन ऊपर की ओर कट लगाने का मुख्य उद्देश्य क्या है?</v>
      </c>
      <c r="H176" s="5" t="str">
        <f>IFERROR(__xludf.DUMMYFUNCTION("GOOGLETRANSLATE(C176, ""en"", ""hi"")"),"ए) प्रतिद्वंद्वी के ऊपरी शरीर को निशाना बनाना और उन्हें रक्षात्मक स्थिति में लाने के लिए मजबूर करना।, बी) गति का प्रदर्शन करना।, सी) सटीकता का अभ्यास करना।, डी) प्रतिद्वंद्वी को भ्रमित करना।")</f>
        <v>ए) प्रतिद्वंद्वी के ऊपरी शरीर को निशाना बनाना और उन्हें रक्षात्मक स्थिति में लाने के लिए मजबूर करना।, बी) गति का प्रदर्शन करना।, सी) सटीकता का अभ्यास करना।, डी) प्रतिद्वंद्वी को भ्रमित करना।</v>
      </c>
      <c r="I176" s="5" t="str">
        <f>IFERROR(__xludf.DUMMYFUNCTION("GOOGLETRANSLATE(D176, ""en"", ""hi"")"),"क) प्रतिद्वंद्वी के ऊपरी शरीर को निशाना बनाना और उन्हें रक्षात्मक स्थिति में लाने के लिए मजबूर करना।")</f>
        <v>क) प्रतिद्वंद्वी के ऊपरी शरीर को निशाना बनाना और उन्हें रक्षात्मक स्थिति में लाने के लिए मजबूर करना।</v>
      </c>
    </row>
    <row r="177" ht="22.5" customHeight="1">
      <c r="A177" s="2">
        <v>176.0</v>
      </c>
      <c r="B177" s="3" t="s">
        <v>12576</v>
      </c>
      <c r="C177" s="3" t="s">
        <v>12577</v>
      </c>
      <c r="D177" s="3" t="s">
        <v>12578</v>
      </c>
      <c r="F177" s="5" t="str">
        <f>IFERROR(__xludf.DUMMYFUNCTION("GOOGLETRANSLATE(A177, ""en"", ""hi"")"),"176")</f>
        <v>176</v>
      </c>
      <c r="G177" s="5" t="str">
        <f>IFERROR(__xludf.DUMMYFUNCTION("GOOGLETRANSLATE(B177, ""en"", ""hi"")"),"थांग-ता में, साधक पीछे की ओर कदम बढ़ाता है और फिर तलवार से वार करता है। पीछे की ओर कदम रखने का मुख्य लाभ क्या है?")</f>
        <v>थांग-ता में, साधक पीछे की ओर कदम बढ़ाता है और फिर तलवार से वार करता है। पीछे की ओर कदम रखने का मुख्य लाभ क्या है?</v>
      </c>
      <c r="H177" s="5" t="str">
        <f>IFERROR(__xludf.DUMMYFUNCTION("GOOGLETRANSLATE(C177, ""en"", ""hi"")"),"ए) दूरी बनाना और जवाबी हमले के लिए तैयारी करना।, बी) फुटवर्क दिखाना।, सी) चपलता का अभ्यास करना।, डी) प्रतिद्वंद्वी को भ्रमित करना।")</f>
        <v>ए) दूरी बनाना और जवाबी हमले के लिए तैयारी करना।, बी) फुटवर्क दिखाना।, सी) चपलता का अभ्यास करना।, डी) प्रतिद्वंद्वी को भ्रमित करना।</v>
      </c>
      <c r="I177" s="5" t="str">
        <f>IFERROR(__xludf.DUMMYFUNCTION("GOOGLETRANSLATE(D177, ""en"", ""hi"")"),"क) दूरी बनाना और जवाबी हमले की तैयारी करना।")</f>
        <v>क) दूरी बनाना और जवाबी हमले की तैयारी करना।</v>
      </c>
    </row>
    <row r="178" ht="22.5" customHeight="1">
      <c r="A178" s="2">
        <v>177.0</v>
      </c>
      <c r="B178" s="3" t="s">
        <v>12579</v>
      </c>
      <c r="C178" s="3" t="s">
        <v>12580</v>
      </c>
      <c r="D178" s="3" t="s">
        <v>12581</v>
      </c>
      <c r="F178" s="5" t="str">
        <f>IFERROR(__xludf.DUMMYFUNCTION("GOOGLETRANSLATE(A178, ""en"", ""hi"")"),"177")</f>
        <v>177</v>
      </c>
      <c r="G178" s="5" t="str">
        <f>IFERROR(__xludf.DUMMYFUNCTION("GOOGLETRANSLATE(B178, ""en"", ""hi"")"),"एक थांग-ता छात्र भाले से बारी-बारी से ऊँचे और नीचे वार करने का अभ्यास कर रहा है। इन वारों को बारी-बारी से करने का मुख्य उद्देश्य क्या है?")</f>
        <v>एक थांग-ता छात्र भाले से बारी-बारी से ऊँचे और नीचे वार करने का अभ्यास कर रहा है। इन वारों को बारी-बारी से करने का मुख्य उद्देश्य क्या है?</v>
      </c>
      <c r="H178" s="5" t="str">
        <f>IFERROR(__xludf.DUMMYFUNCTION("GOOGLETRANSLATE(C178, ""en"", ""hi"")"),"A) प्रतिद्वंद्वी को अनुमान लगाने के लिए और अवसर पैदा करने के लिए।, B) कौशल दिखाने के लिए।, C) समन्वय में सुधार करने के लिए।, D) ध्यान भटकाने के लिए।")</f>
        <v>A) प्रतिद्वंद्वी को अनुमान लगाने के लिए और अवसर पैदा करने के लिए।, B) कौशल दिखाने के लिए।, C) समन्वय में सुधार करने के लिए।, D) ध्यान भटकाने के लिए।</v>
      </c>
      <c r="I178" s="5" t="str">
        <f>IFERROR(__xludf.DUMMYFUNCTION("GOOGLETRANSLATE(D178, ""en"", ""hi"")"),"क) प्रतिद्वंद्वी को उलझन में रखना और मौके बनाना।")</f>
        <v>क) प्रतिद्वंद्वी को उलझन में रखना और मौके बनाना।</v>
      </c>
    </row>
    <row r="179" ht="22.5" customHeight="1">
      <c r="A179" s="2">
        <v>178.0</v>
      </c>
      <c r="B179" s="3" t="s">
        <v>12582</v>
      </c>
      <c r="C179" s="3" t="s">
        <v>12583</v>
      </c>
      <c r="D179" s="3" t="s">
        <v>12584</v>
      </c>
      <c r="F179" s="5" t="str">
        <f>IFERROR(__xludf.DUMMYFUNCTION("GOOGLETRANSLATE(A179, ""en"", ""hi"")"),"178")</f>
        <v>178</v>
      </c>
      <c r="G179" s="5" t="str">
        <f>IFERROR(__xludf.DUMMYFUNCTION("GOOGLETRANSLATE(B179, ""en"", ""hi"")"),"थांग-ता प्रशिक्षण के दौरान, एक अभ्यासी तलवार से नीचे की ओर वार करता है और फिर तेज़ी से पीछे हट जाता है। इस पीछे हटने का उद्देश्य क्या है?")</f>
        <v>थांग-ता प्रशिक्षण के दौरान, एक अभ्यासी तलवार से नीचे की ओर वार करता है और फिर तेज़ी से पीछे हट जाता है। इस पीछे हटने का उद्देश्य क्या है?</v>
      </c>
      <c r="H179" s="5" t="str">
        <f>IFERROR(__xludf.DUMMYFUNCTION("GOOGLETRANSLATE(C179, ""en"", ""hi"")"),"ए) संभावित जवाबी हमले से बचने और रुख को पुनः निर्धारित करने के लिए, बी) गति दिखाने के लिए, सी) सटीकता का अभ्यास करने के लिए, डी) प्रतिद्वंद्वी का ध्यान भटकाने के लिए।")</f>
        <v>ए) संभावित जवाबी हमले से बचने और रुख को पुनः निर्धारित करने के लिए, बी) गति दिखाने के लिए, सी) सटीकता का अभ्यास करने के लिए, डी) प्रतिद्वंद्वी का ध्यान भटकाने के लिए।</v>
      </c>
      <c r="I179" s="5" t="str">
        <f>IFERROR(__xludf.DUMMYFUNCTION("GOOGLETRANSLATE(D179, ""en"", ""hi"")"),"क) संभावित जवाबी हमले से बचने और रुख को पुनः निर्धारित करने के लिए।")</f>
        <v>क) संभावित जवाबी हमले से बचने और रुख को पुनः निर्धारित करने के लिए।</v>
      </c>
    </row>
    <row r="180" ht="22.5" customHeight="1">
      <c r="A180" s="2">
        <v>179.0</v>
      </c>
      <c r="B180" s="3" t="s">
        <v>12585</v>
      </c>
      <c r="C180" s="3" t="s">
        <v>12586</v>
      </c>
      <c r="D180" s="3" t="s">
        <v>12587</v>
      </c>
      <c r="F180" s="5" t="str">
        <f>IFERROR(__xludf.DUMMYFUNCTION("GOOGLETRANSLATE(A180, ""en"", ""hi"")"),"179")</f>
        <v>179</v>
      </c>
      <c r="G180" s="5" t="str">
        <f>IFERROR(__xludf.DUMMYFUNCTION("GOOGLETRANSLATE(B180, ""en"", ""hi"")"),"थांग-ता प्रदर्शन में, एक अभ्यासी भाले से छल-कपट करता है और उसके बाद एक वास्तविक प्रहार करता है। इस छल-कपट का मुख्य लाभ क्या है?")</f>
        <v>थांग-ता प्रदर्शन में, एक अभ्यासी भाले से छल-कपट करता है और उसके बाद एक वास्तविक प्रहार करता है। इस छल-कपट का मुख्य लाभ क्या है?</v>
      </c>
      <c r="H180" s="5" t="str">
        <f>IFERROR(__xludf.DUMMYFUNCTION("GOOGLETRANSLATE(C180, ""en"", ""hi"")"),"A) प्रतिद्वंद्वी को धोखा देने और अवसर पैदा करने के लिए, B) कौशल दिखाने के लिए, C) समय का अभ्यास करने के लिए, D) भ्रम पैदा करने के लिए।")</f>
        <v>A) प्रतिद्वंद्वी को धोखा देने और अवसर पैदा करने के लिए, B) कौशल दिखाने के लिए, C) समय का अभ्यास करने के लिए, D) भ्रम पैदा करने के लिए।</v>
      </c>
      <c r="I180" s="5" t="str">
        <f>IFERROR(__xludf.DUMMYFUNCTION("GOOGLETRANSLATE(D180, ""en"", ""hi"")"),"क) प्रतिद्वंद्वी को धोखा देना और अवसर पैदा करना।")</f>
        <v>क) प्रतिद्वंद्वी को धोखा देना और अवसर पैदा करना।</v>
      </c>
    </row>
    <row r="181" ht="22.5" customHeight="1">
      <c r="A181" s="2">
        <v>180.0</v>
      </c>
      <c r="B181" s="3" t="s">
        <v>12588</v>
      </c>
      <c r="C181" s="3" t="s">
        <v>12589</v>
      </c>
      <c r="D181" s="3" t="s">
        <v>12590</v>
      </c>
      <c r="F181" s="5" t="str">
        <f>IFERROR(__xludf.DUMMYFUNCTION("GOOGLETRANSLATE(A181, ""en"", ""hi"")"),"180")</f>
        <v>180</v>
      </c>
      <c r="G181" s="5" t="str">
        <f>IFERROR(__xludf.DUMMYFUNCTION("GOOGLETRANSLATE(B181, ""en"", ""hi"")"),"थांग-ता का अभ्यासी हमले से बचने के लिए साइडस्टेप का इस्तेमाल करता है और तुरंत ऊपर की ओर वार करके जवाब देता है। साइडस्टेप का मुख्य उद्देश्य क्या है?")</f>
        <v>थांग-ता का अभ्यासी हमले से बचने के लिए साइडस्टेप का इस्तेमाल करता है और तुरंत ऊपर की ओर वार करके जवाब देता है। साइडस्टेप का मुख्य उद्देश्य क्या है?</v>
      </c>
      <c r="H181" s="5" t="str">
        <f>IFERROR(__xludf.DUMMYFUNCTION("GOOGLETRANSLATE(C181, ""en"", ""hi"")"),"A) प्रतिद्वंद्वी के हमले से बचने और जवाबी हमले के लिए कोण बनाने के लिए।, B) फुटवर्क दिखाने के लिए।, C) समन्वय का अभ्यास करने के लिए।, D) प्रतिद्वंद्वी को भ्रमित करने के लिए।")</f>
        <v>A) प्रतिद्वंद्वी के हमले से बचने और जवाबी हमले के लिए कोण बनाने के लिए।, B) फुटवर्क दिखाने के लिए।, C) समन्वय का अभ्यास करने के लिए।, D) प्रतिद्वंद्वी को भ्रमित करने के लिए।</v>
      </c>
      <c r="I181" s="5" t="str">
        <f>IFERROR(__xludf.DUMMYFUNCTION("GOOGLETRANSLATE(D181, ""en"", ""hi"")"),"अ) प्रतिद्वंद्वी के हमले से बचना और जवाबी हमले के लिए कोण बनाना।")</f>
        <v>अ) प्रतिद्वंद्वी के हमले से बचना और जवाबी हमले के लिए कोण बनाना।</v>
      </c>
    </row>
    <row r="182" ht="22.5" customHeight="1">
      <c r="A182" s="2">
        <v>181.0</v>
      </c>
      <c r="B182" s="3" t="s">
        <v>12591</v>
      </c>
      <c r="C182" s="3" t="s">
        <v>12592</v>
      </c>
      <c r="D182" s="3" t="s">
        <v>12566</v>
      </c>
      <c r="F182" s="5" t="str">
        <f>IFERROR(__xludf.DUMMYFUNCTION("GOOGLETRANSLATE(A182, ""en"", ""hi"")"),"181")</f>
        <v>181</v>
      </c>
      <c r="G182" s="5" t="str">
        <f>IFERROR(__xludf.DUMMYFUNCTION("GOOGLETRANSLATE(B182, ""en"", ""hi"")"),"थांग-ता मैच के दौरान, एक प्रतिभागी भाले से कई बार लो स्वीप करता है। लो स्वीप का मुख्य उद्देश्य क्या है?")</f>
        <v>थांग-ता मैच के दौरान, एक प्रतिभागी भाले से कई बार लो स्वीप करता है। लो स्वीप का मुख्य उद्देश्य क्या है?</v>
      </c>
      <c r="H182" s="5" t="str">
        <f>IFERROR(__xludf.DUMMYFUNCTION("GOOGLETRANSLATE(C182, ""en"", ""hi"")"),"ए) प्रतिद्वंद्वी के पैरों को निशाना बनाना और उनका संतुलन बिगाड़ना।, बी) भाला चलाने का प्रदर्शन करना।, सी) समय का अभ्यास करना।, डी) प्रतिद्वंद्वी को भ्रमित करना।")</f>
        <v>ए) प्रतिद्वंद्वी के पैरों को निशाना बनाना और उनका संतुलन बिगाड़ना।, बी) भाला चलाने का प्रदर्शन करना।, सी) समय का अभ्यास करना।, डी) प्रतिद्वंद्वी को भ्रमित करना।</v>
      </c>
      <c r="I182" s="5" t="str">
        <f>IFERROR(__xludf.DUMMYFUNCTION("GOOGLETRANSLATE(D182, ""en"", ""hi"")"),"क) प्रतिद्वंद्वी के पैरों को निशाना बनाना और उनका संतुलन बिगाड़ना।")</f>
        <v>क) प्रतिद्वंद्वी के पैरों को निशाना बनाना और उनका संतुलन बिगाड़ना।</v>
      </c>
    </row>
    <row r="183" ht="22.5" customHeight="1">
      <c r="A183" s="2">
        <v>182.0</v>
      </c>
      <c r="B183" s="3" t="s">
        <v>12593</v>
      </c>
      <c r="C183" s="3" t="s">
        <v>12594</v>
      </c>
      <c r="D183" s="3" t="s">
        <v>12502</v>
      </c>
      <c r="F183" s="5" t="str">
        <f>IFERROR(__xludf.DUMMYFUNCTION("GOOGLETRANSLATE(A183, ""en"", ""hi"")"),"182")</f>
        <v>182</v>
      </c>
      <c r="G183" s="5" t="str">
        <f>IFERROR(__xludf.DUMMYFUNCTION("GOOGLETRANSLATE(B183, ""en"", ""hi"")"),"थांग-ता अभ्यास में, एक छात्र तलवार से घूमता हुआ वार करता है और फिर नीचे की ओर वार करता है। नीचे की ओर वार करने का मुख्य लाभ क्या है?")</f>
        <v>थांग-ता अभ्यास में, एक छात्र तलवार से घूमता हुआ वार करता है और फिर नीचे की ओर वार करता है। नीचे की ओर वार करने का मुख्य लाभ क्या है?</v>
      </c>
      <c r="H183" s="5" t="str">
        <f>IFERROR(__xludf.DUMMYFUNCTION("GOOGLETRANSLATE(C183, ""en"", ""hi"")"),"A) स्पिन से गति का लाभ उठाने के लिए, B) ताकत दिखाने के लिए, C) सटीकता में सुधार करने के लिए, D) ध्यान भटकाने के लिए।")</f>
        <v>A) स्पिन से गति का लाभ उठाने के लिए, B) ताकत दिखाने के लिए, C) सटीकता में सुधार करने के लिए, D) ध्यान भटकाने के लिए।</v>
      </c>
      <c r="I183" s="5" t="str">
        <f>IFERROR(__xludf.DUMMYFUNCTION("GOOGLETRANSLATE(D183, ""en"", ""hi"")"),"A) स्पिन से प्राप्त गति का लाभ उठाना।")</f>
        <v>A) स्पिन से प्राप्त गति का लाभ उठाना।</v>
      </c>
    </row>
    <row r="184" ht="22.5" customHeight="1">
      <c r="A184" s="2">
        <v>183.0</v>
      </c>
      <c r="B184" s="3" t="s">
        <v>12595</v>
      </c>
      <c r="C184" s="3" t="s">
        <v>12596</v>
      </c>
      <c r="D184" s="3" t="s">
        <v>12597</v>
      </c>
      <c r="F184" s="5" t="str">
        <f>IFERROR(__xludf.DUMMYFUNCTION("GOOGLETRANSLATE(A184, ""en"", ""hi"")"),"183")</f>
        <v>183</v>
      </c>
      <c r="G184" s="5" t="str">
        <f>IFERROR(__xludf.DUMMYFUNCTION("GOOGLETRANSLATE(B184, ""en"", ""hi"")"),"थांग-ता का अभ्यासी तलवार से एक त्वरित प्रतिक्षेपण करता है और उसके बाद एक प्रतिघात करता है। प्रतिक्षेपण का मुख्य उद्देश्य क्या है?")</f>
        <v>थांग-ता का अभ्यासी तलवार से एक त्वरित प्रतिक्षेपण करता है और उसके बाद एक प्रतिघात करता है। प्रतिक्षेपण का मुख्य उद्देश्य क्या है?</v>
      </c>
      <c r="H184" s="5" t="str">
        <f>IFERROR(__xludf.DUMMYFUNCTION("GOOGLETRANSLATE(C184, ""en"", ""hi"")"),"ए) प्रतिद्वंद्वी के हमले को विफल करने और जवाबी हमले के लिए अवसर पैदा करने के लिए, बी) तलवार चलाने का प्रदर्शन करने के लिए, सी) समन्वय का अभ्यास करने के लिए, डी) प्रतिद्वंद्वी को भ्रमित करने के लिए।")</f>
        <v>ए) प्रतिद्वंद्वी के हमले को विफल करने और जवाबी हमले के लिए अवसर पैदा करने के लिए, बी) तलवार चलाने का प्रदर्शन करने के लिए, सी) समन्वय का अभ्यास करने के लिए, डी) प्रतिद्वंद्वी को भ्रमित करने के लिए।</v>
      </c>
      <c r="I184" s="5" t="str">
        <f>IFERROR(__xludf.DUMMYFUNCTION("GOOGLETRANSLATE(D184, ""en"", ""hi"")"),"क) प्रतिद्वंद्वी के हमले को विफल करना और जवाबी हमले के लिए अवसर पैदा करना।")</f>
        <v>क) प्रतिद्वंद्वी के हमले को विफल करना और जवाबी हमले के लिए अवसर पैदा करना।</v>
      </c>
    </row>
    <row r="185" ht="22.5" customHeight="1">
      <c r="A185" s="2">
        <v>184.0</v>
      </c>
      <c r="B185" s="3" t="s">
        <v>12598</v>
      </c>
      <c r="C185" s="3" t="s">
        <v>12599</v>
      </c>
      <c r="D185" s="3" t="s">
        <v>12600</v>
      </c>
      <c r="F185" s="5" t="str">
        <f>IFERROR(__xludf.DUMMYFUNCTION("GOOGLETRANSLATE(A185, ""en"", ""hi"")"),"184")</f>
        <v>184</v>
      </c>
      <c r="G185" s="5" t="str">
        <f>IFERROR(__xludf.DUMMYFUNCTION("GOOGLETRANSLATE(B185, ""en"", ""hi"")"),"थांग-ता प्रदर्शन के दौरान, एक अभ्यासकर्ता भाले से कई तेज़ प्रहार करता है। इन प्रहारों का मुख्य उद्देश्य क्या है?")</f>
        <v>थांग-ता प्रदर्शन के दौरान, एक अभ्यासकर्ता भाले से कई तेज़ प्रहार करता है। इन प्रहारों का मुख्य उद्देश्य क्या है?</v>
      </c>
      <c r="H185" s="5" t="str">
        <f>IFERROR(__xludf.DUMMYFUNCTION("GOOGLETRANSLATE(C185, ""en"", ""hi"")"),"A) प्रतिद्वंद्वी को दूरी पर रखना और आक्रामक दबाव बनाना।, B) गति दिखाना।, C) सटीकता का अभ्यास करना।, D) प्रतिद्वंद्वी को भ्रमित करना।")</f>
        <v>A) प्रतिद्वंद्वी को दूरी पर रखना और आक्रामक दबाव बनाना।, B) गति दिखाना।, C) सटीकता का अभ्यास करना।, D) प्रतिद्वंद्वी को भ्रमित करना।</v>
      </c>
      <c r="I185" s="5" t="str">
        <f>IFERROR(__xludf.DUMMYFUNCTION("GOOGLETRANSLATE(D185, ""en"", ""hi"")"),"अ) प्रतिद्वंद्वी को दूर रखना और आक्रामक दबाव बनाना।")</f>
        <v>अ) प्रतिद्वंद्वी को दूर रखना और आक्रामक दबाव बनाना।</v>
      </c>
    </row>
    <row r="186" ht="22.5" customHeight="1">
      <c r="A186" s="2">
        <v>185.0</v>
      </c>
      <c r="B186" s="3" t="s">
        <v>12601</v>
      </c>
      <c r="C186" s="3" t="s">
        <v>12602</v>
      </c>
      <c r="D186" s="3" t="s">
        <v>12603</v>
      </c>
      <c r="F186" s="5" t="str">
        <f>IFERROR(__xludf.DUMMYFUNCTION("GOOGLETRANSLATE(A186, ""en"", ""hi"")"),"185")</f>
        <v>185</v>
      </c>
      <c r="G186" s="5" t="str">
        <f>IFERROR(__xludf.DUMMYFUNCTION("GOOGLETRANSLATE(B186, ""en"", ""hi"")"),"थांग-ता में, एक साधक एक तेज़ साइडस्टेप करता है और फिर तलवार से तिरछा वार करता है। इस साइडस्टेप का मुख्य उद्देश्य क्या है?")</f>
        <v>थांग-ता में, एक साधक एक तेज़ साइडस्टेप करता है और फिर तलवार से तिरछा वार करता है। इस साइडस्टेप का मुख्य उद्देश्य क्या है?</v>
      </c>
      <c r="H186" s="5" t="str">
        <f>IFERROR(__xludf.DUMMYFUNCTION("GOOGLETRANSLATE(C186, ""en"", ""hi"")"),"ए) प्रतिद्वंद्वी के हमले से बचने और विकर्ण कट के लिए रास्ता बनाने के लिए, बी) फुटवर्क दिखाने के लिए, सी) समय का अभ्यास करने के लिए, डी) प्रतिद्वंद्वी को भ्रमित करने के लिए।")</f>
        <v>ए) प्रतिद्वंद्वी के हमले से बचने और विकर्ण कट के लिए रास्ता बनाने के लिए, बी) फुटवर्क दिखाने के लिए, सी) समय का अभ्यास करने के लिए, डी) प्रतिद्वंद्वी को भ्रमित करने के लिए।</v>
      </c>
      <c r="I186" s="5" t="str">
        <f>IFERROR(__xludf.DUMMYFUNCTION("GOOGLETRANSLATE(D186, ""en"", ""hi"")"),"क) प्रतिद्वंद्वी के हमले से बचने के लिए तथा विकर्ण कट के लिए रास्ता बनाने के लिए।")</f>
        <v>क) प्रतिद्वंद्वी के हमले से बचने के लिए तथा विकर्ण कट के लिए रास्ता बनाने के लिए।</v>
      </c>
    </row>
    <row r="187" ht="22.5" customHeight="1">
      <c r="A187" s="2">
        <v>186.0</v>
      </c>
      <c r="B187" s="3" t="s">
        <v>12604</v>
      </c>
      <c r="C187" s="3" t="s">
        <v>12605</v>
      </c>
      <c r="D187" s="3" t="s">
        <v>12530</v>
      </c>
      <c r="F187" s="5" t="str">
        <f>IFERROR(__xludf.DUMMYFUNCTION("GOOGLETRANSLATE(A187, ""en"", ""hi"")"),"186")</f>
        <v>186</v>
      </c>
      <c r="G187" s="5" t="str">
        <f>IFERROR(__xludf.DUMMYFUNCTION("GOOGLETRANSLATE(B187, ""en"", ""hi"")"),"एक थांग-ता छात्र भाले से बारी-बारी से ऊँचे और नीचे वार करने का अभ्यास कर रहा है। बारी-बारी से वार करने का मुख्य उद्देश्य क्या है?")</f>
        <v>एक थांग-ता छात्र भाले से बारी-बारी से ऊँचे और नीचे वार करने का अभ्यास कर रहा है। बारी-बारी से वार करने का मुख्य उद्देश्य क्या है?</v>
      </c>
      <c r="H187" s="5" t="str">
        <f>IFERROR(__xludf.DUMMYFUNCTION("GOOGLETRANSLATE(C187, ""en"", ""hi"")"),"A) अप्रत्याशित आक्रामक पैटर्न बनाने के लिए, B) कौशल दिखाने के लिए, C) समन्वय का अभ्यास करने के लिए, D) ध्यान भटकाने के लिए।")</f>
        <v>A) अप्रत्याशित आक्रामक पैटर्न बनाने के लिए, B) कौशल दिखाने के लिए, C) समन्वय का अभ्यास करने के लिए, D) ध्यान भटकाने के लिए।</v>
      </c>
      <c r="I187" s="5" t="str">
        <f>IFERROR(__xludf.DUMMYFUNCTION("GOOGLETRANSLATE(D187, ""en"", ""hi"")"),"अ) अप्रत्याशित आक्रामक पैटर्न बनाना।")</f>
        <v>अ) अप्रत्याशित आक्रामक पैटर्न बनाना।</v>
      </c>
    </row>
    <row r="188" ht="22.5" customHeight="1">
      <c r="A188" s="2">
        <v>187.0</v>
      </c>
      <c r="B188" s="3" t="s">
        <v>12606</v>
      </c>
      <c r="C188" s="3" t="s">
        <v>12607</v>
      </c>
      <c r="D188" s="3" t="s">
        <v>12608</v>
      </c>
      <c r="F188" s="5" t="str">
        <f>IFERROR(__xludf.DUMMYFUNCTION("GOOGLETRANSLATE(A188, ""en"", ""hi"")"),"187")</f>
        <v>187</v>
      </c>
      <c r="G188" s="5" t="str">
        <f>IFERROR(__xludf.DUMMYFUNCTION("GOOGLETRANSLATE(B188, ""en"", ""hi"")"),"थांग-ता प्रशिक्षण के दौरान, एक अभ्यासी तलवार से घूमता हुआ वार करता है और फिर पीछे हटता है। इस पीछे हटने का उद्देश्य क्या है?")</f>
        <v>थांग-ता प्रशिक्षण के दौरान, एक अभ्यासी तलवार से घूमता हुआ वार करता है और फिर पीछे हटता है। इस पीछे हटने का उद्देश्य क्या है?</v>
      </c>
      <c r="H188" s="5" t="str">
        <f>IFERROR(__xludf.DUMMYFUNCTION("GOOGLETRANSLATE(C188, ""en"", ""hi"")"),"ए) संभावित जवाबी हमले से बचने और रीसेट करने के लिए, बी) चपलता दिखाने के लिए, सी) सटीकता का अभ्यास करने के लिए, डी) भ्रम पैदा करने के लिए।")</f>
        <v>ए) संभावित जवाबी हमले से बचने और रीसेट करने के लिए, बी) चपलता दिखाने के लिए, सी) सटीकता का अभ्यास करने के लिए, डी) भ्रम पैदा करने के लिए।</v>
      </c>
      <c r="I188" s="5" t="str">
        <f>IFERROR(__xludf.DUMMYFUNCTION("GOOGLETRANSLATE(D188, ""en"", ""hi"")"),"क) संभावित जवाबी हमले से बचने और रीसेट करने के लिए।")</f>
        <v>क) संभावित जवाबी हमले से बचने और रीसेट करने के लिए।</v>
      </c>
    </row>
    <row r="189" ht="22.5" customHeight="1">
      <c r="A189" s="2">
        <v>188.0</v>
      </c>
      <c r="B189" s="3" t="s">
        <v>12609</v>
      </c>
      <c r="C189" s="3" t="s">
        <v>12610</v>
      </c>
      <c r="D189" s="3" t="s">
        <v>12611</v>
      </c>
      <c r="F189" s="5" t="str">
        <f>IFERROR(__xludf.DUMMYFUNCTION("GOOGLETRANSLATE(A189, ""en"", ""hi"")"),"188")</f>
        <v>188</v>
      </c>
      <c r="G189" s="5" t="str">
        <f>IFERROR(__xludf.DUMMYFUNCTION("GOOGLETRANSLATE(B189, ""en"", ""hi"")"),"थांग-ता अभ्यास में, एक छात्र नीचे की ओर कट लगाता है और उसके बाद एक क्षैतिज कट लगाता है। क्षैतिज कट का मुख्य उद्देश्य क्या है?")</f>
        <v>थांग-ता अभ्यास में, एक छात्र नीचे की ओर कट लगाता है और उसके बाद एक क्षैतिज कट लगाता है। क्षैतिज कट का मुख्य उद्देश्य क्या है?</v>
      </c>
      <c r="H189" s="5" t="str">
        <f>IFERROR(__xludf.DUMMYFUNCTION("GOOGLETRANSLATE(C189, ""en"", ""hi"")"),"A) प्रतिद्वंद्वी को रक्षात्मक स्थिति में लाने के बाद उसे निशाना बनाना।, B) ताकत का प्रदर्शन करना।, C) सटीकता का अभ्यास करना।, D) प्रतिद्वंद्वी का ध्यान भटकाना।")</f>
        <v>A) प्रतिद्वंद्वी को रक्षात्मक स्थिति में लाने के बाद उसे निशाना बनाना।, B) ताकत का प्रदर्शन करना।, C) सटीकता का अभ्यास करना।, D) प्रतिद्वंद्वी का ध्यान भटकाना।</v>
      </c>
      <c r="I189" s="5" t="str">
        <f>IFERROR(__xludf.DUMMYFUNCTION("GOOGLETRANSLATE(D189, ""en"", ""hi"")"),"क) प्रतिद्वंद्वी को रक्षात्मक स्थिति में लाने के बाद उसे निशाना बनाना।")</f>
        <v>क) प्रतिद्वंद्वी को रक्षात्मक स्थिति में लाने के बाद उसे निशाना बनाना।</v>
      </c>
    </row>
    <row r="190" ht="22.5" customHeight="1">
      <c r="A190" s="2">
        <v>189.0</v>
      </c>
      <c r="B190" s="3" t="s">
        <v>12612</v>
      </c>
      <c r="C190" s="3" t="s">
        <v>12613</v>
      </c>
      <c r="D190" s="3" t="s">
        <v>12614</v>
      </c>
      <c r="F190" s="5" t="str">
        <f>IFERROR(__xludf.DUMMYFUNCTION("GOOGLETRANSLATE(A190, ""en"", ""hi"")"),"189")</f>
        <v>189</v>
      </c>
      <c r="G190" s="5" t="str">
        <f>IFERROR(__xludf.DUMMYFUNCTION("GOOGLETRANSLATE(B190, ""en"", ""hi"")"),"थांग-ता का अभ्यासी एक तेज़ ऊपर की ओर प्रहार के बाद एक क्षैतिज वार करता है। ऊपर की ओर प्रहार के बाद क्षैतिज वार का उद्देश्य क्या है?")</f>
        <v>थांग-ता का अभ्यासी एक तेज़ ऊपर की ओर प्रहार के बाद एक क्षैतिज वार करता है। ऊपर की ओर प्रहार के बाद क्षैतिज वार का उद्देश्य क्या है?</v>
      </c>
      <c r="H190" s="5" t="str">
        <f>IFERROR(__xludf.DUMMYFUNCTION("GOOGLETRANSLATE(C190, ""en"", ""hi"")"),"ए) ऊपर की ओर प्रहार के प्रति प्रतिद्वंद्वी की प्रतिक्रिया का लाभ उठाना और अवसर पैदा करना।, बी) बहुमुखी प्रतिभा का प्रदर्शन करना।, सी) शक्ति का अभ्यास करना।, डी) प्रतिद्वंद्वी को भ्रमित करना।")</f>
        <v>ए) ऊपर की ओर प्रहार के प्रति प्रतिद्वंद्वी की प्रतिक्रिया का लाभ उठाना और अवसर पैदा करना।, बी) बहुमुखी प्रतिभा का प्रदर्शन करना।, सी) शक्ति का अभ्यास करना।, डी) प्रतिद्वंद्वी को भ्रमित करना।</v>
      </c>
      <c r="I190" s="5" t="str">
        <f>IFERROR(__xludf.DUMMYFUNCTION("GOOGLETRANSLATE(D190, ""en"", ""hi"")"),"क) ऊपर की ओर प्रहार के प्रति प्रतिद्वंद्वी की प्रतिक्रिया का लाभ उठाना तथा अवसर पैदा करना।")</f>
        <v>क) ऊपर की ओर प्रहार के प्रति प्रतिद्वंद्वी की प्रतिक्रिया का लाभ उठाना तथा अवसर पैदा करना।</v>
      </c>
    </row>
    <row r="191" ht="22.5" customHeight="1">
      <c r="A191" s="2">
        <v>190.0</v>
      </c>
      <c r="B191" s="3" t="s">
        <v>12615</v>
      </c>
      <c r="C191" s="3" t="s">
        <v>12616</v>
      </c>
      <c r="D191" s="3" t="s">
        <v>12617</v>
      </c>
      <c r="F191" s="5" t="str">
        <f>IFERROR(__xludf.DUMMYFUNCTION("GOOGLETRANSLATE(A191, ""en"", ""hi"")"),"190")</f>
        <v>190</v>
      </c>
      <c r="G191" s="5" t="str">
        <f>IFERROR(__xludf.DUMMYFUNCTION("GOOGLETRANSLATE(B191, ""en"", ""hi"")"),"थांग-ता अभ्यास के दौरान, एक छात्र तीव्र विकर्ण प्रहारों की एक श्रृंखला करता है। इन विकर्ण प्रहारों का अभ्यास करने का मुख्य लाभ क्या है?")</f>
        <v>थांग-ता अभ्यास के दौरान, एक छात्र तीव्र विकर्ण प्रहारों की एक श्रृंखला करता है। इन विकर्ण प्रहारों का अभ्यास करने का मुख्य लाभ क्या है?</v>
      </c>
      <c r="H191" s="5" t="str">
        <f>IFERROR(__xludf.DUMMYFUNCTION("GOOGLETRANSLATE(C191, ""en"", ""hi"")"),"ए) हमले के पैटर्न में तरलता और गति विकसित करना।, बी) सटीकता का प्रदर्शन करना।, सी) चपलता का अभ्यास करना।, डी) ध्यान भटकाना।")</f>
        <v>ए) हमले के पैटर्न में तरलता और गति विकसित करना।, बी) सटीकता का प्रदर्शन करना।, सी) चपलता का अभ्यास करना।, डी) ध्यान भटकाना।</v>
      </c>
      <c r="I191" s="5" t="str">
        <f>IFERROR(__xludf.DUMMYFUNCTION("GOOGLETRANSLATE(D191, ""en"", ""hi"")"),"क) आक्रमण पैटर्न में तरलता और गति विकसित करना।")</f>
        <v>क) आक्रमण पैटर्न में तरलता और गति विकसित करना।</v>
      </c>
    </row>
    <row r="192" ht="22.5" customHeight="1">
      <c r="A192" s="2">
        <v>191.0</v>
      </c>
      <c r="B192" s="3" t="s">
        <v>12618</v>
      </c>
      <c r="C192" s="3" t="s">
        <v>12619</v>
      </c>
      <c r="D192" s="3" t="s">
        <v>12620</v>
      </c>
      <c r="F192" s="5" t="str">
        <f>IFERROR(__xludf.DUMMYFUNCTION("GOOGLETRANSLATE(A192, ""en"", ""hi"")"),"191")</f>
        <v>191</v>
      </c>
      <c r="G192" s="5" t="str">
        <f>IFERROR(__xludf.DUMMYFUNCTION("GOOGLETRANSLATE(B192, ""en"", ""hi"")"),"थांग-ता प्रदर्शन में, एक अभ्यासी एक निम्न स्वीप के बाद एक उच्च थ्रस्ट करता है। स्वीप के बाद उच्च थ्रस्ट का उद्देश्य क्या है?")</f>
        <v>थांग-ता प्रदर्शन में, एक अभ्यासी एक निम्न स्वीप के बाद एक उच्च थ्रस्ट करता है। स्वीप के बाद उच्च थ्रस्ट का उद्देश्य क्या है?</v>
      </c>
      <c r="H192" s="5" t="str">
        <f>IFERROR(__xludf.DUMMYFUNCTION("GOOGLETRANSLATE(C192, ""en"", ""hi"")"),"ए) स्वीप से प्रतिद्वंद्वी के कम गार्ड का फायदा उठाने के लिए, बी) कौशल दिखाने के लिए, सी) समय का अभ्यास करने के लिए, डी) प्रतिद्वंद्वी को भ्रमित करने के लिए।")</f>
        <v>ए) स्वीप से प्रतिद्वंद्वी के कम गार्ड का फायदा उठाने के लिए, बी) कौशल दिखाने के लिए, सी) समय का अभ्यास करने के लिए, डी) प्रतिद्वंद्वी को भ्रमित करने के लिए।</v>
      </c>
      <c r="I192" s="5" t="str">
        <f>IFERROR(__xludf.DUMMYFUNCTION("GOOGLETRANSLATE(D192, ""en"", ""hi"")"),"ए) स्वीप से प्रतिद्वंद्वी के कम हुए गार्ड का फायदा उठाना।")</f>
        <v>ए) स्वीप से प्रतिद्वंद्वी के कम हुए गार्ड का फायदा उठाना।</v>
      </c>
    </row>
    <row r="193" ht="22.5" customHeight="1">
      <c r="A193" s="2">
        <v>192.0</v>
      </c>
      <c r="B193" s="3" t="s">
        <v>12621</v>
      </c>
      <c r="C193" s="3" t="s">
        <v>12622</v>
      </c>
      <c r="D193" s="3" t="s">
        <v>12623</v>
      </c>
      <c r="F193" s="5" t="str">
        <f>IFERROR(__xludf.DUMMYFUNCTION("GOOGLETRANSLATE(A193, ""en"", ""hi"")"),"192")</f>
        <v>192</v>
      </c>
      <c r="G193" s="5" t="str">
        <f>IFERROR(__xludf.DUMMYFUNCTION("GOOGLETRANSLATE(B193, ""en"", ""hi"")"),"थांग-ता का अभ्यास करने वाला व्यक्ति एक त्वरित वापसी के बाद भाले से आगे की ओर झपट्टा मारता है। झपट्टा मारने से पहले पीछे हटने का मुख्य लाभ क्या है?")</f>
        <v>थांग-ता का अभ्यास करने वाला व्यक्ति एक त्वरित वापसी के बाद भाले से आगे की ओर झपट्टा मारता है। झपट्टा मारने से पहले पीछे हटने का मुख्य लाभ क्या है?</v>
      </c>
      <c r="H193" s="5" t="str">
        <f>IFERROR(__xludf.DUMMYFUNCTION("GOOGLETRANSLATE(C193, ""en"", ""hi"")"),"A) दूरी बनाना और फिर हमले के लिए तेजी से उसे कम करना।, B) चपलता दिखाना।, C) सटीकता का अभ्यास करना।, D) प्रतिद्वंद्वी का ध्यान भटकाना।")</f>
        <v>A) दूरी बनाना और फिर हमले के लिए तेजी से उसे कम करना।, B) चपलता दिखाना।, C) सटीकता का अभ्यास करना।, D) प्रतिद्वंद्वी का ध्यान भटकाना।</v>
      </c>
      <c r="I193" s="5" t="str">
        <f>IFERROR(__xludf.DUMMYFUNCTION("GOOGLETRANSLATE(D193, ""en"", ""hi"")"),"क) दूरी बनाना और फिर हमले के लिए उसे तेजी से कम करना।")</f>
        <v>क) दूरी बनाना और फिर हमले के लिए उसे तेजी से कम करना।</v>
      </c>
    </row>
    <row r="194" ht="22.5" customHeight="1">
      <c r="A194" s="2">
        <v>193.0</v>
      </c>
      <c r="B194" s="3" t="s">
        <v>12624</v>
      </c>
      <c r="C194" s="3" t="s">
        <v>12625</v>
      </c>
      <c r="D194" s="3" t="s">
        <v>12626</v>
      </c>
      <c r="F194" s="5" t="str">
        <f>IFERROR(__xludf.DUMMYFUNCTION("GOOGLETRANSLATE(A194, ""en"", ""hi"")"),"193")</f>
        <v>193</v>
      </c>
      <c r="G194" s="5" t="str">
        <f>IFERROR(__xludf.DUMMYFUNCTION("GOOGLETRANSLATE(B194, ""en"", ""hi"")"),"थांग-ता मैच के दौरान, एक प्रतिभागी साइडस्टेप के बाद स्पिनिंग स्ट्राइक करता है। साइडस्टेप का मुख्य लक्ष्य क्या है?")</f>
        <v>थांग-ता मैच के दौरान, एक प्रतिभागी साइडस्टेप के बाद स्पिनिंग स्ट्राइक करता है। साइडस्टेप का मुख्य लक्ष्य क्या है?</v>
      </c>
      <c r="H194" s="5" t="str">
        <f>IFERROR(__xludf.DUMMYFUNCTION("GOOGLETRANSLATE(C194, ""en"", ""hi"")"),"ए) प्रतिद्वंद्वी के हमले से बचने और स्पिनिंग स्ट्राइक के लिए एक नया कोण बनाने के लिए।, बी) फुटवर्क दिखाने के लिए।, सी) सटीकता का अभ्यास करने के लिए।, डी) प्रतिद्वंद्वी को भ्रमित करने के लिए।")</f>
        <v>ए) प्रतिद्वंद्वी के हमले से बचने और स्पिनिंग स्ट्राइक के लिए एक नया कोण बनाने के लिए।, बी) फुटवर्क दिखाने के लिए।, सी) सटीकता का अभ्यास करने के लिए।, डी) प्रतिद्वंद्वी को भ्रमित करने के लिए।</v>
      </c>
      <c r="I194" s="5" t="str">
        <f>IFERROR(__xludf.DUMMYFUNCTION("GOOGLETRANSLATE(D194, ""en"", ""hi"")"),"क) प्रतिद्वंद्वी के हमले से बचने के लिए और घूमते हुए प्रहार के लिए एक नया कोण बनाना।")</f>
        <v>क) प्रतिद्वंद्वी के हमले से बचने के लिए और घूमते हुए प्रहार के लिए एक नया कोण बनाना।</v>
      </c>
    </row>
    <row r="195" ht="22.5" customHeight="1">
      <c r="A195" s="2">
        <v>194.0</v>
      </c>
      <c r="B195" s="3" t="s">
        <v>12627</v>
      </c>
      <c r="C195" s="3" t="s">
        <v>12628</v>
      </c>
      <c r="D195" s="3" t="s">
        <v>12629</v>
      </c>
      <c r="F195" s="5" t="str">
        <f>IFERROR(__xludf.DUMMYFUNCTION("GOOGLETRANSLATE(A195, ""en"", ""hi"")"),"194")</f>
        <v>194</v>
      </c>
      <c r="G195" s="5" t="str">
        <f>IFERROR(__xludf.DUMMYFUNCTION("GOOGLETRANSLATE(B195, ""en"", ""hi"")"),"थांग-ता में, एक साधक तलवार से कई तेज़ वार करता है। इन वारों का मुख्य उद्देश्य क्या है?")</f>
        <v>थांग-ता में, एक साधक तलवार से कई तेज़ वार करता है। इन वारों का मुख्य उद्देश्य क्या है?</v>
      </c>
      <c r="H195" s="5" t="str">
        <f>IFERROR(__xludf.DUMMYFUNCTION("GOOGLETRANSLATE(C195, ""en"", ""hi"")"),"A) प्रतिद्वंद्वी पर हावी होना और मौके बनाना।, B) गति दिखाना।, C) सटीकता का अभ्यास करना।, D) भ्रम पैदा करना।")</f>
        <v>A) प्रतिद्वंद्वी पर हावी होना और मौके बनाना।, B) गति दिखाना।, C) सटीकता का अभ्यास करना।, D) भ्रम पैदा करना।</v>
      </c>
      <c r="I195" s="5" t="str">
        <f>IFERROR(__xludf.DUMMYFUNCTION("GOOGLETRANSLATE(D195, ""en"", ""hi"")"),"क) प्रतिद्वंद्वी पर हावी होना और मौके बनाना।")</f>
        <v>क) प्रतिद्वंद्वी पर हावी होना और मौके बनाना।</v>
      </c>
    </row>
    <row r="196" ht="22.5" customHeight="1">
      <c r="A196" s="2">
        <v>195.0</v>
      </c>
      <c r="B196" s="3" t="s">
        <v>12630</v>
      </c>
      <c r="C196" s="3" t="s">
        <v>12631</v>
      </c>
      <c r="D196" s="3" t="s">
        <v>12632</v>
      </c>
      <c r="F196" s="5" t="str">
        <f>IFERROR(__xludf.DUMMYFUNCTION("GOOGLETRANSLATE(A196, ""en"", ""hi"")"),"195")</f>
        <v>195</v>
      </c>
      <c r="G196" s="5" t="str">
        <f>IFERROR(__xludf.DUMMYFUNCTION("GOOGLETRANSLATE(B196, ""en"", ""hi"")"),"एक थांग-ता छात्र एक नीची ब्लॉक के बाद तलवार से ऊपर की ओर वार करता है। ब्लॉक के बाद ऊपर की ओर वार करने का उद्देश्य क्या है?")</f>
        <v>एक थांग-ता छात्र एक नीची ब्लॉक के बाद तलवार से ऊपर की ओर वार करता है। ब्लॉक के बाद ऊपर की ओर वार करने का उद्देश्य क्या है?</v>
      </c>
      <c r="H196" s="5" t="str">
        <f>IFERROR(__xludf.DUMMYFUNCTION("GOOGLETRANSLATE(C196, ""en"", ""hi"")"),"ए) ब्लॉक से प्रतिद्वंद्वी के निचले रुख का फायदा उठाने और जवाबी हमला शुरू करने के लिए, बी) कौशल दिखाने के लिए, सी) ताकत का अभ्यास करने के लिए, डी) प्रतिद्वंद्वी को विचलित करने के लिए।")</f>
        <v>ए) ब्लॉक से प्रतिद्वंद्वी के निचले रुख का फायदा उठाने और जवाबी हमला शुरू करने के लिए, बी) कौशल दिखाने के लिए, सी) ताकत का अभ्यास करने के लिए, डी) प्रतिद्वंद्वी को विचलित करने के लिए।</v>
      </c>
      <c r="I196" s="5" t="str">
        <f>IFERROR(__xludf.DUMMYFUNCTION("GOOGLETRANSLATE(D196, ""en"", ""hi"")"),"ए) ब्लॉक से प्रतिद्वंद्वी के निचले रुख का फायदा उठाना और जवाबी हमला शुरू करना।")</f>
        <v>ए) ब्लॉक से प्रतिद्वंद्वी के निचले रुख का फायदा उठाना और जवाबी हमला शुरू करना।</v>
      </c>
    </row>
    <row r="197" ht="22.5" customHeight="1">
      <c r="A197" s="2">
        <v>196.0</v>
      </c>
      <c r="B197" s="3" t="s">
        <v>12633</v>
      </c>
      <c r="C197" s="3" t="s">
        <v>12634</v>
      </c>
      <c r="D197" s="3" t="s">
        <v>12635</v>
      </c>
      <c r="F197" s="5" t="str">
        <f>IFERROR(__xludf.DUMMYFUNCTION("GOOGLETRANSLATE(A197, ""en"", ""hi"")"),"196")</f>
        <v>196</v>
      </c>
      <c r="G197" s="5" t="str">
        <f>IFERROR(__xludf.DUMMYFUNCTION("GOOGLETRANSLATE(B197, ""en"", ""hi"")"),"थांग-ता प्रदर्शन के दौरान, एक अभ्यासी भाले से कई बार कम ज़ोर से वार करता है। कम ज़ोर से वार करने का मुख्य लाभ क्या है?")</f>
        <v>थांग-ता प्रदर्शन के दौरान, एक अभ्यासी भाले से कई बार कम ज़ोर से वार करता है। कम ज़ोर से वार करने का मुख्य लाभ क्या है?</v>
      </c>
      <c r="H197" s="5" t="str">
        <f>IFERROR(__xludf.DUMMYFUNCTION("GOOGLETRANSLATE(C197, ""en"", ""hi"")"),"ए) प्रतिद्वंद्वी के निचले शरीर को निशाना बनाना और उनका संतुलन बिगाड़ना।, बी) भाला चलाने का प्रदर्शन करना।, सी) समय का अभ्यास करना।, डी) प्रतिद्वंद्वी को भ्रमित करना।")</f>
        <v>ए) प्रतिद्वंद्वी के निचले शरीर को निशाना बनाना और उनका संतुलन बिगाड़ना।, बी) भाला चलाने का प्रदर्शन करना।, सी) समय का अभ्यास करना।, डी) प्रतिद्वंद्वी को भ्रमित करना।</v>
      </c>
      <c r="I197" s="5" t="str">
        <f>IFERROR(__xludf.DUMMYFUNCTION("GOOGLETRANSLATE(D197, ""en"", ""hi"")"),"क) प्रतिद्वंद्वी के निचले शरीर को निशाना बनाना और उनका संतुलन बिगाड़ना।")</f>
        <v>क) प्रतिद्वंद्वी के निचले शरीर को निशाना बनाना और उनका संतुलन बिगाड़ना।</v>
      </c>
    </row>
    <row r="198" ht="22.5" customHeight="1">
      <c r="A198" s="2">
        <v>197.0</v>
      </c>
      <c r="B198" s="3" t="s">
        <v>12636</v>
      </c>
      <c r="C198" s="3" t="s">
        <v>12637</v>
      </c>
      <c r="D198" s="3" t="s">
        <v>12638</v>
      </c>
      <c r="F198" s="5" t="str">
        <f>IFERROR(__xludf.DUMMYFUNCTION("GOOGLETRANSLATE(A198, ""en"", ""hi"")"),"197")</f>
        <v>197</v>
      </c>
      <c r="G198" s="5" t="str">
        <f>IFERROR(__xludf.DUMMYFUNCTION("GOOGLETRANSLATE(B198, ""en"", ""hi"")"),"थांग-ता में, एक अभ्यासी तलवार से कई तेज़ तिरछे वार करता है। तिरछे वार करने का मुख्य लाभ क्या है?")</f>
        <v>थांग-ता में, एक अभ्यासी तलवार से कई तेज़ तिरछे वार करता है। तिरछे वार करने का मुख्य लाभ क्या है?</v>
      </c>
      <c r="H198" s="5" t="str">
        <f>IFERROR(__xludf.DUMMYFUNCTION("GOOGLETRANSLATE(C198, ""en"", ""hi"")"),"A) विभिन्न कोणों से हमला करने और मौके बनाने की क्षमता विकसित करना। B) चपलता प्रदर्शित करना। C) सटीकता का अभ्यास करना। D) भ्रम पैदा करना।")</f>
        <v>A) विभिन्न कोणों से हमला करने और मौके बनाने की क्षमता विकसित करना। B) चपलता प्रदर्शित करना। C) सटीकता का अभ्यास करना। D) भ्रम पैदा करना।</v>
      </c>
      <c r="I198" s="5" t="str">
        <f>IFERROR(__xludf.DUMMYFUNCTION("GOOGLETRANSLATE(D198, ""en"", ""hi"")"),"क) विभिन्न कोणों से आक्रमण करने और अवसर पैदा करने की क्षमता विकसित करना।")</f>
        <v>क) विभिन्न कोणों से आक्रमण करने और अवसर पैदा करने की क्षमता विकसित करना।</v>
      </c>
    </row>
    <row r="199" ht="22.5" customHeight="1">
      <c r="A199" s="2">
        <v>198.0</v>
      </c>
      <c r="B199" s="3" t="s">
        <v>12639</v>
      </c>
      <c r="C199" s="3" t="s">
        <v>12640</v>
      </c>
      <c r="D199" s="3" t="s">
        <v>12641</v>
      </c>
      <c r="F199" s="5" t="str">
        <f>IFERROR(__xludf.DUMMYFUNCTION("GOOGLETRANSLATE(A199, ""en"", ""hi"")"),"198")</f>
        <v>198</v>
      </c>
      <c r="G199" s="5" t="str">
        <f>IFERROR(__xludf.DUMMYFUNCTION("GOOGLETRANSLATE(B199, ""en"", ""hi"")"),"थांग-ता का अभ्यासी एक निम्न ब्लॉक करता है और उसके तुरंत बाद एक उच्च थ्रस्ट करता है। इस संयोजन का प्राथमिक लक्ष्य क्या है?")</f>
        <v>थांग-ता का अभ्यासी एक निम्न ब्लॉक करता है और उसके तुरंत बाद एक उच्च थ्रस्ट करता है। इस संयोजन का प्राथमिक लक्ष्य क्या है?</v>
      </c>
      <c r="H199" s="5" t="str">
        <f>IFERROR(__xludf.DUMMYFUNCTION("GOOGLETRANSLATE(C199, ""en"", ""hi"")"),"A) कम आक्रमणों से बचाव करना तथा शीघ्रता से उच्च आक्रामक चाल में परिवर्तित होना।, B) कौशल का प्रदर्शन करना।, C) शक्ति का अभ्यास करना।, D) प्रतिद्वंद्वी को भ्रमित करना।")</f>
        <v>A) कम आक्रमणों से बचाव करना तथा शीघ्रता से उच्च आक्रामक चाल में परिवर्तित होना।, B) कौशल का प्रदर्शन करना।, C) शक्ति का अभ्यास करना।, D) प्रतिद्वंद्वी को भ्रमित करना।</v>
      </c>
      <c r="I199" s="5" t="str">
        <f>IFERROR(__xludf.DUMMYFUNCTION("GOOGLETRANSLATE(D199, ""en"", ""hi"")"),"क) निम्न आक्रमणों से बचाव करना तथा शीघ्रता से उच्च आक्रामक चाल में परिवर्तित होना।")</f>
        <v>क) निम्न आक्रमणों से बचाव करना तथा शीघ्रता से उच्च आक्रामक चाल में परिवर्तित होना।</v>
      </c>
    </row>
    <row r="200" ht="22.5" customHeight="1">
      <c r="A200" s="2">
        <v>199.0</v>
      </c>
      <c r="B200" s="3" t="s">
        <v>12642</v>
      </c>
      <c r="C200" s="3" t="s">
        <v>12643</v>
      </c>
      <c r="D200" s="3" t="s">
        <v>12644</v>
      </c>
      <c r="F200" s="5" t="str">
        <f>IFERROR(__xludf.DUMMYFUNCTION("GOOGLETRANSLATE(A200, ""en"", ""hi"")"),"199")</f>
        <v>199</v>
      </c>
      <c r="G200" s="5" t="str">
        <f>IFERROR(__xludf.DUMMYFUNCTION("GOOGLETRANSLATE(B200, ""en"", ""hi"")"),"थांग-ता प्रशिक्षण के दौरान, एक छात्र तलवार से तेज़ी से ऊपर की ओर वार करता है। इन ऊपर की ओर वारों का मुख्य उद्देश्य क्या है?")</f>
        <v>थांग-ता प्रशिक्षण के दौरान, एक छात्र तलवार से तेज़ी से ऊपर की ओर वार करता है। इन ऊपर की ओर वारों का मुख्य उद्देश्य क्या है?</v>
      </c>
      <c r="H200" s="5" t="str">
        <f>IFERROR(__xludf.DUMMYFUNCTION("GOOGLETRANSLATE(C200, ""en"", ""hi"")"),"A) प्रतिद्वंद्वी के ऊपरी शरीर पर दबाव बनाना और उन्हें रक्षात्मक स्थिति में लाने के लिए।, B) गति दिखाने के लिए।, C) सटीकता का अभ्यास करने के लिए।, D) प्रतिद्वंद्वी को भ्रमित करने के लिए।")</f>
        <v>A) प्रतिद्वंद्वी के ऊपरी शरीर पर दबाव बनाना और उन्हें रक्षात्मक स्थिति में लाने के लिए।, B) गति दिखाने के लिए।, C) सटीकता का अभ्यास करने के लिए।, D) प्रतिद्वंद्वी को भ्रमित करने के लिए।</v>
      </c>
      <c r="I200" s="5" t="str">
        <f>IFERROR(__xludf.DUMMYFUNCTION("GOOGLETRANSLATE(D200, ""en"", ""hi"")"),"क) प्रतिद्वंद्वी के ऊपरी शरीर पर दबाव बनाना और उन्हें रक्षात्मक स्थिति में आने के लिए मजबूर करना।")</f>
        <v>क) प्रतिद्वंद्वी के ऊपरी शरीर पर दबाव बनाना और उन्हें रक्षात्मक स्थिति में आने के लिए मजबूर करना।</v>
      </c>
    </row>
    <row r="201" ht="22.5" customHeight="1">
      <c r="A201" s="2">
        <v>200.0</v>
      </c>
      <c r="B201" s="3" t="s">
        <v>12645</v>
      </c>
      <c r="C201" s="3" t="s">
        <v>12646</v>
      </c>
      <c r="D201" s="3" t="s">
        <v>12647</v>
      </c>
      <c r="F201" s="5" t="str">
        <f>IFERROR(__xludf.DUMMYFUNCTION("GOOGLETRANSLATE(A201, ""en"", ""hi"")"),"200")</f>
        <v>200</v>
      </c>
      <c r="G201" s="5" t="str">
        <f>IFERROR(__xludf.DUMMYFUNCTION("GOOGLETRANSLATE(B201, ""en"", ""hi"")"),"थांग-ता मुकाबले में, एक प्रतिभागी पहले साइडस्टेप करता है और फिर भाले से तेज़ी से वार करता है। वार से पहले साइडस्टेप का मुख्य लाभ क्या है?")</f>
        <v>थांग-ता मुकाबले में, एक प्रतिभागी पहले साइडस्टेप करता है और फिर भाले से तेज़ी से वार करता है। वार से पहले साइडस्टेप का मुख्य लाभ क्या है?</v>
      </c>
      <c r="H201" s="5" t="str">
        <f>IFERROR(__xludf.DUMMYFUNCTION("GOOGLETRANSLATE(C201, ""en"", ""hi"")"),"ए) हमले से बचने के लिए और अधिक प्रभावी ढंग से प्रहार करने के लिए स्वयं को तैयार करना। बी) फुटवर्क का प्रदर्शन करना। सी) समय का अभ्यास करना। डी) ध्यान भटकाना।")</f>
        <v>ए) हमले से बचने के लिए और अधिक प्रभावी ढंग से प्रहार करने के लिए स्वयं को तैयार करना। बी) फुटवर्क का प्रदर्शन करना। सी) समय का अभ्यास करना। डी) ध्यान भटकाना।</v>
      </c>
      <c r="I201" s="5" t="str">
        <f>IFERROR(__xludf.DUMMYFUNCTION("GOOGLETRANSLATE(D201, ""en"", ""hi"")"),"क) किसी हमले से बचना तथा अधिक प्रभावी हमले के लिए स्वयं को तैयार करना।")</f>
        <v>क) किसी हमले से बचना तथा अधिक प्रभावी हमले के लिए स्वयं को तैयार करना।</v>
      </c>
    </row>
    <row r="202" ht="22.5" customHeight="1">
      <c r="A202" s="2">
        <v>201.0</v>
      </c>
      <c r="B202" s="3" t="s">
        <v>12648</v>
      </c>
      <c r="C202" s="3" t="s">
        <v>12649</v>
      </c>
      <c r="D202" s="3" t="s">
        <v>12650</v>
      </c>
      <c r="F202" s="5" t="str">
        <f>IFERROR(__xludf.DUMMYFUNCTION("GOOGLETRANSLATE(A202, ""en"", ""hi"")"),"201")</f>
        <v>201</v>
      </c>
      <c r="G202" s="5" t="str">
        <f>IFERROR(__xludf.DUMMYFUNCTION("GOOGLETRANSLATE(B202, ""en"", ""hi"")"),"थांग-ता का एक अभ्यासी भाले से कई बार नीचे की ओर प्रहार करता है। इन प्रहारों का मुख्य उद्देश्य क्या है?")</f>
        <v>थांग-ता का एक अभ्यासी भाले से कई बार नीचे की ओर प्रहार करता है। इन प्रहारों का मुख्य उद्देश्य क्या है?</v>
      </c>
      <c r="H202" s="5" t="str">
        <f>IFERROR(__xludf.DUMMYFUNCTION("GOOGLETRANSLATE(C202, ""en"", ""hi"")"),"ए) प्रतिद्वंद्वी का संतुलन बिगाड़ना और उनके पैरों को निशाना बनाना। बी) भाला चलाने का प्रदर्शन करना। सी) समय का अभ्यास करना। डी) प्रतिद्वंद्वी को भ्रमित करना।")</f>
        <v>ए) प्रतिद्वंद्वी का संतुलन बिगाड़ना और उनके पैरों को निशाना बनाना। बी) भाला चलाने का प्रदर्शन करना। सी) समय का अभ्यास करना। डी) प्रतिद्वंद्वी को भ्रमित करना।</v>
      </c>
      <c r="I202" s="5" t="str">
        <f>IFERROR(__xludf.DUMMYFUNCTION("GOOGLETRANSLATE(D202, ""en"", ""hi"")"),"क) प्रतिद्वंद्वी का संतुलन बिगाड़ना और उनके पैरों को निशाना बनाना।")</f>
        <v>क) प्रतिद्वंद्वी का संतुलन बिगाड़ना और उनके पैरों को निशाना बनाना।</v>
      </c>
    </row>
    <row r="203" ht="22.5" customHeight="1">
      <c r="A203" s="2">
        <v>202.0</v>
      </c>
      <c r="B203" s="3" t="s">
        <v>12651</v>
      </c>
      <c r="C203" s="3" t="s">
        <v>12652</v>
      </c>
      <c r="D203" s="3" t="s">
        <v>12653</v>
      </c>
      <c r="F203" s="5" t="str">
        <f>IFERROR(__xludf.DUMMYFUNCTION("GOOGLETRANSLATE(A203, ""en"", ""hi"")"),"202")</f>
        <v>202</v>
      </c>
      <c r="G203" s="5" t="str">
        <f>IFERROR(__xludf.DUMMYFUNCTION("GOOGLETRANSLATE(B203, ""en"", ""hi"")"),"थांग-ता प्रदर्शन के दौरान, एक अभ्यासी एक घूर्णन प्रहार के बाद एक उच्च प्रहार का उपयोग करता है। घूर्णन प्रहार का उद्देश्य क्या है?")</f>
        <v>थांग-ता प्रदर्शन के दौरान, एक अभ्यासी एक घूर्णन प्रहार के बाद एक उच्च प्रहार का उपयोग करता है। घूर्णन प्रहार का उद्देश्य क्या है?</v>
      </c>
      <c r="H203" s="5" t="str">
        <f>IFERROR(__xludf.DUMMYFUNCTION("GOOGLETRANSLATE(C203, ""en"", ""hi"")"),"A) आगामी उच्च जोर के लिए गति उत्पन्न करना।, B) चपलता प्रदर्शित करना।, C) परिशुद्धता का अभ्यास करना।, D) ध्यान भटकाना।")</f>
        <v>A) आगामी उच्च जोर के लिए गति उत्पन्न करना।, B) चपलता प्रदर्शित करना।, C) परिशुद्धता का अभ्यास करना।, D) ध्यान भटकाना।</v>
      </c>
      <c r="I203" s="5" t="str">
        <f>IFERROR(__xludf.DUMMYFUNCTION("GOOGLETRANSLATE(D203, ""en"", ""hi"")"),"A) आगामी उच्च प्रणोद के लिए संवेग उत्पन्न करना।")</f>
        <v>A) आगामी उच्च प्रणोद के लिए संवेग उत्पन्न करना।</v>
      </c>
    </row>
    <row r="204" ht="22.5" customHeight="1">
      <c r="A204" s="2">
        <v>203.0</v>
      </c>
      <c r="B204" s="3" t="s">
        <v>12654</v>
      </c>
      <c r="C204" s="3" t="s">
        <v>12655</v>
      </c>
      <c r="D204" s="3" t="s">
        <v>12656</v>
      </c>
      <c r="F204" s="5" t="str">
        <f>IFERROR(__xludf.DUMMYFUNCTION("GOOGLETRANSLATE(A204, ""en"", ""hi"")"),"203")</f>
        <v>203</v>
      </c>
      <c r="G204" s="5" t="str">
        <f>IFERROR(__xludf.DUMMYFUNCTION("GOOGLETRANSLATE(B204, ""en"", ""hi"")"),"थांग-ता में, एक साधक तलवार से एक त्वरित वार करता है और फिर तिरछा वार करता है। वार के बाद तिरछे वार का मुख्य उद्देश्य क्या है?")</f>
        <v>थांग-ता में, एक साधक तलवार से एक त्वरित वार करता है और फिर तिरछा वार करता है। वार के बाद तिरछे वार का मुख्य उद्देश्य क्या है?</v>
      </c>
      <c r="H204" s="5" t="str">
        <f>IFERROR(__xludf.DUMMYFUNCTION("GOOGLETRANSLATE(C204, ""en"", ""hi"")"),"ए) पैरी द्वारा बनाए गए अवसर का लाभ उठाना और कोण से हमला करना।, बी) कौशल का प्रदर्शन करना।, सी) ताकत का अभ्यास करना।, डी) प्रतिद्वंद्वी को भ्रमित करना।")</f>
        <v>ए) पैरी द्वारा बनाए गए अवसर का लाभ उठाना और कोण से हमला करना।, बी) कौशल का प्रदर्शन करना।, सी) ताकत का अभ्यास करना।, डी) प्रतिद्वंद्वी को भ्रमित करना।</v>
      </c>
      <c r="I204" s="5" t="str">
        <f>IFERROR(__xludf.DUMMYFUNCTION("GOOGLETRANSLATE(D204, ""en"", ""hi"")"),"ए) पैरी द्वारा बनाए गए अवसर का लाभ उठाना तथा कोण से आक्रमण करना।")</f>
        <v>ए) पैरी द्वारा बनाए गए अवसर का लाभ उठाना तथा कोण से आक्रमण करना।</v>
      </c>
    </row>
    <row r="205" ht="22.5" customHeight="1">
      <c r="A205" s="2">
        <v>204.0</v>
      </c>
      <c r="B205" s="3" t="s">
        <v>12657</v>
      </c>
      <c r="C205" s="3" t="s">
        <v>12658</v>
      </c>
      <c r="D205" s="3" t="s">
        <v>12659</v>
      </c>
      <c r="F205" s="5" t="str">
        <f>IFERROR(__xludf.DUMMYFUNCTION("GOOGLETRANSLATE(A205, ""en"", ""hi"")"),"204")</f>
        <v>204</v>
      </c>
      <c r="G205" s="5" t="str">
        <f>IFERROR(__xludf.DUMMYFUNCTION("GOOGLETRANSLATE(B205, ""en"", ""hi"")"),"एक थांग-ता छात्र पहले हाई ब्लॉक का उपयोग करता है और फिर लो स्वीप करता है। लो स्वीप से पहले हाई ब्लॉक करने से क्या लाभ है?")</f>
        <v>एक थांग-ता छात्र पहले हाई ब्लॉक का उपयोग करता है और फिर लो स्वीप करता है। लो स्वीप से पहले हाई ब्लॉक करने से क्या लाभ है?</v>
      </c>
      <c r="H205" s="5" t="str">
        <f>IFERROR(__xludf.DUMMYFUNCTION("GOOGLETRANSLATE(C205, ""en"", ""hi"")"),"क) ऊंचे हमलों से बचाव करना और प्रतिद्वंद्वी के निचले शरीर को निशाना बनाने का अवसर बनाना।, ख) कौशल का प्रदर्शन करना।, ग) समय का अभ्यास करना।, घ) प्रतिद्वंद्वी को भ्रमित करना।")</f>
        <v>क) ऊंचे हमलों से बचाव करना और प्रतिद्वंद्वी के निचले शरीर को निशाना बनाने का अवसर बनाना।, ख) कौशल का प्रदर्शन करना।, ग) समय का अभ्यास करना।, घ) प्रतिद्वंद्वी को भ्रमित करना।</v>
      </c>
      <c r="I205" s="5" t="str">
        <f>IFERROR(__xludf.DUMMYFUNCTION("GOOGLETRANSLATE(D205, ""en"", ""hi"")"),"क) ऊंचे हमलों से बचाव करना तथा प्रतिद्वंद्वी के निचले शरीर को निशाना बनाने का अवसर बनाना।")</f>
        <v>क) ऊंचे हमलों से बचाव करना तथा प्रतिद्वंद्वी के निचले शरीर को निशाना बनाने का अवसर बनाना।</v>
      </c>
    </row>
    <row r="206" ht="22.5" customHeight="1">
      <c r="A206" s="2">
        <v>205.0</v>
      </c>
      <c r="B206" s="3" t="s">
        <v>12660</v>
      </c>
      <c r="C206" s="3" t="s">
        <v>12661</v>
      </c>
      <c r="D206" s="3" t="s">
        <v>12662</v>
      </c>
      <c r="F206" s="5" t="str">
        <f>IFERROR(__xludf.DUMMYFUNCTION("GOOGLETRANSLATE(A206, ""en"", ""hi"")"),"205")</f>
        <v>205</v>
      </c>
      <c r="G206" s="5" t="str">
        <f>IFERROR(__xludf.DUMMYFUNCTION("GOOGLETRANSLATE(B206, ""en"", ""hi"")"),"थांग-ता प्रशिक्षण के दौरान, एक अभ्यासी एक त्वरित वापसी करता है और फिर तलवार से आगे की ओर झपट्टा मारता है। झपट्टा मारने से पहले पीछे हटने का उद्देश्य क्या है?")</f>
        <v>थांग-ता प्रशिक्षण के दौरान, एक अभ्यासी एक त्वरित वापसी करता है और फिर तलवार से आगे की ओर झपट्टा मारता है। झपट्टा मारने से पहले पीछे हटने का उद्देश्य क्या है?</v>
      </c>
      <c r="H206" s="5" t="str">
        <f>IFERROR(__xludf.DUMMYFUNCTION("GOOGLETRANSLATE(C206, ""en"", ""hi"")"),"A) प्रभावी हमले के लिए जगह बनाना और फिर उसे तेजी से बंद करना।, B) चपलता प्रदर्शित करना।, C) सटीकता का अभ्यास करना।, D) ध्यान भटकाना।")</f>
        <v>A) प्रभावी हमले के लिए जगह बनाना और फिर उसे तेजी से बंद करना।, B) चपलता प्रदर्शित करना।, C) सटीकता का अभ्यास करना।, D) ध्यान भटकाना।</v>
      </c>
      <c r="I206" s="5" t="str">
        <f>IFERROR(__xludf.DUMMYFUNCTION("GOOGLETRANSLATE(D206, ""en"", ""hi"")"),"क) प्रभावी हमले के लिए जगह बनाना और फिर उसे तेजी से बंद करना।")</f>
        <v>क) प्रभावी हमले के लिए जगह बनाना और फिर उसे तेजी से बंद करना।</v>
      </c>
    </row>
    <row r="207" ht="22.5" customHeight="1">
      <c r="A207" s="2">
        <v>206.0</v>
      </c>
      <c r="B207" s="3" t="s">
        <v>12663</v>
      </c>
      <c r="C207" s="3" t="s">
        <v>12664</v>
      </c>
      <c r="D207" s="3" t="s">
        <v>12665</v>
      </c>
      <c r="F207" s="5" t="str">
        <f>IFERROR(__xludf.DUMMYFUNCTION("GOOGLETRANSLATE(A207, ""en"", ""hi"")"),"206")</f>
        <v>206</v>
      </c>
      <c r="G207" s="5" t="str">
        <f>IFERROR(__xludf.DUMMYFUNCTION("GOOGLETRANSLATE(B207, ""en"", ""hi"")"),"थांग-ता मुकाबले में, एक प्रतिभागी भाले से कई बार ज़ोरदार प्रहार करता है। ऊँचे प्रहारों का अभ्यास करने का मुख्य उद्देश्य क्या है?")</f>
        <v>थांग-ता मुकाबले में, एक प्रतिभागी भाले से कई बार ज़ोरदार प्रहार करता है। ऊँचे प्रहारों का अभ्यास करने का मुख्य उद्देश्य क्या है?</v>
      </c>
      <c r="H207" s="5" t="str">
        <f>IFERROR(__xludf.DUMMYFUNCTION("GOOGLETRANSLATE(C207, ""en"", ""hi"")"),"A) प्रतिद्वंद्वी के ऊपरी शरीर को निशाना बनाना और उन्हें रक्षात्मक रुख अपनाने के लिए मजबूर करना।, B) कौशल का प्रदर्शन करना।, C) सटीकता का अभ्यास करना।, D) प्रतिद्वंद्वी को भ्रमित करना।")</f>
        <v>A) प्रतिद्वंद्वी के ऊपरी शरीर को निशाना बनाना और उन्हें रक्षात्मक रुख अपनाने के लिए मजबूर करना।, B) कौशल का प्रदर्शन करना।, C) सटीकता का अभ्यास करना।, D) प्रतिद्वंद्वी को भ्रमित करना।</v>
      </c>
      <c r="I207" s="5" t="str">
        <f>IFERROR(__xludf.DUMMYFUNCTION("GOOGLETRANSLATE(D207, ""en"", ""hi"")"),"क) प्रतिद्वंद्वी के ऊपरी शरीर को निशाना बनाना और उन्हें रक्षात्मक रुख अपनाने के लिए मजबूर करना।")</f>
        <v>क) प्रतिद्वंद्वी के ऊपरी शरीर को निशाना बनाना और उन्हें रक्षात्मक रुख अपनाने के लिए मजबूर करना।</v>
      </c>
    </row>
    <row r="208" ht="22.5" customHeight="1">
      <c r="A208" s="2">
        <v>207.0</v>
      </c>
      <c r="B208" s="3" t="s">
        <v>12666</v>
      </c>
      <c r="C208" s="3" t="s">
        <v>12667</v>
      </c>
      <c r="D208" s="3" t="s">
        <v>12668</v>
      </c>
      <c r="F208" s="5" t="str">
        <f>IFERROR(__xludf.DUMMYFUNCTION("GOOGLETRANSLATE(A208, ""en"", ""hi"")"),"207")</f>
        <v>207</v>
      </c>
      <c r="G208" s="5" t="str">
        <f>IFERROR(__xludf.DUMMYFUNCTION("GOOGLETRANSLATE(B208, ""en"", ""hi"")"),"थांग-ता का अभ्यासी तलवार से नीचे की ओर तेज़ी से वार करता है। इन वारों का मुख्य लाभ क्या है?")</f>
        <v>थांग-ता का अभ्यासी तलवार से नीचे की ओर तेज़ी से वार करता है। इन वारों का मुख्य लाभ क्या है?</v>
      </c>
      <c r="H208" s="5" t="str">
        <f>IFERROR(__xludf.DUMMYFUNCTION("GOOGLETRANSLATE(C208, ""en"", ""hi"")"),"A) ऊपर से प्रतिद्वंद्वी को निशाना बनाकर एक मजबूत आक्रामक दृष्टिकोण विकसित करना।, B) ताकत का प्रदर्शन करना।, C) चपलता का अभ्यास करना।, D) भ्रम पैदा करना।")</f>
        <v>A) ऊपर से प्रतिद्वंद्वी को निशाना बनाकर एक मजबूत आक्रामक दृष्टिकोण विकसित करना।, B) ताकत का प्रदर्शन करना।, C) चपलता का अभ्यास करना।, D) भ्रम पैदा करना।</v>
      </c>
      <c r="I208" s="5" t="str">
        <f>IFERROR(__xludf.DUMMYFUNCTION("GOOGLETRANSLATE(D208, ""en"", ""hi"")"),"क) ऊपर से प्रतिद्वंद्वी को निशाना बनाकर एक मजबूत आक्रामक दृष्टिकोण विकसित करना।")</f>
        <v>क) ऊपर से प्रतिद्वंद्वी को निशाना बनाकर एक मजबूत आक्रामक दृष्टिकोण विकसित करना।</v>
      </c>
    </row>
    <row r="209" ht="22.5" customHeight="1">
      <c r="A209" s="2">
        <v>208.0</v>
      </c>
      <c r="B209" s="3" t="s">
        <v>12669</v>
      </c>
      <c r="C209" s="3" t="s">
        <v>12670</v>
      </c>
      <c r="D209" s="3" t="s">
        <v>12671</v>
      </c>
      <c r="F209" s="5" t="str">
        <f>IFERROR(__xludf.DUMMYFUNCTION("GOOGLETRANSLATE(A209, ""en"", ""hi"")"),"208")</f>
        <v>208</v>
      </c>
      <c r="G209" s="5" t="str">
        <f>IFERROR(__xludf.DUMMYFUNCTION("GOOGLETRANSLATE(B209, ""en"", ""hi"")"),"थांग-ता प्रदर्शन के दौरान, एक छात्र एक साइडस्टेप के बाद एक क्षैतिज स्लैश का उपयोग करता है। क्षैतिज स्लैश से पहले साइडस्टेप का मुख्य लाभ क्या है?")</f>
        <v>थांग-ता प्रदर्शन के दौरान, एक छात्र एक साइडस्टेप के बाद एक क्षैतिज स्लैश का उपयोग करता है। क्षैतिज स्लैश से पहले साइडस्टेप का मुख्य लाभ क्या है?</v>
      </c>
      <c r="H209" s="5" t="str">
        <f>IFERROR(__xludf.DUMMYFUNCTION("GOOGLETRANSLATE(C209, ""en"", ""hi"")"),"ए) हमले से बचने के लिए और क्षैतिज स्लैश के लिए एक नया कोण बनाने के लिए, बी) फुटवर्क दिखाने के लिए, सी) समय का अभ्यास करने के लिए, डी) प्रतिद्वंद्वी को भ्रमित करने के लिए।")</f>
        <v>ए) हमले से बचने के लिए और क्षैतिज स्लैश के लिए एक नया कोण बनाने के लिए, बी) फुटवर्क दिखाने के लिए, सी) समय का अभ्यास करने के लिए, डी) प्रतिद्वंद्वी को भ्रमित करने के लिए।</v>
      </c>
      <c r="I209" s="5" t="str">
        <f>IFERROR(__xludf.DUMMYFUNCTION("GOOGLETRANSLATE(D209, ""en"", ""hi"")"),"A) हमले से बचने के लिए और क्षैतिज स्लैश के लिए एक नया कोण बनाने के लिए।")</f>
        <v>A) हमले से बचने के लिए और क्षैतिज स्लैश के लिए एक नया कोण बनाने के लिए।</v>
      </c>
    </row>
    <row r="210" ht="22.5" customHeight="1">
      <c r="A210" s="2">
        <v>209.0</v>
      </c>
      <c r="B210" s="3" t="s">
        <v>12672</v>
      </c>
      <c r="C210" s="3" t="s">
        <v>12673</v>
      </c>
      <c r="D210" s="3" t="s">
        <v>12674</v>
      </c>
      <c r="F210" s="5" t="str">
        <f>IFERROR(__xludf.DUMMYFUNCTION("GOOGLETRANSLATE(A210, ""en"", ""hi"")"),"209")</f>
        <v>209</v>
      </c>
      <c r="G210" s="5" t="str">
        <f>IFERROR(__xludf.DUMMYFUNCTION("GOOGLETRANSLATE(B210, ""en"", ""hi"")"),"थांग-ता में, अभ्यासी एक निम्न दबाव के बाद शीघ्रता से पीछे हटता है। दबाव के बाद पीछे हटने का उद्देश्य क्या है?")</f>
        <v>थांग-ता में, अभ्यासी एक निम्न दबाव के बाद शीघ्रता से पीछे हटता है। दबाव के बाद पीछे हटने का उद्देश्य क्या है?</v>
      </c>
      <c r="H210" s="5" t="str">
        <f>IFERROR(__xludf.DUMMYFUNCTION("GOOGLETRANSLATE(C210, ""en"", ""hi"")"),"A) जवाबी हमलों से बचने और स्थिति का पुनः आकलन करने के लिए।, B) चपलता दिखाने के लिए।, C) सटीकता का अभ्यास करने के लिए।, D) भ्रम पैदा करने के लिए।")</f>
        <v>A) जवाबी हमलों से बचने और स्थिति का पुनः आकलन करने के लिए।, B) चपलता दिखाने के लिए।, C) सटीकता का अभ्यास करने के लिए।, D) भ्रम पैदा करने के लिए।</v>
      </c>
      <c r="I210" s="5" t="str">
        <f>IFERROR(__xludf.DUMMYFUNCTION("GOOGLETRANSLATE(D210, ""en"", ""hi"")"),"क) जवाबी हमलों से बचने और स्थिति का पुनः आकलन करने के लिए।")</f>
        <v>क) जवाबी हमलों से बचने और स्थिति का पुनः आकलन करने के लिए।</v>
      </c>
    </row>
    <row r="211" ht="22.5" customHeight="1">
      <c r="A211" s="2">
        <v>210.0</v>
      </c>
      <c r="B211" s="3" t="s">
        <v>12675</v>
      </c>
      <c r="C211" s="3" t="s">
        <v>12676</v>
      </c>
      <c r="D211" s="3" t="s">
        <v>12677</v>
      </c>
      <c r="F211" s="5" t="str">
        <f>IFERROR(__xludf.DUMMYFUNCTION("GOOGLETRANSLATE(A211, ""en"", ""hi"")"),"210")</f>
        <v>210</v>
      </c>
      <c r="G211" s="5" t="str">
        <f>IFERROR(__xludf.DUMMYFUNCTION("GOOGLETRANSLATE(B211, ""en"", ""hi"")"),"एक थांग-ता छात्र भाले से तेज़ी से तिरछे प्रहारों की एक श्रृंखला करता है। इन तिरछे प्रहारों का मुख्य लाभ क्या है?")</f>
        <v>एक थांग-ता छात्र भाले से तेज़ी से तिरछे प्रहारों की एक श्रृंखला करता है। इन तिरछे प्रहारों का मुख्य लाभ क्या है?</v>
      </c>
      <c r="H211" s="5" t="str">
        <f>IFERROR(__xludf.DUMMYFUNCTION("GOOGLETRANSLATE(C211, ""en"", ""hi"")"),"A) विभिन्न कोणों से प्रतिद्वंद्वी को निशाना बनाना और मौके बनाना।, B) भाला चलाने का प्रदर्शन करना।, C) गति का अभ्यास करना।, D) प्रतिद्वंद्वी को भ्रमित करना।")</f>
        <v>A) विभिन्न कोणों से प्रतिद्वंद्वी को निशाना बनाना और मौके बनाना।, B) भाला चलाने का प्रदर्शन करना।, C) गति का अभ्यास करना।, D) प्रतिद्वंद्वी को भ्रमित करना।</v>
      </c>
      <c r="I211" s="5" t="str">
        <f>IFERROR(__xludf.DUMMYFUNCTION("GOOGLETRANSLATE(D211, ""en"", ""hi"")"),"क) विभिन्न कोणों से प्रतिद्वंद्वी को निशाना बनाना और मौके बनाना।")</f>
        <v>क) विभिन्न कोणों से प्रतिद्वंद्वी को निशाना बनाना और मौके बनाना।</v>
      </c>
    </row>
    <row r="212" ht="22.5" customHeight="1">
      <c r="A212" s="2">
        <v>211.0</v>
      </c>
      <c r="B212" s="3" t="s">
        <v>12678</v>
      </c>
      <c r="C212" s="3" t="s">
        <v>12679</v>
      </c>
      <c r="D212" s="3" t="s">
        <v>12680</v>
      </c>
      <c r="F212" s="5" t="str">
        <f>IFERROR(__xludf.DUMMYFUNCTION("GOOGLETRANSLATE(A212, ""en"", ""hi"")"),"211")</f>
        <v>211</v>
      </c>
      <c r="G212" s="5" t="str">
        <f>IFERROR(__xludf.DUMMYFUNCTION("GOOGLETRANSLATE(B212, ""en"", ""hi"")"),"थांग-ता प्रशिक्षण के दौरान, एक अभ्यासी एक उच्च ब्लॉक के बाद तलवार से घूमता हुआ वार करता है। ब्लॉक के बाद घूमने वाले वार का क्या लाभ है?")</f>
        <v>थांग-ता प्रशिक्षण के दौरान, एक अभ्यासी एक उच्च ब्लॉक के बाद तलवार से घूमता हुआ वार करता है। ब्लॉक के बाद घूमने वाले वार का क्या लाभ है?</v>
      </c>
      <c r="H212" s="5" t="str">
        <f>IFERROR(__xludf.DUMMYFUNCTION("GOOGLETRANSLATE(C212, ""en"", ""hi"")"),"ए) स्ट्राइक के प्रभाव को बढ़ाने के लिए स्पिन से गति का उपयोग करना।, बी) कौशल का प्रदर्शन करना।, सी) सटीकता का अभ्यास करना।, डी) ध्यान भटकाना।")</f>
        <v>ए) स्ट्राइक के प्रभाव को बढ़ाने के लिए स्पिन से गति का उपयोग करना।, बी) कौशल का प्रदर्शन करना।, सी) सटीकता का अभ्यास करना।, डी) ध्यान भटकाना।</v>
      </c>
      <c r="I212" s="5" t="str">
        <f>IFERROR(__xludf.DUMMYFUNCTION("GOOGLETRANSLATE(D212, ""en"", ""hi"")"),"ए) स्ट्राइक के प्रभाव को बढ़ाने के लिए स्पिन से प्राप्त गति का उपयोग करना।")</f>
        <v>ए) स्ट्राइक के प्रभाव को बढ़ाने के लिए स्पिन से प्राप्त गति का उपयोग करना।</v>
      </c>
    </row>
    <row r="213" ht="22.5" customHeight="1">
      <c r="A213" s="2">
        <v>212.0</v>
      </c>
      <c r="B213" s="3" t="s">
        <v>12681</v>
      </c>
      <c r="C213" s="3" t="s">
        <v>12682</v>
      </c>
      <c r="D213" s="3" t="s">
        <v>12683</v>
      </c>
      <c r="F213" s="5" t="str">
        <f>IFERROR(__xludf.DUMMYFUNCTION("GOOGLETRANSLATE(A213, ""en"", ""hi"")"),"212")</f>
        <v>212</v>
      </c>
      <c r="G213" s="5" t="str">
        <f>IFERROR(__xludf.DUMMYFUNCTION("GOOGLETRANSLATE(B213, ""en"", ""hi"")"),"थांग-ता मैच में, एक प्रतिभागी लो कट्स की एक श्रृंखला के बाद एक हाई थ्रस्ट का उपयोग करता है। लो कट्स के बाद हाई थ्रस्ट का मुख्य उद्देश्य क्या है?")</f>
        <v>थांग-ता मैच में, एक प्रतिभागी लो कट्स की एक श्रृंखला के बाद एक हाई थ्रस्ट का उपयोग करता है। लो कट्स के बाद हाई थ्रस्ट का मुख्य उद्देश्य क्या है?</v>
      </c>
      <c r="H213" s="5" t="str">
        <f>IFERROR(__xludf.DUMMYFUNCTION("GOOGLETRANSLATE(C213, ""en"", ""hi"")"),"ए) प्रतिद्वंद्वी के कमजोर गार्ड का फायदा उठाना और उच्च हमले के लिए अवसर पैदा करना।, बी) कौशल का प्रदर्शन करना।, सी) समय का अभ्यास करना।, डी) प्रतिद्वंद्वी को भ्रमित करना।")</f>
        <v>ए) प्रतिद्वंद्वी के कमजोर गार्ड का फायदा उठाना और उच्च हमले के लिए अवसर पैदा करना।, बी) कौशल का प्रदर्शन करना।, सी) समय का अभ्यास करना।, डी) प्रतिद्वंद्वी को भ्रमित करना।</v>
      </c>
      <c r="I213" s="5" t="str">
        <f>IFERROR(__xludf.DUMMYFUNCTION("GOOGLETRANSLATE(D213, ""en"", ""hi"")"),"ए) प्रतिद्वंद्वी के कमजोर गार्ड का लाभ उठाना और उच्च आक्रमण के लिए अवसर पैदा करना।")</f>
        <v>ए) प्रतिद्वंद्वी के कमजोर गार्ड का लाभ उठाना और उच्च आक्रमण के लिए अवसर पैदा करना।</v>
      </c>
    </row>
    <row r="214" ht="22.5" customHeight="1">
      <c r="A214" s="2">
        <v>213.0</v>
      </c>
      <c r="B214" s="3" t="s">
        <v>12684</v>
      </c>
      <c r="C214" s="3" t="s">
        <v>12685</v>
      </c>
      <c r="D214" s="3" t="s">
        <v>12686</v>
      </c>
      <c r="F214" s="5" t="str">
        <f>IFERROR(__xludf.DUMMYFUNCTION("GOOGLETRANSLATE(A214, ""en"", ""hi"")"),"213")</f>
        <v>213</v>
      </c>
      <c r="G214" s="5" t="str">
        <f>IFERROR(__xludf.DUMMYFUNCTION("GOOGLETRANSLATE(B214, ""en"", ""hi"")"),"थांग-ता का अभ्यासी तलवार से एक तेज़ साइडस्टेप और फिर एक लो स्वीप करता है। लो स्वीप से पहले साइडस्टेप का मुख्य उद्देश्य क्या है?")</f>
        <v>थांग-ता का अभ्यासी तलवार से एक तेज़ साइडस्टेप और फिर एक लो स्वीप करता है। लो स्वीप से पहले साइडस्टेप का मुख्य उद्देश्य क्या है?</v>
      </c>
      <c r="H214" s="5" t="str">
        <f>IFERROR(__xludf.DUMMYFUNCTION("GOOGLETRANSLATE(C214, ""en"", ""hi"")"),"ए) प्रतिद्वंद्वी के हमले से बचने और अधिक प्रभावी स्वीप के लिए खुद को स्थिति में लाने के लिए।, बी) फुटवर्क दिखाने के लिए।, सी) सटीकता का अभ्यास करने के लिए।, डी) भ्रम पैदा करने के लिए।")</f>
        <v>ए) प्रतिद्वंद्वी के हमले से बचने और अधिक प्रभावी स्वीप के लिए खुद को स्थिति में लाने के लिए।, बी) फुटवर्क दिखाने के लिए।, सी) सटीकता का अभ्यास करने के लिए।, डी) भ्रम पैदा करने के लिए।</v>
      </c>
      <c r="I214" s="5" t="str">
        <f>IFERROR(__xludf.DUMMYFUNCTION("GOOGLETRANSLATE(D214, ""en"", ""hi"")"),"क) प्रतिद्वंद्वी के हमले से बचने और अधिक प्रभावी स्वीप के लिए खुद को तैयार करना।")</f>
        <v>क) प्रतिद्वंद्वी के हमले से बचने और अधिक प्रभावी स्वीप के लिए खुद को तैयार करना।</v>
      </c>
    </row>
    <row r="215" ht="22.5" customHeight="1">
      <c r="A215" s="2">
        <v>214.0</v>
      </c>
      <c r="B215" s="3" t="s">
        <v>12687</v>
      </c>
      <c r="C215" s="3" t="s">
        <v>12688</v>
      </c>
      <c r="D215" s="3" t="s">
        <v>12689</v>
      </c>
      <c r="F215" s="5" t="str">
        <f>IFERROR(__xludf.DUMMYFUNCTION("GOOGLETRANSLATE(A215, ""en"", ""hi"")"),"214")</f>
        <v>214</v>
      </c>
      <c r="G215" s="5" t="str">
        <f>IFERROR(__xludf.DUMMYFUNCTION("GOOGLETRANSLATE(B215, ""en"", ""hi"")"),"थांग-ता अभ्यास के दौरान, एक छात्र तीव्र गति से उच्च गति के प्रहारों की एक श्रृंखला का उपयोग करता है। इन उच्च गति के प्रहारों का मुख्य लाभ क्या है?")</f>
        <v>थांग-ता अभ्यास के दौरान, एक छात्र तीव्र गति से उच्च गति के प्रहारों की एक श्रृंखला का उपयोग करता है। इन उच्च गति के प्रहारों का मुख्य लाभ क्या है?</v>
      </c>
      <c r="H215" s="5" t="str">
        <f>IFERROR(__xludf.DUMMYFUNCTION("GOOGLETRANSLATE(C215, ""en"", ""hi"")"),"A) प्रतिद्वंद्वी के ऊपरी शरीर पर लगातार दबाव डालना और उन्हें रक्षात्मक रुख अपनाने के लिए मजबूर करना।, B) कौशल का प्रदर्शन करना।, C) समय का अभ्यास करना।, D) ध्यान भटकाना।")</f>
        <v>A) प्रतिद्वंद्वी के ऊपरी शरीर पर लगातार दबाव डालना और उन्हें रक्षात्मक रुख अपनाने के लिए मजबूर करना।, B) कौशल का प्रदर्शन करना।, C) समय का अभ्यास करना।, D) ध्यान भटकाना।</v>
      </c>
      <c r="I215" s="5" t="str">
        <f>IFERROR(__xludf.DUMMYFUNCTION("GOOGLETRANSLATE(D215, ""en"", ""hi"")"),"क) प्रतिद्वंद्वी के ऊपरी शरीर पर लगातार दबाव डालना और उन्हें रक्षात्मक रुख अपनाने के लिए मजबूर करना।")</f>
        <v>क) प्रतिद्वंद्वी के ऊपरी शरीर पर लगातार दबाव डालना और उन्हें रक्षात्मक रुख अपनाने के लिए मजबूर करना।</v>
      </c>
    </row>
    <row r="216" ht="22.5" customHeight="1">
      <c r="A216" s="2">
        <v>215.0</v>
      </c>
      <c r="B216" s="3" t="s">
        <v>12690</v>
      </c>
      <c r="C216" s="3" t="s">
        <v>12691</v>
      </c>
      <c r="D216" s="3" t="s">
        <v>12692</v>
      </c>
      <c r="F216" s="5" t="str">
        <f>IFERROR(__xludf.DUMMYFUNCTION("GOOGLETRANSLATE(A216, ""en"", ""hi"")"),"215")</f>
        <v>215</v>
      </c>
      <c r="G216" s="5" t="str">
        <f>IFERROR(__xludf.DUMMYFUNCTION("GOOGLETRANSLATE(B216, ""en"", ""hi"")"),"थांग-ता में, अभ्यासी पहले लो ब्लॉक और फिर हाई कट करता है। ब्लॉक के बाद हाई कट करने से क्या लाभ है?")</f>
        <v>थांग-ता में, अभ्यासी पहले लो ब्लॉक और फिर हाई कट करता है। ब्लॉक के बाद हाई कट करने से क्या लाभ है?</v>
      </c>
      <c r="H216" s="5" t="str">
        <f>IFERROR(__xludf.DUMMYFUNCTION("GOOGLETRANSLATE(C216, ""en"", ""hi"")"),"ए) बचाव से आक्रमण की ओर संक्रमण करना और प्रतिद्वंद्वी के ऊपरी शरीर को निशाना बनाना।, बी) कौशल का प्रदर्शन करना।, सी) ताकत का अभ्यास करना।, डी) प्रतिद्वंद्वी को भ्रमित करना।")</f>
        <v>ए) बचाव से आक्रमण की ओर संक्रमण करना और प्रतिद्वंद्वी के ऊपरी शरीर को निशाना बनाना।, बी) कौशल का प्रदर्शन करना।, सी) ताकत का अभ्यास करना।, डी) प्रतिद्वंद्वी को भ्रमित करना।</v>
      </c>
      <c r="I216" s="5" t="str">
        <f>IFERROR(__xludf.DUMMYFUNCTION("GOOGLETRANSLATE(D216, ""en"", ""hi"")"),"ए) बचाव से आक्रमण की ओर संक्रमण करना और प्रतिद्वंद्वी के ऊपरी शरीर को निशाना बनाना।")</f>
        <v>ए) बचाव से आक्रमण की ओर संक्रमण करना और प्रतिद्वंद्वी के ऊपरी शरीर को निशाना बनाना।</v>
      </c>
    </row>
    <row r="217" ht="22.5" customHeight="1">
      <c r="A217" s="2">
        <v>216.0</v>
      </c>
      <c r="B217" s="3" t="s">
        <v>12693</v>
      </c>
      <c r="C217" s="3" t="s">
        <v>12694</v>
      </c>
      <c r="D217" s="3" t="s">
        <v>12695</v>
      </c>
      <c r="F217" s="5" t="str">
        <f>IFERROR(__xludf.DUMMYFUNCTION("GOOGLETRANSLATE(A217, ""en"", ""hi"")"),"216")</f>
        <v>216</v>
      </c>
      <c r="G217" s="5" t="str">
        <f>IFERROR(__xludf.DUMMYFUNCTION("GOOGLETRANSLATE(B217, ""en"", ""hi"")"),"एक थांग-ता छात्र पहले एक त्वरित रिट्रीट और फिर एक विकर्ण कट करता है। कट से पहले रिट्रीट का उद्देश्य क्या है?")</f>
        <v>एक थांग-ता छात्र पहले एक त्वरित रिट्रीट और फिर एक विकर्ण कट करता है। कट से पहले रिट्रीट का उद्देश्य क्या है?</v>
      </c>
      <c r="H217" s="5" t="str">
        <f>IFERROR(__xludf.DUMMYFUNCTION("GOOGLETRANSLATE(C217, ""en"", ""hi"")"),"A) स्थान बनाना और फिर अधिक प्रभावी हमले के लिए करीब आना।, B) चपलता प्रदर्शित करना।, C) समय का अभ्यास करना।, D) ध्यान भटकाना।")</f>
        <v>A) स्थान बनाना और फिर अधिक प्रभावी हमले के लिए करीब आना।, B) चपलता प्रदर्शित करना।, C) समय का अभ्यास करना।, D) ध्यान भटकाना।</v>
      </c>
      <c r="I217" s="5" t="str">
        <f>IFERROR(__xludf.DUMMYFUNCTION("GOOGLETRANSLATE(D217, ""en"", ""hi"")"),"क) स्थान बनाना और फिर अधिक प्रभावी आक्रमण के लिए निकट आना।")</f>
        <v>क) स्थान बनाना और फिर अधिक प्रभावी आक्रमण के लिए निकट आना।</v>
      </c>
    </row>
    <row r="218" ht="22.5" customHeight="1">
      <c r="A218" s="2">
        <v>217.0</v>
      </c>
      <c r="B218" s="3" t="s">
        <v>12696</v>
      </c>
      <c r="C218" s="3" t="s">
        <v>12697</v>
      </c>
      <c r="D218" s="3" t="s">
        <v>12698</v>
      </c>
      <c r="F218" s="5" t="str">
        <f>IFERROR(__xludf.DUMMYFUNCTION("GOOGLETRANSLATE(A218, ""en"", ""hi"")"),"217")</f>
        <v>217</v>
      </c>
      <c r="G218" s="5" t="str">
        <f>IFERROR(__xludf.DUMMYFUNCTION("GOOGLETRANSLATE(B218, ""en"", ""hi"")"),"थांग-ता प्रदर्शन के दौरान, अभ्यासी निम्न दबावों की एक श्रृंखला के बाद उच्च अवरोध का प्रयोग करता है। दबावों के बाद उच्च अवरोध का क्या लाभ है?")</f>
        <v>थांग-ता प्रदर्शन के दौरान, अभ्यासी निम्न दबावों की एक श्रृंखला के बाद उच्च अवरोध का प्रयोग करता है। दबावों के बाद उच्च अवरोध का क्या लाभ है?</v>
      </c>
      <c r="H218" s="5" t="str">
        <f>IFERROR(__xludf.DUMMYFUNCTION("GOOGLETRANSLATE(C218, ""en"", ""hi"")"),"A) संभावित जवाबी हमलों से बचाव करना और रक्षात्मक स्थिति सुरक्षित करना।, B) कौशल का प्रदर्शन करना।, C) समय का अभ्यास करना।, D) प्रतिद्वंद्वी को भ्रमित करना।")</f>
        <v>A) संभावित जवाबी हमलों से बचाव करना और रक्षात्मक स्थिति सुरक्षित करना।, B) कौशल का प्रदर्शन करना।, C) समय का अभ्यास करना।, D) प्रतिद्वंद्वी को भ्रमित करना।</v>
      </c>
      <c r="I218" s="5" t="str">
        <f>IFERROR(__xludf.DUMMYFUNCTION("GOOGLETRANSLATE(D218, ""en"", ""hi"")"),"क) संभावित जवाबी हमलों से बचाव करना तथा रक्षात्मक स्थिति सुरक्षित करना।")</f>
        <v>क) संभावित जवाबी हमलों से बचाव करना तथा रक्षात्मक स्थिति सुरक्षित करना।</v>
      </c>
    </row>
    <row r="219" ht="22.5" customHeight="1">
      <c r="A219" s="2">
        <v>218.0</v>
      </c>
      <c r="B219" s="3" t="s">
        <v>12699</v>
      </c>
      <c r="C219" s="3" t="s">
        <v>12700</v>
      </c>
      <c r="D219" s="3" t="s">
        <v>12701</v>
      </c>
      <c r="F219" s="5" t="str">
        <f>IFERROR(__xludf.DUMMYFUNCTION("GOOGLETRANSLATE(A219, ""en"", ""hi"")"),"218")</f>
        <v>218</v>
      </c>
      <c r="G219" s="5" t="str">
        <f>IFERROR(__xludf.DUMMYFUNCTION("GOOGLETRANSLATE(B219, ""en"", ""hi"")"),"थांग-ता मैच में, एक प्रतिभागी एक स्पिनिंग स्ट्राइक करता है और फिर तेज़ जैब की एक श्रृंखला करता है। जैब से पहले स्पिनिंग स्ट्राइक का मुख्य उद्देश्य क्या है?")</f>
        <v>थांग-ता मैच में, एक प्रतिभागी एक स्पिनिंग स्ट्राइक करता है और फिर तेज़ जैब की एक श्रृंखला करता है। जैब से पहले स्पिनिंग स्ट्राइक का मुख्य उद्देश्य क्या है?</v>
      </c>
      <c r="H219" s="5" t="str">
        <f>IFERROR(__xludf.DUMMYFUNCTION("GOOGLETRANSLATE(C219, ""en"", ""hi"")"),"ए) गति उत्पन्न करना और आगामी जैब के लिए अवसर पैदा करना। बी) चपलता प्रदर्शित करना। सी) सटीकता का अभ्यास करना। डी) ध्यान भटकाना।")</f>
        <v>ए) गति उत्पन्न करना और आगामी जैब के लिए अवसर पैदा करना। बी) चपलता प्रदर्शित करना। सी) सटीकता का अभ्यास करना। डी) ध्यान भटकाना।</v>
      </c>
      <c r="I219" s="5" t="str">
        <f>IFERROR(__xludf.DUMMYFUNCTION("GOOGLETRANSLATE(D219, ""en"", ""hi"")"),"A) गति उत्पन्न करना और आगामी प्रहारों के लिए अवसर पैदा करना।")</f>
        <v>A) गति उत्पन्न करना और आगामी प्रहारों के लिए अवसर पैदा करना।</v>
      </c>
    </row>
    <row r="220" ht="22.5" customHeight="1">
      <c r="A220" s="2">
        <v>219.0</v>
      </c>
      <c r="B220" s="3" t="s">
        <v>12702</v>
      </c>
      <c r="C220" s="3" t="s">
        <v>12703</v>
      </c>
      <c r="D220" s="3" t="s">
        <v>12704</v>
      </c>
      <c r="F220" s="5" t="str">
        <f>IFERROR(__xludf.DUMMYFUNCTION("GOOGLETRANSLATE(A220, ""en"", ""hi"")"),"219")</f>
        <v>219</v>
      </c>
      <c r="G220" s="5" t="str">
        <f>IFERROR(__xludf.DUMMYFUNCTION("GOOGLETRANSLATE(B220, ""en"", ""hi"")"),"थांग-ता का अभ्यासी ऊँचे कट्स की एक श्रृंखला के बाद लो ब्लॉक करता है। ऊँचे कट्स के बाद लो ब्लॉक का उद्देश्य क्या है?")</f>
        <v>थांग-ता का अभ्यासी ऊँचे कट्स की एक श्रृंखला के बाद लो ब्लॉक करता है। ऊँचे कट्स के बाद लो ब्लॉक का उद्देश्य क्या है?</v>
      </c>
      <c r="H220" s="5" t="str">
        <f>IFERROR(__xludf.DUMMYFUNCTION("GOOGLETRANSLATE(C220, ""en"", ""hi"")"),"A) आक्रामक हमलों से रक्षात्मक सुरक्षा में परिवर्तन करना।, B) कौशल का प्रदर्शन करना।, C) समय का अभ्यास करना।, D) प्रतिद्वंद्वी को भ्रमित करना।")</f>
        <v>A) आक्रामक हमलों से रक्षात्मक सुरक्षा में परिवर्तन करना।, B) कौशल का प्रदर्शन करना।, C) समय का अभ्यास करना।, D) प्रतिद्वंद्वी को भ्रमित करना।</v>
      </c>
      <c r="I220" s="5" t="str">
        <f>IFERROR(__xludf.DUMMYFUNCTION("GOOGLETRANSLATE(D220, ""en"", ""hi"")"),"क) आक्रामक हमलों से रक्षात्मक सुरक्षा की ओर संक्रमण करना।")</f>
        <v>क) आक्रामक हमलों से रक्षात्मक सुरक्षा की ओर संक्रमण करना।</v>
      </c>
    </row>
    <row r="221" ht="22.5" customHeight="1">
      <c r="A221" s="2">
        <v>220.0</v>
      </c>
      <c r="B221" s="3" t="s">
        <v>12705</v>
      </c>
      <c r="C221" s="3" t="s">
        <v>12706</v>
      </c>
      <c r="D221" s="3" t="s">
        <v>12707</v>
      </c>
      <c r="F221" s="5" t="str">
        <f>IFERROR(__xludf.DUMMYFUNCTION("GOOGLETRANSLATE(A221, ""en"", ""hi"")"),"220")</f>
        <v>220</v>
      </c>
      <c r="G221" s="5" t="str">
        <f>IFERROR(__xludf.DUMMYFUNCTION("GOOGLETRANSLATE(B221, ""en"", ""hi"")"),"थांग-ता प्रशिक्षण के दौरान, एक छात्र भाले से तेज़ प्रहार करता है और फिर तेज़ी से साइडस्टेप करता है। प्रहार के बाद साइडस्टेप करने का क्या लाभ है?")</f>
        <v>थांग-ता प्रशिक्षण के दौरान, एक छात्र भाले से तेज़ प्रहार करता है और फिर तेज़ी से साइडस्टेप करता है। प्रहार के बाद साइडस्टेप करने का क्या लाभ है?</v>
      </c>
      <c r="H221" s="5" t="str">
        <f>IFERROR(__xludf.DUMMYFUNCTION("GOOGLETRANSLATE(C221, ""en"", ""hi"")"),"ए) संभावित जवाबी हमलों से बचने के लिए और आगे के हमलों के लिए अपनी स्थिति बदलने के लिए।, बी) फुटवर्क दिखाने के लिए।, सी) समय का अभ्यास करने के लिए।, डी) ध्यान भटकाने के लिए।")</f>
        <v>ए) संभावित जवाबी हमलों से बचने के लिए और आगे के हमलों के लिए अपनी स्थिति बदलने के लिए।, बी) फुटवर्क दिखाने के लिए।, सी) समय का अभ्यास करने के लिए।, डी) ध्यान भटकाने के लिए।</v>
      </c>
      <c r="I221" s="5" t="str">
        <f>IFERROR(__xludf.DUMMYFUNCTION("GOOGLETRANSLATE(D221, ""en"", ""hi"")"),"क) संभावित जवाबी हमलों से बचने और आगे के हमलों के लिए पुनः स्थिति तैयार करने के लिए।")</f>
        <v>क) संभावित जवाबी हमलों से बचने और आगे के हमलों के लिए पुनः स्थिति तैयार करने के लिए।</v>
      </c>
    </row>
    <row r="222" ht="22.5" customHeight="1">
      <c r="A222" s="2">
        <v>221.0</v>
      </c>
      <c r="B222" s="3" t="s">
        <v>12708</v>
      </c>
      <c r="C222" s="3" t="s">
        <v>12709</v>
      </c>
      <c r="D222" s="3" t="s">
        <v>12710</v>
      </c>
      <c r="F222" s="5" t="str">
        <f>IFERROR(__xludf.DUMMYFUNCTION("GOOGLETRANSLATE(A222, ""en"", ""hi"")"),"221")</f>
        <v>221</v>
      </c>
      <c r="G222" s="5" t="str">
        <f>IFERROR(__xludf.DUMMYFUNCTION("GOOGLETRANSLATE(B222, ""en"", ""hi"")"),"थांग-ता में, एक साधक तलवार से कई तिरछे वार करता है। इन तिरछे वारों का मुख्य उद्देश्य क्या है?")</f>
        <v>थांग-ता में, एक साधक तलवार से कई तिरछे वार करता है। इन तिरछे वारों का मुख्य उद्देश्य क्या है?</v>
      </c>
      <c r="H222" s="5" t="str">
        <f>IFERROR(__xludf.DUMMYFUNCTION("GOOGLETRANSLATE(C222, ""en"", ""hi"")"),"A) विभिन्न कोणों से आक्रमण करना और प्रतिद्वंद्वी के बचाव में छेद बनाना।, B) कौशल का प्रदर्शन करना।, C) सटीकता का अभ्यास करना।, D) भ्रम पैदा करना।")</f>
        <v>A) विभिन्न कोणों से आक्रमण करना और प्रतिद्वंद्वी के बचाव में छेद बनाना।, B) कौशल का प्रदर्शन करना।, C) सटीकता का अभ्यास करना।, D) भ्रम पैदा करना।</v>
      </c>
      <c r="I222" s="5" t="str">
        <f>IFERROR(__xludf.DUMMYFUNCTION("GOOGLETRANSLATE(D222, ""en"", ""hi"")"),"क) विभिन्न कोणों से आक्रमण करना तथा प्रतिद्वंद्वी की रक्षा में छेद बनाना।")</f>
        <v>क) विभिन्न कोणों से आक्रमण करना तथा प्रतिद्वंद्वी की रक्षा में छेद बनाना।</v>
      </c>
    </row>
    <row r="223" ht="22.5" customHeight="1">
      <c r="A223" s="2">
        <v>222.0</v>
      </c>
      <c r="B223" s="3" t="s">
        <v>12711</v>
      </c>
      <c r="C223" s="3" t="s">
        <v>12712</v>
      </c>
      <c r="D223" s="3" t="s">
        <v>12713</v>
      </c>
      <c r="F223" s="5" t="str">
        <f>IFERROR(__xludf.DUMMYFUNCTION("GOOGLETRANSLATE(A223, ""en"", ""hi"")"),"222")</f>
        <v>222</v>
      </c>
      <c r="G223" s="5" t="str">
        <f>IFERROR(__xludf.DUMMYFUNCTION("GOOGLETRANSLATE(B223, ""en"", ""hi"")"),"एक थांग-टा छात्र पहले लो स्वीप के बाद हाई थ्रस्ट करता है। हाई थ्रस्ट से पहले लो स्वीप का मुख्य लाभ क्या है?")</f>
        <v>एक थांग-टा छात्र पहले लो स्वीप के बाद हाई थ्रस्ट करता है। हाई थ्रस्ट से पहले लो स्वीप का मुख्य लाभ क्या है?</v>
      </c>
      <c r="H223" s="5" t="str">
        <f>IFERROR(__xludf.DUMMYFUNCTION("GOOGLETRANSLATE(C223, ""en"", ""hi"")"),"A) प्रतिद्वंद्वी का संतुलन बिगाड़ना और उच्च आक्रमण का अवसर पैदा करना।, B) कौशल प्रदर्शित करना।, C) समय का अभ्यास करना।, D) प्रतिद्वंद्वी को भ्रमित करना।")</f>
        <v>A) प्रतिद्वंद्वी का संतुलन बिगाड़ना और उच्च आक्रमण का अवसर पैदा करना।, B) कौशल प्रदर्शित करना।, C) समय का अभ्यास करना।, D) प्रतिद्वंद्वी को भ्रमित करना।</v>
      </c>
      <c r="I223" s="5" t="str">
        <f>IFERROR(__xludf.DUMMYFUNCTION("GOOGLETRANSLATE(D223, ""en"", ""hi"")"),"अ) प्रतिद्वंद्वी के संतुलन को बिगाड़ना और उच्च आक्रमण का अवसर पैदा करना।")</f>
        <v>अ) प्रतिद्वंद्वी के संतुलन को बिगाड़ना और उच्च आक्रमण का अवसर पैदा करना।</v>
      </c>
    </row>
    <row r="224" ht="22.5" customHeight="1">
      <c r="A224" s="2">
        <v>223.0</v>
      </c>
      <c r="B224" s="3" t="s">
        <v>12714</v>
      </c>
      <c r="C224" s="3" t="s">
        <v>12715</v>
      </c>
      <c r="D224" s="3" t="s">
        <v>12716</v>
      </c>
      <c r="F224" s="5" t="str">
        <f>IFERROR(__xludf.DUMMYFUNCTION("GOOGLETRANSLATE(A224, ""en"", ""hi"")"),"223")</f>
        <v>223</v>
      </c>
      <c r="G224" s="5" t="str">
        <f>IFERROR(__xludf.DUMMYFUNCTION("GOOGLETRANSLATE(B224, ""en"", ""hi"")"),"थांग-ता अभ्यास के दौरान, साधक भाले से तेज़ और ऊँचे प्रहारों की एक श्रृंखला का प्रयोग करता है। ऊँचे प्रहारों पर ध्यान केंद्रित करने से क्या लाभ है?")</f>
        <v>थांग-ता अभ्यास के दौरान, साधक भाले से तेज़ और ऊँचे प्रहारों की एक श्रृंखला का प्रयोग करता है। ऊँचे प्रहारों पर ध्यान केंद्रित करने से क्या लाभ है?</v>
      </c>
      <c r="H224" s="5" t="str">
        <f>IFERROR(__xludf.DUMMYFUNCTION("GOOGLETRANSLATE(C224, ""en"", ""hi"")"),"A) प्रतिद्वंद्वी के ऊपरी शरीर पर दबाव डालना और रक्षात्मक प्रतिक्रिया के लिए मजबूर करना।, B) गति दिखाना।, C) सटीकता का अभ्यास करना।, D) भ्रम पैदा करना।")</f>
        <v>A) प्रतिद्वंद्वी के ऊपरी शरीर पर दबाव डालना और रक्षात्मक प्रतिक्रिया के लिए मजबूर करना।, B) गति दिखाना।, C) सटीकता का अभ्यास करना।, D) भ्रम पैदा करना।</v>
      </c>
      <c r="I224" s="5" t="str">
        <f>IFERROR(__xludf.DUMMYFUNCTION("GOOGLETRANSLATE(D224, ""en"", ""hi"")"),"क) प्रतिद्वंद्वी के ऊपरी शरीर पर दबाव डालना और रक्षात्मक प्रतिक्रिया के लिए मजबूर करना।")</f>
        <v>क) प्रतिद्वंद्वी के ऊपरी शरीर पर दबाव डालना और रक्षात्मक प्रतिक्रिया के लिए मजबूर करना।</v>
      </c>
    </row>
    <row r="225" ht="22.5" customHeight="1">
      <c r="A225" s="2">
        <v>224.0</v>
      </c>
      <c r="B225" s="3" t="s">
        <v>12717</v>
      </c>
      <c r="C225" s="3" t="s">
        <v>12718</v>
      </c>
      <c r="D225" s="3" t="s">
        <v>12719</v>
      </c>
      <c r="F225" s="5" t="str">
        <f>IFERROR(__xludf.DUMMYFUNCTION("GOOGLETRANSLATE(A225, ""en"", ""hi"")"),"224")</f>
        <v>224</v>
      </c>
      <c r="G225" s="5" t="str">
        <f>IFERROR(__xludf.DUMMYFUNCTION("GOOGLETRANSLATE(B225, ""en"", ""hi"")"),"थांग-ता मैच में, एक प्रतिभागी तेज़ी से नीचे की ओर प्रहार करता है। इन नीचे की ओर प्रहारों का उद्देश्य क्या है?")</f>
        <v>थांग-ता मैच में, एक प्रतिभागी तेज़ी से नीचे की ओर प्रहार करता है। इन नीचे की ओर प्रहारों का उद्देश्य क्या है?</v>
      </c>
      <c r="H225" s="5" t="str">
        <f>IFERROR(__xludf.DUMMYFUNCTION("GOOGLETRANSLATE(C225, ""en"", ""hi"")"),"A) ऊपर से दबाव डालना और प्रतिद्वंद्वी को रक्षात्मक स्थिति में आने के लिए मजबूर करना।, B) ताकत का प्रदर्शन करना।, C) चपलता का अभ्यास करना।, D) ध्यान भटकाना।")</f>
        <v>A) ऊपर से दबाव डालना और प्रतिद्वंद्वी को रक्षात्मक स्थिति में आने के लिए मजबूर करना।, B) ताकत का प्रदर्शन करना।, C) चपलता का अभ्यास करना।, D) ध्यान भटकाना।</v>
      </c>
      <c r="I225" s="5" t="str">
        <f>IFERROR(__xludf.DUMMYFUNCTION("GOOGLETRANSLATE(D225, ""en"", ""hi"")"),"क) ऊपर से दबाव डालना और प्रतिद्वंद्वी को रक्षात्मक स्थिति में आने के लिए मजबूर करना।")</f>
        <v>क) ऊपर से दबाव डालना और प्रतिद्वंद्वी को रक्षात्मक स्थिति में आने के लिए मजबूर करना।</v>
      </c>
    </row>
    <row r="226" ht="22.5" customHeight="1">
      <c r="A226" s="2">
        <v>225.0</v>
      </c>
      <c r="B226" s="3" t="s">
        <v>12720</v>
      </c>
      <c r="C226" s="3" t="s">
        <v>12721</v>
      </c>
      <c r="D226" s="3" t="s">
        <v>12722</v>
      </c>
      <c r="F226" s="5" t="str">
        <f>IFERROR(__xludf.DUMMYFUNCTION("GOOGLETRANSLATE(A226, ""en"", ""hi"")"),"225")</f>
        <v>225</v>
      </c>
      <c r="G226" s="5" t="str">
        <f>IFERROR(__xludf.DUMMYFUNCTION("GOOGLETRANSLATE(B226, ""en"", ""hi"")"),"थांग-ता का अभ्यासी एक त्वरित पैरी के बाद एक उच्च कट करता है। पैरी के बाद उच्च कट का क्या लाभ है?")</f>
        <v>थांग-ता का अभ्यासी एक त्वरित पैरी के बाद एक उच्च कट करता है। पैरी के बाद उच्च कट का क्या लाभ है?</v>
      </c>
      <c r="H226" s="5" t="str">
        <f>IFERROR(__xludf.DUMMYFUNCTION("GOOGLETRANSLATE(C226, ""en"", ""hi"")"),"ए) पैरी द्वारा बनाए गए अवसर का लाभ उठाना और एक प्रभावी उच्च आक्रमण करना।, बी) कौशल का प्रदर्शन करना।, सी) समय का अभ्यास करना।, डी) प्रतिद्वंद्वी को भ्रमित करना।")</f>
        <v>ए) पैरी द्वारा बनाए गए अवसर का लाभ उठाना और एक प्रभावी उच्च आक्रमण करना।, बी) कौशल का प्रदर्शन करना।, सी) समय का अभ्यास करना।, डी) प्रतिद्वंद्वी को भ्रमित करना।</v>
      </c>
      <c r="I226" s="5" t="str">
        <f>IFERROR(__xludf.DUMMYFUNCTION("GOOGLETRANSLATE(D226, ""en"", ""hi"")"),"ए) पैरी द्वारा बनाए गए अवसर का लाभ उठाना और प्रभावी उच्च आक्रमण करना।")</f>
        <v>ए) पैरी द्वारा बनाए गए अवसर का लाभ उठाना और प्रभावी उच्च आक्रमण करना।</v>
      </c>
    </row>
    <row r="227" ht="22.5" customHeight="1">
      <c r="A227" s="2">
        <v>226.0</v>
      </c>
      <c r="B227" s="3" t="s">
        <v>12723</v>
      </c>
      <c r="C227" s="3" t="s">
        <v>12724</v>
      </c>
      <c r="D227" s="3" t="s">
        <v>12725</v>
      </c>
      <c r="F227" s="5" t="str">
        <f>IFERROR(__xludf.DUMMYFUNCTION("GOOGLETRANSLATE(A227, ""en"", ""hi"")"),"226")</f>
        <v>226</v>
      </c>
      <c r="G227" s="5" t="str">
        <f>IFERROR(__xludf.DUMMYFUNCTION("GOOGLETRANSLATE(B227, ""en"", ""hi"")"),"थांग-ता प्रदर्शन के दौरान, एक छात्र एक साइडस्टेप के बाद एक उच्च थ्रस्ट का उपयोग करता है। उच्च थ्रस्ट से पहले साइडस्टेप का मुख्य लाभ क्या है?")</f>
        <v>थांग-ता प्रदर्शन के दौरान, एक छात्र एक साइडस्टेप के बाद एक उच्च थ्रस्ट का उपयोग करता है। उच्च थ्रस्ट से पहले साइडस्टेप का मुख्य लाभ क्या है?</v>
      </c>
      <c r="H227" s="5" t="str">
        <f>IFERROR(__xludf.DUMMYFUNCTION("GOOGLETRANSLATE(C227, ""en"", ""hi"")"),"ए) प्रतिद्वंद्वी के हमले से बचने और जोर लगाने के लिए बेहतर कोण बनाने के लिए, बी) फुटवर्क दिखाने के लिए, सी) सटीकता का अभ्यास करने के लिए, डी) ध्यान भटकाने के लिए।")</f>
        <v>ए) प्रतिद्वंद्वी के हमले से बचने और जोर लगाने के लिए बेहतर कोण बनाने के लिए, बी) फुटवर्क दिखाने के लिए, सी) सटीकता का अभ्यास करने के लिए, डी) ध्यान भटकाने के लिए।</v>
      </c>
      <c r="I227" s="5" t="str">
        <f>IFERROR(__xludf.DUMMYFUNCTION("GOOGLETRANSLATE(D227, ""en"", ""hi"")"),"क) प्रतिद्वंद्वी के हमले से बचने और प्रहार के लिए बेहतर कोण बनाने के लिए।")</f>
        <v>क) प्रतिद्वंद्वी के हमले से बचने और प्रहार के लिए बेहतर कोण बनाने के लिए।</v>
      </c>
    </row>
    <row r="228" ht="22.5" customHeight="1">
      <c r="A228" s="2">
        <v>227.0</v>
      </c>
      <c r="B228" s="3" t="s">
        <v>12726</v>
      </c>
      <c r="C228" s="3" t="s">
        <v>12727</v>
      </c>
      <c r="D228" s="3" t="s">
        <v>12728</v>
      </c>
      <c r="F228" s="5" t="str">
        <f>IFERROR(__xludf.DUMMYFUNCTION("GOOGLETRANSLATE(A228, ""en"", ""hi"")"),"227")</f>
        <v>227</v>
      </c>
      <c r="G228" s="5" t="str">
        <f>IFERROR(__xludf.DUMMYFUNCTION("GOOGLETRANSLATE(B228, ""en"", ""hi"")"),"थांग-ता में, एक अभ्यासी पहले एक निम्न ब्लॉक और फिर एक त्वरित विकर्ण कट करता है। ब्लॉक के बाद विकर्ण कट का प्राथमिक लक्ष्य क्या है?")</f>
        <v>थांग-ता में, एक अभ्यासी पहले एक निम्न ब्लॉक और फिर एक त्वरित विकर्ण कट करता है। ब्लॉक के बाद विकर्ण कट का प्राथमिक लक्ष्य क्या है?</v>
      </c>
      <c r="H228" s="5" t="str">
        <f>IFERROR(__xludf.DUMMYFUNCTION("GOOGLETRANSLATE(C228,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228" s="5" t="str">
        <f>IFERROR(__xludf.DUMMYFUNCTION("GOOGLETRANSLATE(D228, ""en"", ""hi"")"),"क) रक्षा से आक्रमण और कोण से आक्रमण की ओर संक्रमण करना।")</f>
        <v>क) रक्षा से आक्रमण और कोण से आक्रमण की ओर संक्रमण करना।</v>
      </c>
    </row>
    <row r="229" ht="22.5" customHeight="1">
      <c r="A229" s="2">
        <v>228.0</v>
      </c>
      <c r="B229" s="3" t="s">
        <v>12729</v>
      </c>
      <c r="C229" s="3" t="s">
        <v>12730</v>
      </c>
      <c r="D229" s="3" t="s">
        <v>12731</v>
      </c>
      <c r="F229" s="5" t="str">
        <f>IFERROR(__xludf.DUMMYFUNCTION("GOOGLETRANSLATE(A229, ""en"", ""hi"")"),"228")</f>
        <v>228</v>
      </c>
      <c r="G229" s="5" t="str">
        <f>IFERROR(__xludf.DUMMYFUNCTION("GOOGLETRANSLATE(B229, ""en"", ""hi"")"),"एक थांग-ता छात्र पहले एक उच्च ब्लॉक करता है, फिर एक त्वरित वापसी और फिर एक निम्न धक्का। वापसी से पहले उच्च ब्लॉक का उद्देश्य क्या है?")</f>
        <v>एक थांग-ता छात्र पहले एक उच्च ब्लॉक करता है, फिर एक त्वरित वापसी और फिर एक निम्न धक्का। वापसी से पहले उच्च ब्लॉक का उद्देश्य क्या है?</v>
      </c>
      <c r="H229" s="5" t="str">
        <f>IFERROR(__xludf.DUMMYFUNCTION("GOOGLETRANSLATE(C229, ""en"", ""hi"")"),"A) उच्च हमलों से बचाव करना और जवाबी हमले के लिए जगह बनाना।, B) कौशल का प्रदर्शन करना।, C) समय का अभ्यास करना।, D) प्रतिद्वंद्वी को भ्रमित करना।")</f>
        <v>A) उच्च हमलों से बचाव करना और जवाबी हमले के लिए जगह बनाना।, B) कौशल का प्रदर्शन करना।, C) समय का अभ्यास करना।, D) प्रतिद्वंद्वी को भ्रमित करना।</v>
      </c>
      <c r="I229" s="5" t="str">
        <f>IFERROR(__xludf.DUMMYFUNCTION("GOOGLETRANSLATE(D229, ""en"", ""hi"")"),"क) उच्च हमलों से बचाव करना और जवाबी हमले के लिए जगह बनाना।")</f>
        <v>क) उच्च हमलों से बचाव करना और जवाबी हमले के लिए जगह बनाना।</v>
      </c>
    </row>
    <row r="230" ht="22.5" customHeight="1">
      <c r="A230" s="2">
        <v>229.0</v>
      </c>
      <c r="B230" s="3" t="s">
        <v>12732</v>
      </c>
      <c r="C230" s="3" t="s">
        <v>12733</v>
      </c>
      <c r="D230" s="3" t="s">
        <v>12734</v>
      </c>
      <c r="F230" s="5" t="str">
        <f>IFERROR(__xludf.DUMMYFUNCTION("GOOGLETRANSLATE(A230, ""en"", ""hi"")"),"229")</f>
        <v>229</v>
      </c>
      <c r="G230" s="5" t="str">
        <f>IFERROR(__xludf.DUMMYFUNCTION("GOOGLETRANSLATE(B230, ""en"", ""hi"")"),"थांग-ता प्रशिक्षण के दौरान, एक अभ्यासी भाले से कई तेज़ प्रहार करता है। इन प्रहारों का मुख्य लाभ क्या है?")</f>
        <v>थांग-ता प्रशिक्षण के दौरान, एक अभ्यासी भाले से कई तेज़ प्रहार करता है। इन प्रहारों का मुख्य लाभ क्या है?</v>
      </c>
      <c r="H230" s="5" t="str">
        <f>IFERROR(__xludf.DUMMYFUNCTION("GOOGLETRANSLATE(C230, ""en"", ""hi"")"),"A) प्रतिद्वंद्वी पर लगातार दबाव डालना और मौके बनाना।, B) गति दिखाना।, C) सटीकता का अभ्यास करना।, D) भ्रम पैदा करना।")</f>
        <v>A) प्रतिद्वंद्वी पर लगातार दबाव डालना और मौके बनाना।, B) गति दिखाना।, C) सटीकता का अभ्यास करना।, D) भ्रम पैदा करना।</v>
      </c>
      <c r="I230" s="5" t="str">
        <f>IFERROR(__xludf.DUMMYFUNCTION("GOOGLETRANSLATE(D230, ""en"", ""hi"")"),"क) प्रतिद्वंद्वी पर लगातार दबाव बनाना और मौके बनाना।")</f>
        <v>क) प्रतिद्वंद्वी पर लगातार दबाव बनाना और मौके बनाना।</v>
      </c>
    </row>
    <row r="231" ht="22.5" customHeight="1">
      <c r="A231" s="2">
        <v>230.0</v>
      </c>
      <c r="B231" s="3" t="s">
        <v>12735</v>
      </c>
      <c r="C231" s="3" t="s">
        <v>12736</v>
      </c>
      <c r="D231" s="3" t="s">
        <v>12737</v>
      </c>
      <c r="F231" s="5" t="str">
        <f>IFERROR(__xludf.DUMMYFUNCTION("GOOGLETRANSLATE(A231, ""en"", ""hi"")"),"230")</f>
        <v>230</v>
      </c>
      <c r="G231" s="5" t="str">
        <f>IFERROR(__xludf.DUMMYFUNCTION("GOOGLETRANSLATE(B231, ""en"", ""hi"")"),"थांग-ता मैच में, एक प्रतिभागी हाई कट्स की एक श्रृंखला के बाद लो स्वीप का उपयोग करता है। हाई कट्स के बाद लो स्वीप का मुख्य उद्देश्य क्या है?")</f>
        <v>थांग-ता मैच में, एक प्रतिभागी हाई कट्स की एक श्रृंखला के बाद लो स्वीप का उपयोग करता है। हाई कट्स के बाद लो स्वीप का मुख्य उद्देश्य क्या है?</v>
      </c>
      <c r="H231" s="5" t="str">
        <f>IFERROR(__xludf.DUMMYFUNCTION("GOOGLETRANSLATE(C231, ""en"", ""hi"")"),"ए)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f>
        <v>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v>
      </c>
      <c r="I231" s="5" t="str">
        <f>IFERROR(__xludf.DUMMYFUNCTION("GOOGLETRANSLATE(D231, ""en"", ""hi"")"),"ए) प्रतिद्वंद्वी के उच्च सुरक्षा का लाभ उठाना और उनके निचले शरीर पर हमला करना।")</f>
        <v>ए) प्रतिद्वंद्वी के उच्च सुरक्षा का लाभ उठाना और उनके निचले शरीर पर हमला करना।</v>
      </c>
    </row>
    <row r="232" ht="22.5" customHeight="1">
      <c r="A232" s="2">
        <v>231.0</v>
      </c>
      <c r="B232" s="3" t="s">
        <v>12738</v>
      </c>
      <c r="C232" s="3" t="s">
        <v>12739</v>
      </c>
      <c r="D232" s="3" t="s">
        <v>12674</v>
      </c>
      <c r="F232" s="5" t="str">
        <f>IFERROR(__xludf.DUMMYFUNCTION("GOOGLETRANSLATE(A232, ""en"", ""hi"")"),"231")</f>
        <v>231</v>
      </c>
      <c r="G232" s="5" t="str">
        <f>IFERROR(__xludf.DUMMYFUNCTION("GOOGLETRANSLATE(B232, ""en"", ""hi"")"),"थांग-ता का अभ्यासी पहले घूमता हुआ प्रहार करता है और फिर तुरंत पीछे हट जाता है। घूमने वाले प्रहार के बाद पीछे हटने का क्या लाभ है?")</f>
        <v>थांग-ता का अभ्यासी पहले घूमता हुआ प्रहार करता है और फिर तुरंत पीछे हट जाता है। घूमने वाले प्रहार के बाद पीछे हटने का क्या लाभ है?</v>
      </c>
      <c r="H232" s="5" t="str">
        <f>IFERROR(__xludf.DUMMYFUNCTION("GOOGLETRANSLATE(C232, ""en"", ""hi"")"),"क) जवाबी हमलों से बचने और स्थिति का पुनः आकलन करने के लिए, ख) चपलता दिखाने के लिए, ग) समय का अभ्यास करने के लिए, घ) ध्यान भटकाने के लिए।")</f>
        <v>क) जवाबी हमलों से बचने और स्थिति का पुनः आकलन करने के लिए, ख) चपलता दिखाने के लिए, ग) समय का अभ्यास करने के लिए, घ) ध्यान भटकाने के लिए।</v>
      </c>
      <c r="I232" s="5" t="str">
        <f>IFERROR(__xludf.DUMMYFUNCTION("GOOGLETRANSLATE(D232, ""en"", ""hi"")"),"क) जवाबी हमलों से बचने और स्थिति का पुनः आकलन करने के लिए।")</f>
        <v>क) जवाबी हमलों से बचने और स्थिति का पुनः आकलन करने के लिए।</v>
      </c>
    </row>
    <row r="233" ht="22.5" customHeight="1">
      <c r="A233" s="2">
        <v>232.0</v>
      </c>
      <c r="B233" s="3" t="s">
        <v>12740</v>
      </c>
      <c r="C233" s="3" t="s">
        <v>12741</v>
      </c>
      <c r="D233" s="3" t="s">
        <v>12742</v>
      </c>
      <c r="F233" s="5" t="str">
        <f>IFERROR(__xludf.DUMMYFUNCTION("GOOGLETRANSLATE(A233, ""en"", ""hi"")"),"232")</f>
        <v>232</v>
      </c>
      <c r="G233" s="5" t="str">
        <f>IFERROR(__xludf.DUMMYFUNCTION("GOOGLETRANSLATE(B233, ""en"", ""hi"")"),"थांग-ता अभ्यास के दौरान, एक छात्र तेज़ी से ऊपर की ओर वार करता है। इन ऊपर की ओर वार का मुख्य उद्देश्य क्या है?")</f>
        <v>थांग-ता अभ्यास के दौरान, एक छात्र तेज़ी से ऊपर की ओर वार करता है। इन ऊपर की ओर वार का मुख्य उद्देश्य क्या है?</v>
      </c>
      <c r="H233" s="5" t="str">
        <f>IFERROR(__xludf.DUMMYFUNCTION("GOOGLETRANSLATE(C233, ""en"", ""hi"")"),"A) ऊपर से हमला करना और प्रतिद्वंद्वी के बचाव में छेद बनाना।, B) गति दिखाना।, C) सटीकता का अभ्यास करना।, D) प्रतिद्वंद्वी को भ्रमित करना।")</f>
        <v>A) ऊपर से हमला करना और प्रतिद्वंद्वी के बचाव में छेद बनाना।, B) गति दिखाना।, C) सटीकता का अभ्यास करना।, D) प्रतिद्वंद्वी को भ्रमित करना।</v>
      </c>
      <c r="I233" s="5" t="str">
        <f>IFERROR(__xludf.DUMMYFUNCTION("GOOGLETRANSLATE(D233, ""en"", ""hi"")"),"क) ऊपर से हमला करना और प्रतिद्वंद्वी के बचाव में छेद बनाना।")</f>
        <v>क) ऊपर से हमला करना और प्रतिद्वंद्वी के बचाव में छेद बनाना।</v>
      </c>
    </row>
    <row r="234" ht="22.5" customHeight="1">
      <c r="A234" s="2">
        <v>233.0</v>
      </c>
      <c r="B234" s="3" t="s">
        <v>12743</v>
      </c>
      <c r="C234" s="3" t="s">
        <v>12744</v>
      </c>
      <c r="D234" s="3" t="s">
        <v>12745</v>
      </c>
      <c r="F234" s="5" t="str">
        <f>IFERROR(__xludf.DUMMYFUNCTION("GOOGLETRANSLATE(A234, ""en"", ""hi"")"),"233")</f>
        <v>233</v>
      </c>
      <c r="G234" s="5" t="str">
        <f>IFERROR(__xludf.DUMMYFUNCTION("GOOGLETRANSLATE(B234, ""en"", ""hi"")"),"थांग-ता में, अभ्यासी पहले निम्न स्वीप और फिर उच्च थ्रस्ट करता है। उच्च थ्रस्ट से पहले निम्न स्वीप का उद्देश्य क्या है?")</f>
        <v>थांग-ता में, अभ्यासी पहले निम्न स्वीप और फिर उच्च थ्रस्ट करता है। उच्च थ्रस्ट से पहले निम्न स्वीप का उद्देश्य क्या है?</v>
      </c>
      <c r="H234" s="5" t="str">
        <f>IFERROR(__xludf.DUMMYFUNCTION("GOOGLETRANSLATE(C234, ""en"", ""hi"")"),"A) प्रतिद्वंद्वी का संतुलन बिगाड़ना और उच्च आक्रमण के लिए अवसर पैदा करना।, B) कौशल प्रदर्शित करना।, C) समय का अभ्यास करना।, D) प्रतिद्वंद्वी को भ्रमित करना।")</f>
        <v>A) प्रतिद्वंद्वी का संतुलन बिगाड़ना और उच्च आक्रमण के लिए अवसर पैदा करना।, B) कौशल प्रदर्शित करना।, C) समय का अभ्यास करना।, D) प्रतिद्वंद्वी को भ्रमित करना।</v>
      </c>
      <c r="I234" s="5" t="str">
        <f>IFERROR(__xludf.DUMMYFUNCTION("GOOGLETRANSLATE(D234, ""en"", ""hi"")"),"क) प्रतिद्वंद्वी के संतुलन को बिगाड़ना और उच्च आक्रमण के लिए अवसर पैदा करना।")</f>
        <v>क) प्रतिद्वंद्वी के संतुलन को बिगाड़ना और उच्च आक्रमण के लिए अवसर पैदा करना।</v>
      </c>
    </row>
    <row r="235" ht="22.5" customHeight="1">
      <c r="A235" s="2">
        <v>234.0</v>
      </c>
      <c r="B235" s="3" t="s">
        <v>12746</v>
      </c>
      <c r="C235" s="3" t="s">
        <v>12747</v>
      </c>
      <c r="D235" s="3" t="s">
        <v>12748</v>
      </c>
      <c r="F235" s="5" t="str">
        <f>IFERROR(__xludf.DUMMYFUNCTION("GOOGLETRANSLATE(A235, ""en"", ""hi"")"),"234")</f>
        <v>234</v>
      </c>
      <c r="G235" s="5" t="str">
        <f>IFERROR(__xludf.DUMMYFUNCTION("GOOGLETRANSLATE(B235, ""en"", ""hi"")"),"एक थांग-ता छात्र तलवार से तेज़ी से तिरछे वार करता है। इन तिरछे वारों का मुख्य लाभ क्या है?")</f>
        <v>एक थांग-ता छात्र तलवार से तेज़ी से तिरछे वार करता है। इन तिरछे वारों का मुख्य लाभ क्या है?</v>
      </c>
      <c r="H235" s="5" t="str">
        <f>IFERROR(__xludf.DUMMYFUNCTION("GOOGLETRANSLATE(C235, ""en"", ""hi"")"),"A) विभिन्न कोणों से हमला करना और कई अवसर पैदा करना।, B) कौशल का प्रदर्शन करना।, C) सटीकता का अभ्यास करना।, D) भ्रम पैदा करना।")</f>
        <v>A) विभिन्न कोणों से हमला करना और कई अवसर पैदा करना।, B) कौशल का प्रदर्शन करना।, C) सटीकता का अभ्यास करना।, D) भ्रम पैदा करना।</v>
      </c>
      <c r="I235" s="5" t="str">
        <f>IFERROR(__xludf.DUMMYFUNCTION("GOOGLETRANSLATE(D235, ""en"", ""hi"")"),"क) विभिन्न कोणों से आक्रमण करना और अनेक अवसर पैदा करना।")</f>
        <v>क) विभिन्न कोणों से आक्रमण करना और अनेक अवसर पैदा करना।</v>
      </c>
    </row>
    <row r="236" ht="22.5" customHeight="1">
      <c r="A236" s="2">
        <v>235.0</v>
      </c>
      <c r="B236" s="3" t="s">
        <v>12749</v>
      </c>
      <c r="C236" s="3" t="s">
        <v>12750</v>
      </c>
      <c r="D236" s="3" t="s">
        <v>12751</v>
      </c>
      <c r="F236" s="5" t="str">
        <f>IFERROR(__xludf.DUMMYFUNCTION("GOOGLETRANSLATE(A236, ""en"", ""hi"")"),"235")</f>
        <v>235</v>
      </c>
      <c r="G236" s="5" t="str">
        <f>IFERROR(__xludf.DUMMYFUNCTION("GOOGLETRANSLATE(B236, ""en"", ""hi"")"),"थांग-ता प्रदर्शन के दौरान, एक अभ्यासी उच्च थ्रस्ट के बाद निम्न ब्लॉक करता है। उच्च थ्रस्ट के बाद निम्न ब्लॉक का क्या लाभ है?")</f>
        <v>थांग-ता प्रदर्शन के दौरान, एक अभ्यासी उच्च थ्रस्ट के बाद निम्न ब्लॉक करता है। उच्च थ्रस्ट के बाद निम्न ब्लॉक का क्या लाभ है?</v>
      </c>
      <c r="H236" s="5" t="str">
        <f>IFERROR(__xludf.DUMMYFUNCTION("GOOGLETRANSLATE(C236, ""en"", ""hi"")"),"A) जवाबी हमलों से बचाव करना और रक्षात्मक स्थिति सुरक्षित करना।, B) कौशल का प्रदर्शन करना।, C) समय का अभ्यास करना।, D) प्रतिद्वंद्वी को भ्रमित करना।")</f>
        <v>A) जवाबी हमलों से बचाव करना और रक्षात्मक स्थिति सुरक्षित करना।, B) कौशल का प्रदर्शन करना।, C) समय का अभ्यास करना।, D) प्रतिद्वंद्वी को भ्रमित करना।</v>
      </c>
      <c r="I236" s="5" t="str">
        <f>IFERROR(__xludf.DUMMYFUNCTION("GOOGLETRANSLATE(D236, ""en"", ""hi"")"),"क) जवाबी हमलों से बचाव करना और रक्षात्मक स्थिति सुरक्षित करना।")</f>
        <v>क) जवाबी हमलों से बचाव करना और रक्षात्मक स्थिति सुरक्षित करना।</v>
      </c>
    </row>
    <row r="237" ht="22.5" customHeight="1">
      <c r="A237" s="2">
        <v>236.0</v>
      </c>
      <c r="B237" s="3" t="s">
        <v>12752</v>
      </c>
      <c r="C237" s="3" t="s">
        <v>12753</v>
      </c>
      <c r="D237" s="3" t="s">
        <v>12754</v>
      </c>
      <c r="F237" s="5" t="str">
        <f>IFERROR(__xludf.DUMMYFUNCTION("GOOGLETRANSLATE(A237, ""en"", ""hi"")"),"236")</f>
        <v>236</v>
      </c>
      <c r="G237" s="5" t="str">
        <f>IFERROR(__xludf.DUMMYFUNCTION("GOOGLETRANSLATE(B237, ""en"", ""hi"")"),"थांग-ता में, एक अभ्यासी एक त्वरित साइडस्टेप और फिर एक क्षैतिज स्लैश करता है। क्षैतिज स्लैश से पहले साइडस्टेप का प्राथमिक लक्ष्य क्या है?")</f>
        <v>थांग-ता में, एक अभ्यासी एक त्वरित साइडस्टेप और फिर एक क्षैतिज स्लैश करता है। क्षैतिज स्लैश से पहले साइडस्टेप का प्राथमिक लक्ष्य क्या है?</v>
      </c>
      <c r="H237" s="5" t="str">
        <f>IFERROR(__xludf.DUMMYFUNCTION("GOOGLETRANSLATE(C237, ""en"", ""hi"")"),"ए) अधिक प्रभावी क्षैतिज स्लैश के लिए प्रतिद्वंद्वी के हमले और स्थिति से बचने के लिए, बी) फुटवर्क दिखाने के लिए, सी) समय का अभ्यास करने के लिए, डी) भ्रम पैदा करने के लिए।")</f>
        <v>ए) अधिक प्रभावी क्षैतिज स्लैश के लिए प्रतिद्वंद्वी के हमले और स्थिति से बचने के लिए, बी) फुटवर्क दिखाने के लिए, सी) समय का अभ्यास करने के लिए, डी) भ्रम पैदा करने के लिए।</v>
      </c>
      <c r="I237" s="5" t="str">
        <f>IFERROR(__xludf.DUMMYFUNCTION("GOOGLETRANSLATE(D237, ""en"", ""hi"")"),"क) प्रतिद्वंद्वी के हमले से बचने और अधिक प्रभावी क्षैतिज स्लैश के लिए स्थिति बनाना।")</f>
        <v>क) प्रतिद्वंद्वी के हमले से बचने और अधिक प्रभावी क्षैतिज स्लैश के लिए स्थिति बनाना।</v>
      </c>
    </row>
    <row r="238" ht="22.5" customHeight="1">
      <c r="A238" s="2">
        <v>237.0</v>
      </c>
      <c r="B238" s="3" t="s">
        <v>12755</v>
      </c>
      <c r="C238" s="3" t="s">
        <v>12756</v>
      </c>
      <c r="D238" s="3" t="s">
        <v>12757</v>
      </c>
      <c r="F238" s="5" t="str">
        <f>IFERROR(__xludf.DUMMYFUNCTION("GOOGLETRANSLATE(A238, ""en"", ""hi"")"),"237")</f>
        <v>237</v>
      </c>
      <c r="G238" s="5" t="str">
        <f>IFERROR(__xludf.DUMMYFUNCTION("GOOGLETRANSLATE(B238, ""en"", ""hi"")"),"एक थांग-ता छात्र भाले से कई बार हल्के प्रहार करता है। इन हल्के प्रहारों का मुख्य उद्देश्य क्या है?")</f>
        <v>एक थांग-ता छात्र भाले से कई बार हल्के प्रहार करता है। इन हल्के प्रहारों का मुख्य उद्देश्य क्या है?</v>
      </c>
      <c r="H238" s="5" t="str">
        <f>IFERROR(__xludf.DUMMYFUNCTION("GOOGLETRANSLATE(C238, ""en"", ""hi"")"),"A) प्रतिद्वंद्वी के निचले शरीर को निशाना बनाना और उनका संतुलन बिगाड़ना।, B) भाला चलाने का प्रदर्शन करना।, C) सटीकता का अभ्यास करना।, D) भ्रम पैदा करना।")</f>
        <v>A) प्रतिद्वंद्वी के निचले शरीर को निशाना बनाना और उनका संतुलन बिगाड़ना।, B) भाला चलाने का प्रदर्शन करना।, C) सटीकता का अभ्यास करना।, D) भ्रम पैदा करना।</v>
      </c>
      <c r="I238" s="5" t="str">
        <f>IFERROR(__xludf.DUMMYFUNCTION("GOOGLETRANSLATE(D238, ""en"", ""hi"")"),"क) प्रतिद्वंद्वी के निचले शरीर को निशाना बनाना और उनका संतुलन बिगाड़ना।")</f>
        <v>क) प्रतिद्वंद्वी के निचले शरीर को निशाना बनाना और उनका संतुलन बिगाड़ना।</v>
      </c>
    </row>
    <row r="239" ht="22.5" customHeight="1">
      <c r="A239" s="2">
        <v>238.0</v>
      </c>
      <c r="B239" s="3" t="s">
        <v>12758</v>
      </c>
      <c r="C239" s="3" t="s">
        <v>12759</v>
      </c>
      <c r="D239" s="3" t="s">
        <v>12760</v>
      </c>
      <c r="F239" s="5" t="str">
        <f>IFERROR(__xludf.DUMMYFUNCTION("GOOGLETRANSLATE(A239, ""en"", ""hi"")"),"238")</f>
        <v>238</v>
      </c>
      <c r="G239" s="5" t="str">
        <f>IFERROR(__xludf.DUMMYFUNCTION("GOOGLETRANSLATE(B239, ""en"", ""hi"")"),"थांग-ता प्रदर्शन के दौरान, अभ्यासी एक घूर्णन प्रहार के बाद एक तेज़ प्रहार करता है। प्रहार से पहले घूर्णन प्रहार का मुख्य लाभ क्या है?")</f>
        <v>थांग-ता प्रदर्शन के दौरान, अभ्यासी एक घूर्णन प्रहार के बाद एक तेज़ प्रहार करता है। प्रहार से पहले घूर्णन प्रहार का मुख्य लाभ क्या है?</v>
      </c>
      <c r="H239" s="5" t="str">
        <f>IFERROR(__xludf.DUMMYFUNCTION("GOOGLETRANSLATE(C239, ""en"", ""hi"")"),"A) अधिक प्रभावी जोर के लिए गति उत्पन्न करना।, B) चपलता प्रदर्शित करना।, C) सटीकता का अभ्यास करना।, D) भ्रम पैदा करना।")</f>
        <v>A) अधिक प्रभावी जोर के लिए गति उत्पन्न करना।, B) चपलता प्रदर्शित करना।, C) सटीकता का अभ्यास करना।, D) भ्रम पैदा करना।</v>
      </c>
      <c r="I239" s="5" t="str">
        <f>IFERROR(__xludf.DUMMYFUNCTION("GOOGLETRANSLATE(D239, ""en"", ""hi"")"),"क) अधिक प्रभावी जोर के लिए संवेग उत्पन्न करना।")</f>
        <v>क) अधिक प्रभावी जोर के लिए संवेग उत्पन्न करना।</v>
      </c>
    </row>
    <row r="240" ht="22.5" customHeight="1">
      <c r="A240" s="2">
        <v>239.0</v>
      </c>
      <c r="B240" s="3" t="s">
        <v>12761</v>
      </c>
      <c r="C240" s="3" t="s">
        <v>12762</v>
      </c>
      <c r="D240" s="3" t="s">
        <v>12763</v>
      </c>
      <c r="F240" s="5" t="str">
        <f>IFERROR(__xludf.DUMMYFUNCTION("GOOGLETRANSLATE(A240, ""en"", ""hi"")"),"239")</f>
        <v>239</v>
      </c>
      <c r="G240" s="5" t="str">
        <f>IFERROR(__xludf.DUMMYFUNCTION("GOOGLETRANSLATE(B240, ""en"", ""hi"")"),"थांग-ता में, एक अभ्यासी लो ब्लॉक के बाद हाई कट करता है। ब्लॉक के बाद हाई कट का मुख्य उद्देश्य क्या है?")</f>
        <v>थांग-ता में, एक अभ्यासी लो ब्लॉक के बाद हाई कट करता है। ब्लॉक के बाद हाई कट का मुख्य उद्देश्य क्या है?</v>
      </c>
      <c r="H240" s="5" t="str">
        <f>IFERROR(__xludf.DUMMYFUNCTION("GOOGLETRANSLATE(C240, ""en"", ""hi"")"),"ए) बचाव से आक्रमण की ओर संक्रमण करना और प्रतिद्वंद्वी के ऊपरी शरीर पर हमला करना।, बी) कौशल का प्रदर्शन करना।, सी) समय का अभ्यास करना।, डी) प्रतिद्वंद्वी को भ्रमित करना।")</f>
        <v>ए) बचाव से आक्रमण की ओर संक्रमण करना और प्रतिद्वंद्वी के ऊपरी शरीर पर हमला करना।, बी) कौशल का प्रदर्शन करना।, सी) समय का अभ्यास करना।, डी) प्रतिद्वंद्वी को भ्रमित करना।</v>
      </c>
      <c r="I240" s="5" t="str">
        <f>IFERROR(__xludf.DUMMYFUNCTION("GOOGLETRANSLATE(D240, ""en"", ""hi"")"),"ए) बचाव से आक्रमण की ओर संक्रमण करना और प्रतिद्वंद्वी के ऊपरी शरीर पर आक्रमण करना।")</f>
        <v>ए) बचाव से आक्रमण की ओर संक्रमण करना और प्रतिद्वंद्वी के ऊपरी शरीर पर आक्रमण करना।</v>
      </c>
    </row>
    <row r="241" ht="22.5" customHeight="1">
      <c r="A241" s="2">
        <v>240.0</v>
      </c>
      <c r="B241" s="3" t="s">
        <v>12764</v>
      </c>
      <c r="C241" s="3" t="s">
        <v>12765</v>
      </c>
      <c r="D241" s="3" t="s">
        <v>12707</v>
      </c>
      <c r="F241" s="5" t="str">
        <f>IFERROR(__xludf.DUMMYFUNCTION("GOOGLETRANSLATE(A241, ""en"", ""hi"")"),"240")</f>
        <v>240</v>
      </c>
      <c r="G241" s="5" t="str">
        <f>IFERROR(__xludf.DUMMYFUNCTION("GOOGLETRANSLATE(B241, ""en"", ""hi"")"),"एक थांग-ता छात्र कई तेज़ धक्कों के बाद एक तेज़ साइडस्टेप करता है। तेज़ धक्कों के बाद साइडस्टेप का उद्देश्य क्या है?")</f>
        <v>एक थांग-ता छात्र कई तेज़ धक्कों के बाद एक तेज़ साइडस्टेप करता है। तेज़ धक्कों के बाद साइडस्टेप का उद्देश्य क्या है?</v>
      </c>
      <c r="H241" s="5" t="str">
        <f>IFERROR(__xludf.DUMMYFUNCTION("GOOGLETRANSLATE(C241, ""en"", ""hi"")"),"ए) संभावित जवाबी हमलों से बचने और आगे के हमलों के लिए अपनी स्थिति बदलने के लिए।, बी) फुटवर्क दिखाने के लिए।, सी) समय का अभ्यास करने के लिए।, डी) भ्रम पैदा करने के लिए।")</f>
        <v>ए) संभावित जवाबी हमलों से बचने और आगे के हमलों के लिए अपनी स्थिति बदलने के लिए।, बी) फुटवर्क दिखाने के लिए।, सी) समय का अभ्यास करने के लिए।, डी) भ्रम पैदा करने के लिए।</v>
      </c>
      <c r="I241" s="5" t="str">
        <f>IFERROR(__xludf.DUMMYFUNCTION("GOOGLETRANSLATE(D241, ""en"", ""hi"")"),"क) संभावित जवाबी हमलों से बचने और आगे के हमलों के लिए पुनः स्थिति तैयार करने के लिए।")</f>
        <v>क) संभावित जवाबी हमलों से बचने और आगे के हमलों के लिए पुनः स्थिति तैयार करने के लिए।</v>
      </c>
    </row>
    <row r="242" ht="22.5" customHeight="1">
      <c r="A242" s="2">
        <v>241.0</v>
      </c>
      <c r="B242" s="3" t="s">
        <v>12766</v>
      </c>
      <c r="C242" s="3" t="s">
        <v>12767</v>
      </c>
      <c r="D242" s="3" t="s">
        <v>12768</v>
      </c>
      <c r="F242" s="5" t="str">
        <f>IFERROR(__xludf.DUMMYFUNCTION("GOOGLETRANSLATE(A242, ""en"", ""hi"")"),"241")</f>
        <v>241</v>
      </c>
      <c r="G242" s="5" t="str">
        <f>IFERROR(__xludf.DUMMYFUNCTION("GOOGLETRANSLATE(B242, ""en"", ""hi"")"),"थांग-ता प्रशिक्षण के दौरान, एक अभ्यासी तलवार से तेज़ी से नीचे की ओर कई वार करता है। नीचे की ओर वार करने पर ध्यान केंद्रित करने से क्या लाभ है?")</f>
        <v>थांग-ता प्रशिक्षण के दौरान, एक अभ्यासी तलवार से तेज़ी से नीचे की ओर कई वार करता है। नीचे की ओर वार करने पर ध्यान केंद्रित करने से क्या लाभ है?</v>
      </c>
      <c r="H242" s="5" t="str">
        <f>IFERROR(__xludf.DUMMYFUNCTION("GOOGLETRANSLATE(C242, ""en"", ""hi"")"),"A) ऊपर से दबाव डालना और प्रतिद्वंद्वी को रक्षात्मक रुख अपनाने के लिए मजबूर करना।, B) ताकत दिखाना।, C) चपलता का अभ्यास करना।, D) भ्रम पैदा करना।")</f>
        <v>A) ऊपर से दबाव डालना और प्रतिद्वंद्वी को रक्षात्मक रुख अपनाने के लिए मजबूर करना।, B) ताकत दिखाना।, C) चपलता का अभ्यास करना।, D) भ्रम पैदा करना।</v>
      </c>
      <c r="I242" s="5" t="str">
        <f>IFERROR(__xludf.DUMMYFUNCTION("GOOGLETRANSLATE(D242, ""en"", ""hi"")"),"क) ऊपर से दबाव डालना और प्रतिद्वंद्वी को रक्षात्मक रुख अपनाने पर मजबूर करना।")</f>
        <v>क) ऊपर से दबाव डालना और प्रतिद्वंद्वी को रक्षात्मक रुख अपनाने पर मजबूर करना।</v>
      </c>
    </row>
    <row r="243" ht="22.5" customHeight="1">
      <c r="A243" s="2">
        <v>242.0</v>
      </c>
      <c r="B243" s="3" t="s">
        <v>12769</v>
      </c>
      <c r="C243" s="3" t="s">
        <v>12770</v>
      </c>
      <c r="D243" s="3" t="s">
        <v>12771</v>
      </c>
      <c r="F243" s="5" t="str">
        <f>IFERROR(__xludf.DUMMYFUNCTION("GOOGLETRANSLATE(A243, ""en"", ""hi"")"),"242")</f>
        <v>242</v>
      </c>
      <c r="G243" s="5" t="str">
        <f>IFERROR(__xludf.DUMMYFUNCTION("GOOGLETRANSLATE(B243, ""en"", ""hi"")"),"थांग-ता मैच में, एक प्रतिभागी तलवार से कई तिरछे वार करता है। इन तिरछे वारों का मुख्य उद्देश्य क्या है?")</f>
        <v>थांग-ता मैच में, एक प्रतिभागी तलवार से कई तिरछे वार करता है। इन तिरछे वारों का मुख्य उद्देश्य क्या है?</v>
      </c>
      <c r="H243" s="5" t="str">
        <f>IFERROR(__xludf.DUMMYFUNCTION("GOOGLETRANSLATE(C243, ""en"", ""hi"")"),"A) विभिन्न कोणों से हमला करना और प्रतिद्वंद्वी के बचाव में कई अवसर पैदा करना।, B) कौशल का प्रदर्शन करना।, C) समय का अभ्यास करना।, D) प्रतिद्वंद्वी को भ्रमित करना।")</f>
        <v>A) विभिन्न कोणों से हमला करना और प्रतिद्वंद्वी के बचाव में कई अवसर पैदा करना।, B) कौशल का प्रदर्शन करना।, C) समय का अभ्यास करना।, D) प्रतिद्वंद्वी को भ्रमित करना।</v>
      </c>
      <c r="I243" s="5" t="str">
        <f>IFERROR(__xludf.DUMMYFUNCTION("GOOGLETRANSLATE(D243, ""en"", ""hi"")"),"क) विभिन्न कोणों से आक्रमण करना और प्रतिद्वंद्वी के बचाव में कई अवसर पैदा करना।")</f>
        <v>क) विभिन्न कोणों से आक्रमण करना और प्रतिद्वंद्वी के बचाव में कई अवसर पैदा करना।</v>
      </c>
    </row>
    <row r="244" ht="22.5" customHeight="1">
      <c r="A244" s="2">
        <v>243.0</v>
      </c>
      <c r="B244" s="3" t="s">
        <v>12772</v>
      </c>
      <c r="C244" s="3" t="s">
        <v>12773</v>
      </c>
      <c r="D244" s="3" t="s">
        <v>12745</v>
      </c>
      <c r="F244" s="5" t="str">
        <f>IFERROR(__xludf.DUMMYFUNCTION("GOOGLETRANSLATE(A244, ""en"", ""hi"")"),"243")</f>
        <v>243</v>
      </c>
      <c r="G244" s="5" t="str">
        <f>IFERROR(__xludf.DUMMYFUNCTION("GOOGLETRANSLATE(B244, ""en"", ""hi"")"),"थांग-ता का अभ्यासी पहले निम्न स्वीप करता है और उसके बाद उच्च थ्रस्ट करता है। उच्च थ्रस्ट से पहले निम्न स्वीप करने से क्या लाभ है?")</f>
        <v>थांग-ता का अभ्यासी पहले निम्न स्वीप करता है और उसके बाद उच्च थ्रस्ट करता है। उच्च थ्रस्ट से पहले निम्न स्वीप करने से क्या लाभ है?</v>
      </c>
      <c r="H244" s="5" t="str">
        <f>IFERROR(__xludf.DUMMYFUNCTION("GOOGLETRANSLATE(C244, ""en"", ""hi"")"),"A) प्रतिद्वंद्वी के संतुलन को बिगाड़ना और उच्च हमले के लिए अवसर पैदा करना।, B) कौशल का प्रदर्शन करना।, C) सटीकता का अभ्यास करना।, D) प्रतिद्वंद्वी को भ्रमित करना।")</f>
        <v>A) प्रतिद्वंद्वी के संतुलन को बिगाड़ना और उच्च हमले के लिए अवसर पैदा करना।, B) कौशल का प्रदर्शन करना।, C) सटीकता का अभ्यास करना।, D) प्रतिद्वंद्वी को भ्रमित करना।</v>
      </c>
      <c r="I244" s="5" t="str">
        <f>IFERROR(__xludf.DUMMYFUNCTION("GOOGLETRANSLATE(D244, ""en"", ""hi"")"),"क) प्रतिद्वंद्वी के संतुलन को बिगाड़ना और उच्च आक्रमण के लिए अवसर पैदा करना।")</f>
        <v>क) प्रतिद्वंद्वी के संतुलन को बिगाड़ना और उच्च आक्रमण के लिए अवसर पैदा करना।</v>
      </c>
    </row>
    <row r="245" ht="22.5" customHeight="1">
      <c r="A245" s="2">
        <v>244.0</v>
      </c>
      <c r="B245" s="3" t="s">
        <v>12774</v>
      </c>
      <c r="C245" s="3" t="s">
        <v>12775</v>
      </c>
      <c r="D245" s="3" t="s">
        <v>12776</v>
      </c>
      <c r="F245" s="5" t="str">
        <f>IFERROR(__xludf.DUMMYFUNCTION("GOOGLETRANSLATE(A245, ""en"", ""hi"")"),"244")</f>
        <v>244</v>
      </c>
      <c r="G245" s="5" t="str">
        <f>IFERROR(__xludf.DUMMYFUNCTION("GOOGLETRANSLATE(B245, ""en"", ""hi"")"),"थांग-ता अभ्यास के दौरान, एक छात्र पहले एक तेज़ साइडस्टेप और फिर एक विकर्ण कट का उपयोग करता है। कट से पहले साइडस्टेप का मुख्य लाभ क्या है?")</f>
        <v>थांग-ता अभ्यास के दौरान, एक छात्र पहले एक तेज़ साइडस्टेप और फिर एक विकर्ण कट का उपयोग करता है। कट से पहले साइडस्टेप का मुख्य लाभ क्या है?</v>
      </c>
      <c r="H245" s="5" t="str">
        <f>IFERROR(__xludf.DUMMYFUNCTION("GOOGLETRANSLATE(C245, ""en"", ""hi"")"),"ए)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f>
        <v>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v>
      </c>
      <c r="I245" s="5" t="str">
        <f>IFERROR(__xludf.DUMMYFUNCTION("GOOGLETRANSLATE(D245, ""en"", ""hi"")"),"क) प्रतिद्वंद्वी के हमले से बचने के लिए और अधिक प्रभावी विकर्ण कट के लिए खुद को तैयार करना।")</f>
        <v>क) प्रतिद्वंद्वी के हमले से बचने के लिए और अधिक प्रभावी विकर्ण कट के लिए खुद को तैयार करना।</v>
      </c>
    </row>
    <row r="246" ht="22.5" customHeight="1">
      <c r="A246" s="2">
        <v>245.0</v>
      </c>
      <c r="B246" s="3" t="s">
        <v>12777</v>
      </c>
      <c r="C246" s="3" t="s">
        <v>12778</v>
      </c>
      <c r="D246" s="3" t="s">
        <v>12779</v>
      </c>
      <c r="F246" s="5" t="str">
        <f>IFERROR(__xludf.DUMMYFUNCTION("GOOGLETRANSLATE(A246, ""en"", ""hi"")"),"245")</f>
        <v>245</v>
      </c>
      <c r="G246" s="5" t="str">
        <f>IFERROR(__xludf.DUMMYFUNCTION("GOOGLETRANSLATE(B246, ""en"", ""hi"")"),"थांग-ता में, अभ्यासी एक तेज़ गति से पीछे हटने के बाद एक तेज़ गति से पीछे हटता है। ज़ोर लगाने के बाद पीछे हटने का मुख्य लाभ क्या है?")</f>
        <v>थांग-ता में, अभ्यासी एक तेज़ गति से पीछे हटने के बाद एक तेज़ गति से पीछे हटता है। ज़ोर लगाने के बाद पीछे हटने का मुख्य लाभ क्या है?</v>
      </c>
      <c r="H246" s="5" t="str">
        <f>IFERROR(__xludf.DUMMYFUNCTION("GOOGLETRANSLATE(C246, ""en"", ""hi"")"),"क) जवाबी हमलों से बचने और आगे के हमलों के लिए अपनी स्थिति बदलने के लिए।, ख) चपलता दिखाने के लिए।, ग) समय का अभ्यास करने के लिए।, घ) भ्रम पैदा करने के लिए।")</f>
        <v>क) जवाबी हमलों से बचने और आगे के हमलों के लिए अपनी स्थिति बदलने के लिए।, ख) चपलता दिखाने के लिए।, ग) समय का अभ्यास करने के लिए।, घ) भ्रम पैदा करने के लिए।</v>
      </c>
      <c r="I246" s="5" t="str">
        <f>IFERROR(__xludf.DUMMYFUNCTION("GOOGLETRANSLATE(D246, ""en"", ""hi"")"),"क) जवाबी हमलों से बचने और आगे के हमलों के लिए पुनः स्थिति बनाने के लिए।")</f>
        <v>क) जवाबी हमलों से बचने और आगे के हमलों के लिए पुनः स्थिति बनाने के लिए।</v>
      </c>
    </row>
    <row r="247" ht="22.5" customHeight="1">
      <c r="A247" s="2">
        <v>246.0</v>
      </c>
      <c r="B247" s="3" t="s">
        <v>12780</v>
      </c>
      <c r="C247" s="3" t="s">
        <v>12781</v>
      </c>
      <c r="D247" s="3" t="s">
        <v>12742</v>
      </c>
      <c r="F247" s="5" t="str">
        <f>IFERROR(__xludf.DUMMYFUNCTION("GOOGLETRANSLATE(A247, ""en"", ""hi"")"),"246")</f>
        <v>246</v>
      </c>
      <c r="G247" s="5" t="str">
        <f>IFERROR(__xludf.DUMMYFUNCTION("GOOGLETRANSLATE(B247, ""en"", ""hi"")"),"एक थांग-ता छात्र तलवार से तेज़ी से ऊपर की ओर वार करता है। इन ऊपर की ओर वारों का मुख्य उद्देश्य क्या है?")</f>
        <v>एक थांग-ता छात्र तलवार से तेज़ी से ऊपर की ओर वार करता है। इन ऊपर की ओर वारों का मुख्य उद्देश्य क्या है?</v>
      </c>
      <c r="H247" s="5" t="str">
        <f>IFERROR(__xludf.DUMMYFUNCTION("GOOGLETRANSLATE(C247, ""en"", ""hi"")"),"A) ऊपर से हमला करना और प्रतिद्वंद्वी के बचाव में छेद बनाना।, B) गति दिखाना।, C) सटीकता का अभ्यास करना।, D) भ्रम पैदा करना।")</f>
        <v>A) ऊपर से हमला करना और प्रतिद्वंद्वी के बचाव में छेद बनाना।, B) गति दिखाना।, C) सटीकता का अभ्यास करना।, D) भ्रम पैदा करना।</v>
      </c>
      <c r="I247" s="5" t="str">
        <f>IFERROR(__xludf.DUMMYFUNCTION("GOOGLETRANSLATE(D247, ""en"", ""hi"")"),"क) ऊपर से हमला करना और प्रतिद्वंद्वी के बचाव में छेद बनाना।")</f>
        <v>क) ऊपर से हमला करना और प्रतिद्वंद्वी के बचाव में छेद बनाना।</v>
      </c>
    </row>
    <row r="248" ht="22.5" customHeight="1">
      <c r="A248" s="2">
        <v>247.0</v>
      </c>
      <c r="B248" s="3" t="s">
        <v>12782</v>
      </c>
      <c r="C248" s="3" t="s">
        <v>12750</v>
      </c>
      <c r="D248" s="3" t="s">
        <v>12751</v>
      </c>
      <c r="F248" s="5" t="str">
        <f>IFERROR(__xludf.DUMMYFUNCTION("GOOGLETRANSLATE(A248, ""en"", ""hi"")"),"247")</f>
        <v>247</v>
      </c>
      <c r="G248" s="5" t="str">
        <f>IFERROR(__xludf.DUMMYFUNCTION("GOOGLETRANSLATE(B248, ""en"", ""hi"")"),"थांग-ता प्रदर्शन के दौरान, अभ्यासी उच्च दबावों की एक श्रृंखला के बाद निम्न अवरोध का प्रयोग करता है। उच्च दबावों के बाद निम्न अवरोध का उद्देश्य क्या है?")</f>
        <v>थांग-ता प्रदर्शन के दौरान, अभ्यासी उच्च दबावों की एक श्रृंखला के बाद निम्न अवरोध का प्रयोग करता है। उच्च दबावों के बाद निम्न अवरोध का उद्देश्य क्या है?</v>
      </c>
      <c r="H248" s="5" t="str">
        <f>IFERROR(__xludf.DUMMYFUNCTION("GOOGLETRANSLATE(C248, ""en"", ""hi"")"),"A) जवाबी हमलों से बचाव करना और रक्षात्मक स्थिति सुरक्षित करना।, B) कौशल का प्रदर्शन करना।, C) समय का अभ्यास करना।, D) प्रतिद्वंद्वी को भ्रमित करना।")</f>
        <v>A) जवाबी हमलों से बचाव करना और रक्षात्मक स्थिति सुरक्षित करना।, B) कौशल का प्रदर्शन करना।, C) समय का अभ्यास करना।, D) प्रतिद्वंद्वी को भ्रमित करना।</v>
      </c>
      <c r="I248" s="5" t="str">
        <f>IFERROR(__xludf.DUMMYFUNCTION("GOOGLETRANSLATE(D248, ""en"", ""hi"")"),"क) जवाबी हमलों से बचाव करना और रक्षात्मक स्थिति सुरक्षित करना।")</f>
        <v>क) जवाबी हमलों से बचाव करना और रक्षात्मक स्थिति सुरक्षित करना।</v>
      </c>
    </row>
    <row r="249" ht="22.5" customHeight="1">
      <c r="A249" s="2">
        <v>248.0</v>
      </c>
      <c r="B249" s="3" t="s">
        <v>12783</v>
      </c>
      <c r="C249" s="3" t="s">
        <v>12784</v>
      </c>
      <c r="D249" s="3" t="s">
        <v>12785</v>
      </c>
      <c r="F249" s="5" t="str">
        <f>IFERROR(__xludf.DUMMYFUNCTION("GOOGLETRANSLATE(A249, ""en"", ""hi"")"),"248")</f>
        <v>248</v>
      </c>
      <c r="G249" s="5" t="str">
        <f>IFERROR(__xludf.DUMMYFUNCTION("GOOGLETRANSLATE(B249, ""en"", ""hi"")"),"थांग-ता में, अभ्यासी पहले घूमता हुआ प्रहार करता है और फिर एक तेज़ विकर्ण प्रहार करता है। विकर्ण प्रहार से पहले घूमने वाले प्रहार का मुख्य लाभ क्या है?")</f>
        <v>थांग-ता में, अभ्यासी पहले घूमता हुआ प्रहार करता है और फिर एक तेज़ विकर्ण प्रहार करता है। विकर्ण प्रहार से पहले घूमने वाले प्रहार का मुख्य लाभ क्या है?</v>
      </c>
      <c r="H249" s="5" t="str">
        <f>IFERROR(__xludf.DUMMYFUNCTION("GOOGLETRANSLATE(C249, ""en"", ""hi"")"),"ए) गति उत्पन्न करना और बाद में विकर्ण कट के लिए अवसर पैदा करना।, बी) चपलता प्रदर्शित करना।, सी) सटीकता का अभ्यास करना।, डी) प्रतिद्वंद्वी को भ्रमित करना।")</f>
        <v>ए) गति उत्पन्न करना और बाद में विकर्ण कट के लिए अवसर पैदा करना।, बी) चपलता प्रदर्शित करना।, सी) सटीकता का अभ्यास करना।, डी) प्रतिद्वंद्वी को भ्रमित करना।</v>
      </c>
      <c r="I249" s="5" t="str">
        <f>IFERROR(__xludf.DUMMYFUNCTION("GOOGLETRANSLATE(D249, ""en"", ""hi"")"),"क) गति उत्पन्न करना और बाद में विकर्ण कट के लिए उद्घाटन बनाना।")</f>
        <v>क) गति उत्पन्न करना और बाद में विकर्ण कट के लिए उद्घाटन बनाना।</v>
      </c>
    </row>
    <row r="250" ht="22.5" customHeight="1">
      <c r="A250" s="2">
        <v>249.0</v>
      </c>
      <c r="B250" s="3" t="s">
        <v>12786</v>
      </c>
      <c r="C250" s="3" t="s">
        <v>12787</v>
      </c>
      <c r="D250" s="3" t="s">
        <v>12788</v>
      </c>
      <c r="F250" s="5" t="str">
        <f>IFERROR(__xludf.DUMMYFUNCTION("GOOGLETRANSLATE(A250, ""en"", ""hi"")"),"249")</f>
        <v>249</v>
      </c>
      <c r="G250" s="5" t="str">
        <f>IFERROR(__xludf.DUMMYFUNCTION("GOOGLETRANSLATE(B250, ""en"", ""hi"")"),"थांग-ता का अभ्यासी पहले एक निम्न स्वीप करता है और फिर तेज़ उच्च थ्रस्ट की एक श्रृंखला करता है। स्वीप के बाद उच्च थ्रस्ट का उद्देश्य क्या है?")</f>
        <v>थांग-ता का अभ्यासी पहले एक निम्न स्वीप करता है और फिर तेज़ उच्च थ्रस्ट की एक श्रृंखला करता है। स्वीप के बाद उच्च थ्रस्ट का उद्देश्य क्या है?</v>
      </c>
      <c r="H250" s="5" t="str">
        <f>IFERROR(__xludf.DUMMYFUNCTION("GOOGLETRANSLATE(C250, ""en"", ""hi"")"),"ए) प्रतिद्वंद्वी के बिगड़े संतुलन का फायदा उठाना और उनके ऊपरी शरीर पर हमला करना।, बी) कौशल का प्रदर्शन करना।, सी) समय का अभ्यास करना।, डी) भ्रम पैदा करना।")</f>
        <v>ए) प्रतिद्वंद्वी के बिगड़े संतुलन का फायदा उठाना और उनके ऊपरी शरीर पर हमला करना।, बी) कौशल का प्रदर्शन करना।, सी) समय का अभ्यास करना।, डी) भ्रम पैदा करना।</v>
      </c>
      <c r="I250" s="5" t="str">
        <f>IFERROR(__xludf.DUMMYFUNCTION("GOOGLETRANSLATE(D250, ""en"", ""hi"")"),"ए) प्रतिद्वंद्वी के बिगड़े संतुलन का फायदा उठाना और उनके ऊपरी शरीर पर हमला करना।")</f>
        <v>ए) प्रतिद्वंद्वी के बिगड़े संतुलन का फायदा उठाना और उनके ऊपरी शरीर पर हमला करना।</v>
      </c>
    </row>
    <row r="251" ht="22.5" customHeight="1">
      <c r="A251" s="2">
        <v>250.0</v>
      </c>
      <c r="B251" s="3" t="s">
        <v>12789</v>
      </c>
      <c r="C251" s="3" t="s">
        <v>12790</v>
      </c>
      <c r="D251" s="3" t="s">
        <v>12791</v>
      </c>
      <c r="F251" s="5" t="str">
        <f>IFERROR(__xludf.DUMMYFUNCTION("GOOGLETRANSLATE(A251, ""en"", ""hi"")"),"250")</f>
        <v>250</v>
      </c>
      <c r="G251" s="5" t="str">
        <f>IFERROR(__xludf.DUMMYFUNCTION("GOOGLETRANSLATE(B251, ""en"", ""hi"")"),"थांग-ता का अभ्यासी पहले निम्न ब्लॉक करता है और उसके बाद उच्च थ्रस्ट करता है। ब्लॉक के बाद उच्च थ्रस्ट का उद्देश्य क्या है?")</f>
        <v>थांग-ता का अभ्यासी पहले निम्न ब्लॉक करता है और उसके बाद उच्च थ्रस्ट करता है। ब्लॉक के बाद उच्च थ्रस्ट का उद्देश्य क्या है?</v>
      </c>
      <c r="H251" s="5" t="str">
        <f>IFERROR(__xludf.DUMMYFUNCTION("GOOGLETRANSLATE(C251, ""en"", ""hi"")"),"ए) प्रतिद्वंद्वी के कमजोर गार्ड का फायदा उठाना और ऊपर से हमला करना।, बी) कौशल का प्रदर्शन करना।, सी) समय का अभ्यास करना।, डी) प्रतिद्वंद्वी को भ्रमित करना।")</f>
        <v>ए) प्रतिद्वंद्वी के कमजोर गार्ड का फायदा उठाना और ऊपर से हमला करना।, बी) कौशल का प्रदर्शन करना।, सी) समय का अभ्यास करना।, डी) प्रतिद्वंद्वी को भ्रमित करना।</v>
      </c>
      <c r="I251" s="5" t="str">
        <f>IFERROR(__xludf.DUMMYFUNCTION("GOOGLETRANSLATE(D251, ""en"", ""hi"")"),"ए) प्रतिद्वंद्वी के कमजोर गार्ड का फायदा उठाना और ऊपर से हमला करना।")</f>
        <v>ए) प्रतिद्वंद्वी के कमजोर गार्ड का फायदा उठाना और ऊपर से हमला करना।</v>
      </c>
    </row>
    <row r="252" ht="22.5" customHeight="1">
      <c r="A252" s="2">
        <v>251.0</v>
      </c>
      <c r="B252" s="3" t="s">
        <v>12792</v>
      </c>
      <c r="C252" s="3" t="s">
        <v>12793</v>
      </c>
      <c r="D252" s="3" t="s">
        <v>12768</v>
      </c>
      <c r="F252" s="5" t="str">
        <f>IFERROR(__xludf.DUMMYFUNCTION("GOOGLETRANSLATE(A252, ""en"", ""hi"")"),"251")</f>
        <v>251</v>
      </c>
      <c r="G252" s="5" t="str">
        <f>IFERROR(__xludf.DUMMYFUNCTION("GOOGLETRANSLATE(B252, ""en"", ""hi"")"),"थांग-ता मैच के दौरान, एक छात्र तेज़ी से नीचे की ओर वार करता है। इन नीचे की ओर वार का मुख्य लाभ क्या है?")</f>
        <v>थांग-ता मैच के दौरान, एक छात्र तेज़ी से नीचे की ओर वार करता है। इन नीचे की ओर वार का मुख्य लाभ क्या है?</v>
      </c>
      <c r="H252" s="5" t="str">
        <f>IFERROR(__xludf.DUMMYFUNCTION("GOOGLETRANSLATE(C252, ""en"", ""hi"")"),"A) ऊपर से दबाव डालना और प्रतिद्वंद्वी को रक्षात्मक रुख अपनाने के लिए मजबूर करना।, B) ताकत दिखाना।, C) गति का अभ्यास करना।, D) भ्रम पैदा करना।")</f>
        <v>A) ऊपर से दबाव डालना और प्रतिद्वंद्वी को रक्षात्मक रुख अपनाने के लिए मजबूर करना।, B) ताकत दिखाना।, C) गति का अभ्यास करना।, D) भ्रम पैदा करना।</v>
      </c>
      <c r="I252" s="5" t="str">
        <f>IFERROR(__xludf.DUMMYFUNCTION("GOOGLETRANSLATE(D252, ""en"", ""hi"")"),"क) ऊपर से दबाव डालना और प्रतिद्वंद्वी को रक्षात्मक रुख अपनाने पर मजबूर करना।")</f>
        <v>क) ऊपर से दबाव डालना और प्रतिद्वंद्वी को रक्षात्मक रुख अपनाने पर मजबूर करना।</v>
      </c>
    </row>
    <row r="253" ht="22.5" customHeight="1">
      <c r="A253" s="2">
        <v>252.0</v>
      </c>
      <c r="B253" s="3" t="s">
        <v>12794</v>
      </c>
      <c r="C253" s="3" t="s">
        <v>12795</v>
      </c>
      <c r="D253" s="3" t="s">
        <v>12796</v>
      </c>
      <c r="F253" s="5" t="str">
        <f>IFERROR(__xludf.DUMMYFUNCTION("GOOGLETRANSLATE(A253, ""en"", ""hi"")"),"252")</f>
        <v>252</v>
      </c>
      <c r="G253" s="5" t="str">
        <f>IFERROR(__xludf.DUMMYFUNCTION("GOOGLETRANSLATE(B253, ""en"", ""hi"")"),"थांग-ता का एक अभ्यासी भाले से तेज़ और ऊँचे प्रहारों की एक श्रृंखला करता है। इन ऊँचे प्रहारों का मुख्य उद्देश्य क्या है?")</f>
        <v>थांग-ता का एक अभ्यासी भाले से तेज़ और ऊँचे प्रहारों की एक श्रृंखला करता है। इन ऊँचे प्रहारों का मुख्य उद्देश्य क्या है?</v>
      </c>
      <c r="H253" s="5" t="str">
        <f>IFERROR(__xludf.DUMMYFUNCTION("GOOGLETRANSLATE(C253, ""en"", ""hi"")"),"A) प्रतिद्वंद्वी के ऊपरी शरीर पर लगातार दबाव डालना और उन्हें रक्षात्मक स्थिति में लाने के लिए मजबूर करना।, B) गति दिखाना।, C) सटीकता का अभ्यास करना।, D) भ्रम पैदा करना।")</f>
        <v>A) प्रतिद्वंद्वी के ऊपरी शरीर पर लगातार दबाव डालना और उन्हें रक्षात्मक स्थिति में लाने के लिए मजबूर करना।, B) गति दिखाना।, C) सटीकता का अभ्यास करना।, D) भ्रम पैदा करना।</v>
      </c>
      <c r="I253" s="5" t="str">
        <f>IFERROR(__xludf.DUMMYFUNCTION("GOOGLETRANSLATE(D253, ""en"", ""hi"")"),"क) प्रतिद्वंद्वी के ऊपरी शरीर पर लगातार दबाव डालना और उन्हें रक्षात्मक स्थिति में लाने के लिए मजबूर करना।")</f>
        <v>क) प्रतिद्वंद्वी के ऊपरी शरीर पर लगातार दबाव डालना और उन्हें रक्षात्मक स्थिति में लाने के लिए मजबूर करना।</v>
      </c>
    </row>
    <row r="254" ht="22.5" customHeight="1">
      <c r="A254" s="2">
        <v>253.0</v>
      </c>
      <c r="B254" s="3" t="s">
        <v>12797</v>
      </c>
      <c r="C254" s="3" t="s">
        <v>12798</v>
      </c>
      <c r="D254" s="3" t="s">
        <v>12698</v>
      </c>
      <c r="F254" s="5" t="str">
        <f>IFERROR(__xludf.DUMMYFUNCTION("GOOGLETRANSLATE(A254, ""en"", ""hi"")"),"253")</f>
        <v>253</v>
      </c>
      <c r="G254" s="5" t="str">
        <f>IFERROR(__xludf.DUMMYFUNCTION("GOOGLETRANSLATE(B254, ""en"", ""hi"")"),"थांग-ता में, एक अभ्यासी एक स्पिनिंग स्ट्राइक के बाद एक लो ब्लॉक करता है। स्पिनिंग स्ट्राइक के बाद लो ब्लॉक का क्या लाभ है?")</f>
        <v>थांग-ता में, एक अभ्यासी एक स्पिनिंग स्ट्राइक के बाद एक लो ब्लॉक करता है। स्पिनिंग स्ट्राइक के बाद लो ब्लॉक का क्या लाभ है?</v>
      </c>
      <c r="H254" s="5" t="str">
        <f>IFERROR(__xludf.DUMMYFUNCTION("GOOGLETRANSLATE(C254, ""en"", ""hi"")"),"A) संभावित जवाबी हमलों से बचाव करना और रक्षात्मक स्थिति सुरक्षित करना।, B) चपलता प्रदर्शित करना।, C) समय का अभ्यास करना।, D) भ्रम पैदा करना।")</f>
        <v>A) संभावित जवाबी हमलों से बचाव करना और रक्षात्मक स्थिति सुरक्षित करना।, B) चपलता प्रदर्शित करना।, C) समय का अभ्यास करना।, D) भ्रम पैदा करना।</v>
      </c>
      <c r="I254" s="5" t="str">
        <f>IFERROR(__xludf.DUMMYFUNCTION("GOOGLETRANSLATE(D254, ""en"", ""hi"")"),"क) संभावित जवाबी हमलों से बचाव करना तथा रक्षात्मक स्थिति सुरक्षित करना।")</f>
        <v>क) संभावित जवाबी हमलों से बचाव करना तथा रक्षात्मक स्थिति सुरक्षित करना।</v>
      </c>
    </row>
    <row r="255" ht="22.5" customHeight="1">
      <c r="A255" s="2">
        <v>254.0</v>
      </c>
      <c r="B255" s="3" t="s">
        <v>12799</v>
      </c>
      <c r="C255" s="3" t="s">
        <v>12727</v>
      </c>
      <c r="D255" s="3" t="s">
        <v>12728</v>
      </c>
      <c r="F255" s="5" t="str">
        <f>IFERROR(__xludf.DUMMYFUNCTION("GOOGLETRANSLATE(A255, ""en"", ""hi"")"),"254")</f>
        <v>254</v>
      </c>
      <c r="G255" s="5" t="str">
        <f>IFERROR(__xludf.DUMMYFUNCTION("GOOGLETRANSLATE(B255, ""en"", ""hi"")"),"एक थांग-ता छात्र पहले एक ऊँचा ब्लॉक और फिर एक तेज़ विकर्ण कट करता है। ब्लॉक के बाद विकर्ण कट का मुख्य उद्देश्य क्या है?")</f>
        <v>एक थांग-ता छात्र पहले एक ऊँचा ब्लॉक और फिर एक तेज़ विकर्ण कट करता है। ब्लॉक के बाद विकर्ण कट का मुख्य उद्देश्य क्या है?</v>
      </c>
      <c r="H255" s="5" t="str">
        <f>IFERROR(__xludf.DUMMYFUNCTION("GOOGLETRANSLATE(C255,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255" s="5" t="str">
        <f>IFERROR(__xludf.DUMMYFUNCTION("GOOGLETRANSLATE(D255, ""en"", ""hi"")"),"क) रक्षा से आक्रमण और कोण से आक्रमण की ओर संक्रमण करना।")</f>
        <v>क) रक्षा से आक्रमण और कोण से आक्रमण की ओर संक्रमण करना।</v>
      </c>
    </row>
    <row r="256" ht="22.5" customHeight="1">
      <c r="A256" s="2">
        <v>255.0</v>
      </c>
      <c r="B256" s="3" t="s">
        <v>12800</v>
      </c>
      <c r="C256" s="3" t="s">
        <v>12801</v>
      </c>
      <c r="D256" s="3" t="s">
        <v>12802</v>
      </c>
      <c r="F256" s="5" t="str">
        <f>IFERROR(__xludf.DUMMYFUNCTION("GOOGLETRANSLATE(A256, ""en"", ""hi"")"),"255")</f>
        <v>255</v>
      </c>
      <c r="G256" s="5" t="str">
        <f>IFERROR(__xludf.DUMMYFUNCTION("GOOGLETRANSLATE(B256, ""en"", ""hi"")"),"थांग-ता प्रदर्शन के दौरान, एक अभ्यासकर्ता तीव्र ऊँचे कट्स की एक श्रृंखला करता है। इन ऊँचे कट्स का मुख्य लाभ क्या है?")</f>
        <v>थांग-ता प्रदर्शन के दौरान, एक अभ्यासकर्ता तीव्र ऊँचे कट्स की एक श्रृंखला करता है। इन ऊँचे कट्स का मुख्य लाभ क्या है?</v>
      </c>
      <c r="H256" s="5" t="str">
        <f>IFERROR(__xludf.DUMMYFUNCTION("GOOGLETRANSLATE(C256, ""en"", ""hi"")"),"A) प्रतिद्वंद्वी के ऊपरी शरीर पर लगातार दबाव डालना और मौके बनाना।, B) कौशल दिखाना।, C) गति का अभ्यास करना।, D) प्रतिद्वंद्वी को भ्रमित करना।")</f>
        <v>A) प्रतिद्वंद्वी के ऊपरी शरीर पर लगातार दबाव डालना और मौके बनाना।, B) कौशल दिखाना।, C) गति का अभ्यास करना।, D) प्रतिद्वंद्वी को भ्रमित करना।</v>
      </c>
      <c r="I256" s="5" t="str">
        <f>IFERROR(__xludf.DUMMYFUNCTION("GOOGLETRANSLATE(D256, ""en"", ""hi"")"),"क) प्रतिद्वंद्वी के ऊपरी शरीर पर लगातार दबाव डालना और मौके बनाना।")</f>
        <v>क) प्रतिद्वंद्वी के ऊपरी शरीर पर लगातार दबाव डालना और मौके बनाना।</v>
      </c>
    </row>
    <row r="257" ht="22.5" customHeight="1">
      <c r="A257" s="2">
        <v>256.0</v>
      </c>
      <c r="B257" s="3" t="s">
        <v>12803</v>
      </c>
      <c r="C257" s="3" t="s">
        <v>12804</v>
      </c>
      <c r="D257" s="3" t="s">
        <v>12805</v>
      </c>
      <c r="F257" s="5" t="str">
        <f>IFERROR(__xludf.DUMMYFUNCTION("GOOGLETRANSLATE(A257, ""en"", ""hi"")"),"256")</f>
        <v>256</v>
      </c>
      <c r="G257" s="5" t="str">
        <f>IFERROR(__xludf.DUMMYFUNCTION("GOOGLETRANSLATE(B257, ""en"", ""hi"")"),"थांग-ता में, अभ्यासी पहले एक निम्न स्वीप करता है और उसके बाद एक तीव्र उच्च थ्रस्ट करता है। उच्च थ्रस्ट से पहले निम्न स्वीप का उद्देश्य क्या है?")</f>
        <v>थांग-ता में, अभ्यासी पहले एक निम्न स्वीप करता है और उसके बाद एक तीव्र उच्च थ्रस्ट करता है। उच्च थ्रस्ट से पहले निम्न स्वीप का उद्देश्य क्या है?</v>
      </c>
      <c r="H257" s="5" t="str">
        <f>IFERROR(__xludf.DUMMYFUNCTION("GOOGLETRANSLATE(C257, ""en"", ""hi"")"),"ए) प्रतिद्वंद्वी के संतुलन को बिगाड़ना और उच्च प्रहार के लिए अवसर पैदा करना।, बी) कौशल का प्रदर्शन करना।, सी) समय का अभ्यास करना।, डी) प्रतिद्वंद्वी को भ्रमित करना।")</f>
        <v>ए) प्रतिद्वंद्वी के संतुलन को बिगाड़ना और उच्च प्रहार के लिए अवसर पैदा करना।, बी) कौशल का प्रदर्शन करना।, सी) समय का अभ्यास करना।, डी) प्रतिद्वंद्वी को भ्रमित करना।</v>
      </c>
      <c r="I257" s="5" t="str">
        <f>IFERROR(__xludf.DUMMYFUNCTION("GOOGLETRANSLATE(D257, ""en"", ""hi"")"),"क) प्रतिद्वंद्वी के संतुलन को बिगाड़ना और उच्च प्रहार के लिए अवसर पैदा करना।")</f>
        <v>क) प्रतिद्वंद्वी के संतुलन को बिगाड़ना और उच्च प्रहार के लिए अवसर पैदा करना।</v>
      </c>
    </row>
    <row r="258" ht="22.5" customHeight="1">
      <c r="A258" s="2">
        <v>257.0</v>
      </c>
      <c r="B258" s="3" t="s">
        <v>12806</v>
      </c>
      <c r="C258" s="3" t="s">
        <v>12807</v>
      </c>
      <c r="D258" s="3" t="s">
        <v>12808</v>
      </c>
      <c r="F258" s="5" t="str">
        <f>IFERROR(__xludf.DUMMYFUNCTION("GOOGLETRANSLATE(A258, ""en"", ""hi"")"),"257")</f>
        <v>257</v>
      </c>
      <c r="G258" s="5" t="str">
        <f>IFERROR(__xludf.DUMMYFUNCTION("GOOGLETRANSLATE(B258, ""en"", ""hi"")"),"थांग-ता का अभ्यासी भाले से कई तेज़ तिरछे प्रहार करता है। इन तिरछे प्रहारों का मुख्य उद्देश्य क्या है?")</f>
        <v>थांग-ता का अभ्यासी भाले से कई तेज़ तिरछे प्रहार करता है। इन तिरछे प्रहारों का मुख्य उद्देश्य क्या है?</v>
      </c>
      <c r="H258" s="5" t="str">
        <f>IFERROR(__xludf.DUMMYFUNCTION("GOOGLETRANSLATE(C258, ""en"", ""hi"")"),"A) विभिन्न कोणों से प्रतिद्वंद्वी को निशाना बनाना और कई अवसर पैदा करना।, B) भाला चलाने का प्रदर्शन करना।, C) सटीकता का अभ्यास करना।, D) भ्रम पैदा करना।")</f>
        <v>A) विभिन्न कोणों से प्रतिद्वंद्वी को निशाना बनाना और कई अवसर पैदा करना।, B) भाला चलाने का प्रदर्शन करना।, C) सटीकता का अभ्यास करना।, D) भ्रम पैदा करना।</v>
      </c>
      <c r="I258" s="5" t="str">
        <f>IFERROR(__xludf.DUMMYFUNCTION("GOOGLETRANSLATE(D258, ""en"", ""hi"")"),"क) प्रतिद्वंद्वी को विभिन्न कोणों से निशाना बनाना और कई अवसर पैदा करना।")</f>
        <v>क) प्रतिद्वंद्वी को विभिन्न कोणों से निशाना बनाना और कई अवसर पैदा करना।</v>
      </c>
    </row>
    <row r="259" ht="22.5" customHeight="1">
      <c r="A259" s="2">
        <v>258.0</v>
      </c>
      <c r="B259" s="3" t="s">
        <v>12809</v>
      </c>
      <c r="C259" s="3" t="s">
        <v>12810</v>
      </c>
      <c r="D259" s="3" t="s">
        <v>12811</v>
      </c>
      <c r="F259" s="5" t="str">
        <f>IFERROR(__xludf.DUMMYFUNCTION("GOOGLETRANSLATE(A259, ""en"", ""hi"")"),"258")</f>
        <v>258</v>
      </c>
      <c r="G259" s="5" t="str">
        <f>IFERROR(__xludf.DUMMYFUNCTION("GOOGLETRANSLATE(B259, ""en"", ""hi"")"),"थांग-ता प्रशिक्षण के दौरान, एक छात्र एक तेज़ साइडस्टेप के बाद एक हाई कट करता है। कट से पहले साइडस्टेप का मुख्य लाभ क्या है?")</f>
        <v>थांग-ता प्रशिक्षण के दौरान, एक छात्र एक तेज़ साइडस्टेप के बाद एक हाई कट करता है। कट से पहले साइडस्टेप का मुख्य लाभ क्या है?</v>
      </c>
      <c r="H259" s="5" t="str">
        <f>IFERROR(__xludf.DUMMYFUNCTION("GOOGLETRANSLATE(C259, ""en"", ""hi"")"),"ए) अधिक प्रभावी हाई कट के लिए प्रतिद्वंद्वी के हमले और स्थिति से बचने के लिए, बी) फुटवर्क दिखाने के लिए, सी) सटीकता का अभ्यास करने के लिए, डी) भ्रम पैदा करने के लिए।")</f>
        <v>ए) अधिक प्रभावी हाई कट के लिए प्रतिद्वंद्वी के हमले और स्थिति से बचने के लिए, बी) फुटवर्क दिखाने के लिए, सी) सटीकता का अभ्यास करने के लिए, डी) भ्रम पैदा करने के लिए।</v>
      </c>
      <c r="I259" s="5" t="str">
        <f>IFERROR(__xludf.DUMMYFUNCTION("GOOGLETRANSLATE(D259, ""en"", ""hi"")"),"क) अधिक प्रभावी हाई कट के लिए प्रतिद्वंद्वी के हमले और स्थिति से बचने के लिए।")</f>
        <v>क) अधिक प्रभावी हाई कट के लिए प्रतिद्वंद्वी के हमले और स्थिति से बचने के लिए।</v>
      </c>
    </row>
    <row r="260" ht="22.5" customHeight="1">
      <c r="A260" s="2">
        <v>259.0</v>
      </c>
      <c r="B260" s="3" t="s">
        <v>12812</v>
      </c>
      <c r="C260" s="3" t="s">
        <v>12813</v>
      </c>
      <c r="D260" s="3" t="s">
        <v>12737</v>
      </c>
      <c r="F260" s="5" t="str">
        <f>IFERROR(__xludf.DUMMYFUNCTION("GOOGLETRANSLATE(A260, ""en"", ""hi"")"),"259")</f>
        <v>259</v>
      </c>
      <c r="G260" s="5" t="str">
        <f>IFERROR(__xludf.DUMMYFUNCTION("GOOGLETRANSLATE(B260, ""en"", ""hi"")"),"थांग-ता में, अभ्यासी उच्च थ्रस्ट के बाद निम्न स्वीप करता है। उच्च थ्रस्ट के बाद निम्न स्वीप का उद्देश्य क्या है?")</f>
        <v>थांग-ता में, अभ्यासी उच्च थ्रस्ट के बाद निम्न स्वीप करता है। उच्च थ्रस्ट के बाद निम्न स्वीप का उद्देश्य क्या है?</v>
      </c>
      <c r="H260" s="5" t="str">
        <f>IFERROR(__xludf.DUMMYFUNCTION("GOOGLETRANSLATE(C260, ""en"", ""hi"")"),"ए) प्रतिद्वंद्वी के उच्च गार्ड का लाभ उठाने और उनके निचले शरीर पर हमला करने के लिए।, बी) कौशल दिखाने के लिए।, सी) समय का अभ्यास करने के लिए।, डी) भ्रम पैदा करने के लिए।")</f>
        <v>ए) प्रतिद्वंद्वी के उच्च गार्ड का लाभ उठाने और उनके निचले शरीर पर हमला करने के लिए।, बी) कौशल दिखाने के लिए।, सी) समय का अभ्यास करने के लिए।, डी) भ्रम पैदा करने के लिए।</v>
      </c>
      <c r="I260" s="5" t="str">
        <f>IFERROR(__xludf.DUMMYFUNCTION("GOOGLETRANSLATE(D260, ""en"", ""hi"")"),"ए) प्रतिद्वंद्वी के उच्च सुरक्षा का लाभ उठाना और उनके निचले शरीर पर हमला करना।")</f>
        <v>ए) प्रतिद्वंद्वी के उच्च सुरक्षा का लाभ उठाना और उनके निचले शरीर पर हमला करना।</v>
      </c>
    </row>
    <row r="261" ht="22.5" customHeight="1">
      <c r="A261" s="2">
        <v>260.0</v>
      </c>
      <c r="B261" s="3" t="s">
        <v>12814</v>
      </c>
      <c r="C261" s="3" t="s">
        <v>12815</v>
      </c>
      <c r="D261" s="3" t="s">
        <v>12771</v>
      </c>
      <c r="F261" s="5" t="str">
        <f>IFERROR(__xludf.DUMMYFUNCTION("GOOGLETRANSLATE(A261, ""en"", ""hi"")"),"260")</f>
        <v>260</v>
      </c>
      <c r="G261" s="5" t="str">
        <f>IFERROR(__xludf.DUMMYFUNCTION("GOOGLETRANSLATE(B261, ""en"", ""hi"")"),"एक थांग-ता छात्र तलवार से तेज़ी से तिरछे वार करता है। इन तिरछे वारों का क्या फ़ायदा है?")</f>
        <v>एक थांग-ता छात्र तलवार से तेज़ी से तिरछे वार करता है। इन तिरछे वारों का क्या फ़ायदा है?</v>
      </c>
      <c r="H261" s="5" t="str">
        <f>IFERROR(__xludf.DUMMYFUNCTION("GOOGLETRANSLATE(C261, ""en"", ""hi"")"),"A) विभिन्न कोणों से हमला करना और प्रतिद्वंद्वी के बचाव में कई अवसर पैदा करना।, B) कौशल का प्रदर्शन करना।, C) गति का अभ्यास करना।, D) भ्रम पैदा करना।")</f>
        <v>A) विभिन्न कोणों से हमला करना और प्रतिद्वंद्वी के बचाव में कई अवसर पैदा करना।, B) कौशल का प्रदर्शन करना।, C) गति का अभ्यास करना।, D) भ्रम पैदा करना।</v>
      </c>
      <c r="I261" s="5" t="str">
        <f>IFERROR(__xludf.DUMMYFUNCTION("GOOGLETRANSLATE(D261, ""en"", ""hi"")"),"क) विभिन्न कोणों से आक्रमण करना और प्रतिद्वंद्वी के बचाव में कई अवसर पैदा करना।")</f>
        <v>क) विभिन्न कोणों से आक्रमण करना और प्रतिद्वंद्वी के बचाव में कई अवसर पैदा करना।</v>
      </c>
    </row>
    <row r="262" ht="22.5" customHeight="1">
      <c r="A262" s="2">
        <v>261.0</v>
      </c>
      <c r="B262" s="3" t="s">
        <v>12816</v>
      </c>
      <c r="C262" s="3" t="s">
        <v>12727</v>
      </c>
      <c r="D262" s="3" t="s">
        <v>12728</v>
      </c>
      <c r="F262" s="5" t="str">
        <f>IFERROR(__xludf.DUMMYFUNCTION("GOOGLETRANSLATE(A262, ""en"", ""hi"")"),"261")</f>
        <v>261</v>
      </c>
      <c r="G262" s="5" t="str">
        <f>IFERROR(__xludf.DUMMYFUNCTION("GOOGLETRANSLATE(B262, ""en"", ""hi"")"),"थांग-ता प्रदर्शन के दौरान, एक अभ्यासकर्ता पहले एक निम्न ब्लॉक और फिर एक त्वरित विकर्ण कट करता है। ब्लॉक के बाद विकर्ण कट का उद्देश्य क्या है?")</f>
        <v>थांग-ता प्रदर्शन के दौरान, एक अभ्यासकर्ता पहले एक निम्न ब्लॉक और फिर एक त्वरित विकर्ण कट करता है। ब्लॉक के बाद विकर्ण कट का उद्देश्य क्या है?</v>
      </c>
      <c r="H262" s="5" t="str">
        <f>IFERROR(__xludf.DUMMYFUNCTION("GOOGLETRANSLATE(C262,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262" s="5" t="str">
        <f>IFERROR(__xludf.DUMMYFUNCTION("GOOGLETRANSLATE(D262, ""en"", ""hi"")"),"क) रक्षा से आक्रमण और कोण से आक्रमण की ओर संक्रमण करना।")</f>
        <v>क) रक्षा से आक्रमण और कोण से आक्रमण की ओर संक्रमण करना।</v>
      </c>
    </row>
    <row r="263" ht="22.5" customHeight="1">
      <c r="A263" s="2">
        <v>262.0</v>
      </c>
      <c r="B263" s="3" t="s">
        <v>12817</v>
      </c>
      <c r="C263" s="3" t="s">
        <v>12818</v>
      </c>
      <c r="D263" s="3" t="s">
        <v>12819</v>
      </c>
      <c r="F263" s="5" t="str">
        <f>IFERROR(__xludf.DUMMYFUNCTION("GOOGLETRANSLATE(A263, ""en"", ""hi"")"),"262")</f>
        <v>262</v>
      </c>
      <c r="G263" s="5" t="str">
        <f>IFERROR(__xludf.DUMMYFUNCTION("GOOGLETRANSLATE(B263, ""en"", ""hi"")"),"थांग-ता में, अभ्यासी एक त्वरित रिट्रीट के बाद एक तेज़ थ्रस्ट करता है। थ्रस्ट से पहले रिट्रीट का मुख्य लाभ क्या है?")</f>
        <v>थांग-ता में, अभ्यासी एक त्वरित रिट्रीट के बाद एक तेज़ थ्रस्ट करता है। थ्रस्ट से पहले रिट्रीट का मुख्य लाभ क्या है?</v>
      </c>
      <c r="H263" s="5" t="str">
        <f>IFERROR(__xludf.DUMMYFUNCTION("GOOGLETRANSLATE(C263, ""en"", ""hi"")"),"A) अधिक प्रभावी उच्च थ्रस्ट के लिए दूरी बनाना और फिर पास आना।, B) चपलता प्रदर्शित करना।, C) समय का अभ्यास करना।, D) भ्रम पैदा करना।")</f>
        <v>A) अधिक प्रभावी उच्च थ्रस्ट के लिए दूरी बनाना और फिर पास आना।, B) चपलता प्रदर्शित करना।, C) समय का अभ्यास करना।, D) भ्रम पैदा करना।</v>
      </c>
      <c r="I263" s="5" t="str">
        <f>IFERROR(__xludf.DUMMYFUNCTION("GOOGLETRANSLATE(D263, ""en"", ""hi"")"),"क) दूरी बनाना और फिर अधिक प्रभावी उच्च थ्रस्ट के लिए पास आना।")</f>
        <v>क) दूरी बनाना और फिर अधिक प्रभावी उच्च थ्रस्ट के लिए पास आना।</v>
      </c>
    </row>
    <row r="264" ht="22.5" customHeight="1">
      <c r="A264" s="2">
        <v>263.0</v>
      </c>
      <c r="B264" s="3" t="s">
        <v>12820</v>
      </c>
      <c r="C264" s="3" t="s">
        <v>12798</v>
      </c>
      <c r="D264" s="3" t="s">
        <v>12698</v>
      </c>
      <c r="F264" s="5" t="str">
        <f>IFERROR(__xludf.DUMMYFUNCTION("GOOGLETRANSLATE(A264, ""en"", ""hi"")"),"263")</f>
        <v>263</v>
      </c>
      <c r="G264" s="5" t="str">
        <f>IFERROR(__xludf.DUMMYFUNCTION("GOOGLETRANSLATE(B264, ""en"", ""hi"")"),"एक थांग-ता छात्र स्पिनिंग स्ट्राइक के बाद लो ब्लॉक करता है। स्पिनिंग स्ट्राइक के बाद लो ब्लॉक का मुख्य लाभ क्या है?")</f>
        <v>एक थांग-ता छात्र स्पिनिंग स्ट्राइक के बाद लो ब्लॉक करता है। स्पिनिंग स्ट्राइक के बाद लो ब्लॉक का मुख्य लाभ क्या है?</v>
      </c>
      <c r="H264" s="5" t="str">
        <f>IFERROR(__xludf.DUMMYFUNCTION("GOOGLETRANSLATE(C264, ""en"", ""hi"")"),"A) संभावित जवाबी हमलों से बचाव करना और रक्षात्मक स्थिति सुरक्षित करना।, B) चपलता प्रदर्शित करना।, C) समय का अभ्यास करना।, D) भ्रम पैदा करना।")</f>
        <v>A) संभावित जवाबी हमलों से बचाव करना और रक्षात्मक स्थिति सुरक्षित करना।, B) चपलता प्रदर्शित करना।, C) समय का अभ्यास करना।, D) भ्रम पैदा करना।</v>
      </c>
      <c r="I264" s="5" t="str">
        <f>IFERROR(__xludf.DUMMYFUNCTION("GOOGLETRANSLATE(D264, ""en"", ""hi"")"),"क) संभावित जवाबी हमलों से बचाव करना तथा रक्षात्मक स्थिति सुरक्षित करना।")</f>
        <v>क) संभावित जवाबी हमलों से बचाव करना तथा रक्षात्मक स्थिति सुरक्षित करना।</v>
      </c>
    </row>
    <row r="265" ht="22.5" customHeight="1">
      <c r="A265" s="2">
        <v>264.0</v>
      </c>
      <c r="B265" s="3" t="s">
        <v>12821</v>
      </c>
      <c r="C265" s="3" t="s">
        <v>12822</v>
      </c>
      <c r="D265" s="3" t="s">
        <v>12823</v>
      </c>
      <c r="F265" s="5" t="str">
        <f>IFERROR(__xludf.DUMMYFUNCTION("GOOGLETRANSLATE(A265, ""en"", ""hi"")"),"264")</f>
        <v>264</v>
      </c>
      <c r="G265" s="5" t="str">
        <f>IFERROR(__xludf.DUMMYFUNCTION("GOOGLETRANSLATE(B265, ""en"", ""hi"")"),"थांग-ता अभ्यास के दौरान, एक अभ्यासी तीव्र गति से उच्च प्रहारों की एक श्रृंखला करता है। इन उच्च प्रहारों का प्राथमिक लक्ष्य क्या है?")</f>
        <v>थांग-ता अभ्यास के दौरान, एक अभ्यासी तीव्र गति से उच्च प्रहारों की एक श्रृंखला करता है। इन उच्च प्रहारों का प्राथमिक लक्ष्य क्या है?</v>
      </c>
      <c r="H265" s="5" t="str">
        <f>IFERROR(__xludf.DUMMYFUNCTION("GOOGLETRANSLATE(C265, ""en"", ""hi"")"),"A) प्रतिद्वंद्वी के ऊपरी शरीर पर लगातार दबाव डालना और उन्हें रक्षात्मक रुख अपनाने के लिए मजबूर करना।, B) गति दिखाना।, C) सटीकता का अभ्यास करना।, D) भ्रम पैदा करना।")</f>
        <v>A) प्रतिद्वंद्वी के ऊपरी शरीर पर लगातार दबाव डालना और उन्हें रक्षात्मक रुख अपनाने के लिए मजबूर करना।, B) गति दिखाना।, C) सटीकता का अभ्यास करना।, D) भ्रम पैदा करना।</v>
      </c>
      <c r="I265" s="5" t="str">
        <f>IFERROR(__xludf.DUMMYFUNCTION("GOOGLETRANSLATE(D265, ""en"", ""hi"")"),"क) प्रतिद्वंद्वी के ऊपरी शरीर पर लगातार दबाव डालना और उन्हें रक्षात्मक रुख अपनाने के लिए मजबूर करना।")</f>
        <v>क) प्रतिद्वंद्वी के ऊपरी शरीर पर लगातार दबाव डालना और उन्हें रक्षात्मक रुख अपनाने के लिए मजबूर करना।</v>
      </c>
    </row>
    <row r="266" ht="22.5" customHeight="1">
      <c r="A266" s="2">
        <v>265.0</v>
      </c>
      <c r="B266" s="3" t="s">
        <v>12824</v>
      </c>
      <c r="C266" s="3" t="s">
        <v>12813</v>
      </c>
      <c r="D266" s="3" t="s">
        <v>12737</v>
      </c>
      <c r="F266" s="5" t="str">
        <f>IFERROR(__xludf.DUMMYFUNCTION("GOOGLETRANSLATE(A266, ""en"", ""hi"")"),"265")</f>
        <v>265</v>
      </c>
      <c r="G266" s="5" t="str">
        <f>IFERROR(__xludf.DUMMYFUNCTION("GOOGLETRANSLATE(B266, ""en"", ""hi"")"),"थांग-ता मैच में, एक प्रतिभागी हाई कट के बाद लो स्वीप करता है। हाई कट के बाद लो स्वीप का उद्देश्य क्या है?")</f>
        <v>थांग-ता मैच में, एक प्रतिभागी हाई कट के बाद लो स्वीप करता है। हाई कट के बाद लो स्वीप का उद्देश्य क्या है?</v>
      </c>
      <c r="H266" s="5" t="str">
        <f>IFERROR(__xludf.DUMMYFUNCTION("GOOGLETRANSLATE(C266, ""en"", ""hi"")"),"ए) प्रतिद्वंद्वी के उच्च गार्ड का लाभ उठाने और उनके निचले शरीर पर हमला करने के लिए।, बी) कौशल दिखाने के लिए।, सी) समय का अभ्यास करने के लिए।, डी) भ्रम पैदा करने के लिए।")</f>
        <v>ए) प्रतिद्वंद्वी के उच्च गार्ड का लाभ उठाने और उनके निचले शरीर पर हमला करने के लिए।, बी) कौशल दिखाने के लिए।, सी) समय का अभ्यास करने के लिए।, डी) भ्रम पैदा करने के लिए।</v>
      </c>
      <c r="I266" s="5" t="str">
        <f>IFERROR(__xludf.DUMMYFUNCTION("GOOGLETRANSLATE(D266, ""en"", ""hi"")"),"ए) प्रतिद्वंद्वी के उच्च सुरक्षा का लाभ उठाना और उनके निचले शरीर पर हमला करना।")</f>
        <v>ए) प्रतिद्वंद्वी के उच्च सुरक्षा का लाभ उठाना और उनके निचले शरीर पर हमला करना।</v>
      </c>
    </row>
    <row r="267" ht="22.5" customHeight="1">
      <c r="A267" s="2">
        <v>266.0</v>
      </c>
      <c r="B267" s="3" t="s">
        <v>12825</v>
      </c>
      <c r="C267" s="3" t="s">
        <v>12826</v>
      </c>
      <c r="D267" s="3" t="s">
        <v>12827</v>
      </c>
      <c r="F267" s="5" t="str">
        <f>IFERROR(__xludf.DUMMYFUNCTION("GOOGLETRANSLATE(A267, ""en"", ""hi"")"),"266")</f>
        <v>266</v>
      </c>
      <c r="G267" s="5" t="str">
        <f>IFERROR(__xludf.DUMMYFUNCTION("GOOGLETRANSLATE(B267, ""en"", ""hi"")"),"थांग-ता का अभ्यासी तलवार से कई तिरछे वार करता है। इन तिरछे वारों का मुख्य लाभ क्या है?")</f>
        <v>थांग-ता का अभ्यासी तलवार से कई तिरछे वार करता है। इन तिरछे वारों का मुख्य लाभ क्या है?</v>
      </c>
      <c r="H267" s="5" t="str">
        <f>IFERROR(__xludf.DUMMYFUNCTION("GOOGLETRANSLATE(C267, ""en"", ""hi"")"),"A) विभिन्न कोणों से हमला करना और प्रतिद्वंद्वी के बचाव में छेद बनाना।, B) कौशल का प्रदर्शन करना।, C) सटीकता का अभ्यास करना।, D) भ्रम पैदा करना।")</f>
        <v>A) विभिन्न कोणों से हमला करना और प्रतिद्वंद्वी के बचाव में छेद बनाना।, B) कौशल का प्रदर्शन करना।, C) सटीकता का अभ्यास करना।, D) भ्रम पैदा करना।</v>
      </c>
      <c r="I267" s="5" t="str">
        <f>IFERROR(__xludf.DUMMYFUNCTION("GOOGLETRANSLATE(D267, ""en"", ""hi"")"),"क) विभिन्न कोणों से आक्रमण करना और प्रतिद्वंद्वी के बचाव में छेद बनाना।")</f>
        <v>क) विभिन्न कोणों से आक्रमण करना और प्रतिद्वंद्वी के बचाव में छेद बनाना।</v>
      </c>
    </row>
    <row r="268" ht="22.5" customHeight="1">
      <c r="A268" s="2">
        <v>267.0</v>
      </c>
      <c r="B268" s="3" t="s">
        <v>12828</v>
      </c>
      <c r="C268" s="3" t="s">
        <v>12829</v>
      </c>
      <c r="D268" s="3" t="s">
        <v>12719</v>
      </c>
      <c r="F268" s="5" t="str">
        <f>IFERROR(__xludf.DUMMYFUNCTION("GOOGLETRANSLATE(A268, ""en"", ""hi"")"),"267")</f>
        <v>267</v>
      </c>
      <c r="G268" s="5" t="str">
        <f>IFERROR(__xludf.DUMMYFUNCTION("GOOGLETRANSLATE(B268, ""en"", ""hi"")"),"थांग-ता प्रदर्शन के दौरान, एक छात्र तेज़ी से नीचे की ओर कई प्रहार करता है। इन नीचे की ओर प्रहारों का उद्देश्य क्या है?")</f>
        <v>थांग-ता प्रदर्शन के दौरान, एक छात्र तेज़ी से नीचे की ओर कई प्रहार करता है। इन नीचे की ओर प्रहारों का उद्देश्य क्या है?</v>
      </c>
      <c r="H268" s="5" t="str">
        <f>IFERROR(__xludf.DUMMYFUNCTION("GOOGLETRANSLATE(C268, ""en"", ""hi"")"),"A) ऊपर से दबाव डालना और प्रतिद्वंद्वी को रक्षात्मक स्थिति में आने के लिए मजबूर करना।, B) गति दिखाना।, C) ताकत का अभ्यास करना।, D) भ्रम पैदा करना।")</f>
        <v>A) ऊपर से दबाव डालना और प्रतिद्वंद्वी को रक्षात्मक स्थिति में आने के लिए मजबूर करना।, B) गति दिखाना।, C) ताकत का अभ्यास करना।, D) भ्रम पैदा करना।</v>
      </c>
      <c r="I268" s="5" t="str">
        <f>IFERROR(__xludf.DUMMYFUNCTION("GOOGLETRANSLATE(D268, ""en"", ""hi"")"),"क) ऊपर से दबाव डालना और प्रतिद्वंद्वी को रक्षात्मक स्थिति में आने के लिए मजबूर करना।")</f>
        <v>क) ऊपर से दबाव डालना और प्रतिद्वंद्वी को रक्षात्मक स्थिति में आने के लिए मजबूर करना।</v>
      </c>
    </row>
    <row r="269" ht="22.5" customHeight="1">
      <c r="A269" s="2">
        <v>268.0</v>
      </c>
      <c r="B269" s="3" t="s">
        <v>12830</v>
      </c>
      <c r="C269" s="3" t="s">
        <v>12787</v>
      </c>
      <c r="D269" s="3" t="s">
        <v>12788</v>
      </c>
      <c r="F269" s="5" t="str">
        <f>IFERROR(__xludf.DUMMYFUNCTION("GOOGLETRANSLATE(A269, ""en"", ""hi"")"),"268")</f>
        <v>268</v>
      </c>
      <c r="G269" s="5" t="str">
        <f>IFERROR(__xludf.DUMMYFUNCTION("GOOGLETRANSLATE(B269, ""en"", ""hi"")"),"थांग-ता में, एक अभ्यासी लो स्वीप के बाद हाई कट करता है। लो स्वीप के बाद हाई कट का प्राथमिक लक्ष्य क्या है?")</f>
        <v>थांग-ता में, एक अभ्यासी लो स्वीप के बाद हाई कट करता है। लो स्वीप के बाद हाई कट का प्राथमिक लक्ष्य क्या है?</v>
      </c>
      <c r="H269" s="5" t="str">
        <f>IFERROR(__xludf.DUMMYFUNCTION("GOOGLETRANSLATE(C269, ""en"", ""hi"")"),"ए) प्रतिद्वंद्वी के बिगड़े संतुलन का फायदा उठाना और उनके ऊपरी शरीर पर हमला करना।, बी) कौशल का प्रदर्शन करना।, सी) समय का अभ्यास करना।, डी) भ्रम पैदा करना।")</f>
        <v>ए) प्रतिद्वंद्वी के बिगड़े संतुलन का फायदा उठाना और उनके ऊपरी शरीर पर हमला करना।, बी) कौशल का प्रदर्शन करना।, सी) समय का अभ्यास करना।, डी) भ्रम पैदा करना।</v>
      </c>
      <c r="I269" s="5" t="str">
        <f>IFERROR(__xludf.DUMMYFUNCTION("GOOGLETRANSLATE(D269, ""en"", ""hi"")"),"ए) प्रतिद्वंद्वी के बिगड़े संतुलन का फायदा उठाना और उनके ऊपरी शरीर पर हमला करना।")</f>
        <v>ए) प्रतिद्वंद्वी के बिगड़े संतुलन का फायदा उठाना और उनके ऊपरी शरीर पर हमला करना।</v>
      </c>
    </row>
    <row r="270" ht="22.5" customHeight="1">
      <c r="A270" s="2">
        <v>269.0</v>
      </c>
      <c r="B270" s="3" t="s">
        <v>12831</v>
      </c>
      <c r="C270" s="3" t="s">
        <v>12832</v>
      </c>
      <c r="D270" s="3" t="s">
        <v>12833</v>
      </c>
      <c r="F270" s="5" t="str">
        <f>IFERROR(__xludf.DUMMYFUNCTION("GOOGLETRANSLATE(A270, ""en"", ""hi"")"),"269")</f>
        <v>269</v>
      </c>
      <c r="G270" s="5" t="str">
        <f>IFERROR(__xludf.DUMMYFUNCTION("GOOGLETRANSLATE(B270, ""en"", ""hi"")"),"एक थांग-ता छात्र उच्च ब्लॉक के बाद निम्न थ्रस्ट करता है। उच्च ब्लॉक के बाद निम्न थ्रस्ट का क्या लाभ है?")</f>
        <v>एक थांग-ता छात्र उच्च ब्लॉक के बाद निम्न थ्रस्ट करता है। उच्च ब्लॉक के बाद निम्न थ्रस्ट का क्या लाभ है?</v>
      </c>
      <c r="H270" s="5" t="str">
        <f>IFERROR(__xludf.DUMMYFUNCTION("GOOGLETRANSLATE(C270, ""en"", ""hi"")"),"ए) बचाव से आक्रमण की ओर संक्रमण करना और प्रतिद्वंद्वी के निचले शरीर पर हमला करना।, बी) कौशल का प्रदर्शन करना।, सी) समय का अभ्यास करना।, डी) प्रतिद्वंद्वी को भ्रमित करना।")</f>
        <v>ए) बचाव से आक्रमण की ओर संक्रमण करना और प्रतिद्वंद्वी के निचले शरीर पर हमला करना।, बी) कौशल का प्रदर्शन करना।, सी) समय का अभ्यास करना।, डी) प्रतिद्वंद्वी को भ्रमित करना।</v>
      </c>
      <c r="I270" s="5" t="str">
        <f>IFERROR(__xludf.DUMMYFUNCTION("GOOGLETRANSLATE(D270, ""en"", ""hi"")"),"ए) बचाव से आक्रमण की ओर संक्रमण करना और प्रतिद्वंद्वी के निचले शरीर पर आक्रमण करना।")</f>
        <v>ए) बचाव से आक्रमण की ओर संक्रमण करना और प्रतिद्वंद्वी के निचले शरीर पर आक्रमण करना।</v>
      </c>
    </row>
    <row r="271" ht="22.5" customHeight="1">
      <c r="A271" s="2">
        <v>270.0</v>
      </c>
      <c r="B271" s="3" t="s">
        <v>12834</v>
      </c>
      <c r="C271" s="3" t="s">
        <v>12835</v>
      </c>
      <c r="D271" s="3" t="s">
        <v>12677</v>
      </c>
      <c r="F271" s="5" t="str">
        <f>IFERROR(__xludf.DUMMYFUNCTION("GOOGLETRANSLATE(A271, ""en"", ""hi"")"),"270")</f>
        <v>270</v>
      </c>
      <c r="G271" s="5" t="str">
        <f>IFERROR(__xludf.DUMMYFUNCTION("GOOGLETRANSLATE(B271, ""en"", ""hi"")"),"थांग-ता अभ्यास के दौरान, अभ्यासी तीव्र विकर्ण प्रहारों की एक श्रृंखला करता है। इन विकर्ण प्रहारों का प्राथमिक लक्ष्य क्या है?")</f>
        <v>थांग-ता अभ्यास के दौरान, अभ्यासी तीव्र विकर्ण प्रहारों की एक श्रृंखला करता है। इन विकर्ण प्रहारों का प्राथमिक लक्ष्य क्या है?</v>
      </c>
      <c r="H271" s="5" t="str">
        <f>IFERROR(__xludf.DUMMYFUNCTION("GOOGLETRANSLATE(C271, ""en"", ""hi"")"),"A) विभिन्न कोणों से प्रतिद्वंद्वी को निशाना बनाना और मौके बनाना।, B) भाला चलाने का प्रदर्शन करना।, C) सटीकता का अभ्यास करना।, D) भ्रम पैदा करना।")</f>
        <v>A) विभिन्न कोणों से प्रतिद्वंद्वी को निशाना बनाना और मौके बनाना।, B) भाला चलाने का प्रदर्शन करना।, C) सटीकता का अभ्यास करना।, D) भ्रम पैदा करना।</v>
      </c>
      <c r="I271" s="5" t="str">
        <f>IFERROR(__xludf.DUMMYFUNCTION("GOOGLETRANSLATE(D271, ""en"", ""hi"")"),"क) विभिन्न कोणों से प्रतिद्वंद्वी को निशाना बनाना और मौके बनाना।")</f>
        <v>क) विभिन्न कोणों से प्रतिद्वंद्वी को निशाना बनाना और मौके बनाना।</v>
      </c>
    </row>
    <row r="272" ht="22.5" customHeight="1">
      <c r="A272" s="2">
        <v>271.0</v>
      </c>
      <c r="B272" s="3" t="s">
        <v>12836</v>
      </c>
      <c r="C272" s="3" t="s">
        <v>12837</v>
      </c>
      <c r="D272" s="3" t="s">
        <v>12838</v>
      </c>
      <c r="F272" s="5" t="str">
        <f>IFERROR(__xludf.DUMMYFUNCTION("GOOGLETRANSLATE(A272, ""en"", ""hi"")"),"271")</f>
        <v>271</v>
      </c>
      <c r="G272" s="5" t="str">
        <f>IFERROR(__xludf.DUMMYFUNCTION("GOOGLETRANSLATE(B272, ""en"", ""hi"")"),"थांग-ता मैच में, एक प्रतिभागी पहले हाई थ्रस्ट के बाद लो स्वीप करता है। हाई थ्रस्ट के बाद लो स्वीप का मुख्य लाभ क्या है?")</f>
        <v>थांग-ता मैच में, एक प्रतिभागी पहले हाई थ्रस्ट के बाद लो स्वीप करता है। हाई थ्रस्ट के बाद लो स्वीप का मुख्य लाभ क्या है?</v>
      </c>
      <c r="H272" s="5" t="str">
        <f>IFERROR(__xludf.DUMMYFUNCTION("GOOGLETRANSLATE(C272, ""en"", ""hi"")"),"A) प्रतिद्वंद्वी के संतुलन को बिगाड़ना और कम हमले के लिए अवसर पैदा करना।, B) कौशल का प्रदर्शन करना।, C) समय का अभ्यास करना।, D) भ्रम पैदा करना।")</f>
        <v>A) प्रतिद्वंद्वी के संतुलन को बिगाड़ना और कम हमले के लिए अवसर पैदा करना।, B) कौशल का प्रदर्शन करना।, C) समय का अभ्यास करना।, D) भ्रम पैदा करना।</v>
      </c>
      <c r="I272" s="5" t="str">
        <f>IFERROR(__xludf.DUMMYFUNCTION("GOOGLETRANSLATE(D272, ""en"", ""hi"")"),"क) प्रतिद्वंद्वी के संतुलन को बिगाड़ना और निचले हमले के लिए रास्ता बनाना।")</f>
        <v>क) प्रतिद्वंद्वी के संतुलन को बिगाड़ना और निचले हमले के लिए रास्ता बनाना।</v>
      </c>
    </row>
    <row r="273" ht="22.5" customHeight="1">
      <c r="A273" s="2">
        <v>272.0</v>
      </c>
      <c r="B273" s="3" t="s">
        <v>12839</v>
      </c>
      <c r="C273" s="3" t="s">
        <v>12840</v>
      </c>
      <c r="D273" s="3" t="s">
        <v>12841</v>
      </c>
      <c r="F273" s="5" t="str">
        <f>IFERROR(__xludf.DUMMYFUNCTION("GOOGLETRANSLATE(A273, ""en"", ""hi"")"),"272")</f>
        <v>272</v>
      </c>
      <c r="G273" s="5" t="str">
        <f>IFERROR(__xludf.DUMMYFUNCTION("GOOGLETRANSLATE(B273, ""en"", ""hi"")"),"थांग-ता का अभ्यासी तलवार से तेज़ी से ऊपर की ओर वार करता है। इन ऊपर की ओर वारों पर ध्यान केंद्रित करने से क्या लाभ है?")</f>
        <v>थांग-ता का अभ्यासी तलवार से तेज़ी से ऊपर की ओर वार करता है। इन ऊपर की ओर वारों पर ध्यान केंद्रित करने से क्या लाभ है?</v>
      </c>
      <c r="H273" s="5" t="str">
        <f>IFERROR(__xludf.DUMMYFUNCTION("GOOGLETRANSLATE(C273, ""en"", ""hi"")"),"A) ऊपर से हमला करना और प्रतिद्वंद्वी के बचाव में कई जगहें खोलना।, B) गति दिखाना।, C) सटीकता का अभ्यास करना।, D) भ्रम पैदा करना।")</f>
        <v>A) ऊपर से हमला करना और प्रतिद्वंद्वी के बचाव में कई जगहें खोलना।, B) गति दिखाना।, C) सटीकता का अभ्यास करना।, D) भ्रम पैदा करना।</v>
      </c>
      <c r="I273" s="5" t="str">
        <f>IFERROR(__xludf.DUMMYFUNCTION("GOOGLETRANSLATE(D273, ""en"", ""hi"")"),"क) ऊपर से हमला करना और प्रतिद्वंद्वी के बचाव में कई जगहें खोलना।")</f>
        <v>क) ऊपर से हमला करना और प्रतिद्वंद्वी के बचाव में कई जगहें खोलना।</v>
      </c>
    </row>
    <row r="274" ht="22.5" customHeight="1">
      <c r="A274" s="2">
        <v>273.0</v>
      </c>
      <c r="B274" s="3" t="s">
        <v>12842</v>
      </c>
      <c r="C274" s="3" t="s">
        <v>12843</v>
      </c>
      <c r="D274" s="3" t="s">
        <v>12692</v>
      </c>
      <c r="F274" s="5" t="str">
        <f>IFERROR(__xludf.DUMMYFUNCTION("GOOGLETRANSLATE(A274, ""en"", ""hi"")"),"273")</f>
        <v>273</v>
      </c>
      <c r="G274" s="5" t="str">
        <f>IFERROR(__xludf.DUMMYFUNCTION("GOOGLETRANSLATE(B274, ""en"", ""hi"")"),"थांग-ता प्रशिक्षण के दौरान, एक छात्र पहले लो ब्लॉक करता है और उसके बाद हाई थ्रस्ट करता है। लो ब्लॉक के बाद हाई थ्रस्ट का उद्देश्य क्या है?")</f>
        <v>थांग-ता प्रशिक्षण के दौरान, एक छात्र पहले लो ब्लॉक करता है और उसके बाद हाई थ्रस्ट करता है। लो ब्लॉक के बाद हाई थ्रस्ट का उद्देश्य क्या है?</v>
      </c>
      <c r="H274" s="5" t="str">
        <f>IFERROR(__xludf.DUMMYFUNCTION("GOOGLETRANSLATE(C274, ""en"", ""hi"")"),"ए) बचाव से आक्रमण की ओर संक्रमण करना और प्रतिद्वंद्वी के ऊपरी शरीर को निशाना बनाना।, बी) कौशल का प्रदर्शन करना।, सी) समय का अभ्यास करना।, डी) भ्रम पैदा करना।")</f>
        <v>ए) बचाव से आक्रमण की ओर संक्रमण करना और प्रतिद्वंद्वी के ऊपरी शरीर को निशाना बनाना।, बी) कौशल का प्रदर्शन करना।, सी) समय का अभ्यास करना।, डी) भ्रम पैदा करना।</v>
      </c>
      <c r="I274" s="5" t="str">
        <f>IFERROR(__xludf.DUMMYFUNCTION("GOOGLETRANSLATE(D274, ""en"", ""hi"")"),"ए) बचाव से आक्रमण की ओर संक्रमण करना और प्रतिद्वंद्वी के ऊपरी शरीर को निशाना बनाना।")</f>
        <v>ए) बचाव से आक्रमण की ओर संक्रमण करना और प्रतिद्वंद्वी के ऊपरी शरीर को निशाना बनाना।</v>
      </c>
    </row>
    <row r="275" ht="22.5" customHeight="1">
      <c r="A275" s="2">
        <v>274.0</v>
      </c>
      <c r="B275" s="3" t="s">
        <v>12844</v>
      </c>
      <c r="C275" s="3" t="s">
        <v>12845</v>
      </c>
      <c r="D275" s="3" t="s">
        <v>12846</v>
      </c>
      <c r="F275" s="5" t="str">
        <f>IFERROR(__xludf.DUMMYFUNCTION("GOOGLETRANSLATE(A275, ""en"", ""hi"")"),"274")</f>
        <v>274</v>
      </c>
      <c r="G275" s="5" t="str">
        <f>IFERROR(__xludf.DUMMYFUNCTION("GOOGLETRANSLATE(B275, ""en"", ""hi"")"),"थांग-ता में, अभ्यासी एक त्वरित साइडस्टेप और फिर एक क्षैतिज कट करता है। कट से पहले साइडस्टेप का प्राथमिक लक्ष्य क्या है?")</f>
        <v>थांग-ता में, अभ्यासी एक त्वरित साइडस्टेप और फिर एक क्षैतिज कट करता है। कट से पहले साइडस्टेप का प्राथमिक लक्ष्य क्या है?</v>
      </c>
      <c r="H275" s="5" t="str">
        <f>IFERROR(__xludf.DUMMYFUNCTION("GOOGLETRANSLATE(C275, ""en"", ""hi"")"),"ए) अधिक प्रभावी क्षैतिज कट के लिए प्रतिद्वंद्वी के हमले और स्थिति से बचने के लिए, बी) फुटवर्क दिखाने के लिए, सी) समय का अभ्यास करने के लिए, डी) भ्रम पैदा करने के लिए।")</f>
        <v>ए) अधिक प्रभावी क्षैतिज कट के लिए प्रतिद्वंद्वी के हमले और स्थिति से बचने के लिए, बी) फुटवर्क दिखाने के लिए, सी) समय का अभ्यास करने के लिए, डी) भ्रम पैदा करने के लिए।</v>
      </c>
      <c r="I275" s="5" t="str">
        <f>IFERROR(__xludf.DUMMYFUNCTION("GOOGLETRANSLATE(D275, ""en"", ""hi"")"),"क) प्रतिद्वंद्वी के हमले से बचने और अधिक प्रभावी क्षैतिज कट के लिए स्थिति बनाना।")</f>
        <v>क) प्रतिद्वंद्वी के हमले से बचने और अधिक प्रभावी क्षैतिज कट के लिए स्थिति बनाना।</v>
      </c>
    </row>
    <row r="276" ht="22.5" customHeight="1">
      <c r="A276" s="2">
        <v>275.0</v>
      </c>
      <c r="B276" s="3" t="s">
        <v>12847</v>
      </c>
      <c r="C276" s="3" t="s">
        <v>12848</v>
      </c>
      <c r="D276" s="3" t="s">
        <v>12748</v>
      </c>
      <c r="F276" s="5" t="str">
        <f>IFERROR(__xludf.DUMMYFUNCTION("GOOGLETRANSLATE(A276, ""en"", ""hi"")"),"275")</f>
        <v>275</v>
      </c>
      <c r="G276" s="5" t="str">
        <f>IFERROR(__xludf.DUMMYFUNCTION("GOOGLETRANSLATE(B276, ""en"", ""hi"")"),"एक थांग-ता छात्र तलवार से तेज़ी से तिरछे वार करता है। इन तिरछे वारों का मुख्य उद्देश्य क्या है?")</f>
        <v>एक थांग-ता छात्र तलवार से तेज़ी से तिरछे वार करता है। इन तिरछे वारों का मुख्य उद्देश्य क्या है?</v>
      </c>
      <c r="H276" s="5" t="str">
        <f>IFERROR(__xludf.DUMMYFUNCTION("GOOGLETRANSLATE(C276, ""en"", ""hi"")"),"A) विभिन्न कोणों से आक्रमण करना और अनेक अवसर पैदा करना। B) कौशल का प्रदर्शन करना। C) गति का अभ्यास करना। D) भ्रम पैदा करना।")</f>
        <v>A) विभिन्न कोणों से आक्रमण करना और अनेक अवसर पैदा करना। B) कौशल का प्रदर्शन करना। C) गति का अभ्यास करना। D) भ्रम पैदा करना।</v>
      </c>
      <c r="I276" s="5" t="str">
        <f>IFERROR(__xludf.DUMMYFUNCTION("GOOGLETRANSLATE(D276, ""en"", ""hi"")"),"क) विभिन्न कोणों से आक्रमण करना और अनेक अवसर पैदा करना।")</f>
        <v>क) विभिन्न कोणों से आक्रमण करना और अनेक अवसर पैदा करना।</v>
      </c>
    </row>
    <row r="277" ht="22.5" customHeight="1">
      <c r="A277" s="2">
        <v>276.0</v>
      </c>
      <c r="B277" s="3" t="s">
        <v>12849</v>
      </c>
      <c r="C277" s="3" t="s">
        <v>12850</v>
      </c>
      <c r="D277" s="3" t="s">
        <v>12851</v>
      </c>
      <c r="F277" s="5" t="str">
        <f>IFERROR(__xludf.DUMMYFUNCTION("GOOGLETRANSLATE(A277, ""en"", ""hi"")"),"276")</f>
        <v>276</v>
      </c>
      <c r="G277" s="5" t="str">
        <f>IFERROR(__xludf.DUMMYFUNCTION("GOOGLETRANSLATE(B277, ""en"", ""hi"")"),"थांग-ता मैच के दौरान, एक प्रतिभागी पहले हाई कट करता है और उसके बाद लो थ्रस्ट करता है। हाई कट के बाद लो थ्रस्ट का क्या फायदा है?")</f>
        <v>थांग-ता मैच के दौरान, एक प्रतिभागी पहले हाई कट करता है और उसके बाद लो थ्रस्ट करता है। हाई कट के बाद लो थ्रस्ट का क्या फायदा है?</v>
      </c>
      <c r="H277" s="5" t="str">
        <f>IFERROR(__xludf.DUMMYFUNCTION("GOOGLETRANSLATE(C277, ""en"", ""hi"")"),"ए) प्रतिद्वंद्वी के निचले शरीर को निशाना बनाना, जब उन्हें हाई कट से बचाव के लिए मजबूर किया जाता है।, बी) कौशल दिखाने के लिए।, सी) समय का अभ्यास करने के लिए।, डी) भ्रम पैदा करने के लिए।")</f>
        <v>ए) प्रतिद्वंद्वी के निचले शरीर को निशाना बनाना, जब उन्हें हाई कट से बचाव के लिए मजबूर किया जाता है।, बी) कौशल दिखाने के लिए।, सी) समय का अभ्यास करने के लिए।, डी) भ्रम पैदा करने के लिए।</v>
      </c>
      <c r="I277" s="5" t="str">
        <f>IFERROR(__xludf.DUMMYFUNCTION("GOOGLETRANSLATE(D277, ""en"", ""hi"")"),"ए) प्रतिद्वंद्वी के निचले शरीर को निशाना बनाना, जब उन्हें हाई कट से बचाव के लिए मजबूर किया गया हो।")</f>
        <v>ए) प्रतिद्वंद्वी के निचले शरीर को निशाना बनाना, जब उन्हें हाई कट से बचाव के लिए मजबूर किया गया हो।</v>
      </c>
    </row>
    <row r="278" ht="22.5" customHeight="1">
      <c r="A278" s="2">
        <v>277.0</v>
      </c>
      <c r="B278" s="3" t="s">
        <v>12852</v>
      </c>
      <c r="C278" s="3" t="s">
        <v>12853</v>
      </c>
      <c r="D278" s="3" t="s">
        <v>12751</v>
      </c>
      <c r="F278" s="5" t="str">
        <f>IFERROR(__xludf.DUMMYFUNCTION("GOOGLETRANSLATE(A278, ""en"", ""hi"")"),"277")</f>
        <v>277</v>
      </c>
      <c r="G278" s="5" t="str">
        <f>IFERROR(__xludf.DUMMYFUNCTION("GOOGLETRANSLATE(B278, ""en"", ""hi"")"),"थांग-ता में, अभ्यासी तीव्र उच्च प्रहारों की एक श्रृंखला के बाद निम्न ब्लॉक करता है। उच्च प्रहारों के बाद निम्न ब्लॉक का प्राथमिक उद्देश्य क्या है?")</f>
        <v>थांग-ता में, अभ्यासी तीव्र उच्च प्रहारों की एक श्रृंखला के बाद निम्न ब्लॉक करता है। उच्च प्रहारों के बाद निम्न ब्लॉक का प्राथमिक उद्देश्य क्या है?</v>
      </c>
      <c r="H278" s="5" t="str">
        <f>IFERROR(__xludf.DUMMYFUNCTION("GOOGLETRANSLATE(C278, ""en"", ""hi"")"),"A) जवाबी हमलों से बचाव करना और रक्षात्मक स्थिति सुरक्षित करना।, B) कौशल का प्रदर्शन करना।, C) समय का अभ्यास करना।, D) भ्रम पैदा करना।")</f>
        <v>A) जवाबी हमलों से बचाव करना और रक्षात्मक स्थिति सुरक्षित करना।, B) कौशल का प्रदर्शन करना।, C) समय का अभ्यास करना।, D) भ्रम पैदा करना।</v>
      </c>
      <c r="I278" s="5" t="str">
        <f>IFERROR(__xludf.DUMMYFUNCTION("GOOGLETRANSLATE(D278, ""en"", ""hi"")"),"क) जवाबी हमलों से बचाव करना और रक्षात्मक स्थिति सुरक्षित करना।")</f>
        <v>क) जवाबी हमलों से बचाव करना और रक्षात्मक स्थिति सुरक्षित करना।</v>
      </c>
    </row>
    <row r="279" ht="22.5" customHeight="1">
      <c r="A279" s="2">
        <v>278.0</v>
      </c>
      <c r="B279" s="3" t="s">
        <v>12854</v>
      </c>
      <c r="C279" s="3" t="s">
        <v>12855</v>
      </c>
      <c r="D279" s="3" t="s">
        <v>12856</v>
      </c>
      <c r="F279" s="5" t="str">
        <f>IFERROR(__xludf.DUMMYFUNCTION("GOOGLETRANSLATE(A279, ""en"", ""hi"")"),"278")</f>
        <v>278</v>
      </c>
      <c r="G279" s="5" t="str">
        <f>IFERROR(__xludf.DUMMYFUNCTION("GOOGLETRANSLATE(B279, ""en"", ""hi"")"),"थांग-ता का अभ्यास करने वाला एक तेज़ साइडस्टेप के बाद एक विकर्ण कट का उपयोग करता है। विकर्ण कट से पहले साइडस्टेप का मुख्य उद्देश्य क्या है?")</f>
        <v>थांग-ता का अभ्यास करने वाला एक तेज़ साइडस्टेप के बाद एक विकर्ण कट का उपयोग करता है। विकर्ण कट से पहले साइडस्टेप का मुख्य उद्देश्य क्या है?</v>
      </c>
      <c r="H279" s="5" t="str">
        <f>IFERROR(__xludf.DUMMYFUNCTION("GOOGLETRANSLATE(C279, ""en"", ""hi"")"),"ए)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f>
        <v>ए) प्रतिद्वंद्वी के हमले से बचने और अधिक प्रभावी विकर्ण कट के लिए खुद को स्थिति में लाने के लिए, बी) फुटवर्क दिखाने के लिए, सी) समय का अभ्यास करने के लिए, डी) भ्रम पैदा करने के लिए।</v>
      </c>
      <c r="I279" s="5" t="str">
        <f>IFERROR(__xludf.DUMMYFUNCTION("GOOGLETRANSLATE(D279, ""en"", ""hi"")"),"क) प्रतिद्वंद्वी के हमले से बचने और अधिक प्रभावी विकर्ण कट के लिए खुद को तैयार करना।")</f>
        <v>क) प्रतिद्वंद्वी के हमले से बचने और अधिक प्रभावी विकर्ण कट के लिए खुद को तैयार करना।</v>
      </c>
    </row>
    <row r="280" ht="22.5" customHeight="1">
      <c r="A280" s="2">
        <v>279.0</v>
      </c>
      <c r="B280" s="3" t="s">
        <v>12857</v>
      </c>
      <c r="C280" s="3" t="s">
        <v>12858</v>
      </c>
      <c r="D280" s="3" t="s">
        <v>12859</v>
      </c>
      <c r="F280" s="5" t="str">
        <f>IFERROR(__xludf.DUMMYFUNCTION("GOOGLETRANSLATE(A280, ""en"", ""hi"")"),"279")</f>
        <v>279</v>
      </c>
      <c r="G280" s="5" t="str">
        <f>IFERROR(__xludf.DUMMYFUNCTION("GOOGLETRANSLATE(B280, ""en"", ""hi"")"),"थांग-ता अभ्यास के दौरान, एक छात्र भाले से तेज़ी से नीचे की ओर कई वार करता है। इन नीचे की ओर वारों का क्या लाभ है?")</f>
        <v>थांग-ता अभ्यास के दौरान, एक छात्र भाले से तेज़ी से नीचे की ओर कई वार करता है। इन नीचे की ओर वारों का क्या लाभ है?</v>
      </c>
      <c r="H280" s="5" t="str">
        <f>IFERROR(__xludf.DUMMYFUNCTION("GOOGLETRANSLATE(C280, ""en"", ""hi"")"),"क) ऊपर से दबाव डालना और प्रतिद्वंद्वी का संतुलन बिगाड़ना।, ख) भाला चलाने का प्रदर्शन करना।, ग) ताकत का अभ्यास करना।, घ) भ्रम पैदा करना।")</f>
        <v>क) ऊपर से दबाव डालना और प्रतिद्वंद्वी का संतुलन बिगाड़ना।, ख) भाला चलाने का प्रदर्शन करना।, ग) ताकत का अभ्यास करना।, घ) भ्रम पैदा करना।</v>
      </c>
      <c r="I280" s="5" t="str">
        <f>IFERROR(__xludf.DUMMYFUNCTION("GOOGLETRANSLATE(D280, ""en"", ""hi"")"),"अ) ऊपर से दबाव डालना और प्रतिद्वंद्वी का संतुलन बिगाड़ना।")</f>
        <v>अ) ऊपर से दबाव डालना और प्रतिद्वंद्वी का संतुलन बिगाड़ना।</v>
      </c>
    </row>
    <row r="281" ht="22.5" customHeight="1">
      <c r="A281" s="2">
        <v>280.0</v>
      </c>
      <c r="B281" s="3" t="s">
        <v>12860</v>
      </c>
      <c r="C281" s="3" t="s">
        <v>12861</v>
      </c>
      <c r="D281" s="3" t="s">
        <v>12862</v>
      </c>
      <c r="F281" s="5" t="str">
        <f>IFERROR(__xludf.DUMMYFUNCTION("GOOGLETRANSLATE(A281, ""en"", ""hi"")"),"280")</f>
        <v>280</v>
      </c>
      <c r="G281" s="5" t="str">
        <f>IFERROR(__xludf.DUMMYFUNCTION("GOOGLETRANSLATE(B281, ""en"", ""hi"")"),"थांग-ता प्रदर्शन में, एक अभ्यासी एक स्पिनिंग स्ट्राइक के बाद एक लो कट करता है। स्पिनिंग स्ट्राइक के बाद लो कट का उद्देश्य क्या है?")</f>
        <v>थांग-ता प्रदर्शन में, एक अभ्यासी एक स्पिनिंग स्ट्राइक के बाद एक लो कट करता है। स्पिनिंग स्ट्राइक के बाद लो कट का उद्देश्य क्या है?</v>
      </c>
      <c r="H281" s="5" t="str">
        <f>IFERROR(__xludf.DUMMYFUNCTION("GOOGLETRANSLATE(C281, ""en"", ""hi"")"),"ए) प्रतिद्वंद्वी के बिगड़े संतुलन का फायदा उठाना और निचले कोण से हमला करना।, बी) चपलता दिखाना।, सी) समय का अभ्यास करना।, डी) भ्रम पैदा करना।")</f>
        <v>ए) प्रतिद्वंद्वी के बिगड़े संतुलन का फायदा उठाना और निचले कोण से हमला करना।, बी) चपलता दिखाना।, सी) समय का अभ्यास करना।, डी) भ्रम पैदा करना।</v>
      </c>
      <c r="I281" s="5" t="str">
        <f>IFERROR(__xludf.DUMMYFUNCTION("GOOGLETRANSLATE(D281, ""en"", ""hi"")"),"ए) प्रतिद्वंद्वी के बिगड़े संतुलन का फायदा उठाना और निचले कोण से हमला करना।")</f>
        <v>ए) प्रतिद्वंद्वी के बिगड़े संतुलन का फायदा उठाना और निचले कोण से हमला करना।</v>
      </c>
    </row>
    <row r="282" ht="22.5" customHeight="1">
      <c r="A282" s="2">
        <v>281.0</v>
      </c>
      <c r="B282" s="3" t="s">
        <v>12863</v>
      </c>
      <c r="C282" s="3" t="s">
        <v>12864</v>
      </c>
      <c r="D282" s="3" t="s">
        <v>12865</v>
      </c>
      <c r="F282" s="5" t="str">
        <f>IFERROR(__xludf.DUMMYFUNCTION("GOOGLETRANSLATE(A282, ""en"", ""hi"")"),"281")</f>
        <v>281</v>
      </c>
      <c r="G282" s="5" t="str">
        <f>IFERROR(__xludf.DUMMYFUNCTION("GOOGLETRANSLATE(B282, ""en"", ""hi"")"),"एक थांग-ता छात्र कई ऊँची कट्स करता है और फिर एक त्वरित रिट्रीट करता है। ऊँची कट्स के बाद रिट्रीट का मुख्य लाभ क्या है?")</f>
        <v>एक थांग-ता छात्र कई ऊँची कट्स करता है और फिर एक त्वरित रिट्रीट करता है। ऊँची कट्स के बाद रिट्रीट का मुख्य लाभ क्या है?</v>
      </c>
      <c r="H282" s="5" t="str">
        <f>IFERROR(__xludf.DUMMYFUNCTION("GOOGLETRANSLATE(C282, ""en"", ""hi"")"),"क) जवाबी हमलों से बचने और आगे के हमलों के लिए स्थिति का पुनः आकलन करने के लिए।, ख) चपलता दिखाने के लिए।, ग) समय का अभ्यास करने के लिए।, घ) भ्रम पैदा करने के लिए।")</f>
        <v>क) जवाबी हमलों से बचने और आगे के हमलों के लिए स्थिति का पुनः आकलन करने के लिए।, ख) चपलता दिखाने के लिए।, ग) समय का अभ्यास करने के लिए।, घ) भ्रम पैदा करने के लिए।</v>
      </c>
      <c r="I282" s="5" t="str">
        <f>IFERROR(__xludf.DUMMYFUNCTION("GOOGLETRANSLATE(D282, ""en"", ""hi"")"),"क) जवाबी हमलों से बचने और आगे के हमलों के लिए स्थिति का पुनः आकलन करना।")</f>
        <v>क) जवाबी हमलों से बचने और आगे के हमलों के लिए स्थिति का पुनः आकलन करना।</v>
      </c>
    </row>
    <row r="283" ht="22.5" customHeight="1">
      <c r="A283" s="2">
        <v>282.0</v>
      </c>
      <c r="B283" s="3" t="s">
        <v>12866</v>
      </c>
      <c r="C283" s="3" t="s">
        <v>12765</v>
      </c>
      <c r="D283" s="3" t="s">
        <v>12707</v>
      </c>
      <c r="F283" s="5" t="str">
        <f>IFERROR(__xludf.DUMMYFUNCTION("GOOGLETRANSLATE(A283, ""en"", ""hi"")"),"282")</f>
        <v>282</v>
      </c>
      <c r="G283" s="5" t="str">
        <f>IFERROR(__xludf.DUMMYFUNCTION("GOOGLETRANSLATE(B283, ""en"", ""hi"")"),"थांग-ता मैच के दौरान, एक प्रतिभागी एक तेज़ थ्रस्ट के बाद एक तेज़ साइडस्टेप करता है। थ्रस्ट के बाद साइडस्टेप का उद्देश्य क्या है?")</f>
        <v>थांग-ता मैच के दौरान, एक प्रतिभागी एक तेज़ थ्रस्ट के बाद एक तेज़ साइडस्टेप करता है। थ्रस्ट के बाद साइडस्टेप का उद्देश्य क्या है?</v>
      </c>
      <c r="H283" s="5" t="str">
        <f>IFERROR(__xludf.DUMMYFUNCTION("GOOGLETRANSLATE(C283, ""en"", ""hi"")"),"ए) संभावित जवाबी हमलों से बचने और आगे के हमलों के लिए अपनी स्थिति बदलने के लिए।, बी) फुटवर्क दिखाने के लिए।, सी) समय का अभ्यास करने के लिए।, डी) भ्रम पैदा करने के लिए।")</f>
        <v>ए) संभावित जवाबी हमलों से बचने और आगे के हमलों के लिए अपनी स्थिति बदलने के लिए।, बी) फुटवर्क दिखाने के लिए।, सी) समय का अभ्यास करने के लिए।, डी) भ्रम पैदा करने के लिए।</v>
      </c>
      <c r="I283" s="5" t="str">
        <f>IFERROR(__xludf.DUMMYFUNCTION("GOOGLETRANSLATE(D283, ""en"", ""hi"")"),"क) संभावित जवाबी हमलों से बचने और आगे के हमलों के लिए पुनः स्थिति तैयार करने के लिए।")</f>
        <v>क) संभावित जवाबी हमलों से बचने और आगे के हमलों के लिए पुनः स्थिति तैयार करने के लिए।</v>
      </c>
    </row>
    <row r="284" ht="22.5" customHeight="1">
      <c r="A284" s="2">
        <v>283.0</v>
      </c>
      <c r="B284" s="3" t="s">
        <v>12867</v>
      </c>
      <c r="C284" s="3" t="s">
        <v>12868</v>
      </c>
      <c r="D284" s="3" t="s">
        <v>12869</v>
      </c>
      <c r="F284" s="5" t="str">
        <f>IFERROR(__xludf.DUMMYFUNCTION("GOOGLETRANSLATE(A284, ""en"", ""hi"")"),"283")</f>
        <v>283</v>
      </c>
      <c r="G284" s="5" t="str">
        <f>IFERROR(__xludf.DUMMYFUNCTION("GOOGLETRANSLATE(B284, ""en"", ""hi"")"),"थांग-ता में, अभ्यासी लो स्वीप के बाद हाई ब्लॉक करता है। लो स्वीप के बाद हाई ब्लॉक करने का क्या लाभ है?")</f>
        <v>थांग-ता में, अभ्यासी लो स्वीप के बाद हाई ब्लॉक करता है। लो स्वीप के बाद हाई ब्लॉक करने का क्या लाभ है?</v>
      </c>
      <c r="H284" s="5" t="str">
        <f>IFERROR(__xludf.DUMMYFUNCTION("GOOGLETRANSLATE(C284, ""en"", ""hi"")"),"A) आक्रमण से बचाव की ओर संक्रमण करना और रक्षात्मक स्थिति को सुरक्षित करना।, B) कौशल का प्रदर्शन करना।, C) समय का अभ्यास करना।, D) भ्रम पैदा करना।")</f>
        <v>A) आक्रमण से बचाव की ओर संक्रमण करना और रक्षात्मक स्थिति को सुरक्षित करना।, B) कौशल का प्रदर्शन करना।, C) समय का अभ्यास करना।, D) भ्रम पैदा करना।</v>
      </c>
      <c r="I284" s="5" t="str">
        <f>IFERROR(__xludf.DUMMYFUNCTION("GOOGLETRANSLATE(D284, ""en"", ""hi"")"),"क) आक्रमण से बचाव की ओर संक्रमण करना तथा रक्षात्मक स्थिति सुरक्षित करना।")</f>
        <v>क) आक्रमण से बचाव की ओर संक्रमण करना तथा रक्षात्मक स्थिति सुरक्षित करना।</v>
      </c>
    </row>
    <row r="285" ht="22.5" customHeight="1">
      <c r="A285" s="2">
        <v>284.0</v>
      </c>
      <c r="B285" s="3" t="s">
        <v>12870</v>
      </c>
      <c r="C285" s="3" t="s">
        <v>12871</v>
      </c>
      <c r="D285" s="3" t="s">
        <v>12689</v>
      </c>
      <c r="F285" s="5" t="str">
        <f>IFERROR(__xludf.DUMMYFUNCTION("GOOGLETRANSLATE(A285, ""en"", ""hi"")"),"284")</f>
        <v>284</v>
      </c>
      <c r="G285" s="5" t="str">
        <f>IFERROR(__xludf.DUMMYFUNCTION("GOOGLETRANSLATE(B285, ""en"", ""hi"")"),"थांग-ता का अभ्यासी तलवार से तेज़ी से कई ऊँचे वार करता है। इन ऊँचे वारों का मुख्य उद्देश्य क्या है?")</f>
        <v>थांग-ता का अभ्यासी तलवार से तेज़ी से कई ऊँचे वार करता है। इन ऊँचे वारों का मुख्य उद्देश्य क्या है?</v>
      </c>
      <c r="H285" s="5" t="str">
        <f>IFERROR(__xludf.DUMMYFUNCTION("GOOGLETRANSLATE(C285, ""en"", ""hi"")"),"A) प्रतिद्वंद्वी के ऊपरी शरीर पर लगातार दबाव डालना और उन्हें रक्षात्मक रुख अपनाने के लिए मजबूर करना।, B) कौशल का प्रदर्शन करना।, C) गति का अभ्यास करना।, D) भ्रम पैदा करना।")</f>
        <v>A) प्रतिद्वंद्वी के ऊपरी शरीर पर लगातार दबाव डालना और उन्हें रक्षात्मक रुख अपनाने के लिए मजबूर करना।, B) कौशल का प्रदर्शन करना।, C) गति का अभ्यास करना।, D) भ्रम पैदा करना।</v>
      </c>
      <c r="I285" s="5" t="str">
        <f>IFERROR(__xludf.DUMMYFUNCTION("GOOGLETRANSLATE(D285, ""en"", ""hi"")"),"क) प्रतिद्वंद्वी के ऊपरी शरीर पर लगातार दबाव डालना और उन्हें रक्षात्मक रुख अपनाने के लिए मजबूर करना।")</f>
        <v>क) प्रतिद्वंद्वी के ऊपरी शरीर पर लगातार दबाव डालना और उन्हें रक्षात्मक रुख अपनाने के लिए मजबूर करना।</v>
      </c>
    </row>
    <row r="286" ht="22.5" customHeight="1">
      <c r="A286" s="2">
        <v>285.0</v>
      </c>
      <c r="B286" s="3" t="s">
        <v>12872</v>
      </c>
      <c r="C286" s="3" t="s">
        <v>12873</v>
      </c>
      <c r="D286" s="3" t="s">
        <v>12874</v>
      </c>
      <c r="F286" s="5" t="str">
        <f>IFERROR(__xludf.DUMMYFUNCTION("GOOGLETRANSLATE(A286, ""en"", ""hi"")"),"285")</f>
        <v>285</v>
      </c>
      <c r="G286" s="5" t="str">
        <f>IFERROR(__xludf.DUMMYFUNCTION("GOOGLETRANSLATE(B286, ""en"", ""hi"")"),"थांग-ता प्रदर्शन के दौरान, एक छात्र एक त्वरित रिट्रीट के बाद एक विकर्ण कट करता है। कट से पहले रिट्रीट का मुख्य लाभ क्या है?")</f>
        <v>थांग-ता प्रदर्शन के दौरान, एक छात्र एक त्वरित रिट्रीट के बाद एक विकर्ण कट करता है। कट से पहले रिट्रीट का मुख्य लाभ क्या है?</v>
      </c>
      <c r="H286" s="5" t="str">
        <f>IFERROR(__xludf.DUMMYFUNCTION("GOOGLETRANSLATE(C286, ""en"", ""hi"")"),"A) दूरी बनाना और फिर अधिक लाभप्रद स्थिति से आक्रमण करना।, B) चपलता प्रदर्शित करना।, C) समय का अभ्यास करना।, D) भ्रम पैदा करना।")</f>
        <v>A) दूरी बनाना और फिर अधिक लाभप्रद स्थिति से आक्रमण करना।, B) चपलता प्रदर्शित करना।, C) समय का अभ्यास करना।, D) भ्रम पैदा करना।</v>
      </c>
      <c r="I286" s="5" t="str">
        <f>IFERROR(__xludf.DUMMYFUNCTION("GOOGLETRANSLATE(D286, ""en"", ""hi"")"),"क) दूरी बनाना और फिर अधिक लाभप्रद स्थिति से आक्रमण करना।")</f>
        <v>क) दूरी बनाना और फिर अधिक लाभप्रद स्थिति से आक्रमण करना।</v>
      </c>
    </row>
    <row r="287" ht="22.5" customHeight="1">
      <c r="A287" s="2">
        <v>286.0</v>
      </c>
      <c r="B287" s="3" t="s">
        <v>12875</v>
      </c>
      <c r="C287" s="3" t="s">
        <v>12876</v>
      </c>
      <c r="D287" s="3" t="s">
        <v>12877</v>
      </c>
      <c r="F287" s="5" t="str">
        <f>IFERROR(__xludf.DUMMYFUNCTION("GOOGLETRANSLATE(A287, ""en"", ""hi"")"),"286")</f>
        <v>286</v>
      </c>
      <c r="G287" s="5" t="str">
        <f>IFERROR(__xludf.DUMMYFUNCTION("GOOGLETRANSLATE(B287, ""en"", ""hi"")"),"थांग-ता में, साधक एक घूर्णन प्रहार के बाद एक उच्च प्रहार करता है। घूर्णन प्रहार के बाद उच्च प्रहार का क्या लाभ है?")</f>
        <v>थांग-ता में, साधक एक घूर्णन प्रहार के बाद एक उच्च प्रहार करता है। घूर्णन प्रहार के बाद उच्च प्रहार का क्या लाभ है?</v>
      </c>
      <c r="H287" s="5" t="str">
        <f>IFERROR(__xludf.DUMMYFUNCTION("GOOGLETRANSLATE(C287, ""en"", ""hi"")"),"A) गति उत्पन्न करना और शक्तिशाली आक्रमण करना।, B) चपलता प्रदर्शित करना।, C) सटीकता का अभ्यास करना।, D) भ्रम पैदा करना।")</f>
        <v>A) गति उत्पन्न करना और शक्तिशाली आक्रमण करना।, B) चपलता प्रदर्शित करना।, C) सटीकता का अभ्यास करना।, D) भ्रम पैदा करना।</v>
      </c>
      <c r="I287" s="5" t="str">
        <f>IFERROR(__xludf.DUMMYFUNCTION("GOOGLETRANSLATE(D287, ""en"", ""hi"")"),"क) गति उत्पन्न करना और शक्तिशाली आक्रमण करना।")</f>
        <v>क) गति उत्पन्न करना और शक्तिशाली आक्रमण करना।</v>
      </c>
    </row>
    <row r="288" ht="22.5" customHeight="1">
      <c r="A288" s="2">
        <v>287.0</v>
      </c>
      <c r="B288" s="3" t="s">
        <v>12878</v>
      </c>
      <c r="C288" s="3" t="s">
        <v>12879</v>
      </c>
      <c r="D288" s="3" t="s">
        <v>12880</v>
      </c>
      <c r="F288" s="5" t="str">
        <f>IFERROR(__xludf.DUMMYFUNCTION("GOOGLETRANSLATE(A288, ""en"", ""hi"")"),"287")</f>
        <v>287</v>
      </c>
      <c r="G288" s="5" t="str">
        <f>IFERROR(__xludf.DUMMYFUNCTION("GOOGLETRANSLATE(B288, ""en"", ""hi"")"),"एक थांग-ता छात्र तलवार से तेज़ी से तिरछे वार करता है। इन तिरछे वारों का मुख्य उद्देश्य क्या है?")</f>
        <v>एक थांग-ता छात्र तलवार से तेज़ी से तिरछे वार करता है। इन तिरछे वारों का मुख्य उद्देश्य क्या है?</v>
      </c>
      <c r="H288" s="5" t="str">
        <f>IFERROR(__xludf.DUMMYFUNCTION("GOOGLETRANSLATE(C288, ""en"", ""hi"")"),"A) विभिन्न कोणों से हमला करना और प्रतिद्वंद्वी के बचाव में कई अवसर पैदा करना।, B) कौशल का प्रदर्शन करना।, C) गति का अभ्यास करना।, D) भ्रम पैदा करना।")</f>
        <v>A) विभिन्न कोणों से हमला करना और प्रतिद्वंद्वी के बचाव में कई अवसर पैदा करना।, B) कौशल का प्रदर्शन करना।, C) गति का अभ्यास करना।, D) भ्रम पैदा करना।</v>
      </c>
      <c r="I288" s="5" t="str">
        <f>IFERROR(__xludf.DUMMYFUNCTION("GOOGLETRANSLATE(D288, ""en"", ""hi"")"),"क) विभिन्न कोणों से आक्रमण करना और प्रतिद्वंद्वी के बचाव में कई अवसर पैदा करना।")</f>
        <v>क) विभिन्न कोणों से आक्रमण करना और प्रतिद्वंद्वी के बचाव में कई अवसर पैदा करना।</v>
      </c>
    </row>
    <row r="289" ht="22.5" customHeight="1">
      <c r="A289" s="2">
        <v>288.0</v>
      </c>
      <c r="B289" s="3" t="s">
        <v>12881</v>
      </c>
      <c r="C289" s="3" t="s">
        <v>12882</v>
      </c>
      <c r="D289" s="3" t="s">
        <v>12883</v>
      </c>
      <c r="F289" s="5" t="str">
        <f>IFERROR(__xludf.DUMMYFUNCTION("GOOGLETRANSLATE(A289, ""en"", ""hi"")"),"288")</f>
        <v>288</v>
      </c>
      <c r="G289" s="5" t="str">
        <f>IFERROR(__xludf.DUMMYFUNCTION("GOOGLETRANSLATE(B289, ""en"", ""hi"")"),"थांग-ता अभ्यास सत्र के दौरान, एक अभ्यासी निम्न दबावों की एक श्रृंखला के बाद उच्च कट करता है। निम्न दबावों के बाद उच्च कट का उद्देश्य क्या है?")</f>
        <v>थांग-ता अभ्यास सत्र के दौरान, एक अभ्यासी निम्न दबावों की एक श्रृंखला के बाद उच्च कट करता है। निम्न दबावों के बाद उच्च कट का उद्देश्य क्या है?</v>
      </c>
      <c r="H289" s="5" t="str">
        <f>IFERROR(__xludf.DUMMYFUNCTION("GOOGLETRANSLATE(C289, ""en"", ""hi"")"),"ए) प्रतिद्वंद्वी के बाधित निचले गार्ड का लाभ उठाना और ऊपर से हमला करना।, बी) कौशल का प्रदर्शन करना।, सी) समय का अभ्यास करना।, डी) भ्रम पैदा करना।")</f>
        <v>ए) प्रतिद्वंद्वी के बाधित निचले गार्ड का लाभ उठाना और ऊपर से हमला करना।, बी) कौशल का प्रदर्शन करना।, सी) समय का अभ्यास करना।, डी) भ्रम पैदा करना।</v>
      </c>
      <c r="I289" s="5" t="str">
        <f>IFERROR(__xludf.DUMMYFUNCTION("GOOGLETRANSLATE(D289, ""en"", ""hi"")"),"ए) प्रतिद्वंद्वी के बाधित निचले गार्ड का लाभ उठाना और ऊपर से हमला करना।")</f>
        <v>ए) प्रतिद्वंद्वी के बाधित निचले गार्ड का लाभ उठाना और ऊपर से हमला करना।</v>
      </c>
    </row>
    <row r="290" ht="22.5" customHeight="1">
      <c r="A290" s="2">
        <v>289.0</v>
      </c>
      <c r="B290" s="3" t="s">
        <v>12884</v>
      </c>
      <c r="C290" s="3" t="s">
        <v>12727</v>
      </c>
      <c r="D290" s="3" t="s">
        <v>12728</v>
      </c>
      <c r="F290" s="5" t="str">
        <f>IFERROR(__xludf.DUMMYFUNCTION("GOOGLETRANSLATE(A290, ""en"", ""hi"")"),"289")</f>
        <v>289</v>
      </c>
      <c r="G290" s="5" t="str">
        <f>IFERROR(__xludf.DUMMYFUNCTION("GOOGLETRANSLATE(B290, ""en"", ""hi"")"),"थांग-ता मैच में, एक प्रतिभागी एक उच्च ब्लॉक के बाद एक विकर्ण थ्रस्ट करता है। उच्च ब्लॉक के बाद विकर्ण थ्रस्ट का उद्देश्य क्या है?")</f>
        <v>थांग-ता मैच में, एक प्रतिभागी एक उच्च ब्लॉक के बाद एक विकर्ण थ्रस्ट करता है। उच्च ब्लॉक के बाद विकर्ण थ्रस्ट का उद्देश्य क्या है?</v>
      </c>
      <c r="H290" s="5" t="str">
        <f>IFERROR(__xludf.DUMMYFUNCTION("GOOGLETRANSLATE(C290,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290" s="5" t="str">
        <f>IFERROR(__xludf.DUMMYFUNCTION("GOOGLETRANSLATE(D290, ""en"", ""hi"")"),"क) रक्षा से आक्रमण और कोण से आक्रमण की ओर संक्रमण करना।")</f>
        <v>क) रक्षा से आक्रमण और कोण से आक्रमण की ओर संक्रमण करना।</v>
      </c>
    </row>
    <row r="291" ht="22.5" customHeight="1">
      <c r="A291" s="2">
        <v>290.0</v>
      </c>
      <c r="B291" s="3" t="s">
        <v>12885</v>
      </c>
      <c r="C291" s="3" t="s">
        <v>12886</v>
      </c>
      <c r="D291" s="3" t="s">
        <v>12887</v>
      </c>
      <c r="F291" s="5" t="str">
        <f>IFERROR(__xludf.DUMMYFUNCTION("GOOGLETRANSLATE(A291, ""en"", ""hi"")"),"290")</f>
        <v>290</v>
      </c>
      <c r="G291" s="5" t="str">
        <f>IFERROR(__xludf.DUMMYFUNCTION("GOOGLETRANSLATE(B291, ""en"", ""hi"")"),"थांग-ता का अभ्यासी एक निम्न स्वीप के बाद उच्च थ्रस्ट की एक श्रृंखला करता है। निम्न स्वीप के बाद उच्च थ्रस्ट का क्या लाभ है?")</f>
        <v>थांग-ता का अभ्यासी एक निम्न स्वीप के बाद उच्च थ्रस्ट की एक श्रृंखला करता है। निम्न स्वीप के बाद उच्च थ्रस्ट का क्या लाभ है?</v>
      </c>
      <c r="H291" s="5" t="str">
        <f>IFERROR(__xludf.DUMMYFUNCTION("GOOGLETRANSLATE(C291, ""en"", ""hi"")"),"A) प्रतिद्वंद्वी के बिगड़े संतुलन का फायदा उठाना और उनके ऊपरी शरीर पर हमला करना।, B) कौशल का प्रदर्शन करना।, C) समय का अभ्यास करना।, D) भ्रम पैदा करना।")</f>
        <v>A) प्रतिद्वंद्वी के बिगड़े संतुलन का फायदा उठाना और उनके ऊपरी शरीर पर हमला करना।, B) कौशल का प्रदर्शन करना।, C) समय का अभ्यास करना।, D) भ्रम पैदा करना।</v>
      </c>
      <c r="I291" s="5" t="str">
        <f>IFERROR(__xludf.DUMMYFUNCTION("GOOGLETRANSLATE(D291, ""en"", ""hi"")"),"क) प्रतिद्वंद्वी के बिगड़े संतुलन का फायदा उठाना और उसके ऊपरी शरीर पर हमला करना।")</f>
        <v>क) प्रतिद्वंद्वी के बिगड़े संतुलन का फायदा उठाना और उसके ऊपरी शरीर पर हमला करना।</v>
      </c>
    </row>
    <row r="292" ht="22.5" customHeight="1">
      <c r="A292" s="2">
        <v>291.0</v>
      </c>
      <c r="B292" s="3" t="s">
        <v>12888</v>
      </c>
      <c r="C292" s="3" t="s">
        <v>12781</v>
      </c>
      <c r="D292" s="3" t="s">
        <v>12742</v>
      </c>
      <c r="F292" s="5" t="str">
        <f>IFERROR(__xludf.DUMMYFUNCTION("GOOGLETRANSLATE(A292, ""en"", ""hi"")"),"291")</f>
        <v>291</v>
      </c>
      <c r="G292" s="5" t="str">
        <f>IFERROR(__xludf.DUMMYFUNCTION("GOOGLETRANSLATE(B292, ""en"", ""hi"")"),"थांग-ता प्रशिक्षण के दौरान, एक छात्र तेज़ी से ऊपर की ओर वार करता है। इन ऊपर की ओर वार का मुख्य लाभ क्या है?")</f>
        <v>थांग-ता प्रशिक्षण के दौरान, एक छात्र तेज़ी से ऊपर की ओर वार करता है। इन ऊपर की ओर वार का मुख्य लाभ क्या है?</v>
      </c>
      <c r="H292" s="5" t="str">
        <f>IFERROR(__xludf.DUMMYFUNCTION("GOOGLETRANSLATE(C292, ""en"", ""hi"")"),"A) ऊपर से हमला करना और प्रतिद्वंद्वी के बचाव में छेद बनाना।, B) गति दिखाना।, C) सटीकता का अभ्यास करना।, D) भ्रम पैदा करना।")</f>
        <v>A) ऊपर से हमला करना और प्रतिद्वंद्वी के बचाव में छेद बनाना।, B) गति दिखाना।, C) सटीकता का अभ्यास करना।, D) भ्रम पैदा करना।</v>
      </c>
      <c r="I292" s="5" t="str">
        <f>IFERROR(__xludf.DUMMYFUNCTION("GOOGLETRANSLATE(D292, ""en"", ""hi"")"),"क) ऊपर से हमला करना और प्रतिद्वंद्वी के बचाव में छेद बनाना।")</f>
        <v>क) ऊपर से हमला करना और प्रतिद्वंद्वी के बचाव में छेद बनाना।</v>
      </c>
    </row>
    <row r="293" ht="22.5" customHeight="1">
      <c r="A293" s="2">
        <v>292.0</v>
      </c>
      <c r="B293" s="3" t="s">
        <v>12889</v>
      </c>
      <c r="C293" s="3" t="s">
        <v>12697</v>
      </c>
      <c r="D293" s="3" t="s">
        <v>12698</v>
      </c>
      <c r="F293" s="5" t="str">
        <f>IFERROR(__xludf.DUMMYFUNCTION("GOOGLETRANSLATE(A293, ""en"", ""hi"")"),"292")</f>
        <v>292</v>
      </c>
      <c r="G293" s="5" t="str">
        <f>IFERROR(__xludf.DUMMYFUNCTION("GOOGLETRANSLATE(B293, ""en"", ""hi"")"),"थांग-ता में, एक अभ्यासी पहले हाई कट करता है और उसके बाद लो ब्लॉक करता है। हाई कट के बाद लो ब्लॉक का उद्देश्य क्या है?")</f>
        <v>थांग-ता में, एक अभ्यासी पहले हाई कट करता है और उसके बाद लो ब्लॉक करता है। हाई कट के बाद लो ब्लॉक का उद्देश्य क्या है?</v>
      </c>
      <c r="H293" s="5" t="str">
        <f>IFERROR(__xludf.DUMMYFUNCTION("GOOGLETRANSLATE(C293, ""en"", ""hi"")"),"A) संभावित जवाबी हमलों से बचाव करना और रक्षात्मक स्थिति सुरक्षित करना।, B) कौशल का प्रदर्शन करना।, C) समय का अभ्यास करना।, D) प्रतिद्वंद्वी को भ्रमित करना।")</f>
        <v>A) संभावित जवाबी हमलों से बचाव करना और रक्षात्मक स्थिति सुरक्षित करना।, B) कौशल का प्रदर्शन करना।, C) समय का अभ्यास करना।, D) प्रतिद्वंद्वी को भ्रमित करना।</v>
      </c>
      <c r="I293" s="5" t="str">
        <f>IFERROR(__xludf.DUMMYFUNCTION("GOOGLETRANSLATE(D293, ""en"", ""hi"")"),"क) संभावित जवाबी हमलों से बचाव करना तथा रक्षात्मक स्थिति सुरक्षित करना।")</f>
        <v>क) संभावित जवाबी हमलों से बचाव करना तथा रक्षात्मक स्थिति सुरक्षित करना।</v>
      </c>
    </row>
    <row r="294" ht="22.5" customHeight="1">
      <c r="A294" s="2">
        <v>293.0</v>
      </c>
      <c r="B294" s="3" t="s">
        <v>12890</v>
      </c>
      <c r="C294" s="3" t="s">
        <v>12891</v>
      </c>
      <c r="D294" s="3" t="s">
        <v>12892</v>
      </c>
      <c r="F294" s="5" t="str">
        <f>IFERROR(__xludf.DUMMYFUNCTION("GOOGLETRANSLATE(A294, ""en"", ""hi"")"),"293")</f>
        <v>293</v>
      </c>
      <c r="G294" s="5" t="str">
        <f>IFERROR(__xludf.DUMMYFUNCTION("GOOGLETRANSLATE(B294, ""en"", ""hi"")"),"एक थांग-ता छात्र एक तेज़ साइडस्टेप के बाद एक तेज़ थ्रस्ट करता है। थ्रस्ट से पहले साइडस्टेप करने का क्या फ़ायदा है?")</f>
        <v>एक थांग-ता छात्र एक तेज़ साइडस्टेप के बाद एक तेज़ थ्रस्ट करता है। थ्रस्ट से पहले साइडस्टेप करने का क्या फ़ायदा है?</v>
      </c>
      <c r="H294" s="5" t="str">
        <f>IFERROR(__xludf.DUMMYFUNCTION("GOOGLETRANSLATE(C294, ""en"", ""hi"")"),"ए) अधिक प्रभावी उच्च थ्रस्ट के लिए प्रतिद्वंद्वी के हमले और स्थिति से बचने के लिए, बी) फुटवर्क दिखाने के लिए, सी) समय का अभ्यास करने के लिए, डी) भ्रम पैदा करने के लिए।")</f>
        <v>ए) अधिक प्रभावी उच्च थ्रस्ट के लिए प्रतिद्वंद्वी के हमले और स्थिति से बचने के लिए, बी) फुटवर्क दिखाने के लिए, सी) समय का अभ्यास करने के लिए, डी) भ्रम पैदा करने के लिए।</v>
      </c>
      <c r="I294" s="5" t="str">
        <f>IFERROR(__xludf.DUMMYFUNCTION("GOOGLETRANSLATE(D294, ""en"", ""hi"")"),"क) प्रतिद्वंद्वी के हमले से बचने और अधिक प्रभावी उच्च प्रहार के लिए स्थिति बनाना।")</f>
        <v>क) प्रतिद्वंद्वी के हमले से बचने और अधिक प्रभावी उच्च प्रहार के लिए स्थिति बनाना।</v>
      </c>
    </row>
    <row r="295" ht="22.5" customHeight="1">
      <c r="A295" s="2">
        <v>294.0</v>
      </c>
      <c r="B295" s="3" t="s">
        <v>12893</v>
      </c>
      <c r="C295" s="3" t="s">
        <v>12894</v>
      </c>
      <c r="D295" s="3" t="s">
        <v>12689</v>
      </c>
      <c r="F295" s="5" t="str">
        <f>IFERROR(__xludf.DUMMYFUNCTION("GOOGLETRANSLATE(A295, ""en"", ""hi"")"),"294")</f>
        <v>294</v>
      </c>
      <c r="G295" s="5" t="str">
        <f>IFERROR(__xludf.DUMMYFUNCTION("GOOGLETRANSLATE(B295, ""en"", ""hi"")"),"थांग-ता प्रदर्शन के दौरान, एक अभ्यासी तीव्र गति से उच्च प्रहारों की एक श्रृंखला करता है। इन उच्च प्रहारों का प्राथमिक लक्ष्य क्या है?")</f>
        <v>थांग-ता प्रदर्शन के दौरान, एक अभ्यासी तीव्र गति से उच्च प्रहारों की एक श्रृंखला करता है। इन उच्च प्रहारों का प्राथमिक लक्ष्य क्या है?</v>
      </c>
      <c r="H295" s="5" t="str">
        <f>IFERROR(__xludf.DUMMYFUNCTION("GOOGLETRANSLATE(C295, ""en"", ""hi"")"),"A) प्रतिद्वंद्वी के ऊपरी शरीर पर लगातार दबाव डालना और उन्हें रक्षात्मक रुख अपनाने के लिए मजबूर करना।, B) गति दिखाना।, C) सटीकता का अभ्यास करना।, D) भ्रम पैदा करना।")</f>
        <v>A) प्रतिद्वंद्वी के ऊपरी शरीर पर लगातार दबाव डालना और उन्हें रक्षात्मक रुख अपनाने के लिए मजबूर करना।, B) गति दिखाना।, C) सटीकता का अभ्यास करना।, D) भ्रम पैदा करना।</v>
      </c>
      <c r="I295" s="5" t="str">
        <f>IFERROR(__xludf.DUMMYFUNCTION("GOOGLETRANSLATE(D295, ""en"", ""hi"")"),"क) प्रतिद्वंद्वी के ऊपरी शरीर पर लगातार दबाव डालना और उन्हें रक्षात्मक रुख अपनाने के लिए मजबूर करना।")</f>
        <v>क) प्रतिद्वंद्वी के ऊपरी शरीर पर लगातार दबाव डालना और उन्हें रक्षात्मक रुख अपनाने के लिए मजबूर करना।</v>
      </c>
    </row>
    <row r="296" ht="22.5" customHeight="1">
      <c r="A296" s="2">
        <v>295.0</v>
      </c>
      <c r="B296" s="3" t="s">
        <v>12895</v>
      </c>
      <c r="C296" s="3" t="s">
        <v>12727</v>
      </c>
      <c r="D296" s="3" t="s">
        <v>12728</v>
      </c>
      <c r="F296" s="5" t="str">
        <f>IFERROR(__xludf.DUMMYFUNCTION("GOOGLETRANSLATE(A296, ""en"", ""hi"")"),"295")</f>
        <v>295</v>
      </c>
      <c r="G296" s="5" t="str">
        <f>IFERROR(__xludf.DUMMYFUNCTION("GOOGLETRANSLATE(B296, ""en"", ""hi"")"),"थांग-ता में, अभ्यासी एक निम्न ब्लॉक के बाद एक त्वरित विकर्ण कट करता है। ब्लॉक के बाद विकर्ण कट का मुख्य लाभ क्या है?")</f>
        <v>थांग-ता में, अभ्यासी एक निम्न ब्लॉक के बाद एक त्वरित विकर्ण कट करता है। ब्लॉक के बाद विकर्ण कट का मुख्य लाभ क्या है?</v>
      </c>
      <c r="H296" s="5" t="str">
        <f>IFERROR(__xludf.DUMMYFUNCTION("GOOGLETRANSLATE(C296,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296" s="5" t="str">
        <f>IFERROR(__xludf.DUMMYFUNCTION("GOOGLETRANSLATE(D296, ""en"", ""hi"")"),"क) रक्षा से आक्रमण और कोण से आक्रमण की ओर संक्रमण करना।")</f>
        <v>क) रक्षा से आक्रमण और कोण से आक्रमण की ओर संक्रमण करना।</v>
      </c>
    </row>
    <row r="297" ht="22.5" customHeight="1">
      <c r="A297" s="2">
        <v>296.0</v>
      </c>
      <c r="B297" s="3" t="s">
        <v>12896</v>
      </c>
      <c r="C297" s="3" t="s">
        <v>12807</v>
      </c>
      <c r="D297" s="3" t="s">
        <v>12808</v>
      </c>
      <c r="F297" s="5" t="str">
        <f>IFERROR(__xludf.DUMMYFUNCTION("GOOGLETRANSLATE(A297, ""en"", ""hi"")"),"296")</f>
        <v>296</v>
      </c>
      <c r="G297" s="5" t="str">
        <f>IFERROR(__xludf.DUMMYFUNCTION("GOOGLETRANSLATE(B297, ""en"", ""hi"")"),"एक थांग-ता छात्र भाले से तेज़ी से तिरछे वार करता है। इन तिरछे वारों का मुख्य उद्देश्य क्या है?")</f>
        <v>एक थांग-ता छात्र भाले से तेज़ी से तिरछे वार करता है। इन तिरछे वारों का मुख्य उद्देश्य क्या है?</v>
      </c>
      <c r="H297" s="5" t="str">
        <f>IFERROR(__xludf.DUMMYFUNCTION("GOOGLETRANSLATE(C297, ""en"", ""hi"")"),"A) विभिन्न कोणों से प्रतिद्वंद्वी को निशाना बनाना और कई अवसर पैदा करना।, B) भाला चलाने का प्रदर्शन करना।, C) सटीकता का अभ्यास करना।, D) भ्रम पैदा करना।")</f>
        <v>A) विभिन्न कोणों से प्रतिद्वंद्वी को निशाना बनाना और कई अवसर पैदा करना।, B) भाला चलाने का प्रदर्शन करना।, C) सटीकता का अभ्यास करना।, D) भ्रम पैदा करना।</v>
      </c>
      <c r="I297" s="5" t="str">
        <f>IFERROR(__xludf.DUMMYFUNCTION("GOOGLETRANSLATE(D297, ""en"", ""hi"")"),"क) प्रतिद्वंद्वी को विभिन्न कोणों से निशाना बनाना और कई अवसर पैदा करना।")</f>
        <v>क) प्रतिद्वंद्वी को विभिन्न कोणों से निशाना बनाना और कई अवसर पैदा करना।</v>
      </c>
    </row>
    <row r="298" ht="22.5" customHeight="1">
      <c r="A298" s="2">
        <v>297.0</v>
      </c>
      <c r="B298" s="3" t="s">
        <v>12897</v>
      </c>
      <c r="C298" s="3" t="s">
        <v>12736</v>
      </c>
      <c r="D298" s="3" t="s">
        <v>12737</v>
      </c>
      <c r="F298" s="5" t="str">
        <f>IFERROR(__xludf.DUMMYFUNCTION("GOOGLETRANSLATE(A298, ""en"", ""hi"")"),"297")</f>
        <v>297</v>
      </c>
      <c r="G298" s="5" t="str">
        <f>IFERROR(__xludf.DUMMYFUNCTION("GOOGLETRANSLATE(B298, ""en"", ""hi"")"),"थांग-ता मैच के दौरान, एक प्रतिभागी हाई कट के बाद लो स्वीप करता है। हाई कट के बाद लो स्वीप का उद्देश्य क्या है?")</f>
        <v>थांग-ता मैच के दौरान, एक प्रतिभागी हाई कट के बाद लो स्वीप करता है। हाई कट के बाद लो स्वीप का उद्देश्य क्या है?</v>
      </c>
      <c r="H298" s="5" t="str">
        <f>IFERROR(__xludf.DUMMYFUNCTION("GOOGLETRANSLATE(C298, ""en"", ""hi"")"),"ए)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f>
        <v>ए) प्रतिद्वंद्वी के उच्च गार्ड का लाभ उठाने और उनके निचले शरीर पर हमला करने के लिए।, बी) कौशल दिखाने के लिए।, सी) समय का अभ्यास करने के लिए।, डी) प्रतिद्वंद्वी को भ्रमित करने के लिए।</v>
      </c>
      <c r="I298" s="5" t="str">
        <f>IFERROR(__xludf.DUMMYFUNCTION("GOOGLETRANSLATE(D298, ""en"", ""hi"")"),"ए) प्रतिद्वंद्वी के उच्च सुरक्षा का लाभ उठाना और उनके निचले शरीर पर हमला करना।")</f>
        <v>ए) प्रतिद्वंद्वी के उच्च सुरक्षा का लाभ उठाना और उनके निचले शरीर पर हमला करना।</v>
      </c>
    </row>
    <row r="299" ht="22.5" customHeight="1">
      <c r="A299" s="2">
        <v>298.0</v>
      </c>
      <c r="B299" s="3" t="s">
        <v>12898</v>
      </c>
      <c r="C299" s="3" t="s">
        <v>12858</v>
      </c>
      <c r="D299" s="3" t="s">
        <v>12859</v>
      </c>
      <c r="F299" s="5" t="str">
        <f>IFERROR(__xludf.DUMMYFUNCTION("GOOGLETRANSLATE(A299, ""en"", ""hi"")"),"298")</f>
        <v>298</v>
      </c>
      <c r="G299" s="5" t="str">
        <f>IFERROR(__xludf.DUMMYFUNCTION("GOOGLETRANSLATE(B299, ""en"", ""hi"")"),"थांग-ता में, एक साधक भाले से नीचे की ओर तेज़ी से कई प्रहार करता है। इन नीचे की ओर प्रहारों का क्या लाभ है?")</f>
        <v>थांग-ता में, एक साधक भाले से नीचे की ओर तेज़ी से कई प्रहार करता है। इन नीचे की ओर प्रहारों का क्या लाभ है?</v>
      </c>
      <c r="H299" s="5" t="str">
        <f>IFERROR(__xludf.DUMMYFUNCTION("GOOGLETRANSLATE(C299, ""en"", ""hi"")"),"क) ऊपर से दबाव डालना और प्रतिद्वंद्वी का संतुलन बिगाड़ना।, ख) भाला चलाने का प्रदर्शन करना।, ग) ताकत का अभ्यास करना।, घ) भ्रम पैदा करना।")</f>
        <v>क) ऊपर से दबाव डालना और प्रतिद्वंद्वी का संतुलन बिगाड़ना।, ख) भाला चलाने का प्रदर्शन करना।, ग) ताकत का अभ्यास करना।, घ) भ्रम पैदा करना।</v>
      </c>
      <c r="I299" s="5" t="str">
        <f>IFERROR(__xludf.DUMMYFUNCTION("GOOGLETRANSLATE(D299, ""en"", ""hi"")"),"अ) ऊपर से दबाव डालना और प्रतिद्वंद्वी का संतुलन बिगाड़ना।")</f>
        <v>अ) ऊपर से दबाव डालना और प्रतिद्वंद्वी का संतुलन बिगाड़ना।</v>
      </c>
    </row>
    <row r="300" ht="22.5" customHeight="1">
      <c r="A300" s="2">
        <v>299.0</v>
      </c>
      <c r="B300" s="3" t="s">
        <v>12899</v>
      </c>
      <c r="C300" s="3" t="s">
        <v>12900</v>
      </c>
      <c r="D300" s="3" t="s">
        <v>12901</v>
      </c>
      <c r="F300" s="5" t="str">
        <f>IFERROR(__xludf.DUMMYFUNCTION("GOOGLETRANSLATE(A300, ""en"", ""hi"")"),"299")</f>
        <v>299</v>
      </c>
      <c r="G300" s="5" t="str">
        <f>IFERROR(__xludf.DUMMYFUNCTION("GOOGLETRANSLATE(B300, ""en"", ""hi"")"),"एक थांग-टा छात्र लो स्वीप के बाद हाई थ्रस्ट करता है। लो स्वीप के बाद हाई थ्रस्ट का प्राथमिक लक्ष्य क्या है?")</f>
        <v>एक थांग-टा छात्र लो स्वीप के बाद हाई थ्रस्ट करता है। लो स्वीप के बाद हाई थ्रस्ट का प्राथमिक लक्ष्य क्या है?</v>
      </c>
      <c r="H300" s="5" t="str">
        <f>IFERROR(__xludf.DUMMYFUNCTION("GOOGLETRANSLATE(C300, ""en"", ""hi"")"),"A) प्रतिद्वंद्वी के बिगड़े संतुलन का फायदा उठाना और ऊपर से हमला करना।, B) कौशल का प्रदर्शन करना।, C) समय का अभ्यास करना।, D) प्रतिद्वंद्वी को भ्रमित करना।")</f>
        <v>A) प्रतिद्वंद्वी के बिगड़े संतुलन का फायदा उठाना और ऊपर से हमला करना।, B) कौशल का प्रदर्शन करना।, C) समय का अभ्यास करना।, D) प्रतिद्वंद्वी को भ्रमित करना।</v>
      </c>
      <c r="I300" s="5" t="str">
        <f>IFERROR(__xludf.DUMMYFUNCTION("GOOGLETRANSLATE(D300, ""en"", ""hi"")"),"अ) प्रतिद्वंद्वी के बिगड़े संतुलन का फायदा उठाना और ऊपर से हमला करना।")</f>
        <v>अ) प्रतिद्वंद्वी के बिगड़े संतुलन का फायदा उठाना और ऊपर से हमला करना।</v>
      </c>
    </row>
    <row r="301" ht="22.5" customHeight="1">
      <c r="A301" s="2">
        <v>300.0</v>
      </c>
      <c r="B301" s="3" t="s">
        <v>12902</v>
      </c>
      <c r="C301" s="3" t="s">
        <v>12727</v>
      </c>
      <c r="D301" s="3" t="s">
        <v>12728</v>
      </c>
      <c r="F301" s="5" t="str">
        <f>IFERROR(__xludf.DUMMYFUNCTION("GOOGLETRANSLATE(A301, ""en"", ""hi"")"),"300")</f>
        <v>300</v>
      </c>
      <c r="G301" s="5" t="str">
        <f>IFERROR(__xludf.DUMMYFUNCTION("GOOGLETRANSLATE(B301, ""en"", ""hi"")"),"थांग-ता अभ्यास के दौरान, एक अभ्यासी एक उच्च ब्लॉक के बाद एक विकर्ण कट करता है। उच्च ब्लॉक के बाद विकर्ण कट का मुख्य लाभ क्या है?")</f>
        <v>थांग-ता अभ्यास के दौरान, एक अभ्यासी एक उच्च ब्लॉक के बाद एक विकर्ण कट करता है। उच्च ब्लॉक के बाद विकर्ण कट का मुख्य लाभ क्या है?</v>
      </c>
      <c r="H301" s="5" t="str">
        <f>IFERROR(__xludf.DUMMYFUNCTION("GOOGLETRANSLATE(C301,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301" s="5" t="str">
        <f>IFERROR(__xludf.DUMMYFUNCTION("GOOGLETRANSLATE(D301, ""en"", ""hi"")"),"क) रक्षा से आक्रमण और कोण से आक्रमण की ओर संक्रमण करना।")</f>
        <v>क) रक्षा से आक्रमण और कोण से आक्रमण की ओर संक्रमण करना।</v>
      </c>
    </row>
    <row r="302" ht="22.5" customHeight="1">
      <c r="A302" s="2">
        <v>301.0</v>
      </c>
      <c r="B302" s="3" t="s">
        <v>12903</v>
      </c>
      <c r="C302" s="3" t="s">
        <v>12894</v>
      </c>
      <c r="D302" s="3" t="s">
        <v>12689</v>
      </c>
      <c r="F302" s="5" t="str">
        <f>IFERROR(__xludf.DUMMYFUNCTION("GOOGLETRANSLATE(A302, ""en"", ""hi"")"),"301")</f>
        <v>301</v>
      </c>
      <c r="G302" s="5" t="str">
        <f>IFERROR(__xludf.DUMMYFUNCTION("GOOGLETRANSLATE(B302, ""en"", ""hi"")"),"थांग-ता मुकाबले में, एक प्रतिभागी तलवार से तेज़ी से कई ऊँचे कट लगाता है। इन ऊँचे कटों का मुख्य लाभ क्या है?")</f>
        <v>थांग-ता मुकाबले में, एक प्रतिभागी तलवार से तेज़ी से कई ऊँचे कट लगाता है। इन ऊँचे कटों का मुख्य लाभ क्या है?</v>
      </c>
      <c r="H302" s="5" t="str">
        <f>IFERROR(__xludf.DUMMYFUNCTION("GOOGLETRANSLATE(C302, ""en"", ""hi"")"),"A) प्रतिद्वंद्वी के ऊपरी शरीर पर लगातार दबाव डालना और उन्हें रक्षात्मक रुख अपनाने के लिए मजबूर करना।, B) गति दिखाना।, C) सटीकता का अभ्यास करना।, D) भ्रम पैदा करना।")</f>
        <v>A) प्रतिद्वंद्वी के ऊपरी शरीर पर लगातार दबाव डालना और उन्हें रक्षात्मक रुख अपनाने के लिए मजबूर करना।, B) गति दिखाना।, C) सटीकता का अभ्यास करना।, D) भ्रम पैदा करना।</v>
      </c>
      <c r="I302" s="5" t="str">
        <f>IFERROR(__xludf.DUMMYFUNCTION("GOOGLETRANSLATE(D302, ""en"", ""hi"")"),"क) प्रतिद्वंद्वी के ऊपरी शरीर पर लगातार दबाव डालना और उन्हें रक्षात्मक रुख अपनाने के लिए मजबूर करना।")</f>
        <v>क) प्रतिद्वंद्वी के ऊपरी शरीर पर लगातार दबाव डालना और उन्हें रक्षात्मक रुख अपनाने के लिए मजबूर करना।</v>
      </c>
    </row>
    <row r="303" ht="22.5" customHeight="1">
      <c r="A303" s="2">
        <v>302.0</v>
      </c>
      <c r="B303" s="3" t="s">
        <v>12904</v>
      </c>
      <c r="C303" s="3" t="s">
        <v>12905</v>
      </c>
      <c r="D303" s="3" t="s">
        <v>12906</v>
      </c>
      <c r="F303" s="5" t="str">
        <f>IFERROR(__xludf.DUMMYFUNCTION("GOOGLETRANSLATE(A303, ""en"", ""hi"")"),"302")</f>
        <v>302</v>
      </c>
      <c r="G303" s="5" t="str">
        <f>IFERROR(__xludf.DUMMYFUNCTION("GOOGLETRANSLATE(B303, ""en"", ""hi"")"),"थांग-ता का अभ्यासी एक त्वरित साइडस्टेप के बाद एक विकर्ण कट का उपयोग करता है। विकर्ण कट से पहले साइडस्टेप का उद्देश्य क्या है?")</f>
        <v>थांग-ता का अभ्यासी एक त्वरित साइडस्टेप के बाद एक विकर्ण कट का उपयोग करता है। विकर्ण कट से पहले साइडस्टेप का उद्देश्य क्या है?</v>
      </c>
      <c r="H303" s="5" t="str">
        <f>IFERROR(__xludf.DUMMYFUNCTION("GOOGLETRANSLATE(C303, ""en"", ""hi"")"),"ए) अधिक प्रभावी विकर्ण कट के लिए प्रतिद्वंद्वी के हमले और स्थिति से बचने के लिए, बी) फुटवर्क दिखाने के लिए, सी) समय का अभ्यास करने के लिए, डी) भ्रम पैदा करने के लिए।")</f>
        <v>ए) अधिक प्रभावी विकर्ण कट के लिए प्रतिद्वंद्वी के हमले और स्थिति से बचने के लिए, बी) फुटवर्क दिखाने के लिए, सी) समय का अभ्यास करने के लिए, डी) भ्रम पैदा करने के लिए।</v>
      </c>
      <c r="I303" s="5" t="str">
        <f>IFERROR(__xludf.DUMMYFUNCTION("GOOGLETRANSLATE(D303, ""en"", ""hi"")"),"क) प्रतिद्वंद्वी के हमले से बचने और अधिक प्रभावी विकर्ण कट के लिए स्थिति बनाना।")</f>
        <v>क) प्रतिद्वंद्वी के हमले से बचने और अधिक प्रभावी विकर्ण कट के लिए स्थिति बनाना।</v>
      </c>
    </row>
    <row r="304" ht="22.5" customHeight="1">
      <c r="A304" s="2">
        <v>303.0</v>
      </c>
      <c r="B304" s="3" t="s">
        <v>12907</v>
      </c>
      <c r="C304" s="3" t="s">
        <v>12868</v>
      </c>
      <c r="D304" s="3" t="s">
        <v>12869</v>
      </c>
      <c r="F304" s="5" t="str">
        <f>IFERROR(__xludf.DUMMYFUNCTION("GOOGLETRANSLATE(A304, ""en"", ""hi"")"),"303")</f>
        <v>303</v>
      </c>
      <c r="G304" s="5" t="str">
        <f>IFERROR(__xludf.DUMMYFUNCTION("GOOGLETRANSLATE(B304, ""en"", ""hi"")"),"थांग-ता प्रशिक्षण के दौरान, एक छात्र लो स्वीप के बाद हाई ब्लॉक करता है। लो स्वीप के बाद हाई ब्लॉक का मुख्य लाभ क्या है?")</f>
        <v>थांग-ता प्रशिक्षण के दौरान, एक छात्र लो स्वीप के बाद हाई ब्लॉक करता है। लो स्वीप के बाद हाई ब्लॉक का मुख्य लाभ क्या है?</v>
      </c>
      <c r="H304" s="5" t="str">
        <f>IFERROR(__xludf.DUMMYFUNCTION("GOOGLETRANSLATE(C304, ""en"", ""hi"")"),"A) आक्रमण से बचाव की ओर संक्रमण करना और रक्षात्मक स्थिति को सुरक्षित करना।, B) कौशल का प्रदर्शन करना।, C) समय का अभ्यास करना।, D) भ्रम पैदा करना।")</f>
        <v>A) आक्रमण से बचाव की ओर संक्रमण करना और रक्षात्मक स्थिति को सुरक्षित करना।, B) कौशल का प्रदर्शन करना।, C) समय का अभ्यास करना।, D) भ्रम पैदा करना।</v>
      </c>
      <c r="I304" s="5" t="str">
        <f>IFERROR(__xludf.DUMMYFUNCTION("GOOGLETRANSLATE(D304, ""en"", ""hi"")"),"क) आक्रमण से बचाव की ओर संक्रमण करना तथा रक्षात्मक स्थिति सुरक्षित करना।")</f>
        <v>क) आक्रमण से बचाव की ओर संक्रमण करना तथा रक्षात्मक स्थिति सुरक्षित करना।</v>
      </c>
    </row>
    <row r="305" ht="22.5" customHeight="1">
      <c r="A305" s="2">
        <v>304.0</v>
      </c>
      <c r="B305" s="3" t="s">
        <v>12908</v>
      </c>
      <c r="C305" s="3" t="s">
        <v>12781</v>
      </c>
      <c r="D305" s="3" t="s">
        <v>12742</v>
      </c>
      <c r="F305" s="5" t="str">
        <f>IFERROR(__xludf.DUMMYFUNCTION("GOOGLETRANSLATE(A305, ""en"", ""hi"")"),"304")</f>
        <v>304</v>
      </c>
      <c r="G305" s="5" t="str">
        <f>IFERROR(__xludf.DUMMYFUNCTION("GOOGLETRANSLATE(B305, ""en"", ""hi"")"),"थांग-ता प्रदर्शन में, एक अभ्यासी तेज़ी से ऊपर की ओर वार करता है। इन ऊपर की ओर वार का मुख्य उद्देश्य क्या है?")</f>
        <v>थांग-ता प्रदर्शन में, एक अभ्यासी तेज़ी से ऊपर की ओर वार करता है। इन ऊपर की ओर वार का मुख्य उद्देश्य क्या है?</v>
      </c>
      <c r="H305" s="5" t="str">
        <f>IFERROR(__xludf.DUMMYFUNCTION("GOOGLETRANSLATE(C305, ""en"", ""hi"")"),"A) ऊपर से हमला करना और प्रतिद्वंद्वी के बचाव में छेद बनाना।, B) गति दिखाना।, C) सटीकता का अभ्यास करना।, D) भ्रम पैदा करना।")</f>
        <v>A) ऊपर से हमला करना और प्रतिद्वंद्वी के बचाव में छेद बनाना।, B) गति दिखाना।, C) सटीकता का अभ्यास करना।, D) भ्रम पैदा करना।</v>
      </c>
      <c r="I305" s="5" t="str">
        <f>IFERROR(__xludf.DUMMYFUNCTION("GOOGLETRANSLATE(D305, ""en"", ""hi"")"),"क) ऊपर से हमला करना और प्रतिद्वंद्वी के बचाव में छेद बनाना।")</f>
        <v>क) ऊपर से हमला करना और प्रतिद्वंद्वी के बचाव में छेद बनाना।</v>
      </c>
    </row>
    <row r="306" ht="22.5" customHeight="1">
      <c r="A306" s="2">
        <v>305.0</v>
      </c>
      <c r="B306" s="3" t="s">
        <v>12909</v>
      </c>
      <c r="C306" s="3" t="s">
        <v>12873</v>
      </c>
      <c r="D306" s="3" t="s">
        <v>12874</v>
      </c>
      <c r="F306" s="5" t="str">
        <f>IFERROR(__xludf.DUMMYFUNCTION("GOOGLETRANSLATE(A306, ""en"", ""hi"")"),"305")</f>
        <v>305</v>
      </c>
      <c r="G306" s="5" t="str">
        <f>IFERROR(__xludf.DUMMYFUNCTION("GOOGLETRANSLATE(B306, ""en"", ""hi"")"),"एक थांग-ता छात्र एक तेज़ वापसी के बाद एक तेज़ धक्का देता है। धक्का देने से पहले वापसी का क्या फ़ायदा है?")</f>
        <v>एक थांग-ता छात्र एक तेज़ वापसी के बाद एक तेज़ धक्का देता है। धक्का देने से पहले वापसी का क्या फ़ायदा है?</v>
      </c>
      <c r="H306" s="5" t="str">
        <f>IFERROR(__xludf.DUMMYFUNCTION("GOOGLETRANSLATE(C306, ""en"", ""hi"")"),"A) दूरी बनाना और फिर अधिक लाभप्रद स्थिति से आक्रमण करना।, B) चपलता प्रदर्शित करना।, C) समय का अभ्यास करना।, D) भ्रम पैदा करना।")</f>
        <v>A) दूरी बनाना और फिर अधिक लाभप्रद स्थिति से आक्रमण करना।, B) चपलता प्रदर्शित करना।, C) समय का अभ्यास करना।, D) भ्रम पैदा करना।</v>
      </c>
      <c r="I306" s="5" t="str">
        <f>IFERROR(__xludf.DUMMYFUNCTION("GOOGLETRANSLATE(D306, ""en"", ""hi"")"),"क) दूरी बनाना और फिर अधिक लाभप्रद स्थिति से आक्रमण करना।")</f>
        <v>क) दूरी बनाना और फिर अधिक लाभप्रद स्थिति से आक्रमण करना।</v>
      </c>
    </row>
    <row r="307" ht="22.5" customHeight="1">
      <c r="A307" s="2">
        <v>306.0</v>
      </c>
      <c r="B307" s="3" t="s">
        <v>12910</v>
      </c>
      <c r="C307" s="3" t="s">
        <v>12697</v>
      </c>
      <c r="D307" s="3" t="s">
        <v>12698</v>
      </c>
      <c r="F307" s="5" t="str">
        <f>IFERROR(__xludf.DUMMYFUNCTION("GOOGLETRANSLATE(A307, ""en"", ""hi"")"),"306")</f>
        <v>306</v>
      </c>
      <c r="G307" s="5" t="str">
        <f>IFERROR(__xludf.DUMMYFUNCTION("GOOGLETRANSLATE(B307, ""en"", ""hi"")"),"थांग-ता मैच के दौरान, एक प्रतिभागी हाई कट के बाद लो ब्लॉक करता है। हाई कट के बाद लो ब्लॉक का उद्देश्य क्या है?")</f>
        <v>थांग-ता मैच के दौरान, एक प्रतिभागी हाई कट के बाद लो ब्लॉक करता है। हाई कट के बाद लो ब्लॉक का उद्देश्य क्या है?</v>
      </c>
      <c r="H307" s="5" t="str">
        <f>IFERROR(__xludf.DUMMYFUNCTION("GOOGLETRANSLATE(C307, ""en"", ""hi"")"),"A) संभावित जवाबी हमलों से बचाव करना और रक्षात्मक स्थिति सुरक्षित करना।, B) कौशल का प्रदर्शन करना।, C) समय का अभ्यास करना।, D) प्रतिद्वंद्वी को भ्रमित करना।")</f>
        <v>A) संभावित जवाबी हमलों से बचाव करना और रक्षात्मक स्थिति सुरक्षित करना।, B) कौशल का प्रदर्शन करना।, C) समय का अभ्यास करना।, D) प्रतिद्वंद्वी को भ्रमित करना।</v>
      </c>
      <c r="I307" s="5" t="str">
        <f>IFERROR(__xludf.DUMMYFUNCTION("GOOGLETRANSLATE(D307, ""en"", ""hi"")"),"क) संभावित जवाबी हमलों से बचाव करना तथा रक्षात्मक स्थिति सुरक्षित करना।")</f>
        <v>क) संभावित जवाबी हमलों से बचाव करना तथा रक्षात्मक स्थिति सुरक्षित करना।</v>
      </c>
    </row>
    <row r="308" ht="22.5" customHeight="1">
      <c r="A308" s="2">
        <v>307.0</v>
      </c>
      <c r="B308" s="3" t="s">
        <v>12911</v>
      </c>
      <c r="C308" s="3" t="s">
        <v>12807</v>
      </c>
      <c r="D308" s="3" t="s">
        <v>12808</v>
      </c>
      <c r="F308" s="5" t="str">
        <f>IFERROR(__xludf.DUMMYFUNCTION("GOOGLETRANSLATE(A308, ""en"", ""hi"")"),"307")</f>
        <v>307</v>
      </c>
      <c r="G308" s="5" t="str">
        <f>IFERROR(__xludf.DUMMYFUNCTION("GOOGLETRANSLATE(B308, ""en"", ""hi"")"),"थांग-ता में, एक साधक भाले से तेज़ी से तिरछे प्रहारों की एक श्रृंखला करता है। इन तिरछे प्रहारों का क्या लाभ है?")</f>
        <v>थांग-ता में, एक साधक भाले से तेज़ी से तिरछे प्रहारों की एक श्रृंखला करता है। इन तिरछे प्रहारों का क्या लाभ है?</v>
      </c>
      <c r="H308" s="5" t="str">
        <f>IFERROR(__xludf.DUMMYFUNCTION("GOOGLETRANSLATE(C308, ""en"", ""hi"")"),"A) विभिन्न कोणों से प्रतिद्वंद्वी को निशाना बनाना और कई अवसर पैदा करना।, B) भाला चलाने का प्रदर्शन करना।, C) सटीकता का अभ्यास करना।, D) भ्रम पैदा करना।")</f>
        <v>A) विभिन्न कोणों से प्रतिद्वंद्वी को निशाना बनाना और कई अवसर पैदा करना।, B) भाला चलाने का प्रदर्शन करना।, C) सटीकता का अभ्यास करना।, D) भ्रम पैदा करना।</v>
      </c>
      <c r="I308" s="5" t="str">
        <f>IFERROR(__xludf.DUMMYFUNCTION("GOOGLETRANSLATE(D308, ""en"", ""hi"")"),"क) प्रतिद्वंद्वी को विभिन्न कोणों से निशाना बनाना और कई अवसर पैदा करना।")</f>
        <v>क) प्रतिद्वंद्वी को विभिन्न कोणों से निशाना बनाना और कई अवसर पैदा करना।</v>
      </c>
    </row>
    <row r="309" ht="22.5" customHeight="1">
      <c r="A309" s="2">
        <v>308.0</v>
      </c>
      <c r="B309" s="3" t="s">
        <v>12912</v>
      </c>
      <c r="C309" s="3" t="s">
        <v>12913</v>
      </c>
      <c r="D309" s="3" t="s">
        <v>12914</v>
      </c>
      <c r="F309" s="5" t="str">
        <f>IFERROR(__xludf.DUMMYFUNCTION("GOOGLETRANSLATE(A309, ""en"", ""hi"")"),"308")</f>
        <v>308</v>
      </c>
      <c r="G309" s="5" t="str">
        <f>IFERROR(__xludf.DUMMYFUNCTION("GOOGLETRANSLATE(B309, ""en"", ""hi"")"),"थांग-ता का एक छात्र एक तेज़ साइडस्टेप के बाद एक हाई कट करता है। हाई कट से पहले साइडस्टेप का मुख्य लाभ क्या है?")</f>
        <v>थांग-ता का एक छात्र एक तेज़ साइडस्टेप के बाद एक हाई कट करता है। हाई कट से पहले साइडस्टेप का मुख्य लाभ क्या है?</v>
      </c>
      <c r="H309" s="5" t="str">
        <f>IFERROR(__xludf.DUMMYFUNCTION("GOOGLETRANSLATE(C309, ""en"", ""hi"")"),"ए) अधिक प्रभावी हाई कट के लिए प्रतिद्वंद्वी के हमले और स्थिति से बचने के लिए, बी) फुटवर्क दिखाने के लिए, सी) समय का अभ्यास करने के लिए, डी) भ्रम पैदा करने के लिए।")</f>
        <v>ए) अधिक प्रभावी हाई कट के लिए प्रतिद्वंद्वी के हमले और स्थिति से बचने के लिए, बी) फुटवर्क दिखाने के लिए, सी) समय का अभ्यास करने के लिए, डी) भ्रम पैदा करने के लिए।</v>
      </c>
      <c r="I309" s="5" t="str">
        <f>IFERROR(__xludf.DUMMYFUNCTION("GOOGLETRANSLATE(D309, ""en"", ""hi"")"),"ए) अधिक प्रभावी हाई कट के लिए प्रतिद्वंद्वी के हमले और स्थिति से बचने के लिए।")</f>
        <v>ए) अधिक प्रभावी हाई कट के लिए प्रतिद्वंद्वी के हमले और स्थिति से बचने के लिए।</v>
      </c>
    </row>
    <row r="310" ht="22.5" customHeight="1">
      <c r="A310" s="2">
        <v>309.0</v>
      </c>
      <c r="B310" s="3" t="s">
        <v>12915</v>
      </c>
      <c r="C310" s="3" t="s">
        <v>12916</v>
      </c>
      <c r="D310" s="3" t="s">
        <v>12901</v>
      </c>
      <c r="F310" s="5" t="str">
        <f>IFERROR(__xludf.DUMMYFUNCTION("GOOGLETRANSLATE(A310, ""en"", ""hi"")"),"309")</f>
        <v>309</v>
      </c>
      <c r="G310" s="5" t="str">
        <f>IFERROR(__xludf.DUMMYFUNCTION("GOOGLETRANSLATE(B310, ""en"", ""hi"")"),"थांग-ता अभ्यास के दौरान, एक अभ्यासी पहले निम्न स्वीप करता है और उसके बाद उच्च थ्रस्ट करता है। निम्न स्वीप के बाद उच्च थ्रस्ट का उद्देश्य क्या है?")</f>
        <v>थांग-ता अभ्यास के दौरान, एक अभ्यासी पहले निम्न स्वीप करता है और उसके बाद उच्च थ्रस्ट करता है। निम्न स्वीप के बाद उच्च थ्रस्ट का उद्देश्य क्या है?</v>
      </c>
      <c r="H310" s="5" t="str">
        <f>IFERROR(__xludf.DUMMYFUNCTION("GOOGLETRANSLATE(C310, ""en"", ""hi"")"),"क) प्रतिद्वंद्वी के बिगड़े संतुलन का फायदा उठाना और ऊपर से हमला करना।, ख) कौशल का प्रदर्शन करना।, ग) समय का अभ्यास करना।, घ) भ्रम पैदा करना।")</f>
        <v>क) प्रतिद्वंद्वी के बिगड़े संतुलन का फायदा उठाना और ऊपर से हमला करना।, ख) कौशल का प्रदर्शन करना।, ग) समय का अभ्यास करना।, घ) भ्रम पैदा करना।</v>
      </c>
      <c r="I310" s="5" t="str">
        <f>IFERROR(__xludf.DUMMYFUNCTION("GOOGLETRANSLATE(D310, ""en"", ""hi"")"),"अ) प्रतिद्वंद्वी के बिगड़े संतुलन का फायदा उठाना और ऊपर से हमला करना।")</f>
        <v>अ) प्रतिद्वंद्वी के बिगड़े संतुलन का फायदा उठाना और ऊपर से हमला करना।</v>
      </c>
    </row>
    <row r="311" ht="22.5" customHeight="1">
      <c r="A311" s="2">
        <v>310.0</v>
      </c>
      <c r="B311" s="3" t="s">
        <v>12917</v>
      </c>
      <c r="C311" s="3" t="s">
        <v>12894</v>
      </c>
      <c r="D311" s="3" t="s">
        <v>12689</v>
      </c>
      <c r="F311" s="5" t="str">
        <f>IFERROR(__xludf.DUMMYFUNCTION("GOOGLETRANSLATE(A311, ""en"", ""hi"")"),"310")</f>
        <v>310</v>
      </c>
      <c r="G311" s="5" t="str">
        <f>IFERROR(__xludf.DUMMYFUNCTION("GOOGLETRANSLATE(B311, ""en"", ""hi"")"),"थांग-ता मैच में, एक प्रतिभागी तेज़ ऊँचे धक्कों की एक श्रृंखला करता है। इन ऊँचे धक्कों का मुख्य लक्ष्य क्या है?")</f>
        <v>थांग-ता मैच में, एक प्रतिभागी तेज़ ऊँचे धक्कों की एक श्रृंखला करता है। इन ऊँचे धक्कों का मुख्य लक्ष्य क्या है?</v>
      </c>
      <c r="H311" s="5" t="str">
        <f>IFERROR(__xludf.DUMMYFUNCTION("GOOGLETRANSLATE(C311, ""en"", ""hi"")"),"A) प्रतिद्वंद्वी के ऊपरी शरीर पर लगातार दबाव डालना और उन्हें रक्षात्मक रुख अपनाने के लिए मजबूर करना।, B) गति दिखाना।, C) सटीकता का अभ्यास करना।, D) भ्रम पैदा करना।")</f>
        <v>A) प्रतिद्वंद्वी के ऊपरी शरीर पर लगातार दबाव डालना और उन्हें रक्षात्मक रुख अपनाने के लिए मजबूर करना।, B) गति दिखाना।, C) सटीकता का अभ्यास करना।, D) भ्रम पैदा करना।</v>
      </c>
      <c r="I311" s="5" t="str">
        <f>IFERROR(__xludf.DUMMYFUNCTION("GOOGLETRANSLATE(D311, ""en"", ""hi"")"),"क) प्रतिद्वंद्वी के ऊपरी शरीर पर लगातार दबाव डालना और उन्हें रक्षात्मक रुख अपनाने के लिए मजबूर करना।")</f>
        <v>क) प्रतिद्वंद्वी के ऊपरी शरीर पर लगातार दबाव डालना और उन्हें रक्षात्मक रुख अपनाने के लिए मजबूर करना।</v>
      </c>
    </row>
    <row r="312" ht="22.5" customHeight="1">
      <c r="A312" s="2">
        <v>311.0</v>
      </c>
      <c r="B312" s="3" t="s">
        <v>12918</v>
      </c>
      <c r="C312" s="3" t="s">
        <v>12919</v>
      </c>
      <c r="D312" s="3" t="s">
        <v>12833</v>
      </c>
      <c r="F312" s="5" t="str">
        <f>IFERROR(__xludf.DUMMYFUNCTION("GOOGLETRANSLATE(A312, ""en"", ""hi"")"),"311")</f>
        <v>311</v>
      </c>
      <c r="G312" s="5" t="str">
        <f>IFERROR(__xludf.DUMMYFUNCTION("GOOGLETRANSLATE(B312, ""en"", ""hi"")"),"थांग-ता का अभ्यासी उच्च ब्लॉक के बाद निम्न थ्रस्ट करता है। उच्च ब्लॉक के बाद निम्न थ्रस्ट का क्या लाभ है?")</f>
        <v>थांग-ता का अभ्यासी उच्च ब्लॉक के बाद निम्न थ्रस्ट करता है। उच्च ब्लॉक के बाद निम्न थ्रस्ट का क्या लाभ है?</v>
      </c>
      <c r="H312" s="5" t="str">
        <f>IFERROR(__xludf.DUMMYFUNCTION("GOOGLETRANSLATE(C312, ""en"", ""hi"")"),"ए) बचाव से आक्रमण की ओर संक्रमण करना और प्रतिद्वंद्वी के निचले शरीर पर हमला करना।, बी) कौशल का प्रदर्शन करना।, सी) समय का अभ्यास करना।, डी) भ्रम पैदा करना।")</f>
        <v>ए) बचाव से आक्रमण की ओर संक्रमण करना और प्रतिद्वंद्वी के निचले शरीर पर हमला करना।, बी) कौशल का प्रदर्शन करना।, सी) समय का अभ्यास करना।, डी) भ्रम पैदा करना।</v>
      </c>
      <c r="I312" s="5" t="str">
        <f>IFERROR(__xludf.DUMMYFUNCTION("GOOGLETRANSLATE(D312, ""en"", ""hi"")"),"ए) बचाव से आक्रमण की ओर संक्रमण करना और प्रतिद्वंद्वी के निचले शरीर पर आक्रमण करना।")</f>
        <v>ए) बचाव से आक्रमण की ओर संक्रमण करना और प्रतिद्वंद्वी के निचले शरीर पर आक्रमण करना।</v>
      </c>
    </row>
    <row r="313" ht="22.5" customHeight="1">
      <c r="A313" s="2">
        <v>312.0</v>
      </c>
      <c r="B313" s="3" t="s">
        <v>12920</v>
      </c>
      <c r="C313" s="3" t="s">
        <v>12873</v>
      </c>
      <c r="D313" s="3" t="s">
        <v>12874</v>
      </c>
      <c r="F313" s="5" t="str">
        <f>IFERROR(__xludf.DUMMYFUNCTION("GOOGLETRANSLATE(A313, ""en"", ""hi"")"),"312")</f>
        <v>312</v>
      </c>
      <c r="G313" s="5" t="str">
        <f>IFERROR(__xludf.DUMMYFUNCTION("GOOGLETRANSLATE(B313, ""en"", ""hi"")"),"थांग-ता प्रशिक्षण के दौरान, छात्र एक त्वरित रिट्रीट के बाद एक विकर्ण कट करता है। कट से पहले रिट्रीट का मुख्य लाभ क्या है?")</f>
        <v>थांग-ता प्रशिक्षण के दौरान, छात्र एक त्वरित रिट्रीट के बाद एक विकर्ण कट करता है। कट से पहले रिट्रीट का मुख्य लाभ क्या है?</v>
      </c>
      <c r="H313" s="5" t="str">
        <f>IFERROR(__xludf.DUMMYFUNCTION("GOOGLETRANSLATE(C313, ""en"", ""hi"")"),"A) दूरी बनाना और फिर अधिक लाभप्रद स्थिति से आक्रमण करना।, B) चपलता प्रदर्शित करना।, C) समय का अभ्यास करना।, D) भ्रम पैदा करना।")</f>
        <v>A) दूरी बनाना और फिर अधिक लाभप्रद स्थिति से आक्रमण करना।, B) चपलता प्रदर्शित करना।, C) समय का अभ्यास करना।, D) भ्रम पैदा करना।</v>
      </c>
      <c r="I313" s="5" t="str">
        <f>IFERROR(__xludf.DUMMYFUNCTION("GOOGLETRANSLATE(D313, ""en"", ""hi"")"),"क) दूरी बनाना और फिर अधिक लाभप्रद स्थिति से आक्रमण करना।")</f>
        <v>क) दूरी बनाना और फिर अधिक लाभप्रद स्थिति से आक्रमण करना।</v>
      </c>
    </row>
    <row r="314" ht="22.5" customHeight="1">
      <c r="A314" s="2">
        <v>313.0</v>
      </c>
      <c r="B314" s="3" t="s">
        <v>12921</v>
      </c>
      <c r="C314" s="3" t="s">
        <v>12876</v>
      </c>
      <c r="D314" s="3" t="s">
        <v>12877</v>
      </c>
      <c r="F314" s="5" t="str">
        <f>IFERROR(__xludf.DUMMYFUNCTION("GOOGLETRANSLATE(A314, ""en"", ""hi"")"),"313")</f>
        <v>313</v>
      </c>
      <c r="G314" s="5" t="str">
        <f>IFERROR(__xludf.DUMMYFUNCTION("GOOGLETRANSLATE(B314, ""en"", ""hi"")"),"थांग-ता में, एक अभ्यासी एक घूर्णन प्रहार के बाद एक उच्च प्रहार करता है। घूर्णन प्रहार के बाद उच्च प्रहार का मुख्य उद्देश्य क्या है?")</f>
        <v>थांग-ता में, एक अभ्यासी एक घूर्णन प्रहार के बाद एक उच्च प्रहार करता है। घूर्णन प्रहार के बाद उच्च प्रहार का मुख्य उद्देश्य क्या है?</v>
      </c>
      <c r="H314" s="5" t="str">
        <f>IFERROR(__xludf.DUMMYFUNCTION("GOOGLETRANSLATE(C314, ""en"", ""hi"")"),"A) गति उत्पन्न करना और शक्तिशाली आक्रमण करना।, B) चपलता प्रदर्शित करना।, C) सटीकता का अभ्यास करना।, D) भ्रम पैदा करना।")</f>
        <v>A) गति उत्पन्न करना और शक्तिशाली आक्रमण करना।, B) चपलता प्रदर्शित करना।, C) सटीकता का अभ्यास करना।, D) भ्रम पैदा करना।</v>
      </c>
      <c r="I314" s="5" t="str">
        <f>IFERROR(__xludf.DUMMYFUNCTION("GOOGLETRANSLATE(D314, ""en"", ""hi"")"),"क) गति उत्पन्न करना और शक्तिशाली आक्रमण करना।")</f>
        <v>क) गति उत्पन्न करना और शक्तिशाली आक्रमण करना।</v>
      </c>
    </row>
    <row r="315" ht="22.5" customHeight="1">
      <c r="A315" s="2">
        <v>314.0</v>
      </c>
      <c r="B315" s="3" t="s">
        <v>12922</v>
      </c>
      <c r="C315" s="3" t="s">
        <v>12923</v>
      </c>
      <c r="D315" s="3" t="s">
        <v>12924</v>
      </c>
      <c r="F315" s="5" t="str">
        <f>IFERROR(__xludf.DUMMYFUNCTION("GOOGLETRANSLATE(A315, ""en"", ""hi"")"),"314")</f>
        <v>314</v>
      </c>
      <c r="G315" s="5" t="str">
        <f>IFERROR(__xludf.DUMMYFUNCTION("GOOGLETRANSLATE(B315, ""en"", ""hi"")"),"थांग-ता का अभ्यासी एक निम्न ब्लॉक के बाद एक ऊपर की ओर वार करता है। ब्लॉक के बाद ऊपर की ओर वार करने का मुख्य लाभ क्या है?")</f>
        <v>थांग-ता का अभ्यासी एक निम्न ब्लॉक के बाद एक ऊपर की ओर वार करता है। ब्लॉक के बाद ऊपर की ओर वार करने का मुख्य लाभ क्या है?</v>
      </c>
      <c r="H315" s="5" t="str">
        <f>IFERROR(__xludf.DUMMYFUNCTION("GOOGLETRANSLATE(C315, ""en"", ""hi"")"),"A) प्रतिद्वंद्वी के लो गार्ड का लाभ उठाना और ऊपर से वार करना।, B) ताकत दिखाना।, C) सटीकता का अभ्यास करना।, D) प्रतिद्वंद्वी को भ्रमित करना।")</f>
        <v>A) प्रतिद्वंद्वी के लो गार्ड का लाभ उठाना और ऊपर से वार करना।, B) ताकत दिखाना।, C) सटीकता का अभ्यास करना।, D) प्रतिद्वंद्वी को भ्रमित करना।</v>
      </c>
      <c r="I315" s="5" t="str">
        <f>IFERROR(__xludf.DUMMYFUNCTION("GOOGLETRANSLATE(D315, ""en"", ""hi"")"),"ए) प्रतिद्वंद्वी के लो गार्ड का फायदा उठाना और ऊपर से वार करना।")</f>
        <v>ए) प्रतिद्वंद्वी के लो गार्ड का फायदा उठाना और ऊपर से वार करना।</v>
      </c>
    </row>
    <row r="316" ht="22.5" customHeight="1">
      <c r="A316" s="2">
        <v>315.0</v>
      </c>
      <c r="B316" s="3" t="s">
        <v>12925</v>
      </c>
      <c r="C316" s="3" t="s">
        <v>12926</v>
      </c>
      <c r="D316" s="3" t="s">
        <v>12927</v>
      </c>
      <c r="F316" s="5" t="str">
        <f>IFERROR(__xludf.DUMMYFUNCTION("GOOGLETRANSLATE(A316, ""en"", ""hi"")"),"315")</f>
        <v>315</v>
      </c>
      <c r="G316" s="5" t="str">
        <f>IFERROR(__xludf.DUMMYFUNCTION("GOOGLETRANSLATE(B316, ""en"", ""hi"")"),"थांग-ता मैच के दौरान, एक प्रतिभागी एक तेज़ थ्रस्ट के बाद तेज़ी से साइडस्टेप करता है। थ्रस्ट के बाद साइडस्टेप का उद्देश्य क्या है?")</f>
        <v>थांग-ता मैच के दौरान, एक प्रतिभागी एक तेज़ थ्रस्ट के बाद तेज़ी से साइडस्टेप करता है। थ्रस्ट के बाद साइडस्टेप का उद्देश्य क्या है?</v>
      </c>
      <c r="H316" s="5" t="str">
        <f>IFERROR(__xludf.DUMMYFUNCTION("GOOGLETRANSLATE(C316, ""en"", ""hi"")"),"A) अधिक प्रभावी अनुवर्ती हमले के लिए पुनः स्थिति बनाना।, B) चपलता प्रदर्शित करना।, C) समय का अभ्यास करना।, D) भ्रम पैदा करना।")</f>
        <v>A) अधिक प्रभावी अनुवर्ती हमले के लिए पुनः स्थिति बनाना।, B) चपलता प्रदर्शित करना।, C) समय का अभ्यास करना।, D) भ्रम पैदा करना।</v>
      </c>
      <c r="I316" s="5" t="str">
        <f>IFERROR(__xludf.DUMMYFUNCTION("GOOGLETRANSLATE(D316, ""en"", ""hi"")"),"क) अधिक प्रभावी अनुवर्ती हमले के लिए पुनः स्थिति बनाना।")</f>
        <v>क) अधिक प्रभावी अनुवर्ती हमले के लिए पुनः स्थिति बनाना।</v>
      </c>
    </row>
    <row r="317" ht="22.5" customHeight="1">
      <c r="A317" s="2">
        <v>316.0</v>
      </c>
      <c r="B317" s="3" t="s">
        <v>12928</v>
      </c>
      <c r="C317" s="3" t="s">
        <v>12929</v>
      </c>
      <c r="D317" s="3" t="s">
        <v>12930</v>
      </c>
      <c r="F317" s="5" t="str">
        <f>IFERROR(__xludf.DUMMYFUNCTION("GOOGLETRANSLATE(A317, ""en"", ""hi"")"),"316")</f>
        <v>316</v>
      </c>
      <c r="G317" s="5" t="str">
        <f>IFERROR(__xludf.DUMMYFUNCTION("GOOGLETRANSLATE(B317, ""en"", ""hi"")"),"थांग-ता में, अभ्यासी तिरछे कट के बाद कम ज़ोर लगाता है। तिरछे कट के बाद कम ज़ोर लगाने का क्या लाभ है?")</f>
        <v>थांग-ता में, अभ्यासी तिरछे कट के बाद कम ज़ोर लगाता है। तिरछे कट के बाद कम ज़ोर लगाने का क्या लाभ है?</v>
      </c>
      <c r="H317" s="5" t="str">
        <f>IFERROR(__xludf.DUMMYFUNCTION("GOOGLETRANSLATE(C317, ""en"", ""hi"")"),"ए) विकर्ण कट द्वारा बनाई गई खुली जगहों का फायदा उठाने और प्रतिद्वंद्वी के निचले शरीर को निशाना बनाने के लिए।, बी) कौशल दिखाने के लिए।, सी) समय का अभ्यास करने के लिए।, डी) प्रतिद्वंद्वी को भ्रमित करने के लिए।")</f>
        <v>ए) विकर्ण कट द्वारा बनाई गई खुली जगहों का फायदा उठाने और प्रतिद्वंद्वी के निचले शरीर को निशाना बनाने के लिए।, बी) कौशल दिखाने के लिए।, सी) समय का अभ्यास करने के लिए।, डी) प्रतिद्वंद्वी को भ्रमित करने के लिए।</v>
      </c>
      <c r="I317" s="5" t="str">
        <f>IFERROR(__xludf.DUMMYFUNCTION("GOOGLETRANSLATE(D317, ""en"", ""hi"")"),"ए) विकर्ण कट द्वारा बनाए गए खुले स्थानों का फायदा उठाना और प्रतिद्वंद्वी के निचले शरीर को निशाना बनाना।")</f>
        <v>ए) विकर्ण कट द्वारा बनाए गए खुले स्थानों का फायदा उठाना और प्रतिद्वंद्वी के निचले शरीर को निशाना बनाना।</v>
      </c>
    </row>
    <row r="318" ht="22.5" customHeight="1">
      <c r="A318" s="2">
        <v>317.0</v>
      </c>
      <c r="B318" s="3" t="s">
        <v>12931</v>
      </c>
      <c r="C318" s="3" t="s">
        <v>12932</v>
      </c>
      <c r="D318" s="3" t="s">
        <v>12933</v>
      </c>
      <c r="F318" s="5" t="str">
        <f>IFERROR(__xludf.DUMMYFUNCTION("GOOGLETRANSLATE(A318, ""en"", ""hi"")"),"317")</f>
        <v>317</v>
      </c>
      <c r="G318" s="5" t="str">
        <f>IFERROR(__xludf.DUMMYFUNCTION("GOOGLETRANSLATE(B318, ""en"", ""hi"")"),"एक थांग-ता छात्र तेज़ी से नीचे की ओर वार करता है। इन नीचे की ओर वार का मुख्य उद्देश्य क्या है?")</f>
        <v>एक थांग-ता छात्र तेज़ी से नीचे की ओर वार करता है। इन नीचे की ओर वार का मुख्य उद्देश्य क्या है?</v>
      </c>
      <c r="H318" s="5" t="str">
        <f>IFERROR(__xludf.DUMMYFUNCTION("GOOGLETRANSLATE(C318, ""en"", ""hi"")"),"A) लगातार दबाव डालना और प्रतिद्वंद्वी की रक्षा को बाधित करना।, B) गति दिखाना।, C) सटीकता का अभ्यास करना।, D) भ्रम पैदा करना।")</f>
        <v>A) लगातार दबाव डालना और प्रतिद्वंद्वी की रक्षा को बाधित करना।, B) गति दिखाना।, C) सटीकता का अभ्यास करना।, D) भ्रम पैदा करना।</v>
      </c>
      <c r="I318" s="5" t="str">
        <f>IFERROR(__xludf.DUMMYFUNCTION("GOOGLETRANSLATE(D318, ""en"", ""hi"")"),"क) लगातार दबाव डालना और प्रतिद्वंद्वी की रक्षा को बाधित करना।")</f>
        <v>क) लगातार दबाव डालना और प्रतिद्वंद्वी की रक्षा को बाधित करना।</v>
      </c>
    </row>
    <row r="319" ht="22.5" customHeight="1">
      <c r="A319" s="2">
        <v>318.0</v>
      </c>
      <c r="B319" s="3" t="s">
        <v>12934</v>
      </c>
      <c r="C319" s="3" t="s">
        <v>12935</v>
      </c>
      <c r="D319" s="3" t="s">
        <v>12936</v>
      </c>
      <c r="F319" s="5" t="str">
        <f>IFERROR(__xludf.DUMMYFUNCTION("GOOGLETRANSLATE(A319, ""en"", ""hi"")"),"318")</f>
        <v>318</v>
      </c>
      <c r="G319" s="5" t="str">
        <f>IFERROR(__xludf.DUMMYFUNCTION("GOOGLETRANSLATE(B319, ""en"", ""hi"")"),"थांग-ता अभ्यास के दौरान, अभ्यासी एक त्वरित रिट्रीट करता है और उसके बाद एक उच्च कट करता है। कट से पहले रिट्रीट का उद्देश्य क्या है?")</f>
        <v>थांग-ता अभ्यास के दौरान, अभ्यासी एक त्वरित रिट्रीट करता है और उसके बाद एक उच्च कट करता है। कट से पहले रिट्रीट का उद्देश्य क्या है?</v>
      </c>
      <c r="H319" s="5" t="str">
        <f>IFERROR(__xludf.DUMMYFUNCTION("GOOGLETRANSLATE(C319, ""en"", ""hi"")"),"ए) दूरी बनाना और फिर अधिक शक्तिशाली हाई कट करना।, बी) चपलता प्रदर्शित करना।, सी) समय का अभ्यास करना।, डी) प्रतिद्वंद्वी को भ्रमित करना।")</f>
        <v>ए) दूरी बनाना और फिर अधिक शक्तिशाली हाई कट करना।, बी) चपलता प्रदर्शित करना।, सी) समय का अभ्यास करना।, डी) प्रतिद्वंद्वी को भ्रमित करना।</v>
      </c>
      <c r="I319" s="5" t="str">
        <f>IFERROR(__xludf.DUMMYFUNCTION("GOOGLETRANSLATE(D319, ""en"", ""hi"")"),"A) दूरी बनाना और फिर अधिक शक्तिशाली हाई कट करना।")</f>
        <v>A) दूरी बनाना और फिर अधिक शक्तिशाली हाई कट करना।</v>
      </c>
    </row>
    <row r="320" ht="22.5" customHeight="1">
      <c r="A320" s="2">
        <v>319.0</v>
      </c>
      <c r="B320" s="3" t="s">
        <v>12937</v>
      </c>
      <c r="C320" s="3" t="s">
        <v>12938</v>
      </c>
      <c r="D320" s="3" t="s">
        <v>12692</v>
      </c>
      <c r="F320" s="5" t="str">
        <f>IFERROR(__xludf.DUMMYFUNCTION("GOOGLETRANSLATE(A320, ""en"", ""hi"")"),"319")</f>
        <v>319</v>
      </c>
      <c r="G320" s="5" t="str">
        <f>IFERROR(__xludf.DUMMYFUNCTION("GOOGLETRANSLATE(B320, ""en"", ""hi"")"),"थांग-ता में, एक छात्र पहले लो ब्लॉक करता है और उसके बाद हाई थ्रस्ट करता है। लो ब्लॉक के बाद हाई थ्रस्ट का मुख्य लाभ क्या है?")</f>
        <v>थांग-ता में, एक छात्र पहले लो ब्लॉक करता है और उसके बाद हाई थ्रस्ट करता है। लो ब्लॉक के बाद हाई थ्रस्ट का मुख्य लाभ क्या है?</v>
      </c>
      <c r="H320" s="5" t="str">
        <f>IFERROR(__xludf.DUMMYFUNCTION("GOOGLETRANSLATE(C320, ""en"", ""hi"")"),"ए)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f>
        <v>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v>
      </c>
      <c r="I320" s="5" t="str">
        <f>IFERROR(__xludf.DUMMYFUNCTION("GOOGLETRANSLATE(D320, ""en"", ""hi"")"),"ए) बचाव से आक्रमण की ओर संक्रमण करना और प्रतिद्वंद्वी के ऊपरी शरीर को निशाना बनाना।")</f>
        <v>ए) बचाव से आक्रमण की ओर संक्रमण करना और प्रतिद्वंद्वी के ऊपरी शरीर को निशाना बनाना।</v>
      </c>
    </row>
    <row r="321" ht="22.5" customHeight="1">
      <c r="A321" s="2">
        <v>320.0</v>
      </c>
      <c r="B321" s="3" t="s">
        <v>12939</v>
      </c>
      <c r="C321" s="3" t="s">
        <v>12940</v>
      </c>
      <c r="D321" s="3" t="s">
        <v>12941</v>
      </c>
      <c r="F321" s="5" t="str">
        <f>IFERROR(__xludf.DUMMYFUNCTION("GOOGLETRANSLATE(A321, ""en"", ""hi"")"),"320")</f>
        <v>320</v>
      </c>
      <c r="G321" s="5" t="str">
        <f>IFERROR(__xludf.DUMMYFUNCTION("GOOGLETRANSLATE(B321, ""en"", ""hi"")"),"एक थांग-ता अभ्यासी पहले ऊँचा कट करता है और उसके बाद तिरछा कट करता है। ऊँचे कट के बाद तिरछे कट का क्या लाभ है?")</f>
        <v>एक थांग-ता अभ्यासी पहले ऊँचा कट करता है और उसके बाद तिरछा कट करता है। ऊँचे कट के बाद तिरछे कट का क्या लाभ है?</v>
      </c>
      <c r="H321" s="5" t="str">
        <f>IFERROR(__xludf.DUMMYFUNCTION("GOOGLETRANSLATE(C321, ""en"", ""hi"")"),"A) विभिन्न कोणों से हमला करना और प्रतिद्वंद्वी को असंतुलित रखना।, B) कौशल का प्रदर्शन करना।, C) सटीकता का अभ्यास करना।, D) प्रतिद्वंद्वी को भ्रमित करना।")</f>
        <v>A) विभिन्न कोणों से हमला करना और प्रतिद्वंद्वी को असंतुलित रखना।, B) कौशल का प्रदर्शन करना।, C) सटीकता का अभ्यास करना।, D) प्रतिद्वंद्वी को भ्रमित करना।</v>
      </c>
      <c r="I321" s="5" t="str">
        <f>IFERROR(__xludf.DUMMYFUNCTION("GOOGLETRANSLATE(D321, ""en"", ""hi"")"),"क) विभिन्न कोणों से आक्रमण करना और प्रतिद्वंद्वी को असंतुलित रखना।")</f>
        <v>क) विभिन्न कोणों से आक्रमण करना और प्रतिद्वंद्वी को असंतुलित रखना।</v>
      </c>
    </row>
    <row r="322" ht="22.5" customHeight="1">
      <c r="A322" s="2">
        <v>321.0</v>
      </c>
      <c r="B322" s="3" t="s">
        <v>12942</v>
      </c>
      <c r="C322" s="3" t="s">
        <v>12943</v>
      </c>
      <c r="D322" s="3" t="s">
        <v>12944</v>
      </c>
      <c r="F322" s="5" t="str">
        <f>IFERROR(__xludf.DUMMYFUNCTION("GOOGLETRANSLATE(A322, ""en"", ""hi"")"),"321")</f>
        <v>321</v>
      </c>
      <c r="G322" s="5" t="str">
        <f>IFERROR(__xludf.DUMMYFUNCTION("GOOGLETRANSLATE(B322, ""en"", ""hi"")"),"थांग-ता प्रदर्शन के दौरान, एक प्रतिभागी तेज़ ऊँचे धक्कों की एक श्रृंखला करता है। इन ऊँचे धक्कों का प्राथमिक लक्ष्य क्या है?")</f>
        <v>थांग-ता प्रदर्शन के दौरान, एक प्रतिभागी तेज़ ऊँचे धक्कों की एक श्रृंखला करता है। इन ऊँचे धक्कों का प्राथमिक लक्ष्य क्या है?</v>
      </c>
      <c r="H322" s="5" t="str">
        <f>IFERROR(__xludf.DUMMYFUNCTION("GOOGLETRANSLATE(C322, ""en"", ""hi"")"),"A) प्रतिद्वंद्वी के ऊपरी शरीर पर लगातार दबाव डालना और रक्षात्मक रुख अपनाने के लिए मजबूर करना।, B) गति दिखाना।, C) सटीकता का अभ्यास करना।, D) भ्रम पैदा करना।")</f>
        <v>A) प्रतिद्वंद्वी के ऊपरी शरीर पर लगातार दबाव डालना और रक्षात्मक रुख अपनाने के लिए मजबूर करना।, B) गति दिखाना।, C) सटीकता का अभ्यास करना।, D) भ्रम पैदा करना।</v>
      </c>
      <c r="I322" s="5" t="str">
        <f>IFERROR(__xludf.DUMMYFUNCTION("GOOGLETRANSLATE(D322, ""en"", ""hi"")"),"अ) प्रतिद्वंद्वी के ऊपरी शरीर पर लगातार दबाव डालना और रक्षात्मक रुख अपनाने के लिए मजबूर करना।")</f>
        <v>अ) प्रतिद्वंद्वी के ऊपरी शरीर पर लगातार दबाव डालना और रक्षात्मक रुख अपनाने के लिए मजबूर करना।</v>
      </c>
    </row>
    <row r="323" ht="22.5" customHeight="1">
      <c r="A323" s="2">
        <v>322.0</v>
      </c>
      <c r="B323" s="3" t="s">
        <v>12945</v>
      </c>
      <c r="C323" s="3" t="s">
        <v>12946</v>
      </c>
      <c r="D323" s="3" t="s">
        <v>12947</v>
      </c>
      <c r="F323" s="5" t="str">
        <f>IFERROR(__xludf.DUMMYFUNCTION("GOOGLETRANSLATE(A323, ""en"", ""hi"")"),"322")</f>
        <v>322</v>
      </c>
      <c r="G323" s="5" t="str">
        <f>IFERROR(__xludf.DUMMYFUNCTION("GOOGLETRANSLATE(B323, ""en"", ""hi"")"),"थांग-ता में, एक छात्र स्पिनिंग कट के बाद हाई ब्लॉक करता है। स्पिनिंग कट के बाद हाई ब्लॉक का क्या लाभ है?")</f>
        <v>थांग-ता में, एक छात्र स्पिनिंग कट के बाद हाई ब्लॉक करता है। स्पिनिंग कट के बाद हाई ब्लॉक का क्या लाभ है?</v>
      </c>
      <c r="H323" s="5" t="str">
        <f>IFERROR(__xludf.DUMMYFUNCTION("GOOGLETRANSLATE(C323, ""en"", ""hi"")"),"ए) मौके बनाने के बाद संभावित जवाबी हमलों से बचाव करना।, बी) चपलता दिखाना।, सी) समय का अभ्यास करना।, डी) प्रतिद्वंद्वी को भ्रमित करना।")</f>
        <v>ए) मौके बनाने के बाद संभावित जवाबी हमलों से बचाव करना।, बी) चपलता दिखाना।, सी) समय का अभ्यास करना।, डी) प्रतिद्वंद्वी को भ्रमित करना।</v>
      </c>
      <c r="I323" s="5" t="str">
        <f>IFERROR(__xludf.DUMMYFUNCTION("GOOGLETRANSLATE(D323, ""en"", ""hi"")"),"क) अवसर पैदा करने के बाद संभावित जवाबी हमलों से बचाव करना।")</f>
        <v>क) अवसर पैदा करने के बाद संभावित जवाबी हमलों से बचाव करना।</v>
      </c>
    </row>
    <row r="324" ht="22.5" customHeight="1">
      <c r="A324" s="2">
        <v>323.0</v>
      </c>
      <c r="B324" s="3" t="s">
        <v>12948</v>
      </c>
      <c r="C324" s="3" t="s">
        <v>12949</v>
      </c>
      <c r="D324" s="3" t="s">
        <v>12924</v>
      </c>
      <c r="F324" s="5" t="str">
        <f>IFERROR(__xludf.DUMMYFUNCTION("GOOGLETRANSLATE(A324, ""en"", ""hi"")"),"323")</f>
        <v>323</v>
      </c>
      <c r="G324" s="5" t="str">
        <f>IFERROR(__xludf.DUMMYFUNCTION("GOOGLETRANSLATE(B324, ""en"", ""hi"")"),"थांग-ता का अभ्यासी पहले लो स्वीप के बाद हाई थ्रस्ट करता है। लो स्वीप के बाद हाई थ्रस्ट का मुख्य उद्देश्य क्या है?")</f>
        <v>थांग-ता का अभ्यासी पहले लो स्वीप के बाद हाई थ्रस्ट करता है। लो स्वीप के बाद हाई थ्रस्ट का मुख्य उद्देश्य क्या है?</v>
      </c>
      <c r="H324" s="5" t="str">
        <f>IFERROR(__xludf.DUMMYFUNCTION("GOOGLETRANSLATE(C324, ""en"", ""hi"")"),"A) प्रतिद्वंद्वी के लो गार्ड का लाभ उठाना और ऊपर से वार करना।, B) कौशल का प्रदर्शन करना।, C) समय का अभ्यास करना।, D) प्रतिद्वंद्वी को भ्रमित करना।")</f>
        <v>A) प्रतिद्वंद्वी के लो गार्ड का लाभ उठाना और ऊपर से वार करना।, B) कौशल का प्रदर्शन करना।, C) समय का अभ्यास करना।, D) प्रतिद्वंद्वी को भ्रमित करना।</v>
      </c>
      <c r="I324" s="5" t="str">
        <f>IFERROR(__xludf.DUMMYFUNCTION("GOOGLETRANSLATE(D324, ""en"", ""hi"")"),"ए) प्रतिद्वंद्वी के लो गार्ड का फायदा उठाना और ऊपर से वार करना।")</f>
        <v>ए) प्रतिद्वंद्वी के लो गार्ड का फायदा उठाना और ऊपर से वार करना।</v>
      </c>
    </row>
    <row r="325" ht="22.5" customHeight="1">
      <c r="A325" s="2">
        <v>324.0</v>
      </c>
      <c r="B325" s="3" t="s">
        <v>12950</v>
      </c>
      <c r="C325" s="3" t="s">
        <v>12951</v>
      </c>
      <c r="D325" s="3" t="s">
        <v>12952</v>
      </c>
      <c r="F325" s="5" t="str">
        <f>IFERROR(__xludf.DUMMYFUNCTION("GOOGLETRANSLATE(A325, ""en"", ""hi"")"),"324")</f>
        <v>324</v>
      </c>
      <c r="G325" s="5" t="str">
        <f>IFERROR(__xludf.DUMMYFUNCTION("GOOGLETRANSLATE(B325, ""en"", ""hi"")"),"थांग-ता प्रशिक्षण के दौरान, प्रतिभागी एक तेज़ साइडस्टेप करता है और उसके बाद एक लो ब्लॉक करता है। ब्लॉक से पहले साइडस्टेप करने का क्या लाभ है?")</f>
        <v>थांग-ता प्रशिक्षण के दौरान, प्रतिभागी एक तेज़ साइडस्टेप करता है और उसके बाद एक लो ब्लॉक करता है। ब्लॉक से पहले साइडस्टेप करने का क्या लाभ है?</v>
      </c>
      <c r="H325" s="5" t="str">
        <f>IFERROR(__xludf.DUMMYFUNCTION("GOOGLETRANSLATE(C325, ""en"", ""hi"")"),"ए) अधिक प्रभावी ब्लॉक के लिए प्रतिद्वंद्वी के हमले और स्थिति से बचने के लिए, बी) फुटवर्क दिखाने के लिए, सी) समय का अभ्यास करने के लिए, डी) भ्रम पैदा करने के लिए।")</f>
        <v>ए) अधिक प्रभावी ब्लॉक के लिए प्रतिद्वंद्वी के हमले और स्थिति से बचने के लिए, बी) फुटवर्क दिखाने के लिए, सी) समय का अभ्यास करने के लिए, डी) भ्रम पैदा करने के लिए।</v>
      </c>
      <c r="I325" s="5" t="str">
        <f>IFERROR(__xludf.DUMMYFUNCTION("GOOGLETRANSLATE(D325, ""en"", ""hi"")"),"क) प्रतिद्वंद्वी के हमले से बचने और अधिक प्रभावी ब्लॉक के लिए स्थिति बनाना।")</f>
        <v>क) प्रतिद्वंद्वी के हमले से बचने और अधिक प्रभावी ब्लॉक के लिए स्थिति बनाना।</v>
      </c>
    </row>
    <row r="326" ht="22.5" customHeight="1">
      <c r="A326" s="2">
        <v>325.0</v>
      </c>
      <c r="B326" s="3" t="s">
        <v>12953</v>
      </c>
      <c r="C326" s="3" t="s">
        <v>12954</v>
      </c>
      <c r="D326" s="3" t="s">
        <v>12955</v>
      </c>
      <c r="F326" s="5" t="str">
        <f>IFERROR(__xludf.DUMMYFUNCTION("GOOGLETRANSLATE(A326, ""en"", ""hi"")"),"325")</f>
        <v>325</v>
      </c>
      <c r="G326" s="5" t="str">
        <f>IFERROR(__xludf.DUMMYFUNCTION("GOOGLETRANSLATE(B326, ""en"", ""hi"")"),"थांग-ता मैच में, एक छात्र पहले हाई कट करता है और उसके बाद नीचे की ओर ज़ोर लगाता है। हाई कट के बाद नीचे की ओर ज़ोर लगाने का मुख्य लाभ क्या है?")</f>
        <v>थांग-ता मैच में, एक छात्र पहले हाई कट करता है और उसके बाद नीचे की ओर ज़ोर लगाता है। हाई कट के बाद नीचे की ओर ज़ोर लगाने का मुख्य लाभ क्या है?</v>
      </c>
      <c r="H326" s="5" t="str">
        <f>IFERROR(__xludf.DUMMYFUNCTION("GOOGLETRANSLATE(C326, ""en"", ""hi"")"),"A) प्रतिद्वंद्वी के उच्च सुरक्षा का फायदा उठाना और उनके निचले शरीर पर हमला करना।, B) कौशल का प्रदर्शन करना।, C) सटीकता का अभ्यास करना।, D) प्रतिद्वंद्वी को भ्रमित करना।")</f>
        <v>A) प्रतिद्वंद्वी के उच्च सुरक्षा का फायदा उठाना और उनके निचले शरीर पर हमला करना।, B) कौशल का प्रदर्शन करना।, C) सटीकता का अभ्यास करना।, D) प्रतिद्वंद्वी को भ्रमित करना।</v>
      </c>
      <c r="I326" s="5" t="str">
        <f>IFERROR(__xludf.DUMMYFUNCTION("GOOGLETRANSLATE(D326, ""en"", ""hi"")"),"ए) प्रतिद्वंद्वी के उच्च सुरक्षा का फायदा उठाना और उनके निचले शरीर पर हमला करना।")</f>
        <v>ए) प्रतिद्वंद्वी के उच्च सुरक्षा का फायदा उठाना और उनके निचले शरीर पर हमला करना।</v>
      </c>
    </row>
    <row r="327" ht="22.5" customHeight="1">
      <c r="A327" s="2">
        <v>326.0</v>
      </c>
      <c r="B327" s="3" t="s">
        <v>12956</v>
      </c>
      <c r="C327" s="3" t="s">
        <v>12957</v>
      </c>
      <c r="D327" s="3" t="s">
        <v>12958</v>
      </c>
      <c r="F327" s="5" t="str">
        <f>IFERROR(__xludf.DUMMYFUNCTION("GOOGLETRANSLATE(A327, ""en"", ""hi"")"),"326")</f>
        <v>326</v>
      </c>
      <c r="G327" s="5" t="str">
        <f>IFERROR(__xludf.DUMMYFUNCTION("GOOGLETRANSLATE(B327, ""en"", ""hi"")"),"थांग-ता का अभ्यासी भाले से तेज़ी से तिरछे वार करता है। इन तिरछे वारों का मुख्य उद्देश्य क्या है?")</f>
        <v>थांग-ता का अभ्यासी भाले से तेज़ी से तिरछे वार करता है। इन तिरछे वारों का मुख्य उद्देश्य क्या है?</v>
      </c>
      <c r="H327" s="5" t="str">
        <f>IFERROR(__xludf.DUMMYFUNCTION("GOOGLETRANSLATE(C327, ""en"", ""hi"")"),"A) कई आक्रमण कोण बनाना और प्रतिद्वंद्वी पर दबाव डालना।, B) भाला संचालन का प्रदर्शन करना।, C) सटीकता का अभ्यास करना।, D) भ्रम पैदा करना।")</f>
        <v>A) कई आक्रमण कोण बनाना और प्रतिद्वंद्वी पर दबाव डालना।, B) भाला संचालन का प्रदर्शन करना।, C) सटीकता का अभ्यास करना।, D) भ्रम पैदा करना।</v>
      </c>
      <c r="I327" s="5" t="str">
        <f>IFERROR(__xludf.DUMMYFUNCTION("GOOGLETRANSLATE(D327, ""en"", ""hi"")"),"क) कई आक्रमण कोण बनाना और प्रतिद्वंद्वी पर दबाव बनाना।")</f>
        <v>क) कई आक्रमण कोण बनाना और प्रतिद्वंद्वी पर दबाव बनाना।</v>
      </c>
    </row>
    <row r="328" ht="22.5" customHeight="1">
      <c r="A328" s="2">
        <v>327.0</v>
      </c>
      <c r="B328" s="3" t="s">
        <v>12959</v>
      </c>
      <c r="C328" s="3" t="s">
        <v>12960</v>
      </c>
      <c r="D328" s="3" t="s">
        <v>12961</v>
      </c>
      <c r="F328" s="5" t="str">
        <f>IFERROR(__xludf.DUMMYFUNCTION("GOOGLETRANSLATE(A328, ""en"", ""hi"")"),"327")</f>
        <v>327</v>
      </c>
      <c r="G328" s="5" t="str">
        <f>IFERROR(__xludf.DUMMYFUNCTION("GOOGLETRANSLATE(B328, ""en"", ""hi"")"),"थांग-ता प्रदर्शन के दौरान, एक प्रतिभागी एक निम्न ब्लॉक के बाद एक ऊपर की ओर स्लैश करता है। ब्लॉक के बाद ऊपर की ओर स्लैश का मुख्य उद्देश्य क्या है?")</f>
        <v>थांग-ता प्रदर्शन के दौरान, एक प्रतिभागी एक निम्न ब्लॉक के बाद एक ऊपर की ओर स्लैश करता है। ब्लॉक के बाद ऊपर की ओर स्लैश का मुख्य उद्देश्य क्या है?</v>
      </c>
      <c r="H328" s="5" t="str">
        <f>IFERROR(__xludf.DUMMYFUNCTION("GOOGLETRANSLATE(C328, ""en"", ""hi"")"),"A) प्रतिद्वंद्वी के लो गार्ड का फायदा उठाना और ऊपर से वार करना।, B) ताकत दिखाना।, C) सटीकता का अभ्यास करना।, D) प्रतिद्वंद्वी को भ्रमित करना।")</f>
        <v>A) प्रतिद्वंद्वी के लो गार्ड का फायदा उठाना और ऊपर से वार करना।, B) ताकत दिखाना।, C) सटीकता का अभ्यास करना।, D) प्रतिद्वंद्वी को भ्रमित करना।</v>
      </c>
      <c r="I328" s="5" t="str">
        <f>IFERROR(__xludf.DUMMYFUNCTION("GOOGLETRANSLATE(D328, ""en"", ""hi"")"),"ए) प्रतिद्वंद्वी के लो गार्ड का फायदा उठाना और ऊपर से वार करना।")</f>
        <v>ए) प्रतिद्वंद्वी के लो गार्ड का फायदा उठाना और ऊपर से वार करना।</v>
      </c>
    </row>
    <row r="329" ht="22.5" customHeight="1">
      <c r="A329" s="2">
        <v>328.0</v>
      </c>
      <c r="B329" s="3" t="s">
        <v>12962</v>
      </c>
      <c r="C329" s="3" t="s">
        <v>12926</v>
      </c>
      <c r="D329" s="3" t="s">
        <v>12927</v>
      </c>
      <c r="F329" s="5" t="str">
        <f>IFERROR(__xludf.DUMMYFUNCTION("GOOGLETRANSLATE(A329, ""en"", ""hi"")"),"328")</f>
        <v>328</v>
      </c>
      <c r="G329" s="5" t="str">
        <f>IFERROR(__xludf.DUMMYFUNCTION("GOOGLETRANSLATE(B329, ""en"", ""hi"")"),"थांग-ता में, एक छात्र तेज़ ज़ोर लगाने के बाद तेज़ी से साइडस्टेप करता है। ज़ोर लगाने के बाद साइडस्टेप करने का क्या फ़ायदा है?")</f>
        <v>थांग-ता में, एक छात्र तेज़ ज़ोर लगाने के बाद तेज़ी से साइडस्टेप करता है। ज़ोर लगाने के बाद साइडस्टेप करने का क्या फ़ायदा है?</v>
      </c>
      <c r="H329" s="5" t="str">
        <f>IFERROR(__xludf.DUMMYFUNCTION("GOOGLETRANSLATE(C329, ""en"", ""hi"")"),"A) अधिक प्रभावी अनुवर्ती हमले के लिए पुनः स्थिति बनाना।, B) चपलता प्रदर्शित करना।, C) समय का अभ्यास करना।, D) भ्रम पैदा करना।")</f>
        <v>A) अधिक प्रभावी अनुवर्ती हमले के लिए पुनः स्थिति बनाना।, B) चपलता प्रदर्शित करना।, C) समय का अभ्यास करना।, D) भ्रम पैदा करना।</v>
      </c>
      <c r="I329" s="5" t="str">
        <f>IFERROR(__xludf.DUMMYFUNCTION("GOOGLETRANSLATE(D329, ""en"", ""hi"")"),"क) अधिक प्रभावी अनुवर्ती हमले के लिए पुनः स्थिति बनाना।")</f>
        <v>क) अधिक प्रभावी अनुवर्ती हमले के लिए पुनः स्थिति बनाना।</v>
      </c>
    </row>
    <row r="330" ht="22.5" customHeight="1">
      <c r="A330" s="2">
        <v>329.0</v>
      </c>
      <c r="B330" s="3" t="s">
        <v>12963</v>
      </c>
      <c r="C330" s="3" t="s">
        <v>12964</v>
      </c>
      <c r="D330" s="3" t="s">
        <v>12869</v>
      </c>
      <c r="F330" s="5" t="str">
        <f>IFERROR(__xludf.DUMMYFUNCTION("GOOGLETRANSLATE(A330, ""en"", ""hi"")"),"329")</f>
        <v>329</v>
      </c>
      <c r="G330" s="5" t="str">
        <f>IFERROR(__xludf.DUMMYFUNCTION("GOOGLETRANSLATE(B330, ""en"", ""hi"")"),"थांग-ता का अभ्यासी लो स्वीप के बाद हाई ब्लॉक करता है। लो स्वीप के बाद हाई ब्लॉक का उद्देश्य क्या है?")</f>
        <v>थांग-ता का अभ्यासी लो स्वीप के बाद हाई ब्लॉक करता है। लो स्वीप के बाद हाई ब्लॉक का उद्देश्य क्या है?</v>
      </c>
      <c r="H330" s="5" t="str">
        <f>IFERROR(__xludf.DUMMYFUNCTION("GOOGLETRANSLATE(C330, ""en"", ""hi"")"),"ए) आक्रमण से बचाव की ओर संक्रमण करना और रक्षात्मक स्थिति को सुरक्षित करना।, बी) कौशल का प्रदर्शन करना।, सी) समय का अभ्यास करना।, डी) प्रतिद्वंद्वी को भ्रमित करना।")</f>
        <v>ए) आक्रमण से बचाव की ओर संक्रमण करना और रक्षात्मक स्थिति को सुरक्षित करना।, बी) कौशल का प्रदर्शन करना।, सी) समय का अभ्यास करना।, डी) प्रतिद्वंद्वी को भ्रमित करना।</v>
      </c>
      <c r="I330" s="5" t="str">
        <f>IFERROR(__xludf.DUMMYFUNCTION("GOOGLETRANSLATE(D330, ""en"", ""hi"")"),"क) आक्रमण से बचाव की ओर संक्रमण करना तथा रक्षात्मक स्थिति सुरक्षित करना।")</f>
        <v>क) आक्रमण से बचाव की ओर संक्रमण करना तथा रक्षात्मक स्थिति सुरक्षित करना।</v>
      </c>
    </row>
    <row r="331" ht="22.5" customHeight="1">
      <c r="A331" s="2">
        <v>330.0</v>
      </c>
      <c r="B331" s="3" t="s">
        <v>12965</v>
      </c>
      <c r="C331" s="3" t="s">
        <v>12966</v>
      </c>
      <c r="D331" s="3" t="s">
        <v>12967</v>
      </c>
      <c r="F331" s="5" t="str">
        <f>IFERROR(__xludf.DUMMYFUNCTION("GOOGLETRANSLATE(A331, ""en"", ""hi"")"),"330")</f>
        <v>330</v>
      </c>
      <c r="G331" s="5" t="str">
        <f>IFERROR(__xludf.DUMMYFUNCTION("GOOGLETRANSLATE(B331, ""en"", ""hi"")"),"थांग-ता मैच के दौरान, एक छात्र पहले स्पिनिंग स्ट्राइक करता है और उसके बाद विकर्ण प्रहार करता है। स्पिनिंग स्ट्राइक के बाद विकर्ण प्रहार का मुख्य उद्देश्य क्या है?")</f>
        <v>थांग-ता मैच के दौरान, एक छात्र पहले स्पिनिंग स्ट्राइक करता है और उसके बाद विकर्ण प्रहार करता है। स्पिनिंग स्ट्राइक के बाद विकर्ण प्रहार का मुख्य उद्देश्य क्या है?</v>
      </c>
      <c r="H331" s="5" t="str">
        <f>IFERROR(__xludf.DUMMYFUNCTION("GOOGLETRANSLATE(C331, ""en"", ""hi"")"),"A) शक्तिशाली प्रहार करने के लिए घूमते हुए प्रहार से प्राप्त गति का उपयोग करना।, B) चपलता प्रदर्शित करना।, C) सटीकता का अभ्यास करना।, D) भ्रम पैदा करना।")</f>
        <v>A) शक्तिशाली प्रहार करने के लिए घूमते हुए प्रहार से प्राप्त गति का उपयोग करना।, B) चपलता प्रदर्शित करना।, C) सटीकता का अभ्यास करना।, D) भ्रम पैदा करना।</v>
      </c>
      <c r="I331" s="5" t="str">
        <f>IFERROR(__xludf.DUMMYFUNCTION("GOOGLETRANSLATE(D331, ""en"", ""hi"")"),"क) शक्तिशाली प्रहार करने के लिए घूमते हुए प्रहार से उत्पन्न गति का उपयोग करना।")</f>
        <v>क) शक्तिशाली प्रहार करने के लिए घूमते हुए प्रहार से उत्पन्न गति का उपयोग करना।</v>
      </c>
    </row>
    <row r="332" ht="22.5" customHeight="1">
      <c r="A332" s="2">
        <v>331.0</v>
      </c>
      <c r="B332" s="3" t="s">
        <v>12968</v>
      </c>
      <c r="C332" s="3" t="s">
        <v>12969</v>
      </c>
      <c r="D332" s="3" t="s">
        <v>12970</v>
      </c>
      <c r="F332" s="5" t="str">
        <f>IFERROR(__xludf.DUMMYFUNCTION("GOOGLETRANSLATE(A332, ""en"", ""hi"")"),"331")</f>
        <v>331</v>
      </c>
      <c r="G332" s="5" t="str">
        <f>IFERROR(__xludf.DUMMYFUNCTION("GOOGLETRANSLATE(B332, ""en"", ""hi"")"),"थांग-ता में, एक साधक तलवार से तेज़ी से ऊपर की ओर वार करता है। इन ऊपर की ओर वारों का मुख्य उद्देश्य क्या है?")</f>
        <v>थांग-ता में, एक साधक तलवार से तेज़ी से ऊपर की ओर वार करता है। इन ऊपर की ओर वारों का मुख्य उद्देश्य क्या है?</v>
      </c>
      <c r="H332" s="5" t="str">
        <f>IFERROR(__xludf.DUMMYFUNCTION("GOOGLETRANSLATE(C332, ""en"", ""hi"")"),"A) ऊपर से लगातार दबाव डालना और प्रतिद्वंद्वी की रक्षा को बाधित करना।, B) गति दिखाना।, C) सटीकता का अभ्यास करना।, D) भ्रम पैदा करना।")</f>
        <v>A) ऊपर से लगातार दबाव डालना और प्रतिद्वंद्वी की रक्षा को बाधित करना।, B) गति दिखाना।, C) सटीकता का अभ्यास करना।, D) भ्रम पैदा करना।</v>
      </c>
      <c r="I332" s="5" t="str">
        <f>IFERROR(__xludf.DUMMYFUNCTION("GOOGLETRANSLATE(D332, ""en"", ""hi"")"),"क) ऊपर से लगातार दबाव डालना और प्रतिद्वंद्वी की रक्षा को बाधित करना।")</f>
        <v>क) ऊपर से लगातार दबाव डालना और प्रतिद्वंद्वी की रक्षा को बाधित करना।</v>
      </c>
    </row>
    <row r="333" ht="22.5" customHeight="1">
      <c r="A333" s="2">
        <v>332.0</v>
      </c>
      <c r="B333" s="3" t="s">
        <v>12971</v>
      </c>
      <c r="C333" s="3" t="s">
        <v>12972</v>
      </c>
      <c r="D333" s="3" t="s">
        <v>12973</v>
      </c>
      <c r="F333" s="5" t="str">
        <f>IFERROR(__xludf.DUMMYFUNCTION("GOOGLETRANSLATE(A333, ""en"", ""hi"")"),"332")</f>
        <v>332</v>
      </c>
      <c r="G333" s="5" t="str">
        <f>IFERROR(__xludf.DUMMYFUNCTION("GOOGLETRANSLATE(B333, ""en"", ""hi"")"),"एक थांग-ता छात्र एक त्वरित रिट्रीट के बाद एक उच्च कट का उपयोग करता है। कट से पहले रिट्रीट का उद्देश्य क्या है?")</f>
        <v>एक थांग-ता छात्र एक त्वरित रिट्रीट के बाद एक उच्च कट का उपयोग करता है। कट से पहले रिट्रीट का उद्देश्य क्या है?</v>
      </c>
      <c r="H333" s="5" t="str">
        <f>IFERROR(__xludf.DUMMYFUNCTION("GOOGLETRANSLATE(C333, ""en"", ""hi"")"),"ए) अधिक प्रभावी उच्च कट के लिए दूरी और स्थिति बनाना।, बी) चपलता दिखाने के लिए।, सी) समय का अभ्यास करने के लिए।, डी) प्रतिद्वंद्वी को भ्रमित करने के लिए।")</f>
        <v>ए) अधिक प्रभावी उच्च कट के लिए दूरी और स्थिति बनाना।, बी) चपलता दिखाने के लिए।, सी) समय का अभ्यास करने के लिए।, डी) प्रतिद्वंद्वी को भ्रमित करने के लिए।</v>
      </c>
      <c r="I333" s="5" t="str">
        <f>IFERROR(__xludf.DUMMYFUNCTION("GOOGLETRANSLATE(D333, ""en"", ""hi"")"),"A) अधिक प्रभावी उच्च कट के लिए दूरी और स्थिति बनाना।")</f>
        <v>A) अधिक प्रभावी उच्च कट के लिए दूरी और स्थिति बनाना।</v>
      </c>
    </row>
    <row r="334" ht="22.5" customHeight="1">
      <c r="A334" s="2">
        <v>333.0</v>
      </c>
      <c r="B334" s="3" t="s">
        <v>12974</v>
      </c>
      <c r="C334" s="3" t="s">
        <v>12727</v>
      </c>
      <c r="D334" s="3" t="s">
        <v>12728</v>
      </c>
      <c r="F334" s="5" t="str">
        <f>IFERROR(__xludf.DUMMYFUNCTION("GOOGLETRANSLATE(A334, ""en"", ""hi"")"),"333")</f>
        <v>333</v>
      </c>
      <c r="G334" s="5" t="str">
        <f>IFERROR(__xludf.DUMMYFUNCTION("GOOGLETRANSLATE(B334, ""en"", ""hi"")"),"थांग-ता प्रशिक्षण के दौरान, एक प्रतिभागी एक उच्च ब्लॉक के बाद एक विकर्ण कट करता है। उच्च ब्लॉक के बाद विकर्ण कट का क्या लाभ है?")</f>
        <v>थांग-ता प्रशिक्षण के दौरान, एक प्रतिभागी एक उच्च ब्लॉक के बाद एक विकर्ण कट करता है। उच्च ब्लॉक के बाद विकर्ण कट का क्या लाभ है?</v>
      </c>
      <c r="H334" s="5" t="str">
        <f>IFERROR(__xludf.DUMMYFUNCTION("GOOGLETRANSLATE(C334,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334" s="5" t="str">
        <f>IFERROR(__xludf.DUMMYFUNCTION("GOOGLETRANSLATE(D334, ""en"", ""hi"")"),"क) रक्षा से आक्रमण और कोण से आक्रमण की ओर संक्रमण करना।")</f>
        <v>क) रक्षा से आक्रमण और कोण से आक्रमण की ओर संक्रमण करना।</v>
      </c>
    </row>
    <row r="335" ht="22.5" customHeight="1">
      <c r="A335" s="2">
        <v>334.0</v>
      </c>
      <c r="B335" s="3" t="s">
        <v>12975</v>
      </c>
      <c r="C335" s="3" t="s">
        <v>12976</v>
      </c>
      <c r="D335" s="3" t="s">
        <v>12768</v>
      </c>
      <c r="F335" s="5" t="str">
        <f>IFERROR(__xludf.DUMMYFUNCTION("GOOGLETRANSLATE(A335, ""en"", ""hi"")"),"334")</f>
        <v>334</v>
      </c>
      <c r="G335" s="5" t="str">
        <f>IFERROR(__xludf.DUMMYFUNCTION("GOOGLETRANSLATE(B335, ""en"", ""hi"")"),"थांग-ता मैच में, एक छात्र तेज़ी से नीचे की ओर कई प्रहार करता है। इन नीचे की ओर प्रहारों का मुख्य उद्देश्य क्या है?")</f>
        <v>थांग-ता मैच में, एक छात्र तेज़ी से नीचे की ओर कई प्रहार करता है। इन नीचे की ओर प्रहारों का मुख्य उद्देश्य क्या है?</v>
      </c>
      <c r="H335" s="5" t="str">
        <f>IFERROR(__xludf.DUMMYFUNCTION("GOOGLETRANSLATE(C335, ""en"", ""hi"")"),"क) ऊपर से दबाव डालना और प्रतिद्वंद्वी को रक्षात्मक रुख अपनाने के लिए मजबूर करना।, ख) भाला चलाने का प्रदर्शन करना।, ग) ताकत का अभ्यास करना।, घ) भ्रम पैदा करना।")</f>
        <v>क) ऊपर से दबाव डालना और प्रतिद्वंद्वी को रक्षात्मक रुख अपनाने के लिए मजबूर करना।, ख) भाला चलाने का प्रदर्शन करना।, ग) ताकत का अभ्यास करना।, घ) भ्रम पैदा करना।</v>
      </c>
      <c r="I335" s="5" t="str">
        <f>IFERROR(__xludf.DUMMYFUNCTION("GOOGLETRANSLATE(D335, ""en"", ""hi"")"),"क) ऊपर से दबाव डालना और प्रतिद्वंद्वी को रक्षात्मक रुख अपनाने पर मजबूर करना।")</f>
        <v>क) ऊपर से दबाव डालना और प्रतिद्वंद्वी को रक्षात्मक रुख अपनाने पर मजबूर करना।</v>
      </c>
    </row>
    <row r="336" ht="22.5" customHeight="1">
      <c r="A336" s="2">
        <v>335.0</v>
      </c>
      <c r="B336" s="3" t="s">
        <v>12977</v>
      </c>
      <c r="C336" s="3" t="s">
        <v>12978</v>
      </c>
      <c r="D336" s="3" t="s">
        <v>12979</v>
      </c>
      <c r="F336" s="5" t="str">
        <f>IFERROR(__xludf.DUMMYFUNCTION("GOOGLETRANSLATE(A336, ""en"", ""hi"")"),"335")</f>
        <v>335</v>
      </c>
      <c r="G336" s="5" t="str">
        <f>IFERROR(__xludf.DUMMYFUNCTION("GOOGLETRANSLATE(B336, ""en"", ""hi"")"),"थांग-ता का अभ्यासी लो ब्लॉक के बाद स्पिनिंग कट करता है। ब्लॉक के बाद स्पिनिंग कट का मुख्य लाभ क्या है?")</f>
        <v>थांग-ता का अभ्यासी लो ब्लॉक के बाद स्पिनिंग कट करता है। ब्लॉक के बाद स्पिनिंग कट का मुख्य लाभ क्या है?</v>
      </c>
      <c r="H336" s="5" t="str">
        <f>IFERROR(__xludf.DUMMYFUNCTION("GOOGLETRANSLATE(C336, ""en"", ""hi"")"),"A) प्रतिद्वंद्वी की रक्षात्मक स्थिति का लाभ उठाना और शक्तिशाली प्रहार करना।, B) चपलता प्रदर्शित करना।, C) समय का अभ्यास करना।, D) प्रतिद्वंद्वी को भ्रमित करना।")</f>
        <v>A) प्रतिद्वंद्वी की रक्षात्मक स्थिति का लाभ उठाना और शक्तिशाली प्रहार करना।, B) चपलता प्रदर्शित करना।, C) समय का अभ्यास करना।, D) प्रतिद्वंद्वी को भ्रमित करना।</v>
      </c>
      <c r="I336" s="5" t="str">
        <f>IFERROR(__xludf.DUMMYFUNCTION("GOOGLETRANSLATE(D336, ""en"", ""hi"")"),"क) प्रतिद्वंद्वी की रक्षात्मक स्थिति का लाभ उठाना और शक्तिशाली प्रहार करना।")</f>
        <v>क) प्रतिद्वंद्वी की रक्षात्मक स्थिति का लाभ उठाना और शक्तिशाली प्रहार करना।</v>
      </c>
    </row>
    <row r="337" ht="22.5" customHeight="1">
      <c r="A337" s="2">
        <v>336.0</v>
      </c>
      <c r="B337" s="3" t="s">
        <v>12980</v>
      </c>
      <c r="C337" s="3" t="s">
        <v>12981</v>
      </c>
      <c r="D337" s="3" t="s">
        <v>12982</v>
      </c>
      <c r="F337" s="5" t="str">
        <f>IFERROR(__xludf.DUMMYFUNCTION("GOOGLETRANSLATE(A337, ""en"", ""hi"")"),"336")</f>
        <v>336</v>
      </c>
      <c r="G337" s="5" t="str">
        <f>IFERROR(__xludf.DUMMYFUNCTION("GOOGLETRANSLATE(B337, ""en"", ""hi"")"),"थांग-ता अभ्यास के दौरान, एक प्रतिभागी एक हाई कट के बाद एक त्वरित साइडस्टेप करता है। हाई कट के बाद साइडस्टेप का उद्देश्य क्या है?")</f>
        <v>थांग-ता अभ्यास के दौरान, एक प्रतिभागी एक हाई कट के बाद एक त्वरित साइडस्टेप करता है। हाई कट के बाद साइडस्टेप का उद्देश्य क्या है?</v>
      </c>
      <c r="H337" s="5" t="str">
        <f>IFERROR(__xludf.DUMMYFUNCTION("GOOGLETRANSLATE(C337, ""en"", ""hi"")"),"ए) संभावित जवाबी हमलों से बचने और अनुवर्ती हमले के लिए पुनः स्थिति बनाने के लिए।, बी) फुटवर्क दिखाने के लिए।, सी) समय का अभ्यास करने के लिए।, डी) भ्रम पैदा करने के लिए।")</f>
        <v>ए) संभावित जवाबी हमलों से बचने और अनुवर्ती हमले के लिए पुनः स्थिति बनाने के लिए।, बी) फुटवर्क दिखाने के लिए।, सी) समय का अभ्यास करने के लिए।, डी) भ्रम पैदा करने के लिए।</v>
      </c>
      <c r="I337" s="5" t="str">
        <f>IFERROR(__xludf.DUMMYFUNCTION("GOOGLETRANSLATE(D337, ""en"", ""hi"")"),"क) संभावित जवाबी हमलों से बचने और अनुवर्ती हमले के लिए पुनः स्थिति तैयार करने के लिए।")</f>
        <v>क) संभावित जवाबी हमलों से बचने और अनुवर्ती हमले के लिए पुनः स्थिति तैयार करने के लिए।</v>
      </c>
    </row>
    <row r="338" ht="22.5" customHeight="1">
      <c r="A338" s="2">
        <v>337.0</v>
      </c>
      <c r="B338" s="3" t="s">
        <v>12983</v>
      </c>
      <c r="C338" s="3" t="s">
        <v>12984</v>
      </c>
      <c r="D338" s="3" t="s">
        <v>12930</v>
      </c>
      <c r="F338" s="5" t="str">
        <f>IFERROR(__xludf.DUMMYFUNCTION("GOOGLETRANSLATE(A338, ""en"", ""hi"")"),"337")</f>
        <v>337</v>
      </c>
      <c r="G338" s="5" t="str">
        <f>IFERROR(__xludf.DUMMYFUNCTION("GOOGLETRANSLATE(B338, ""en"", ""hi"")"),"थांग-ता में, एक छात्र विकर्ण कट के बाद कम थ्रस्ट का प्रदर्शन करता है। विकर्ण कट के बाद कम थ्रस्ट का मुख्य लाभ क्या है?")</f>
        <v>थांग-ता में, एक छात्र विकर्ण कट के बाद कम थ्रस्ट का प्रदर्शन करता है। विकर्ण कट के बाद कम थ्रस्ट का मुख्य लाभ क्या है?</v>
      </c>
      <c r="H338" s="5" t="str">
        <f>IFERROR(__xludf.DUMMYFUNCTION("GOOGLETRANSLATE(C338, ""en"", ""hi"")"),"ए) विकर्ण कट द्वारा बनाई गई खुली जगहों का फायदा उठाने और प्रतिद्वंद्वी के निचले शरीर को निशाना बनाने के लिए।, बी) कौशल दिखाने के लिए।, सी) समय का अभ्यास करने के लिए।, डी) भ्रम पैदा करने के लिए।")</f>
        <v>ए) विकर्ण कट द्वारा बनाई गई खुली जगहों का फायदा उठाने और प्रतिद्वंद्वी के निचले शरीर को निशाना बनाने के लिए।, बी) कौशल दिखाने के लिए।, सी) समय का अभ्यास करने के लिए।, डी) भ्रम पैदा करने के लिए।</v>
      </c>
      <c r="I338" s="5" t="str">
        <f>IFERROR(__xludf.DUMMYFUNCTION("GOOGLETRANSLATE(D338, ""en"", ""hi"")"),"ए) विकर्ण कट द्वारा बनाए गए खुले स्थानों का फायदा उठाना और प्रतिद्वंद्वी के निचले शरीर को निशाना बनाना।")</f>
        <v>ए) विकर्ण कट द्वारा बनाए गए खुले स्थानों का फायदा उठाना और प्रतिद्वंद्वी के निचले शरीर को निशाना बनाना।</v>
      </c>
    </row>
    <row r="339" ht="22.5" customHeight="1">
      <c r="A339" s="2">
        <v>338.0</v>
      </c>
      <c r="B339" s="3" t="s">
        <v>12985</v>
      </c>
      <c r="C339" s="3" t="s">
        <v>12894</v>
      </c>
      <c r="D339" s="3" t="s">
        <v>12689</v>
      </c>
      <c r="F339" s="5" t="str">
        <f>IFERROR(__xludf.DUMMYFUNCTION("GOOGLETRANSLATE(A339, ""en"", ""hi"")"),"338")</f>
        <v>338</v>
      </c>
      <c r="G339" s="5" t="str">
        <f>IFERROR(__xludf.DUMMYFUNCTION("GOOGLETRANSLATE(B339, ""en"", ""hi"")"),"थांग-ता का अभ्यासी तीव्र गति से उच्च प्रहारों की एक श्रृंखला करता है। इन उच्च प्रहारों का मुख्य उद्देश्य क्या है?")</f>
        <v>थांग-ता का अभ्यासी तीव्र गति से उच्च प्रहारों की एक श्रृंखला करता है। इन उच्च प्रहारों का मुख्य उद्देश्य क्या है?</v>
      </c>
      <c r="H339" s="5" t="str">
        <f>IFERROR(__xludf.DUMMYFUNCTION("GOOGLETRANSLATE(C339, ""en"", ""hi"")"),"A) प्रतिद्वंद्वी के ऊपरी शरीर पर लगातार दबाव डालना और उन्हें रक्षात्मक रुख अपनाने के लिए मजबूर करना।, B) गति दिखाना।, C) सटीकता का अभ्यास करना।, D) भ्रम पैदा करना।")</f>
        <v>A) प्रतिद्वंद्वी के ऊपरी शरीर पर लगातार दबाव डालना और उन्हें रक्षात्मक रुख अपनाने के लिए मजबूर करना।, B) गति दिखाना।, C) सटीकता का अभ्यास करना।, D) भ्रम पैदा करना।</v>
      </c>
      <c r="I339" s="5" t="str">
        <f>IFERROR(__xludf.DUMMYFUNCTION("GOOGLETRANSLATE(D339, ""en"", ""hi"")"),"क) प्रतिद्वंद्वी के ऊपरी शरीर पर लगातार दबाव डालना और उन्हें रक्षात्मक रुख अपनाने के लिए मजबूर करना।")</f>
        <v>क) प्रतिद्वंद्वी के ऊपरी शरीर पर लगातार दबाव डालना और उन्हें रक्षात्मक रुख अपनाने के लिए मजबूर करना।</v>
      </c>
    </row>
    <row r="340" ht="22.5" customHeight="1">
      <c r="A340" s="2">
        <v>339.0</v>
      </c>
      <c r="B340" s="3" t="s">
        <v>12986</v>
      </c>
      <c r="C340" s="3" t="s">
        <v>12987</v>
      </c>
      <c r="D340" s="3" t="s">
        <v>12988</v>
      </c>
      <c r="F340" s="5" t="str">
        <f>IFERROR(__xludf.DUMMYFUNCTION("GOOGLETRANSLATE(A340, ""en"", ""hi"")"),"339")</f>
        <v>339</v>
      </c>
      <c r="G340" s="5" t="str">
        <f>IFERROR(__xludf.DUMMYFUNCTION("GOOGLETRANSLATE(B340, ""en"", ""hi"")"),"थांग-ता प्रदर्शन के दौरान, एक छात्र एक त्वरित रिट्रीट करता है और उसके बाद एक उच्च ब्लॉक करता है। ब्लॉक से पहले रिट्रीट का उद्देश्य क्या है?")</f>
        <v>थांग-ता प्रदर्शन के दौरान, एक छात्र एक त्वरित रिट्रीट करता है और उसके बाद एक उच्च ब्लॉक करता है। ब्लॉक से पहले रिट्रीट का उद्देश्य क्या है?</v>
      </c>
      <c r="H340" s="5" t="str">
        <f>IFERROR(__xludf.DUMMYFUNCTION("GOOGLETRANSLATE(C340, ""en"", ""hi"")"),"A) दूरी बनाना और फिर आने वाले हमले से बचाव करना।, B) चपलता दिखाना।, C) समय का अभ्यास करना।, D) प्रतिद्वंद्वी को भ्रमित करना।")</f>
        <v>A) दूरी बनाना और फिर आने वाले हमले से बचाव करना।, B) चपलता दिखाना।, C) समय का अभ्यास करना।, D) प्रतिद्वंद्वी को भ्रमित करना।</v>
      </c>
      <c r="I340" s="5" t="str">
        <f>IFERROR(__xludf.DUMMYFUNCTION("GOOGLETRANSLATE(D340, ""en"", ""hi"")"),"क) दूरी बनाना और फिर आने वाले हमले से बचाव करना।")</f>
        <v>क) दूरी बनाना और फिर आने वाले हमले से बचाव करना।</v>
      </c>
    </row>
    <row r="341" ht="22.5" customHeight="1">
      <c r="A341" s="2">
        <v>340.0</v>
      </c>
      <c r="B341" s="3" t="s">
        <v>12989</v>
      </c>
      <c r="C341" s="3" t="s">
        <v>12990</v>
      </c>
      <c r="D341" s="3" t="s">
        <v>12991</v>
      </c>
      <c r="F341" s="5" t="str">
        <f>IFERROR(__xludf.DUMMYFUNCTION("GOOGLETRANSLATE(A341, ""en"", ""hi"")"),"340")</f>
        <v>340</v>
      </c>
      <c r="G341" s="5" t="str">
        <f>IFERROR(__xludf.DUMMYFUNCTION("GOOGLETRANSLATE(B341, ""en"", ""hi"")"),"थांग-ता में, एक साधक एक घूर्णन प्रहार के बाद एक विकर्ण कट करता है। घूर्णन प्रहार के बाद विकर्ण कट का मुख्य लाभ क्या है?")</f>
        <v>थांग-ता में, एक साधक एक घूर्णन प्रहार के बाद एक विकर्ण कट करता है। घूर्णन प्रहार के बाद विकर्ण कट का मुख्य लाभ क्या है?</v>
      </c>
      <c r="H341" s="5" t="str">
        <f>IFERROR(__xludf.DUMMYFUNCTION("GOOGLETRANSLATE(C341, ""en"", ""hi"")"),"ए) घूमते हुए प्रहार से प्राप्त गति का उपयोग करना और कोण से शक्तिशाली वार करना।, बी) चपलता प्रदर्शित करना।, सी) सटीकता का अभ्यास करना।, डी) भ्रम पैदा करना।")</f>
        <v>ए) घूमते हुए प्रहार से प्राप्त गति का उपयोग करना और कोण से शक्तिशाली वार करना।, बी) चपलता प्रदर्शित करना।, सी) सटीकता का अभ्यास करना।, डी) भ्रम पैदा करना।</v>
      </c>
      <c r="I341" s="5" t="str">
        <f>IFERROR(__xludf.DUMMYFUNCTION("GOOGLETRANSLATE(D341, ""en"", ""hi"")"),"ए) स्पिनिंग स्ट्राइक से प्राप्त गति का उपयोग करना तथा कोण से शक्तिशाली कट लगाना।")</f>
        <v>ए) स्पिनिंग स्ट्राइक से प्राप्त गति का उपयोग करना तथा कोण से शक्तिशाली कट लगाना।</v>
      </c>
    </row>
    <row r="342" ht="22.5" customHeight="1">
      <c r="A342" s="2">
        <v>341.0</v>
      </c>
      <c r="B342" s="3" t="s">
        <v>12992</v>
      </c>
      <c r="C342" s="3" t="s">
        <v>12993</v>
      </c>
      <c r="D342" s="3" t="s">
        <v>12994</v>
      </c>
      <c r="F342" s="5" t="str">
        <f>IFERROR(__xludf.DUMMYFUNCTION("GOOGLETRANSLATE(A342, ""en"", ""hi"")"),"341")</f>
        <v>341</v>
      </c>
      <c r="G342" s="5" t="str">
        <f>IFERROR(__xludf.DUMMYFUNCTION("GOOGLETRANSLATE(B342, ""en"", ""hi"")"),"एक थांग-टा छात्र एक निम्न स्वीप के बाद एक उच्च थ्रस्ट करता है। निम्न स्वीप के बाद उच्च थ्रस्ट का क्या लाभ है?")</f>
        <v>एक थांग-टा छात्र एक निम्न स्वीप के बाद एक उच्च थ्रस्ट करता है। निम्न स्वीप के बाद उच्च थ्रस्ट का क्या लाभ है?</v>
      </c>
      <c r="H342" s="5" t="str">
        <f>IFERROR(__xludf.DUMMYFUNCTION("GOOGLETRANSLATE(C342, ""en"", ""hi"")"),"A) प्रतिद्वंद्वी के लो गार्ड का लाभ उठाना और ऊपर से हमला करना।, B) कौशल का प्रदर्शन करना।, C) समय का अभ्यास करना।, D) प्रतिद्वंद्वी को भ्रमित करना।")</f>
        <v>A) प्रतिद्वंद्वी के लो गार्ड का लाभ उठाना और ऊपर से हमला करना।, B) कौशल का प्रदर्शन करना।, C) समय का अभ्यास करना।, D) प्रतिद्वंद्वी को भ्रमित करना।</v>
      </c>
      <c r="I342" s="5" t="str">
        <f>IFERROR(__xludf.DUMMYFUNCTION("GOOGLETRANSLATE(D342, ""en"", ""hi"")"),"अ) प्रतिद्वंद्वी के निम्न सुरक्षा का लाभ उठाकर ऊपर से हमला करना।")</f>
        <v>अ) प्रतिद्वंद्वी के निम्न सुरक्षा का लाभ उठाकर ऊपर से हमला करना।</v>
      </c>
    </row>
    <row r="343" ht="22.5" customHeight="1">
      <c r="A343" s="2">
        <v>342.0</v>
      </c>
      <c r="B343" s="3" t="s">
        <v>12995</v>
      </c>
      <c r="C343" s="3" t="s">
        <v>12996</v>
      </c>
      <c r="D343" s="3" t="s">
        <v>12997</v>
      </c>
      <c r="F343" s="5" t="str">
        <f>IFERROR(__xludf.DUMMYFUNCTION("GOOGLETRANSLATE(A343, ""en"", ""hi"")"),"342")</f>
        <v>342</v>
      </c>
      <c r="G343" s="5" t="str">
        <f>IFERROR(__xludf.DUMMYFUNCTION("GOOGLETRANSLATE(B343, ""en"", ""hi"")"),"थांग-ता प्रशिक्षण के दौरान, अभ्यासी उच्च ब्लॉक के बाद निम्न थ्रस्ट करता है। उच्च ब्लॉक के बाद निम्न थ्रस्ट का उद्देश्य क्या है?")</f>
        <v>थांग-ता प्रशिक्षण के दौरान, अभ्यासी उच्च ब्लॉक के बाद निम्न थ्रस्ट करता है। उच्च ब्लॉक के बाद निम्न थ्रस्ट का उद्देश्य क्या है?</v>
      </c>
      <c r="H343" s="5" t="str">
        <f>IFERROR(__xludf.DUMMYFUNCTION("GOOGLETRANSLATE(C343, ""en"", ""hi"")"),"ए) बचाव से आक्रमण की ओर संक्रमण करना और प्रतिद्वंद्वी के निचले शरीर को निशाना बनाना।, बी) कौशल का प्रदर्शन करना।, सी) समय का अभ्यास करना।, डी) भ्रम पैदा करना।")</f>
        <v>ए) बचाव से आक्रमण की ओर संक्रमण करना और प्रतिद्वंद्वी के निचले शरीर को निशाना बनाना।, बी) कौशल का प्रदर्शन करना।, सी) समय का अभ्यास करना।, डी) भ्रम पैदा करना।</v>
      </c>
      <c r="I343" s="5" t="str">
        <f>IFERROR(__xludf.DUMMYFUNCTION("GOOGLETRANSLATE(D343, ""en"", ""hi"")"),"ए) बचाव से आक्रमण की ओर संक्रमण करना और प्रतिद्वंद्वी के निचले शरीर को निशाना बनाना।")</f>
        <v>ए) बचाव से आक्रमण की ओर संक्रमण करना और प्रतिद्वंद्वी के निचले शरीर को निशाना बनाना।</v>
      </c>
    </row>
    <row r="344" ht="22.5" customHeight="1">
      <c r="A344" s="2">
        <v>343.0</v>
      </c>
      <c r="B344" s="3" t="s">
        <v>12998</v>
      </c>
      <c r="C344" s="3" t="s">
        <v>12999</v>
      </c>
      <c r="D344" s="3" t="s">
        <v>13000</v>
      </c>
      <c r="F344" s="5" t="str">
        <f>IFERROR(__xludf.DUMMYFUNCTION("GOOGLETRANSLATE(A344, ""en"", ""hi"")"),"343")</f>
        <v>343</v>
      </c>
      <c r="G344" s="5" t="str">
        <f>IFERROR(__xludf.DUMMYFUNCTION("GOOGLETRANSLATE(B344, ""en"", ""hi"")"),"थांग-ता मैच में, एक प्रतिभागी तेज़ी से विकर्ण कटों की एक श्रृंखला लगाता है। इन विकर्ण कटों का मुख्य लक्ष्य क्या है?")</f>
        <v>थांग-ता मैच में, एक प्रतिभागी तेज़ी से विकर्ण कटों की एक श्रृंखला लगाता है। इन विकर्ण कटों का मुख्य लक्ष्य क्या है?</v>
      </c>
      <c r="H344" s="5" t="str">
        <f>IFERROR(__xludf.DUMMYFUNCTION("GOOGLETRANSLATE(C344, ""en"", ""hi"")"),"A) कई आक्रमण कोण बनाना और प्रतिद्वंद्वी पर दबाव डालना।, B) कौशल का प्रदर्शन करना।, C) सटीकता का अभ्यास करना।, D) भ्रम पैदा करना।")</f>
        <v>A) कई आक्रमण कोण बनाना और प्रतिद्वंद्वी पर दबाव डालना।, B) कौशल का प्रदर्शन करना।, C) सटीकता का अभ्यास करना।, D) भ्रम पैदा करना।</v>
      </c>
      <c r="I344" s="5" t="str">
        <f>IFERROR(__xludf.DUMMYFUNCTION("GOOGLETRANSLATE(D344, ""en"", ""hi"")"),"क) कई आक्रमण कोण बनाना और प्रतिद्वंद्वी पर दबाव डालना।")</f>
        <v>क) कई आक्रमण कोण बनाना और प्रतिद्वंद्वी पर दबाव डालना।</v>
      </c>
    </row>
    <row r="345" ht="22.5" customHeight="1">
      <c r="A345" s="2">
        <v>344.0</v>
      </c>
      <c r="B345" s="3" t="s">
        <v>13001</v>
      </c>
      <c r="C345" s="3" t="s">
        <v>13002</v>
      </c>
      <c r="D345" s="3" t="s">
        <v>13003</v>
      </c>
      <c r="F345" s="5" t="str">
        <f>IFERROR(__xludf.DUMMYFUNCTION("GOOGLETRANSLATE(A345, ""en"", ""hi"")"),"344")</f>
        <v>344</v>
      </c>
      <c r="G345" s="5" t="str">
        <f>IFERROR(__xludf.DUMMYFUNCTION("GOOGLETRANSLATE(B345, ""en"", ""hi"")"),"थांग-ता का अभ्यास करने वाला व्यक्ति एक त्वरित रिट्रीट के बाद विकर्ण कट का उपयोग करता है। रिट्रीट के बाद विकर्ण कट का मुख्य लाभ क्या है?")</f>
        <v>थांग-ता का अभ्यास करने वाला व्यक्ति एक त्वरित रिट्रीट के बाद विकर्ण कट का उपयोग करता है। रिट्रीट के बाद विकर्ण कट का मुख्य लाभ क्या है?</v>
      </c>
      <c r="H345" s="5" t="str">
        <f>IFERROR(__xludf.DUMMYFUNCTION("GOOGLETRANSLATE(C345, ""en"", ""hi"")"),"A) बनाई गई दूरी का लाभ उठाना और लाभप्रद कोण से वार करना।, B) चपलता प्रदर्शित करना।, C) समय का अभ्यास करना।, D) प्रतिद्वंद्वी को भ्रमित करना।")</f>
        <v>A) बनाई गई दूरी का लाभ उठाना और लाभप्रद कोण से वार करना।, B) चपलता प्रदर्शित करना।, C) समय का अभ्यास करना।, D) प्रतिद्वंद्वी को भ्रमित करना।</v>
      </c>
      <c r="I345" s="5" t="str">
        <f>IFERROR(__xludf.DUMMYFUNCTION("GOOGLETRANSLATE(D345, ""en"", ""hi"")"),"क) निर्मित दूरी का लाभ उठाना तथा लाभप्रद कोण से वार करना।")</f>
        <v>क) निर्मित दूरी का लाभ उठाना तथा लाभप्रद कोण से वार करना।</v>
      </c>
    </row>
    <row r="346" ht="22.5" customHeight="1">
      <c r="A346" s="2">
        <v>345.0</v>
      </c>
      <c r="B346" s="3" t="s">
        <v>13004</v>
      </c>
      <c r="C346" s="3" t="s">
        <v>12926</v>
      </c>
      <c r="D346" s="3" t="s">
        <v>12927</v>
      </c>
      <c r="F346" s="5" t="str">
        <f>IFERROR(__xludf.DUMMYFUNCTION("GOOGLETRANSLATE(A346, ""en"", ""hi"")"),"345")</f>
        <v>345</v>
      </c>
      <c r="G346" s="5" t="str">
        <f>IFERROR(__xludf.DUMMYFUNCTION("GOOGLETRANSLATE(B346, ""en"", ""hi"")"),"थांग-ता प्रशिक्षण के दौरान, एक छात्र एक तेज़ थ्रस्ट के बाद एक तेज़ साइडस्टेप करता है। थ्रस्ट के बाद साइडस्टेप का उद्देश्य क्या है?")</f>
        <v>थांग-ता प्रशिक्षण के दौरान, एक छात्र एक तेज़ थ्रस्ट के बाद एक तेज़ साइडस्टेप करता है। थ्रस्ट के बाद साइडस्टेप का उद्देश्य क्या है?</v>
      </c>
      <c r="H346" s="5" t="str">
        <f>IFERROR(__xludf.DUMMYFUNCTION("GOOGLETRANSLATE(C346, ""en"", ""hi"")"),"A) अधिक प्रभावी अनुवर्ती हमले के लिए पुनः स्थिति बनाना।, B) चपलता प्रदर्शित करना।, C) समय का अभ्यास करना।, D) भ्रम पैदा करना।")</f>
        <v>A) अधिक प्रभावी अनुवर्ती हमले के लिए पुनः स्थिति बनाना।, B) चपलता प्रदर्शित करना।, C) समय का अभ्यास करना।, D) भ्रम पैदा करना।</v>
      </c>
      <c r="I346" s="5" t="str">
        <f>IFERROR(__xludf.DUMMYFUNCTION("GOOGLETRANSLATE(D346, ""en"", ""hi"")"),"क) अधिक प्रभावी अनुवर्ती हमले के लिए पुनः स्थिति बनाना।")</f>
        <v>क) अधिक प्रभावी अनुवर्ती हमले के लिए पुनः स्थिति बनाना।</v>
      </c>
    </row>
    <row r="347" ht="22.5" customHeight="1">
      <c r="A347" s="2">
        <v>346.0</v>
      </c>
      <c r="B347" s="3" t="s">
        <v>13005</v>
      </c>
      <c r="C347" s="3" t="s">
        <v>13006</v>
      </c>
      <c r="D347" s="3" t="s">
        <v>13007</v>
      </c>
      <c r="F347" s="5" t="str">
        <f>IFERROR(__xludf.DUMMYFUNCTION("GOOGLETRANSLATE(A347, ""en"", ""hi"")"),"346")</f>
        <v>346</v>
      </c>
      <c r="G347" s="5" t="str">
        <f>IFERROR(__xludf.DUMMYFUNCTION("GOOGLETRANSLATE(B347, ""en"", ""hi"")"),"थांग-ता में, एक साधक तेज़ी से नीचे की ओर कई कट लगाता है। इन नीचे की ओर कटों का मुख्य लक्ष्य क्या है?")</f>
        <v>थांग-ता में, एक साधक तेज़ी से नीचे की ओर कई कट लगाता है। इन नीचे की ओर कटों का मुख्य लक्ष्य क्या है?</v>
      </c>
      <c r="H347" s="5" t="str">
        <f>IFERROR(__xludf.DUMMYFUNCTION("GOOGLETRANSLATE(C347, ""en"", ""hi"")"),"A) ऊपर से लगातार दबाव डालना और प्रतिद्वंद्वी को रक्षात्मक रुख अपनाने के लिए मजबूर करना।, B) गति दिखाना।, C) सटीकता का अभ्यास करना।, D) भ्रम पैदा करना।")</f>
        <v>A) ऊपर से लगातार दबाव डालना और प्रतिद्वंद्वी को रक्षात्मक रुख अपनाने के लिए मजबूर करना।, B) गति दिखाना।, C) सटीकता का अभ्यास करना।, D) भ्रम पैदा करना।</v>
      </c>
      <c r="I347" s="5" t="str">
        <f>IFERROR(__xludf.DUMMYFUNCTION("GOOGLETRANSLATE(D347,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348" ht="22.5" customHeight="1">
      <c r="A348" s="2">
        <v>347.0</v>
      </c>
      <c r="B348" s="3" t="s">
        <v>13008</v>
      </c>
      <c r="C348" s="3" t="s">
        <v>12964</v>
      </c>
      <c r="D348" s="3" t="s">
        <v>12869</v>
      </c>
      <c r="F348" s="5" t="str">
        <f>IFERROR(__xludf.DUMMYFUNCTION("GOOGLETRANSLATE(A348, ""en"", ""hi"")"),"347")</f>
        <v>347</v>
      </c>
      <c r="G348" s="5" t="str">
        <f>IFERROR(__xludf.DUMMYFUNCTION("GOOGLETRANSLATE(B348, ""en"", ""hi"")"),"एक थांग-ता छात्र हाई कट के बाद लो ब्लॉक करता है। हाई कट के बाद लो ब्लॉक का क्या लाभ है?")</f>
        <v>एक थांग-ता छात्र हाई कट के बाद लो ब्लॉक करता है। हाई कट के बाद लो ब्लॉक का क्या लाभ है?</v>
      </c>
      <c r="H348" s="5" t="str">
        <f>IFERROR(__xludf.DUMMYFUNCTION("GOOGLETRANSLATE(C348, ""en"", ""hi"")"),"ए) आक्रमण से बचाव की ओर संक्रमण करना और रक्षात्मक स्थिति को सुरक्षित करना।, बी) कौशल का प्रदर्शन करना।, सी) समय का अभ्यास करना।, डी) प्रतिद्वंद्वी को भ्रमित करना।")</f>
        <v>ए) आक्रमण से बचाव की ओर संक्रमण करना और रक्षात्मक स्थिति को सुरक्षित करना।, बी) कौशल का प्रदर्शन करना।, सी) समय का अभ्यास करना।, डी) प्रतिद्वंद्वी को भ्रमित करना।</v>
      </c>
      <c r="I348" s="5" t="str">
        <f>IFERROR(__xludf.DUMMYFUNCTION("GOOGLETRANSLATE(D348, ""en"", ""hi"")"),"क) आक्रमण से बचाव की ओर संक्रमण करना तथा रक्षात्मक स्थिति सुरक्षित करना।")</f>
        <v>क) आक्रमण से बचाव की ओर संक्रमण करना तथा रक्षात्मक स्थिति सुरक्षित करना।</v>
      </c>
    </row>
    <row r="349" ht="22.5" customHeight="1">
      <c r="A349" s="2">
        <v>348.0</v>
      </c>
      <c r="B349" s="3" t="s">
        <v>13009</v>
      </c>
      <c r="C349" s="3" t="s">
        <v>13010</v>
      </c>
      <c r="D349" s="3" t="s">
        <v>13011</v>
      </c>
      <c r="F349" s="5" t="str">
        <f>IFERROR(__xludf.DUMMYFUNCTION("GOOGLETRANSLATE(A349, ""en"", ""hi"")"),"348")</f>
        <v>348</v>
      </c>
      <c r="G349" s="5" t="str">
        <f>IFERROR(__xludf.DUMMYFUNCTION("GOOGLETRANSLATE(B349, ""en"", ""hi"")"),"थांग-ता प्रदर्शन के दौरान, एक अभ्यासी एक घूर्णन प्रहार के बाद एक उच्च थ्रस्ट करता है। घूर्णन प्रहार के बाद उच्च थ्रस्ट का क्या लाभ है?")</f>
        <v>थांग-ता प्रदर्शन के दौरान, एक अभ्यासी एक घूर्णन प्रहार के बाद एक उच्च थ्रस्ट करता है। घूर्णन प्रहार के बाद उच्च थ्रस्ट का क्या लाभ है?</v>
      </c>
      <c r="H349" s="5" t="str">
        <f>IFERROR(__xludf.DUMMYFUNCTION("GOOGLETRANSLATE(C349, ""en"", ""hi"")"),"A) घूमते हुए प्रहार से प्राप्त गति का उपयोग करना और शक्तिशाली प्रहार करना।, B) चपलता प्रदर्शित करना।, C) सटीकता का अभ्यास करना।, D) भ्रम पैदा करना।")</f>
        <v>A) घूमते हुए प्रहार से प्राप्त गति का उपयोग करना और शक्तिशाली प्रहार करना।, B) चपलता प्रदर्शित करना।, C) सटीकता का अभ्यास करना।, D) भ्रम पैदा करना।</v>
      </c>
      <c r="I349" s="5" t="str">
        <f>IFERROR(__xludf.DUMMYFUNCTION("GOOGLETRANSLATE(D349, ""en"", ""hi"")"),"क) घूमते हुए प्रहार से उत्पन्न गति का उपयोग करना तथा शक्तिशाली प्रहार करना।")</f>
        <v>क) घूमते हुए प्रहार से उत्पन्न गति का उपयोग करना तथा शक्तिशाली प्रहार करना।</v>
      </c>
    </row>
    <row r="350" ht="22.5" customHeight="1">
      <c r="A350" s="2">
        <v>349.0</v>
      </c>
      <c r="B350" s="3" t="s">
        <v>13012</v>
      </c>
      <c r="C350" s="3" t="s">
        <v>12949</v>
      </c>
      <c r="D350" s="3" t="s">
        <v>12924</v>
      </c>
      <c r="F350" s="5" t="str">
        <f>IFERROR(__xludf.DUMMYFUNCTION("GOOGLETRANSLATE(A350, ""en"", ""hi"")"),"349")</f>
        <v>349</v>
      </c>
      <c r="G350" s="5" t="str">
        <f>IFERROR(__xludf.DUMMYFUNCTION("GOOGLETRANSLATE(B350, ""en"", ""hi"")"),"थांग-ता में, एक छात्र पहले लो ब्लॉक करता है और उसके बाद ऊपर की ओर कट करता है। लो ब्लॉक के बाद ऊपर की ओर कट करने का मुख्य उद्देश्य क्या है?")</f>
        <v>थांग-ता में, एक छात्र पहले लो ब्लॉक करता है और उसके बाद ऊपर की ओर कट करता है। लो ब्लॉक के बाद ऊपर की ओर कट करने का मुख्य उद्देश्य क्या है?</v>
      </c>
      <c r="H350" s="5" t="str">
        <f>IFERROR(__xludf.DUMMYFUNCTION("GOOGLETRANSLATE(C350, ""en"", ""hi"")"),"A) प्रतिद्वंद्वी के लो गार्ड का लाभ उठाना और ऊपर से वार करना।, B) कौशल का प्रदर्शन करना।, C) समय का अभ्यास करना।, D) प्रतिद्वंद्वी को भ्रमित करना।")</f>
        <v>A) प्रतिद्वंद्वी के लो गार्ड का लाभ उठाना और ऊपर से वार करना।, B) कौशल का प्रदर्शन करना।, C) समय का अभ्यास करना।, D) प्रतिद्वंद्वी को भ्रमित करना।</v>
      </c>
      <c r="I350" s="5" t="str">
        <f>IFERROR(__xludf.DUMMYFUNCTION("GOOGLETRANSLATE(D350, ""en"", ""hi"")"),"ए) प्रतिद्वंद्वी के लो गार्ड का फायदा उठाना और ऊपर से वार करना।")</f>
        <v>ए) प्रतिद्वंद्वी के लो गार्ड का फायदा उठाना और ऊपर से वार करना।</v>
      </c>
    </row>
    <row r="351" ht="22.5" customHeight="1">
      <c r="A351" s="2">
        <v>350.0</v>
      </c>
      <c r="B351" s="3" t="s">
        <v>13013</v>
      </c>
      <c r="C351" s="3" t="s">
        <v>13014</v>
      </c>
      <c r="D351" s="3" t="s">
        <v>13015</v>
      </c>
      <c r="F351" s="5" t="str">
        <f>IFERROR(__xludf.DUMMYFUNCTION("GOOGLETRANSLATE(A351, ""en"", ""hi"")"),"350")</f>
        <v>350</v>
      </c>
      <c r="G351" s="5" t="str">
        <f>IFERROR(__xludf.DUMMYFUNCTION("GOOGLETRANSLATE(B351, ""en"", ""hi"")"),"थांग-ता का अभ्यासी उच्च थ्रस्ट के बाद निम्न स्वीप करता है। उच्च थ्रस्ट के बाद निम्न स्वीप का उद्देश्य क्या है?")</f>
        <v>थांग-ता का अभ्यासी उच्च थ्रस्ट के बाद निम्न स्वीप करता है। उच्च थ्रस्ट के बाद निम्न स्वीप का उद्देश्य क्या है?</v>
      </c>
      <c r="H351" s="5" t="str">
        <f>IFERROR(__xludf.DUMMYFUNCTION("GOOGLETRANSLATE(C351, ""en"", ""hi"")"),"A) उच्च जोर और नीचे से हमले से उत्पन्न अवसरों का फायदा उठाने के लिए, B) कौशल का प्रदर्शन करने के लिए, C) समय का अभ्यास करने के लिए, D) प्रतिद्वंद्वी को भ्रमित करने के लिए।")</f>
        <v>A) उच्च जोर और नीचे से हमले से उत्पन्न अवसरों का फायदा उठाने के लिए, B) कौशल का प्रदर्शन करने के लिए, C) समय का अभ्यास करने के लिए, D) प्रतिद्वंद्वी को भ्रमित करने के लिए।</v>
      </c>
      <c r="I351" s="5" t="str">
        <f>IFERROR(__xludf.DUMMYFUNCTION("GOOGLETRANSLATE(D351, ""en"", ""hi"")"),"क) उच्च दबाव और नीचे से हमले के कारण उत्पन्न अवसरों का फायदा उठाना।")</f>
        <v>क) उच्च दबाव और नीचे से हमले के कारण उत्पन्न अवसरों का फायदा उठाना।</v>
      </c>
    </row>
    <row r="352" ht="22.5" customHeight="1">
      <c r="A352" s="2">
        <v>351.0</v>
      </c>
      <c r="B352" s="3" t="s">
        <v>13016</v>
      </c>
      <c r="C352" s="3" t="s">
        <v>13017</v>
      </c>
      <c r="D352" s="3" t="s">
        <v>13018</v>
      </c>
      <c r="F352" s="5" t="str">
        <f>IFERROR(__xludf.DUMMYFUNCTION("GOOGLETRANSLATE(A352, ""en"", ""hi"")"),"351")</f>
        <v>351</v>
      </c>
      <c r="G352" s="5" t="str">
        <f>IFERROR(__xludf.DUMMYFUNCTION("GOOGLETRANSLATE(B352, ""en"", ""hi"")"),"थांग-ता अभ्यास के दौरान, एक छात्र विकर्ण कट के बाद उच्च थ्रस्ट करता है। विकर्ण कट के बाद उच्च थ्रस्ट का क्या लाभ है?")</f>
        <v>थांग-ता अभ्यास के दौरान, एक छात्र विकर्ण कट के बाद उच्च थ्रस्ट करता है। विकर्ण कट के बाद उच्च थ्रस्ट का क्या लाभ है?</v>
      </c>
      <c r="H352" s="5" t="str">
        <f>IFERROR(__xludf.DUMMYFUNCTION("GOOGLETRANSLATE(C352, ""en"", ""hi"")"),"ए) विभिन्न कोणों से आक्रमण करना तथा विकर्ण कट द्वारा उत्पन्न अवसरों का लाभ उठाना। बी) कौशल का प्रदर्शन करना। सी) समय का अभ्यास करना। डी) प्रतिद्वंद्वी को भ्रमित करना।")</f>
        <v>ए) विभिन्न कोणों से आक्रमण करना तथा विकर्ण कट द्वारा उत्पन्न अवसरों का लाभ उठाना। बी) कौशल का प्रदर्शन करना। सी) समय का अभ्यास करना। डी) प्रतिद्वंद्वी को भ्रमित करना।</v>
      </c>
      <c r="I352" s="5" t="str">
        <f>IFERROR(__xludf.DUMMYFUNCTION("GOOGLETRANSLATE(D352, ""en"", ""hi"")"),"क) विभिन्न कोणों से आक्रमण करना तथा विकर्ण कट द्वारा उत्पन्न अवसरों का लाभ उठाना।")</f>
        <v>क) विभिन्न कोणों से आक्रमण करना तथा विकर्ण कट द्वारा उत्पन्न अवसरों का लाभ उठाना।</v>
      </c>
    </row>
    <row r="353" ht="22.5" customHeight="1">
      <c r="A353" s="2">
        <v>352.0</v>
      </c>
      <c r="B353" s="3" t="s">
        <v>13019</v>
      </c>
      <c r="C353" s="3" t="s">
        <v>13020</v>
      </c>
      <c r="D353" s="3" t="s">
        <v>13021</v>
      </c>
      <c r="F353" s="5" t="str">
        <f>IFERROR(__xludf.DUMMYFUNCTION("GOOGLETRANSLATE(A353, ""en"", ""hi"")"),"352")</f>
        <v>352</v>
      </c>
      <c r="G353" s="5" t="str">
        <f>IFERROR(__xludf.DUMMYFUNCTION("GOOGLETRANSLATE(B353, ""en"", ""hi"")"),"थांग-ता मैच में, एक प्रतिभागी एक तेज़ साइडस्टेप करता है और उसके बाद एक लो ब्लॉक करता है। ब्लॉक से पहले साइडस्टेप का मुख्य लाभ क्या है?")</f>
        <v>थांग-ता मैच में, एक प्रतिभागी एक तेज़ साइडस्टेप करता है और उसके बाद एक लो ब्लॉक करता है। ब्लॉक से पहले साइडस्टेप का मुख्य लाभ क्या है?</v>
      </c>
      <c r="H353" s="5" t="str">
        <f>IFERROR(__xludf.DUMMYFUNCTION("GOOGLETRANSLATE(C353, ""en"", ""hi"")"),"ए) आने वाले हमले से बचने और अधिक प्रभावी ब्लॉक के लिए स्थिति बनाने के लिए, बी) फुटवर्क दिखाने के लिए, सी) समय का अभ्यास करने के लिए, डी) भ्रम पैदा करने के लिए।")</f>
        <v>ए) आने वाले हमले से बचने और अधिक प्रभावी ब्लॉक के लिए स्थिति बनाने के लिए, बी) फुटवर्क दिखाने के लिए, सी) समय का अभ्यास करने के लिए, डी) भ्रम पैदा करने के लिए।</v>
      </c>
      <c r="I353" s="5" t="str">
        <f>IFERROR(__xludf.DUMMYFUNCTION("GOOGLETRANSLATE(D353, ""en"", ""hi"")"),"A) आने वाले आक्रमण से बचने के लिए तथा अधिक प्रभावी ब्लॉक के लिए स्थिति बनाना।")</f>
        <v>A) आने वाले आक्रमण से बचने के लिए तथा अधिक प्रभावी ब्लॉक के लिए स्थिति बनाना।</v>
      </c>
    </row>
    <row r="354" ht="22.5" customHeight="1">
      <c r="A354" s="2">
        <v>353.0</v>
      </c>
      <c r="B354" s="3" t="s">
        <v>13022</v>
      </c>
      <c r="C354" s="3" t="s">
        <v>13023</v>
      </c>
      <c r="D354" s="3" t="s">
        <v>13024</v>
      </c>
      <c r="F354" s="5" t="str">
        <f>IFERROR(__xludf.DUMMYFUNCTION("GOOGLETRANSLATE(A354, ""en"", ""hi"")"),"353")</f>
        <v>353</v>
      </c>
      <c r="G354" s="5" t="str">
        <f>IFERROR(__xludf.DUMMYFUNCTION("GOOGLETRANSLATE(B354, ""en"", ""hi"")"),"थांग-ता का अभ्यासी एक उच्च कट के बाद एक स्पिनिंग स्ट्राइक करता है। उच्च कट के बाद स्पिनिंग स्ट्राइक का उद्देश्य क्या है?")</f>
        <v>थांग-ता का अभ्यासी एक उच्च कट के बाद एक स्पिनिंग स्ट्राइक करता है। उच्च कट के बाद स्पिनिंग स्ट्राइक का उद्देश्य क्या है?</v>
      </c>
      <c r="H354" s="5" t="str">
        <f>IFERROR(__xludf.DUMMYFUNCTION("GOOGLETRANSLATE(C354, ""en"", ""hi"")"),"ए) उच्च कट से गति का लाभ उठाने और एक कोण से एक शक्तिशाली प्रहार करने के लिए।, बी) चपलता दिखाने के लिए।, सी) समय का अभ्यास करने के लिए।, डी) प्रतिद्वंद्वी को भ्रमित करने के लिए।")</f>
        <v>ए) उच्च कट से गति का लाभ उठाने और एक कोण से एक शक्तिशाली प्रहार करने के लिए।, बी) चपलता दिखाने के लिए।, सी) समय का अभ्यास करने के लिए।, डी) प्रतिद्वंद्वी को भ्रमित करने के लिए।</v>
      </c>
      <c r="I354" s="5" t="str">
        <f>IFERROR(__xludf.DUMMYFUNCTION("GOOGLETRANSLATE(D354, ""en"", ""hi"")"),"ए) उच्च कट से प्राप्त गति का लाभ उठाना तथा कोण से शक्तिशाली प्रहार करना।")</f>
        <v>ए) उच्च कट से प्राप्त गति का लाभ उठाना तथा कोण से शक्तिशाली प्रहार करना।</v>
      </c>
    </row>
    <row r="355" ht="22.5" customHeight="1">
      <c r="A355" s="2">
        <v>354.0</v>
      </c>
      <c r="B355" s="3" t="s">
        <v>13025</v>
      </c>
      <c r="C355" s="3" t="s">
        <v>13026</v>
      </c>
      <c r="D355" s="3" t="s">
        <v>13007</v>
      </c>
      <c r="F355" s="5" t="str">
        <f>IFERROR(__xludf.DUMMYFUNCTION("GOOGLETRANSLATE(A355, ""en"", ""hi"")"),"354")</f>
        <v>354</v>
      </c>
      <c r="G355" s="5" t="str">
        <f>IFERROR(__xludf.DUMMYFUNCTION("GOOGLETRANSLATE(B355, ""en"", ""hi"")"),"थांग-ता मैच के दौरान, एक छात्र तेज़ी से ऊपर की ओर वार करता है। इन ऊपर की ओर वार का मुख्य उद्देश्य क्या है?")</f>
        <v>थांग-ता मैच के दौरान, एक छात्र तेज़ी से ऊपर की ओर वार करता है। इन ऊपर की ओर वार का मुख्य उद्देश्य क्या है?</v>
      </c>
      <c r="H355" s="5" t="str">
        <f>IFERROR(__xludf.DUMMYFUNCTION("GOOGLETRANSLATE(C355, ""en"", ""hi"")"),"A) ऊपर से लगातार दबाव डालना और प्रतिद्वंद्वी को रक्षात्मक रुख अपनाने के लिए मजबूर करना।, B) कौशल का प्रदर्शन करना।, C) सटीकता का अभ्यास करना।, D) भ्रम पैदा करना।")</f>
        <v>A) ऊपर से लगातार दबाव डालना और प्रतिद्वंद्वी को रक्षात्मक रुख अपनाने के लिए मजबूर करना।, B) कौशल का प्रदर्शन करना।, C) सटीकता का अभ्यास करना।, D) भ्रम पैदा करना।</v>
      </c>
      <c r="I355" s="5" t="str">
        <f>IFERROR(__xludf.DUMMYFUNCTION("GOOGLETRANSLATE(D355,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356" ht="22.5" customHeight="1">
      <c r="A356" s="2">
        <v>355.0</v>
      </c>
      <c r="B356" s="3" t="s">
        <v>13027</v>
      </c>
      <c r="C356" s="3" t="s">
        <v>13028</v>
      </c>
      <c r="D356" s="3" t="s">
        <v>13029</v>
      </c>
      <c r="F356" s="5" t="str">
        <f>IFERROR(__xludf.DUMMYFUNCTION("GOOGLETRANSLATE(A356, ""en"", ""hi"")"),"355")</f>
        <v>355</v>
      </c>
      <c r="G356" s="5" t="str">
        <f>IFERROR(__xludf.DUMMYFUNCTION("GOOGLETRANSLATE(B356, ""en"", ""hi"")"),"थांग-ता में, अभ्यासी पहले लो स्वीप करता है और उसके बाद डायगोनल कट करता है। लो स्वीप के बाद डायगोनल कट का क्या लाभ है?")</f>
        <v>थांग-ता में, अभ्यासी पहले लो स्वीप करता है और उसके बाद डायगोनल कट करता है। लो स्वीप के बाद डायगोनल कट का क्या लाभ है?</v>
      </c>
      <c r="H356" s="5" t="str">
        <f>IFERROR(__xludf.DUMMYFUNCTION("GOOGLETRANSLATE(C356, ""en"", ""hi"")"),"ए) कम स्वीप और कोण से हमला करने से उत्पन्न अवसरों का लाभ उठाना।, बी) कौशल का प्रदर्शन करना।, सी) समय का अभ्यास करना।, डी) भ्रम पैदा करना।")</f>
        <v>ए) कम स्वीप और कोण से हमला करने से उत्पन्न अवसरों का लाभ उठाना।, बी) कौशल का प्रदर्शन करना।, सी) समय का अभ्यास करना।, डी) भ्रम पैदा करना।</v>
      </c>
      <c r="I356" s="5" t="str">
        <f>IFERROR(__xludf.DUMMYFUNCTION("GOOGLETRANSLATE(D356, ""en"", ""hi"")"),"ए) कम स्वीप द्वारा बनाए गए अवसरों का लाभ उठाना और कोण से हमला करना।")</f>
        <v>ए) कम स्वीप द्वारा बनाए गए अवसरों का लाभ उठाना और कोण से हमला करना।</v>
      </c>
    </row>
    <row r="357" ht="22.5" customHeight="1">
      <c r="A357" s="2">
        <v>356.0</v>
      </c>
      <c r="B357" s="3" t="s">
        <v>13030</v>
      </c>
      <c r="C357" s="3" t="s">
        <v>13031</v>
      </c>
      <c r="D357" s="3" t="s">
        <v>13032</v>
      </c>
      <c r="F357" s="5" t="str">
        <f>IFERROR(__xludf.DUMMYFUNCTION("GOOGLETRANSLATE(A357, ""en"", ""hi"")"),"356")</f>
        <v>356</v>
      </c>
      <c r="G357" s="5" t="str">
        <f>IFERROR(__xludf.DUMMYFUNCTION("GOOGLETRANSLATE(B357, ""en"", ""hi"")"),"एक थांग-ता छात्र एक हाई ब्लॉक के बाद एक त्वरित साइडस्टेप करता है। हाई ब्लॉक के बाद साइडस्टेप का मुख्य उद्देश्य क्या है?")</f>
        <v>एक थांग-ता छात्र एक हाई ब्लॉक के बाद एक त्वरित साइडस्टेप करता है। हाई ब्लॉक के बाद साइडस्टेप का मुख्य उद्देश्य क्या है?</v>
      </c>
      <c r="H357" s="5" t="str">
        <f>IFERROR(__xludf.DUMMYFUNCTION("GOOGLETRANSLATE(C357, ""en"", ""hi"")"),"क) जवाबी हमले से बचने के लिए और अनुवर्ती चाल के लिए पुनः स्थिति में आने के लिए।, ख) चपलता दिखाने के लिए।, ग) समय का अभ्यास करने के लिए।, घ) भ्रम पैदा करने के लिए।")</f>
        <v>क) जवाबी हमले से बचने के लिए और अनुवर्ती चाल के लिए पुनः स्थिति में आने के लिए।, ख) चपलता दिखाने के लिए।, ग) समय का अभ्यास करने के लिए।, घ) भ्रम पैदा करने के लिए।</v>
      </c>
      <c r="I357" s="5" t="str">
        <f>IFERROR(__xludf.DUMMYFUNCTION("GOOGLETRANSLATE(D357, ""en"", ""hi"")"),"क) जवाबी हमले से बचने के लिए तथा अनुवर्ती कार्रवाई के लिए पुनः स्थिति में आना।")</f>
        <v>क) जवाबी हमले से बचने के लिए तथा अनुवर्ती कार्रवाई के लिए पुनः स्थिति में आना।</v>
      </c>
    </row>
    <row r="358" ht="22.5" customHeight="1">
      <c r="A358" s="2">
        <v>357.0</v>
      </c>
      <c r="B358" s="3" t="s">
        <v>13033</v>
      </c>
      <c r="C358" s="3" t="s">
        <v>13034</v>
      </c>
      <c r="D358" s="3" t="s">
        <v>13035</v>
      </c>
      <c r="F358" s="5" t="str">
        <f>IFERROR(__xludf.DUMMYFUNCTION("GOOGLETRANSLATE(A358, ""en"", ""hi"")"),"357")</f>
        <v>357</v>
      </c>
      <c r="G358" s="5" t="str">
        <f>IFERROR(__xludf.DUMMYFUNCTION("GOOGLETRANSLATE(B358, ""en"", ""hi"")"),"थांग-ता प्रशिक्षण के दौरान, प्रतिभागी विकर्ण थ्रस्ट के बाद निम्न कट करता है। विकर्ण थ्रस्ट के बाद निम्न कट का मुख्य लाभ क्या है?")</f>
        <v>थांग-ता प्रशिक्षण के दौरान, प्रतिभागी विकर्ण थ्रस्ट के बाद निम्न कट करता है। विकर्ण थ्रस्ट के बाद निम्न कट का मुख्य लाभ क्या है?</v>
      </c>
      <c r="H358" s="5" t="str">
        <f>IFERROR(__xludf.DUMMYFUNCTION("GOOGLETRANSLATE(C358, ""en"", ""hi"")"),"क) विकर्ण प्रहार और नीचे से आक्रमण द्वारा उत्पन्न अवसरों का फायदा उठाना।, ख) कौशल का प्रदर्शन करना।, ग) सटीकता का अभ्यास करना।, घ) प्रतिद्वंद्वी को भ्रमित करना।")</f>
        <v>क) विकर्ण प्रहार और नीचे से आक्रमण द्वारा उत्पन्न अवसरों का फायदा उठाना।, ख) कौशल का प्रदर्शन करना।, ग) सटीकता का अभ्यास करना।, घ) प्रतिद्वंद्वी को भ्रमित करना।</v>
      </c>
      <c r="I358" s="5" t="str">
        <f>IFERROR(__xludf.DUMMYFUNCTION("GOOGLETRANSLATE(D358, ""en"", ""hi"")"),"क) नीचे से विकर्ण प्रहार और हमले द्वारा निर्मित खुले स्थानों का फायदा उठाना।")</f>
        <v>क) नीचे से विकर्ण प्रहार और हमले द्वारा निर्मित खुले स्थानों का फायदा उठाना।</v>
      </c>
    </row>
    <row r="359" ht="22.5" customHeight="1">
      <c r="A359" s="2">
        <v>358.0</v>
      </c>
      <c r="B359" s="3" t="s">
        <v>13036</v>
      </c>
      <c r="C359" s="3" t="s">
        <v>12964</v>
      </c>
      <c r="D359" s="3" t="s">
        <v>12869</v>
      </c>
      <c r="F359" s="5" t="str">
        <f>IFERROR(__xludf.DUMMYFUNCTION("GOOGLETRANSLATE(A359, ""en"", ""hi"")"),"358")</f>
        <v>358</v>
      </c>
      <c r="G359" s="5" t="str">
        <f>IFERROR(__xludf.DUMMYFUNCTION("GOOGLETRANSLATE(B359, ""en"", ""hi"")"),"थांग-ता में, अभ्यासी उच्च थ्रस्ट के बाद निम्न ब्लॉक करता है। उच्च थ्रस्ट के बाद निम्न ब्लॉक का क्या लाभ है?")</f>
        <v>थांग-ता में, अभ्यासी उच्च थ्रस्ट के बाद निम्न ब्लॉक करता है। उच्च थ्रस्ट के बाद निम्न ब्लॉक का क्या लाभ है?</v>
      </c>
      <c r="H359" s="5" t="str">
        <f>IFERROR(__xludf.DUMMYFUNCTION("GOOGLETRANSLATE(C359, ""en"", ""hi"")"),"ए) आक्रमण से बचाव की ओर संक्रमण करना और रक्षात्मक स्थिति को सुरक्षित करना।, बी) कौशल का प्रदर्शन करना।, सी) समय का अभ्यास करना।, डी) प्रतिद्वंद्वी को भ्रमित करना।")</f>
        <v>ए) आक्रमण से बचाव की ओर संक्रमण करना और रक्षात्मक स्थिति को सुरक्षित करना।, बी) कौशल का प्रदर्शन करना।, सी) समय का अभ्यास करना।, डी) प्रतिद्वंद्वी को भ्रमित करना।</v>
      </c>
      <c r="I359" s="5" t="str">
        <f>IFERROR(__xludf.DUMMYFUNCTION("GOOGLETRANSLATE(D359, ""en"", ""hi"")"),"क) आक्रमण से बचाव की ओर संक्रमण करना तथा रक्षात्मक स्थिति सुरक्षित करना।")</f>
        <v>क) आक्रमण से बचाव की ओर संक्रमण करना तथा रक्षात्मक स्थिति सुरक्षित करना।</v>
      </c>
    </row>
    <row r="360" ht="22.5" customHeight="1">
      <c r="A360" s="2">
        <v>359.0</v>
      </c>
      <c r="B360" s="3" t="s">
        <v>13037</v>
      </c>
      <c r="C360" s="3" t="s">
        <v>13006</v>
      </c>
      <c r="D360" s="3" t="s">
        <v>13007</v>
      </c>
      <c r="F360" s="5" t="str">
        <f>IFERROR(__xludf.DUMMYFUNCTION("GOOGLETRANSLATE(A360, ""en"", ""hi"")"),"359")</f>
        <v>359</v>
      </c>
      <c r="G360" s="5" t="str">
        <f>IFERROR(__xludf.DUMMYFUNCTION("GOOGLETRANSLATE(B360, ""en"", ""hi"")"),"एक थांग-ता छात्र तेज़ी से नीचे की ओर धक्के लगाता है। इन नीचे की ओर धक्कों का मुख्य लक्ष्य क्या है?")</f>
        <v>एक थांग-ता छात्र तेज़ी से नीचे की ओर धक्के लगाता है। इन नीचे की ओर धक्कों का मुख्य लक्ष्य क्या है?</v>
      </c>
      <c r="H360" s="5" t="str">
        <f>IFERROR(__xludf.DUMMYFUNCTION("GOOGLETRANSLATE(C360, ""en"", ""hi"")"),"A) ऊपर से लगातार दबाव डालना और प्रतिद्वंद्वी को रक्षात्मक रुख अपनाने के लिए मजबूर करना।, B) गति दिखाना।, C) सटीकता का अभ्यास करना।, D) भ्रम पैदा करना।")</f>
        <v>A) ऊपर से लगातार दबाव डालना और प्रतिद्वंद्वी को रक्षात्मक रुख अपनाने के लिए मजबूर करना।, B) गति दिखाना।, C) सटीकता का अभ्यास करना।, D) भ्रम पैदा करना।</v>
      </c>
      <c r="I360" s="5" t="str">
        <f>IFERROR(__xludf.DUMMYFUNCTION("GOOGLETRANSLATE(D360,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361" ht="22.5" customHeight="1">
      <c r="A361" s="2">
        <v>360.0</v>
      </c>
      <c r="B361" s="3" t="s">
        <v>13038</v>
      </c>
      <c r="C361" s="3" t="s">
        <v>13039</v>
      </c>
      <c r="D361" s="3" t="s">
        <v>13040</v>
      </c>
      <c r="F361" s="5" t="str">
        <f>IFERROR(__xludf.DUMMYFUNCTION("GOOGLETRANSLATE(A361, ""en"", ""hi"")"),"360")</f>
        <v>360</v>
      </c>
      <c r="G361" s="5" t="str">
        <f>IFERROR(__xludf.DUMMYFUNCTION("GOOGLETRANSLATE(B361, ""en"", ""hi"")"),"थांग-ता प्रदर्शन के दौरान, एक प्रतिभागी एक त्वरित वापसी के बाद विकर्णीय धक्का देता है। विकर्णीय धक्का से पहले वापसी का उद्देश्य क्या है?")</f>
        <v>थांग-ता प्रदर्शन के दौरान, एक प्रतिभागी एक त्वरित वापसी के बाद विकर्णीय धक्का देता है। विकर्णीय धक्का से पहले वापसी का उद्देश्य क्या है?</v>
      </c>
      <c r="H361" s="5" t="str">
        <f>IFERROR(__xludf.DUMMYFUNCTION("GOOGLETRANSLATE(C361, ""en"", ""hi"")"),"A) दूरी बनाना और फिर अधिक शक्तिशाली विकर्ण प्रहार करना।, B) चपलता प्रदर्शित करना।, C) समय का अभ्यास करना।, D) भ्रम पैदा करना।")</f>
        <v>A) दूरी बनाना और फिर अधिक शक्तिशाली विकर्ण प्रहार करना।, B) चपलता प्रदर्शित करना।, C) समय का अभ्यास करना।, D) भ्रम पैदा करना।</v>
      </c>
      <c r="I361" s="5" t="str">
        <f>IFERROR(__xludf.DUMMYFUNCTION("GOOGLETRANSLATE(D361, ""en"", ""hi"")"),"A) दूरी बनाना और फिर अधिक शक्तिशाली विकर्ण प्रहार करना।")</f>
        <v>A) दूरी बनाना और फिर अधिक शक्तिशाली विकर्ण प्रहार करना।</v>
      </c>
    </row>
    <row r="362" ht="22.5" customHeight="1">
      <c r="A362" s="2">
        <v>361.0</v>
      </c>
      <c r="B362" s="3" t="s">
        <v>13041</v>
      </c>
      <c r="C362" s="3" t="s">
        <v>13042</v>
      </c>
      <c r="D362" s="3" t="s">
        <v>13043</v>
      </c>
      <c r="F362" s="5" t="str">
        <f>IFERROR(__xludf.DUMMYFUNCTION("GOOGLETRANSLATE(A362, ""en"", ""hi"")"),"361")</f>
        <v>361</v>
      </c>
      <c r="G362" s="5" t="str">
        <f>IFERROR(__xludf.DUMMYFUNCTION("GOOGLETRANSLATE(B362, ""en"", ""hi"")"),"थांग-ता में, एक अभ्यासी लो ब्लॉक के बाद स्पिनिंग स्ट्राइक करता है। लो ब्लॉक के बाद स्पिनिंग स्ट्राइक का मुख्य लाभ क्या है?")</f>
        <v>थांग-ता में, एक अभ्यासी लो ब्लॉक के बाद स्पिनिंग स्ट्राइक करता है। लो ब्लॉक के बाद स्पिनिंग स्ट्राइक का मुख्य लाभ क्या है?</v>
      </c>
      <c r="H362" s="5" t="str">
        <f>IFERROR(__xludf.DUMMYFUNCTION("GOOGLETRANSLATE(C362, ""en"", ""hi"")"),"ए) रक्षात्मक स्थिति का लाभ उठाना और कोण से शक्तिशाली प्रहार करना।, बी) चपलता प्रदर्शित करना।, सी) समय का अभ्यास करना।, डी) प्रतिद्वंद्वी को भ्रमित करना।")</f>
        <v>ए) रक्षात्मक स्थिति का लाभ उठाना और कोण से शक्तिशाली प्रहार करना।, बी) चपलता प्रदर्शित करना।, सी) समय का अभ्यास करना।, डी) प्रतिद्वंद्वी को भ्रमित करना।</v>
      </c>
      <c r="I362" s="5" t="str">
        <f>IFERROR(__xludf.DUMMYFUNCTION("GOOGLETRANSLATE(D362, ""en"", ""hi"")"),"क) रक्षात्मक स्थिति का लाभ उठाना और कोण से शक्तिशाली प्रहार करना।")</f>
        <v>क) रक्षात्मक स्थिति का लाभ उठाना और कोण से शक्तिशाली प्रहार करना।</v>
      </c>
    </row>
    <row r="363" ht="22.5" customHeight="1">
      <c r="A363" s="2">
        <v>362.0</v>
      </c>
      <c r="B363" s="3" t="s">
        <v>13044</v>
      </c>
      <c r="C363" s="3" t="s">
        <v>13045</v>
      </c>
      <c r="D363" s="3" t="s">
        <v>12982</v>
      </c>
      <c r="F363" s="5" t="str">
        <f>IFERROR(__xludf.DUMMYFUNCTION("GOOGLETRANSLATE(A363, ""en"", ""hi"")"),"362")</f>
        <v>362</v>
      </c>
      <c r="G363" s="5" t="str">
        <f>IFERROR(__xludf.DUMMYFUNCTION("GOOGLETRANSLATE(B363, ""en"", ""hi"")"),"एक थांग-ता छात्र एक हाई कट के बाद एक त्वरित साइडस्टेप करता है। हाई कट के बाद साइडस्टेप का क्या लाभ है?")</f>
        <v>एक थांग-ता छात्र एक हाई कट के बाद एक त्वरित साइडस्टेप करता है। हाई कट के बाद साइडस्टेप का क्या लाभ है?</v>
      </c>
      <c r="H363" s="5" t="str">
        <f>IFERROR(__xludf.DUMMYFUNCTION("GOOGLETRANSLATE(C363, ""en"", ""hi"")"),"ए) संभावित जवाबी हमलों से बचने और अनुवर्ती हमले के लिए पुनः स्थिति बनाने के लिए, बी) फुटवर्क दिखाने के लिए, सी) समय का अभ्यास करने के लिए, डी) प्रतिद्वंद्वी को भ्रमित करने के लिए।")</f>
        <v>ए) संभावित जवाबी हमलों से बचने और अनुवर्ती हमले के लिए पुनः स्थिति बनाने के लिए, बी) फुटवर्क दिखाने के लिए, सी) समय का अभ्यास करने के लिए, डी) प्रतिद्वंद्वी को भ्रमित करने के लिए।</v>
      </c>
      <c r="I363" s="5" t="str">
        <f>IFERROR(__xludf.DUMMYFUNCTION("GOOGLETRANSLATE(D363, ""en"", ""hi"")"),"क) संभावित जवाबी हमलों से बचने और अनुवर्ती हमले के लिए पुनः स्थिति तैयार करने के लिए।")</f>
        <v>क) संभावित जवाबी हमलों से बचने और अनुवर्ती हमले के लिए पुनः स्थिति तैयार करने के लिए।</v>
      </c>
    </row>
    <row r="364" ht="22.5" customHeight="1">
      <c r="A364" s="2">
        <v>363.0</v>
      </c>
      <c r="B364" s="3" t="s">
        <v>13046</v>
      </c>
      <c r="C364" s="3" t="s">
        <v>12949</v>
      </c>
      <c r="D364" s="3" t="s">
        <v>12924</v>
      </c>
      <c r="F364" s="5" t="str">
        <f>IFERROR(__xludf.DUMMYFUNCTION("GOOGLETRANSLATE(A364, ""en"", ""hi"")"),"363")</f>
        <v>363</v>
      </c>
      <c r="G364" s="5" t="str">
        <f>IFERROR(__xludf.DUMMYFUNCTION("GOOGLETRANSLATE(B364, ""en"", ""hi"")"),"थांग-ता अभ्यास के दौरान, एक अभ्यासी एक निम्न स्वीप के बाद एक उच्च थ्रस्ट करता है। निम्न स्वीप के बाद उच्च थ्रस्ट का मुख्य उद्देश्य क्या है?")</f>
        <v>थांग-ता अभ्यास के दौरान, एक अभ्यासी एक निम्न स्वीप के बाद एक उच्च थ्रस्ट करता है। निम्न स्वीप के बाद उच्च थ्रस्ट का मुख्य उद्देश्य क्या है?</v>
      </c>
      <c r="H364" s="5" t="str">
        <f>IFERROR(__xludf.DUMMYFUNCTION("GOOGLETRANSLATE(C364, ""en"", ""hi"")"),"A) प्रतिद्वंद्वी के लो गार्ड का लाभ उठाना और ऊपर से वार करना।, B) कौशल का प्रदर्शन करना।, C) समय का अभ्यास करना।, D) प्रतिद्वंद्वी को भ्रमित करना।")</f>
        <v>A) प्रतिद्वंद्वी के लो गार्ड का लाभ उठाना और ऊपर से वार करना।, B) कौशल का प्रदर्शन करना।, C) समय का अभ्यास करना।, D) प्रतिद्वंद्वी को भ्रमित करना।</v>
      </c>
      <c r="I364" s="5" t="str">
        <f>IFERROR(__xludf.DUMMYFUNCTION("GOOGLETRANSLATE(D364, ""en"", ""hi"")"),"ए) प्रतिद्वंद्वी के लो गार्ड का फायदा उठाना और ऊपर से वार करना।")</f>
        <v>ए) प्रतिद्वंद्वी के लो गार्ड का फायदा उठाना और ऊपर से वार करना।</v>
      </c>
    </row>
    <row r="365" ht="22.5" customHeight="1">
      <c r="A365" s="2">
        <v>364.0</v>
      </c>
      <c r="B365" s="3" t="s">
        <v>13047</v>
      </c>
      <c r="C365" s="3" t="s">
        <v>12999</v>
      </c>
      <c r="D365" s="3" t="s">
        <v>13000</v>
      </c>
      <c r="F365" s="5" t="str">
        <f>IFERROR(__xludf.DUMMYFUNCTION("GOOGLETRANSLATE(A365, ""en"", ""hi"")"),"364")</f>
        <v>364</v>
      </c>
      <c r="G365" s="5" t="str">
        <f>IFERROR(__xludf.DUMMYFUNCTION("GOOGLETRANSLATE(B365, ""en"", ""hi"")"),"थांग-ता मैच में, एक प्रतिभागी तेज़ी से विकर्ण कटों की एक श्रृंखला करता है। इन विकर्ण कटों का प्राथमिक उद्देश्य क्या है?")</f>
        <v>थांग-ता मैच में, एक प्रतिभागी तेज़ी से विकर्ण कटों की एक श्रृंखला करता है। इन विकर्ण कटों का प्राथमिक उद्देश्य क्या है?</v>
      </c>
      <c r="H365" s="5" t="str">
        <f>IFERROR(__xludf.DUMMYFUNCTION("GOOGLETRANSLATE(C365, ""en"", ""hi"")"),"A) कई आक्रमण कोण बनाना और प्रतिद्वंद्वी पर दबाव डालना।, B) कौशल का प्रदर्शन करना।, C) सटीकता का अभ्यास करना।, D) भ्रम पैदा करना।")</f>
        <v>A) कई आक्रमण कोण बनाना और प्रतिद्वंद्वी पर दबाव डालना।, B) कौशल का प्रदर्शन करना।, C) सटीकता का अभ्यास करना।, D) भ्रम पैदा करना।</v>
      </c>
      <c r="I365" s="5" t="str">
        <f>IFERROR(__xludf.DUMMYFUNCTION("GOOGLETRANSLATE(D365, ""en"", ""hi"")"),"क) कई आक्रमण कोण बनाना और प्रतिद्वंद्वी पर दबाव डालना।")</f>
        <v>क) कई आक्रमण कोण बनाना और प्रतिद्वंद्वी पर दबाव डालना।</v>
      </c>
    </row>
    <row r="366" ht="22.5" customHeight="1">
      <c r="A366" s="2">
        <v>365.0</v>
      </c>
      <c r="B366" s="3" t="s">
        <v>13048</v>
      </c>
      <c r="C366" s="3" t="s">
        <v>12727</v>
      </c>
      <c r="D366" s="3" t="s">
        <v>12728</v>
      </c>
      <c r="F366" s="5" t="str">
        <f>IFERROR(__xludf.DUMMYFUNCTION("GOOGLETRANSLATE(A366, ""en"", ""hi"")"),"365")</f>
        <v>365</v>
      </c>
      <c r="G366" s="5" t="str">
        <f>IFERROR(__xludf.DUMMYFUNCTION("GOOGLETRANSLATE(B366, ""en"", ""hi"")"),"थांग-ता का अभ्यासी एक उच्च ब्लॉक के बाद एक विकर्ण कट करता है। उच्च ब्लॉक के बाद विकर्ण कट का क्या लाभ है?")</f>
        <v>थांग-ता का अभ्यासी एक उच्च ब्लॉक के बाद एक विकर्ण कट करता है। उच्च ब्लॉक के बाद विकर्ण कट का क्या लाभ है?</v>
      </c>
      <c r="H366" s="5" t="str">
        <f>IFERROR(__xludf.DUMMYFUNCTION("GOOGLETRANSLATE(C366,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366" s="5" t="str">
        <f>IFERROR(__xludf.DUMMYFUNCTION("GOOGLETRANSLATE(D366, ""en"", ""hi"")"),"क) रक्षा से आक्रमण और कोण से आक्रमण की ओर संक्रमण करना।")</f>
        <v>क) रक्षा से आक्रमण और कोण से आक्रमण की ओर संक्रमण करना।</v>
      </c>
    </row>
    <row r="367" ht="22.5" customHeight="1">
      <c r="A367" s="2">
        <v>366.0</v>
      </c>
      <c r="B367" s="3" t="s">
        <v>13049</v>
      </c>
      <c r="C367" s="3" t="s">
        <v>12938</v>
      </c>
      <c r="D367" s="3" t="s">
        <v>12692</v>
      </c>
      <c r="F367" s="5" t="str">
        <f>IFERROR(__xludf.DUMMYFUNCTION("GOOGLETRANSLATE(A367, ""en"", ""hi"")"),"366")</f>
        <v>366</v>
      </c>
      <c r="G367" s="5" t="str">
        <f>IFERROR(__xludf.DUMMYFUNCTION("GOOGLETRANSLATE(B367, ""en"", ""hi"")"),"थांग-ता प्रशिक्षण के दौरान, एक छात्र लो ब्लॉक के बाद हाई कट करता है। लो ब्लॉक के बाद हाई कट का मुख्य लाभ क्या है?")</f>
        <v>थांग-ता प्रशिक्षण के दौरान, एक छात्र लो ब्लॉक के बाद हाई कट करता है। लो ब्लॉक के बाद हाई कट का मुख्य लाभ क्या है?</v>
      </c>
      <c r="H367" s="5" t="str">
        <f>IFERROR(__xludf.DUMMYFUNCTION("GOOGLETRANSLATE(C367, ""en"", ""hi"")"),"ए)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f>
        <v>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v>
      </c>
      <c r="I367" s="5" t="str">
        <f>IFERROR(__xludf.DUMMYFUNCTION("GOOGLETRANSLATE(D367, ""en"", ""hi"")"),"ए) बचाव से आक्रमण की ओर संक्रमण करना और प्रतिद्वंद्वी के ऊपरी शरीर को निशाना बनाना।")</f>
        <v>ए) बचाव से आक्रमण की ओर संक्रमण करना और प्रतिद्वंद्वी के ऊपरी शरीर को निशाना बनाना।</v>
      </c>
    </row>
    <row r="368" ht="22.5" customHeight="1">
      <c r="A368" s="2">
        <v>367.0</v>
      </c>
      <c r="B368" s="3" t="s">
        <v>13050</v>
      </c>
      <c r="C368" s="3" t="s">
        <v>13051</v>
      </c>
      <c r="D368" s="3" t="s">
        <v>13052</v>
      </c>
      <c r="F368" s="5" t="str">
        <f>IFERROR(__xludf.DUMMYFUNCTION("GOOGLETRANSLATE(A368, ""en"", ""hi"")"),"367")</f>
        <v>367</v>
      </c>
      <c r="G368" s="5" t="str">
        <f>IFERROR(__xludf.DUMMYFUNCTION("GOOGLETRANSLATE(B368, ""en"", ""hi"")"),"थांग-ता में, एक साधक पहले घूमता हुआ प्रहार करता है और उसके बाद तिरछा काटता है। घूमने वाले प्रहार के बाद तिरछे काट का उद्देश्य क्या है?")</f>
        <v>थांग-ता में, एक साधक पहले घूमता हुआ प्रहार करता है और उसके बाद तिरछा काटता है। घूमने वाले प्रहार के बाद तिरछे काट का उद्देश्य क्या है?</v>
      </c>
      <c r="H368" s="5" t="str">
        <f>IFERROR(__xludf.DUMMYFUNCTION("GOOGLETRANSLATE(C368, ""en"", ""hi"")"),"ए) घूमते हुए प्रहार से उत्पन्न गति का उपयोग करना और कोण से हमला करना।, बी) चपलता प्रदर्शित करना।, सी) सटीकता का अभ्यास करना।, डी) प्रतिद्वंद्वी को भ्रमित करना।")</f>
        <v>ए) घूमते हुए प्रहार से उत्पन्न गति का उपयोग करना और कोण से हमला करना।, बी) चपलता प्रदर्शित करना।, सी) सटीकता का अभ्यास करना।, डी) प्रतिद्वंद्वी को भ्रमित करना।</v>
      </c>
      <c r="I368" s="5" t="str">
        <f>IFERROR(__xludf.DUMMYFUNCTION("GOOGLETRANSLATE(D368, ""en"", ""hi"")"),"क) घूमते हुए प्रहार से उत्पन्न गति का उपयोग करना तथा कोण से आक्रमण करना।")</f>
        <v>क) घूमते हुए प्रहार से उत्पन्न गति का उपयोग करना तथा कोण से आक्रमण करना।</v>
      </c>
    </row>
    <row r="369" ht="22.5" customHeight="1">
      <c r="A369" s="2">
        <v>368.0</v>
      </c>
      <c r="B369" s="3" t="s">
        <v>13053</v>
      </c>
      <c r="C369" s="3" t="s">
        <v>13054</v>
      </c>
      <c r="D369" s="3" t="s">
        <v>13055</v>
      </c>
      <c r="F369" s="5" t="str">
        <f>IFERROR(__xludf.DUMMYFUNCTION("GOOGLETRANSLATE(A369, ""en"", ""hi"")"),"368")</f>
        <v>368</v>
      </c>
      <c r="G369" s="5" t="str">
        <f>IFERROR(__xludf.DUMMYFUNCTION("GOOGLETRANSLATE(B369, ""en"", ""hi"")"),"एक थांग-ता छात्र एक उच्च थ्रस्ट के बाद त्वरित वापसी करता है। उच्च थ्रस्ट के बाद वापसी का उद्देश्य क्या है?")</f>
        <v>एक थांग-ता छात्र एक उच्च थ्रस्ट के बाद त्वरित वापसी करता है। उच्च थ्रस्ट के बाद वापसी का उद्देश्य क्या है?</v>
      </c>
      <c r="H369" s="5" t="str">
        <f>IFERROR(__xludf.DUMMYFUNCTION("GOOGLETRANSLATE(C369, ""en"", ""hi"")"),"ए) अनुवर्ती चाल के लिए दूरी बनाना और पुनः स्थिति बनाना।, बी) चपलता प्रदर्शित करना।, सी) समय का अभ्यास करना।, डी) भ्रम पैदा करना।")</f>
        <v>ए) अनुवर्ती चाल के लिए दूरी बनाना और पुनः स्थिति बनाना।, बी) चपलता प्रदर्शित करना।, सी) समय का अभ्यास करना।, डी) भ्रम पैदा करना।</v>
      </c>
      <c r="I369" s="5" t="str">
        <f>IFERROR(__xludf.DUMMYFUNCTION("GOOGLETRANSLATE(D369, ""en"", ""hi"")"),"क) अनुवर्ती चाल के लिए दूरी बनाना और पुनः स्थिति बनाना।")</f>
        <v>क) अनुवर्ती चाल के लिए दूरी बनाना और पुनः स्थिति बनाना।</v>
      </c>
    </row>
    <row r="370" ht="22.5" customHeight="1">
      <c r="A370" s="2">
        <v>369.0</v>
      </c>
      <c r="B370" s="3" t="s">
        <v>13056</v>
      </c>
      <c r="C370" s="3" t="s">
        <v>13006</v>
      </c>
      <c r="D370" s="3" t="s">
        <v>13007</v>
      </c>
      <c r="F370" s="5" t="str">
        <f>IFERROR(__xludf.DUMMYFUNCTION("GOOGLETRANSLATE(A370, ""en"", ""hi"")"),"369")</f>
        <v>369</v>
      </c>
      <c r="G370" s="5" t="str">
        <f>IFERROR(__xludf.DUMMYFUNCTION("GOOGLETRANSLATE(B370, ""en"", ""hi"")"),"थांग-ता मैच के दौरान, एक प्रतिभागी तेज़ी से ऊपर की ओर वार करता है। इन ऊपर की ओर वार का मुख्य उद्देश्य क्या है?")</f>
        <v>थांग-ता मैच के दौरान, एक प्रतिभागी तेज़ी से ऊपर की ओर वार करता है। इन ऊपर की ओर वार का मुख्य उद्देश्य क्या है?</v>
      </c>
      <c r="H370" s="5" t="str">
        <f>IFERROR(__xludf.DUMMYFUNCTION("GOOGLETRANSLATE(C370, ""en"", ""hi"")"),"A) ऊपर से लगातार दबाव डालना और प्रतिद्वंद्वी को रक्षात्मक रुख अपनाने के लिए मजबूर करना।, B) गति दिखाना।, C) सटीकता का अभ्यास करना।, D) भ्रम पैदा करना।")</f>
        <v>A) ऊपर से लगातार दबाव डालना और प्रतिद्वंद्वी को रक्षात्मक रुख अपनाने के लिए मजबूर करना।, B) गति दिखाना।, C) सटीकता का अभ्यास करना।, D) भ्रम पैदा करना।</v>
      </c>
      <c r="I370" s="5" t="str">
        <f>IFERROR(__xludf.DUMMYFUNCTION("GOOGLETRANSLATE(D370,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371" ht="22.5" customHeight="1">
      <c r="A371" s="2">
        <v>370.0</v>
      </c>
      <c r="B371" s="3" t="s">
        <v>13057</v>
      </c>
      <c r="C371" s="3" t="s">
        <v>13058</v>
      </c>
      <c r="D371" s="3" t="s">
        <v>13059</v>
      </c>
      <c r="F371" s="5" t="str">
        <f>IFERROR(__xludf.DUMMYFUNCTION("GOOGLETRANSLATE(A371, ""en"", ""hi"")"),"370")</f>
        <v>370</v>
      </c>
      <c r="G371" s="5" t="str">
        <f>IFERROR(__xludf.DUMMYFUNCTION("GOOGLETRANSLATE(B371, ""en"", ""hi"")"),"थांग-ता में, अभ्यासी एक निम्न स्वीप के बाद एक विकर्ण थ्रस्ट करता है। निम्न स्वीप के बाद विकर्ण थ्रस्ट का क्या लाभ है?")</f>
        <v>थांग-ता में, अभ्यासी एक निम्न स्वीप के बाद एक विकर्ण थ्रस्ट करता है। निम्न स्वीप के बाद विकर्ण थ्रस्ट का क्या लाभ है?</v>
      </c>
      <c r="H371" s="5" t="str">
        <f>IFERROR(__xludf.DUMMYFUNCTION("GOOGLETRANSLATE(C371, ""en"", ""hi"")"),"ए) कम स्वीप और कोण से हमला करके बनाए गए अवसरों का फायदा उठाने के लिए, बी) कौशल दिखाने के लिए, सी) समय का अभ्यास करने के लिए, डी) प्रतिद्वंद्वी को भ्रमित करने के लिए।")</f>
        <v>ए) कम स्वीप और कोण से हमला करके बनाए गए अवसरों का फायदा उठाने के लिए, बी) कौशल दिखाने के लिए, सी) समय का अभ्यास करने के लिए, डी) प्रतिद्वंद्वी को भ्रमित करने के लिए।</v>
      </c>
      <c r="I371" s="5" t="str">
        <f>IFERROR(__xludf.DUMMYFUNCTION("GOOGLETRANSLATE(D371, ""en"", ""hi"")"),"ए) कम स्वीप द्वारा बनाए गए अवसरों का फायदा उठाना और कोण से हमला करना।")</f>
        <v>ए) कम स्वीप द्वारा बनाए गए अवसरों का फायदा उठाना और कोण से हमला करना।</v>
      </c>
    </row>
    <row r="372" ht="22.5" customHeight="1">
      <c r="A372" s="2">
        <v>371.0</v>
      </c>
      <c r="B372" s="3" t="s">
        <v>13060</v>
      </c>
      <c r="C372" s="3" t="s">
        <v>12727</v>
      </c>
      <c r="D372" s="3" t="s">
        <v>12728</v>
      </c>
      <c r="F372" s="5" t="str">
        <f>IFERROR(__xludf.DUMMYFUNCTION("GOOGLETRANSLATE(A372, ""en"", ""hi"")"),"371")</f>
        <v>371</v>
      </c>
      <c r="G372" s="5" t="str">
        <f>IFERROR(__xludf.DUMMYFUNCTION("GOOGLETRANSLATE(B372, ""en"", ""hi"")"),"एक थांग-ता छात्र एक उच्च ब्लॉक के बाद एक विकर्ण कट करता है। उच्च ब्लॉक के बाद विकर्ण कट का मुख्य उद्देश्य क्या है?")</f>
        <v>एक थांग-ता छात्र एक उच्च ब्लॉक के बाद एक विकर्ण कट करता है। उच्च ब्लॉक के बाद विकर्ण कट का मुख्य उद्देश्य क्या है?</v>
      </c>
      <c r="H372" s="5" t="str">
        <f>IFERROR(__xludf.DUMMYFUNCTION("GOOGLETRANSLATE(C372,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372" s="5" t="str">
        <f>IFERROR(__xludf.DUMMYFUNCTION("GOOGLETRANSLATE(D372, ""en"", ""hi"")"),"क) रक्षा से आक्रमण और कोण से आक्रमण की ओर संक्रमण करना।")</f>
        <v>क) रक्षा से आक्रमण और कोण से आक्रमण की ओर संक्रमण करना।</v>
      </c>
    </row>
    <row r="373" ht="22.5" customHeight="1">
      <c r="A373" s="2">
        <v>372.0</v>
      </c>
      <c r="B373" s="3" t="s">
        <v>13061</v>
      </c>
      <c r="C373" s="3" t="s">
        <v>13062</v>
      </c>
      <c r="D373" s="3" t="s">
        <v>13063</v>
      </c>
      <c r="F373" s="5" t="str">
        <f>IFERROR(__xludf.DUMMYFUNCTION("GOOGLETRANSLATE(A373, ""en"", ""hi"")"),"372")</f>
        <v>372</v>
      </c>
      <c r="G373" s="5" t="str">
        <f>IFERROR(__xludf.DUMMYFUNCTION("GOOGLETRANSLATE(B373, ""en"", ""hi"")"),"थांग-ता अभ्यास के दौरान, प्रतिभागी एक विकर्ण कट के बाद एक निम्न ब्लॉक करता है। विकर्ण कट के बाद निम्न ब्लॉक का उद्देश्य क्या है?")</f>
        <v>थांग-ता अभ्यास के दौरान, प्रतिभागी एक विकर्ण कट के बाद एक निम्न ब्लॉक करता है। विकर्ण कट के बाद निम्न ब्लॉक का उद्देश्य क्या है?</v>
      </c>
      <c r="H373" s="5" t="str">
        <f>IFERROR(__xludf.DUMMYFUNCTION("GOOGLETRANSLATE(C373, ""en"", ""hi"")"),"A) रक्षात्मक स्थिति को सुरक्षित करना और जवाबी हमले से रक्षा करना।, B) कौशल का प्रदर्शन करना।, C) समय का अभ्यास करना।, D) भ्रम पैदा करना।")</f>
        <v>A) रक्षात्मक स्थिति को सुरक्षित करना और जवाबी हमले से रक्षा करना।, B) कौशल का प्रदर्शन करना।, C) समय का अभ्यास करना।, D) भ्रम पैदा करना।</v>
      </c>
      <c r="I373" s="5" t="str">
        <f>IFERROR(__xludf.DUMMYFUNCTION("GOOGLETRANSLATE(D373, ""en"", ""hi"")"),"क) रक्षात्मक स्थिति को सुरक्षित करना और जवाबी हमले से बचाव करना।")</f>
        <v>क) रक्षात्मक स्थिति को सुरक्षित करना और जवाबी हमले से बचाव करना।</v>
      </c>
    </row>
    <row r="374" ht="22.5" customHeight="1">
      <c r="A374" s="2">
        <v>373.0</v>
      </c>
      <c r="B374" s="3" t="s">
        <v>13064</v>
      </c>
      <c r="C374" s="3" t="s">
        <v>13010</v>
      </c>
      <c r="D374" s="3" t="s">
        <v>13011</v>
      </c>
      <c r="F374" s="5" t="str">
        <f>IFERROR(__xludf.DUMMYFUNCTION("GOOGLETRANSLATE(A374, ""en"", ""hi"")"),"373")</f>
        <v>373</v>
      </c>
      <c r="G374" s="5" t="str">
        <f>IFERROR(__xludf.DUMMYFUNCTION("GOOGLETRANSLATE(B374, ""en"", ""hi"")"),"थांग-ता मुकाबले में, एक अभ्यासी एक घूमता हुआ प्रहार करता है और उसके बाद एक तेज़ प्रहार करता है। घूमने वाले प्रहार के बाद तेज़ प्रहार का क्या लाभ है?")</f>
        <v>थांग-ता मुकाबले में, एक अभ्यासी एक घूमता हुआ प्रहार करता है और उसके बाद एक तेज़ प्रहार करता है। घूमने वाले प्रहार के बाद तेज़ प्रहार का क्या लाभ है?</v>
      </c>
      <c r="H374" s="5" t="str">
        <f>IFERROR(__xludf.DUMMYFUNCTION("GOOGLETRANSLATE(C374, ""en"", ""hi"")"),"A) घूमते हुए प्रहार से प्राप्त गति का उपयोग करना और शक्तिशाली प्रहार करना।, B) चपलता प्रदर्शित करना।, C) सटीकता का अभ्यास करना।, D) भ्रम पैदा करना।")</f>
        <v>A) घूमते हुए प्रहार से प्राप्त गति का उपयोग करना और शक्तिशाली प्रहार करना।, B) चपलता प्रदर्शित करना।, C) सटीकता का अभ्यास करना।, D) भ्रम पैदा करना।</v>
      </c>
      <c r="I374" s="5" t="str">
        <f>IFERROR(__xludf.DUMMYFUNCTION("GOOGLETRANSLATE(D374, ""en"", ""hi"")"),"क) घूमते हुए प्रहार से उत्पन्न गति का उपयोग करना तथा शक्तिशाली प्रहार करना।")</f>
        <v>क) घूमते हुए प्रहार से उत्पन्न गति का उपयोग करना तथा शक्तिशाली प्रहार करना।</v>
      </c>
    </row>
    <row r="375" ht="22.5" customHeight="1">
      <c r="A375" s="2">
        <v>374.0</v>
      </c>
      <c r="B375" s="3" t="s">
        <v>13065</v>
      </c>
      <c r="C375" s="3" t="s">
        <v>13006</v>
      </c>
      <c r="D375" s="3" t="s">
        <v>13007</v>
      </c>
      <c r="F375" s="5" t="str">
        <f>IFERROR(__xludf.DUMMYFUNCTION("GOOGLETRANSLATE(A375, ""en"", ""hi"")"),"374")</f>
        <v>374</v>
      </c>
      <c r="G375" s="5" t="str">
        <f>IFERROR(__xludf.DUMMYFUNCTION("GOOGLETRANSLATE(B375, ""en"", ""hi"")"),"एक थांग-ता छात्र तेज़ी से नीचे की ओर कट्स की एक श्रृंखला करता है। इन नीचे की ओर कट्स का प्राथमिक लक्ष्य क्या है?")</f>
        <v>एक थांग-ता छात्र तेज़ी से नीचे की ओर कट्स की एक श्रृंखला करता है। इन नीचे की ओर कट्स का प्राथमिक लक्ष्य क्या है?</v>
      </c>
      <c r="H375" s="5" t="str">
        <f>IFERROR(__xludf.DUMMYFUNCTION("GOOGLETRANSLATE(C375, ""en"", ""hi"")"),"A) ऊपर से लगातार दबाव डालना और प्रतिद्वंद्वी को रक्षात्मक रुख अपनाने के लिए मजबूर करना।, B) गति दिखाना।, C) सटीकता का अभ्यास करना।, D) भ्रम पैदा करना।")</f>
        <v>A) ऊपर से लगातार दबाव डालना और प्रतिद्वंद्वी को रक्षात्मक रुख अपनाने के लिए मजबूर करना।, B) गति दिखाना।, C) सटीकता का अभ्यास करना।, D) भ्रम पैदा करना।</v>
      </c>
      <c r="I375" s="5" t="str">
        <f>IFERROR(__xludf.DUMMYFUNCTION("GOOGLETRANSLATE(D375,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376" ht="22.5" customHeight="1">
      <c r="A376" s="2">
        <v>375.0</v>
      </c>
      <c r="B376" s="3" t="s">
        <v>13066</v>
      </c>
      <c r="C376" s="3" t="s">
        <v>13067</v>
      </c>
      <c r="D376" s="3" t="s">
        <v>13068</v>
      </c>
      <c r="F376" s="5" t="str">
        <f>IFERROR(__xludf.DUMMYFUNCTION("GOOGLETRANSLATE(A376, ""en"", ""hi"")"),"375")</f>
        <v>375</v>
      </c>
      <c r="G376" s="5" t="str">
        <f>IFERROR(__xludf.DUMMYFUNCTION("GOOGLETRANSLATE(B376, ""en"", ""hi"")"),"थांग-ता प्रशिक्षण के दौरान, अभ्यासी उच्च थ्रस्ट के बाद निम्न स्वीप करता है। उच्च थ्रस्ट के बाद निम्न स्वीप का मुख्य उद्देश्य क्या है?")</f>
        <v>थांग-ता प्रशिक्षण के दौरान, अभ्यासी उच्च थ्रस्ट के बाद निम्न स्वीप करता है। उच्च थ्रस्ट के बाद निम्न स्वीप का मुख्य उद्देश्य क्या है?</v>
      </c>
      <c r="H376" s="5" t="str">
        <f>IFERROR(__xludf.DUMMYFUNCTION("GOOGLETRANSLATE(C376, ""en"", ""hi"")"),"A) नीचे से तेज प्रहार और प्रहार से उत्पन्न अवसरों का लाभ उठाना।, B) कौशल का प्रदर्शन करना।, C) समय का अभ्यास करना।, D) प्रतिद्वंद्वी को भ्रमित करना।")</f>
        <v>A) नीचे से तेज प्रहार और प्रहार से उत्पन्न अवसरों का लाभ उठाना।, B) कौशल का प्रदर्शन करना।, C) समय का अभ्यास करना।, D) प्रतिद्वंद्वी को भ्रमित करना।</v>
      </c>
      <c r="I376" s="5" t="str">
        <f>IFERROR(__xludf.DUMMYFUNCTION("GOOGLETRANSLATE(D376, ""en"", ""hi"")"),"क) उच्च दबाव और नीचे से प्रहार से उत्पन्न खुले स्थानों का लाभ उठाना।")</f>
        <v>क) उच्च दबाव और नीचे से प्रहार से उत्पन्न खुले स्थानों का लाभ उठाना।</v>
      </c>
    </row>
    <row r="377" ht="22.5" customHeight="1">
      <c r="A377" s="2">
        <v>376.0</v>
      </c>
      <c r="B377" s="3" t="s">
        <v>13069</v>
      </c>
      <c r="C377" s="3" t="s">
        <v>13070</v>
      </c>
      <c r="D377" s="3" t="s">
        <v>13071</v>
      </c>
      <c r="F377" s="5" t="str">
        <f>IFERROR(__xludf.DUMMYFUNCTION("GOOGLETRANSLATE(A377, ""en"", ""hi"")"),"376")</f>
        <v>376</v>
      </c>
      <c r="G377" s="5" t="str">
        <f>IFERROR(__xludf.DUMMYFUNCTION("GOOGLETRANSLATE(B377, ""en"", ""hi"")"),"थांग-ता में, अभ्यासी पहले उच्च अवरोधन करता है और उसके बाद निम्न दबाव डालता है। इस क्रम का मुख्य लाभ क्या है?")</f>
        <v>थांग-ता में, अभ्यासी पहले उच्च अवरोधन करता है और उसके बाद निम्न दबाव डालता है। इस क्रम का मुख्य लाभ क्या है?</v>
      </c>
      <c r="H377" s="5" t="str">
        <f>IFERROR(__xludf.DUMMYFUNCTION("GOOGLETRANSLATE(C377, ""en"", ""hi"")"),"A) ऊपरी हमले को बेअसर करने के लिए और फिर निचले हमले पर प्रहार करने के लिए।, B) कौशल दिखाने के लिए।, C) समय का अभ्यास करने के लिए।, D) भ्रम पैदा करने के लिए।")</f>
        <v>A) ऊपरी हमले को बेअसर करने के लिए और फिर निचले हमले पर प्रहार करने के लिए।, B) कौशल दिखाने के लिए।, C) समय का अभ्यास करने के लिए।, D) भ्रम पैदा करने के लिए।</v>
      </c>
      <c r="I377" s="5" t="str">
        <f>IFERROR(__xludf.DUMMYFUNCTION("GOOGLETRANSLATE(D377, ""en"", ""hi"")"),"क) ऊपरी हमले को बेअसर करना और फिर निचले स्थान पर प्रहार करना।")</f>
        <v>क) ऊपरी हमले को बेअसर करना और फिर निचले स्थान पर प्रहार करना।</v>
      </c>
    </row>
    <row r="378" ht="22.5" customHeight="1">
      <c r="A378" s="2">
        <v>377.0</v>
      </c>
      <c r="B378" s="3" t="s">
        <v>13072</v>
      </c>
      <c r="C378" s="3" t="s">
        <v>13073</v>
      </c>
      <c r="D378" s="3" t="s">
        <v>13074</v>
      </c>
      <c r="F378" s="5" t="str">
        <f>IFERROR(__xludf.DUMMYFUNCTION("GOOGLETRANSLATE(A378, ""en"", ""hi"")"),"377")</f>
        <v>377</v>
      </c>
      <c r="G378" s="5" t="str">
        <f>IFERROR(__xludf.DUMMYFUNCTION("GOOGLETRANSLATE(B378, ""en"", ""hi"")"),"थांग-ता मैच के दौरान, एक प्रतिभागी विकर्ण कट के बाद तेज़ी से पीछे हटता है। विकर्ण कट के बाद पीछे हटने का उद्देश्य क्या है?")</f>
        <v>थांग-ता मैच के दौरान, एक प्रतिभागी विकर्ण कट के बाद तेज़ी से पीछे हटता है। विकर्ण कट के बाद पीछे हटने का उद्देश्य क्या है?</v>
      </c>
      <c r="H378" s="5" t="str">
        <f>IFERROR(__xludf.DUMMYFUNCTION("GOOGLETRANSLATE(C378, ""en"", ""hi"")"),"A) दूरी बनाने और संभावित जवाबी हमलों से बचने के लिए, B) चपलता दिखाने के लिए, C) समय का अभ्यास करने के लिए, D) प्रतिद्वंद्वी को भ्रमित करने के लिए।")</f>
        <v>A) दूरी बनाने और संभावित जवाबी हमलों से बचने के लिए, B) चपलता दिखाने के लिए, C) समय का अभ्यास करने के लिए, D) प्रतिद्वंद्वी को भ्रमित करने के लिए।</v>
      </c>
      <c r="I378" s="5" t="str">
        <f>IFERROR(__xludf.DUMMYFUNCTION("GOOGLETRANSLATE(D378, ""en"", ""hi"")"),"क) दूरी बनाना और संभावित जवाबी हमलों से बचना।")</f>
        <v>क) दूरी बनाना और संभावित जवाबी हमलों से बचना।</v>
      </c>
    </row>
    <row r="379" ht="22.5" customHeight="1">
      <c r="A379" s="2">
        <v>378.0</v>
      </c>
      <c r="B379" s="3" t="s">
        <v>13075</v>
      </c>
      <c r="C379" s="3" t="s">
        <v>13076</v>
      </c>
      <c r="D379" s="3" t="s">
        <v>13077</v>
      </c>
      <c r="F379" s="5" t="str">
        <f>IFERROR(__xludf.DUMMYFUNCTION("GOOGLETRANSLATE(A379, ""en"", ""hi"")"),"378")</f>
        <v>378</v>
      </c>
      <c r="G379" s="5" t="str">
        <f>IFERROR(__xludf.DUMMYFUNCTION("GOOGLETRANSLATE(B379, ""en"", ""hi"")"),"एक थांग-टा छात्र स्पिनिंग कट के बाद कम थ्रस्ट का प्रदर्शन करता है। स्पिनिंग कट के बाद कम थ्रस्ट का क्या लाभ है?")</f>
        <v>एक थांग-टा छात्र स्पिनिंग कट के बाद कम थ्रस्ट का प्रदर्शन करता है। स्पिनिंग कट के बाद कम थ्रस्ट का क्या लाभ है?</v>
      </c>
      <c r="H379" s="5" t="str">
        <f>IFERROR(__xludf.DUMMYFUNCTION("GOOGLETRANSLATE(C379, ""en"", ""hi"")"),"ए) स्पिनिंग कट की गति का लाभ उठाना और निचले कोण से हमला करना।, बी) कौशल का प्रदर्शन करना।, सी) समय का अभ्यास करना।, डी) भ्रम पैदा करना।")</f>
        <v>ए) स्पिनिंग कट की गति का लाभ उठाना और निचले कोण से हमला करना।, बी) कौशल का प्रदर्शन करना।, सी) समय का अभ्यास करना।, डी) भ्रम पैदा करना।</v>
      </c>
      <c r="I379" s="5" t="str">
        <f>IFERROR(__xludf.DUMMYFUNCTION("GOOGLETRANSLATE(D379, ""en"", ""hi"")"),"ए) स्पिनिंग कट की गति का लाभ उठाना और निचले कोण से आक्रमण करना।")</f>
        <v>ए) स्पिनिंग कट की गति का लाभ उठाना और निचले कोण से आक्रमण करना।</v>
      </c>
    </row>
    <row r="380" ht="22.5" customHeight="1">
      <c r="A380" s="2">
        <v>379.0</v>
      </c>
      <c r="B380" s="3" t="s">
        <v>13078</v>
      </c>
      <c r="C380" s="3" t="s">
        <v>13079</v>
      </c>
      <c r="D380" s="3" t="s">
        <v>13080</v>
      </c>
      <c r="F380" s="5" t="str">
        <f>IFERROR(__xludf.DUMMYFUNCTION("GOOGLETRANSLATE(A380, ""en"", ""hi"")"),"379")</f>
        <v>379</v>
      </c>
      <c r="G380" s="5" t="str">
        <f>IFERROR(__xludf.DUMMYFUNCTION("GOOGLETRANSLATE(B380, ""en"", ""hi"")"),"थांग-ता में, एक अभ्यासी उच्च थ्रस्ट के बाद विकर्ण कट करता है। उच्च थ्रस्ट के बाद विकर्ण कट का मुख्य उद्देश्य क्या है?")</f>
        <v>थांग-ता में, एक अभ्यासी उच्च थ्रस्ट के बाद विकर्ण कट करता है। उच्च थ्रस्ट के बाद विकर्ण कट का मुख्य उद्देश्य क्या है?</v>
      </c>
      <c r="H380" s="5" t="str">
        <f>IFERROR(__xludf.DUMMYFUNCTION("GOOGLETRANSLATE(C380, ""en"", ""hi"")"),"ए) कोण से प्रहार करने के लिए बल से उत्पन्न गति का उपयोग करना।, बी) सटीकता प्रदर्शित करना।, सी) समय का अभ्यास करना।, डी) प्रतिद्वंद्वी को भ्रमित करना।")</f>
        <v>ए) कोण से प्रहार करने के लिए बल से उत्पन्न गति का उपयोग करना।, बी) सटीकता प्रदर्शित करना।, सी) समय का अभ्यास करना।, डी) प्रतिद्वंद्वी को भ्रमित करना।</v>
      </c>
      <c r="I380" s="5" t="str">
        <f>IFERROR(__xludf.DUMMYFUNCTION("GOOGLETRANSLATE(D380, ""en"", ""hi"")"),"क) किसी कोण से प्रहार करने के लिए प्रणोद से उत्पन्न संवेग का उपयोग करना।")</f>
        <v>क) किसी कोण से प्रहार करने के लिए प्रणोद से उत्पन्न संवेग का उपयोग करना।</v>
      </c>
    </row>
    <row r="381" ht="22.5" customHeight="1">
      <c r="A381" s="2">
        <v>380.0</v>
      </c>
      <c r="B381" s="3" t="s">
        <v>13081</v>
      </c>
      <c r="C381" s="3" t="s">
        <v>13082</v>
      </c>
      <c r="D381" s="3" t="s">
        <v>13083</v>
      </c>
      <c r="F381" s="5" t="str">
        <f>IFERROR(__xludf.DUMMYFUNCTION("GOOGLETRANSLATE(A381, ""en"", ""hi"")"),"380")</f>
        <v>380</v>
      </c>
      <c r="G381" s="5" t="str">
        <f>IFERROR(__xludf.DUMMYFUNCTION("GOOGLETRANSLATE(B381, ""en"", ""hi"")"),"थांग-ता प्रशिक्षण के दौरान, एक छात्र पहले लो स्वीप करता है और उसके बाद हाई ब्लॉक करता है। इस क्रम का प्राथमिक लक्ष्य क्या है?")</f>
        <v>थांग-ता प्रशिक्षण के दौरान, एक छात्र पहले लो स्वीप करता है और उसके बाद हाई ब्लॉक करता है। इस क्रम का प्राथमिक लक्ष्य क्या है?</v>
      </c>
      <c r="H381" s="5" t="str">
        <f>IFERROR(__xludf.DUMMYFUNCTION("GOOGLETRANSLATE(C381, ""en"", ""hi"")"),"ए) स्वीप के साथ प्रतिद्वंद्वी के रुख को बाधित करना और फिर एक उच्च हमले के खिलाफ बचाव करना।, बी) कौशल का प्रदर्शन करना।, सी) समय का अभ्यास करना।, डी) भ्रम पैदा करना।")</f>
        <v>ए) स्वीप के साथ प्रतिद्वंद्वी के रुख को बाधित करना और फिर एक उच्च हमले के खिलाफ बचाव करना।, बी) कौशल का प्रदर्शन करना।, सी) समय का अभ्यास करना।, डी) भ्रम पैदा करना।</v>
      </c>
      <c r="I381" s="5" t="str">
        <f>IFERROR(__xludf.DUMMYFUNCTION("GOOGLETRANSLATE(D381, ""en"", ""hi"")"),"ए) स्वीप के साथ प्रतिद्वंद्वी के रुख को बाधित करना और फिर उच्च हमले के खिलाफ बचाव करना।")</f>
        <v>ए) स्वीप के साथ प्रतिद्वंद्वी के रुख को बाधित करना और फिर उच्च हमले के खिलाफ बचाव करना।</v>
      </c>
    </row>
    <row r="382" ht="22.5" customHeight="1">
      <c r="A382" s="2">
        <v>381.0</v>
      </c>
      <c r="B382" s="3" t="s">
        <v>13084</v>
      </c>
      <c r="C382" s="3" t="s">
        <v>13085</v>
      </c>
      <c r="D382" s="3" t="s">
        <v>13086</v>
      </c>
      <c r="F382" s="5" t="str">
        <f>IFERROR(__xludf.DUMMYFUNCTION("GOOGLETRANSLATE(A382, ""en"", ""hi"")"),"381")</f>
        <v>381</v>
      </c>
      <c r="G382" s="5" t="str">
        <f>IFERROR(__xludf.DUMMYFUNCTION("GOOGLETRANSLATE(B382, ""en"", ""hi"")"),"थांग-ता का अभ्यासी एक उच्च कट के बाद एक स्पिनिंग स्ट्राइक करता है। उच्च कट के बाद स्पिनिंग स्ट्राइक का क्या लाभ है?")</f>
        <v>थांग-ता का अभ्यासी एक उच्च कट के बाद एक स्पिनिंग स्ट्राइक करता है। उच्च कट के बाद स्पिनिंग स्ट्राइक का क्या लाभ है?</v>
      </c>
      <c r="H382" s="5" t="str">
        <f>IFERROR(__xludf.DUMMYFUNCTION("GOOGLETRANSLATE(C382, ""en"", ""hi"")"),"A) एक अलग कोण से शक्तिशाली प्रहार के लिए उच्च कट से गति का लाभ उठाने के लिए, B) चपलता दिखाने के लिए, C) समय का अभ्यास करने के लिए, D) प्रतिद्वंद्वी को भ्रमित करने के लिए।")</f>
        <v>A) एक अलग कोण से शक्तिशाली प्रहार के लिए उच्च कट से गति का लाभ उठाने के लिए, B) चपलता दिखाने के लिए, C) समय का अभ्यास करने के लिए, D) प्रतिद्वंद्वी को भ्रमित करने के लिए।</v>
      </c>
      <c r="I382" s="5" t="str">
        <f>IFERROR(__xludf.DUMMYFUNCTION("GOOGLETRANSLATE(D382, ""en"", ""hi"")"),"क) एक अलग कोण से शक्तिशाली प्रहार के लिए उच्च कट से गति का लाभ उठाना।")</f>
        <v>क) एक अलग कोण से शक्तिशाली प्रहार के लिए उच्च कट से गति का लाभ उठाना।</v>
      </c>
    </row>
    <row r="383" ht="22.5" customHeight="1">
      <c r="A383" s="2">
        <v>382.0</v>
      </c>
      <c r="B383" s="3" t="s">
        <v>13087</v>
      </c>
      <c r="C383" s="3" t="s">
        <v>13088</v>
      </c>
      <c r="D383" s="3" t="s">
        <v>13089</v>
      </c>
      <c r="F383" s="5" t="str">
        <f>IFERROR(__xludf.DUMMYFUNCTION("GOOGLETRANSLATE(A383, ""en"", ""hi"")"),"382")</f>
        <v>382</v>
      </c>
      <c r="G383" s="5" t="str">
        <f>IFERROR(__xludf.DUMMYFUNCTION("GOOGLETRANSLATE(B383, ""en"", ""hi"")"),"थांग-ता में, एक छात्र विकर्ण कट के बाद एक त्वरित साइडस्टेप करता है। विकर्ण कट के बाद साइडस्टेप का उद्देश्य क्या है?")</f>
        <v>थांग-ता में, एक छात्र विकर्ण कट के बाद एक त्वरित साइडस्टेप करता है। विकर्ण कट के बाद साइडस्टेप का उद्देश्य क्या है?</v>
      </c>
      <c r="H383" s="5" t="str">
        <f>IFERROR(__xludf.DUMMYFUNCTION("GOOGLETRANSLATE(C383, ""en"", ""hi"")"),"क) जवाबी हमले से बचने के लिए तथा अधिक प्रभावी अनुवर्ती चाल के लिए पुनः स्थिति में आना।, ख) चपलता प्रदर्शित करना।, ग) समय का अभ्यास करना।, घ) भ्रम पैदा करना।")</f>
        <v>क) जवाबी हमले से बचने के लिए तथा अधिक प्रभावी अनुवर्ती चाल के लिए पुनः स्थिति में आना।, ख) चपलता प्रदर्शित करना।, ग) समय का अभ्यास करना।, घ) भ्रम पैदा करना।</v>
      </c>
      <c r="I383" s="5" t="str">
        <f>IFERROR(__xludf.DUMMYFUNCTION("GOOGLETRANSLATE(D383, ""en"", ""hi"")"),"क) जवाबी हमले से बचने के लिए तथा अधिक प्रभावी अनुवर्ती कार्रवाई के लिए पुनः स्थिति में आना।")</f>
        <v>क) जवाबी हमले से बचने के लिए तथा अधिक प्रभावी अनुवर्ती कार्रवाई के लिए पुनः स्थिति में आना।</v>
      </c>
    </row>
    <row r="384" ht="22.5" customHeight="1">
      <c r="A384" s="2">
        <v>383.0</v>
      </c>
      <c r="B384" s="3" t="s">
        <v>13090</v>
      </c>
      <c r="C384" s="3" t="s">
        <v>13091</v>
      </c>
      <c r="D384" s="3" t="s">
        <v>13092</v>
      </c>
      <c r="F384" s="5" t="str">
        <f>IFERROR(__xludf.DUMMYFUNCTION("GOOGLETRANSLATE(A384, ""en"", ""hi"")"),"383")</f>
        <v>383</v>
      </c>
      <c r="G384" s="5" t="str">
        <f>IFERROR(__xludf.DUMMYFUNCTION("GOOGLETRANSLATE(B384, ""en"", ""hi"")"),"थांग-ता मैच के दौरान, एक प्रतिभागी एक लो ब्लॉक के बाद तेज़ी से ऊपर की ओर ज़ोर लगाता है। लो ब्लॉक के बाद ऊपर की ओर ज़ोर लगाने का मुख्य लाभ क्या है?")</f>
        <v>थांग-ता मैच के दौरान, एक प्रतिभागी एक लो ब्लॉक के बाद तेज़ी से ऊपर की ओर ज़ोर लगाता है। लो ब्लॉक के बाद ऊपर की ओर ज़ोर लगाने का मुख्य लाभ क्या है?</v>
      </c>
      <c r="H384" s="5" t="str">
        <f>IFERROR(__xludf.DUMMYFUNCTION("GOOGLETRANSLATE(C384, ""en"", ""hi"")"),"A) बचाव से आक्रमण की ओर संक्रमण करना तथा नीचे से वार करना।, B) गति प्रदर्शित करना।, C) सटीकता का अभ्यास करना।, D) भ्रम पैदा करना।")</f>
        <v>A) बचाव से आक्रमण की ओर संक्रमण करना तथा नीचे से वार करना।, B) गति प्रदर्शित करना।, C) सटीकता का अभ्यास करना।, D) भ्रम पैदा करना।</v>
      </c>
      <c r="I384" s="5" t="str">
        <f>IFERROR(__xludf.DUMMYFUNCTION("GOOGLETRANSLATE(D384, ""en"", ""hi"")"),"ए) बचाव से आक्रमण की ओर संक्रमण करना तथा नीचे से हमला करना।")</f>
        <v>ए) बचाव से आक्रमण की ओर संक्रमण करना तथा नीचे से हमला करना।</v>
      </c>
    </row>
    <row r="385" ht="22.5" customHeight="1">
      <c r="A385" s="2">
        <v>384.0</v>
      </c>
      <c r="B385" s="3" t="s">
        <v>13093</v>
      </c>
      <c r="C385" s="3" t="s">
        <v>13094</v>
      </c>
      <c r="D385" s="3" t="s">
        <v>13095</v>
      </c>
      <c r="F385" s="5" t="str">
        <f>IFERROR(__xludf.DUMMYFUNCTION("GOOGLETRANSLATE(A385, ""en"", ""hi"")"),"384")</f>
        <v>384</v>
      </c>
      <c r="G385" s="5" t="str">
        <f>IFERROR(__xludf.DUMMYFUNCTION("GOOGLETRANSLATE(B385, ""en"", ""hi"")"),"थांग-ता का अभ्यासी उच्च थ्रस्ट के बाद विकर्ण कट करता है। उच्च थ्रस्ट के बाद विकर्ण कट का उद्देश्य क्या है?")</f>
        <v>थांग-ता का अभ्यासी उच्च थ्रस्ट के बाद विकर्ण कट करता है। उच्च थ्रस्ट के बाद विकर्ण कट का उद्देश्य क्या है?</v>
      </c>
      <c r="H385" s="5" t="str">
        <f>IFERROR(__xludf.DUMMYFUNCTION("GOOGLETRANSLATE(C385, ""en"", ""hi"")"),"क) उच्च जोर और कोण से हमले के कारण उत्पन्न अवसरों का फायदा उठाना।, ख) कौशल का प्रदर्शन करना।, ग) समय का अभ्यास करना।, घ) भ्रम पैदा करना।")</f>
        <v>क) उच्च जोर और कोण से हमले के कारण उत्पन्न अवसरों का फायदा उठाना।, ख) कौशल का प्रदर्शन करना।, ग) समय का अभ्यास करना।, घ) भ्रम पैदा करना।</v>
      </c>
      <c r="I385" s="5" t="str">
        <f>IFERROR(__xludf.DUMMYFUNCTION("GOOGLETRANSLATE(D385, ""en"", ""hi"")"),"क) उच्च दबाव और कोण से हमले के कारण उत्पन्न अवसरों का फायदा उठाना।")</f>
        <v>क) उच्च दबाव और कोण से हमले के कारण उत्पन्न अवसरों का फायदा उठाना।</v>
      </c>
    </row>
    <row r="386" ht="22.5" customHeight="1">
      <c r="A386" s="2">
        <v>385.0</v>
      </c>
      <c r="B386" s="3" t="s">
        <v>13096</v>
      </c>
      <c r="C386" s="3" t="s">
        <v>13097</v>
      </c>
      <c r="D386" s="3" t="s">
        <v>13098</v>
      </c>
      <c r="F386" s="5" t="str">
        <f>IFERROR(__xludf.DUMMYFUNCTION("GOOGLETRANSLATE(A386, ""en"", ""hi"")"),"385")</f>
        <v>385</v>
      </c>
      <c r="G386" s="5" t="str">
        <f>IFERROR(__xludf.DUMMYFUNCTION("GOOGLETRANSLATE(B386, ""en"", ""hi"")"),"थांग-ता में, एक छात्र एक त्वरित रिट्रीट के बाद लो कट करता है। रिट्रीट के बाद लो कट का मुख्य लाभ क्या है?")</f>
        <v>थांग-ता में, एक छात्र एक त्वरित रिट्रीट के बाद लो कट करता है। रिट्रीट के बाद लो कट का मुख्य लाभ क्या है?</v>
      </c>
      <c r="H386" s="5" t="str">
        <f>IFERROR(__xludf.DUMMYFUNCTION("GOOGLETRANSLATE(C386, ""en"", ""hi"")"),"A) बनी हुई दूरी का लाभ उठाना और नीचे से वार करना।, B) चपलता दिखाना।, C) समय का अभ्यास करना।, D) प्रतिद्वंद्वी को भ्रमित करना।")</f>
        <v>A) बनी हुई दूरी का लाभ उठाना और नीचे से वार करना।, B) चपलता दिखाना।, C) समय का अभ्यास करना।, D) प्रतिद्वंद्वी को भ्रमित करना।</v>
      </c>
      <c r="I386" s="5" t="str">
        <f>IFERROR(__xludf.DUMMYFUNCTION("GOOGLETRANSLATE(D386, ""en"", ""hi"")"),"अ) बनी हुई दूरी का लाभ उठाकर नीचे से हमला करना।")</f>
        <v>अ) बनी हुई दूरी का लाभ उठाकर नीचे से हमला करना।</v>
      </c>
    </row>
    <row r="387" ht="22.5" customHeight="1">
      <c r="A387" s="2">
        <v>386.0</v>
      </c>
      <c r="B387" s="3" t="s">
        <v>13099</v>
      </c>
      <c r="C387" s="3" t="s">
        <v>13100</v>
      </c>
      <c r="D387" s="3" t="s">
        <v>13101</v>
      </c>
      <c r="F387" s="5" t="str">
        <f>IFERROR(__xludf.DUMMYFUNCTION("GOOGLETRANSLATE(A387, ""en"", ""hi"")"),"386")</f>
        <v>386</v>
      </c>
      <c r="G387" s="5" t="str">
        <f>IFERROR(__xludf.DUMMYFUNCTION("GOOGLETRANSLATE(B387, ""en"", ""hi"")"),"थांग-ता प्रशिक्षण के दौरान, एक प्रतिभागी स्पिनिंग स्ट्राइक के बाद एक हाई ब्लॉक करता है। स्पिनिंग स्ट्राइक के बाद हाई ब्लॉक का उद्देश्य क्या है?")</f>
        <v>थांग-ता प्रशिक्षण के दौरान, एक प्रतिभागी स्पिनिंग स्ट्राइक के बाद एक हाई ब्लॉक करता है। स्पिनिंग स्ट्राइक के बाद हाई ब्लॉक का उद्देश्य क्या है?</v>
      </c>
      <c r="H387" s="5" t="str">
        <f>IFERROR(__xludf.DUMMYFUNCTION("GOOGLETRANSLATE(C387, ""en"", ""hi"")"),"ए) आने वाले हमले से बचाव के लिए घूमते हुए प्रहार से उत्पन्न गति का उपयोग करना।, बी) चपलता प्रदर्शित करना।, सी) समय का अभ्यास करना।, डी) भ्रम पैदा करना।")</f>
        <v>ए) आने वाले हमले से बचाव के लिए घूमते हुए प्रहार से उत्पन्न गति का उपयोग करना।, बी) चपलता प्रदर्शित करना।, सी) समय का अभ्यास करना।, डी) भ्रम पैदा करना।</v>
      </c>
      <c r="I387" s="5" t="str">
        <f>IFERROR(__xludf.DUMMYFUNCTION("GOOGLETRANSLATE(D387, ""en"", ""hi"")"),"क) आने वाले हमले से बचाव के लिए घूमते हुए प्रहार से उत्पन्न गति का उपयोग करना।")</f>
        <v>क) आने वाले हमले से बचाव के लिए घूमते हुए प्रहार से उत्पन्न गति का उपयोग करना।</v>
      </c>
    </row>
    <row r="388" ht="22.5" customHeight="1">
      <c r="A388" s="2">
        <v>387.0</v>
      </c>
      <c r="B388" s="3" t="s">
        <v>13102</v>
      </c>
      <c r="C388" s="3" t="s">
        <v>13103</v>
      </c>
      <c r="D388" s="3" t="s">
        <v>13104</v>
      </c>
      <c r="F388" s="5" t="str">
        <f>IFERROR(__xludf.DUMMYFUNCTION("GOOGLETRANSLATE(A388, ""en"", ""hi"")"),"387")</f>
        <v>387</v>
      </c>
      <c r="G388" s="5" t="str">
        <f>IFERROR(__xludf.DUMMYFUNCTION("GOOGLETRANSLATE(B388, ""en"", ""hi"")"),"थांग-ता का एक छात्र विकर्ण थ्रस्ट के बाद निम्न स्वीप करता है। विकर्ण थ्रस्ट के बाद निम्न स्वीप का प्राथमिक लक्ष्य क्या है?")</f>
        <v>थांग-ता का एक छात्र विकर्ण थ्रस्ट के बाद निम्न स्वीप करता है। विकर्ण थ्रस्ट के बाद निम्न स्वीप का प्राथमिक लक्ष्य क्या है?</v>
      </c>
      <c r="H388" s="5" t="str">
        <f>IFERROR(__xludf.DUMMYFUNCTION("GOOGLETRANSLATE(C388, ""en"", ""hi"")"),"ए) विकर्ण प्रहार और नीचे से हमले से उत्पन्न अवसरों का फायदा उठाना।, बी) कौशल का प्रदर्शन करना।, सी) सटीकता का अभ्यास करना।, डी) प्रतिद्वंद्वी को भ्रमित करना।")</f>
        <v>ए) विकर्ण प्रहार और नीचे से हमले से उत्पन्न अवसरों का फायदा उठाना।, बी) कौशल का प्रदर्शन करना।, सी) सटीकता का अभ्यास करना।, डी) प्रतिद्वंद्वी को भ्रमित करना।</v>
      </c>
      <c r="I388" s="5" t="str">
        <f>IFERROR(__xludf.DUMMYFUNCTION("GOOGLETRANSLATE(D388, ""en"", ""hi"")"),"क) नीचे से विकर्ण जोर और हमले द्वारा बनाई गई खुली जगहों का फायदा उठाना।")</f>
        <v>क) नीचे से विकर्ण जोर और हमले द्वारा बनाई गई खुली जगहों का फायदा उठाना।</v>
      </c>
    </row>
    <row r="389" ht="22.5" customHeight="1">
      <c r="A389" s="2">
        <v>388.0</v>
      </c>
      <c r="B389" s="3" t="s">
        <v>13105</v>
      </c>
      <c r="C389" s="3" t="s">
        <v>13106</v>
      </c>
      <c r="D389" s="3" t="s">
        <v>13107</v>
      </c>
      <c r="F389" s="5" t="str">
        <f>IFERROR(__xludf.DUMMYFUNCTION("GOOGLETRANSLATE(A389, ""en"", ""hi"")"),"388")</f>
        <v>388</v>
      </c>
      <c r="G389" s="5" t="str">
        <f>IFERROR(__xludf.DUMMYFUNCTION("GOOGLETRANSLATE(B389, ""en"", ""hi"")"),"थांग-ता मैच में, एक अभ्यासी उच्च ब्लॉक के बाद निम्न थ्रस्ट करता है। उच्च ब्लॉक के बाद निम्न थ्रस्ट का क्या लाभ है?")</f>
        <v>थांग-ता मैच में, एक अभ्यासी उच्च ब्लॉक के बाद निम्न थ्रस्ट करता है। उच्च ब्लॉक के बाद निम्न थ्रस्ट का क्या लाभ है?</v>
      </c>
      <c r="H389" s="5" t="str">
        <f>IFERROR(__xludf.DUMMYFUNCTION("GOOGLETRANSLATE(C389, ""en"", ""hi"")"),"ए) बचाव से आक्रमण की ओर संक्रमण करना तथा निचले स्थान पर प्रहार करना।, बी) कौशल का प्रदर्शन करना।, सी) समय का अभ्यास करना।, डी) भ्रम पैदा करना।")</f>
        <v>ए) बचाव से आक्रमण की ओर संक्रमण करना तथा निचले स्थान पर प्रहार करना।, बी) कौशल का प्रदर्शन करना।, सी) समय का अभ्यास करना।, डी) भ्रम पैदा करना।</v>
      </c>
      <c r="I389" s="5" t="str">
        <f>IFERROR(__xludf.DUMMYFUNCTION("GOOGLETRANSLATE(D389, ""en"", ""hi"")"),"ए) रक्षा से आक्रमण की ओर संक्रमण करना तथा निचले स्थान पर प्रहार करना।")</f>
        <v>ए) रक्षा से आक्रमण की ओर संक्रमण करना तथा निचले स्थान पर प्रहार करना।</v>
      </c>
    </row>
    <row r="390" ht="22.5" customHeight="1">
      <c r="A390" s="2">
        <v>389.0</v>
      </c>
      <c r="B390" s="3" t="s">
        <v>13108</v>
      </c>
      <c r="C390" s="3" t="s">
        <v>13109</v>
      </c>
      <c r="D390" s="3" t="s">
        <v>12768</v>
      </c>
      <c r="F390" s="5" t="str">
        <f>IFERROR(__xludf.DUMMYFUNCTION("GOOGLETRANSLATE(A390, ""en"", ""hi"")"),"389")</f>
        <v>389</v>
      </c>
      <c r="G390" s="5" t="str">
        <f>IFERROR(__xludf.DUMMYFUNCTION("GOOGLETRANSLATE(B390, ""en"", ""hi"")"),"थांग-ता प्रशिक्षण के दौरान, प्रतिभागी तेज़ी से ऊपर की ओर कट्स की एक श्रृंखला करता है। इन ऊपर की ओर कट्स का उद्देश्य क्या है?")</f>
        <v>थांग-ता प्रशिक्षण के दौरान, प्रतिभागी तेज़ी से ऊपर की ओर कट्स की एक श्रृंखला करता है। इन ऊपर की ओर कट्स का उद्देश्य क्या है?</v>
      </c>
      <c r="H390" s="5" t="str">
        <f>IFERROR(__xludf.DUMMYFUNCTION("GOOGLETRANSLATE(C390, ""en"", ""hi"")"),"A) ऊपर से दबाव डालना और प्रतिद्वंद्वी को रक्षात्मक रुख अपनाने के लिए मजबूर करना।, B) कौशल का प्रदर्शन करना।, C) सटीकता का अभ्यास करना।, D) भ्रम पैदा करना।")</f>
        <v>A) ऊपर से दबाव डालना और प्रतिद्वंद्वी को रक्षात्मक रुख अपनाने के लिए मजबूर करना।, B) कौशल का प्रदर्शन करना।, C) सटीकता का अभ्यास करना।, D) भ्रम पैदा करना।</v>
      </c>
      <c r="I390" s="5" t="str">
        <f>IFERROR(__xludf.DUMMYFUNCTION("GOOGLETRANSLATE(D390, ""en"", ""hi"")"),"क) ऊपर से दबाव डालना और प्रतिद्वंद्वी को रक्षात्मक रुख अपनाने पर मजबूर करना।")</f>
        <v>क) ऊपर से दबाव डालना और प्रतिद्वंद्वी को रक्षात्मक रुख अपनाने पर मजबूर करना।</v>
      </c>
    </row>
    <row r="391" ht="22.5" customHeight="1">
      <c r="A391" s="2">
        <v>390.0</v>
      </c>
      <c r="B391" s="3" t="s">
        <v>13110</v>
      </c>
      <c r="C391" s="3" t="s">
        <v>13111</v>
      </c>
      <c r="D391" s="3" t="s">
        <v>13112</v>
      </c>
      <c r="F391" s="5" t="str">
        <f>IFERROR(__xludf.DUMMYFUNCTION("GOOGLETRANSLATE(A391, ""en"", ""hi"")"),"390")</f>
        <v>390</v>
      </c>
      <c r="G391" s="5" t="str">
        <f>IFERROR(__xludf.DUMMYFUNCTION("GOOGLETRANSLATE(B391, ""en"", ""hi"")"),"थांग-ता का अभ्यासी हाई कट के बाद लो ब्लॉक करता है। हाई कट के बाद लो ब्लॉक का मुख्य लाभ क्या है?")</f>
        <v>थांग-ता का अभ्यासी हाई कट के बाद लो ब्लॉक करता है। हाई कट के बाद लो ब्लॉक का मुख्य लाभ क्या है?</v>
      </c>
      <c r="H391" s="5" t="str">
        <f>IFERROR(__xludf.DUMMYFUNCTION("GOOGLETRANSLATE(C391, ""en"", ""hi"")"),"ए) आक्रमण से बचाव की ओर संक्रमण करना और संभावित जवाबी हमले से बचाव करना।, बी) कौशल का प्रदर्शन करना।, सी) समय का अभ्यास करना।, डी) प्रतिद्वंद्वी को भ्रमित करना।")</f>
        <v>ए) आक्रमण से बचाव की ओर संक्रमण करना और संभावित जवाबी हमले से बचाव करना।, बी) कौशल का प्रदर्शन करना।, सी) समय का अभ्यास करना।, डी) प्रतिद्वंद्वी को भ्रमित करना।</v>
      </c>
      <c r="I391" s="5" t="str">
        <f>IFERROR(__xludf.DUMMYFUNCTION("GOOGLETRANSLATE(D391, ""en"", ""hi"")"),"क) आक्रमण से बचाव की ओर संक्रमण करना तथा संभावित जवाबी हमले से बचाव करना।")</f>
        <v>क) आक्रमण से बचाव की ओर संक्रमण करना तथा संभावित जवाबी हमले से बचाव करना।</v>
      </c>
    </row>
    <row r="392" ht="22.5" customHeight="1">
      <c r="A392" s="2">
        <v>391.0</v>
      </c>
      <c r="B392" s="3" t="s">
        <v>13113</v>
      </c>
      <c r="C392" s="3" t="s">
        <v>13114</v>
      </c>
      <c r="D392" s="3" t="s">
        <v>13115</v>
      </c>
      <c r="F392" s="5" t="str">
        <f>IFERROR(__xludf.DUMMYFUNCTION("GOOGLETRANSLATE(A392, ""en"", ""hi"")"),"391")</f>
        <v>391</v>
      </c>
      <c r="G392" s="5" t="str">
        <f>IFERROR(__xludf.DUMMYFUNCTION("GOOGLETRANSLATE(B392, ""en"", ""hi"")"),"थांग-ता में, एक छात्र विकर्ण कट के बाद त्वरित वापसी करता है। विकर्ण कट के बाद वापसी का क्या लाभ है?")</f>
        <v>थांग-ता में, एक छात्र विकर्ण कट के बाद त्वरित वापसी करता है। विकर्ण कट के बाद वापसी का क्या लाभ है?</v>
      </c>
      <c r="H392" s="5" t="str">
        <f>IFERROR(__xludf.DUMMYFUNCTION("GOOGLETRANSLATE(C392, ""en"", ""hi"")"),"A) दूरी बनाने और संभावित जवाबी हमलों से बचने के लिए, B) चपलता दिखाने के लिए, C) समय का अभ्यास करने के लिए, D) प्रतिद्वंद्वी को भ्रमित करने के लिए।")</f>
        <v>A) दूरी बनाने और संभावित जवाबी हमलों से बचने के लिए, B) चपलता दिखाने के लिए, C) समय का अभ्यास करने के लिए, D) प्रतिद्वंद्वी को भ्रमित करने के लिए।</v>
      </c>
      <c r="I392" s="5" t="str">
        <f>IFERROR(__xludf.DUMMYFUNCTION("GOOGLETRANSLATE(D392, ""en"", ""hi"")"),"क) दूरी बनाना और संभावित जवाबी हमलों से बचना।")</f>
        <v>क) दूरी बनाना और संभावित जवाबी हमलों से बचना।</v>
      </c>
    </row>
    <row r="393" ht="22.5" customHeight="1">
      <c r="A393" s="2">
        <v>392.0</v>
      </c>
      <c r="B393" s="3" t="s">
        <v>13116</v>
      </c>
      <c r="C393" s="3" t="s">
        <v>12949</v>
      </c>
      <c r="D393" s="3" t="s">
        <v>12924</v>
      </c>
      <c r="F393" s="5" t="str">
        <f>IFERROR(__xludf.DUMMYFUNCTION("GOOGLETRANSLATE(A393, ""en"", ""hi"")"),"392")</f>
        <v>392</v>
      </c>
      <c r="G393" s="5" t="str">
        <f>IFERROR(__xludf.DUMMYFUNCTION("GOOGLETRANSLATE(B393, ""en"", ""hi"")"),"थांग-ता मैच के दौरान, एक प्रतिभागी लो स्वीप के बाद हाई थ्रस्ट करता है। लो स्वीप के बाद हाई थ्रस्ट का उद्देश्य क्या है?")</f>
        <v>थांग-ता मैच के दौरान, एक प्रतिभागी लो स्वीप के बाद हाई थ्रस्ट करता है। लो स्वीप के बाद हाई थ्रस्ट का उद्देश्य क्या है?</v>
      </c>
      <c r="H393" s="5" t="str">
        <f>IFERROR(__xludf.DUMMYFUNCTION("GOOGLETRANSLATE(C393, ""en"", ""hi"")"),"A) प्रतिद्वंद्वी के लो गार्ड का लाभ उठाना और ऊपर से वार करना।, B) कौशल का प्रदर्शन करना।, C) समय का अभ्यास करना।, D) प्रतिद्वंद्वी को भ्रमित करना।")</f>
        <v>A) प्रतिद्वंद्वी के लो गार्ड का लाभ उठाना और ऊपर से वार करना।, B) कौशल का प्रदर्शन करना।, C) समय का अभ्यास करना।, D) प्रतिद्वंद्वी को भ्रमित करना।</v>
      </c>
      <c r="I393" s="5" t="str">
        <f>IFERROR(__xludf.DUMMYFUNCTION("GOOGLETRANSLATE(D393, ""en"", ""hi"")"),"ए) प्रतिद्वंद्वी के लो गार्ड का फायदा उठाना और ऊपर से वार करना।")</f>
        <v>ए) प्रतिद्वंद्वी के लो गार्ड का फायदा उठाना और ऊपर से वार करना।</v>
      </c>
    </row>
    <row r="394" ht="22.5" customHeight="1">
      <c r="A394" s="2">
        <v>393.0</v>
      </c>
      <c r="B394" s="3" t="s">
        <v>13117</v>
      </c>
      <c r="C394" s="3" t="s">
        <v>13118</v>
      </c>
      <c r="D394" s="3" t="s">
        <v>13119</v>
      </c>
      <c r="F394" s="5" t="str">
        <f>IFERROR(__xludf.DUMMYFUNCTION("GOOGLETRANSLATE(A394, ""en"", ""hi"")"),"393")</f>
        <v>393</v>
      </c>
      <c r="G394" s="5" t="str">
        <f>IFERROR(__xludf.DUMMYFUNCTION("GOOGLETRANSLATE(B394, ""en"", ""hi"")"),"एक थांग-ता छात्र स्पिनिंग कट के बाद हाई ब्लॉक करता है। स्पिनिंग कट के बाद हाई ब्लॉक का क्या फायदा है?")</f>
        <v>एक थांग-ता छात्र स्पिनिंग कट के बाद हाई ब्लॉक करता है। स्पिनिंग कट के बाद हाई ब्लॉक का क्या फायदा है?</v>
      </c>
      <c r="H394" s="5" t="str">
        <f>IFERROR(__xludf.DUMMYFUNCTION("GOOGLETRANSLATE(C394, ""en"", ""hi"")"),"ए) आने वाले हमले से बचाव के लिए घूमते हुए कट से प्राप्त गति का उपयोग करना।, बी) चपलता प्रदर्शित करना।, सी) समय का अभ्यास करना।, डी) भ्रम पैदा करना।")</f>
        <v>ए) आने वाले हमले से बचाव के लिए घूमते हुए कट से प्राप्त गति का उपयोग करना।, बी) चपलता प्रदर्शित करना।, सी) समय का अभ्यास करना।, डी) भ्रम पैदा करना।</v>
      </c>
      <c r="I394" s="5" t="str">
        <f>IFERROR(__xludf.DUMMYFUNCTION("GOOGLETRANSLATE(D394, ""en"", ""hi"")"),"क) आने वाले हमले से बचाव के लिए घूमते हुए कट से उत्पन्न गति का उपयोग करना।")</f>
        <v>क) आने वाले हमले से बचाव के लिए घूमते हुए कट से उत्पन्न गति का उपयोग करना।</v>
      </c>
    </row>
    <row r="395" ht="22.5" customHeight="1">
      <c r="A395" s="2">
        <v>394.0</v>
      </c>
      <c r="B395" s="3" t="s">
        <v>13120</v>
      </c>
      <c r="C395" s="3" t="s">
        <v>13121</v>
      </c>
      <c r="D395" s="3" t="s">
        <v>13122</v>
      </c>
      <c r="F395" s="5" t="str">
        <f>IFERROR(__xludf.DUMMYFUNCTION("GOOGLETRANSLATE(A395, ""en"", ""hi"")"),"394")</f>
        <v>394</v>
      </c>
      <c r="G395" s="5" t="str">
        <f>IFERROR(__xludf.DUMMYFUNCTION("GOOGLETRANSLATE(B395, ""en"", ""hi"")"),"थांग-ता में, अभ्यासी उच्च थ्रस्ट के बाद निम्न कट करता है। उच्च थ्रस्ट के बाद निम्न कट का मुख्य लाभ क्या है?")</f>
        <v>थांग-ता में, अभ्यासी उच्च थ्रस्ट के बाद निम्न कट करता है। उच्च थ्रस्ट के बाद निम्न कट का मुख्य लाभ क्या है?</v>
      </c>
      <c r="H395" s="5" t="str">
        <f>IFERROR(__xludf.DUMMYFUNCTION("GOOGLETRANSLATE(C395, ""en"", ""hi"")"),"A) उच्च जोर और नीचे से प्रहार द्वारा बनाए गए अवसरों का फायदा उठाने के लिए, B) कौशल का प्रदर्शन करने के लिए, C) समय का अभ्यास करने के लिए, D) भ्रम पैदा करने के लिए।")</f>
        <v>A) उच्च जोर और नीचे से प्रहार द्वारा बनाए गए अवसरों का फायदा उठाने के लिए, B) कौशल का प्रदर्शन करने के लिए, C) समय का अभ्यास करने के लिए, D) भ्रम पैदा करने के लिए।</v>
      </c>
      <c r="I395" s="5" t="str">
        <f>IFERROR(__xludf.DUMMYFUNCTION("GOOGLETRANSLATE(D395, ""en"", ""hi"")"),"क) नीचे से उच्च दबाव और प्रहार द्वारा उत्पन्न खुले स्थानों का लाभ उठाना।")</f>
        <v>क) नीचे से उच्च दबाव और प्रहार द्वारा उत्पन्न खुले स्थानों का लाभ उठाना।</v>
      </c>
    </row>
    <row r="396" ht="22.5" customHeight="1">
      <c r="A396" s="2">
        <v>395.0</v>
      </c>
      <c r="B396" s="3" t="s">
        <v>13123</v>
      </c>
      <c r="C396" s="3" t="s">
        <v>12727</v>
      </c>
      <c r="D396" s="3" t="s">
        <v>12728</v>
      </c>
      <c r="F396" s="5" t="str">
        <f>IFERROR(__xludf.DUMMYFUNCTION("GOOGLETRANSLATE(A396, ""en"", ""hi"")"),"395")</f>
        <v>395</v>
      </c>
      <c r="G396" s="5" t="str">
        <f>IFERROR(__xludf.DUMMYFUNCTION("GOOGLETRANSLATE(B396, ""en"", ""hi"")"),"थांग-ता प्रशिक्षण के दौरान, एक छात्र एक निम्न ब्लॉक के बाद एक विकर्ण कट करता है। निम्न ब्लॉक के बाद विकर्ण कट का उद्देश्य क्या है?")</f>
        <v>थांग-ता प्रशिक्षण के दौरान, एक छात्र एक निम्न ब्लॉक के बाद एक विकर्ण कट करता है। निम्न ब्लॉक के बाद विकर्ण कट का उद्देश्य क्या है?</v>
      </c>
      <c r="H396" s="5" t="str">
        <f>IFERROR(__xludf.DUMMYFUNCTION("GOOGLETRANSLATE(C396, ""en"", ""hi"")"),"ए) बचाव से आक्रमण और कोण से आक्रमण में परिवर्तन करना।, बी) कौशल का प्रदर्शन करना।, सी) समय का अभ्यास करना।, डी) प्रतिद्वंद्वी को भ्रमित करना।")</f>
        <v>ए) बचाव से आक्रमण और कोण से आक्रमण में परिवर्तन करना।, बी) कौशल का प्रदर्शन करना।, सी) समय का अभ्यास करना।, डी) प्रतिद्वंद्वी को भ्रमित करना।</v>
      </c>
      <c r="I396" s="5" t="str">
        <f>IFERROR(__xludf.DUMMYFUNCTION("GOOGLETRANSLATE(D396, ""en"", ""hi"")"),"क) रक्षा से आक्रमण और कोण से आक्रमण की ओर संक्रमण करना।")</f>
        <v>क) रक्षा से आक्रमण और कोण से आक्रमण की ओर संक्रमण करना।</v>
      </c>
    </row>
    <row r="397" ht="22.5" customHeight="1">
      <c r="A397" s="2">
        <v>396.0</v>
      </c>
      <c r="B397" s="3" t="s">
        <v>13124</v>
      </c>
      <c r="C397" s="3" t="s">
        <v>13125</v>
      </c>
      <c r="D397" s="3" t="s">
        <v>13071</v>
      </c>
      <c r="F397" s="5" t="str">
        <f>IFERROR(__xludf.DUMMYFUNCTION("GOOGLETRANSLATE(A397, ""en"", ""hi"")"),"396")</f>
        <v>396</v>
      </c>
      <c r="G397" s="5" t="str">
        <f>IFERROR(__xludf.DUMMYFUNCTION("GOOGLETRANSLATE(B397, ""en"", ""hi"")"),"थांग-ता का अभ्यासी पहले एक उच्च अवरोध के बाद एक निम्न आघात करता है। इस क्रम का प्राथमिक लक्ष्य क्या है?")</f>
        <v>थांग-ता का अभ्यासी पहले एक उच्च अवरोध के बाद एक निम्न आघात करता है। इस क्रम का प्राथमिक लक्ष्य क्या है?</v>
      </c>
      <c r="H397" s="5" t="str">
        <f>IFERROR(__xludf.DUMMYFUNCTION("GOOGLETRANSLATE(C397, ""en"", ""hi"")"),"ए) ऊपरी हमले को बेअसर करने के लिए और फिर निचले स्थान पर प्रहार करने के लिए।, बी) गति दिखाने के लिए।, सी) सटीकता का अभ्यास करने के लिए।, डी) प्रतिद्वंद्वी को भ्रमित करने के लिए।")</f>
        <v>ए) ऊपरी हमले को बेअसर करने के लिए और फिर निचले स्थान पर प्रहार करने के लिए।, बी) गति दिखाने के लिए।, सी) सटीकता का अभ्यास करने के लिए।, डी) प्रतिद्वंद्वी को भ्रमित करने के लिए।</v>
      </c>
      <c r="I397" s="5" t="str">
        <f>IFERROR(__xludf.DUMMYFUNCTION("GOOGLETRANSLATE(D397, ""en"", ""hi"")"),"क) ऊपरी हमले को बेअसर करना और फिर निचले स्थान पर प्रहार करना।")</f>
        <v>क) ऊपरी हमले को बेअसर करना और फिर निचले स्थान पर प्रहार करना।</v>
      </c>
    </row>
    <row r="398" ht="22.5" customHeight="1">
      <c r="A398" s="2">
        <v>397.0</v>
      </c>
      <c r="B398" s="3" t="s">
        <v>13126</v>
      </c>
      <c r="C398" s="3" t="s">
        <v>13127</v>
      </c>
      <c r="D398" s="3" t="s">
        <v>13089</v>
      </c>
      <c r="F398" s="5" t="str">
        <f>IFERROR(__xludf.DUMMYFUNCTION("GOOGLETRANSLATE(A398, ""en"", ""hi"")"),"397")</f>
        <v>397</v>
      </c>
      <c r="G398" s="5" t="str">
        <f>IFERROR(__xludf.DUMMYFUNCTION("GOOGLETRANSLATE(B398, ""en"", ""hi"")"),"थांग-ता में, एक छात्र विकर्ण कट के बाद एक त्वरित साइडस्टेप करता है। विकर्ण कट के बाद साइडस्टेप का क्या लाभ है?")</f>
        <v>थांग-ता में, एक छात्र विकर्ण कट के बाद एक त्वरित साइडस्टेप करता है। विकर्ण कट के बाद साइडस्टेप का क्या लाभ है?</v>
      </c>
      <c r="H398" s="5" t="str">
        <f>IFERROR(__xludf.DUMMYFUNCTION("GOOGLETRANSLATE(C398, ""en"", ""hi"")"),"क) जवाबी हमले से बचने के लिए तथा अधिक प्रभावी अनुवर्ती चाल के लिए पुनः स्थिति में आना।, ख) चपलता प्रदर्शित करना।, ग) समय का अभ्यास करना।, घ) प्रतिद्वंद्वी को भ्रमित करना।")</f>
        <v>क) जवाबी हमले से बचने के लिए तथा अधिक प्रभावी अनुवर्ती चाल के लिए पुनः स्थिति में आना।, ख) चपलता प्रदर्शित करना।, ग) समय का अभ्यास करना।, घ) प्रतिद्वंद्वी को भ्रमित करना।</v>
      </c>
      <c r="I398" s="5" t="str">
        <f>IFERROR(__xludf.DUMMYFUNCTION("GOOGLETRANSLATE(D398, ""en"", ""hi"")"),"क) जवाबी हमले से बचने के लिए तथा अधिक प्रभावी अनुवर्ती कार्रवाई के लिए पुनः स्थिति में आना।")</f>
        <v>क) जवाबी हमले से बचने के लिए तथा अधिक प्रभावी अनुवर्ती कार्रवाई के लिए पुनः स्थिति में आना।</v>
      </c>
    </row>
    <row r="399" ht="22.5" customHeight="1">
      <c r="A399" s="2">
        <v>398.0</v>
      </c>
      <c r="B399" s="3" t="s">
        <v>13128</v>
      </c>
      <c r="C399" s="3" t="s">
        <v>13129</v>
      </c>
      <c r="D399" s="3" t="s">
        <v>13112</v>
      </c>
      <c r="F399" s="5" t="str">
        <f>IFERROR(__xludf.DUMMYFUNCTION("GOOGLETRANSLATE(A399, ""en"", ""hi"")"),"398")</f>
        <v>398</v>
      </c>
      <c r="G399" s="5" t="str">
        <f>IFERROR(__xludf.DUMMYFUNCTION("GOOGLETRANSLATE(B399, ""en"", ""hi"")"),"थांग-ता मैच के दौरान, एक प्रतिभागी हाई कट के बाद लो ब्लॉक करता है। हाई कट के बाद लो ब्लॉक का क्या फायदा है?")</f>
        <v>थांग-ता मैच के दौरान, एक प्रतिभागी हाई कट के बाद लो ब्लॉक करता है। हाई कट के बाद लो ब्लॉक का क्या फायदा है?</v>
      </c>
      <c r="H399" s="5" t="str">
        <f>IFERROR(__xludf.DUMMYFUNCTION("GOOGLETRANSLATE(C399, ""en"", ""hi"")"),"ए) आक्रमण से बचाव की ओर संक्रमण करना और संभावित जवाबी हमले से बचाव करना।, बी) कौशल का प्रदर्शन करना।, सी) समय का अभ्यास करना।, डी) भ्रम पैदा करना।")</f>
        <v>ए) आक्रमण से बचाव की ओर संक्रमण करना और संभावित जवाबी हमले से बचाव करना।, बी) कौशल का प्रदर्शन करना।, सी) समय का अभ्यास करना।, डी) भ्रम पैदा करना।</v>
      </c>
      <c r="I399" s="5" t="str">
        <f>IFERROR(__xludf.DUMMYFUNCTION("GOOGLETRANSLATE(D399, ""en"", ""hi"")"),"क) आक्रमण से बचाव की ओर संक्रमण करना तथा संभावित जवाबी हमले से बचाव करना।")</f>
        <v>क) आक्रमण से बचाव की ओर संक्रमण करना तथा संभावित जवाबी हमले से बचाव करना।</v>
      </c>
    </row>
    <row r="400" ht="22.5" customHeight="1">
      <c r="A400" s="2">
        <v>399.0</v>
      </c>
      <c r="B400" s="3" t="s">
        <v>13130</v>
      </c>
      <c r="C400" s="3" t="s">
        <v>13131</v>
      </c>
      <c r="D400" s="3" t="s">
        <v>13132</v>
      </c>
      <c r="F400" s="5" t="str">
        <f>IFERROR(__xludf.DUMMYFUNCTION("GOOGLETRANSLATE(A400, ""en"", ""hi"")"),"399")</f>
        <v>399</v>
      </c>
      <c r="G400" s="5" t="str">
        <f>IFERROR(__xludf.DUMMYFUNCTION("GOOGLETRANSLATE(B400, ""en"", ""hi"")"),"एक थांग-ता छात्र एक स्पिनिंग स्ट्राइक के बाद एक उच्च थ्रस्ट करता है। स्पिनिंग स्ट्राइक के बाद उच्च थ्रस्ट का मुख्य उद्देश्य क्या है?")</f>
        <v>एक थांग-ता छात्र एक स्पिनिंग स्ट्राइक के बाद एक उच्च थ्रस्ट करता है। स्पिनिंग स्ट्राइक के बाद उच्च थ्रस्ट का मुख्य उद्देश्य क्या है?</v>
      </c>
      <c r="H400" s="5" t="str">
        <f>IFERROR(__xludf.DUMMYFUNCTION("GOOGLETRANSLATE(C400, ""en"", ""hi"")"),"क) शक्तिशाली प्रहार करने के लिए घूमते हुए प्रहार से उत्पन्न गति का उपयोग करना।, ख) चपलता प्रदर्शित करना।, ग) सटीकता का अभ्यास करना।, घ) भ्रम पैदा करना।")</f>
        <v>क) शक्तिशाली प्रहार करने के लिए घूमते हुए प्रहार से उत्पन्न गति का उपयोग करना।, ख) चपलता प्रदर्शित करना।, ग) सटीकता का अभ्यास करना।, घ) भ्रम पैदा करना।</v>
      </c>
      <c r="I400" s="5" t="str">
        <f>IFERROR(__xludf.DUMMYFUNCTION("GOOGLETRANSLATE(D400, ""en"", ""hi"")"),"क) शक्तिशाली प्रहार करने के लिए घूमते हुए प्रहार से उत्पन्न गति का उपयोग करना।")</f>
        <v>क) शक्तिशाली प्रहार करने के लिए घूमते हुए प्रहार से उत्पन्न गति का उपयोग करना।</v>
      </c>
    </row>
    <row r="401" ht="22.5" customHeight="1">
      <c r="A401" s="2">
        <v>400.0</v>
      </c>
      <c r="B401" s="3" t="s">
        <v>13133</v>
      </c>
      <c r="C401" s="3" t="s">
        <v>13134</v>
      </c>
      <c r="D401" s="3" t="s">
        <v>13135</v>
      </c>
      <c r="F401" s="5" t="str">
        <f>IFERROR(__xludf.DUMMYFUNCTION("GOOGLETRANSLATE(A401, ""en"", ""hi"")"),"400")</f>
        <v>400</v>
      </c>
      <c r="G401" s="5" t="str">
        <f>IFERROR(__xludf.DUMMYFUNCTION("GOOGLETRANSLATE(B401, ""en"", ""hi"")"),"थांग-ता में, अभ्यासी एक निम्न स्वीप के बाद एक विकर्ण थ्रस्ट करता है। निम्न स्वीप के बाद विकर्ण थ्रस्ट का प्राथमिक लक्ष्य क्या है?")</f>
        <v>थांग-ता में, अभ्यासी एक निम्न स्वीप के बाद एक विकर्ण थ्रस्ट करता है। निम्न स्वीप के बाद विकर्ण थ्रस्ट का प्राथमिक लक्ष्य क्या है?</v>
      </c>
      <c r="H401" s="5" t="str">
        <f>IFERROR(__xludf.DUMMYFUNCTION("GOOGLETRANSLATE(C401, ""en"", ""hi"")"),"ए) कम स्वीप और कोण से प्रहार द्वारा बनाए गए अवसरों का फायदा उठाने के लिए, बी) कौशल का प्रदर्शन करने के लिए, सी) समय का अभ्यास करने के लिए, डी) प्रतिद्वंद्वी को भ्रमित करने के लिए।")</f>
        <v>ए) कम स्वीप और कोण से प्रहार द्वारा बनाए गए अवसरों का फायदा उठाने के लिए, बी) कौशल का प्रदर्शन करने के लिए, सी) समय का अभ्यास करने के लिए, डी) प्रतिद्वंद्वी को भ्रमित करने के लिए।</v>
      </c>
      <c r="I401" s="5" t="str">
        <f>IFERROR(__xludf.DUMMYFUNCTION("GOOGLETRANSLATE(D401, ""en"", ""hi"")"),"ए) कम स्वीप और कोण से प्रहार द्वारा बनाए गए अवसरों का फायदा उठाना।")</f>
        <v>ए) कम स्वीप और कोण से प्रहार द्वारा बनाए गए अवसरों का फायदा उठाना।</v>
      </c>
    </row>
    <row r="402" ht="22.5" customHeight="1">
      <c r="A402" s="2">
        <v>401.0</v>
      </c>
      <c r="B402" s="3" t="s">
        <v>13136</v>
      </c>
      <c r="C402" s="3" t="s">
        <v>13137</v>
      </c>
      <c r="D402" s="3" t="s">
        <v>12728</v>
      </c>
      <c r="F402" s="5" t="str">
        <f>IFERROR(__xludf.DUMMYFUNCTION("GOOGLETRANSLATE(A402, ""en"", ""hi"")"),"401")</f>
        <v>401</v>
      </c>
      <c r="G402" s="5" t="str">
        <f>IFERROR(__xludf.DUMMYFUNCTION("GOOGLETRANSLATE(B402, ""en"", ""hi"")"),"थांग-ता प्रशिक्षण के दौरान, एक छात्र एक उच्च ब्लॉक के बाद एक विकर्ण कट करता है। उच्च ब्लॉक के बाद विकर्ण कट का क्या लाभ है?")</f>
        <v>थांग-ता प्रशिक्षण के दौरान, एक छात्र एक उच्च ब्लॉक के बाद एक विकर्ण कट करता है। उच्च ब्लॉक के बाद विकर्ण कट का क्या लाभ है?</v>
      </c>
      <c r="H402" s="5" t="str">
        <f>IFERROR(__xludf.DUMMYFUNCTION("GOOGLETRANSLATE(C402, ""en"", ""hi"")"),"ए) बचाव से आक्रमण और कोण से आक्रमण में परिवर्तन करना।, बी) चपलता प्रदर्शित करना।, सी) समय का अभ्यास करना।, डी) प्रतिद्वंद्वी को भ्रमित करना।")</f>
        <v>ए) बचाव से आक्रमण और कोण से आक्रमण में परिवर्तन करना।, बी) चपलता प्रदर्शित करना।, सी) समय का अभ्यास करना।, डी) प्रतिद्वंद्वी को भ्रमित करना।</v>
      </c>
      <c r="I402" s="5" t="str">
        <f>IFERROR(__xludf.DUMMYFUNCTION("GOOGLETRANSLATE(D402, ""en"", ""hi"")"),"क) रक्षा से आक्रमण और कोण से आक्रमण की ओर संक्रमण करना।")</f>
        <v>क) रक्षा से आक्रमण और कोण से आक्रमण की ओर संक्रमण करना।</v>
      </c>
    </row>
    <row r="403" ht="22.5" customHeight="1">
      <c r="A403" s="2">
        <v>402.0</v>
      </c>
      <c r="B403" s="3" t="s">
        <v>13138</v>
      </c>
      <c r="C403" s="3" t="s">
        <v>13139</v>
      </c>
      <c r="D403" s="3" t="s">
        <v>13074</v>
      </c>
      <c r="F403" s="5" t="str">
        <f>IFERROR(__xludf.DUMMYFUNCTION("GOOGLETRANSLATE(A403, ""en"", ""hi"")"),"402")</f>
        <v>402</v>
      </c>
      <c r="G403" s="5" t="str">
        <f>IFERROR(__xludf.DUMMYFUNCTION("GOOGLETRANSLATE(B403, ""en"", ""hi"")"),"थांग-ता का अभ्यासी एक विकर्ण कट के बाद एक त्वरित वापसी करता है। विकर्ण कट के बाद वापसी का मुख्य उद्देश्य क्या है?")</f>
        <v>थांग-ता का अभ्यासी एक विकर्ण कट के बाद एक त्वरित वापसी करता है। विकर्ण कट के बाद वापसी का मुख्य उद्देश्य क्या है?</v>
      </c>
      <c r="H403" s="5" t="str">
        <f>IFERROR(__xludf.DUMMYFUNCTION("GOOGLETRANSLATE(C403, ""en"", ""hi"")"),"A) दूरी बनाने और संभावित जवाबी हमलों से बचने के लिए, B) कौशल दिखाने के लिए, C) समय का अभ्यास करने के लिए, D) प्रतिद्वंद्वी को भ्रमित करने के लिए।")</f>
        <v>A) दूरी बनाने और संभावित जवाबी हमलों से बचने के लिए, B) कौशल दिखाने के लिए, C) समय का अभ्यास करने के लिए, D) प्रतिद्वंद्वी को भ्रमित करने के लिए।</v>
      </c>
      <c r="I403" s="5" t="str">
        <f>IFERROR(__xludf.DUMMYFUNCTION("GOOGLETRANSLATE(D403, ""en"", ""hi"")"),"क) दूरी बनाना और संभावित जवाबी हमलों से बचना।")</f>
        <v>क) दूरी बनाना और संभावित जवाबी हमलों से बचना।</v>
      </c>
    </row>
    <row r="404" ht="22.5" customHeight="1">
      <c r="A404" s="2">
        <v>403.0</v>
      </c>
      <c r="B404" s="3" t="s">
        <v>13140</v>
      </c>
      <c r="C404" s="3" t="s">
        <v>13129</v>
      </c>
      <c r="D404" s="3" t="s">
        <v>13112</v>
      </c>
      <c r="F404" s="5" t="str">
        <f>IFERROR(__xludf.DUMMYFUNCTION("GOOGLETRANSLATE(A404, ""en"", ""hi"")"),"403")</f>
        <v>403</v>
      </c>
      <c r="G404" s="5" t="str">
        <f>IFERROR(__xludf.DUMMYFUNCTION("GOOGLETRANSLATE(B404, ""en"", ""hi"")"),"थांग-ता में, प्रतिभागी उच्च थ्रस्ट के बाद निम्न ब्लॉक करता है। उच्च थ्रस्ट के बाद निम्न ब्लॉक का मुख्य लाभ क्या है?")</f>
        <v>थांग-ता में, प्रतिभागी उच्च थ्रस्ट के बाद निम्न ब्लॉक करता है। उच्च थ्रस्ट के बाद निम्न ब्लॉक का मुख्य लाभ क्या है?</v>
      </c>
      <c r="H404" s="5" t="str">
        <f>IFERROR(__xludf.DUMMYFUNCTION("GOOGLETRANSLATE(C404, ""en"", ""hi"")"),"ए) आक्रमण से बचाव की ओर संक्रमण करना और संभावित जवाबी हमले से बचाव करना।, बी) कौशल का प्रदर्शन करना।, सी) समय का अभ्यास करना।, डी) भ्रम पैदा करना।")</f>
        <v>ए) आक्रमण से बचाव की ओर संक्रमण करना और संभावित जवाबी हमले से बचाव करना।, बी) कौशल का प्रदर्शन करना।, सी) समय का अभ्यास करना।, डी) भ्रम पैदा करना।</v>
      </c>
      <c r="I404" s="5" t="str">
        <f>IFERROR(__xludf.DUMMYFUNCTION("GOOGLETRANSLATE(D404, ""en"", ""hi"")"),"क) आक्रमण से बचाव की ओर संक्रमण करना तथा संभावित जवाबी हमले से बचाव करना।")</f>
        <v>क) आक्रमण से बचाव की ओर संक्रमण करना तथा संभावित जवाबी हमले से बचाव करना।</v>
      </c>
    </row>
    <row r="405" ht="22.5" customHeight="1">
      <c r="A405" s="2">
        <v>404.0</v>
      </c>
      <c r="B405" s="3" t="s">
        <v>13141</v>
      </c>
      <c r="C405" s="3" t="s">
        <v>13142</v>
      </c>
      <c r="D405" s="3" t="s">
        <v>13143</v>
      </c>
      <c r="F405" s="5" t="str">
        <f>IFERROR(__xludf.DUMMYFUNCTION("GOOGLETRANSLATE(A405, ""en"", ""hi"")"),"404")</f>
        <v>404</v>
      </c>
      <c r="G405" s="5" t="str">
        <f>IFERROR(__xludf.DUMMYFUNCTION("GOOGLETRANSLATE(B405, ""en"", ""hi"")"),"थांग-ता मुकाबले के दौरान, एक अभ्यासकर्ता लो कट के बाद स्पिनिंग स्ट्राइक करता है। लो कट के बाद स्पिनिंग स्ट्राइक का मुख्य उद्देश्य क्या है?")</f>
        <v>थांग-ता मुकाबले के दौरान, एक अभ्यासकर्ता लो कट के बाद स्पिनिंग स्ट्राइक करता है। लो कट के बाद स्पिनिंग स्ट्राइक का मुख्य उद्देश्य क्या है?</v>
      </c>
      <c r="H405" s="5" t="str">
        <f>IFERROR(__xludf.DUMMYFUNCTION("GOOGLETRANSLATE(C405, ""en"", ""hi"")"),"ए) एक अलग कोण से शक्तिशाली हमले के लिए कम कट से गति का उपयोग करना।, बी) कौशल का प्रदर्शन करना।, सी) सटीकता का अभ्यास करना।, डी) प्रतिद्वंद्वी को भ्रमित करना।")</f>
        <v>ए) एक अलग कोण से शक्तिशाली हमले के लिए कम कट से गति का उपयोग करना।, बी) कौशल का प्रदर्शन करना।, सी) सटीकता का अभ्यास करना।, डी) प्रतिद्वंद्वी को भ्रमित करना।</v>
      </c>
      <c r="I405" s="5" t="str">
        <f>IFERROR(__xludf.DUMMYFUNCTION("GOOGLETRANSLATE(D405, ""en"", ""hi"")"),"क) निम्न कट से प्राप्त गति का उपयोग भिन्न कोण से शक्तिशाली आक्रमण के लिए करना।")</f>
        <v>क) निम्न कट से प्राप्त गति का उपयोग भिन्न कोण से शक्तिशाली आक्रमण के लिए करना।</v>
      </c>
    </row>
    <row r="406" ht="22.5" customHeight="1">
      <c r="A406" s="2">
        <v>405.0</v>
      </c>
      <c r="B406" s="3" t="s">
        <v>13144</v>
      </c>
      <c r="C406" s="3" t="s">
        <v>13006</v>
      </c>
      <c r="D406" s="3" t="s">
        <v>13007</v>
      </c>
      <c r="F406" s="5" t="str">
        <f>IFERROR(__xludf.DUMMYFUNCTION("GOOGLETRANSLATE(A406, ""en"", ""hi"")"),"405")</f>
        <v>405</v>
      </c>
      <c r="G406" s="5" t="str">
        <f>IFERROR(__xludf.DUMMYFUNCTION("GOOGLETRANSLATE(B406, ""en"", ""hi"")"),"एक थांग-ता छात्र तेज़ी से ऊपर की ओर कट्स की एक श्रृंखला करता है। इन ऊपर की ओर कट्स का प्राथमिक लक्ष्य क्या है?")</f>
        <v>एक थांग-ता छात्र तेज़ी से ऊपर की ओर कट्स की एक श्रृंखला करता है। इन ऊपर की ओर कट्स का प्राथमिक लक्ष्य क्या है?</v>
      </c>
      <c r="H406" s="5" t="str">
        <f>IFERROR(__xludf.DUMMYFUNCTION("GOOGLETRANSLATE(C406, ""en"", ""hi"")"),"A) ऊपर से लगातार दबाव डालना और प्रतिद्वंद्वी को रक्षात्मक रुख अपनाने के लिए मजबूर करना।, B) गति दिखाना।, C) सटीकता का अभ्यास करना।, D) भ्रम पैदा करना।")</f>
        <v>A) ऊपर से लगातार दबाव डालना और प्रतिद्वंद्वी को रक्षात्मक रुख अपनाने के लिए मजबूर करना।, B) गति दिखाना।, C) सटीकता का अभ्यास करना।, D) भ्रम पैदा करना।</v>
      </c>
      <c r="I406" s="5" t="str">
        <f>IFERROR(__xludf.DUMMYFUNCTION("GOOGLETRANSLATE(D406,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407" ht="22.5" customHeight="1">
      <c r="A407" s="2">
        <v>406.0</v>
      </c>
      <c r="B407" s="3" t="s">
        <v>13145</v>
      </c>
      <c r="C407" s="3" t="s">
        <v>13146</v>
      </c>
      <c r="D407" s="3" t="s">
        <v>13147</v>
      </c>
      <c r="F407" s="5" t="str">
        <f>IFERROR(__xludf.DUMMYFUNCTION("GOOGLETRANSLATE(A407, ""en"", ""hi"")"),"406")</f>
        <v>406</v>
      </c>
      <c r="G407" s="5" t="str">
        <f>IFERROR(__xludf.DUMMYFUNCTION("GOOGLETRANSLATE(B407, ""en"", ""hi"")"),"थांग-ता में, अभ्यासी उच्च ब्लॉक के बाद निम्न थ्रस्ट करता है। उच्च ब्लॉक के बाद निम्न थ्रस्ट का मुख्य लाभ क्या है?")</f>
        <v>थांग-ता में, अभ्यासी उच्च ब्लॉक के बाद निम्न थ्रस्ट करता है। उच्च ब्लॉक के बाद निम्न थ्रस्ट का मुख्य लाभ क्या है?</v>
      </c>
      <c r="H407" s="5" t="str">
        <f>IFERROR(__xludf.DUMMYFUNCTION("GOOGLETRANSLATE(C407, ""en"", ""hi"")"),"ए) बचाव से आक्रमण और निचले स्थान से आक्रमण की ओर संक्रमण करना।, बी) कौशल का प्रदर्शन करना।, सी) समय का अभ्यास करना।, डी) प्रतिद्वंद्वी को भ्रमित करना।")</f>
        <v>ए) बचाव से आक्रमण और निचले स्थान से आक्रमण की ओर संक्रमण करना।, बी) कौशल का प्रदर्शन करना।, सी) समय का अभ्यास करना।, डी) प्रतिद्वंद्वी को भ्रमित करना।</v>
      </c>
      <c r="I407" s="5" t="str">
        <f>IFERROR(__xludf.DUMMYFUNCTION("GOOGLETRANSLATE(D407, ""en"", ""hi"")"),"ए) रक्षा से आक्रमण और निचले स्थान से आक्रमण की ओर संक्रमण करना।")</f>
        <v>ए) रक्षा से आक्रमण और निचले स्थान से आक्रमण की ओर संक्रमण करना।</v>
      </c>
    </row>
    <row r="408" ht="22.5" customHeight="1">
      <c r="A408" s="2">
        <v>407.0</v>
      </c>
      <c r="B408" s="3" t="s">
        <v>13148</v>
      </c>
      <c r="C408" s="3" t="s">
        <v>13149</v>
      </c>
      <c r="D408" s="3" t="s">
        <v>12924</v>
      </c>
      <c r="F408" s="5" t="str">
        <f>IFERROR(__xludf.DUMMYFUNCTION("GOOGLETRANSLATE(A408, ""en"", ""hi"")"),"407")</f>
        <v>407</v>
      </c>
      <c r="G408" s="5" t="str">
        <f>IFERROR(__xludf.DUMMYFUNCTION("GOOGLETRANSLATE(B408, ""en"", ""hi"")"),"थांग-ता अभ्यास के दौरान, एक छात्र पहले लो स्वीप करता है और उसके बाद हाई थ्रस्ट करता है। लो स्वीप के बाद हाई थ्रस्ट का उद्देश्य क्या है?")</f>
        <v>थांग-ता अभ्यास के दौरान, एक छात्र पहले लो स्वीप करता है और उसके बाद हाई थ्रस्ट करता है। लो स्वीप के बाद हाई थ्रस्ट का उद्देश्य क्या है?</v>
      </c>
      <c r="H408" s="5" t="str">
        <f>IFERROR(__xludf.DUMMYFUNCTION("GOOGLETRANSLATE(C408, ""en"", ""hi"")"),"A) प्रतिद्वंद्वी के लो गार्ड का फायदा उठाना और ऊपर से वार करना।, B) कौशल का प्रदर्शन करना।, C) समय का अभ्यास करना।, D) भ्रम पैदा करना।")</f>
        <v>A) प्रतिद्वंद्वी के लो गार्ड का फायदा उठाना और ऊपर से वार करना।, B) कौशल का प्रदर्शन करना।, C) समय का अभ्यास करना।, D) भ्रम पैदा करना।</v>
      </c>
      <c r="I408" s="5" t="str">
        <f>IFERROR(__xludf.DUMMYFUNCTION("GOOGLETRANSLATE(D408, ""en"", ""hi"")"),"ए) प्रतिद्वंद्वी के लो गार्ड का फायदा उठाना और ऊपर से वार करना।")</f>
        <v>ए) प्रतिद्वंद्वी के लो गार्ड का फायदा उठाना और ऊपर से वार करना।</v>
      </c>
    </row>
    <row r="409" ht="22.5" customHeight="1">
      <c r="A409" s="2">
        <v>408.0</v>
      </c>
      <c r="B409" s="3" t="s">
        <v>13150</v>
      </c>
      <c r="C409" s="3" t="s">
        <v>13151</v>
      </c>
      <c r="D409" s="3" t="s">
        <v>13101</v>
      </c>
      <c r="F409" s="5" t="str">
        <f>IFERROR(__xludf.DUMMYFUNCTION("GOOGLETRANSLATE(A409, ""en"", ""hi"")"),"408")</f>
        <v>408</v>
      </c>
      <c r="G409" s="5" t="str">
        <f>IFERROR(__xludf.DUMMYFUNCTION("GOOGLETRANSLATE(B409, ""en"", ""hi"")"),"थांग-ता का अभ्यासी स्पिनिंग स्ट्राइक के बाद हाई ब्लॉक करता है। स्पिनिंग स्ट्राइक के बाद हाई ब्लॉक का मुख्य लाभ क्या है?")</f>
        <v>थांग-ता का अभ्यासी स्पिनिंग स्ट्राइक के बाद हाई ब्लॉक करता है। स्पिनिंग स्ट्राइक के बाद हाई ब्लॉक का मुख्य लाभ क्या है?</v>
      </c>
      <c r="H409" s="5" t="str">
        <f>IFERROR(__xludf.DUMMYFUNCTION("GOOGLETRANSLATE(C409, ""en"", ""hi"")"),"ए) आने वाले हमले से बचाव के लिए घूमते हुए प्रहार से उत्पन्न गति का उपयोग करना।, बी) चपलता प्रदर्शित करना।, सी) समय का अभ्यास करना।, डी) प्रतिद्वंद्वी को भ्रमित करना।")</f>
        <v>ए) आने वाले हमले से बचाव के लिए घूमते हुए प्रहार से उत्पन्न गति का उपयोग करना।, बी) चपलता प्रदर्शित करना।, सी) समय का अभ्यास करना।, डी) प्रतिद्वंद्वी को भ्रमित करना।</v>
      </c>
      <c r="I409" s="5" t="str">
        <f>IFERROR(__xludf.DUMMYFUNCTION("GOOGLETRANSLATE(D409, ""en"", ""hi"")"),"क) आने वाले हमले से बचाव के लिए घूमते हुए प्रहार से उत्पन्न गति का उपयोग करना।")</f>
        <v>क) आने वाले हमले से बचाव के लिए घूमते हुए प्रहार से उत्पन्न गति का उपयोग करना।</v>
      </c>
    </row>
    <row r="410" ht="22.5" customHeight="1">
      <c r="A410" s="2">
        <v>409.0</v>
      </c>
      <c r="B410" s="3" t="s">
        <v>13152</v>
      </c>
      <c r="C410" s="3" t="s">
        <v>13103</v>
      </c>
      <c r="D410" s="3" t="s">
        <v>13104</v>
      </c>
      <c r="F410" s="5" t="str">
        <f>IFERROR(__xludf.DUMMYFUNCTION("GOOGLETRANSLATE(A410, ""en"", ""hi"")"),"409")</f>
        <v>409</v>
      </c>
      <c r="G410" s="5" t="str">
        <f>IFERROR(__xludf.DUMMYFUNCTION("GOOGLETRANSLATE(B410, ""en"", ""hi"")"),"थांग-ता में, एक छात्र विकर्ण थ्रस्ट के बाद निम्न स्वीप करता है। विकर्ण थ्रस्ट के बाद निम्न स्वीप का मुख्य लाभ क्या है?")</f>
        <v>थांग-ता में, एक छात्र विकर्ण थ्रस्ट के बाद निम्न स्वीप करता है। विकर्ण थ्रस्ट के बाद निम्न स्वीप का मुख्य लाभ क्या है?</v>
      </c>
      <c r="H410" s="5" t="str">
        <f>IFERROR(__xludf.DUMMYFUNCTION("GOOGLETRANSLATE(C410, ""en"", ""hi"")"),"ए) विकर्ण प्रहार और नीचे से हमले से उत्पन्न अवसरों का फायदा उठाना।, बी) कौशल का प्रदर्शन करना।, सी) सटीकता का अभ्यास करना।, डी) प्रतिद्वंद्वी को भ्रमित करना।")</f>
        <v>ए) विकर्ण प्रहार और नीचे से हमले से उत्पन्न अवसरों का फायदा उठाना।, बी) कौशल का प्रदर्शन करना।, सी) सटीकता का अभ्यास करना।, डी) प्रतिद्वंद्वी को भ्रमित करना।</v>
      </c>
      <c r="I410" s="5" t="str">
        <f>IFERROR(__xludf.DUMMYFUNCTION("GOOGLETRANSLATE(D410, ""en"", ""hi"")"),"क) नीचे से विकर्ण जोर और हमले द्वारा बनाई गई खुली जगहों का फायदा उठाना।")</f>
        <v>क) नीचे से विकर्ण जोर और हमले द्वारा बनाई गई खुली जगहों का फायदा उठाना।</v>
      </c>
    </row>
    <row r="411" ht="22.5" customHeight="1">
      <c r="A411" s="2">
        <v>410.0</v>
      </c>
      <c r="B411" s="3" t="s">
        <v>13153</v>
      </c>
      <c r="C411" s="3" t="s">
        <v>13154</v>
      </c>
      <c r="D411" s="3" t="s">
        <v>13155</v>
      </c>
      <c r="F411" s="5" t="str">
        <f>IFERROR(__xludf.DUMMYFUNCTION("GOOGLETRANSLATE(A411, ""en"", ""hi"")"),"410")</f>
        <v>410</v>
      </c>
      <c r="G411" s="5" t="str">
        <f>IFERROR(__xludf.DUMMYFUNCTION("GOOGLETRANSLATE(B411, ""en"", ""hi"")"),"थांग-ता मैच के दौरान, एक प्रतिभागी एक हाई कट के बाद एक डायगोनल थ्रस्ट करता है। हाई कट के बाद डायगोनल थ्रस्ट का उद्देश्य क्या है?")</f>
        <v>थांग-ता मैच के दौरान, एक प्रतिभागी एक हाई कट के बाद एक डायगोनल थ्रस्ट करता है। हाई कट के बाद डायगोनल थ्रस्ट का उद्देश्य क्या है?</v>
      </c>
      <c r="H411" s="5" t="str">
        <f>IFERROR(__xludf.DUMMYFUNCTION("GOOGLETRANSLATE(C411, ""en"", ""hi"")"),"ए) उच्च कट से प्राप्त गति का उपयोग कोण से हमला करने के लिए करना।, बी) चपलता दिखाने के लिए।, सी) समय का अभ्यास करने के लिए।, डी) प्रतिद्वंद्वी को भ्रमित करने के लिए।")</f>
        <v>ए) उच्च कट से प्राप्त गति का उपयोग कोण से हमला करने के लिए करना।, बी) चपलता दिखाने के लिए।, सी) समय का अभ्यास करने के लिए।, डी) प्रतिद्वंद्वी को भ्रमित करने के लिए।</v>
      </c>
      <c r="I411" s="5" t="str">
        <f>IFERROR(__xludf.DUMMYFUNCTION("GOOGLETRANSLATE(D411, ""en"", ""hi"")"),"क) उच्च कट से प्राप्त गति का उपयोग कोण से आक्रमण करने के लिए करना।")</f>
        <v>क) उच्च कट से प्राप्त गति का उपयोग कोण से आक्रमण करने के लिए करना।</v>
      </c>
    </row>
    <row r="412" ht="22.5" customHeight="1">
      <c r="A412" s="2">
        <v>411.0</v>
      </c>
      <c r="B412" s="3" t="s">
        <v>13156</v>
      </c>
      <c r="C412" s="3" t="s">
        <v>12938</v>
      </c>
      <c r="D412" s="3" t="s">
        <v>12692</v>
      </c>
      <c r="F412" s="5" t="str">
        <f>IFERROR(__xludf.DUMMYFUNCTION("GOOGLETRANSLATE(A412, ""en"", ""hi"")"),"411")</f>
        <v>411</v>
      </c>
      <c r="G412" s="5" t="str">
        <f>IFERROR(__xludf.DUMMYFUNCTION("GOOGLETRANSLATE(B412, ""en"", ""hi"")"),"एक थांग-ता छात्र एक निम्न ब्लॉक के बाद एक उच्च थ्रस्ट करता है। निम्न ब्लॉक के बाद उच्च थ्रस्ट का मुख्य लाभ क्या है?")</f>
        <v>एक थांग-ता छात्र एक निम्न ब्लॉक के बाद एक उच्च थ्रस्ट करता है। निम्न ब्लॉक के बाद उच्च थ्रस्ट का मुख्य लाभ क्या है?</v>
      </c>
      <c r="H412" s="5" t="str">
        <f>IFERROR(__xludf.DUMMYFUNCTION("GOOGLETRANSLATE(C412, ""en"", ""hi"")"),"ए)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f>
        <v>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v>
      </c>
      <c r="I412" s="5" t="str">
        <f>IFERROR(__xludf.DUMMYFUNCTION("GOOGLETRANSLATE(D412, ""en"", ""hi"")"),"ए) बचाव से आक्रमण की ओर संक्रमण करना और प्रतिद्वंद्वी के ऊपरी शरीर को निशाना बनाना।")</f>
        <v>ए) बचाव से आक्रमण की ओर संक्रमण करना और प्रतिद्वंद्वी के ऊपरी शरीर को निशाना बनाना।</v>
      </c>
    </row>
    <row r="413" ht="22.5" customHeight="1">
      <c r="A413" s="2">
        <v>412.0</v>
      </c>
      <c r="B413" s="3" t="s">
        <v>13157</v>
      </c>
      <c r="C413" s="3" t="s">
        <v>13158</v>
      </c>
      <c r="D413" s="3" t="s">
        <v>13159</v>
      </c>
      <c r="F413" s="5" t="str">
        <f>IFERROR(__xludf.DUMMYFUNCTION("GOOGLETRANSLATE(A413, ""en"", ""hi"")"),"412")</f>
        <v>412</v>
      </c>
      <c r="G413" s="5" t="str">
        <f>IFERROR(__xludf.DUMMYFUNCTION("GOOGLETRANSLATE(B413, ""en"", ""hi"")"),"थांग-ता में, अभ्यासी उच्च थ्रस्ट के बाद निम्न कट करता है। उच्च थ्रस्ट के बाद निम्न कट का क्या लाभ है?")</f>
        <v>थांग-ता में, अभ्यासी उच्च थ्रस्ट के बाद निम्न कट करता है। उच्च थ्रस्ट के बाद निम्न कट का क्या लाभ है?</v>
      </c>
      <c r="H413" s="5" t="str">
        <f>IFERROR(__xludf.DUMMYFUNCTION("GOOGLETRANSLATE(C413, ""en"", ""hi"")"),"A) उच्च जोर और नीचे से प्रहार द्वारा बनाए गए खुले स्थानों का लाभ उठाना।, B) गति का प्रदर्शन करना।, C) सटीकता का अभ्यास करना।, D) भ्रम पैदा करना।")</f>
        <v>A) उच्च जोर और नीचे से प्रहार द्वारा बनाए गए खुले स्थानों का लाभ उठाना।, B) गति का प्रदर्शन करना।, C) सटीकता का अभ्यास करना।, D) भ्रम पैदा करना।</v>
      </c>
      <c r="I413" s="5" t="str">
        <f>IFERROR(__xludf.DUMMYFUNCTION("GOOGLETRANSLATE(D413, ""en"", ""hi"")"),"क) उच्च दबाव और नीचे से प्रहार द्वारा उत्पन्न अवसरों का लाभ उठाना।")</f>
        <v>क) उच्च दबाव और नीचे से प्रहार द्वारा उत्पन्न अवसरों का लाभ उठाना।</v>
      </c>
    </row>
    <row r="414" ht="22.5" customHeight="1">
      <c r="A414" s="2">
        <v>413.0</v>
      </c>
      <c r="B414" s="3" t="s">
        <v>13160</v>
      </c>
      <c r="C414" s="3" t="s">
        <v>13137</v>
      </c>
      <c r="D414" s="3" t="s">
        <v>12728</v>
      </c>
      <c r="F414" s="5" t="str">
        <f>IFERROR(__xludf.DUMMYFUNCTION("GOOGLETRANSLATE(A414, ""en"", ""hi"")"),"413")</f>
        <v>413</v>
      </c>
      <c r="G414" s="5" t="str">
        <f>IFERROR(__xludf.DUMMYFUNCTION("GOOGLETRANSLATE(B414, ""en"", ""hi"")"),"थांग-ता प्रशिक्षण के दौरान, एक छात्र एक उच्च ब्लॉक के बाद एक विकर्ण कट करता है। उच्च ब्लॉक के बाद विकर्ण कट का मुख्य लाभ क्या है?")</f>
        <v>थांग-ता प्रशिक्षण के दौरान, एक छात्र एक उच्च ब्लॉक के बाद एक विकर्ण कट करता है। उच्च ब्लॉक के बाद विकर्ण कट का मुख्य लाभ क्या है?</v>
      </c>
      <c r="H414" s="5" t="str">
        <f>IFERROR(__xludf.DUMMYFUNCTION("GOOGLETRANSLATE(C414, ""en"", ""hi"")"),"ए) बचाव से आक्रमण और कोण से आक्रमण में परिवर्तन करना।, बी) चपलता प्रदर्शित करना।, सी) समय का अभ्यास करना।, डी) प्रतिद्वंद्वी को भ्रमित करना।")</f>
        <v>ए) बचाव से आक्रमण और कोण से आक्रमण में परिवर्तन करना।, बी) चपलता प्रदर्शित करना।, सी) समय का अभ्यास करना।, डी) प्रतिद्वंद्वी को भ्रमित करना।</v>
      </c>
      <c r="I414" s="5" t="str">
        <f>IFERROR(__xludf.DUMMYFUNCTION("GOOGLETRANSLATE(D414, ""en"", ""hi"")"),"क) रक्षा से आक्रमण और कोण से आक्रमण की ओर संक्रमण करना।")</f>
        <v>क) रक्षा से आक्रमण और कोण से आक्रमण की ओर संक्रमण करना।</v>
      </c>
    </row>
    <row r="415" ht="22.5" customHeight="1">
      <c r="A415" s="2">
        <v>414.0</v>
      </c>
      <c r="B415" s="3" t="s">
        <v>13161</v>
      </c>
      <c r="C415" s="3" t="s">
        <v>13088</v>
      </c>
      <c r="D415" s="3" t="s">
        <v>13089</v>
      </c>
      <c r="F415" s="5" t="str">
        <f>IFERROR(__xludf.DUMMYFUNCTION("GOOGLETRANSLATE(A415, ""en"", ""hi"")"),"414")</f>
        <v>414</v>
      </c>
      <c r="G415" s="5" t="str">
        <f>IFERROR(__xludf.DUMMYFUNCTION("GOOGLETRANSLATE(B415, ""en"", ""hi"")"),"थांग-ता का अभ्यासी एक विकर्ण कट के बाद एक त्वरित साइडस्टेप करता है। विकर्ण कट के बाद साइडस्टेप का उद्देश्य क्या है?")</f>
        <v>थांग-ता का अभ्यासी एक विकर्ण कट के बाद एक त्वरित साइडस्टेप करता है। विकर्ण कट के बाद साइडस्टेप का उद्देश्य क्या है?</v>
      </c>
      <c r="H415" s="5" t="str">
        <f>IFERROR(__xludf.DUMMYFUNCTION("GOOGLETRANSLATE(C415, ""en"", ""hi"")"),"क) जवाबी हमले से बचने के लिए तथा अधिक प्रभावी अनुवर्ती चाल के लिए पुनः स्थिति में आना।, ख) चपलता प्रदर्शित करना।, ग) समय का अभ्यास करना।, घ) भ्रम पैदा करना।")</f>
        <v>क) जवाबी हमले से बचने के लिए तथा अधिक प्रभावी अनुवर्ती चाल के लिए पुनः स्थिति में आना।, ख) चपलता प्रदर्शित करना।, ग) समय का अभ्यास करना।, घ) भ्रम पैदा करना।</v>
      </c>
      <c r="I415" s="5" t="str">
        <f>IFERROR(__xludf.DUMMYFUNCTION("GOOGLETRANSLATE(D415, ""en"", ""hi"")"),"क) जवाबी हमले से बचने के लिए तथा अधिक प्रभावी अनुवर्ती कार्रवाई के लिए पुनः स्थिति में आना।")</f>
        <v>क) जवाबी हमले से बचने के लिए तथा अधिक प्रभावी अनुवर्ती कार्रवाई के लिए पुनः स्थिति में आना।</v>
      </c>
    </row>
    <row r="416" ht="22.5" customHeight="1">
      <c r="A416" s="2">
        <v>415.0</v>
      </c>
      <c r="B416" s="3" t="s">
        <v>13162</v>
      </c>
      <c r="C416" s="3" t="s">
        <v>13129</v>
      </c>
      <c r="D416" s="3" t="s">
        <v>13112</v>
      </c>
      <c r="F416" s="5" t="str">
        <f>IFERROR(__xludf.DUMMYFUNCTION("GOOGLETRANSLATE(A416, ""en"", ""hi"")"),"415")</f>
        <v>415</v>
      </c>
      <c r="G416" s="5" t="str">
        <f>IFERROR(__xludf.DUMMYFUNCTION("GOOGLETRANSLATE(B416, ""en"", ""hi"")"),"थांग-ता में, प्रतिभागी उच्च थ्रस्ट के बाद निम्न ब्लॉक करता है। उच्च थ्रस्ट के बाद निम्न ब्लॉक का मुख्य लाभ क्या है?")</f>
        <v>थांग-ता में, प्रतिभागी उच्च थ्रस्ट के बाद निम्न ब्लॉक करता है। उच्च थ्रस्ट के बाद निम्न ब्लॉक का मुख्य लाभ क्या है?</v>
      </c>
      <c r="H416" s="5" t="str">
        <f>IFERROR(__xludf.DUMMYFUNCTION("GOOGLETRANSLATE(C416, ""en"", ""hi"")"),"ए) आक्रमण से बचाव की ओर संक्रमण करना और संभावित जवाबी हमले से बचाव करना।, बी) कौशल का प्रदर्शन करना।, सी) समय का अभ्यास करना।, डी) भ्रम पैदा करना।")</f>
        <v>ए) आक्रमण से बचाव की ओर संक्रमण करना और संभावित जवाबी हमले से बचाव करना।, बी) कौशल का प्रदर्शन करना।, सी) समय का अभ्यास करना।, डी) भ्रम पैदा करना।</v>
      </c>
      <c r="I416" s="5" t="str">
        <f>IFERROR(__xludf.DUMMYFUNCTION("GOOGLETRANSLATE(D416, ""en"", ""hi"")"),"क) आक्रमण से बचाव की ओर संक्रमण करना तथा संभावित जवाबी हमले से बचाव करना।")</f>
        <v>क) आक्रमण से बचाव की ओर संक्रमण करना तथा संभावित जवाबी हमले से बचाव करना।</v>
      </c>
    </row>
    <row r="417" ht="22.5" customHeight="1">
      <c r="A417" s="2">
        <v>416.0</v>
      </c>
      <c r="B417" s="3" t="s">
        <v>13141</v>
      </c>
      <c r="C417" s="3" t="s">
        <v>13142</v>
      </c>
      <c r="D417" s="3" t="s">
        <v>13143</v>
      </c>
      <c r="F417" s="5" t="str">
        <f>IFERROR(__xludf.DUMMYFUNCTION("GOOGLETRANSLATE(A417, ""en"", ""hi"")"),"416")</f>
        <v>416</v>
      </c>
      <c r="G417" s="5" t="str">
        <f>IFERROR(__xludf.DUMMYFUNCTION("GOOGLETRANSLATE(B417, ""en"", ""hi"")"),"थांग-ता मुकाबले के दौरान, एक अभ्यासकर्ता लो कट के बाद स्पिनिंग स्ट्राइक करता है। लो कट के बाद स्पिनिंग स्ट्राइक का मुख्य उद्देश्य क्या है?")</f>
        <v>थांग-ता मुकाबले के दौरान, एक अभ्यासकर्ता लो कट के बाद स्पिनिंग स्ट्राइक करता है। लो कट के बाद स्पिनिंग स्ट्राइक का मुख्य उद्देश्य क्या है?</v>
      </c>
      <c r="H417" s="5" t="str">
        <f>IFERROR(__xludf.DUMMYFUNCTION("GOOGLETRANSLATE(C417, ""en"", ""hi"")"),"ए) एक अलग कोण से शक्तिशाली हमले के लिए कम कट से गति का उपयोग करना।, बी) कौशल का प्रदर्शन करना।, सी) सटीकता का अभ्यास करना।, डी) प्रतिद्वंद्वी को भ्रमित करना।")</f>
        <v>ए) एक अलग कोण से शक्तिशाली हमले के लिए कम कट से गति का उपयोग करना।, बी) कौशल का प्रदर्शन करना।, सी) सटीकता का अभ्यास करना।, डी) प्रतिद्वंद्वी को भ्रमित करना।</v>
      </c>
      <c r="I417" s="5" t="str">
        <f>IFERROR(__xludf.DUMMYFUNCTION("GOOGLETRANSLATE(D417, ""en"", ""hi"")"),"क) निम्न कट से प्राप्त गति का उपयोग भिन्न कोण से शक्तिशाली आक्रमण के लिए करना।")</f>
        <v>क) निम्न कट से प्राप्त गति का उपयोग भिन्न कोण से शक्तिशाली आक्रमण के लिए करना।</v>
      </c>
    </row>
    <row r="418" ht="22.5" customHeight="1">
      <c r="A418" s="2">
        <v>417.0</v>
      </c>
      <c r="B418" s="3" t="s">
        <v>13144</v>
      </c>
      <c r="C418" s="3" t="s">
        <v>13006</v>
      </c>
      <c r="D418" s="3" t="s">
        <v>13007</v>
      </c>
      <c r="F418" s="5" t="str">
        <f>IFERROR(__xludf.DUMMYFUNCTION("GOOGLETRANSLATE(A418, ""en"", ""hi"")"),"417")</f>
        <v>417</v>
      </c>
      <c r="G418" s="5" t="str">
        <f>IFERROR(__xludf.DUMMYFUNCTION("GOOGLETRANSLATE(B418, ""en"", ""hi"")"),"एक थांग-ता छात्र तेज़ी से ऊपर की ओर कट्स की एक श्रृंखला करता है। इन ऊपर की ओर कट्स का प्राथमिक लक्ष्य क्या है?")</f>
        <v>एक थांग-ता छात्र तेज़ी से ऊपर की ओर कट्स की एक श्रृंखला करता है। इन ऊपर की ओर कट्स का प्राथमिक लक्ष्य क्या है?</v>
      </c>
      <c r="H418" s="5" t="str">
        <f>IFERROR(__xludf.DUMMYFUNCTION("GOOGLETRANSLATE(C418, ""en"", ""hi"")"),"A) ऊपर से लगातार दबाव डालना और प्रतिद्वंद्वी को रक्षात्मक रुख अपनाने के लिए मजबूर करना।, B) गति दिखाना।, C) सटीकता का अभ्यास करना।, D) भ्रम पैदा करना।")</f>
        <v>A) ऊपर से लगातार दबाव डालना और प्रतिद्वंद्वी को रक्षात्मक रुख अपनाने के लिए मजबूर करना।, B) गति दिखाना।, C) सटीकता का अभ्यास करना।, D) भ्रम पैदा करना।</v>
      </c>
      <c r="I418" s="5" t="str">
        <f>IFERROR(__xludf.DUMMYFUNCTION("GOOGLETRANSLATE(D418,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419" ht="22.5" customHeight="1">
      <c r="A419" s="2">
        <v>418.0</v>
      </c>
      <c r="B419" s="3" t="s">
        <v>13163</v>
      </c>
      <c r="C419" s="3" t="s">
        <v>13137</v>
      </c>
      <c r="D419" s="3" t="s">
        <v>12728</v>
      </c>
      <c r="F419" s="5" t="str">
        <f>IFERROR(__xludf.DUMMYFUNCTION("GOOGLETRANSLATE(A419, ""en"", ""hi"")"),"418")</f>
        <v>418</v>
      </c>
      <c r="G419" s="5" t="str">
        <f>IFERROR(__xludf.DUMMYFUNCTION("GOOGLETRANSLATE(B419, ""en"", ""hi"")"),"थांग-ता में, एक अभ्यासी एक उच्च ब्लॉक के बाद एक विकर्ण कट करता है। उच्च ब्लॉक के बाद विकर्ण कट का क्या लाभ है?")</f>
        <v>थांग-ता में, एक अभ्यासी एक उच्च ब्लॉक के बाद एक विकर्ण कट करता है। उच्च ब्लॉक के बाद विकर्ण कट का क्या लाभ है?</v>
      </c>
      <c r="H419" s="5" t="str">
        <f>IFERROR(__xludf.DUMMYFUNCTION("GOOGLETRANSLATE(C419, ""en"", ""hi"")"),"ए) बचाव से आक्रमण और कोण से आक्रमण में परिवर्तन करना।, बी) चपलता प्रदर्शित करना।, सी) समय का अभ्यास करना।, डी) प्रतिद्वंद्वी को भ्रमित करना।")</f>
        <v>ए) बचाव से आक्रमण और कोण से आक्रमण में परिवर्तन करना।, बी) चपलता प्रदर्शित करना।, सी) समय का अभ्यास करना।, डी) प्रतिद्वंद्वी को भ्रमित करना।</v>
      </c>
      <c r="I419" s="5" t="str">
        <f>IFERROR(__xludf.DUMMYFUNCTION("GOOGLETRANSLATE(D419, ""en"", ""hi"")"),"क) रक्षा से आक्रमण और कोण से आक्रमण की ओर संक्रमण करना।")</f>
        <v>क) रक्षा से आक्रमण और कोण से आक्रमण की ओर संक्रमण करना।</v>
      </c>
    </row>
    <row r="420" ht="22.5" customHeight="1">
      <c r="A420" s="2">
        <v>419.0</v>
      </c>
      <c r="B420" s="3" t="s">
        <v>13164</v>
      </c>
      <c r="C420" s="3" t="s">
        <v>13149</v>
      </c>
      <c r="D420" s="3" t="s">
        <v>12924</v>
      </c>
      <c r="F420" s="5" t="str">
        <f>IFERROR(__xludf.DUMMYFUNCTION("GOOGLETRANSLATE(A420, ""en"", ""hi"")"),"419")</f>
        <v>419</v>
      </c>
      <c r="G420" s="5" t="str">
        <f>IFERROR(__xludf.DUMMYFUNCTION("GOOGLETRANSLATE(B420, ""en"", ""hi"")"),"थांग-ता प्रशिक्षण के दौरान, एक छात्र निम्न स्वीप के बाद उच्च थ्रस्ट करता है। निम्न स्वीप के बाद उच्च थ्रस्ट का उद्देश्य क्या है?")</f>
        <v>थांग-ता प्रशिक्षण के दौरान, एक छात्र निम्न स्वीप के बाद उच्च थ्रस्ट करता है। निम्न स्वीप के बाद उच्च थ्रस्ट का उद्देश्य क्या है?</v>
      </c>
      <c r="H420" s="5" t="str">
        <f>IFERROR(__xludf.DUMMYFUNCTION("GOOGLETRANSLATE(C420, ""en"", ""hi"")"),"A) प्रतिद्वंद्वी के लो गार्ड का फायदा उठाना और ऊपर से वार करना।, B) कौशल का प्रदर्शन करना।, C) समय का अभ्यास करना।, D) भ्रम पैदा करना।")</f>
        <v>A) प्रतिद्वंद्वी के लो गार्ड का फायदा उठाना और ऊपर से वार करना।, B) कौशल का प्रदर्शन करना।, C) समय का अभ्यास करना।, D) भ्रम पैदा करना।</v>
      </c>
      <c r="I420" s="5" t="str">
        <f>IFERROR(__xludf.DUMMYFUNCTION("GOOGLETRANSLATE(D420, ""en"", ""hi"")"),"ए) प्रतिद्वंद्वी के लो गार्ड का फायदा उठाना और ऊपर से वार करना।")</f>
        <v>ए) प्रतिद्वंद्वी के लो गार्ड का फायदा उठाना और ऊपर से वार करना।</v>
      </c>
    </row>
    <row r="421" ht="22.5" customHeight="1">
      <c r="A421" s="2">
        <v>420.0</v>
      </c>
      <c r="B421" s="3" t="s">
        <v>13165</v>
      </c>
      <c r="C421" s="3" t="s">
        <v>13151</v>
      </c>
      <c r="D421" s="3" t="s">
        <v>13101</v>
      </c>
      <c r="F421" s="5" t="str">
        <f>IFERROR(__xludf.DUMMYFUNCTION("GOOGLETRANSLATE(A421, ""en"", ""hi"")"),"420")</f>
        <v>420</v>
      </c>
      <c r="G421" s="5" t="str">
        <f>IFERROR(__xludf.DUMMYFUNCTION("GOOGLETRANSLATE(B421, ""en"", ""hi"")"),"थांग-ता का अभ्यासी स्पिनिंग स्ट्राइक के बाद हाई ब्लॉक करता है। स्पिनिंग स्ट्राइक के बाद हाई ब्लॉक का मुख्य लाभ क्या है?")</f>
        <v>थांग-ता का अभ्यासी स्पिनिंग स्ट्राइक के बाद हाई ब्लॉक करता है। स्पिनिंग स्ट्राइक के बाद हाई ब्लॉक का मुख्य लाभ क्या है?</v>
      </c>
      <c r="H421" s="5" t="str">
        <f>IFERROR(__xludf.DUMMYFUNCTION("GOOGLETRANSLATE(C421, ""en"", ""hi"")"),"ए) आने वाले हमले से बचाव के लिए घूमते हुए प्रहार से उत्पन्न गति का उपयोग करना।, बी) चपलता प्रदर्शित करना।, सी) समय का अभ्यास करना।, डी) प्रतिद्वंद्वी को भ्रमित करना।")</f>
        <v>ए) आने वाले हमले से बचाव के लिए घूमते हुए प्रहार से उत्पन्न गति का उपयोग करना।, बी) चपलता प्रदर्शित करना।, सी) समय का अभ्यास करना।, डी) प्रतिद्वंद्वी को भ्रमित करना।</v>
      </c>
      <c r="I421" s="5" t="str">
        <f>IFERROR(__xludf.DUMMYFUNCTION("GOOGLETRANSLATE(D421, ""en"", ""hi"")"),"क) आने वाले हमले से बचाव के लिए घूमते हुए प्रहार से उत्पन्न गति का उपयोग करना।")</f>
        <v>क) आने वाले हमले से बचाव के लिए घूमते हुए प्रहार से उत्पन्न गति का उपयोग करना।</v>
      </c>
    </row>
    <row r="422" ht="22.5" customHeight="1">
      <c r="A422" s="2">
        <v>421.0</v>
      </c>
      <c r="B422" s="3" t="s">
        <v>13166</v>
      </c>
      <c r="C422" s="3" t="s">
        <v>13167</v>
      </c>
      <c r="D422" s="3" t="s">
        <v>13168</v>
      </c>
      <c r="F422" s="5" t="str">
        <f>IFERROR(__xludf.DUMMYFUNCTION("GOOGLETRANSLATE(A422, ""en"", ""hi"")"),"421")</f>
        <v>421</v>
      </c>
      <c r="G422" s="5" t="str">
        <f>IFERROR(__xludf.DUMMYFUNCTION("GOOGLETRANSLATE(B422, ""en"", ""hi"")"),"थांग-ता में, एक छात्र विकर्ण थ्रस्ट के बाद निम्न स्वीप करता है। विकर्ण थ्रस्ट के बाद निम्न स्वीप का प्राथमिक लक्ष्य क्या है?")</f>
        <v>थांग-ता में, एक छात्र विकर्ण थ्रस्ट के बाद निम्न स्वीप करता है। विकर्ण थ्रस्ट के बाद निम्न स्वीप का प्राथमिक लक्ष्य क्या है?</v>
      </c>
      <c r="H422" s="5" t="str">
        <f>IFERROR(__xludf.DUMMYFUNCTION("GOOGLETRANSLATE(C422, ""en"", ""hi"")"),"ए)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f>
        <v>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v>
      </c>
      <c r="I422" s="5" t="str">
        <f>IFERROR(__xludf.DUMMYFUNCTION("GOOGLETRANSLATE(D422, ""en"", ""hi"")"),"क) नीचे से विकर्ण प्रहार और प्रहार द्वारा निर्मित खुले स्थानों का लाभ उठाना।")</f>
        <v>क) नीचे से विकर्ण प्रहार और प्रहार द्वारा निर्मित खुले स्थानों का लाभ उठाना।</v>
      </c>
    </row>
    <row r="423" ht="22.5" customHeight="1">
      <c r="A423" s="2">
        <v>422.0</v>
      </c>
      <c r="B423" s="3" t="s">
        <v>13153</v>
      </c>
      <c r="C423" s="3" t="s">
        <v>13154</v>
      </c>
      <c r="D423" s="3" t="s">
        <v>13155</v>
      </c>
      <c r="F423" s="5" t="str">
        <f>IFERROR(__xludf.DUMMYFUNCTION("GOOGLETRANSLATE(A423, ""en"", ""hi"")"),"422")</f>
        <v>422</v>
      </c>
      <c r="G423" s="5" t="str">
        <f>IFERROR(__xludf.DUMMYFUNCTION("GOOGLETRANSLATE(B423, ""en"", ""hi"")"),"थांग-ता मैच के दौरान, एक प्रतिभागी एक हाई कट के बाद एक डायगोनल थ्रस्ट करता है। हाई कट के बाद डायगोनल थ्रस्ट का उद्देश्य क्या है?")</f>
        <v>थांग-ता मैच के दौरान, एक प्रतिभागी एक हाई कट के बाद एक डायगोनल थ्रस्ट करता है। हाई कट के बाद डायगोनल थ्रस्ट का उद्देश्य क्या है?</v>
      </c>
      <c r="H423" s="5" t="str">
        <f>IFERROR(__xludf.DUMMYFUNCTION("GOOGLETRANSLATE(C423, ""en"", ""hi"")"),"ए) उच्च कट से प्राप्त गति का उपयोग कोण से हमला करने के लिए करना।, बी) चपलता दिखाने के लिए।, सी) समय का अभ्यास करने के लिए।, डी) प्रतिद्वंद्वी को भ्रमित करने के लिए।")</f>
        <v>ए) उच्च कट से प्राप्त गति का उपयोग कोण से हमला करने के लिए करना।, बी) चपलता दिखाने के लिए।, सी) समय का अभ्यास करने के लिए।, डी) प्रतिद्वंद्वी को भ्रमित करने के लिए।</v>
      </c>
      <c r="I423" s="5" t="str">
        <f>IFERROR(__xludf.DUMMYFUNCTION("GOOGLETRANSLATE(D423, ""en"", ""hi"")"),"क) उच्च कट से प्राप्त गति का उपयोग कोण से आक्रमण करने के लिए करना।")</f>
        <v>क) उच्च कट से प्राप्त गति का उपयोग कोण से आक्रमण करने के लिए करना।</v>
      </c>
    </row>
    <row r="424" ht="22.5" customHeight="1">
      <c r="A424" s="2">
        <v>423.0</v>
      </c>
      <c r="B424" s="3" t="s">
        <v>13156</v>
      </c>
      <c r="C424" s="3" t="s">
        <v>12938</v>
      </c>
      <c r="D424" s="3" t="s">
        <v>12692</v>
      </c>
      <c r="F424" s="5" t="str">
        <f>IFERROR(__xludf.DUMMYFUNCTION("GOOGLETRANSLATE(A424, ""en"", ""hi"")"),"423")</f>
        <v>423</v>
      </c>
      <c r="G424" s="5" t="str">
        <f>IFERROR(__xludf.DUMMYFUNCTION("GOOGLETRANSLATE(B424, ""en"", ""hi"")"),"एक थांग-ता छात्र एक निम्न ब्लॉक के बाद एक उच्च थ्रस्ट करता है। निम्न ब्लॉक के बाद उच्च थ्रस्ट का मुख्य लाभ क्या है?")</f>
        <v>एक थांग-ता छात्र एक निम्न ब्लॉक के बाद एक उच्च थ्रस्ट करता है। निम्न ब्लॉक के बाद उच्च थ्रस्ट का मुख्य लाभ क्या है?</v>
      </c>
      <c r="H424" s="5" t="str">
        <f>IFERROR(__xludf.DUMMYFUNCTION("GOOGLETRANSLATE(C424, ""en"", ""hi"")"),"ए)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f>
        <v>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v>
      </c>
      <c r="I424" s="5" t="str">
        <f>IFERROR(__xludf.DUMMYFUNCTION("GOOGLETRANSLATE(D424, ""en"", ""hi"")"),"ए) बचाव से आक्रमण की ओर संक्रमण करना और प्रतिद्वंद्वी के ऊपरी शरीर को निशाना बनाना।")</f>
        <v>ए) बचाव से आक्रमण की ओर संक्रमण करना और प्रतिद्वंद्वी के ऊपरी शरीर को निशाना बनाना।</v>
      </c>
    </row>
    <row r="425" ht="22.5" customHeight="1">
      <c r="A425" s="2">
        <v>424.0</v>
      </c>
      <c r="B425" s="3" t="s">
        <v>13157</v>
      </c>
      <c r="C425" s="3" t="s">
        <v>13158</v>
      </c>
      <c r="D425" s="3" t="s">
        <v>13159</v>
      </c>
      <c r="F425" s="5" t="str">
        <f>IFERROR(__xludf.DUMMYFUNCTION("GOOGLETRANSLATE(A425, ""en"", ""hi"")"),"424")</f>
        <v>424</v>
      </c>
      <c r="G425" s="5" t="str">
        <f>IFERROR(__xludf.DUMMYFUNCTION("GOOGLETRANSLATE(B425, ""en"", ""hi"")"),"थांग-ता में, अभ्यासी उच्च थ्रस्ट के बाद निम्न कट करता है। उच्च थ्रस्ट के बाद निम्न कट का क्या लाभ है?")</f>
        <v>थांग-ता में, अभ्यासी उच्च थ्रस्ट के बाद निम्न कट करता है। उच्च थ्रस्ट के बाद निम्न कट का क्या लाभ है?</v>
      </c>
      <c r="H425" s="5" t="str">
        <f>IFERROR(__xludf.DUMMYFUNCTION("GOOGLETRANSLATE(C425, ""en"", ""hi"")"),"A) उच्च जोर और नीचे से प्रहार द्वारा बनाए गए खुले स्थानों का लाभ उठाना।, B) गति का प्रदर्शन करना।, C) सटीकता का अभ्यास करना।, D) भ्रम पैदा करना।")</f>
        <v>A) उच्च जोर और नीचे से प्रहार द्वारा बनाए गए खुले स्थानों का लाभ उठाना।, B) गति का प्रदर्शन करना।, C) सटीकता का अभ्यास करना।, D) भ्रम पैदा करना।</v>
      </c>
      <c r="I425" s="5" t="str">
        <f>IFERROR(__xludf.DUMMYFUNCTION("GOOGLETRANSLATE(D425, ""en"", ""hi"")"),"क) उच्च दबाव और नीचे से प्रहार द्वारा उत्पन्न अवसरों का लाभ उठाना।")</f>
        <v>क) उच्च दबाव और नीचे से प्रहार द्वारा उत्पन्न अवसरों का लाभ उठाना।</v>
      </c>
    </row>
    <row r="426" ht="22.5" customHeight="1">
      <c r="A426" s="2">
        <v>425.0</v>
      </c>
      <c r="B426" s="3" t="s">
        <v>13160</v>
      </c>
      <c r="C426" s="3" t="s">
        <v>13137</v>
      </c>
      <c r="D426" s="3" t="s">
        <v>12728</v>
      </c>
      <c r="F426" s="5" t="str">
        <f>IFERROR(__xludf.DUMMYFUNCTION("GOOGLETRANSLATE(A426, ""en"", ""hi"")"),"425")</f>
        <v>425</v>
      </c>
      <c r="G426" s="5" t="str">
        <f>IFERROR(__xludf.DUMMYFUNCTION("GOOGLETRANSLATE(B426, ""en"", ""hi"")"),"थांग-ता प्रशिक्षण के दौरान, एक छात्र एक उच्च ब्लॉक के बाद एक विकर्ण कट करता है। उच्च ब्लॉक के बाद विकर्ण कट का मुख्य लाभ क्या है?")</f>
        <v>थांग-ता प्रशिक्षण के दौरान, एक छात्र एक उच्च ब्लॉक के बाद एक विकर्ण कट करता है। उच्च ब्लॉक के बाद विकर्ण कट का मुख्य लाभ क्या है?</v>
      </c>
      <c r="H426" s="5" t="str">
        <f>IFERROR(__xludf.DUMMYFUNCTION("GOOGLETRANSLATE(C426, ""en"", ""hi"")"),"ए) बचाव से आक्रमण और कोण से आक्रमण में परिवर्तन करना।, बी) चपलता प्रदर्शित करना।, सी) समय का अभ्यास करना।, डी) प्रतिद्वंद्वी को भ्रमित करना।")</f>
        <v>ए) बचाव से आक्रमण और कोण से आक्रमण में परिवर्तन करना।, बी) चपलता प्रदर्शित करना।, सी) समय का अभ्यास करना।, डी) प्रतिद्वंद्वी को भ्रमित करना।</v>
      </c>
      <c r="I426" s="5" t="str">
        <f>IFERROR(__xludf.DUMMYFUNCTION("GOOGLETRANSLATE(D426, ""en"", ""hi"")"),"क) रक्षा से आक्रमण और कोण से आक्रमण की ओर संक्रमण करना।")</f>
        <v>क) रक्षा से आक्रमण और कोण से आक्रमण की ओर संक्रमण करना।</v>
      </c>
    </row>
    <row r="427" ht="22.5" customHeight="1">
      <c r="A427" s="2">
        <v>426.0</v>
      </c>
      <c r="B427" s="3" t="s">
        <v>13161</v>
      </c>
      <c r="C427" s="3" t="s">
        <v>13088</v>
      </c>
      <c r="D427" s="3" t="s">
        <v>13089</v>
      </c>
      <c r="F427" s="5" t="str">
        <f>IFERROR(__xludf.DUMMYFUNCTION("GOOGLETRANSLATE(A427, ""en"", ""hi"")"),"426")</f>
        <v>426</v>
      </c>
      <c r="G427" s="5" t="str">
        <f>IFERROR(__xludf.DUMMYFUNCTION("GOOGLETRANSLATE(B427, ""en"", ""hi"")"),"थांग-ता का अभ्यासी एक विकर्ण कट के बाद एक त्वरित साइडस्टेप करता है। विकर्ण कट के बाद साइडस्टेप का उद्देश्य क्या है?")</f>
        <v>थांग-ता का अभ्यासी एक विकर्ण कट के बाद एक त्वरित साइडस्टेप करता है। विकर्ण कट के बाद साइडस्टेप का उद्देश्य क्या है?</v>
      </c>
      <c r="H427" s="5" t="str">
        <f>IFERROR(__xludf.DUMMYFUNCTION("GOOGLETRANSLATE(C427, ""en"", ""hi"")"),"क) जवाबी हमले से बचने के लिए तथा अधिक प्रभावी अनुवर्ती चाल के लिए पुनः स्थिति में आना।, ख) चपलता प्रदर्शित करना।, ग) समय का अभ्यास करना।, घ) भ्रम पैदा करना।")</f>
        <v>क) जवाबी हमले से बचने के लिए तथा अधिक प्रभावी अनुवर्ती चाल के लिए पुनः स्थिति में आना।, ख) चपलता प्रदर्शित करना।, ग) समय का अभ्यास करना।, घ) भ्रम पैदा करना।</v>
      </c>
      <c r="I427" s="5" t="str">
        <f>IFERROR(__xludf.DUMMYFUNCTION("GOOGLETRANSLATE(D427, ""en"", ""hi"")"),"क) जवाबी हमले से बचने के लिए तथा अधिक प्रभावी अनुवर्ती कार्रवाई के लिए पुनः स्थिति में आना।")</f>
        <v>क) जवाबी हमले से बचने के लिए तथा अधिक प्रभावी अनुवर्ती कार्रवाई के लिए पुनः स्थिति में आना।</v>
      </c>
    </row>
    <row r="428" ht="22.5" customHeight="1">
      <c r="A428" s="2">
        <v>427.0</v>
      </c>
      <c r="B428" s="3" t="s">
        <v>13162</v>
      </c>
      <c r="C428" s="3" t="s">
        <v>13129</v>
      </c>
      <c r="D428" s="3" t="s">
        <v>13112</v>
      </c>
      <c r="F428" s="5" t="str">
        <f>IFERROR(__xludf.DUMMYFUNCTION("GOOGLETRANSLATE(A428, ""en"", ""hi"")"),"427")</f>
        <v>427</v>
      </c>
      <c r="G428" s="5" t="str">
        <f>IFERROR(__xludf.DUMMYFUNCTION("GOOGLETRANSLATE(B428, ""en"", ""hi"")"),"थांग-ता में, प्रतिभागी उच्च थ्रस्ट के बाद निम्न ब्लॉक करता है। उच्च थ्रस्ट के बाद निम्न ब्लॉक का मुख्य लाभ क्या है?")</f>
        <v>थांग-ता में, प्रतिभागी उच्च थ्रस्ट के बाद निम्न ब्लॉक करता है। उच्च थ्रस्ट के बाद निम्न ब्लॉक का मुख्य लाभ क्या है?</v>
      </c>
      <c r="H428" s="5" t="str">
        <f>IFERROR(__xludf.DUMMYFUNCTION("GOOGLETRANSLATE(C428, ""en"", ""hi"")"),"ए) आक्रमण से बचाव की ओर संक्रमण करना और संभावित जवाबी हमले से बचाव करना।, बी) कौशल का प्रदर्शन करना।, सी) समय का अभ्यास करना।, डी) भ्रम पैदा करना।")</f>
        <v>ए) आक्रमण से बचाव की ओर संक्रमण करना और संभावित जवाबी हमले से बचाव करना।, बी) कौशल का प्रदर्शन करना।, सी) समय का अभ्यास करना।, डी) भ्रम पैदा करना।</v>
      </c>
      <c r="I428" s="5" t="str">
        <f>IFERROR(__xludf.DUMMYFUNCTION("GOOGLETRANSLATE(D428, ""en"", ""hi"")"),"क) आक्रमण से बचाव की ओर संक्रमण करना तथा संभावित जवाबी हमले से बचाव करना।")</f>
        <v>क) आक्रमण से बचाव की ओर संक्रमण करना तथा संभावित जवाबी हमले से बचाव करना।</v>
      </c>
    </row>
    <row r="429" ht="22.5" customHeight="1">
      <c r="A429" s="2">
        <v>428.0</v>
      </c>
      <c r="B429" s="3" t="s">
        <v>13141</v>
      </c>
      <c r="C429" s="3" t="s">
        <v>13142</v>
      </c>
      <c r="D429" s="3" t="s">
        <v>13143</v>
      </c>
      <c r="F429" s="5" t="str">
        <f>IFERROR(__xludf.DUMMYFUNCTION("GOOGLETRANSLATE(A429, ""en"", ""hi"")"),"428")</f>
        <v>428</v>
      </c>
      <c r="G429" s="5" t="str">
        <f>IFERROR(__xludf.DUMMYFUNCTION("GOOGLETRANSLATE(B429, ""en"", ""hi"")"),"थांग-ता मुकाबले के दौरान, एक अभ्यासकर्ता लो कट के बाद स्पिनिंग स्ट्राइक करता है। लो कट के बाद स्पिनिंग स्ट्राइक का मुख्य उद्देश्य क्या है?")</f>
        <v>थांग-ता मुकाबले के दौरान, एक अभ्यासकर्ता लो कट के बाद स्पिनिंग स्ट्राइक करता है। लो कट के बाद स्पिनिंग स्ट्राइक का मुख्य उद्देश्य क्या है?</v>
      </c>
      <c r="H429" s="5" t="str">
        <f>IFERROR(__xludf.DUMMYFUNCTION("GOOGLETRANSLATE(C429, ""en"", ""hi"")"),"ए) एक अलग कोण से शक्तिशाली हमले के लिए कम कट से गति का उपयोग करना।, बी) कौशल का प्रदर्शन करना।, सी) सटीकता का अभ्यास करना।, डी) प्रतिद्वंद्वी को भ्रमित करना।")</f>
        <v>ए) एक अलग कोण से शक्तिशाली हमले के लिए कम कट से गति का उपयोग करना।, बी) कौशल का प्रदर्शन करना।, सी) सटीकता का अभ्यास करना।, डी) प्रतिद्वंद्वी को भ्रमित करना।</v>
      </c>
      <c r="I429" s="5" t="str">
        <f>IFERROR(__xludf.DUMMYFUNCTION("GOOGLETRANSLATE(D429, ""en"", ""hi"")"),"क) निम्न कट से प्राप्त गति का उपयोग भिन्न कोण से शक्तिशाली आक्रमण के लिए करना।")</f>
        <v>क) निम्न कट से प्राप्त गति का उपयोग भिन्न कोण से शक्तिशाली आक्रमण के लिए करना।</v>
      </c>
    </row>
    <row r="430" ht="22.5" customHeight="1">
      <c r="A430" s="2">
        <v>429.0</v>
      </c>
      <c r="B430" s="3" t="s">
        <v>13144</v>
      </c>
      <c r="C430" s="3" t="s">
        <v>13006</v>
      </c>
      <c r="D430" s="3" t="s">
        <v>13007</v>
      </c>
      <c r="F430" s="5" t="str">
        <f>IFERROR(__xludf.DUMMYFUNCTION("GOOGLETRANSLATE(A430, ""en"", ""hi"")"),"429")</f>
        <v>429</v>
      </c>
      <c r="G430" s="5" t="str">
        <f>IFERROR(__xludf.DUMMYFUNCTION("GOOGLETRANSLATE(B430, ""en"", ""hi"")"),"एक थांग-ता छात्र तेज़ी से ऊपर की ओर कट्स की एक श्रृंखला करता है। इन ऊपर की ओर कट्स का प्राथमिक लक्ष्य क्या है?")</f>
        <v>एक थांग-ता छात्र तेज़ी से ऊपर की ओर कट्स की एक श्रृंखला करता है। इन ऊपर की ओर कट्स का प्राथमिक लक्ष्य क्या है?</v>
      </c>
      <c r="H430" s="5" t="str">
        <f>IFERROR(__xludf.DUMMYFUNCTION("GOOGLETRANSLATE(C430, ""en"", ""hi"")"),"A) ऊपर से लगातार दबाव डालना और प्रतिद्वंद्वी को रक्षात्मक रुख अपनाने के लिए मजबूर करना।, B) गति दिखाना।, C) सटीकता का अभ्यास करना।, D) भ्रम पैदा करना।")</f>
        <v>A) ऊपर से लगातार दबाव डालना और प्रतिद्वंद्वी को रक्षात्मक रुख अपनाने के लिए मजबूर करना।, B) गति दिखाना।, C) सटीकता का अभ्यास करना।, D) भ्रम पैदा करना।</v>
      </c>
      <c r="I430" s="5" t="str">
        <f>IFERROR(__xludf.DUMMYFUNCTION("GOOGLETRANSLATE(D430, ""en"", ""hi"")"),"क) ऊपर से लगातार दबाव डालना और प्रतिद्वंद्वी को रक्षात्मक रुख अपनाने पर मजबूर करना।")</f>
        <v>क) ऊपर से लगातार दबाव डालना और प्रतिद्वंद्वी को रक्षात्मक रुख अपनाने पर मजबूर करना।</v>
      </c>
    </row>
    <row r="431" ht="22.5" customHeight="1">
      <c r="A431" s="2">
        <v>430.0</v>
      </c>
      <c r="B431" s="3" t="s">
        <v>13163</v>
      </c>
      <c r="C431" s="3" t="s">
        <v>13137</v>
      </c>
      <c r="D431" s="3" t="s">
        <v>12728</v>
      </c>
      <c r="F431" s="5" t="str">
        <f>IFERROR(__xludf.DUMMYFUNCTION("GOOGLETRANSLATE(A431, ""en"", ""hi"")"),"430")</f>
        <v>430</v>
      </c>
      <c r="G431" s="5" t="str">
        <f>IFERROR(__xludf.DUMMYFUNCTION("GOOGLETRANSLATE(B431, ""en"", ""hi"")"),"थांग-ता में, एक अभ्यासी एक उच्च ब्लॉक के बाद एक विकर्ण कट करता है। उच्च ब्लॉक के बाद विकर्ण कट का क्या लाभ है?")</f>
        <v>थांग-ता में, एक अभ्यासी एक उच्च ब्लॉक के बाद एक विकर्ण कट करता है। उच्च ब्लॉक के बाद विकर्ण कट का क्या लाभ है?</v>
      </c>
      <c r="H431" s="5" t="str">
        <f>IFERROR(__xludf.DUMMYFUNCTION("GOOGLETRANSLATE(C431, ""en"", ""hi"")"),"ए) बचाव से आक्रमण और कोण से आक्रमण में परिवर्तन करना।, बी) चपलता प्रदर्शित करना।, सी) समय का अभ्यास करना।, डी) प्रतिद्वंद्वी को भ्रमित करना।")</f>
        <v>ए) बचाव से आक्रमण और कोण से आक्रमण में परिवर्तन करना।, बी) चपलता प्रदर्शित करना।, सी) समय का अभ्यास करना।, डी) प्रतिद्वंद्वी को भ्रमित करना।</v>
      </c>
      <c r="I431" s="5" t="str">
        <f>IFERROR(__xludf.DUMMYFUNCTION("GOOGLETRANSLATE(D431, ""en"", ""hi"")"),"क) रक्षा से आक्रमण और कोण से आक्रमण की ओर संक्रमण करना।")</f>
        <v>क) रक्षा से आक्रमण और कोण से आक्रमण की ओर संक्रमण करना।</v>
      </c>
    </row>
    <row r="432" ht="22.5" customHeight="1">
      <c r="A432" s="2">
        <v>431.0</v>
      </c>
      <c r="B432" s="3" t="s">
        <v>13164</v>
      </c>
      <c r="C432" s="3" t="s">
        <v>13149</v>
      </c>
      <c r="D432" s="3" t="s">
        <v>12924</v>
      </c>
      <c r="F432" s="5" t="str">
        <f>IFERROR(__xludf.DUMMYFUNCTION("GOOGLETRANSLATE(A432, ""en"", ""hi"")"),"431")</f>
        <v>431</v>
      </c>
      <c r="G432" s="5" t="str">
        <f>IFERROR(__xludf.DUMMYFUNCTION("GOOGLETRANSLATE(B432, ""en"", ""hi"")"),"थांग-ता प्रशिक्षण के दौरान, एक छात्र निम्न स्वीप के बाद उच्च थ्रस्ट करता है। निम्न स्वीप के बाद उच्च थ्रस्ट का उद्देश्य क्या है?")</f>
        <v>थांग-ता प्रशिक्षण के दौरान, एक छात्र निम्न स्वीप के बाद उच्च थ्रस्ट करता है। निम्न स्वीप के बाद उच्च थ्रस्ट का उद्देश्य क्या है?</v>
      </c>
      <c r="H432" s="5" t="str">
        <f>IFERROR(__xludf.DUMMYFUNCTION("GOOGLETRANSLATE(C432, ""en"", ""hi"")"),"A) प्रतिद्वंद्वी के लो गार्ड का फायदा उठाना और ऊपर से वार करना।, B) कौशल का प्रदर्शन करना।, C) समय का अभ्यास करना।, D) भ्रम पैदा करना।")</f>
        <v>A) प्रतिद्वंद्वी के लो गार्ड का फायदा उठाना और ऊपर से वार करना।, B) कौशल का प्रदर्शन करना।, C) समय का अभ्यास करना।, D) भ्रम पैदा करना।</v>
      </c>
      <c r="I432" s="5" t="str">
        <f>IFERROR(__xludf.DUMMYFUNCTION("GOOGLETRANSLATE(D432, ""en"", ""hi"")"),"ए) प्रतिद्वंद्वी के लो गार्ड का फायदा उठाना और ऊपर से वार करना।")</f>
        <v>ए) प्रतिद्वंद्वी के लो गार्ड का फायदा उठाना और ऊपर से वार करना।</v>
      </c>
    </row>
    <row r="433" ht="22.5" customHeight="1">
      <c r="A433" s="2">
        <v>432.0</v>
      </c>
      <c r="B433" s="3" t="s">
        <v>13165</v>
      </c>
      <c r="C433" s="3" t="s">
        <v>13151</v>
      </c>
      <c r="D433" s="3" t="s">
        <v>13101</v>
      </c>
      <c r="F433" s="5" t="str">
        <f>IFERROR(__xludf.DUMMYFUNCTION("GOOGLETRANSLATE(A433, ""en"", ""hi"")"),"432")</f>
        <v>432</v>
      </c>
      <c r="G433" s="5" t="str">
        <f>IFERROR(__xludf.DUMMYFUNCTION("GOOGLETRANSLATE(B433, ""en"", ""hi"")"),"थांग-ता का अभ्यासी स्पिनिंग स्ट्राइक के बाद हाई ब्लॉक करता है। स्पिनिंग स्ट्राइक के बाद हाई ब्लॉक का मुख्य लाभ क्या है?")</f>
        <v>थांग-ता का अभ्यासी स्पिनिंग स्ट्राइक के बाद हाई ब्लॉक करता है। स्पिनिंग स्ट्राइक के बाद हाई ब्लॉक का मुख्य लाभ क्या है?</v>
      </c>
      <c r="H433" s="5" t="str">
        <f>IFERROR(__xludf.DUMMYFUNCTION("GOOGLETRANSLATE(C433, ""en"", ""hi"")"),"ए) आने वाले हमले से बचाव के लिए घूमते हुए प्रहार से उत्पन्न गति का उपयोग करना।, बी) चपलता प्रदर्शित करना।, सी) समय का अभ्यास करना।, डी) प्रतिद्वंद्वी को भ्रमित करना।")</f>
        <v>ए) आने वाले हमले से बचाव के लिए घूमते हुए प्रहार से उत्पन्न गति का उपयोग करना।, बी) चपलता प्रदर्शित करना।, सी) समय का अभ्यास करना।, डी) प्रतिद्वंद्वी को भ्रमित करना।</v>
      </c>
      <c r="I433" s="5" t="str">
        <f>IFERROR(__xludf.DUMMYFUNCTION("GOOGLETRANSLATE(D433, ""en"", ""hi"")"),"क) आने वाले हमले से बचाव के लिए घूमते हुए प्रहार से उत्पन्न गति का उपयोग करना।")</f>
        <v>क) आने वाले हमले से बचाव के लिए घूमते हुए प्रहार से उत्पन्न गति का उपयोग करना।</v>
      </c>
    </row>
    <row r="434" ht="22.5" customHeight="1">
      <c r="A434" s="2">
        <v>433.0</v>
      </c>
      <c r="B434" s="3" t="s">
        <v>13166</v>
      </c>
      <c r="C434" s="3" t="s">
        <v>13167</v>
      </c>
      <c r="D434" s="3" t="s">
        <v>13168</v>
      </c>
      <c r="F434" s="5" t="str">
        <f>IFERROR(__xludf.DUMMYFUNCTION("GOOGLETRANSLATE(A434, ""en"", ""hi"")"),"433")</f>
        <v>433</v>
      </c>
      <c r="G434" s="5" t="str">
        <f>IFERROR(__xludf.DUMMYFUNCTION("GOOGLETRANSLATE(B434, ""en"", ""hi"")"),"थांग-ता में, एक छात्र विकर्ण थ्रस्ट के बाद निम्न स्वीप करता है। विकर्ण थ्रस्ट के बाद निम्न स्वीप का प्राथमिक लक्ष्य क्या है?")</f>
        <v>थांग-ता में, एक छात्र विकर्ण थ्रस्ट के बाद निम्न स्वीप करता है। विकर्ण थ्रस्ट के बाद निम्न स्वीप का प्राथमिक लक्ष्य क्या है?</v>
      </c>
      <c r="H434" s="5" t="str">
        <f>IFERROR(__xludf.DUMMYFUNCTION("GOOGLETRANSLATE(C434, ""en"", ""hi"")"),"ए)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f>
        <v>ए) विकर्ण जोर और नीचे से प्रहार द्वारा बनाई गई खुली जगहों का फायदा उठाने के लिए, बी) कौशल का प्रदर्शन करने के लिए, सी) सटीकता का अभ्यास करने के लिए, डी) प्रतिद्वंद्वी को भ्रमित करने के लिए।</v>
      </c>
      <c r="I434" s="5" t="str">
        <f>IFERROR(__xludf.DUMMYFUNCTION("GOOGLETRANSLATE(D434, ""en"", ""hi"")"),"क) नीचे से विकर्ण प्रहार और प्रहार द्वारा निर्मित खुले स्थानों का लाभ उठाना।")</f>
        <v>क) नीचे से विकर्ण प्रहार और प्रहार द्वारा निर्मित खुले स्थानों का लाभ उठाना।</v>
      </c>
    </row>
    <row r="435" ht="22.5" customHeight="1">
      <c r="A435" s="2">
        <v>434.0</v>
      </c>
      <c r="B435" s="3" t="s">
        <v>13153</v>
      </c>
      <c r="C435" s="3" t="s">
        <v>13154</v>
      </c>
      <c r="D435" s="3" t="s">
        <v>13155</v>
      </c>
      <c r="F435" s="5" t="str">
        <f>IFERROR(__xludf.DUMMYFUNCTION("GOOGLETRANSLATE(A435, ""en"", ""hi"")"),"434")</f>
        <v>434</v>
      </c>
      <c r="G435" s="5" t="str">
        <f>IFERROR(__xludf.DUMMYFUNCTION("GOOGLETRANSLATE(B435, ""en"", ""hi"")"),"थांग-ता मैच के दौरान, एक प्रतिभागी एक हाई कट के बाद एक डायगोनल थ्रस्ट करता है। हाई कट के बाद डायगोनल थ्रस्ट का उद्देश्य क्या है?")</f>
        <v>थांग-ता मैच के दौरान, एक प्रतिभागी एक हाई कट के बाद एक डायगोनल थ्रस्ट करता है। हाई कट के बाद डायगोनल थ्रस्ट का उद्देश्य क्या है?</v>
      </c>
      <c r="H435" s="5" t="str">
        <f>IFERROR(__xludf.DUMMYFUNCTION("GOOGLETRANSLATE(C435, ""en"", ""hi"")"),"ए) उच्च कट से प्राप्त गति का उपयोग कोण से हमला करने के लिए करना।, बी) चपलता दिखाने के लिए।, सी) समय का अभ्यास करने के लिए।, डी) प्रतिद्वंद्वी को भ्रमित करने के लिए।")</f>
        <v>ए) उच्च कट से प्राप्त गति का उपयोग कोण से हमला करने के लिए करना।, बी) चपलता दिखाने के लिए।, सी) समय का अभ्यास करने के लिए।, डी) प्रतिद्वंद्वी को भ्रमित करने के लिए।</v>
      </c>
      <c r="I435" s="5" t="str">
        <f>IFERROR(__xludf.DUMMYFUNCTION("GOOGLETRANSLATE(D435, ""en"", ""hi"")"),"क) उच्च कट से प्राप्त गति का उपयोग कोण से आक्रमण करने के लिए करना।")</f>
        <v>क) उच्च कट से प्राप्त गति का उपयोग कोण से आक्रमण करने के लिए करना।</v>
      </c>
    </row>
    <row r="436" ht="22.5" customHeight="1">
      <c r="A436" s="2">
        <v>435.0</v>
      </c>
      <c r="B436" s="3" t="s">
        <v>13156</v>
      </c>
      <c r="C436" s="3" t="s">
        <v>12938</v>
      </c>
      <c r="D436" s="3" t="s">
        <v>12692</v>
      </c>
      <c r="F436" s="5" t="str">
        <f>IFERROR(__xludf.DUMMYFUNCTION("GOOGLETRANSLATE(A436, ""en"", ""hi"")"),"435")</f>
        <v>435</v>
      </c>
      <c r="G436" s="5" t="str">
        <f>IFERROR(__xludf.DUMMYFUNCTION("GOOGLETRANSLATE(B436, ""en"", ""hi"")"),"एक थांग-ता छात्र एक निम्न ब्लॉक के बाद एक उच्च थ्रस्ट करता है। निम्न ब्लॉक के बाद उच्च थ्रस्ट का मुख्य लाभ क्या है?")</f>
        <v>एक थांग-ता छात्र एक निम्न ब्लॉक के बाद एक उच्च थ्रस्ट करता है। निम्न ब्लॉक के बाद उच्च थ्रस्ट का मुख्य लाभ क्या है?</v>
      </c>
      <c r="H436" s="5" t="str">
        <f>IFERROR(__xludf.DUMMYFUNCTION("GOOGLETRANSLATE(C436, ""en"", ""hi"")"),"ए)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f>
        <v>ए) बचाव से आक्रमण की ओर संक्रमण करना और प्रतिद्वंद्वी के ऊपरी शरीर को निशाना बनाना।, बी) कौशल का प्रदर्शन करना।, सी) समय का अभ्यास करना।, डी) प्रतिद्वंद्वी को भ्रमित करना।</v>
      </c>
      <c r="I436" s="5" t="str">
        <f>IFERROR(__xludf.DUMMYFUNCTION("GOOGLETRANSLATE(D436, ""en"", ""hi"")"),"ए) बचाव से आक्रमण की ओर संक्रमण करना और प्रतिद्वंद्वी के ऊपरी शरीर को निशाना बनाना।")</f>
        <v>ए) बचाव से आक्रमण की ओर संक्रमण करना और प्रतिद्वंद्वी के ऊपरी शरीर को निशाना बनाना।</v>
      </c>
    </row>
    <row r="437" ht="22.5" customHeight="1">
      <c r="A437" s="2">
        <v>436.0</v>
      </c>
      <c r="B437" s="3" t="s">
        <v>13157</v>
      </c>
      <c r="C437" s="3" t="s">
        <v>13158</v>
      </c>
      <c r="D437" s="3" t="s">
        <v>13159</v>
      </c>
      <c r="F437" s="5" t="str">
        <f>IFERROR(__xludf.DUMMYFUNCTION("GOOGLETRANSLATE(A437, ""en"", ""hi"")"),"436")</f>
        <v>436</v>
      </c>
      <c r="G437" s="5" t="str">
        <f>IFERROR(__xludf.DUMMYFUNCTION("GOOGLETRANSLATE(B437, ""en"", ""hi"")"),"थांग-ता में, अभ्यासी उच्च थ्रस्ट के बाद निम्न कट करता है। उच्च थ्रस्ट के बाद निम्न कट का क्या लाभ है?")</f>
        <v>थांग-ता में, अभ्यासी उच्च थ्रस्ट के बाद निम्न कट करता है। उच्च थ्रस्ट के बाद निम्न कट का क्या लाभ है?</v>
      </c>
      <c r="H437" s="5" t="str">
        <f>IFERROR(__xludf.DUMMYFUNCTION("GOOGLETRANSLATE(C437, ""en"", ""hi"")"),"A) उच्च जोर और नीचे से प्रहार द्वारा बनाए गए खुले स्थानों का लाभ उठाना।, B) गति का प्रदर्शन करना।, C) सटीकता का अभ्यास करना।, D) भ्रम पैदा करना।")</f>
        <v>A) उच्च जोर और नीचे से प्रहार द्वारा बनाए गए खुले स्थानों का लाभ उठाना।, B) गति का प्रदर्शन करना।, C) सटीकता का अभ्यास करना।, D) भ्रम पैदा करना।</v>
      </c>
      <c r="I437" s="5" t="str">
        <f>IFERROR(__xludf.DUMMYFUNCTION("GOOGLETRANSLATE(D437, ""en"", ""hi"")"),"क) उच्च दबाव और नीचे से प्रहार द्वारा उत्पन्न अवसरों का लाभ उठाना।")</f>
        <v>क) उच्च दबाव और नीचे से प्रहार द्वारा उत्पन्न अवसरों का लाभ उठाना।</v>
      </c>
    </row>
  </sheetData>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4" width="37.63"/>
    <col customWidth="1" min="7" max="9" width="37.63"/>
  </cols>
  <sheetData>
    <row r="1" ht="22.5" customHeight="1">
      <c r="A1" s="1" t="s">
        <v>0</v>
      </c>
      <c r="B1" s="1" t="s">
        <v>1</v>
      </c>
      <c r="C1" s="1" t="s">
        <v>2</v>
      </c>
      <c r="D1" s="1" t="s">
        <v>3</v>
      </c>
      <c r="F1" s="4" t="s">
        <v>4</v>
      </c>
      <c r="G1" s="4" t="s">
        <v>5</v>
      </c>
      <c r="H1" s="4" t="s">
        <v>6</v>
      </c>
      <c r="I1" s="4" t="s">
        <v>7</v>
      </c>
    </row>
    <row r="2" ht="22.5" customHeight="1">
      <c r="A2" s="8">
        <v>1.0</v>
      </c>
      <c r="B2" s="3" t="s">
        <v>13169</v>
      </c>
      <c r="C2" s="3" t="s">
        <v>13170</v>
      </c>
      <c r="D2" s="3" t="s">
        <v>13171</v>
      </c>
      <c r="F2" s="5" t="str">
        <f>IFERROR(__xludf.DUMMYFUNCTION("GOOGLETRANSLATE(A2, ""en"", ""hi"")"),"1")</f>
        <v>1</v>
      </c>
      <c r="G2" s="5" t="str">
        <f>IFERROR(__xludf.DUMMYFUNCTION("GOOGLETRANSLATE(B2, ""en"", ""hi"")"),"एक मुकना मैच में, खिलाड़ी A एक सफल ग्रैपल करता है जिसके कारण खिलाड़ी B गिर जाता है। हालाँकि, रेफरी द्वारा गिरने की गिनती करने से पहले ही खिलाड़ी B अपना संतुलन वापस पा लेता है। रेफरी का निर्णय क्या होना चाहिए?")</f>
        <v>एक मुकना मैच में, खिलाड़ी A एक सफल ग्रैपल करता है जिसके कारण खिलाड़ी B गिर जाता है। हालाँकि, रेफरी द्वारा गिरने की गिनती करने से पहले ही खिलाड़ी B अपना संतुलन वापस पा लेता है। रेफरी का निर्णय क्या होना चाहिए?</v>
      </c>
      <c r="H2" s="5" t="str">
        <f>IFERROR(__xludf.DUMMYFUNCTION("GOOGLETRANSLATE(C2, ""en"", ""hi"")"),"ए) खिलाड़ी ए को अंक प्रदान करें। बी) खिलाड़ी बी को अंक प्रदान करें। सी) मैच को शुरू से पुनः शुरू करें। डी) दोनों खिलाड़ियों को चेतावनी जारी करें।")</f>
        <v>ए) खिलाड़ी ए को अंक प्रदान करें। बी) खिलाड़ी बी को अंक प्रदान करें। सी) मैच को शुरू से पुनः शुरू करें। डी) दोनों खिलाड़ियों को चेतावनी जारी करें।</v>
      </c>
      <c r="I2" s="5" t="str">
        <f>IFERROR(__xludf.DUMMYFUNCTION("GOOGLETRANSLATE(D2, ""en"", ""hi"")"),"बी) खिलाड़ी बी को अंक प्रदान करें।")</f>
        <v>बी) खिलाड़ी बी को अंक प्रदान करें।</v>
      </c>
    </row>
    <row r="3" ht="22.5" customHeight="1">
      <c r="A3" s="8">
        <v>2.0</v>
      </c>
      <c r="B3" s="3" t="s">
        <v>13172</v>
      </c>
      <c r="C3" s="3" t="s">
        <v>13173</v>
      </c>
      <c r="D3" s="3" t="s">
        <v>13174</v>
      </c>
      <c r="F3" s="5" t="str">
        <f>IFERROR(__xludf.DUMMYFUNCTION("GOOGLETRANSLATE(A3, ""en"", ""hi"")"),"2")</f>
        <v>2</v>
      </c>
      <c r="G3" s="5" t="str">
        <f>IFERROR(__xludf.DUMMYFUNCTION("GOOGLETRANSLATE(B3, ""en"", ""hi"")"),"मुकना प्रतियोगिता के दौरान, खिलाड़ी X एक ऐसी तकनीक का इस्तेमाल करता है जिसमें तेज़ कंधे से धक्का देना शामिल है। खिलाड़ी Y, जो एक जवाबी चाल के बीच में था, ज़मीन पर गिर जाता है। नियमों के अनुसार, गिरने का मूल्यांकन कैसे किया जाता है?")</f>
        <v>मुकना प्रतियोगिता के दौरान, खिलाड़ी X एक ऐसी तकनीक का इस्तेमाल करता है जिसमें तेज़ कंधे से धक्का देना शामिल है। खिलाड़ी Y, जो एक जवाबी चाल के बीच में था, ज़मीन पर गिर जाता है। नियमों के अनुसार, गिरने का मूल्यांकन कैसे किया जाता है?</v>
      </c>
      <c r="H3" s="5" t="str">
        <f>IFERROR(__xludf.DUMMYFUNCTION("GOOGLETRANSLATE(C3, ""en"", ""hi"")"),"A) खिलाड़ी X राउंड जीतता है। , B) खिलाड़ी Y राउंड जीतता है। , C) राउंड को ड्रॉ माना जाता है। , D) खिलाड़ी X को पेनल्टी जारी की जाती है।")</f>
        <v>A) खिलाड़ी X राउंड जीतता है। , B) खिलाड़ी Y राउंड जीतता है। , C) राउंड को ड्रॉ माना जाता है। , D) खिलाड़ी X को पेनल्टी जारी की जाती है।</v>
      </c>
      <c r="I3" s="5" t="str">
        <f>IFERROR(__xludf.DUMMYFUNCTION("GOOGLETRANSLATE(D3, ""en"", ""hi"")"),"A) खिलाड़ी X राउंड जीतता है।")</f>
        <v>A) खिलाड़ी X राउंड जीतता है।</v>
      </c>
    </row>
    <row r="4" ht="22.5" customHeight="1">
      <c r="A4" s="8">
        <v>3.0</v>
      </c>
      <c r="B4" s="3" t="s">
        <v>13175</v>
      </c>
      <c r="C4" s="3" t="s">
        <v>13176</v>
      </c>
      <c r="D4" s="3" t="s">
        <v>608</v>
      </c>
      <c r="F4" s="5" t="str">
        <f>IFERROR(__xludf.DUMMYFUNCTION("GOOGLETRANSLATE(A4, ""en"", ""hi"")"),"3")</f>
        <v>3</v>
      </c>
      <c r="G4" s="5" t="str">
        <f>IFERROR(__xludf.DUMMYFUNCTION("GOOGLETRANSLATE(B4, ""en"", ""hi"")"),"एक मुकना टूर्नामेंट में, खिलाड़ी A और खिलाड़ी B तीन राउंड के मैच में प्रतिस्पर्धा कर रहे हैं। खिलाड़ी A पहले दो राउंड जीतता है। मैच जीतने के लिए खिलाड़ी B को कम से कम कितने राउंड जीतने होंगे?")</f>
        <v>एक मुकना टूर्नामेंट में, खिलाड़ी A और खिलाड़ी B तीन राउंड के मैच में प्रतिस्पर्धा कर रहे हैं। खिलाड़ी A पहले दो राउंड जीतता है। मैच जीतने के लिए खिलाड़ी B को कम से कम कितने राउंड जीतने होंगे?</v>
      </c>
      <c r="H4" s="5" t="str">
        <f>IFERROR(__xludf.DUMMYFUNCTION("GOOGLETRANSLATE(C4, ""en"", ""hi"")"),"ए) 1 , बी) 2 , सी) 3 , डी) 4")</f>
        <v>ए) 1 , बी) 2 , सी) 3 , डी) 4</v>
      </c>
      <c r="I4" s="5" t="str">
        <f>IFERROR(__xludf.DUMMYFUNCTION("GOOGLETRANSLATE(D4, ""en"", ""hi"")"),"बी) 2")</f>
        <v>बी) 2</v>
      </c>
    </row>
    <row r="5" ht="22.5" customHeight="1">
      <c r="A5" s="8">
        <v>4.0</v>
      </c>
      <c r="B5" s="3" t="s">
        <v>13177</v>
      </c>
      <c r="C5" s="3" t="s">
        <v>13178</v>
      </c>
      <c r="D5" s="3" t="s">
        <v>13179</v>
      </c>
      <c r="F5" s="5" t="str">
        <f>IFERROR(__xludf.DUMMYFUNCTION("GOOGLETRANSLATE(A5, ""en"", ""hi"")"),"4")</f>
        <v>4</v>
      </c>
      <c r="G5" s="5" t="str">
        <f>IFERROR(__xludf.DUMMYFUNCTION("GOOGLETRANSLATE(B5, ""en"", ""hi"")"),"मुकना मुकाबले के दौरान, यदि दोनों खिलाड़ी एक साथ गिर जाते हैं और कोई भी आगे नहीं खेल पाता, तो मैच का समाधान आमतौर पर कैसे होता है?")</f>
        <v>मुकना मुकाबले के दौरान, यदि दोनों खिलाड़ी एक साथ गिर जाते हैं और कोई भी आगे नहीं खेल पाता, तो मैच का समाधान आमतौर पर कैसे होता है?</v>
      </c>
      <c r="H5" s="5" t="str">
        <f>IFERROR(__xludf.DUMMYFUNCTION("GOOGLETRANSLATE(C5, ""en"", ""hi"")"),"A) सबसे सफल चाल वाला खिलाड़ी जीतता है। , B) मैच को ड्रा घोषित किया जाता है। , C) पुनः मैच निर्धारित किया जाता है। , D) दोनों खिलाड़ियों को अयोग्य घोषित कर दिया जाता है।")</f>
        <v>A) सबसे सफल चाल वाला खिलाड़ी जीतता है। , B) मैच को ड्रा घोषित किया जाता है। , C) पुनः मैच निर्धारित किया जाता है। , D) दोनों खिलाड़ियों को अयोग्य घोषित कर दिया जाता है।</v>
      </c>
      <c r="I5" s="5" t="str">
        <f>IFERROR(__xludf.DUMMYFUNCTION("GOOGLETRANSLATE(D5, ""en"", ""hi"")"),"बी) मैच ड्रा घोषित किया गया।")</f>
        <v>बी) मैच ड्रा घोषित किया गया।</v>
      </c>
    </row>
    <row r="6" ht="22.5" customHeight="1">
      <c r="A6" s="8">
        <v>5.0</v>
      </c>
      <c r="B6" s="3" t="s">
        <v>13180</v>
      </c>
      <c r="C6" s="3" t="s">
        <v>13181</v>
      </c>
      <c r="D6" s="3" t="s">
        <v>4625</v>
      </c>
      <c r="F6" s="5" t="str">
        <f>IFERROR(__xludf.DUMMYFUNCTION("GOOGLETRANSLATE(A6, ""en"", ""hi"")"),"5")</f>
        <v>5</v>
      </c>
      <c r="G6" s="5" t="str">
        <f>IFERROR(__xludf.DUMMYFUNCTION("GOOGLETRANSLATE(B6, ""en"", ""hi"")"),"खिलाड़ी X एक मुकना तकनीक का इस्तेमाल कर रहा है जिसमें गिरने से बचने के लिए तेज़ पार्श्व गति की आवश्यकता होती है। हालाँकि, खिलाड़ी Y पकड़ बनाने में कामयाब हो जाता है। अगर खिलाड़ी X पकड़ने के बाद गिर जाता है, तो विजेता कौन घोषित किया जाएगा?")</f>
        <v>खिलाड़ी X एक मुकना तकनीक का इस्तेमाल कर रहा है जिसमें गिरने से बचने के लिए तेज़ पार्श्व गति की आवश्यकता होती है। हालाँकि, खिलाड़ी Y पकड़ बनाने में कामयाब हो जाता है। अगर खिलाड़ी X पकड़ने के बाद गिर जाता है, तो विजेता कौन घोषित किया जाएगा?</v>
      </c>
      <c r="H6" s="5" t="str">
        <f>IFERROR(__xludf.DUMMYFUNCTION("GOOGLETRANSLATE(C6, ""en"", ""hi"")"),"A) खिलाड़ी X, B) खिलाड़ी Y, C) मैच बराबरी पर है, D) रेफरी प्रदर्शन के आधार पर निर्णय लेता है")</f>
        <v>A) खिलाड़ी X, B) खिलाड़ी Y, C) मैच बराबरी पर है, D) रेफरी प्रदर्शन के आधार पर निर्णय लेता है</v>
      </c>
      <c r="I6" s="5" t="str">
        <f>IFERROR(__xludf.DUMMYFUNCTION("GOOGLETRANSLATE(D6, ""en"", ""hi"")"),"बी) खिलाड़ी वाई")</f>
        <v>बी) खिलाड़ी वाई</v>
      </c>
    </row>
    <row r="7" ht="22.5" customHeight="1">
      <c r="A7" s="8">
        <v>6.0</v>
      </c>
      <c r="B7" s="3" t="s">
        <v>13182</v>
      </c>
      <c r="C7" s="3" t="s">
        <v>13183</v>
      </c>
      <c r="D7" s="3" t="s">
        <v>13184</v>
      </c>
      <c r="F7" s="5" t="str">
        <f>IFERROR(__xludf.DUMMYFUNCTION("GOOGLETRANSLATE(A7, ""en"", ""hi"")"),"6")</f>
        <v>6</v>
      </c>
      <c r="G7" s="5" t="str">
        <f>IFERROR(__xludf.DUMMYFUNCTION("GOOGLETRANSLATE(B7, ""en"", ""hi"")"),"मुकना मैच में, खिलाड़ी A, खिलाड़ी B के हमले को रोकने के लिए रक्षात्मक तकनीक का इस्तेमाल करता है। खिलाड़ी B अपना संतुलन खो देता है और गिर जाता है। रेफरी का संभावित निर्णय क्या होगा?")</f>
        <v>मुकना मैच में, खिलाड़ी A, खिलाड़ी B के हमले को रोकने के लिए रक्षात्मक तकनीक का इस्तेमाल करता है। खिलाड़ी B अपना संतुलन खो देता है और गिर जाता है। रेफरी का संभावित निर्णय क्या होगा?</v>
      </c>
      <c r="H7" s="5" t="str">
        <f>IFERROR(__xludf.DUMMYFUNCTION("GOOGLETRANSLATE(C7, ""en"", ""hi"")"),"A) खिलाड़ी A को राउंड का विजेता घोषित किया जाता है। , B) खिलाड़ी B को राउंड का विजेता घोषित किया जाता है। , C) राउंड पुनः खेला जाता है। , D) खिलाड़ी A को चेतावनी मिलती है।")</f>
        <v>A) खिलाड़ी A को राउंड का विजेता घोषित किया जाता है। , B) खिलाड़ी B को राउंड का विजेता घोषित किया जाता है। , C) राउंड पुनः खेला जाता है। , D) खिलाड़ी A को चेतावनी मिलती है।</v>
      </c>
      <c r="I7" s="5" t="str">
        <f>IFERROR(__xludf.DUMMYFUNCTION("GOOGLETRANSLATE(D7, ""en"", ""hi"")"),"A) खिलाड़ी A को राउंड का विजेता घोषित किया जाता है।")</f>
        <v>A) खिलाड़ी A को राउंड का विजेता घोषित किया जाता है।</v>
      </c>
    </row>
    <row r="8" ht="22.5" customHeight="1">
      <c r="A8" s="8">
        <v>7.0</v>
      </c>
      <c r="B8" s="3" t="s">
        <v>13185</v>
      </c>
      <c r="C8" s="3" t="s">
        <v>13186</v>
      </c>
      <c r="D8" s="3" t="s">
        <v>13174</v>
      </c>
      <c r="F8" s="5" t="str">
        <f>IFERROR(__xludf.DUMMYFUNCTION("GOOGLETRANSLATE(A8, ""en"", ""hi"")"),"7")</f>
        <v>7</v>
      </c>
      <c r="G8" s="5" t="str">
        <f>IFERROR(__xludf.DUMMYFUNCTION("GOOGLETRANSLATE(B8, ""en"", ""hi"")"),"मुकना मैच के दौरान, खिलाड़ी X एक काउंटर मूव करता है जिसके परिणामस्वरूप खिलाड़ी Y निर्धारित क्षेत्र से बाहर गिर जाता है। रेफरी का क्या फैसला होना चाहिए?")</f>
        <v>मुकना मैच के दौरान, खिलाड़ी X एक काउंटर मूव करता है जिसके परिणामस्वरूप खिलाड़ी Y निर्धारित क्षेत्र से बाहर गिर जाता है। रेफरी का क्या फैसला होना चाहिए?</v>
      </c>
      <c r="H8" s="5" t="str">
        <f>IFERROR(__xludf.DUMMYFUNCTION("GOOGLETRANSLATE(C8, ""en"", ""hi"")"),"A) खिलाड़ी X राउंड जीतता है। , B) खिलाड़ी Y राउंड जीतता है। , C) राउंड को शून्य घोषित किया जाता है। , D) खिलाड़ी X को पेनल्टी दी जाती है।")</f>
        <v>A) खिलाड़ी X राउंड जीतता है। , B) खिलाड़ी Y राउंड जीतता है। , C) राउंड को शून्य घोषित किया जाता है। , D) खिलाड़ी X को पेनल्टी दी जाती है।</v>
      </c>
      <c r="I8" s="5" t="str">
        <f>IFERROR(__xludf.DUMMYFUNCTION("GOOGLETRANSLATE(D8, ""en"", ""hi"")"),"A) खिलाड़ी X राउंड जीतता है।")</f>
        <v>A) खिलाड़ी X राउंड जीतता है।</v>
      </c>
    </row>
    <row r="9" ht="22.5" customHeight="1">
      <c r="A9" s="8">
        <v>8.0</v>
      </c>
      <c r="B9" s="3" t="s">
        <v>13187</v>
      </c>
      <c r="C9" s="3" t="s">
        <v>13188</v>
      </c>
      <c r="D9" s="3" t="s">
        <v>13189</v>
      </c>
      <c r="F9" s="5" t="str">
        <f>IFERROR(__xludf.DUMMYFUNCTION("GOOGLETRANSLATE(A9, ""en"", ""hi"")"),"8")</f>
        <v>8</v>
      </c>
      <c r="G9" s="5" t="str">
        <f>IFERROR(__xludf.DUMMYFUNCTION("GOOGLETRANSLATE(B9, ""en"", ""hi"")"),"यदि खिलाड़ी 'ए' को मुकना मैच के दौरान खेल भावना के विपरीत आचरण के कारण अयोग्य घोषित कर दिया जाता है, तो खिलाड़ी 'ए' द्वारा जीते गए अंकों या राउंड का क्या होगा?")</f>
        <v>यदि खिलाड़ी 'ए' को मुकना मैच के दौरान खेल भावना के विपरीत आचरण के कारण अयोग्य घोषित कर दिया जाता है, तो खिलाड़ी 'ए' द्वारा जीते गए अंकों या राउंड का क्या होगा?</v>
      </c>
      <c r="H9" s="5" t="str">
        <f>IFERROR(__xludf.DUMMYFUNCTION("GOOGLETRANSLATE(C9, ""en"", ""hi"")"),"A) उन्हें खिलाड़ी B को हस्तांतरित कर दिया जाता है। , B) उन्हें रद्द कर दिया जाता है। , C) मैच पुनः शुरू किया जाता है। , D) खिलाड़ी B को विजेता घोषित किया जाता है।")</f>
        <v>A) उन्हें खिलाड़ी B को हस्तांतरित कर दिया जाता है। , B) उन्हें रद्द कर दिया जाता है। , C) मैच पुनः शुरू किया जाता है। , D) खिलाड़ी B को विजेता घोषित किया जाता है।</v>
      </c>
      <c r="I9" s="5" t="str">
        <f>IFERROR(__xludf.DUMMYFUNCTION("GOOGLETRANSLATE(D9, ""en"", ""hi"")"),"बी) वे निरस्त हो जाते हैं।")</f>
        <v>बी) वे निरस्त हो जाते हैं।</v>
      </c>
    </row>
    <row r="10" ht="22.5" customHeight="1">
      <c r="A10" s="8">
        <v>9.0</v>
      </c>
      <c r="B10" s="3" t="s">
        <v>13190</v>
      </c>
      <c r="C10" s="3" t="s">
        <v>13191</v>
      </c>
      <c r="D10" s="3" t="s">
        <v>13192</v>
      </c>
      <c r="F10" s="5" t="str">
        <f>IFERROR(__xludf.DUMMYFUNCTION("GOOGLETRANSLATE(A10, ""en"", ""hi"")"),"9")</f>
        <v>9</v>
      </c>
      <c r="G10" s="5" t="str">
        <f>IFERROR(__xludf.DUMMYFUNCTION("GOOGLETRANSLATE(B10, ""en"", ""hi"")"),"मुकना प्रतियोगिता में यदि कोई खिलाड़ी जीत सुनिश्चित करने के लिए जानबूझकर अवैध चालों का उपयोग करता है, तो सामान्य दंड क्या है?")</f>
        <v>मुकना प्रतियोगिता में यदि कोई खिलाड़ी जीत सुनिश्चित करने के लिए जानबूझकर अवैध चालों का उपयोग करता है, तो सामान्य दंड क्या है?</v>
      </c>
      <c r="H10" s="5" t="str">
        <f>IFERROR(__xludf.DUMMYFUNCTION("GOOGLETRANSLATE(C10, ""en"", ""hi"")"),"ए) अयोग्यता।, बी) अंकों की कटौती।, सी) चेतावनी।, डी) मैच पुनः खेलना।")</f>
        <v>ए) अयोग्यता।, बी) अंकों की कटौती।, सी) चेतावनी।, डी) मैच पुनः खेलना।</v>
      </c>
      <c r="I10" s="5" t="str">
        <f>IFERROR(__xludf.DUMMYFUNCTION("GOOGLETRANSLATE(D10, ""en"", ""hi"")"),"अ) अयोग्यता.")</f>
        <v>अ) अयोग्यता.</v>
      </c>
    </row>
    <row r="11" ht="22.5" customHeight="1">
      <c r="A11" s="8">
        <v>10.0</v>
      </c>
      <c r="B11" s="3" t="s">
        <v>13193</v>
      </c>
      <c r="C11" s="3" t="s">
        <v>13194</v>
      </c>
      <c r="D11" s="3" t="s">
        <v>13195</v>
      </c>
      <c r="F11" s="5" t="str">
        <f>IFERROR(__xludf.DUMMYFUNCTION("GOOGLETRANSLATE(A11, ""en"", ""hi"")"),"10")</f>
        <v>10</v>
      </c>
      <c r="G11" s="5" t="str">
        <f>IFERROR(__xludf.DUMMYFUNCTION("GOOGLETRANSLATE(B11, ""en"", ""hi"")"),"खिलाड़ी X और खिलाड़ी Y एक मुकना मुकाबले में हैं। अगर खिलाड़ी X एक ऐसी चाल सफलतापूर्वक चलता है जिससे खिलाड़ी Y गिर जाता है, लेकिन खिलाड़ी Y जल्दी से संभल जाता है, तो कौन जीतता है?")</f>
        <v>खिलाड़ी X और खिलाड़ी Y एक मुकना मुकाबले में हैं। अगर खिलाड़ी X एक ऐसी चाल सफलतापूर्वक चलता है जिससे खिलाड़ी Y गिर जाता है, लेकिन खिलाड़ी Y जल्दी से संभल जाता है, तो कौन जीतता है?</v>
      </c>
      <c r="H11" s="5" t="str">
        <f>IFERROR(__xludf.DUMMYFUNCTION("GOOGLETRANSLATE(C11, ""en"", ""hi"")"),"ए) खिलाड़ी एक्स, बी) खिलाड़ी वाई, सी) राउंड को ड्रॉ माना जाता है, डी) राउंड के लिए मैच विजेता के बिना जारी रहता है")</f>
        <v>ए) खिलाड़ी एक्स, बी) खिलाड़ी वाई, सी) राउंड को ड्रॉ माना जाता है, डी) राउंड के लिए मैच विजेता के बिना जारी रहता है</v>
      </c>
      <c r="I11" s="5" t="str">
        <f>IFERROR(__xludf.DUMMYFUNCTION("GOOGLETRANSLATE(D11, ""en"", ""hi"")"),"ए) खिलाड़ी एक्स")</f>
        <v>ए) खिलाड़ी एक्स</v>
      </c>
    </row>
    <row r="12" ht="22.5" customHeight="1">
      <c r="A12" s="8">
        <v>11.0</v>
      </c>
      <c r="B12" s="3" t="s">
        <v>13196</v>
      </c>
      <c r="C12" s="3" t="s">
        <v>13197</v>
      </c>
      <c r="D12" s="3" t="s">
        <v>13198</v>
      </c>
      <c r="F12" s="5" t="str">
        <f>IFERROR(__xludf.DUMMYFUNCTION("GOOGLETRANSLATE(A12, ""en"", ""hi"")"),"11")</f>
        <v>11</v>
      </c>
      <c r="G12" s="5" t="str">
        <f>IFERROR(__xludf.DUMMYFUNCTION("GOOGLETRANSLATE(B12, ""en"", ""hi"")"),"मुकना टूर्नामेंट में, 5 राउंड के मैच में चैंपियन घोषित होने के लिए एक खिलाड़ी अधिकतम कितने राउंड जीत सकता है?")</f>
        <v>मुकना टूर्नामेंट में, 5 राउंड के मैच में चैंपियन घोषित होने के लिए एक खिलाड़ी अधिकतम कितने राउंड जीत सकता है?</v>
      </c>
      <c r="H12" s="5" t="str">
        <f>IFERROR(__xludf.DUMMYFUNCTION("GOOGLETRANSLATE(C12, ""en"", ""hi"")"),"ए) 3 , बी) 4 , सी) 5 , डी) 2")</f>
        <v>ए) 3 , बी) 4 , सी) 5 , डी) 2</v>
      </c>
      <c r="I12" s="5" t="str">
        <f>IFERROR(__xludf.DUMMYFUNCTION("GOOGLETRANSLATE(D12, ""en"", ""hi"")"),"ए) 3")</f>
        <v>ए) 3</v>
      </c>
    </row>
    <row r="13" ht="22.5" customHeight="1">
      <c r="A13" s="8">
        <v>12.0</v>
      </c>
      <c r="B13" s="3" t="s">
        <v>13199</v>
      </c>
      <c r="C13" s="3" t="s">
        <v>13200</v>
      </c>
      <c r="D13" s="3" t="s">
        <v>13201</v>
      </c>
      <c r="F13" s="5" t="str">
        <f>IFERROR(__xludf.DUMMYFUNCTION("GOOGLETRANSLATE(A13, ""en"", ""hi"")"),"12")</f>
        <v>12</v>
      </c>
      <c r="G13" s="5" t="str">
        <f>IFERROR(__xludf.DUMMYFUNCTION("GOOGLETRANSLATE(B13, ""en"", ""hi"")"),"मुकना मैच के दौरान, खिलाड़ी A एक ऐसी चाल चलता है जिससे अनजाने में खिलाड़ी B गिर जाता है, लेकिन खिलाड़ी B को चोट भी लग जाती है। रेफरी को क्या कार्रवाई करनी चाहिए?")</f>
        <v>मुकना मैच के दौरान, खिलाड़ी A एक ऐसी चाल चलता है जिससे अनजाने में खिलाड़ी B गिर जाता है, लेकिन खिलाड़ी B को चोट भी लग जाती है। रेफरी को क्या कार्रवाई करनी चाहिए?</v>
      </c>
      <c r="H13" s="5" t="str">
        <f>IFERROR(__xludf.DUMMYFUNCTION("GOOGLETRANSLATE(C13, ""en"", ""hi"")"),"ए) खिलाड़ी ए को राउंड प्रदान करें। बी) मैच समाप्त करें और खिलाड़ी बी को विजेता घोषित करें। सी) चिकित्सा सहायता के लिए बुलाएं और स्थिति का मूल्यांकन करें। डी) खिलाड़ी ए को अयोग्य घोषित करें।")</f>
        <v>ए) खिलाड़ी ए को राउंड प्रदान करें। बी) मैच समाप्त करें और खिलाड़ी बी को विजेता घोषित करें। सी) चिकित्सा सहायता के लिए बुलाएं और स्थिति का मूल्यांकन करें। डी) खिलाड़ी ए को अयोग्य घोषित करें।</v>
      </c>
      <c r="I13" s="5" t="str">
        <f>IFERROR(__xludf.DUMMYFUNCTION("GOOGLETRANSLATE(D13, ""en"", ""hi"")"),"ग) चिकित्सा सहायता के लिए बुलाएं और स्थिति का मूल्यांकन करें।")</f>
        <v>ग) चिकित्सा सहायता के लिए बुलाएं और स्थिति का मूल्यांकन करें।</v>
      </c>
    </row>
    <row r="14" ht="22.5" customHeight="1">
      <c r="A14" s="8">
        <v>13.0</v>
      </c>
      <c r="B14" s="3" t="s">
        <v>13202</v>
      </c>
      <c r="C14" s="3" t="s">
        <v>13203</v>
      </c>
      <c r="D14" s="3" t="s">
        <v>13204</v>
      </c>
      <c r="F14" s="5" t="str">
        <f>IFERROR(__xludf.DUMMYFUNCTION("GOOGLETRANSLATE(A14, ""en"", ""hi"")"),"13")</f>
        <v>13</v>
      </c>
      <c r="G14" s="5" t="str">
        <f>IFERROR(__xludf.DUMMYFUNCTION("GOOGLETRANSLATE(B14, ""en"", ""hi"")"),"खिलाड़ी X एक मुकना मैच में भाग ले रहा है और एक ऐसी तकनीक का इस्तेमाल करता है जिसे रेफरी ने अवैध माना है। इस कार्रवाई का अपेक्षित परिणाम क्या है?")</f>
        <v>खिलाड़ी X एक मुकना मैच में भाग ले रहा है और एक ऐसी तकनीक का इस्तेमाल करता है जिसे रेफरी ने अवैध माना है। इस कार्रवाई का अपेक्षित परिणाम क्या है?</v>
      </c>
      <c r="H14" s="5" t="str">
        <f>IFERROR(__xludf.DUMMYFUNCTION("GOOGLETRANSLATE(C14, ""en"", ""hi"")"),"ए) खिलाड़ी एक्स को राउंड दिया जाता है।, बी) खिलाड़ी एक्स को चेतावनी दी जाती है।, सी) खिलाड़ी एक्स को मैच से अयोग्य घोषित कर दिया जाता है।, डी) राउंड फिर से खेला जाता है।")</f>
        <v>ए) खिलाड़ी एक्स को राउंड दिया जाता है।, बी) खिलाड़ी एक्स को चेतावनी दी जाती है।, सी) खिलाड़ी एक्स को मैच से अयोग्य घोषित कर दिया जाता है।, डी) राउंड फिर से खेला जाता है।</v>
      </c>
      <c r="I14" s="5" t="str">
        <f>IFERROR(__xludf.DUMMYFUNCTION("GOOGLETRANSLATE(D14, ""en"", ""hi"")"),"बी) खिलाड़ी एक्स को चेतावनी दी जाती है।")</f>
        <v>बी) खिलाड़ी एक्स को चेतावनी दी जाती है।</v>
      </c>
    </row>
    <row r="15" ht="22.5" customHeight="1">
      <c r="A15" s="8">
        <v>14.0</v>
      </c>
      <c r="B15" s="3" t="s">
        <v>13205</v>
      </c>
      <c r="C15" s="3" t="s">
        <v>13206</v>
      </c>
      <c r="D15" s="3" t="s">
        <v>13207</v>
      </c>
      <c r="F15" s="5" t="str">
        <f>IFERROR(__xludf.DUMMYFUNCTION("GOOGLETRANSLATE(A15, ""en"", ""hi"")"),"14")</f>
        <v>14</v>
      </c>
      <c r="G15" s="5" t="str">
        <f>IFERROR(__xludf.DUMMYFUNCTION("GOOGLETRANSLATE(B15, ""en"", ""hi"")"),"एक मुकना मैच में, खिलाड़ी A और खिलाड़ी B 4 राउंड के बाद बराबरी पर हैं। निर्णायक राउंड का सामान्य प्रारूप क्या है?")</f>
        <v>एक मुकना मैच में, खिलाड़ी A और खिलाड़ी B 4 राउंड के बाद बराबरी पर हैं। निर्णायक राउंड का सामान्य प्रारूप क्या है?</v>
      </c>
      <c r="H15" s="5" t="str">
        <f>IFERROR(__xludf.DUMMYFUNCTION("GOOGLETRANSLATE(C15, ""en"", ""hi"")"),"ए) पिछले राउंड के समान।, बी) एक विशेष तकनीक राउंड।, सी) एक अचानक मौत राउंड।, डी) एक विस्तारित समय सीमा के साथ एक राउंड।")</f>
        <v>ए) पिछले राउंड के समान।, बी) एक विशेष तकनीक राउंड।, सी) एक अचानक मौत राउंड।, डी) एक विस्तारित समय सीमा के साथ एक राउंड।</v>
      </c>
      <c r="I15" s="5" t="str">
        <f>IFERROR(__xludf.DUMMYFUNCTION("GOOGLETRANSLATE(D15, ""en"", ""hi"")"),"सी) अचानक मौत दौर.")</f>
        <v>सी) अचानक मौत दौर.</v>
      </c>
    </row>
    <row r="16" ht="22.5" customHeight="1">
      <c r="A16" s="8">
        <v>15.0</v>
      </c>
      <c r="B16" s="3" t="s">
        <v>13208</v>
      </c>
      <c r="C16" s="3" t="s">
        <v>13209</v>
      </c>
      <c r="D16" s="3" t="s">
        <v>13210</v>
      </c>
      <c r="F16" s="5" t="str">
        <f>IFERROR(__xludf.DUMMYFUNCTION("GOOGLETRANSLATE(A16, ""en"", ""hi"")"),"15")</f>
        <v>15</v>
      </c>
      <c r="G16" s="5" t="str">
        <f>IFERROR(__xludf.DUMMYFUNCTION("GOOGLETRANSLATE(B16, ""en"", ""hi"")"),"मुकना मुकाबले के दौरान, खिलाड़ी X एक ऐसी तकनीक अपनाता है जिसके लिए खिलाड़ी Y को अपना संतुलन खोना पड़ता है। अगर खिलाड़ी Y गिर जाता है, लेकिन खिलाड़ी X आगे नहीं बढ़ता, तो क्या होगा?")</f>
        <v>मुकना मुकाबले के दौरान, खिलाड़ी X एक ऐसी तकनीक अपनाता है जिसके लिए खिलाड़ी Y को अपना संतुलन खोना पड़ता है। अगर खिलाड़ी Y गिर जाता है, लेकिन खिलाड़ी X आगे नहीं बढ़ता, तो क्या होगा?</v>
      </c>
      <c r="H16" s="5" t="str">
        <f>IFERROR(__xludf.DUMMYFUNCTION("GOOGLETRANSLATE(C16, ""en"", ""hi"")"),"A) खिलाड़ी X को विजेता घोषित किया जाता है। , B) खिलाड़ी Y राउंड जीतता है। , C) राउंड पुनः खेला जाता है। , D) मैच बिना निर्णय के जारी रहता है।")</f>
        <v>A) खिलाड़ी X को विजेता घोषित किया जाता है। , B) खिलाड़ी Y राउंड जीतता है। , C) राउंड पुनः खेला जाता है। , D) मैच बिना निर्णय के जारी रहता है।</v>
      </c>
      <c r="I16" s="5" t="str">
        <f>IFERROR(__xludf.DUMMYFUNCTION("GOOGLETRANSLATE(D16, ""en"", ""hi"")"),"A) खिलाड़ी X को विजेता घोषित किया जाता है।")</f>
        <v>A) खिलाड़ी X को विजेता घोषित किया जाता है।</v>
      </c>
    </row>
    <row r="17" ht="22.5" customHeight="1">
      <c r="A17" s="8">
        <v>16.0</v>
      </c>
      <c r="B17" s="3" t="s">
        <v>13211</v>
      </c>
      <c r="C17" s="3" t="s">
        <v>13212</v>
      </c>
      <c r="D17" s="3" t="s">
        <v>13213</v>
      </c>
      <c r="F17" s="5" t="str">
        <f>IFERROR(__xludf.DUMMYFUNCTION("GOOGLETRANSLATE(A17, ""en"", ""hi"")"),"16")</f>
        <v>16</v>
      </c>
      <c r="G17" s="5" t="str">
        <f>IFERROR(__xludf.DUMMYFUNCTION("GOOGLETRANSLATE(B17, ""en"", ""hi"")"),"मुकना प्रतियोगिता में, यदि कोई खिलाड़ी राउंड जीतने के लिए बार-बार एक ही तकनीक का उपयोग करता है, तो रेफरी की सामान्य प्रतिक्रिया क्या होती है?")</f>
        <v>मुकना प्रतियोगिता में, यदि कोई खिलाड़ी राउंड जीतने के लिए बार-बार एक ही तकनीक का उपयोग करता है, तो रेफरी की सामान्य प्रतिक्रिया क्या होती है?</v>
      </c>
      <c r="H17" s="5" t="str">
        <f>IFERROR(__xludf.DUMMYFUNCTION("GOOGLETRANSLATE(C17, ""en"", ""hi"")"),"ए) खिलाड़ी को पूर्वानुमान के लिए दंडित किया जाता है। , बी) खिलाड़ी को अतिरिक्त अंक दिए जाते हैं। , सी) तकनीक पर प्रतिबंध लगा दिया जाता है। , डी) मैच रद्द कर दिया जाता है।")</f>
        <v>ए) खिलाड़ी को पूर्वानुमान के लिए दंडित किया जाता है। , बी) खिलाड़ी को अतिरिक्त अंक दिए जाते हैं। , सी) तकनीक पर प्रतिबंध लगा दिया जाता है। , डी) मैच रद्द कर दिया जाता है।</v>
      </c>
      <c r="I17" s="5" t="str">
        <f>IFERROR(__xludf.DUMMYFUNCTION("GOOGLETRANSLATE(D17, ""en"", ""hi"")"),"ए) खिलाड़ी को पूर्वानुमान के लिए दंडित किया जाता है।")</f>
        <v>ए) खिलाड़ी को पूर्वानुमान के लिए दंडित किया जाता है।</v>
      </c>
    </row>
    <row r="18" ht="22.5" customHeight="1">
      <c r="A18" s="8">
        <v>17.0</v>
      </c>
      <c r="B18" s="3" t="s">
        <v>13214</v>
      </c>
      <c r="C18" s="3" t="s">
        <v>13215</v>
      </c>
      <c r="D18" s="3" t="s">
        <v>13216</v>
      </c>
      <c r="F18" s="5" t="str">
        <f>IFERROR(__xludf.DUMMYFUNCTION("GOOGLETRANSLATE(A18, ""en"", ""hi"")"),"17")</f>
        <v>17</v>
      </c>
      <c r="G18" s="5" t="str">
        <f>IFERROR(__xludf.DUMMYFUNCTION("GOOGLETRANSLATE(B18, ""en"", ""hi"")"),"खिलाड़ी X और खिलाड़ी Y एक मुकना मैच में प्रतिस्पर्धा कर रहे हैं। यदि खिलाड़ी X 2 राउंड जीतता है और खिलाड़ी Y 2 राउंड जीतता है, तो मैच का विजेता कैसे निर्धारित होगा?")</f>
        <v>खिलाड़ी X और खिलाड़ी Y एक मुकना मैच में प्रतिस्पर्धा कर रहे हैं। यदि खिलाड़ी X 2 राउंड जीतता है और खिलाड़ी Y 2 राउंड जीतता है, तो मैच का विजेता कैसे निर्धारित होगा?</v>
      </c>
      <c r="H18" s="5" t="str">
        <f>IFERROR(__xludf.DUMMYFUNCTION("GOOGLETRANSLATE(C18, ""en"", ""hi"")"),"ए) सफल तकनीकों की संख्या से, बी) अंतिम निर्णायक दौर से, सी) गिरने की संख्या से, डी) रेफरी के विवेक से।")</f>
        <v>ए) सफल तकनीकों की संख्या से, बी) अंतिम निर्णायक दौर से, सी) गिरने की संख्या से, डी) रेफरी के विवेक से।</v>
      </c>
      <c r="I18" s="5" t="str">
        <f>IFERROR(__xludf.DUMMYFUNCTION("GOOGLETRANSLATE(D18, ""en"", ""hi"")"),"बी) अंतिम निर्णायक दौर द्वारा।")</f>
        <v>बी) अंतिम निर्णायक दौर द्वारा।</v>
      </c>
    </row>
    <row r="19" ht="22.5" customHeight="1">
      <c r="A19" s="8">
        <v>18.0</v>
      </c>
      <c r="B19" s="3" t="s">
        <v>13217</v>
      </c>
      <c r="C19" s="3" t="s">
        <v>13218</v>
      </c>
      <c r="D19" s="3" t="s">
        <v>3979</v>
      </c>
      <c r="F19" s="5" t="str">
        <f>IFERROR(__xludf.DUMMYFUNCTION("GOOGLETRANSLATE(A19, ""en"", ""hi"")"),"18")</f>
        <v>18</v>
      </c>
      <c r="G19" s="5" t="str">
        <f>IFERROR(__xludf.DUMMYFUNCTION("GOOGLETRANSLATE(B19, ""en"", ""hi"")"),"मुकना में, यदि खिलाड़ी ए और खिलाड़ी बी 7 राउंड के मैच में 3 राउंड जीतते हैं, तो आगे क्या होगा?")</f>
        <v>मुकना में, यदि खिलाड़ी ए और खिलाड़ी बी 7 राउंड के मैच में 3 राउंड जीतते हैं, तो आगे क्या होगा?</v>
      </c>
      <c r="H19" s="5" t="str">
        <f>IFERROR(__xludf.DUMMYFUNCTION("GOOGLETRANSLATE(C19, ""en"", ""hi"")"),"A) मैच को ड्रा घोषित किया जाता है। , B) विजेता का निर्धारण करने के लिए एक अतिरिक्त राउंड खेला जाता है। , C) खिलाड़ी A को विजेता घोषित किया जाता है। , D) खिलाड़ी B को विजेता घोषित किया जाता है।")</f>
        <v>A) मैच को ड्रा घोषित किया जाता है। , B) विजेता का निर्धारण करने के लिए एक अतिरिक्त राउंड खेला जाता है। , C) खिलाड़ी A को विजेता घोषित किया जाता है। , D) खिलाड़ी B को विजेता घोषित किया जाता है।</v>
      </c>
      <c r="I19" s="5" t="str">
        <f>IFERROR(__xludf.DUMMYFUNCTION("GOOGLETRANSLATE(D19, ""en"", ""hi"")"),"बी) विजेता का निर्धारण करने के लिए एक अतिरिक्त राउंड खेला जाता है।")</f>
        <v>बी) विजेता का निर्धारण करने के लिए एक अतिरिक्त राउंड खेला जाता है।</v>
      </c>
    </row>
    <row r="20" ht="22.5" customHeight="1">
      <c r="A20" s="8">
        <v>19.0</v>
      </c>
      <c r="B20" s="3" t="s">
        <v>13219</v>
      </c>
      <c r="C20" s="3" t="s">
        <v>13220</v>
      </c>
      <c r="D20" s="3" t="s">
        <v>13221</v>
      </c>
      <c r="F20" s="5" t="str">
        <f>IFERROR(__xludf.DUMMYFUNCTION("GOOGLETRANSLATE(A20, ""en"", ""hi"")"),"19")</f>
        <v>19</v>
      </c>
      <c r="G20" s="5" t="str">
        <f>IFERROR(__xludf.DUMMYFUNCTION("GOOGLETRANSLATE(B20, ""en"", ""hi"")"),"मुकना मुकाबले के दौरान, यदि खिलाड़ी ए अवैध पकड़ का उपयोग करता है जिसके कारण खिलाड़ी बी गिर जाता है, तो नियमों के अनुसार उचित कार्रवाई क्या होगी?")</f>
        <v>मुकना मुकाबले के दौरान, यदि खिलाड़ी ए अवैध पकड़ का उपयोग करता है जिसके कारण खिलाड़ी बी गिर जाता है, तो नियमों के अनुसार उचित कार्रवाई क्या होगी?</v>
      </c>
      <c r="H20" s="5" t="str">
        <f>IFERROR(__xludf.DUMMYFUNCTION("GOOGLETRANSLATE(C20, ""en"", ""hi"")"),"A) खिलाड़ी A को राउंड दिया जाता है। , B) खिलाड़ी B राउंड जीतता है। , C) खिलाड़ी A को अयोग्य घोषित कर दिया जाता है। , D) मैच पुनः खेला जाता है।")</f>
        <v>A) खिलाड़ी A को राउंड दिया जाता है। , B) खिलाड़ी B राउंड जीतता है। , C) खिलाड़ी A को अयोग्य घोषित कर दिया जाता है। , D) मैच पुनः खेला जाता है।</v>
      </c>
      <c r="I20" s="5" t="str">
        <f>IFERROR(__xludf.DUMMYFUNCTION("GOOGLETRANSLATE(D20, ""en"", ""hi"")"),"C) खिलाड़ी A को अयोग्य घोषित कर दिया गया है।")</f>
        <v>C) खिलाड़ी A को अयोग्य घोषित कर दिया गया है।</v>
      </c>
    </row>
    <row r="21" ht="22.5" customHeight="1">
      <c r="A21" s="8">
        <v>20.0</v>
      </c>
      <c r="B21" s="3" t="s">
        <v>13222</v>
      </c>
      <c r="C21" s="3" t="s">
        <v>13223</v>
      </c>
      <c r="D21" s="3" t="s">
        <v>13224</v>
      </c>
      <c r="F21" s="5" t="str">
        <f>IFERROR(__xludf.DUMMYFUNCTION("GOOGLETRANSLATE(A21, ""en"", ""hi"")"),"20")</f>
        <v>20</v>
      </c>
      <c r="G21" s="5" t="str">
        <f>IFERROR(__xludf.DUMMYFUNCTION("GOOGLETRANSLATE(B21, ""en"", ""hi"")"),"एक मुकना मैच में, खिलाड़ी X एक ऐसी तकनीक अपनाता है जिसके परिणामस्वरूप खिलाड़ी Y गिर जाता है, लेकिन खिलाड़ी Y विरोध करता है कि यह चाल अनुचित थी। रेफरी को इस विरोध को कैसे संभालना चाहिए?")</f>
        <v>एक मुकना मैच में, खिलाड़ी X एक ऐसी तकनीक अपनाता है जिसके परिणामस्वरूप खिलाड़ी Y गिर जाता है, लेकिन खिलाड़ी Y विरोध करता है कि यह चाल अनुचित थी। रेफरी को इस विरोध को कैसे संभालना चाहिए?</v>
      </c>
      <c r="H21" s="5" t="str">
        <f>IFERROR(__xludf.DUMMYFUNCTION("GOOGLETRANSLATE(C21, ""en"", ""hi"")"),"ए) विरोध को अस्वीकार करें और राउंड जारी रखें। , बी) विरोध को स्वीकार करें और राउंड को खिलाड़ी वाई को दें। , सी) चाल की समीक्षा करें और संभवतः राउंड को फिर से खेलें। , डी) मैच को खिलाड़ी वाई के पक्ष में समाप्त करें।")</f>
        <v>ए) विरोध को अस्वीकार करें और राउंड जारी रखें। , बी) विरोध को स्वीकार करें और राउंड को खिलाड़ी वाई को दें। , सी) चाल की समीक्षा करें और संभवतः राउंड को फिर से खेलें। , डी) मैच को खिलाड़ी वाई के पक्ष में समाप्त करें।</v>
      </c>
      <c r="I21" s="5" t="str">
        <f>IFERROR(__xludf.DUMMYFUNCTION("GOOGLETRANSLATE(D21, ""en"", ""hi"")"),"सी) चाल की समीक्षा करें और संभवतः राउंड को पुनः खेलें।")</f>
        <v>सी) चाल की समीक्षा करें और संभवतः राउंड को पुनः खेलें।</v>
      </c>
    </row>
    <row r="22" ht="22.5" customHeight="1">
      <c r="A22" s="8">
        <v>21.0</v>
      </c>
      <c r="B22" s="3" t="s">
        <v>13225</v>
      </c>
      <c r="C22" s="3" t="s">
        <v>13226</v>
      </c>
      <c r="D22" s="3" t="s">
        <v>13227</v>
      </c>
      <c r="F22" s="5" t="str">
        <f>IFERROR(__xludf.DUMMYFUNCTION("GOOGLETRANSLATE(A22, ""en"", ""hi"")"),"21")</f>
        <v>21</v>
      </c>
      <c r="G22" s="5" t="str">
        <f>IFERROR(__xludf.DUMMYFUNCTION("GOOGLETRANSLATE(B22, ""en"", ""hi"")"),"खिलाड़ी A और खिलाड़ी B एक मुकना मैच में हैं। यदि खिलाड़ी A पहले गिरता है, लेकिन खिलाड़ी B भी उसके ठीक बाद गिरता है, तो राउंड का सामान्य परिणाम क्या होगा?")</f>
        <v>खिलाड़ी A और खिलाड़ी B एक मुकना मैच में हैं। यदि खिलाड़ी A पहले गिरता है, लेकिन खिलाड़ी B भी उसके ठीक बाद गिरता है, तो राउंड का सामान्य परिणाम क्या होगा?</v>
      </c>
      <c r="H22" s="5" t="str">
        <f>IFERROR(__xludf.DUMMYFUNCTION("GOOGLETRANSLATE(C22, ""en"", ""hi"")"),"ए) खिलाड़ी ए राउंड जीतता है।, बी) खिलाड़ी बी राउंड जीतता है।, सी) राउंड को ड्रॉ घोषित किया जाता है।, डी) एक पुनः मैच निर्धारित किया जाता है।")</f>
        <v>ए) खिलाड़ी ए राउंड जीतता है।, बी) खिलाड़ी बी राउंड जीतता है।, सी) राउंड को ड्रॉ घोषित किया जाता है।, डी) एक पुनः मैच निर्धारित किया जाता है।</v>
      </c>
      <c r="I22" s="5" t="str">
        <f>IFERROR(__xludf.DUMMYFUNCTION("GOOGLETRANSLATE(D22, ""en"", ""hi"")"),"C) राउंड को ड्रा घोषित किया जाता है।")</f>
        <v>C) राउंड को ड्रा घोषित किया जाता है।</v>
      </c>
    </row>
    <row r="23" ht="22.5" customHeight="1">
      <c r="A23" s="8">
        <v>22.0</v>
      </c>
      <c r="B23" s="3" t="s">
        <v>13228</v>
      </c>
      <c r="C23" s="3" t="s">
        <v>13229</v>
      </c>
      <c r="D23" s="3" t="s">
        <v>13230</v>
      </c>
      <c r="F23" s="5" t="str">
        <f>IFERROR(__xludf.DUMMYFUNCTION("GOOGLETRANSLATE(A23, ""en"", ""hi"")"),"22")</f>
        <v>22</v>
      </c>
      <c r="G23" s="5" t="str">
        <f>IFERROR(__xludf.DUMMYFUNCTION("GOOGLETRANSLATE(B23, ""en"", ""hi"")"),"खिलाड़ी X, मुकना में एक ऐसी तकनीक का इस्तेमाल करता है जिससे खिलाड़ी Y गिर जाता है, लेकिन गिरने से पहले खिलाड़ी Y का पैर ज़मीन को छूता है। रेफरी का संभावित निर्णय क्या होगा?")</f>
        <v>खिलाड़ी X, मुकना में एक ऐसी तकनीक का इस्तेमाल करता है जिससे खिलाड़ी Y गिर जाता है, लेकिन गिरने से पहले खिलाड़ी Y का पैर ज़मीन को छूता है। रेफरी का संभावित निर्णय क्या होगा?</v>
      </c>
      <c r="H23" s="5" t="str">
        <f>IFERROR(__xludf.DUMMYFUNCTION("GOOGLETRANSLATE(C23, ""en"", ""hi"")"),"A) खिलाड़ी X राउंड जीतता है। , B) खिलाड़ी Y राउंड जीतता है। , C) राउंड को ड्रा घोषित किया जाता है। , D) राउंड पुनः खेला जाता है।")</f>
        <v>A) खिलाड़ी X राउंड जीतता है। , B) खिलाड़ी Y राउंड जीतता है। , C) राउंड को ड्रा घोषित किया जाता है। , D) राउंड पुनः खेला जाता है।</v>
      </c>
      <c r="I23" s="5" t="str">
        <f>IFERROR(__xludf.DUMMYFUNCTION("GOOGLETRANSLATE(D23, ""en"", ""hi"")"),"बी) खिलाड़ी वाई राउंड जीतता है।")</f>
        <v>बी) खिलाड़ी वाई राउंड जीतता है।</v>
      </c>
    </row>
    <row r="24" ht="22.5" customHeight="1">
      <c r="A24" s="8">
        <v>23.0</v>
      </c>
      <c r="B24" s="3" t="s">
        <v>13231</v>
      </c>
      <c r="C24" s="3" t="s">
        <v>13232</v>
      </c>
      <c r="D24" s="3" t="s">
        <v>13233</v>
      </c>
      <c r="F24" s="5" t="str">
        <f>IFERROR(__xludf.DUMMYFUNCTION("GOOGLETRANSLATE(A24, ""en"", ""hi"")"),"23")</f>
        <v>23</v>
      </c>
      <c r="G24" s="5" t="str">
        <f>IFERROR(__xludf.DUMMYFUNCTION("GOOGLETRANSLATE(B24, ""en"", ""hi"")"),"मुकना मुकाबले के दौरान, खिलाड़ी X एक ऐसी पकड़ का इस्तेमाल करता है जिसका खिलाड़ी Y मुकाबला नहीं कर पाता। खिलाड़ी Y गिर जाता है, लेकिन तुरंत विरोध करता है कि पकड़ अवैध थी। सबसे उपयुक्त कार्रवाई क्या है?")</f>
        <v>मुकना मुकाबले के दौरान, खिलाड़ी X एक ऐसी पकड़ का इस्तेमाल करता है जिसका खिलाड़ी Y मुकाबला नहीं कर पाता। खिलाड़ी Y गिर जाता है, लेकिन तुरंत विरोध करता है कि पकड़ अवैध थी। सबसे उपयुक्त कार्रवाई क्या है?</v>
      </c>
      <c r="H24" s="5" t="str">
        <f>IFERROR(__xludf.DUMMYFUNCTION("GOOGLETRANSLATE(C24, ""en"", ""hi"")"),"ए) खिलाड़ी एक्स को राउंड दिया जाता है।, बी) खिलाड़ी वाई को राउंड दिया जाता है।, सी) रेफरी होल्ड की समीक्षा करता है और निर्णय लेता है कि क्या रीमैच की आवश्यकता है।, डी) मैच रोक दिया जाता है और दोनों खिलाड़ियों को अयोग्य घोषित कर दिया जाता है।")</f>
        <v>ए) खिलाड़ी एक्स को राउंड दिया जाता है।, बी) खिलाड़ी वाई को राउंड दिया जाता है।, सी) रेफरी होल्ड की समीक्षा करता है और निर्णय लेता है कि क्या रीमैच की आवश्यकता है।, डी) मैच रोक दिया जाता है और दोनों खिलाड़ियों को अयोग्य घोषित कर दिया जाता है।</v>
      </c>
      <c r="I24" s="5" t="str">
        <f>IFERROR(__xludf.DUMMYFUNCTION("GOOGLETRANSLATE(D24, ""en"", ""hi"")"),"C) रेफरी होल्ड की समीक्षा करता है और निर्णय लेता है कि क्या पुनः मैच की आवश्यकता है।")</f>
        <v>C) रेफरी होल्ड की समीक्षा करता है और निर्णय लेता है कि क्या पुनः मैच की आवश्यकता है।</v>
      </c>
    </row>
    <row r="25" ht="22.5" customHeight="1">
      <c r="A25" s="8">
        <v>24.0</v>
      </c>
      <c r="B25" s="3" t="s">
        <v>13234</v>
      </c>
      <c r="C25" s="3" t="s">
        <v>13235</v>
      </c>
      <c r="D25" s="3" t="s">
        <v>13236</v>
      </c>
      <c r="F25" s="5" t="str">
        <f>IFERROR(__xludf.DUMMYFUNCTION("GOOGLETRANSLATE(A25, ""en"", ""hi"")"),"24")</f>
        <v>24</v>
      </c>
      <c r="G25" s="5" t="str">
        <f>IFERROR(__xludf.DUMMYFUNCTION("GOOGLETRANSLATE(B25, ""en"", ""hi"")"),"एक मुकना प्रतियोगिता में, खिलाड़ी A और खिलाड़ी B 6 राउंड के बाद बराबरी पर हैं। अंतिम विजेता का निर्धारण करने का सामान्य प्रारूप क्या है?")</f>
        <v>एक मुकना प्रतियोगिता में, खिलाड़ी A और खिलाड़ी B 6 राउंड के बाद बराबरी पर हैं। अंतिम विजेता का निर्धारण करने का सामान्य प्रारूप क्या है?</v>
      </c>
      <c r="H25" s="5" t="str">
        <f>IFERROR(__xludf.DUMMYFUNCTION("GOOGLETRANSLATE(C25, ""en"", ""hi"")"),"ए) अचानक मौत का दौर।, बी) दोहरे अंकों वाला दौर।, सी) विस्तारित समय सीमा वाला दौर।, डी) पिछले दौरों के आधार पर अंकों की गणना।")</f>
        <v>ए) अचानक मौत का दौर।, बी) दोहरे अंकों वाला दौर।, सी) विस्तारित समय सीमा वाला दौर।, डी) पिछले दौरों के आधार पर अंकों की गणना।</v>
      </c>
      <c r="I25" s="5" t="str">
        <f>IFERROR(__xludf.DUMMYFUNCTION("GOOGLETRANSLATE(D25, ""en"", ""hi"")"),"ए) अचानक मौत दौर.")</f>
        <v>ए) अचानक मौत दौर.</v>
      </c>
    </row>
    <row r="26" ht="22.5" customHeight="1">
      <c r="A26" s="8">
        <v>25.0</v>
      </c>
      <c r="B26" s="3" t="s">
        <v>13237</v>
      </c>
      <c r="C26" s="3" t="s">
        <v>13238</v>
      </c>
      <c r="D26" s="3" t="s">
        <v>4625</v>
      </c>
      <c r="F26" s="5" t="str">
        <f>IFERROR(__xludf.DUMMYFUNCTION("GOOGLETRANSLATE(A26, ""en"", ""hi"")"),"25")</f>
        <v>25</v>
      </c>
      <c r="G26" s="5" t="str">
        <f>IFERROR(__xludf.DUMMYFUNCTION("GOOGLETRANSLATE(B26, ""en"", ""hi"")"),"खिलाड़ी X और खिलाड़ी Y एक मुकना मैच में प्रतिस्पर्धा कर रहे हैं। यदि खिलाड़ी X कोई ऐसी चाल चलता है जिससे खिलाड़ी Y गिर जाता है, लेकिन इस प्रक्रिया में खिलाड़ी X का पैर भी ज़मीन पर लग जाता है, तो विजेता कौन घोषित किया जाएगा?")</f>
        <v>खिलाड़ी X और खिलाड़ी Y एक मुकना मैच में प्रतिस्पर्धा कर रहे हैं। यदि खिलाड़ी X कोई ऐसी चाल चलता है जिससे खिलाड़ी Y गिर जाता है, लेकिन इस प्रक्रिया में खिलाड़ी X का पैर भी ज़मीन पर लग जाता है, तो विजेता कौन घोषित किया जाएगा?</v>
      </c>
      <c r="H26" s="5" t="str">
        <f>IFERROR(__xludf.DUMMYFUNCTION("GOOGLETRANSLATE(C26, ""en"", ""hi"")"),"A) खिलाड़ी X, B) खिलाड़ी Y, C) राउंड रद्द घोषित किया जाता है, D) मैच ड्रॉ होता है")</f>
        <v>A) खिलाड़ी X, B) खिलाड़ी Y, C) राउंड रद्द घोषित किया जाता है, D) मैच ड्रॉ होता है</v>
      </c>
      <c r="I26" s="5" t="str">
        <f>IFERROR(__xludf.DUMMYFUNCTION("GOOGLETRANSLATE(D26, ""en"", ""hi"")"),"बी) खिलाड़ी वाई")</f>
        <v>बी) खिलाड़ी वाई</v>
      </c>
    </row>
    <row r="27" ht="22.5" customHeight="1">
      <c r="A27" s="8">
        <v>26.0</v>
      </c>
      <c r="B27" s="3" t="s">
        <v>13239</v>
      </c>
      <c r="C27" s="3" t="s">
        <v>13240</v>
      </c>
      <c r="D27" s="3" t="s">
        <v>13241</v>
      </c>
      <c r="F27" s="5" t="str">
        <f>IFERROR(__xludf.DUMMYFUNCTION("GOOGLETRANSLATE(A27, ""en"", ""hi"")"),"26")</f>
        <v>26</v>
      </c>
      <c r="G27" s="5" t="str">
        <f>IFERROR(__xludf.DUMMYFUNCTION("GOOGLETRANSLATE(B27, ""en"", ""hi"")"),"मुकना मुकाबले के दौरान, यदि खिलाड़ी X रिंग के बाहर गिर जाता है, लेकिन खिलाड़ी Y भी उसके तुरंत बाद गिर जाता है, तो राउंड का स्कोर कैसे किया जाना चाहिए?")</f>
        <v>मुकना मुकाबले के दौरान, यदि खिलाड़ी X रिंग के बाहर गिर जाता है, लेकिन खिलाड़ी Y भी उसके तुरंत बाद गिर जाता है, तो राउंड का स्कोर कैसे किया जाना चाहिए?</v>
      </c>
      <c r="H27" s="5" t="str">
        <f>IFERROR(__xludf.DUMMYFUNCTION("GOOGLETRANSLATE(C27, ""en"", ""hi"")"),"A) खिलाड़ी X को विजेता घोषित किया जाता है। , B) खिलाड़ी Y को विजेता घोषित किया जाता है। , C) राउंड को ड्रॉ माना जाता है। , D) दोनों खिलाड़ियों को अयोग्य घोषित कर दिया जाता है।")</f>
        <v>A) खिलाड़ी X को विजेता घोषित किया जाता है। , B) खिलाड़ी Y को विजेता घोषित किया जाता है। , C) राउंड को ड्रॉ माना जाता है। , D) दोनों खिलाड़ियों को अयोग्य घोषित कर दिया जाता है।</v>
      </c>
      <c r="I27" s="5" t="str">
        <f>IFERROR(__xludf.DUMMYFUNCTION("GOOGLETRANSLATE(D27, ""en"", ""hi"")"),"C) राउंड को ड्रा माना जाता है।")</f>
        <v>C) राउंड को ड्रा माना जाता है।</v>
      </c>
    </row>
    <row r="28" ht="22.5" customHeight="1">
      <c r="A28" s="8">
        <v>27.0</v>
      </c>
      <c r="B28" s="3" t="s">
        <v>13242</v>
      </c>
      <c r="C28" s="3" t="s">
        <v>13243</v>
      </c>
      <c r="D28" s="3" t="s">
        <v>13244</v>
      </c>
      <c r="F28" s="5" t="str">
        <f>IFERROR(__xludf.DUMMYFUNCTION("GOOGLETRANSLATE(A28, ""en"", ""hi"")"),"27")</f>
        <v>27</v>
      </c>
      <c r="G28" s="5" t="str">
        <f>IFERROR(__xludf.DUMMYFUNCTION("GOOGLETRANSLATE(B28, ""en"", ""hi"")"),"मुकना मैच में, खिलाड़ी X एक ऐसी तकनीक का इस्तेमाल करता है जिसका खिलाड़ी Y को जवाब देना मुश्किल लगता है, जिसके परिणामस्वरूप खिलाड़ी Y गिर जाता है। अगर खिलाड़ी Y का गिरना किसी अवैध चाल के कारण हुआ है, तो सामान्य परिणाम क्या होगा?")</f>
        <v>मुकना मैच में, खिलाड़ी X एक ऐसी तकनीक का इस्तेमाल करता है जिसका खिलाड़ी Y को जवाब देना मुश्किल लगता है, जिसके परिणामस्वरूप खिलाड़ी Y गिर जाता है। अगर खिलाड़ी Y का गिरना किसी अवैध चाल के कारण हुआ है, तो सामान्य परिणाम क्या होगा?</v>
      </c>
      <c r="H28" s="5" t="str">
        <f>IFERROR(__xludf.DUMMYFUNCTION("GOOGLETRANSLATE(C28, ""en"", ""hi"")"),"A) खिलाड़ी X को राउंड दिया जाता है। , B) खिलाड़ी Y को राउंड दिया जाता है। , C) राउंड पुनः खेला जाता है। , D) खिलाड़ी X को अयोग्य घोषित कर दिया जाता है।")</f>
        <v>A) खिलाड़ी X को राउंड दिया जाता है। , B) खिलाड़ी Y को राउंड दिया जाता है। , C) राउंड पुनः खेला जाता है। , D) खिलाड़ी X को अयोग्य घोषित कर दिया जाता है।</v>
      </c>
      <c r="I28" s="5" t="str">
        <f>IFERROR(__xludf.DUMMYFUNCTION("GOOGLETRANSLATE(D28, ""en"", ""hi"")"),"बी) खिलाड़ी वाई को राउंड प्रदान किया जाता है।")</f>
        <v>बी) खिलाड़ी वाई को राउंड प्रदान किया जाता है।</v>
      </c>
    </row>
    <row r="29" ht="22.5" customHeight="1">
      <c r="A29" s="8">
        <v>28.0</v>
      </c>
      <c r="B29" s="3" t="s">
        <v>13245</v>
      </c>
      <c r="C29" s="3" t="s">
        <v>13246</v>
      </c>
      <c r="D29" s="3" t="s">
        <v>13247</v>
      </c>
      <c r="F29" s="5" t="str">
        <f>IFERROR(__xludf.DUMMYFUNCTION("GOOGLETRANSLATE(A29, ""en"", ""hi"")"),"28")</f>
        <v>28</v>
      </c>
      <c r="G29" s="5" t="str">
        <f>IFERROR(__xludf.DUMMYFUNCTION("GOOGLETRANSLATE(B29, ""en"", ""hi"")"),"खिलाड़ी A और खिलाड़ी B एक मुकना प्रतियोगिता में हैं। यदि खिलाड़ी A 4 राउंड जीतता है और खिलाड़ी B 3 राउंड जीतता है, तो आगे क्या होगा?")</f>
        <v>खिलाड़ी A और खिलाड़ी B एक मुकना प्रतियोगिता में हैं। यदि खिलाड़ी A 4 राउंड जीतता है और खिलाड़ी B 3 राउंड जीतता है, तो आगे क्या होगा?</v>
      </c>
      <c r="H29" s="5" t="str">
        <f>IFERROR(__xludf.DUMMYFUNCTION("GOOGLETRANSLATE(C29, ""en"", ""hi"")"),"A) खिलाड़ी A को मैच का विजेता घोषित किया जाता है। , B) खिलाड़ी B को मैच का विजेता घोषित किया जाता है। , C) अंतिम निर्णायक राउंड खेला जाता है। , D) मैच को ड्रॉ घोषित किया जाता है।")</f>
        <v>A) खिलाड़ी A को मैच का विजेता घोषित किया जाता है। , B) खिलाड़ी B को मैच का विजेता घोषित किया जाता है। , C) अंतिम निर्णायक राउंड खेला जाता है। , D) मैच को ड्रॉ घोषित किया जाता है।</v>
      </c>
      <c r="I29" s="5" t="str">
        <f>IFERROR(__xludf.DUMMYFUNCTION("GOOGLETRANSLATE(D29, ""en"", ""hi"")"),"A) खिलाड़ी A को मैच का विजेता घोषित किया जाता है।")</f>
        <v>A) खिलाड़ी A को मैच का विजेता घोषित किया जाता है।</v>
      </c>
    </row>
    <row r="30" ht="22.5" customHeight="1">
      <c r="A30" s="8">
        <v>29.0</v>
      </c>
      <c r="B30" s="3" t="s">
        <v>13248</v>
      </c>
      <c r="C30" s="3" t="s">
        <v>13249</v>
      </c>
      <c r="D30" s="3" t="s">
        <v>4778</v>
      </c>
      <c r="F30" s="5" t="str">
        <f>IFERROR(__xludf.DUMMYFUNCTION("GOOGLETRANSLATE(A30, ""en"", ""hi"")"),"29")</f>
        <v>29</v>
      </c>
      <c r="G30" s="5" t="str">
        <f>IFERROR(__xludf.DUMMYFUNCTION("GOOGLETRANSLATE(B30, ""en"", ""hi"")"),"मुकना मैच के दौरान, यदि खिलाड़ी ए और खिलाड़ी बी एक साथ गिरते हैं लेकिन खिलाड़ी ए पहले जमीन को छूता है, तो राउंड किसे दिया जाता है?")</f>
        <v>मुकना मैच के दौरान, यदि खिलाड़ी ए और खिलाड़ी बी एक साथ गिरते हैं लेकिन खिलाड़ी ए पहले जमीन को छूता है, तो राउंड किसे दिया जाता है?</v>
      </c>
      <c r="H30" s="5" t="str">
        <f>IFERROR(__xludf.DUMMYFUNCTION("GOOGLETRANSLATE(C30, ""en"", ""hi"")"),"A) खिलाड़ी A, B) खिलाड़ी B, C) राउंड को ड्रॉ घोषित किया जाता है, D) मैच पुनः शुरू किया जाता है")</f>
        <v>A) खिलाड़ी A, B) खिलाड़ी B, C) राउंड को ड्रॉ घोषित किया जाता है, D) मैच पुनः शुरू किया जाता है</v>
      </c>
      <c r="I30" s="5" t="str">
        <f>IFERROR(__xludf.DUMMYFUNCTION("GOOGLETRANSLATE(D30, ""en"", ""hi"")"),"बी) खिलाड़ी बी")</f>
        <v>बी) खिलाड़ी बी</v>
      </c>
    </row>
    <row r="31" ht="22.5" customHeight="1">
      <c r="A31" s="8">
        <v>30.0</v>
      </c>
      <c r="B31" s="3" t="s">
        <v>13250</v>
      </c>
      <c r="C31" s="3" t="s">
        <v>13251</v>
      </c>
      <c r="D31" s="3" t="s">
        <v>13252</v>
      </c>
      <c r="F31" s="5" t="str">
        <f>IFERROR(__xludf.DUMMYFUNCTION("GOOGLETRANSLATE(A31, ""en"", ""hi"")"),"30")</f>
        <v>30</v>
      </c>
      <c r="G31" s="5" t="str">
        <f>IFERROR(__xludf.DUMMYFUNCTION("GOOGLETRANSLATE(B31, ""en"", ""hi"")"),"यदि मुकना मैच किसी बाहरी कारक के कारण बाधित होता है, तो नियमों के अनुसार सामान्य प्रोटोकॉल क्या है?")</f>
        <v>यदि मुकना मैच किसी बाहरी कारक के कारण बाधित होता है, तो नियमों के अनुसार सामान्य प्रोटोकॉल क्या है?</v>
      </c>
      <c r="H31" s="5" t="str">
        <f>IFERROR(__xludf.DUMMYFUNCTION("GOOGLETRANSLATE(C31, ""en"", ""hi"")"),"A) मैच रोक दिया जाता है और बाद में पुनः शुरू किया जाता है। , B) मैच शुरू से पुनः शुरू किया जाता है। , C) मैच को ड्रा घोषित कर दिया जाता है। , D) मैच बिना किसी रुकावट के जारी रहता है।")</f>
        <v>A) मैच रोक दिया जाता है और बाद में पुनः शुरू किया जाता है। , B) मैच शुरू से पुनः शुरू किया जाता है। , C) मैच को ड्रा घोषित कर दिया जाता है। , D) मैच बिना किसी रुकावट के जारी रहता है।</v>
      </c>
      <c r="I31" s="5" t="str">
        <f>IFERROR(__xludf.DUMMYFUNCTION("GOOGLETRANSLATE(D31, ""en"", ""hi"")"),"A) मैच रोक दिया जाता है और बाद में पुनः शुरू किया जाता है।")</f>
        <v>A) मैच रोक दिया जाता है और बाद में पुनः शुरू किया जाता है।</v>
      </c>
    </row>
    <row r="32" ht="22.5" customHeight="1">
      <c r="A32" s="8">
        <v>31.0</v>
      </c>
      <c r="B32" s="3" t="s">
        <v>13253</v>
      </c>
      <c r="C32" s="3" t="s">
        <v>13254</v>
      </c>
      <c r="D32" s="3" t="s">
        <v>13255</v>
      </c>
      <c r="F32" s="5" t="str">
        <f>IFERROR(__xludf.DUMMYFUNCTION("GOOGLETRANSLATE(A32, ""en"", ""hi"")"),"31")</f>
        <v>31</v>
      </c>
      <c r="G32" s="5" t="str">
        <f>IFERROR(__xludf.DUMMYFUNCTION("GOOGLETRANSLATE(B32, ""en"", ""hi"")"),"मुकना में, यदि खिलाड़ी A सफलतापूर्वक कोई चाल चलता है, जिससे खिलाड़ी B गिर जाता है, लेकिन खिलाड़ी B विरोध करता है कि चाल सही ढंग से नहीं चली, तो सामान्य प्रक्रिया क्या है?")</f>
        <v>मुकना में, यदि खिलाड़ी A सफलतापूर्वक कोई चाल चलता है, जिससे खिलाड़ी B गिर जाता है, लेकिन खिलाड़ी B विरोध करता है कि चाल सही ढंग से नहीं चली, तो सामान्य प्रक्रिया क्या है?</v>
      </c>
      <c r="H32" s="5" t="str">
        <f>IFERROR(__xludf.DUMMYFUNCTION("GOOGLETRANSLATE(C32, ""en"", ""hi"")"),"ए) चाल की समीक्षा की जाती है, और समीक्षा के आधार पर निर्णय लिया जाता है। , बी) खिलाड़ी ए को राउंड दिया जाता है। , सी) मैच पुनः शुरू किया जाता है। , डी) खिलाड़ी बी को विरोध करने के लिए अयोग्य घोषित कर दिया जाता है।")</f>
        <v>ए) चाल की समीक्षा की जाती है, और समीक्षा के आधार पर निर्णय लिया जाता है। , बी) खिलाड़ी ए को राउंड दिया जाता है। , सी) मैच पुनः शुरू किया जाता है। , डी) खिलाड़ी बी को विरोध करने के लिए अयोग्य घोषित कर दिया जाता है।</v>
      </c>
      <c r="I32" s="5" t="str">
        <f>IFERROR(__xludf.DUMMYFUNCTION("GOOGLETRANSLATE(D32, ""en"", ""hi"")"),"क) इस कदम की समीक्षा की जाती है, और समीक्षा के आधार पर निर्णय लिया जाता है।")</f>
        <v>क) इस कदम की समीक्षा की जाती है, और समीक्षा के आधार पर निर्णय लिया जाता है।</v>
      </c>
    </row>
    <row r="33" ht="22.5" customHeight="1">
      <c r="A33" s="8">
        <v>32.0</v>
      </c>
      <c r="B33" s="3" t="s">
        <v>13256</v>
      </c>
      <c r="C33" s="3" t="s">
        <v>13257</v>
      </c>
      <c r="D33" s="3" t="s">
        <v>13258</v>
      </c>
      <c r="F33" s="5" t="str">
        <f>IFERROR(__xludf.DUMMYFUNCTION("GOOGLETRANSLATE(A33, ""en"", ""hi"")"),"32")</f>
        <v>32</v>
      </c>
      <c r="G33" s="5" t="str">
        <f>IFERROR(__xludf.DUMMYFUNCTION("GOOGLETRANSLATE(B33, ""en"", ""hi"")"),"मुकना मुकाबले के दौरान, यदि खिलाड़ी ए ऐसी तकनीक का प्रयोग करता है जिसके कारण खिलाड़ी बी गिर जाता है, लेकिन इस प्रक्रिया के दौरान खिलाड़ी ए घायल हो जाता है, तो मैच कैसे आगे बढ़ना चाहिए?")</f>
        <v>मुकना मुकाबले के दौरान, यदि खिलाड़ी ए ऐसी तकनीक का प्रयोग करता है जिसके कारण खिलाड़ी बी गिर जाता है, लेकिन इस प्रक्रिया के दौरान खिलाड़ी ए घायल हो जाता है, तो मैच कैसे आगे बढ़ना चाहिए?</v>
      </c>
      <c r="H33" s="5" t="str">
        <f>IFERROR(__xludf.DUMMYFUNCTION("GOOGLETRANSLATE(C33, ""en"", ""hi"")"),"A) खिलाड़ी B को विजेता घोषित किया जाता है। , B) खिलाड़ी A को विजेता घोषित किया जाता है। , C) मेडिकल मूल्यांकन के लिए मैच रोक दिया जाता है। , D) मैच को ड्रॉ घोषित किया जाता है।")</f>
        <v>A) खिलाड़ी B को विजेता घोषित किया जाता है। , B) खिलाड़ी A को विजेता घोषित किया जाता है। , C) मेडिकल मूल्यांकन के लिए मैच रोक दिया जाता है। , D) मैच को ड्रॉ घोषित किया जाता है।</v>
      </c>
      <c r="I33" s="5" t="str">
        <f>IFERROR(__xludf.DUMMYFUNCTION("GOOGLETRANSLATE(D33, ""en"", ""hi"")"),"C) मैच को चिकित्सीय मूल्यांकन के लिए रोक दिया गया है।")</f>
        <v>C) मैच को चिकित्सीय मूल्यांकन के लिए रोक दिया गया है।</v>
      </c>
    </row>
    <row r="34" ht="22.5" customHeight="1">
      <c r="A34" s="8">
        <v>33.0</v>
      </c>
      <c r="B34" s="3" t="s">
        <v>13259</v>
      </c>
      <c r="C34" s="3" t="s">
        <v>13260</v>
      </c>
      <c r="D34" s="3" t="s">
        <v>13261</v>
      </c>
      <c r="F34" s="5" t="str">
        <f>IFERROR(__xludf.DUMMYFUNCTION("GOOGLETRANSLATE(A34, ""en"", ""hi"")"),"33")</f>
        <v>33</v>
      </c>
      <c r="G34" s="5" t="str">
        <f>IFERROR(__xludf.DUMMYFUNCTION("GOOGLETRANSLATE(B34, ""en"", ""hi"")"),"मुकना प्रतियोगिता में, यदि कोई खिलाड़ी पूरे मैच के दौरान असाधारण कौशल का प्रदर्शन करता है, लेकिन तकनीकी त्रुटि के कारण अंतिम राउंड हार जाता है, तो अंतिम निर्णय आमतौर पर कैसे लिया जाता है?")</f>
        <v>मुकना प्रतियोगिता में, यदि कोई खिलाड़ी पूरे मैच के दौरान असाधारण कौशल का प्रदर्शन करता है, लेकिन तकनीकी त्रुटि के कारण अंतिम राउंड हार जाता है, तो अंतिम निर्णय आमतौर पर कैसे लिया जाता है?</v>
      </c>
      <c r="H34" s="5" t="str">
        <f>IFERROR(__xludf.DUMMYFUNCTION("GOOGLETRANSLATE(C34, ""en"", ""hi"")"),"A) सबसे अधिक राउंड जीतने वाले खिलाड़ी को विजेता घोषित किया जाता है। , B) सबसे कुशल तकनीक वाले खिलाड़ी को मैच से सम्मानित किया जाता है। , C) मैच फिर से खेला जाता है। , D) तकनीकी त्रुटि की समीक्षा की जाती है, और निष्पक्षता के आधार पर निर्णय लिया जाता है।")</f>
        <v>A) सबसे अधिक राउंड जीतने वाले खिलाड़ी को विजेता घोषित किया जाता है। , B) सबसे कुशल तकनीक वाले खिलाड़ी को मैच से सम्मानित किया जाता है। , C) मैच फिर से खेला जाता है। , D) तकनीकी त्रुटि की समीक्षा की जाती है, और निष्पक्षता के आधार पर निर्णय लिया जाता है।</v>
      </c>
      <c r="I34" s="5" t="str">
        <f>IFERROR(__xludf.DUMMYFUNCTION("GOOGLETRANSLATE(D34, ""en"", ""hi"")"),"A) सबसे अधिक राउंड जीतने वाले खिलाड़ी को विजेता घोषित किया जाता है।")</f>
        <v>A) सबसे अधिक राउंड जीतने वाले खिलाड़ी को विजेता घोषित किया जाता है।</v>
      </c>
    </row>
    <row r="35" ht="22.5" customHeight="1">
      <c r="A35" s="8">
        <v>34.0</v>
      </c>
      <c r="B35" s="3" t="s">
        <v>13262</v>
      </c>
      <c r="C35" s="3" t="s">
        <v>13263</v>
      </c>
      <c r="D35" s="3" t="s">
        <v>4625</v>
      </c>
      <c r="F35" s="5" t="str">
        <f>IFERROR(__xludf.DUMMYFUNCTION("GOOGLETRANSLATE(A35, ""en"", ""hi"")"),"34")</f>
        <v>34</v>
      </c>
      <c r="G35" s="5" t="str">
        <f>IFERROR(__xludf.DUMMYFUNCTION("GOOGLETRANSLATE(B35, ""en"", ""hi"")"),"खिलाड़ी X और खिलाड़ी Y एक मुकना मैच में हैं। यदि खिलाड़ी X पहले 3 राउंड जीतता है, लेकिन खिलाड़ी Y बाकी राउंड जीतता है, तो मैच 7 राउंड लंबा होने पर समग्र विजेता किसे घोषित किया जाएगा?")</f>
        <v>खिलाड़ी X और खिलाड़ी Y एक मुकना मैच में हैं। यदि खिलाड़ी X पहले 3 राउंड जीतता है, लेकिन खिलाड़ी Y बाकी राउंड जीतता है, तो मैच 7 राउंड लंबा होने पर समग्र विजेता किसे घोषित किया जाएगा?</v>
      </c>
      <c r="H35" s="5" t="str">
        <f>IFERROR(__xludf.DUMMYFUNCTION("GOOGLETRANSLATE(C35, ""en"", ""hi"")"),"A) खिलाड़ी X, B) खिलाड़ी Y, C) मैच को ड्रॉ घोषित किया जाता है, D) अंतिम निर्णायक राउंड खेला जाता है")</f>
        <v>A) खिलाड़ी X, B) खिलाड़ी Y, C) मैच को ड्रॉ घोषित किया जाता है, D) अंतिम निर्णायक राउंड खेला जाता है</v>
      </c>
      <c r="I35" s="5" t="str">
        <f>IFERROR(__xludf.DUMMYFUNCTION("GOOGLETRANSLATE(D35, ""en"", ""hi"")"),"बी) खिलाड़ी वाई")</f>
        <v>बी) खिलाड़ी वाई</v>
      </c>
    </row>
    <row r="36" ht="22.5" customHeight="1">
      <c r="A36" s="8">
        <v>35.0</v>
      </c>
      <c r="B36" s="3" t="s">
        <v>13264</v>
      </c>
      <c r="C36" s="3" t="s">
        <v>13265</v>
      </c>
      <c r="D36" s="3" t="s">
        <v>13266</v>
      </c>
      <c r="F36" s="5" t="str">
        <f>IFERROR(__xludf.DUMMYFUNCTION("GOOGLETRANSLATE(A36, ""en"", ""hi"")"),"35")</f>
        <v>35</v>
      </c>
      <c r="G36" s="5" t="str">
        <f>IFERROR(__xludf.DUMMYFUNCTION("GOOGLETRANSLATE(B36, ""en"", ""hi"")"),"मुकना प्रतियोगिता में, यदि एक ही दौर के दौरान दोनों खिलाड़ी घायल हो जाएं तो मानक प्रक्रिया क्या होगी?")</f>
        <v>मुकना प्रतियोगिता में, यदि एक ही दौर के दौरान दोनों खिलाड़ी घायल हो जाएं तो मानक प्रक्रिया क्या होगी?</v>
      </c>
      <c r="H36" s="5" t="str">
        <f>IFERROR(__xludf.DUMMYFUNCTION("GOOGLETRANSLATE(C36, ""en"", ""hi"")"),"ए) दोनों खिलाड़ियों को अयोग्य घोषित कर दिया जाता है।, बी) मैच को ड्रॉ घोषित कर दिया जाता है।, सी) चिकित्सा मूल्यांकन के बाद राउंड पुनः खेला जाता है।, डी) अधिक गंभीर चोट वाले खिलाड़ी को अयोग्य घोषित कर दिया जाता है।")</f>
        <v>ए) दोनों खिलाड़ियों को अयोग्य घोषित कर दिया जाता है।, बी) मैच को ड्रॉ घोषित कर दिया जाता है।, सी) चिकित्सा मूल्यांकन के बाद राउंड पुनः खेला जाता है।, डी) अधिक गंभीर चोट वाले खिलाड़ी को अयोग्य घोषित कर दिया जाता है।</v>
      </c>
      <c r="I36" s="5" t="str">
        <f>IFERROR(__xludf.DUMMYFUNCTION("GOOGLETRANSLATE(D36, ""en"", ""hi"")"),"C) चिकित्सा मूल्यांकन के बाद राउंड पुनः खेला जाता है।")</f>
        <v>C) चिकित्सा मूल्यांकन के बाद राउंड पुनः खेला जाता है।</v>
      </c>
    </row>
    <row r="37" ht="22.5" customHeight="1">
      <c r="A37" s="8">
        <v>36.0</v>
      </c>
      <c r="B37" s="3" t="s">
        <v>13267</v>
      </c>
      <c r="C37" s="3" t="s">
        <v>13268</v>
      </c>
      <c r="D37" s="3" t="s">
        <v>13269</v>
      </c>
      <c r="F37" s="5" t="str">
        <f>IFERROR(__xludf.DUMMYFUNCTION("GOOGLETRANSLATE(A37, ""en"", ""hi"")"),"36")</f>
        <v>36</v>
      </c>
      <c r="G37" s="5" t="str">
        <f>IFERROR(__xludf.DUMMYFUNCTION("GOOGLETRANSLATE(B37, ""en"", ""hi"")"),"मुकना मुकाबले के दौरान, यदि खिलाड़ी X कोई ऐसी चाल चलता है जो सीमा रेखा पर अवैध लगती है, लेकिन परिणामस्वरूप खिलाड़ी Y गिर जाता है, तो रेफरी को तत्काल क्या कार्रवाई करनी चाहिए?")</f>
        <v>मुकना मुकाबले के दौरान, यदि खिलाड़ी X कोई ऐसी चाल चलता है जो सीमा रेखा पर अवैध लगती है, लेकिन परिणामस्वरूप खिलाड़ी Y गिर जाता है, तो रेफरी को तत्काल क्या कार्रवाई करनी चाहिए?</v>
      </c>
      <c r="H37" s="5" t="str">
        <f>IFERROR(__xludf.DUMMYFUNCTION("GOOGLETRANSLATE(C37, ""en"", ""hi"")"),"ए) खिलाड़ी एक्स को राउंड दें।, बी) खिलाड़ी वाई को राउंड दें।, सी) चाल की समीक्षा करें और निर्णय लें।, डी) मैच समाप्त करें।")</f>
        <v>ए) खिलाड़ी एक्स को राउंड दें।, बी) खिलाड़ी वाई को राउंड दें।, सी) चाल की समीक्षा करें और निर्णय लें।, डी) मैच समाप्त करें।</v>
      </c>
      <c r="I37" s="5" t="str">
        <f>IFERROR(__xludf.DUMMYFUNCTION("GOOGLETRANSLATE(D37, ""en"", ""hi"")"),"ग) इस कदम की समीक्षा करें और निर्णय लें।")</f>
        <v>ग) इस कदम की समीक्षा करें और निर्णय लें।</v>
      </c>
    </row>
    <row r="38" ht="22.5" customHeight="1">
      <c r="A38" s="8">
        <v>37.0</v>
      </c>
      <c r="B38" s="3" t="s">
        <v>13270</v>
      </c>
      <c r="C38" s="3" t="s">
        <v>13271</v>
      </c>
      <c r="D38" s="3" t="s">
        <v>13247</v>
      </c>
      <c r="F38" s="5" t="str">
        <f>IFERROR(__xludf.DUMMYFUNCTION("GOOGLETRANSLATE(A38, ""en"", ""hi"")"),"37")</f>
        <v>37</v>
      </c>
      <c r="G38" s="5" t="str">
        <f>IFERROR(__xludf.DUMMYFUNCTION("GOOGLETRANSLATE(B38, ""en"", ""hi"")"),"खिलाड़ी A और खिलाड़ी B एक मुकना मैच में प्रतिस्पर्धा कर रहे हैं। यदि खिलाड़ी A 5 राउंड जीतता है और खिलाड़ी B 2 राउंड जीतता है, तो सामान्य प्रक्रिया क्या होगी?")</f>
        <v>खिलाड़ी A और खिलाड़ी B एक मुकना मैच में प्रतिस्पर्धा कर रहे हैं। यदि खिलाड़ी A 5 राउंड जीतता है और खिलाड़ी B 2 राउंड जीतता है, तो सामान्य प्रक्रिया क्या होगी?</v>
      </c>
      <c r="H38" s="5" t="str">
        <f>IFERROR(__xludf.DUMMYFUNCTION("GOOGLETRANSLATE(C38, ""en"", ""hi"")"),"A) खिलाड़ी A को मैच का विजेता घोषित किया जाता है। , B) मैच तब तक जारी रहता है जब तक खिलाड़ी B अधिक राउंड नहीं जीत लेता। , C) अंतिम राउंड खेला जाता है। , D) मैच को ड्रॉ घोषित किया जाता है।")</f>
        <v>A) खिलाड़ी A को मैच का विजेता घोषित किया जाता है। , B) मैच तब तक जारी रहता है जब तक खिलाड़ी B अधिक राउंड नहीं जीत लेता। , C) अंतिम राउंड खेला जाता है। , D) मैच को ड्रॉ घोषित किया जाता है।</v>
      </c>
      <c r="I38" s="5" t="str">
        <f>IFERROR(__xludf.DUMMYFUNCTION("GOOGLETRANSLATE(D38, ""en"", ""hi"")"),"A) खिलाड़ी A को मैच का विजेता घोषित किया जाता है।")</f>
        <v>A) खिलाड़ी A को मैच का विजेता घोषित किया जाता है।</v>
      </c>
    </row>
    <row r="39" ht="22.5" customHeight="1">
      <c r="A39" s="8">
        <v>38.0</v>
      </c>
      <c r="B39" s="3" t="s">
        <v>13272</v>
      </c>
      <c r="C39" s="3" t="s">
        <v>13273</v>
      </c>
      <c r="D39" s="3" t="s">
        <v>13274</v>
      </c>
      <c r="F39" s="5" t="str">
        <f>IFERROR(__xludf.DUMMYFUNCTION("GOOGLETRANSLATE(A39, ""en"", ""hi"")"),"38")</f>
        <v>38</v>
      </c>
      <c r="G39" s="5" t="str">
        <f>IFERROR(__xludf.DUMMYFUNCTION("GOOGLETRANSLATE(B39, ""en"", ""hi"")"),"मुकना में, यदि कोई खिलाड़ी ऐसी चाल चलता है जिसे बाद में रेफरी द्वारा अवैध माना जाता है, लेकिन परिणामस्वरूप प्रतिद्वंद्वी गिर जाता है, तो सामान्य परिणाम क्या होता है?")</f>
        <v>मुकना में, यदि कोई खिलाड़ी ऐसी चाल चलता है जिसे बाद में रेफरी द्वारा अवैध माना जाता है, लेकिन परिणामस्वरूप प्रतिद्वंद्वी गिर जाता है, तो सामान्य परिणाम क्या होता है?</v>
      </c>
      <c r="H39" s="5" t="str">
        <f>IFERROR(__xludf.DUMMYFUNCTION("GOOGLETRANSLATE(C39, ""en"", ""hi"")"),"ए) अवैध चाल का उपयोग करने वाले खिलाड़ी को अयोग्य घोषित कर दिया जाता है।, बी) प्रतिद्वंद्वी को राउंड दिया जाता है।, सी) राउंड फिर से खेला जाता है।, डी) मैच जारी रहता है।")</f>
        <v>ए) अवैध चाल का उपयोग करने वाले खिलाड़ी को अयोग्य घोषित कर दिया जाता है।, बी) प्रतिद्वंद्वी को राउंड दिया जाता है।, सी) राउंड फिर से खेला जाता है।, डी) मैच जारी रहता है।</v>
      </c>
      <c r="I39" s="5" t="str">
        <f>IFERROR(__xludf.DUMMYFUNCTION("GOOGLETRANSLATE(D39, ""en"", ""hi"")"),"बी) राउंड प्रतिद्वंद्वी को दिया जाता है।")</f>
        <v>बी) राउंड प्रतिद्वंद्वी को दिया जाता है।</v>
      </c>
    </row>
    <row r="40" ht="22.5" customHeight="1">
      <c r="A40" s="8">
        <v>39.0</v>
      </c>
      <c r="B40" s="3" t="s">
        <v>13275</v>
      </c>
      <c r="C40" s="3" t="s">
        <v>13276</v>
      </c>
      <c r="D40" s="3" t="s">
        <v>13277</v>
      </c>
      <c r="F40" s="5" t="str">
        <f>IFERROR(__xludf.DUMMYFUNCTION("GOOGLETRANSLATE(A40, ""en"", ""hi"")"),"39")</f>
        <v>39</v>
      </c>
      <c r="G40" s="5" t="str">
        <f>IFERROR(__xludf.DUMMYFUNCTION("GOOGLETRANSLATE(B40, ""en"", ""hi"")"),"मुकना मुकाबले के दौरान, यदि दोनों खिलाड़ी एक साथ गिर जाते हैं और कोई भी आगे नहीं खेल पाता, तो मैच का परिणाम आमतौर पर कैसे निर्धारित होता है?")</f>
        <v>मुकना मुकाबले के दौरान, यदि दोनों खिलाड़ी एक साथ गिर जाते हैं और कोई भी आगे नहीं खेल पाता, तो मैच का परिणाम आमतौर पर कैसे निर्धारित होता है?</v>
      </c>
      <c r="H40" s="5" t="str">
        <f>IFERROR(__xludf.DUMMYFUNCTION("GOOGLETRANSLATE(C40, ""en"", ""hi"")"),"A) मैच को ड्रा घोषित कर दिया जाता है। , B) मैच पुनः शुरू किया जाता है। , C) सबसे अधिक पिछली जीत वाले खिलाड़ी को विजेता घोषित किया जाता है। , D) दोनों खिलाड़ियों को अयोग्य घोषित कर दिया जाता है।")</f>
        <v>A) मैच को ड्रा घोषित कर दिया जाता है। , B) मैच पुनः शुरू किया जाता है। , C) सबसे अधिक पिछली जीत वाले खिलाड़ी को विजेता घोषित किया जाता है। , D) दोनों खिलाड़ियों को अयोग्य घोषित कर दिया जाता है।</v>
      </c>
      <c r="I40" s="5" t="str">
        <f>IFERROR(__xludf.DUMMYFUNCTION("GOOGLETRANSLATE(D40, ""en"", ""hi"")"),"ए) मैच को ड्रा घोषित किया जाता है।")</f>
        <v>ए) मैच को ड्रा घोषित किया जाता है।</v>
      </c>
    </row>
    <row r="41" ht="22.5" customHeight="1">
      <c r="A41" s="8">
        <v>40.0</v>
      </c>
      <c r="B41" s="3" t="s">
        <v>13278</v>
      </c>
      <c r="C41" s="3" t="s">
        <v>13279</v>
      </c>
      <c r="D41" s="3" t="s">
        <v>13280</v>
      </c>
      <c r="F41" s="5" t="str">
        <f>IFERROR(__xludf.DUMMYFUNCTION("GOOGLETRANSLATE(A41, ""en"", ""hi"")"),"40")</f>
        <v>40</v>
      </c>
      <c r="G41" s="5" t="str">
        <f>IFERROR(__xludf.DUMMYFUNCTION("GOOGLETRANSLATE(B41, ""en"", ""hi"")"),"मुकना प्रतियोगिता में, यदि खिलाड़ी X और खिलाड़ी Y के अंक बराबर हों तथा उन्होंने बराबर संख्या में राउंड जीते हों, तो अंतिम परिणाम का निर्धारण आमतौर पर किस आधार पर होता है?")</f>
        <v>मुकना प्रतियोगिता में, यदि खिलाड़ी X और खिलाड़ी Y के अंक बराबर हों तथा उन्होंने बराबर संख्या में राउंड जीते हों, तो अंतिम परिणाम का निर्धारण आमतौर पर किस आधार पर होता है?</v>
      </c>
      <c r="H41" s="5" t="str">
        <f>IFERROR(__xludf.DUMMYFUNCTION("GOOGLETRANSLATE(C41, ""en"", ""hi"")"),"ए) टाई तोड़ने के लिए अंतिम राउंड खेला जाता है।, बी) सबसे सफल तकनीक वाले खिलाड़ी को विजेता घोषित किया जाता है।, सी) मैच को ड्रॉ घोषित किया जाता है।, डी) रेफरी प्रदर्शन के आधार पर निर्णय लेता है।")</f>
        <v>ए) टाई तोड़ने के लिए अंतिम राउंड खेला जाता है।, बी) सबसे सफल तकनीक वाले खिलाड़ी को विजेता घोषित किया जाता है।, सी) मैच को ड्रॉ घोषित किया जाता है।, डी) रेफरी प्रदर्शन के आधार पर निर्णय लेता है।</v>
      </c>
      <c r="I41" s="5" t="str">
        <f>IFERROR(__xludf.DUMMYFUNCTION("GOOGLETRANSLATE(D41, ""en"", ""hi"")"),"ए) अंतिम राउंड टाई तोड़ने के लिए खेला जाता है।")</f>
        <v>ए) अंतिम राउंड टाई तोड़ने के लिए खेला जाता है।</v>
      </c>
    </row>
    <row r="42" ht="22.5" customHeight="1">
      <c r="A42" s="8">
        <v>41.0</v>
      </c>
      <c r="B42" s="3" t="s">
        <v>13281</v>
      </c>
      <c r="C42" s="3" t="s">
        <v>13282</v>
      </c>
      <c r="D42" s="3" t="s">
        <v>13174</v>
      </c>
      <c r="F42" s="5" t="str">
        <f>IFERROR(__xludf.DUMMYFUNCTION("GOOGLETRANSLATE(A42, ""en"", ""hi"")"),"41")</f>
        <v>41</v>
      </c>
      <c r="G42" s="5" t="str">
        <f>IFERROR(__xludf.DUMMYFUNCTION("GOOGLETRANSLATE(B42, ""en"", ""hi"")"),"खिलाड़ी X एक ऐसी तकनीक अपनाता है जिसके परिणामस्वरूप खिलाड़ी Y रिंग की सीमा से बाहर गिर जाता है। मुकना के नियमों के अनुसार, परिणाम क्या होगा?")</f>
        <v>खिलाड़ी X एक ऐसी तकनीक अपनाता है जिसके परिणामस्वरूप खिलाड़ी Y रिंग की सीमा से बाहर गिर जाता है। मुकना के नियमों के अनुसार, परिणाम क्या होगा?</v>
      </c>
      <c r="H42" s="5" t="str">
        <f>IFERROR(__xludf.DUMMYFUNCTION("GOOGLETRANSLATE(C42, ""en"", ""hi"")"),"A) खिलाड़ी X राउंड जीतता है। , B) खिलाड़ी Y राउंड जीतता है। , C) राउंड को ड्रा घोषित किया जाता है। , D) मैच पुनः शुरू होता है।")</f>
        <v>A) खिलाड़ी X राउंड जीतता है। , B) खिलाड़ी Y राउंड जीतता है। , C) राउंड को ड्रा घोषित किया जाता है। , D) मैच पुनः शुरू होता है।</v>
      </c>
      <c r="I42" s="5" t="str">
        <f>IFERROR(__xludf.DUMMYFUNCTION("GOOGLETRANSLATE(D42, ""en"", ""hi"")"),"A) खिलाड़ी X राउंड जीतता है।")</f>
        <v>A) खिलाड़ी X राउंड जीतता है।</v>
      </c>
    </row>
    <row r="43" ht="22.5" customHeight="1">
      <c r="A43" s="8">
        <v>42.0</v>
      </c>
      <c r="B43" s="3" t="s">
        <v>13283</v>
      </c>
      <c r="C43" s="3" t="s">
        <v>13284</v>
      </c>
      <c r="D43" s="3" t="s">
        <v>13285</v>
      </c>
      <c r="F43" s="5" t="str">
        <f>IFERROR(__xludf.DUMMYFUNCTION("GOOGLETRANSLATE(A43, ""en"", ""hi"")"),"42")</f>
        <v>42</v>
      </c>
      <c r="G43" s="5" t="str">
        <f>IFERROR(__xludf.DUMMYFUNCTION("GOOGLETRANSLATE(B43, ""en"", ""hi"")"),"मुकना में, यदि खिलाड़ी A ऐसी चाल चलता है जिससे खिलाड़ी B गिर जाता है और खिलाड़ी B के गिरने से उसे चोट लग जाती है, तो उचित कार्यवाही क्या होगी?")</f>
        <v>मुकना में, यदि खिलाड़ी A ऐसी चाल चलता है जिससे खिलाड़ी B गिर जाता है और खिलाड़ी B के गिरने से उसे चोट लग जाती है, तो उचित कार्यवाही क्या होगी?</v>
      </c>
      <c r="H43" s="5" t="str">
        <f>IFERROR(__xludf.DUMMYFUNCTION("GOOGLETRANSLATE(C43, ""en"", ""hi"")"),"ए) खिलाड़ी ए को अयोग्य घोषित कर दिया जाता है।, बी) मेडिकल मूल्यांकन के लिए मैच रोक दिया जाता है।, सी) खिलाड़ी बी को विजेता घोषित किया जाता है।, डी) राउंड पुनः खेला जाता है।")</f>
        <v>ए) खिलाड़ी ए को अयोग्य घोषित कर दिया जाता है।, बी) मेडिकल मूल्यांकन के लिए मैच रोक दिया जाता है।, सी) खिलाड़ी बी को विजेता घोषित किया जाता है।, डी) राउंड पुनः खेला जाता है।</v>
      </c>
      <c r="I43" s="5" t="str">
        <f>IFERROR(__xludf.DUMMYFUNCTION("GOOGLETRANSLATE(D43, ""en"", ""hi"")"),"बी) मैच को चिकित्सा मूल्यांकन के लिए रोक दिया गया है।")</f>
        <v>बी) मैच को चिकित्सा मूल्यांकन के लिए रोक दिया गया है।</v>
      </c>
    </row>
    <row r="44" ht="22.5" customHeight="1">
      <c r="A44" s="8">
        <v>43.0</v>
      </c>
      <c r="B44" s="3" t="s">
        <v>13286</v>
      </c>
      <c r="C44" s="3" t="s">
        <v>13287</v>
      </c>
      <c r="D44" s="3" t="s">
        <v>13288</v>
      </c>
      <c r="F44" s="5" t="str">
        <f>IFERROR(__xludf.DUMMYFUNCTION("GOOGLETRANSLATE(A44, ""en"", ""hi"")"),"43")</f>
        <v>43</v>
      </c>
      <c r="G44" s="5" t="str">
        <f>IFERROR(__xludf.DUMMYFUNCTION("GOOGLETRANSLATE(B44, ""en"", ""hi"")"),"एक मुकना मैच के दौरान, यदि खिलाड़ी X और खिलाड़ी Y प्रत्येक 6 में से 3 राउंड जीतते हैं, तो मैच विजेता का निर्धारण करने की प्रक्रिया क्या है?")</f>
        <v>एक मुकना मैच के दौरान, यदि खिलाड़ी X और खिलाड़ी Y प्रत्येक 6 में से 3 राउंड जीतते हैं, तो मैच विजेता का निर्धारण करने की प्रक्रिया क्या है?</v>
      </c>
      <c r="H44" s="5" t="str">
        <f>IFERROR(__xludf.DUMMYFUNCTION("GOOGLETRANSLATE(C44, ""en"", ""hi"")"),"A) अंतिम निर्णायक राउंड खेला जाता है। , B) मैच को ड्रॉ घोषित किया जाता है। , C) अधिक सफल तकनीक वाले खिलाड़ी को विजेता घोषित किया जाता है। , D) कम फॉल वाले खिलाड़ी को विजेता घोषित किया जाता है।")</f>
        <v>A) अंतिम निर्णायक राउंड खेला जाता है। , B) मैच को ड्रॉ घोषित किया जाता है। , C) अधिक सफल तकनीक वाले खिलाड़ी को विजेता घोषित किया जाता है। , D) कम फॉल वाले खिलाड़ी को विजेता घोषित किया जाता है।</v>
      </c>
      <c r="I44" s="5" t="str">
        <f>IFERROR(__xludf.DUMMYFUNCTION("GOOGLETRANSLATE(D44, ""en"", ""hi"")"),"ए) अंतिम निर्णायक दौर खेला जाता है।")</f>
        <v>ए) अंतिम निर्णायक दौर खेला जाता है।</v>
      </c>
    </row>
    <row r="45" ht="22.5" customHeight="1">
      <c r="A45" s="8">
        <v>44.0</v>
      </c>
      <c r="B45" s="3" t="s">
        <v>13289</v>
      </c>
      <c r="C45" s="3" t="s">
        <v>13290</v>
      </c>
      <c r="D45" s="3" t="s">
        <v>13291</v>
      </c>
      <c r="F45" s="5" t="str">
        <f>IFERROR(__xludf.DUMMYFUNCTION("GOOGLETRANSLATE(A45, ""en"", ""hi"")"),"44")</f>
        <v>44</v>
      </c>
      <c r="G45" s="5" t="str">
        <f>IFERROR(__xludf.DUMMYFUNCTION("GOOGLETRANSLATE(B45, ""en"", ""hi"")"),"यदि खिलाड़ी X को मुकना मैच में बार-बार फाउल करने के कारण अयोग्य घोषित कर दिया जाता है, तो इसका खिलाड़ी X द्वारा जीते गए राउंड पर क्या प्रभाव पड़ता है?")</f>
        <v>यदि खिलाड़ी X को मुकना मैच में बार-बार फाउल करने के कारण अयोग्य घोषित कर दिया जाता है, तो इसका खिलाड़ी X द्वारा जीते गए राउंड पर क्या प्रभाव पड़ता है?</v>
      </c>
      <c r="H45" s="5" t="str">
        <f>IFERROR(__xludf.DUMMYFUNCTION("GOOGLETRANSLATE(C45, ""en"", ""hi"")"),"A) खिलाड़ी X द्वारा जीते गए राउंड रद्द कर दिए जाते हैं। , B) प्रतिद्वंद्वी को मैच का विजेता घोषित किया जाता है। , C) मैच पुनः शुरू किया जाता है। , D) खिलाड़ी X को अंक प्रदान किए जाते हैं।")</f>
        <v>A) खिलाड़ी X द्वारा जीते गए राउंड रद्द कर दिए जाते हैं। , B) प्रतिद्वंद्वी को मैच का विजेता घोषित किया जाता है। , C) मैच पुनः शुरू किया जाता है। , D) खिलाड़ी X को अंक प्रदान किए जाते हैं।</v>
      </c>
      <c r="I45" s="5" t="str">
        <f>IFERROR(__xludf.DUMMYFUNCTION("GOOGLETRANSLATE(D45, ""en"", ""hi"")"),"A) खिलाड़ी X द्वारा जीते गए राउंड रद्द कर दिए जाते हैं।")</f>
        <v>A) खिलाड़ी X द्वारा जीते गए राउंड रद्द कर दिए जाते हैं।</v>
      </c>
    </row>
    <row r="46" ht="22.5" customHeight="1">
      <c r="A46" s="8">
        <v>45.0</v>
      </c>
      <c r="B46" s="3" t="s">
        <v>13292</v>
      </c>
      <c r="C46" s="3" t="s">
        <v>13293</v>
      </c>
      <c r="D46" s="3" t="s">
        <v>13294</v>
      </c>
      <c r="F46" s="5" t="str">
        <f>IFERROR(__xludf.DUMMYFUNCTION("GOOGLETRANSLATE(A46, ""en"", ""hi"")"),"45")</f>
        <v>45</v>
      </c>
      <c r="G46" s="5" t="str">
        <f>IFERROR(__xludf.DUMMYFUNCTION("GOOGLETRANSLATE(B46, ""en"", ""hi"")"),"मुकना प्रतियोगिता के दौरान, यदि दोनों खिलाड़ी एक ही समय पर गिर जाते हैं और आगे खेल जारी रखने में असमर्थ हो जाते हैं, तो राउंड स्कोर का क्या होता है?")</f>
        <v>मुकना प्रतियोगिता के दौरान, यदि दोनों खिलाड़ी एक ही समय पर गिर जाते हैं और आगे खेल जारी रखने में असमर्थ हो जाते हैं, तो राउंड स्कोर का क्या होता है?</v>
      </c>
      <c r="H46" s="5" t="str">
        <f>IFERROR(__xludf.DUMMYFUNCTION("GOOGLETRANSLATE(C46, ""en"", ""hi"")"),"ए) राउंड को कम फॉल वाले खिलाड़ी के पक्ष में स्कोर किया जाता है।, बी) राउंड को ड्रॉ घोषित किया जाता है।, सी) मैच को रोक दिया जाता है और उसकी समीक्षा की जाती है।, डी) राउंड को फिर से खेला जाता है।")</f>
        <v>ए) राउंड को कम फॉल वाले खिलाड़ी के पक्ष में स्कोर किया जाता है।, बी) राउंड को ड्रॉ घोषित किया जाता है।, सी) मैच को रोक दिया जाता है और उसकी समीक्षा की जाती है।, डी) राउंड को फिर से खेला जाता है।</v>
      </c>
      <c r="I46" s="5" t="str">
        <f>IFERROR(__xludf.DUMMYFUNCTION("GOOGLETRANSLATE(D46, ""en"", ""hi"")"),"बी) राउंड को ड्रा घोषित किया जाता है।")</f>
        <v>बी) राउंड को ड्रा घोषित किया जाता है।</v>
      </c>
    </row>
    <row r="47" ht="22.5" customHeight="1">
      <c r="A47" s="8">
        <v>46.0</v>
      </c>
      <c r="B47" s="3" t="s">
        <v>13295</v>
      </c>
      <c r="C47" s="3" t="s">
        <v>13296</v>
      </c>
      <c r="D47" s="3" t="s">
        <v>13297</v>
      </c>
      <c r="F47" s="5" t="str">
        <f>IFERROR(__xludf.DUMMYFUNCTION("GOOGLETRANSLATE(A47, ""en"", ""hi"")"),"46")</f>
        <v>46</v>
      </c>
      <c r="G47" s="5" t="str">
        <f>IFERROR(__xludf.DUMMYFUNCTION("GOOGLETRANSLATE(B47, ""en"", ""hi"")"),"खिलाड़ी X एक मुकना तकनीक अपनाता है जिसके परिणामस्वरूप खिलाड़ी Y गिर जाता है, लेकिन खिलाड़ी Y विरोध करता है कि खिलाड़ी X ने अवैध चाल चली है। रेफरी को क्या करना चाहिए?")</f>
        <v>खिलाड़ी X एक मुकना तकनीक अपनाता है जिसके परिणामस्वरूप खिलाड़ी Y गिर जाता है, लेकिन खिलाड़ी Y विरोध करता है कि खिलाड़ी X ने अवैध चाल चली है। रेफरी को क्या करना चाहिए?</v>
      </c>
      <c r="H47" s="5" t="str">
        <f>IFERROR(__xludf.DUMMYFUNCTION("GOOGLETRANSLATE(C47, ""en"", ""hi"")"),"ए) खिलाड़ी एक्स को राउंड प्रदान करें।, बी) खिलाड़ी वाई को राउंड प्रदान करें।, सी) विरोध की समीक्षा करें और परिणाम तय करें।, डी) खिलाड़ी एक्स को अयोग्य घोषित करें।")</f>
        <v>ए) खिलाड़ी एक्स को राउंड प्रदान करें।, बी) खिलाड़ी वाई को राउंड प्रदान करें।, सी) विरोध की समीक्षा करें और परिणाम तय करें।, डी) खिलाड़ी एक्स को अयोग्य घोषित करें।</v>
      </c>
      <c r="I47" s="5" t="str">
        <f>IFERROR(__xludf.DUMMYFUNCTION("GOOGLETRANSLATE(D47, ""en"", ""hi"")"),"ग) विरोध की समीक्षा करें और परिणाम तय करें।")</f>
        <v>ग) विरोध की समीक्षा करें और परिणाम तय करें।</v>
      </c>
    </row>
    <row r="48" ht="22.5" customHeight="1">
      <c r="A48" s="8">
        <v>47.0</v>
      </c>
      <c r="B48" s="3" t="s">
        <v>13298</v>
      </c>
      <c r="C48" s="3" t="s">
        <v>13299</v>
      </c>
      <c r="D48" s="3" t="s">
        <v>13300</v>
      </c>
      <c r="F48" s="5" t="str">
        <f>IFERROR(__xludf.DUMMYFUNCTION("GOOGLETRANSLATE(A48, ""en"", ""hi"")"),"47")</f>
        <v>47</v>
      </c>
      <c r="G48" s="5" t="str">
        <f>IFERROR(__xludf.DUMMYFUNCTION("GOOGLETRANSLATE(B48, ""en"", ""hi"")"),"मुकना में, यदि खिलाड़ी X और खिलाड़ी Y प्रत्येक 5 में से 3 राउंड जीतते हैं, तो समग्र विजेता का निर्धारण कैसे किया जाएगा?")</f>
        <v>मुकना में, यदि खिलाड़ी X और खिलाड़ी Y प्रत्येक 5 में से 3 राउंड जीतते हैं, तो समग्र विजेता का निर्धारण कैसे किया जाएगा?</v>
      </c>
      <c r="H48" s="5" t="str">
        <f>IFERROR(__xludf.DUMMYFUNCTION("GOOGLETRANSLATE(C48, ""en"", ""hi"")"),"A) अंतिम राउंड जीतने वाले खिलाड़ी को विजेता घोषित किया जाता है। , B) अंतिम निर्णायक राउंड खेला जाता है। , C) मैच को ड्रॉ घोषित किया जाता है। , D) अधिक आक्रामक खेल शैली वाले खिलाड़ी को विजेता घोषित किया जाता है।")</f>
        <v>A) अंतिम राउंड जीतने वाले खिलाड़ी को विजेता घोषित किया जाता है। , B) अंतिम निर्णायक राउंड खेला जाता है। , C) मैच को ड्रॉ घोषित किया जाता है। , D) अधिक आक्रामक खेल शैली वाले खिलाड़ी को विजेता घोषित किया जाता है।</v>
      </c>
      <c r="I48" s="5" t="str">
        <f>IFERROR(__xludf.DUMMYFUNCTION("GOOGLETRANSLATE(D48, ""en"", ""hi"")"),"बी) अंतिम निर्णायक दौर खेला जाता है।")</f>
        <v>बी) अंतिम निर्णायक दौर खेला जाता है।</v>
      </c>
    </row>
    <row r="49" ht="22.5" customHeight="1">
      <c r="A49" s="8">
        <v>48.0</v>
      </c>
      <c r="B49" s="3" t="s">
        <v>13301</v>
      </c>
      <c r="C49" s="3" t="s">
        <v>13302</v>
      </c>
      <c r="D49" s="3" t="s">
        <v>13303</v>
      </c>
      <c r="F49" s="5" t="str">
        <f>IFERROR(__xludf.DUMMYFUNCTION("GOOGLETRANSLATE(A49, ""en"", ""hi"")"),"48")</f>
        <v>48</v>
      </c>
      <c r="G49" s="5" t="str">
        <f>IFERROR(__xludf.DUMMYFUNCTION("GOOGLETRANSLATE(B49, ""en"", ""hi"")"),"यदि मुकना मैच बराबरी पर समाप्त होता है और दोनों खिलाड़ियों ने बराबर संख्या में राउंड जीते हैं, तो मानक प्रक्रिया क्या है?")</f>
        <v>यदि मुकना मैच बराबरी पर समाप्त होता है और दोनों खिलाड़ियों ने बराबर संख्या में राउंड जीते हैं, तो मानक प्रक्रिया क्या है?</v>
      </c>
      <c r="H49" s="5" t="str">
        <f>IFERROR(__xludf.DUMMYFUNCTION("GOOGLETRANSLATE(C49, ""en"", ""hi"")"),"A) मैच पुनः खेला जाता है। , B) एक सडन-डेथ राउंड खेला जाता है। , C) सबसे कम फॉल वाले खिलाड़ी को विजेता घोषित किया जाता है। , D) मैच को ड्रॉ घोषित किया जाता है।")</f>
        <v>A) मैच पुनः खेला जाता है। , B) एक सडन-डेथ राउंड खेला जाता है। , C) सबसे कम फॉल वाले खिलाड़ी को विजेता घोषित किया जाता है। , D) मैच को ड्रॉ घोषित किया जाता है।</v>
      </c>
      <c r="I49" s="5" t="str">
        <f>IFERROR(__xludf.DUMMYFUNCTION("GOOGLETRANSLATE(D49, ""en"", ""hi"")"),"बी) एक अचानक मौत दौर खेला जाता है।")</f>
        <v>बी) एक अचानक मौत दौर खेला जाता है।</v>
      </c>
    </row>
    <row r="50" ht="22.5" customHeight="1">
      <c r="A50" s="8">
        <v>49.0</v>
      </c>
      <c r="B50" s="3" t="s">
        <v>13304</v>
      </c>
      <c r="C50" s="3" t="s">
        <v>13229</v>
      </c>
      <c r="D50" s="3" t="s">
        <v>13174</v>
      </c>
      <c r="F50" s="5" t="str">
        <f>IFERROR(__xludf.DUMMYFUNCTION("GOOGLETRANSLATE(A50, ""en"", ""hi"")"),"49")</f>
        <v>49</v>
      </c>
      <c r="G50" s="5" t="str">
        <f>IFERROR(__xludf.DUMMYFUNCTION("GOOGLETRANSLATE(B50, ""en"", ""hi"")"),"मुकना मुकाबले के दौरान, यदि खिलाड़ी X एक सफल तकनीक का प्रयोग करता है जिसके कारण खिलाड़ी Y गिर जाता है, लेकिन खिलाड़ी Y तुरंत संभल जाता है, तो राउंड स्कोर का क्या होगा?")</f>
        <v>मुकना मुकाबले के दौरान, यदि खिलाड़ी X एक सफल तकनीक का प्रयोग करता है जिसके कारण खिलाड़ी Y गिर जाता है, लेकिन खिलाड़ी Y तुरंत संभल जाता है, तो राउंड स्कोर का क्या होगा?</v>
      </c>
      <c r="H50" s="5" t="str">
        <f>IFERROR(__xludf.DUMMYFUNCTION("GOOGLETRANSLATE(C50, ""en"", ""hi"")"),"A) खिलाड़ी X राउंड जीतता है। , B) खिलाड़ी Y राउंड जीतता है। , C) राउंड को ड्रा घोषित किया जाता है। , D) राउंड पुनः खेला जाता है।")</f>
        <v>A) खिलाड़ी X राउंड जीतता है। , B) खिलाड़ी Y राउंड जीतता है। , C) राउंड को ड्रा घोषित किया जाता है। , D) राउंड पुनः खेला जाता है।</v>
      </c>
      <c r="I50" s="5" t="str">
        <f>IFERROR(__xludf.DUMMYFUNCTION("GOOGLETRANSLATE(D50, ""en"", ""hi"")"),"A) खिलाड़ी X राउंड जीतता है।")</f>
        <v>A) खिलाड़ी X राउंड जीतता है।</v>
      </c>
    </row>
    <row r="51" ht="22.5" customHeight="1">
      <c r="A51" s="8">
        <v>50.0</v>
      </c>
      <c r="B51" s="3" t="s">
        <v>13305</v>
      </c>
      <c r="C51" s="3" t="s">
        <v>13306</v>
      </c>
      <c r="D51" s="3" t="s">
        <v>13307</v>
      </c>
      <c r="F51" s="5" t="str">
        <f>IFERROR(__xludf.DUMMYFUNCTION("GOOGLETRANSLATE(A51, ""en"", ""hi"")"),"50")</f>
        <v>50</v>
      </c>
      <c r="G51" s="5" t="str">
        <f>IFERROR(__xludf.DUMMYFUNCTION("GOOGLETRANSLATE(B51, ""en"", ""hi"")"),"मुकना प्रतियोगिता में यदि कोई खिलाड़ी प्रदर्शन-वर्धक पदार्थों का सेवन करते हुए पकड़ा जाता है तो क्या होता है?")</f>
        <v>मुकना प्रतियोगिता में यदि कोई खिलाड़ी प्रदर्शन-वर्धक पदार्थों का सेवन करते हुए पकड़ा जाता है तो क्या होता है?</v>
      </c>
      <c r="H51" s="5" t="str">
        <f>IFERROR(__xludf.DUMMYFUNCTION("GOOGLETRANSLATE(C51, ""en"", ""hi"")"),"ए) खिलाड़ी को अयोग्य घोषित कर दिया जाता है।, बी) मैच पुनः खेला जाता है।, सी) खिलाड़ी को चेतावनी दी जाती है।, डी) खिलाड़ी को पेनल्टी के साथ खेल जारी रखने की अनुमति दी जाती है।")</f>
        <v>ए) खिलाड़ी को अयोग्य घोषित कर दिया जाता है।, बी) मैच पुनः खेला जाता है।, सी) खिलाड़ी को चेतावनी दी जाती है।, डी) खिलाड़ी को पेनल्टी के साथ खेल जारी रखने की अनुमति दी जाती है।</v>
      </c>
      <c r="I51" s="5" t="str">
        <f>IFERROR(__xludf.DUMMYFUNCTION("GOOGLETRANSLATE(D51, ""en"", ""hi"")"),"ए) खिलाड़ी को अयोग्य घोषित कर दिया गया है।")</f>
        <v>ए) खिलाड़ी को अयोग्य घोषित कर दिया गया है।</v>
      </c>
    </row>
    <row r="52" ht="22.5" customHeight="1">
      <c r="A52" s="8">
        <v>51.0</v>
      </c>
      <c r="B52" s="3" t="s">
        <v>13308</v>
      </c>
      <c r="C52" s="3" t="s">
        <v>13309</v>
      </c>
      <c r="D52" s="3" t="s">
        <v>4778</v>
      </c>
      <c r="F52" s="5" t="str">
        <f>IFERROR(__xludf.DUMMYFUNCTION("GOOGLETRANSLATE(A52, ""en"", ""hi"")"),"51")</f>
        <v>51</v>
      </c>
      <c r="G52" s="5" t="str">
        <f>IFERROR(__xludf.DUMMYFUNCTION("GOOGLETRANSLATE(B52, ""en"", ""hi"")"),"खिलाड़ी A और खिलाड़ी B एक मुकना मैच में हैं। यदि खिलाड़ी A पहले 4 राउंड जीतता है और खिलाड़ी B अगले 3 राउंड जीतता है, तो कुल विजेता कौन घोषित किया जाएगा?")</f>
        <v>खिलाड़ी A और खिलाड़ी B एक मुकना मैच में हैं। यदि खिलाड़ी A पहले 4 राउंड जीतता है और खिलाड़ी B अगले 3 राउंड जीतता है, तो कुल विजेता कौन घोषित किया जाएगा?</v>
      </c>
      <c r="H52" s="5" t="str">
        <f>IFERROR(__xludf.DUMMYFUNCTION("GOOGLETRANSLATE(C52, ""en"", ""hi"")"),"A) खिलाड़ी A, B) खिलाड़ी B, C) मैच पुनः खेला जाता है, D) अंतिम निर्णायक राउंड खेला जाता है")</f>
        <v>A) खिलाड़ी A, B) खिलाड़ी B, C) मैच पुनः खेला जाता है, D) अंतिम निर्णायक राउंड खेला जाता है</v>
      </c>
      <c r="I52" s="5" t="str">
        <f>IFERROR(__xludf.DUMMYFUNCTION("GOOGLETRANSLATE(D52, ""en"", ""hi"")"),"बी) खिलाड़ी बी")</f>
        <v>बी) खिलाड़ी बी</v>
      </c>
    </row>
    <row r="53" ht="22.5" customHeight="1">
      <c r="A53" s="8">
        <v>52.0</v>
      </c>
      <c r="B53" s="3" t="s">
        <v>13310</v>
      </c>
      <c r="C53" s="3" t="s">
        <v>13311</v>
      </c>
      <c r="D53" s="3" t="s">
        <v>13288</v>
      </c>
      <c r="F53" s="5" t="str">
        <f>IFERROR(__xludf.DUMMYFUNCTION("GOOGLETRANSLATE(A53, ""en"", ""hi"")"),"52")</f>
        <v>52</v>
      </c>
      <c r="G53" s="5" t="str">
        <f>IFERROR(__xludf.DUMMYFUNCTION("GOOGLETRANSLATE(B53, ""en"", ""hi"")"),"मुकना मैच के दौरान, यदि खिलाड़ी X और खिलाड़ी Y 4-4 राउंड में बराबरी पर हों, तो विजेता का निर्धारण करने की सामान्य प्रक्रिया क्या है?")</f>
        <v>मुकना मैच के दौरान, यदि खिलाड़ी X और खिलाड़ी Y 4-4 राउंड में बराबरी पर हों, तो विजेता का निर्धारण करने की सामान्य प्रक्रिया क्या है?</v>
      </c>
      <c r="H53" s="5" t="str">
        <f>IFERROR(__xludf.DUMMYFUNCTION("GOOGLETRANSLATE(C53, ""en"", ""hi"")"),"A) अंतिम निर्णायक राउंड खेला जाता है। , B) मैच को ड्रॉ घोषित किया जाता है। , C) सबसे सफल तकनीक वाले खिलाड़ी को विजेता घोषित किया जाता है। , D) मैच पुनः खेला जाता है।")</f>
        <v>A) अंतिम निर्णायक राउंड खेला जाता है। , B) मैच को ड्रॉ घोषित किया जाता है। , C) सबसे सफल तकनीक वाले खिलाड़ी को विजेता घोषित किया जाता है। , D) मैच पुनः खेला जाता है।</v>
      </c>
      <c r="I53" s="5" t="str">
        <f>IFERROR(__xludf.DUMMYFUNCTION("GOOGLETRANSLATE(D53, ""en"", ""hi"")"),"ए) अंतिम निर्णायक दौर खेला जाता है।")</f>
        <v>ए) अंतिम निर्णायक दौर खेला जाता है।</v>
      </c>
    </row>
    <row r="54" ht="22.5" customHeight="1">
      <c r="A54" s="8">
        <v>53.0</v>
      </c>
      <c r="B54" s="3" t="s">
        <v>13312</v>
      </c>
      <c r="C54" s="3" t="s">
        <v>13313</v>
      </c>
      <c r="D54" s="3" t="s">
        <v>13314</v>
      </c>
      <c r="F54" s="5" t="str">
        <f>IFERROR(__xludf.DUMMYFUNCTION("GOOGLETRANSLATE(A54, ""en"", ""hi"")"),"53")</f>
        <v>53</v>
      </c>
      <c r="G54" s="5" t="str">
        <f>IFERROR(__xludf.DUMMYFUNCTION("GOOGLETRANSLATE(B54, ""en"", ""hi"")"),"मुकना में, यदि खिलाड़ी ए एक ऐसी चाल का उपयोग करता है जो बाद में अवैध पाई जाती है, लेकिन परिणामस्वरूप खिलाड़ी बी हार जाता है, तो राउंड का सामान्य परिणाम क्या होता है?")</f>
        <v>मुकना में, यदि खिलाड़ी ए एक ऐसी चाल का उपयोग करता है जो बाद में अवैध पाई जाती है, लेकिन परिणामस्वरूप खिलाड़ी बी हार जाता है, तो राउंड का सामान्य परिणाम क्या होता है?</v>
      </c>
      <c r="H54" s="5" t="str">
        <f>IFERROR(__xludf.DUMMYFUNCTION("GOOGLETRANSLATE(C54, ""en"", ""hi"")"),"A) खिलाड़ी A को अयोग्य घोषित कर दिया जाता है। , B) खिलाड़ी B को राउंड का विजेता घोषित किया जाता है। , C) राउंड पुनः खेला जाता है। , D) मैच जारी रहता है।")</f>
        <v>A) खिलाड़ी A को अयोग्य घोषित कर दिया जाता है। , B) खिलाड़ी B को राउंड का विजेता घोषित किया जाता है। , C) राउंड पुनः खेला जाता है। , D) मैच जारी रहता है।</v>
      </c>
      <c r="I54" s="5" t="str">
        <f>IFERROR(__xludf.DUMMYFUNCTION("GOOGLETRANSLATE(D54, ""en"", ""hi"")"),"बी) खिलाड़ी बी को राउंड का विजेता घोषित किया जाता है।")</f>
        <v>बी) खिलाड़ी बी को राउंड का विजेता घोषित किया जाता है।</v>
      </c>
    </row>
    <row r="55" ht="22.5" customHeight="1">
      <c r="A55" s="8">
        <v>54.0</v>
      </c>
      <c r="B55" s="3" t="s">
        <v>13315</v>
      </c>
      <c r="C55" s="3" t="s">
        <v>13316</v>
      </c>
      <c r="D55" s="3" t="s">
        <v>13300</v>
      </c>
      <c r="F55" s="5" t="str">
        <f>IFERROR(__xludf.DUMMYFUNCTION("GOOGLETRANSLATE(A55, ""en"", ""hi"")"),"54")</f>
        <v>54</v>
      </c>
      <c r="G55" s="5" t="str">
        <f>IFERROR(__xludf.DUMMYFUNCTION("GOOGLETRANSLATE(B55, ""en"", ""hi"")"),"खिलाड़ी X और खिलाड़ी Y एक मुकना मुकाबले में प्रतिस्पर्धा कर रहे हैं। अगर खिलाड़ी X 3 राउंड जीतता है और खिलाड़ी Y 2 राउंड जीतता है, लेकिन दोनों खिलाड़ी बराबरी पर हैं, तो आगे क्या होगा?")</f>
        <v>खिलाड़ी X और खिलाड़ी Y एक मुकना मुकाबले में प्रतिस्पर्धा कर रहे हैं। अगर खिलाड़ी X 3 राउंड जीतता है और खिलाड़ी Y 2 राउंड जीतता है, लेकिन दोनों खिलाड़ी बराबरी पर हैं, तो आगे क्या होगा?</v>
      </c>
      <c r="H55" s="5" t="str">
        <f>IFERROR(__xludf.DUMMYFUNCTION("GOOGLETRANSLATE(C55, ""en"", ""hi"")"),"A) मैच तब तक जारी रहता है जब तक कि एक खिलाड़ी दूसरा राउंड नहीं जीत लेता। , B) अंतिम निर्णायक राउंड खेला जाता है। , C) मैच को ड्रॉ घोषित कर दिया जाता है। , D) सबसे कम फॉल वाले खिलाड़ी को विजेता घोषित किया जाता है।")</f>
        <v>A) मैच तब तक जारी रहता है जब तक कि एक खिलाड़ी दूसरा राउंड नहीं जीत लेता। , B) अंतिम निर्णायक राउंड खेला जाता है। , C) मैच को ड्रॉ घोषित कर दिया जाता है। , D) सबसे कम फॉल वाले खिलाड़ी को विजेता घोषित किया जाता है।</v>
      </c>
      <c r="I55" s="5" t="str">
        <f>IFERROR(__xludf.DUMMYFUNCTION("GOOGLETRANSLATE(D55, ""en"", ""hi"")"),"बी) अंतिम निर्णायक दौर खेला जाता है।")</f>
        <v>बी) अंतिम निर्णायक दौर खेला जाता है।</v>
      </c>
    </row>
    <row r="56" ht="22.5" customHeight="1">
      <c r="A56" s="8">
        <v>55.0</v>
      </c>
      <c r="B56" s="3" t="s">
        <v>13317</v>
      </c>
      <c r="C56" s="3" t="s">
        <v>13318</v>
      </c>
      <c r="D56" s="3" t="s">
        <v>13285</v>
      </c>
      <c r="F56" s="5" t="str">
        <f>IFERROR(__xludf.DUMMYFUNCTION("GOOGLETRANSLATE(A56, ""en"", ""hi"")"),"55")</f>
        <v>55</v>
      </c>
      <c r="G56" s="5" t="str">
        <f>IFERROR(__xludf.DUMMYFUNCTION("GOOGLETRANSLATE(B56, ""en"", ""hi"")"),"मुकना मुकाबले के दौरान, यदि खिलाड़ी X, खिलाड़ी Y की तकनीक के कारण घायल हो जाता है, तो नियमों के अनुसार सामान्य प्रतिक्रिया क्या होगी?")</f>
        <v>मुकना मुकाबले के दौरान, यदि खिलाड़ी X, खिलाड़ी Y की तकनीक के कारण घायल हो जाता है, तो नियमों के अनुसार सामान्य प्रतिक्रिया क्या होगी?</v>
      </c>
      <c r="H56" s="5" t="str">
        <f>IFERROR(__xludf.DUMMYFUNCTION("GOOGLETRANSLATE(C56, ""en"", ""hi"")"),"A) खिलाड़ी Y को अयोग्य घोषित कर दिया गया है। , B) मेडिकल मूल्यांकन के लिए मैच रोक दिया गया है। , C) खिलाड़ी X को विजेता घोषित किया गया है। , D) मैच जारी है।")</f>
        <v>A) खिलाड़ी Y को अयोग्य घोषित कर दिया गया है। , B) मेडिकल मूल्यांकन के लिए मैच रोक दिया गया है। , C) खिलाड़ी X को विजेता घोषित किया गया है। , D) मैच जारी है।</v>
      </c>
      <c r="I56" s="5" t="str">
        <f>IFERROR(__xludf.DUMMYFUNCTION("GOOGLETRANSLATE(D56, ""en"", ""hi"")"),"बी) मैच को चिकित्सा मूल्यांकन के लिए रोक दिया गया है।")</f>
        <v>बी) मैच को चिकित्सा मूल्यांकन के लिए रोक दिया गया है।</v>
      </c>
    </row>
    <row r="57" ht="22.5" customHeight="1">
      <c r="A57" s="8">
        <v>56.0</v>
      </c>
      <c r="B57" s="3" t="s">
        <v>13319</v>
      </c>
      <c r="C57" s="3" t="s">
        <v>13320</v>
      </c>
      <c r="D57" s="3" t="s">
        <v>13321</v>
      </c>
      <c r="F57" s="5" t="str">
        <f>IFERROR(__xludf.DUMMYFUNCTION("GOOGLETRANSLATE(A57, ""en"", ""hi"")"),"56")</f>
        <v>56</v>
      </c>
      <c r="G57" s="5" t="str">
        <f>IFERROR(__xludf.DUMMYFUNCTION("GOOGLETRANSLATE(B57, ""en"", ""hi"")"),"एक मुकना मैच में, यदि खिलाड़ी X और खिलाड़ी Y प्रत्येक 5 में से 2 राउंड जीतते हैं, तो अंतिम विजेता का निर्धारण कैसे किया जाता है?")</f>
        <v>एक मुकना मैच में, यदि खिलाड़ी X और खिलाड़ी Y प्रत्येक 5 में से 2 राउंड जीतते हैं, तो अंतिम विजेता का निर्धारण कैसे किया जाता है?</v>
      </c>
      <c r="H57" s="5" t="str">
        <f>IFERROR(__xludf.DUMMYFUNCTION("GOOGLETRANSLATE(C57, ""en"", ""hi"")"),"A) विजेता का निर्धारण करने के लिए अंतिम राउंड खेला जाता है। , B) मैच को ड्रॉ घोषित किया जाता है। , C) सबसे सफल तकनीक वाले खिलाड़ी को विजेता घोषित किया जाता है। , D) मैच पुनः खेला जाता है।")</f>
        <v>A) विजेता का निर्धारण करने के लिए अंतिम राउंड खेला जाता है। , B) मैच को ड्रॉ घोषित किया जाता है। , C) सबसे सफल तकनीक वाले खिलाड़ी को विजेता घोषित किया जाता है। , D) मैच पुनः खेला जाता है।</v>
      </c>
      <c r="I57" s="5" t="str">
        <f>IFERROR(__xludf.DUMMYFUNCTION("GOOGLETRANSLATE(D57, ""en"", ""hi"")"),"ए) विजेता का निर्धारण करने के लिए अंतिम राउंड खेला जाता है।")</f>
        <v>ए) विजेता का निर्धारण करने के लिए अंतिम राउंड खेला जाता है।</v>
      </c>
    </row>
    <row r="58" ht="22.5" customHeight="1">
      <c r="A58" s="8">
        <v>57.0</v>
      </c>
      <c r="B58" s="3" t="s">
        <v>13322</v>
      </c>
      <c r="C58" s="3" t="s">
        <v>13323</v>
      </c>
      <c r="D58" s="3" t="s">
        <v>13174</v>
      </c>
      <c r="F58" s="5" t="str">
        <f>IFERROR(__xludf.DUMMYFUNCTION("GOOGLETRANSLATE(A58, ""en"", ""hi"")"),"57")</f>
        <v>57</v>
      </c>
      <c r="G58" s="5" t="str">
        <f>IFERROR(__xludf.DUMMYFUNCTION("GOOGLETRANSLATE(B58, ""en"", ""hi"")"),"मुकना प्रतियोगिता के दौरान, यदि दोनों खिलाड़ी एक साथ गिर जाते हैं, लेकिन खिलाड़ी X शीघ्र ही संतुलन प्राप्त करने में सक्षम हो जाता है, तो राउंड का स्कोर कैसे किया जाना चाहिए?")</f>
        <v>मुकना प्रतियोगिता के दौरान, यदि दोनों खिलाड़ी एक साथ गिर जाते हैं, लेकिन खिलाड़ी X शीघ्र ही संतुलन प्राप्त करने में सक्षम हो जाता है, तो राउंड का स्कोर कैसे किया जाना चाहिए?</v>
      </c>
      <c r="H58" s="5" t="str">
        <f>IFERROR(__xludf.DUMMYFUNCTION("GOOGLETRANSLATE(C58, ""en"", ""hi"")"),"ए) खिलाड़ी एक्स राउंड जीतता है।, बी) खिलाड़ी वाई राउंड जीतता है।, सी) राउंड को ड्रॉ घोषित किया जाता है।, डी) मैच को रोक दिया जाता है और उसकी समीक्षा की जाती है।")</f>
        <v>ए) खिलाड़ी एक्स राउंड जीतता है।, बी) खिलाड़ी वाई राउंड जीतता है।, सी) राउंड को ड्रॉ घोषित किया जाता है।, डी) मैच को रोक दिया जाता है और उसकी समीक्षा की जाती है।</v>
      </c>
      <c r="I58" s="5" t="str">
        <f>IFERROR(__xludf.DUMMYFUNCTION("GOOGLETRANSLATE(D58, ""en"", ""hi"")"),"A) खिलाड़ी X राउंड जीतता है।")</f>
        <v>A) खिलाड़ी X राउंड जीतता है।</v>
      </c>
    </row>
    <row r="59" ht="22.5" customHeight="1">
      <c r="A59" s="8">
        <v>58.0</v>
      </c>
      <c r="B59" s="3" t="s">
        <v>13324</v>
      </c>
      <c r="C59" s="3" t="s">
        <v>13325</v>
      </c>
      <c r="D59" s="3" t="s">
        <v>13326</v>
      </c>
      <c r="F59" s="5" t="str">
        <f>IFERROR(__xludf.DUMMYFUNCTION("GOOGLETRANSLATE(A59, ""en"", ""hi"")"),"58")</f>
        <v>58</v>
      </c>
      <c r="G59" s="5" t="str">
        <f>IFERROR(__xludf.DUMMYFUNCTION("GOOGLETRANSLATE(B59, ""en"", ""hi"")"),"यदि खिलाड़ी ए को मुकना मुकाबले में बार-बार अवैध चालों का उपयोग करने के कारण अयोग्य घोषित कर दिया जाता है, तो खिलाड़ी ए द्वारा जीते गए अंकों या राउंड का क्या होगा?")</f>
        <v>यदि खिलाड़ी ए को मुकना मुकाबले में बार-बार अवैध चालों का उपयोग करने के कारण अयोग्य घोषित कर दिया जाता है, तो खिलाड़ी ए द्वारा जीते गए अंकों या राउंड का क्या होगा?</v>
      </c>
      <c r="H59" s="5" t="str">
        <f>IFERROR(__xludf.DUMMYFUNCTION("GOOGLETRANSLATE(C59, ""en"", ""hi"")"),"A) उन्हें रद्द कर दिया जाता है। , B) उन्हें खिलाड़ी B को स्थानांतरित कर दिया जाता है। , C) मैच पुनः शुरू किया जाता है। , D) खिलाड़ी B को विजेता घोषित किया जाता है।")</f>
        <v>A) उन्हें रद्द कर दिया जाता है। , B) उन्हें खिलाड़ी B को स्थानांतरित कर दिया जाता है। , C) मैच पुनः शुरू किया जाता है। , D) खिलाड़ी B को विजेता घोषित किया जाता है।</v>
      </c>
      <c r="I59" s="5" t="str">
        <f>IFERROR(__xludf.DUMMYFUNCTION("GOOGLETRANSLATE(D59, ""en"", ""hi"")"),"अ) वे निरस्त हो जाते हैं।")</f>
        <v>अ) वे निरस्त हो जाते हैं।</v>
      </c>
    </row>
    <row r="60" ht="22.5" customHeight="1">
      <c r="A60" s="8">
        <v>59.0</v>
      </c>
      <c r="B60" s="3" t="s">
        <v>13327</v>
      </c>
      <c r="C60" s="3" t="s">
        <v>13328</v>
      </c>
      <c r="D60" s="3" t="s">
        <v>13329</v>
      </c>
      <c r="F60" s="5" t="str">
        <f>IFERROR(__xludf.DUMMYFUNCTION("GOOGLETRANSLATE(A60, ""en"", ""hi"")"),"59")</f>
        <v>59</v>
      </c>
      <c r="G60" s="5" t="str">
        <f>IFERROR(__xludf.DUMMYFUNCTION("GOOGLETRANSLATE(B60, ""en"", ""hi"")"),"मुकना मैच में, यदि दोनों खिलाड़ी एक ही समय में रिंग की सीमा के बाहर गिर जाते हैं, तो आमतौर पर राउंड का स्कोर कैसे होगा?")</f>
        <v>मुकना मैच में, यदि दोनों खिलाड़ी एक ही समय में रिंग की सीमा के बाहर गिर जाते हैं, तो आमतौर पर राउंड का स्कोर कैसे होगा?</v>
      </c>
      <c r="H60" s="5" t="str">
        <f>IFERROR(__xludf.DUMMYFUNCTION("GOOGLETRANSLATE(C60, ""en"", ""hi"")"),"ए) राउंड को ड्रॉ घोषित किया जाता है।, बी) सबसे कम फॉल वाले खिलाड़ी को विजेता घोषित किया जाता है।, सी) पुनः मैच निर्धारित किया जाता है।, डी) मैच रोक दिया जाता है।")</f>
        <v>ए) राउंड को ड्रॉ घोषित किया जाता है।, बी) सबसे कम फॉल वाले खिलाड़ी को विजेता घोषित किया जाता है।, सी) पुनः मैच निर्धारित किया जाता है।, डी) मैच रोक दिया जाता है।</v>
      </c>
      <c r="I60" s="5" t="str">
        <f>IFERROR(__xludf.DUMMYFUNCTION("GOOGLETRANSLATE(D60, ""en"", ""hi"")"),"ए) राउंड को ड्रा घोषित किया जाता है।")</f>
        <v>ए) राउंड को ड्रा घोषित किया जाता है।</v>
      </c>
    </row>
    <row r="61" ht="22.5" customHeight="1">
      <c r="A61" s="8">
        <v>60.0</v>
      </c>
      <c r="B61" s="3" t="s">
        <v>13330</v>
      </c>
      <c r="C61" s="3" t="s">
        <v>13331</v>
      </c>
      <c r="D61" s="3" t="s">
        <v>13258</v>
      </c>
      <c r="F61" s="5" t="str">
        <f>IFERROR(__xludf.DUMMYFUNCTION("GOOGLETRANSLATE(A61, ""en"", ""hi"")"),"60")</f>
        <v>60</v>
      </c>
      <c r="G61" s="5" t="str">
        <f>IFERROR(__xludf.DUMMYFUNCTION("GOOGLETRANSLATE(B61, ""en"", ""hi"")"),"मुकना मुकाबले के दौरान, यदि खिलाड़ी X कोई ऐसी तकनीक अपनाता है जिसके परिणामस्वरूप खिलाड़ी Y गिर जाता है, लेकिन इस प्रक्रिया में खिलाड़ी X घायल हो जाता है, तो सामान्य परिणाम क्या होगा?")</f>
        <v>मुकना मुकाबले के दौरान, यदि खिलाड़ी X कोई ऐसी तकनीक अपनाता है जिसके परिणामस्वरूप खिलाड़ी Y गिर जाता है, लेकिन इस प्रक्रिया में खिलाड़ी X घायल हो जाता है, तो सामान्य परिणाम क्या होगा?</v>
      </c>
      <c r="H61" s="5" t="str">
        <f>IFERROR(__xludf.DUMMYFUNCTION("GOOGLETRANSLATE(C61, ""en"", ""hi"")"),"A) खिलाड़ी X को विजेता घोषित किया जाता है। , B) खिलाड़ी Y को विजेता घोषित किया जाता है। , C) मेडिकल मूल्यांकन के लिए मैच रोक दिया जाता है। , D) मैच को ड्रॉ घोषित किया जाता है।")</f>
        <v>A) खिलाड़ी X को विजेता घोषित किया जाता है। , B) खिलाड़ी Y को विजेता घोषित किया जाता है। , C) मेडिकल मूल्यांकन के लिए मैच रोक दिया जाता है। , D) मैच को ड्रॉ घोषित किया जाता है।</v>
      </c>
      <c r="I61" s="5" t="str">
        <f>IFERROR(__xludf.DUMMYFUNCTION("GOOGLETRANSLATE(D61, ""en"", ""hi"")"),"C) मैच को चिकित्सीय मूल्यांकन के लिए रोक दिया गया है।")</f>
        <v>C) मैच को चिकित्सीय मूल्यांकन के लिए रोक दिया गया है।</v>
      </c>
    </row>
    <row r="62" ht="22.5" customHeight="1">
      <c r="A62" s="8">
        <v>61.0</v>
      </c>
      <c r="B62" s="3" t="s">
        <v>13332</v>
      </c>
      <c r="C62" s="3" t="s">
        <v>13333</v>
      </c>
      <c r="D62" s="3" t="s">
        <v>13334</v>
      </c>
      <c r="F62" s="5" t="str">
        <f>IFERROR(__xludf.DUMMYFUNCTION("GOOGLETRANSLATE(A62, ""en"", ""hi"")"),"61")</f>
        <v>61</v>
      </c>
      <c r="G62" s="5" t="str">
        <f>IFERROR(__xludf.DUMMYFUNCTION("GOOGLETRANSLATE(B62, ""en"", ""hi"")"),"खिलाड़ी A और खिलाड़ी B एक मुकना मैच में प्रतिस्पर्धा कर रहे हैं। यदि खिलाड़ी A 4 राउंड जीतता है और खिलाड़ी B 3 राउंड जीतता है, लेकिन खिलाड़ी B, खिलाड़ी A की एक अवैध चाल का विरोध करता है, तो राउंड का फैसला कैसे होगा?")</f>
        <v>खिलाड़ी A और खिलाड़ी B एक मुकना मैच में प्रतिस्पर्धा कर रहे हैं। यदि खिलाड़ी A 4 राउंड जीतता है और खिलाड़ी B 3 राउंड जीतता है, लेकिन खिलाड़ी B, खिलाड़ी A की एक अवैध चाल का विरोध करता है, तो राउंड का फैसला कैसे होगा?</v>
      </c>
      <c r="H62" s="5" t="str">
        <f>IFERROR(__xludf.DUMMYFUNCTION("GOOGLETRANSLATE(C62, ""en"", ""hi"")"),"ए) खिलाड़ी ए को अयोग्य घोषित कर दिया जाता है।, बी) राउंड की समीक्षा की जाती है और निष्पक्षता के आधार पर निर्णय लिया जाता है।, सी) खिलाड़ी बी को राउंड से सम्मानित किया जाता है।, डी) मैच को फिर से शुरू किया जाता है।")</f>
        <v>ए) खिलाड़ी ए को अयोग्य घोषित कर दिया जाता है।, बी) राउंड की समीक्षा की जाती है और निष्पक्षता के आधार पर निर्णय लिया जाता है।, सी) खिलाड़ी बी को राउंड से सम्मानित किया जाता है।, डी) मैच को फिर से शुरू किया जाता है।</v>
      </c>
      <c r="I62" s="5" t="str">
        <f>IFERROR(__xludf.DUMMYFUNCTION("GOOGLETRANSLATE(D62, ""en"", ""hi"")"),"बी) राउंड की समीक्षा की जाती है और निष्पक्षता के आधार पर निर्णय लिया जाता है।")</f>
        <v>बी) राउंड की समीक्षा की जाती है और निष्पक्षता के आधार पर निर्णय लिया जाता है।</v>
      </c>
    </row>
    <row r="63" ht="22.5" customHeight="1">
      <c r="A63" s="8">
        <v>62.0</v>
      </c>
      <c r="B63" s="3" t="s">
        <v>13335</v>
      </c>
      <c r="C63" s="3" t="s">
        <v>13336</v>
      </c>
      <c r="D63" s="3" t="s">
        <v>13288</v>
      </c>
      <c r="F63" s="5" t="str">
        <f>IFERROR(__xludf.DUMMYFUNCTION("GOOGLETRANSLATE(A63, ""en"", ""hi"")"),"62")</f>
        <v>62</v>
      </c>
      <c r="G63" s="5" t="str">
        <f>IFERROR(__xludf.DUMMYFUNCTION("GOOGLETRANSLATE(B63, ""en"", ""hi"")"),"मुकना प्रतियोगिता में, यदि खिलाड़ी X और खिलाड़ी Y 7 राउंड के बाद बराबरी पर हैं, तो विजेता का निर्धारण करने की सामान्य प्रक्रिया क्या है?")</f>
        <v>मुकना प्रतियोगिता में, यदि खिलाड़ी X और खिलाड़ी Y 7 राउंड के बाद बराबरी पर हैं, तो विजेता का निर्धारण करने की सामान्य प्रक्रिया क्या है?</v>
      </c>
      <c r="H63" s="5" t="str">
        <f>IFERROR(__xludf.DUMMYFUNCTION("GOOGLETRANSLATE(C63, ""en"", ""hi"")"),"A) अंतिम निर्णायक राउंड खेला जाता है। , B) मैच को ड्रॉ घोषित किया जाता है। , C) सबसे कम फॉल वाले खिलाड़ी को विजेता घोषित किया जाता है। , D) मैच पुनः खेला जाता है।")</f>
        <v>A) अंतिम निर्णायक राउंड खेला जाता है। , B) मैच को ड्रॉ घोषित किया जाता है। , C) सबसे कम फॉल वाले खिलाड़ी को विजेता घोषित किया जाता है। , D) मैच पुनः खेला जाता है।</v>
      </c>
      <c r="I63" s="5" t="str">
        <f>IFERROR(__xludf.DUMMYFUNCTION("GOOGLETRANSLATE(D63, ""en"", ""hi"")"),"ए) अंतिम निर्णायक दौर खेला जाता है।")</f>
        <v>ए) अंतिम निर्णायक दौर खेला जाता है।</v>
      </c>
    </row>
    <row r="64" ht="22.5" customHeight="1">
      <c r="A64" s="8">
        <v>63.0</v>
      </c>
      <c r="B64" s="3" t="s">
        <v>13337</v>
      </c>
      <c r="C64" s="3" t="s">
        <v>13338</v>
      </c>
      <c r="D64" s="3" t="s">
        <v>13195</v>
      </c>
      <c r="F64" s="5" t="str">
        <f>IFERROR(__xludf.DUMMYFUNCTION("GOOGLETRANSLATE(A64, ""en"", ""hi"")"),"63")</f>
        <v>63</v>
      </c>
      <c r="G64" s="5" t="str">
        <f>IFERROR(__xludf.DUMMYFUNCTION("GOOGLETRANSLATE(B64, ""en"", ""hi"")"),"यदि खिलाड़ी X ऐसी तकनीक का उपयोग करता है जिससे खिलाड़ी Y गिर जाता है, लेकिन खिलाड़ी Y रिंग की सीमा के बाहर गिर जाता है, तो राउंड का विजेता किसे घोषित किया जाएगा?")</f>
        <v>यदि खिलाड़ी X ऐसी तकनीक का उपयोग करता है जिससे खिलाड़ी Y गिर जाता है, लेकिन खिलाड़ी Y रिंग की सीमा के बाहर गिर जाता है, तो राउंड का विजेता किसे घोषित किया जाएगा?</v>
      </c>
      <c r="H64" s="5" t="str">
        <f>IFERROR(__xludf.DUMMYFUNCTION("GOOGLETRANSLATE(C64, ""en"", ""hi"")"),"A) खिलाड़ी X, B) खिलाड़ी Y, C) राउंड को ड्रॉ घोषित किया जाता है, D) मैच पुनः शुरू किया जाता है")</f>
        <v>A) खिलाड़ी X, B) खिलाड़ी Y, C) राउंड को ड्रॉ घोषित किया जाता है, D) मैच पुनः शुरू किया जाता है</v>
      </c>
      <c r="I64" s="5" t="str">
        <f>IFERROR(__xludf.DUMMYFUNCTION("GOOGLETRANSLATE(D64, ""en"", ""hi"")"),"ए) खिलाड़ी एक्स")</f>
        <v>ए) खिलाड़ी एक्स</v>
      </c>
    </row>
    <row r="65" ht="22.5" customHeight="1">
      <c r="A65" s="8">
        <v>64.0</v>
      </c>
      <c r="B65" s="3" t="s">
        <v>13339</v>
      </c>
      <c r="C65" s="3" t="s">
        <v>13340</v>
      </c>
      <c r="D65" s="3" t="s">
        <v>13288</v>
      </c>
      <c r="F65" s="5" t="str">
        <f>IFERROR(__xludf.DUMMYFUNCTION("GOOGLETRANSLATE(A65, ""en"", ""hi"")"),"64")</f>
        <v>64</v>
      </c>
      <c r="G65" s="5" t="str">
        <f>IFERROR(__xludf.DUMMYFUNCTION("GOOGLETRANSLATE(B65, ""en"", ""hi"")"),"मुकना मुकाबले के दौरान, यदि खिलाड़ी X और खिलाड़ी Y प्रत्येक 3 राउंड जीतते हैं और किसी भी खिलाड़ी को कोई महत्वपूर्ण लाभ नहीं होता है, तो मानक प्रोटोकॉल क्या है?")</f>
        <v>मुकना मुकाबले के दौरान, यदि खिलाड़ी X और खिलाड़ी Y प्रत्येक 3 राउंड जीतते हैं और किसी भी खिलाड़ी को कोई महत्वपूर्ण लाभ नहीं होता है, तो मानक प्रोटोकॉल क्या है?</v>
      </c>
      <c r="H65" s="5" t="str">
        <f>IFERROR(__xludf.DUMMYFUNCTION("GOOGLETRANSLATE(C65, ""en"", ""hi"")"),"ए) अंतिम निर्णायक राउंड खेला जाता है। , बी) मैच को ड्रॉ घोषित किया जाता है। , सी) सबसे सफल तकनीक वाले खिलाड़ी को विजेता घोषित किया जाता है। , डी) मैच को रोक दिया जाता है और उसकी समीक्षा की जाती है।")</f>
        <v>ए) अंतिम निर्णायक राउंड खेला जाता है। , बी) मैच को ड्रॉ घोषित किया जाता है। , सी) सबसे सफल तकनीक वाले खिलाड़ी को विजेता घोषित किया जाता है। , डी) मैच को रोक दिया जाता है और उसकी समीक्षा की जाती है।</v>
      </c>
      <c r="I65" s="5" t="str">
        <f>IFERROR(__xludf.DUMMYFUNCTION("GOOGLETRANSLATE(D65, ""en"", ""hi"")"),"ए) अंतिम निर्णायक दौर खेला जाता है।")</f>
        <v>ए) अंतिम निर्णायक दौर खेला जाता है।</v>
      </c>
    </row>
    <row r="66" ht="22.5" customHeight="1">
      <c r="A66" s="8">
        <v>65.0</v>
      </c>
      <c r="B66" s="3" t="s">
        <v>13341</v>
      </c>
      <c r="C66" s="3" t="s">
        <v>13342</v>
      </c>
      <c r="D66" s="3" t="s">
        <v>13288</v>
      </c>
      <c r="F66" s="5" t="str">
        <f>IFERROR(__xludf.DUMMYFUNCTION("GOOGLETRANSLATE(A66, ""en"", ""hi"")"),"65")</f>
        <v>65</v>
      </c>
      <c r="G66" s="5" t="str">
        <f>IFERROR(__xludf.DUMMYFUNCTION("GOOGLETRANSLATE(B66, ""en"", ""hi"")"),"मुकना में, यदि खिलाड़ी X और खिलाड़ी Y राउंड में बराबरी पर हैं, लेकिन खिलाड़ी X को तकनीक में स्पष्ट बढ़त प्राप्त है, तो आम तौर पर मैच का परिणाम क्या निर्धारित करता है?")</f>
        <v>मुकना में, यदि खिलाड़ी X और खिलाड़ी Y राउंड में बराबरी पर हैं, लेकिन खिलाड़ी X को तकनीक में स्पष्ट बढ़त प्राप्त है, तो आम तौर पर मैच का परिणाम क्या निर्धारित करता है?</v>
      </c>
      <c r="H66" s="5" t="str">
        <f>IFERROR(__xludf.DUMMYFUNCTION("GOOGLETRANSLATE(C66, ""en"", ""hi"")"),"A) अंतिम निर्णायक राउंड खेला जाता है। , B) सबसे अधिक तकनीक अंक वाले खिलाड़ी को विजेता घोषित किया जाता है। , C) मैच को ड्रॉ घोषित किया जाता है। , D) सबसे कम फॉल वाले खिलाड़ी को विजेता घोषित किया जाता है।")</f>
        <v>A) अंतिम निर्णायक राउंड खेला जाता है। , B) सबसे अधिक तकनीक अंक वाले खिलाड़ी को विजेता घोषित किया जाता है। , C) मैच को ड्रॉ घोषित किया जाता है। , D) सबसे कम फॉल वाले खिलाड़ी को विजेता घोषित किया जाता है।</v>
      </c>
      <c r="I66" s="5" t="str">
        <f>IFERROR(__xludf.DUMMYFUNCTION("GOOGLETRANSLATE(D66, ""en"", ""hi"")"),"ए) अंतिम निर्णायक दौर खेला जाता है।")</f>
        <v>ए) अंतिम निर्णायक दौर खेला जाता है।</v>
      </c>
    </row>
    <row r="67" ht="22.5" customHeight="1">
      <c r="A67" s="8">
        <v>66.0</v>
      </c>
      <c r="B67" s="3" t="s">
        <v>13343</v>
      </c>
      <c r="C67" s="3" t="s">
        <v>13323</v>
      </c>
      <c r="D67" s="3" t="s">
        <v>13174</v>
      </c>
      <c r="F67" s="5" t="str">
        <f>IFERROR(__xludf.DUMMYFUNCTION("GOOGLETRANSLATE(A67, ""en"", ""hi"")"),"66")</f>
        <v>66</v>
      </c>
      <c r="G67" s="5" t="str">
        <f>IFERROR(__xludf.DUMMYFUNCTION("GOOGLETRANSLATE(B67, ""en"", ""hi"")"),"यदि खिलाड़ी X और खिलाड़ी Y मुकना मैच के दौरान एक साथ गिरते हैं, लेकिन खिलाड़ी X का गिरना किसी तकनीक के कारण था जबकि खिलाड़ी Y का गिरना आकस्मिक था, तो राउंड का स्कोर कैसे किया जाना चाहिए?")</f>
        <v>यदि खिलाड़ी X और खिलाड़ी Y मुकना मैच के दौरान एक साथ गिरते हैं, लेकिन खिलाड़ी X का गिरना किसी तकनीक के कारण था जबकि खिलाड़ी Y का गिरना आकस्मिक था, तो राउंड का स्कोर कैसे किया जाना चाहिए?</v>
      </c>
      <c r="H67" s="5" t="str">
        <f>IFERROR(__xludf.DUMMYFUNCTION("GOOGLETRANSLATE(C67, ""en"", ""hi"")"),"ए) खिलाड़ी एक्स राउंड जीतता है।, बी) खिलाड़ी वाई राउंड जीतता है।, सी) राउंड को ड्रॉ घोषित किया जाता है।, डी) मैच को रोक दिया जाता है और उसकी समीक्षा की जाती है।")</f>
        <v>ए) खिलाड़ी एक्स राउंड जीतता है।, बी) खिलाड़ी वाई राउंड जीतता है।, सी) राउंड को ड्रॉ घोषित किया जाता है।, डी) मैच को रोक दिया जाता है और उसकी समीक्षा की जाती है।</v>
      </c>
      <c r="I67" s="5" t="str">
        <f>IFERROR(__xludf.DUMMYFUNCTION("GOOGLETRANSLATE(D67, ""en"", ""hi"")"),"A) खिलाड़ी X राउंड जीतता है।")</f>
        <v>A) खिलाड़ी X राउंड जीतता है।</v>
      </c>
    </row>
    <row r="68" ht="22.5" customHeight="1">
      <c r="A68" s="8">
        <v>67.0</v>
      </c>
      <c r="B68" s="3" t="s">
        <v>13344</v>
      </c>
      <c r="C68" s="3" t="s">
        <v>13345</v>
      </c>
      <c r="D68" s="3" t="s">
        <v>13346</v>
      </c>
      <c r="F68" s="5" t="str">
        <f>IFERROR(__xludf.DUMMYFUNCTION("GOOGLETRANSLATE(A68, ""en"", ""hi"")"),"67")</f>
        <v>67</v>
      </c>
      <c r="G68" s="5" t="str">
        <f>IFERROR(__xludf.DUMMYFUNCTION("GOOGLETRANSLATE(B68, ""en"", ""hi"")"),"मुकना प्रतियोगिता में, यदि खिलाड़ी A कोई ऐसी तकनीक अपनाता है जिसके परिणामस्वरूप खिलाड़ी B गिर जाता है, लेकिन खिलाड़ी B दावा करता है कि यह चाल अवैध थी, तो सामान्य प्रक्रिया क्या है?")</f>
        <v>मुकना प्रतियोगिता में, यदि खिलाड़ी A कोई ऐसी तकनीक अपनाता है जिसके परिणामस्वरूप खिलाड़ी B गिर जाता है, लेकिन खिलाड़ी B दावा करता है कि यह चाल अवैध थी, तो सामान्य प्रक्रिया क्या है?</v>
      </c>
      <c r="H68" s="5" t="str">
        <f>IFERROR(__xludf.DUMMYFUNCTION("GOOGLETRANSLATE(C68, ""en"", ""hi"")"),"ए) खिलाड़ी ए को अयोग्य घोषित कर दिया जाता है।, बी) राउंड खिलाड़ी बी को दे दिया जाता है।, सी) चाल की समीक्षा की जाती है और निर्णय लिया जाता है।, डी) मैच जारी रहता है।")</f>
        <v>ए) खिलाड़ी ए को अयोग्य घोषित कर दिया जाता है।, बी) राउंड खिलाड़ी बी को दे दिया जाता है।, सी) चाल की समीक्षा की जाती है और निर्णय लिया जाता है।, डी) मैच जारी रहता है।</v>
      </c>
      <c r="I68" s="5" t="str">
        <f>IFERROR(__xludf.DUMMYFUNCTION("GOOGLETRANSLATE(D68, ""en"", ""hi"")"),"C) इस कदम की समीक्षा की जाती है और निर्णय लिया जाता है।")</f>
        <v>C) इस कदम की समीक्षा की जाती है और निर्णय लिया जाता है।</v>
      </c>
    </row>
    <row r="69" ht="22.5" customHeight="1">
      <c r="A69" s="8">
        <v>68.0</v>
      </c>
      <c r="B69" s="3" t="s">
        <v>13347</v>
      </c>
      <c r="C69" s="3" t="s">
        <v>13348</v>
      </c>
      <c r="D69" s="3" t="s">
        <v>13349</v>
      </c>
      <c r="F69" s="5" t="str">
        <f>IFERROR(__xludf.DUMMYFUNCTION("GOOGLETRANSLATE(A69, ""en"", ""hi"")"),"68")</f>
        <v>68</v>
      </c>
      <c r="G69" s="5" t="str">
        <f>IFERROR(__xludf.DUMMYFUNCTION("GOOGLETRANSLATE(B69, ""en"", ""hi"")"),"खिलाड़ी X और खिलाड़ी Y एक मुकना मुकाबले में प्रतिस्पर्धा कर रहे हैं। यदि खिलाड़ी X 3 राउंड जीतता है और खिलाड़ी Y भी 3 राउंड जीतता है, लेकिन खिलाड़ी Y की अंतिम राउंड की जीत खिलाड़ी X की गलती के कारण हुई, तो परिणाम क्या होगा?")</f>
        <v>खिलाड़ी X और खिलाड़ी Y एक मुकना मुकाबले में प्रतिस्पर्धा कर रहे हैं। यदि खिलाड़ी X 3 राउंड जीतता है और खिलाड़ी Y भी 3 राउंड जीतता है, लेकिन खिलाड़ी Y की अंतिम राउंड की जीत खिलाड़ी X की गलती के कारण हुई, तो परिणाम क्या होगा?</v>
      </c>
      <c r="H69" s="5" t="str">
        <f>IFERROR(__xludf.DUMMYFUNCTION("GOOGLETRANSLATE(C69, ""en"", ""hi"")"),"A) खिलाड़ी X को विजेता घोषित किया जाता है। , B) खिलाड़ी Y को विजेता घोषित किया जाता है। , C) मैच को ड्रॉ घोषित किया जाता है। , D) अंतिम निर्णायक दौर खेला जाता है।")</f>
        <v>A) खिलाड़ी X को विजेता घोषित किया जाता है। , B) खिलाड़ी Y को विजेता घोषित किया जाता है। , C) मैच को ड्रॉ घोषित किया जाता है। , D) अंतिम निर्णायक दौर खेला जाता है।</v>
      </c>
      <c r="I69" s="5" t="str">
        <f>IFERROR(__xludf.DUMMYFUNCTION("GOOGLETRANSLATE(D69, ""en"", ""hi"")"),"D) अंतिम निर्णायक दौर खेला जाता है।")</f>
        <v>D) अंतिम निर्णायक दौर खेला जाता है।</v>
      </c>
    </row>
    <row r="70" ht="22.5" customHeight="1">
      <c r="A70" s="8">
        <v>69.0</v>
      </c>
      <c r="B70" s="3" t="s">
        <v>13350</v>
      </c>
      <c r="C70" s="3" t="s">
        <v>13351</v>
      </c>
      <c r="D70" s="3" t="s">
        <v>13329</v>
      </c>
      <c r="F70" s="5" t="str">
        <f>IFERROR(__xludf.DUMMYFUNCTION("GOOGLETRANSLATE(A70, ""en"", ""hi"")"),"69")</f>
        <v>69</v>
      </c>
      <c r="G70" s="5" t="str">
        <f>IFERROR(__xludf.DUMMYFUNCTION("GOOGLETRANSLATE(B70, ""en"", ""hi"")"),"मुकना मैच के दौरान, यदि दोनों खिलाड़ी एक ही समय पर रिंग के बाहर गिर जाते हैं और कोई भी आगे नहीं खेल सकता, तो राउंड का स्कोर कैसे किया जाएगा?")</f>
        <v>मुकना मैच के दौरान, यदि दोनों खिलाड़ी एक ही समय पर रिंग के बाहर गिर जाते हैं और कोई भी आगे नहीं खेल सकता, तो राउंड का स्कोर कैसे किया जाएगा?</v>
      </c>
      <c r="H70" s="5" t="str">
        <f>IFERROR(__xludf.DUMMYFUNCTION("GOOGLETRANSLATE(C70, ""en"", ""hi"")"),"ए) राउंड को ड्रा घोषित कर दिया जाता है।, बी) मैच पुनः शुरू किया जाता है।, सी) सबसे कम फॉल वाले खिलाड़ी को विजेता घोषित किया जाता है।, डी) मैच को रोक दिया जाता है और उसकी समीक्षा की जाती है।")</f>
        <v>ए) राउंड को ड्रा घोषित कर दिया जाता है।, बी) मैच पुनः शुरू किया जाता है।, सी) सबसे कम फॉल वाले खिलाड़ी को विजेता घोषित किया जाता है।, डी) मैच को रोक दिया जाता है और उसकी समीक्षा की जाती है।</v>
      </c>
      <c r="I70" s="5" t="str">
        <f>IFERROR(__xludf.DUMMYFUNCTION("GOOGLETRANSLATE(D70, ""en"", ""hi"")"),"ए) राउंड को ड्रा घोषित किया जाता है।")</f>
        <v>ए) राउंड को ड्रा घोषित किया जाता है।</v>
      </c>
    </row>
    <row r="71" ht="22.5" customHeight="1">
      <c r="A71" s="8">
        <v>70.0</v>
      </c>
      <c r="B71" s="3" t="s">
        <v>13352</v>
      </c>
      <c r="C71" s="3" t="s">
        <v>13311</v>
      </c>
      <c r="D71" s="3" t="s">
        <v>13288</v>
      </c>
      <c r="F71" s="5" t="str">
        <f>IFERROR(__xludf.DUMMYFUNCTION("GOOGLETRANSLATE(A71, ""en"", ""hi"")"),"70")</f>
        <v>70</v>
      </c>
      <c r="G71" s="5" t="str">
        <f>IFERROR(__xludf.DUMMYFUNCTION("GOOGLETRANSLATE(B71, ""en"", ""hi"")"),"यदि मुकना मैच बराबरी पर समाप्त होता है और दोनों खिलाड़ियों ने समान संख्या में राउंड जीते हैं, तो मानक प्रोटोकॉल क्या है?")</f>
        <v>यदि मुकना मैच बराबरी पर समाप्त होता है और दोनों खिलाड़ियों ने समान संख्या में राउंड जीते हैं, तो मानक प्रोटोकॉल क्या है?</v>
      </c>
      <c r="H71" s="5" t="str">
        <f>IFERROR(__xludf.DUMMYFUNCTION("GOOGLETRANSLATE(C71, ""en"", ""hi"")"),"A) अंतिम निर्णायक राउंड खेला जाता है। , B) मैच को ड्रॉ घोषित किया जाता है। , C) सबसे सफल तकनीक वाले खिलाड़ी को विजेता घोषित किया जाता है। , D) मैच पुनः खेला जाता है।")</f>
        <v>A) अंतिम निर्णायक राउंड खेला जाता है। , B) मैच को ड्रॉ घोषित किया जाता है। , C) सबसे सफल तकनीक वाले खिलाड़ी को विजेता घोषित किया जाता है। , D) मैच पुनः खेला जाता है।</v>
      </c>
      <c r="I71" s="5" t="str">
        <f>IFERROR(__xludf.DUMMYFUNCTION("GOOGLETRANSLATE(D71, ""en"", ""hi"")"),"ए) अंतिम निर्णायक दौर खेला जाता है।")</f>
        <v>ए) अंतिम निर्णायक दौर खेला जाता है।</v>
      </c>
    </row>
    <row r="72" ht="22.5" customHeight="1">
      <c r="A72" s="8">
        <v>71.0</v>
      </c>
      <c r="B72" s="3" t="s">
        <v>13353</v>
      </c>
      <c r="C72" s="3" t="s">
        <v>13336</v>
      </c>
      <c r="D72" s="3" t="s">
        <v>13288</v>
      </c>
      <c r="F72" s="5" t="str">
        <f>IFERROR(__xludf.DUMMYFUNCTION("GOOGLETRANSLATE(A72, ""en"", ""hi"")"),"71")</f>
        <v>71</v>
      </c>
      <c r="G72" s="5" t="str">
        <f>IFERROR(__xludf.DUMMYFUNCTION("GOOGLETRANSLATE(B72, ""en"", ""hi"")"),"मुकना में, यदि खिलाड़ी X और खिलाड़ी Y प्रत्येक 3 राउंड जीतते हैं और फॉल्स में बराबरी पर होते हैं, तो विजेता का निर्धारण करने की सामान्य प्रक्रिया क्या है?")</f>
        <v>मुकना में, यदि खिलाड़ी X और खिलाड़ी Y प्रत्येक 3 राउंड जीतते हैं और फॉल्स में बराबरी पर होते हैं, तो विजेता का निर्धारण करने की सामान्य प्रक्रिया क्या है?</v>
      </c>
      <c r="H72" s="5" t="str">
        <f>IFERROR(__xludf.DUMMYFUNCTION("GOOGLETRANSLATE(C72, ""en"", ""hi"")"),"A) अंतिम निर्णायक राउंड खेला जाता है। , B) मैच को ड्रॉ घोषित किया जाता है। , C) सबसे कम फॉल वाले खिलाड़ी को विजेता घोषित किया जाता है। , D) मैच पुनः खेला जाता है।")</f>
        <v>A) अंतिम निर्णायक राउंड खेला जाता है। , B) मैच को ड्रॉ घोषित किया जाता है। , C) सबसे कम फॉल वाले खिलाड़ी को विजेता घोषित किया जाता है। , D) मैच पुनः खेला जाता है।</v>
      </c>
      <c r="I72" s="5" t="str">
        <f>IFERROR(__xludf.DUMMYFUNCTION("GOOGLETRANSLATE(D72, ""en"", ""hi"")"),"ए) अंतिम निर्णायक दौर खेला जाता है।")</f>
        <v>ए) अंतिम निर्णायक दौर खेला जाता है।</v>
      </c>
    </row>
    <row r="73" ht="22.5" customHeight="1">
      <c r="A73" s="8">
        <v>72.0</v>
      </c>
      <c r="B73" s="3" t="s">
        <v>13354</v>
      </c>
      <c r="C73" s="3" t="s">
        <v>13282</v>
      </c>
      <c r="D73" s="3" t="s">
        <v>13230</v>
      </c>
      <c r="F73" s="5" t="str">
        <f>IFERROR(__xludf.DUMMYFUNCTION("GOOGLETRANSLATE(A73, ""en"", ""hi"")"),"72")</f>
        <v>72</v>
      </c>
      <c r="G73" s="5" t="str">
        <f>IFERROR(__xludf.DUMMYFUNCTION("GOOGLETRANSLATE(B73, ""en"", ""hi"")"),"मुकना मुकाबले के दौरान, यदि खिलाड़ी X ऐसी तकनीक अपनाता है जिससे खिलाड़ी Y गिर जाता है, लेकिन खिलाड़ी X भी तुरंत बाद गिर जाता है, तो राउंड का निर्णय कैसे किया जाता है?")</f>
        <v>मुकना मुकाबले के दौरान, यदि खिलाड़ी X ऐसी तकनीक अपनाता है जिससे खिलाड़ी Y गिर जाता है, लेकिन खिलाड़ी X भी तुरंत बाद गिर जाता है, तो राउंड का निर्णय कैसे किया जाता है?</v>
      </c>
      <c r="H73" s="5" t="str">
        <f>IFERROR(__xludf.DUMMYFUNCTION("GOOGLETRANSLATE(C73, ""en"", ""hi"")"),"A) खिलाड़ी X राउंड जीतता है। , B) खिलाड़ी Y राउंड जीतता है। , C) राउंड को ड्रा घोषित किया जाता है। , D) मैच पुनः शुरू होता है।")</f>
        <v>A) खिलाड़ी X राउंड जीतता है। , B) खिलाड़ी Y राउंड जीतता है। , C) राउंड को ड्रा घोषित किया जाता है। , D) मैच पुनः शुरू होता है।</v>
      </c>
      <c r="I73" s="5" t="str">
        <f>IFERROR(__xludf.DUMMYFUNCTION("GOOGLETRANSLATE(D73, ""en"", ""hi"")"),"बी) खिलाड़ी वाई राउंड जीतता है।")</f>
        <v>बी) खिलाड़ी वाई राउंड जीतता है।</v>
      </c>
    </row>
    <row r="74" ht="22.5" customHeight="1">
      <c r="A74" s="8">
        <v>73.0</v>
      </c>
      <c r="B74" s="3" t="s">
        <v>13355</v>
      </c>
      <c r="C74" s="3" t="s">
        <v>13356</v>
      </c>
      <c r="D74" s="3" t="s">
        <v>13357</v>
      </c>
      <c r="F74" s="5" t="str">
        <f>IFERROR(__xludf.DUMMYFUNCTION("GOOGLETRANSLATE(A74, ""en"", ""hi"")"),"73")</f>
        <v>73</v>
      </c>
      <c r="G74" s="5" t="str">
        <f>IFERROR(__xludf.DUMMYFUNCTION("GOOGLETRANSLATE(B74, ""en"", ""hi"")"),"मुकना मैच में, यदि खिलाड़ी X कोई अवैध तकनीक अपनाता है जिसके कारण खिलाड़ी Y गिर जाता है, तो उस राउंड का सामान्य परिणाम क्या होगा?")</f>
        <v>मुकना मैच में, यदि खिलाड़ी X कोई अवैध तकनीक अपनाता है जिसके कारण खिलाड़ी Y गिर जाता है, तो उस राउंड का सामान्य परिणाम क्या होगा?</v>
      </c>
      <c r="H74" s="5" t="str">
        <f>IFERROR(__xludf.DUMMYFUNCTION("GOOGLETRANSLATE(C74, ""en"", ""hi"")"),"A) खिलाड़ी X को अयोग्य घोषित कर दिया जाता है। , B) खिलाड़ी Y को राउंड का विजेता घोषित किया जाता है। , C) राउंड पुनः खेला जाता है। , D) मैच जारी रहता है।")</f>
        <v>A) खिलाड़ी X को अयोग्य घोषित कर दिया जाता है। , B) खिलाड़ी Y को राउंड का विजेता घोषित किया जाता है। , C) राउंड पुनः खेला जाता है। , D) मैच जारी रहता है।</v>
      </c>
      <c r="I74" s="5" t="str">
        <f>IFERROR(__xludf.DUMMYFUNCTION("GOOGLETRANSLATE(D74, ""en"", ""hi"")"),"बी) खिलाड़ी वाई को राउंड का विजेता घोषित किया जाता है।")</f>
        <v>बी) खिलाड़ी वाई को राउंड का विजेता घोषित किया जाता है।</v>
      </c>
    </row>
    <row r="75" ht="22.5" customHeight="1">
      <c r="A75" s="8">
        <v>74.0</v>
      </c>
      <c r="B75" s="3" t="s">
        <v>13358</v>
      </c>
      <c r="C75" s="3" t="s">
        <v>13359</v>
      </c>
      <c r="D75" s="3" t="s">
        <v>13252</v>
      </c>
      <c r="F75" s="5" t="str">
        <f>IFERROR(__xludf.DUMMYFUNCTION("GOOGLETRANSLATE(A75, ""en"", ""hi"")"),"74")</f>
        <v>74</v>
      </c>
      <c r="G75" s="5" t="str">
        <f>IFERROR(__xludf.DUMMYFUNCTION("GOOGLETRANSLATE(B75, ""en"", ""hi"")"),"यदि किसी चोट के कारण मुकना मैच बाधित हो जाता है, तो मैच को पुनः शुरू करने की सामान्य प्रक्रिया क्या है?")</f>
        <v>यदि किसी चोट के कारण मुकना मैच बाधित हो जाता है, तो मैच को पुनः शुरू करने की सामान्य प्रक्रिया क्या है?</v>
      </c>
      <c r="H75" s="5" t="str">
        <f>IFERROR(__xludf.DUMMYFUNCTION("GOOGLETRANSLATE(C75, ""en"", ""hi"")"),"A) मैच रोक दिया जाता है और बाद में पुनः शुरू किया जाता है। , B) मैच शुरू से पुनः शुरू किया जाता है। , C) मैच को ड्रा घोषित कर दिया जाता है। , D) घायल खिलाड़ी को प्रतिस्थापित किया जाता है।")</f>
        <v>A) मैच रोक दिया जाता है और बाद में पुनः शुरू किया जाता है। , B) मैच शुरू से पुनः शुरू किया जाता है। , C) मैच को ड्रा घोषित कर दिया जाता है। , D) घायल खिलाड़ी को प्रतिस्थापित किया जाता है।</v>
      </c>
      <c r="I75" s="5" t="str">
        <f>IFERROR(__xludf.DUMMYFUNCTION("GOOGLETRANSLATE(D75, ""en"", ""hi"")"),"A) मैच रोक दिया जाता है और बाद में पुनः शुरू किया जाता है।")</f>
        <v>A) मैच रोक दिया जाता है और बाद में पुनः शुरू किया जाता है।</v>
      </c>
    </row>
    <row r="76" ht="22.5" customHeight="1">
      <c r="A76" s="8">
        <v>75.0</v>
      </c>
      <c r="B76" s="3" t="s">
        <v>13360</v>
      </c>
      <c r="C76" s="3" t="s">
        <v>13323</v>
      </c>
      <c r="D76" s="3" t="s">
        <v>13174</v>
      </c>
      <c r="F76" s="5" t="str">
        <f>IFERROR(__xludf.DUMMYFUNCTION("GOOGLETRANSLATE(A76, ""en"", ""hi"")"),"75")</f>
        <v>75</v>
      </c>
      <c r="G76" s="5" t="str">
        <f>IFERROR(__xludf.DUMMYFUNCTION("GOOGLETRANSLATE(B76, ""en"", ""hi"")"),"मुकना मुकाबले के दौरान, यदि खिलाड़ी X और खिलाड़ी Y एक साथ गिरते हैं, लेकिन खिलाड़ी X का गिरना किसी तकनीक के कारण था और खिलाड़ी Y का गिरना आकस्मिक था, तो राउंड का स्कोर कैसे होगा?")</f>
        <v>मुकना मुकाबले के दौरान, यदि खिलाड़ी X और खिलाड़ी Y एक साथ गिरते हैं, लेकिन खिलाड़ी X का गिरना किसी तकनीक के कारण था और खिलाड़ी Y का गिरना आकस्मिक था, तो राउंड का स्कोर कैसे होगा?</v>
      </c>
      <c r="H76" s="5" t="str">
        <f>IFERROR(__xludf.DUMMYFUNCTION("GOOGLETRANSLATE(C76, ""en"", ""hi"")"),"ए) खिलाड़ी एक्स राउंड जीतता है।, बी) खिलाड़ी वाई राउंड जीतता है।, सी) राउंड को ड्रॉ घोषित किया जाता है।, डी) मैच को रोक दिया जाता है और उसकी समीक्षा की जाती है।")</f>
        <v>ए) खिलाड़ी एक्स राउंड जीतता है।, बी) खिलाड़ी वाई राउंड जीतता है।, सी) राउंड को ड्रॉ घोषित किया जाता है।, डी) मैच को रोक दिया जाता है और उसकी समीक्षा की जाती है।</v>
      </c>
      <c r="I76" s="5" t="str">
        <f>IFERROR(__xludf.DUMMYFUNCTION("GOOGLETRANSLATE(D76, ""en"", ""hi"")"),"A) खिलाड़ी X राउंड जीतता है।")</f>
        <v>A) खिलाड़ी X राउंड जीतता है।</v>
      </c>
    </row>
    <row r="77" ht="22.5" customHeight="1">
      <c r="A77" s="8">
        <v>76.0</v>
      </c>
      <c r="B77" s="3" t="s">
        <v>13361</v>
      </c>
      <c r="C77" s="3" t="s">
        <v>13336</v>
      </c>
      <c r="D77" s="3" t="s">
        <v>13288</v>
      </c>
      <c r="F77" s="5" t="str">
        <f>IFERROR(__xludf.DUMMYFUNCTION("GOOGLETRANSLATE(A77, ""en"", ""hi"")"),"76")</f>
        <v>76</v>
      </c>
      <c r="G77" s="5" t="str">
        <f>IFERROR(__xludf.DUMMYFUNCTION("GOOGLETRANSLATE(B77, ""en"", ""hi"")"),"मुकना प्रतियोगिता में, यदि दोनों खिलाड़ियों ने बराबर संख्या में राउंड जीते हैं और मैच बराबरी पर है, तो विजेता का निर्धारण कैसे होता है?")</f>
        <v>मुकना प्रतियोगिता में, यदि दोनों खिलाड़ियों ने बराबर संख्या में राउंड जीते हैं और मैच बराबरी पर है, तो विजेता का निर्धारण कैसे होता है?</v>
      </c>
      <c r="H77" s="5" t="str">
        <f>IFERROR(__xludf.DUMMYFUNCTION("GOOGLETRANSLATE(C77, ""en"", ""hi"")"),"A) अंतिम निर्णायक राउंड खेला जाता है। , B) मैच को ड्रॉ घोषित किया जाता है। , C) सबसे कम फॉल वाले खिलाड़ी को विजेता घोषित किया जाता है। , D) मैच पुनः खेला जाता है।")</f>
        <v>A) अंतिम निर्णायक राउंड खेला जाता है। , B) मैच को ड्रॉ घोषित किया जाता है। , C) सबसे कम फॉल वाले खिलाड़ी को विजेता घोषित किया जाता है। , D) मैच पुनः खेला जाता है।</v>
      </c>
      <c r="I77" s="5" t="str">
        <f>IFERROR(__xludf.DUMMYFUNCTION("GOOGLETRANSLATE(D77, ""en"", ""hi"")"),"ए) अंतिम निर्णायक दौर खेला जाता है।")</f>
        <v>ए) अंतिम निर्णायक दौर खेला जाता है।</v>
      </c>
    </row>
    <row r="78" ht="22.5" customHeight="1">
      <c r="A78" s="8">
        <v>77.0</v>
      </c>
      <c r="B78" s="3" t="s">
        <v>13362</v>
      </c>
      <c r="C78" s="3" t="s">
        <v>13363</v>
      </c>
      <c r="D78" s="3" t="s">
        <v>13364</v>
      </c>
      <c r="F78" s="5" t="str">
        <f>IFERROR(__xludf.DUMMYFUNCTION("GOOGLETRANSLATE(A78, ""en"", ""hi"")"),"77")</f>
        <v>77</v>
      </c>
      <c r="G78" s="5" t="str">
        <f>IFERROR(__xludf.DUMMYFUNCTION("GOOGLETRANSLATE(B78, ""en"", ""hi"")"),"यदि खिलाड़ी X और खिलाड़ी Y मुकना मुकाबले में हैं और खिलाड़ी X 4 राउंड जीतता है जबकि खिलाड़ी Y 3 जीतता है, लेकिन खिलाड़ी Y एक अवैध चाल का विरोध करता है, तो उचित प्रतिक्रिया क्या होगी?")</f>
        <v>यदि खिलाड़ी X और खिलाड़ी Y मुकना मुकाबले में हैं और खिलाड़ी X 4 राउंड जीतता है जबकि खिलाड़ी Y 3 जीतता है, लेकिन खिलाड़ी Y एक अवैध चाल का विरोध करता है, तो उचित प्रतिक्रिया क्या होगी?</v>
      </c>
      <c r="H78" s="5" t="str">
        <f>IFERROR(__xludf.DUMMYFUNCTION("GOOGLETRANSLATE(C78, ""en"", ""hi"")"),"ए) मैच रोक दिया जाता है और उसकी समीक्षा की जाती है।, बी) खिलाड़ी एक्स को अयोग्य घोषित कर दिया जाता है।, सी) खिलाड़ी वाई को विजेता घोषित किया जाता है।, डी) मैच जारी रहता है।")</f>
        <v>ए) मैच रोक दिया जाता है और उसकी समीक्षा की जाती है।, बी) खिलाड़ी एक्स को अयोग्य घोषित कर दिया जाता है।, सी) खिलाड़ी वाई को विजेता घोषित किया जाता है।, डी) मैच जारी रहता है।</v>
      </c>
      <c r="I78" s="5" t="str">
        <f>IFERROR(__xludf.DUMMYFUNCTION("GOOGLETRANSLATE(D78, ""en"", ""hi"")"),"ए) मैच को रोक दिया जाता है और उसकी समीक्षा की जाती है।")</f>
        <v>ए) मैच को रोक दिया जाता है और उसकी समीक्षा की जाती है।</v>
      </c>
    </row>
    <row r="79" ht="22.5" customHeight="1">
      <c r="A79" s="8">
        <v>78.0</v>
      </c>
      <c r="B79" s="3" t="s">
        <v>13365</v>
      </c>
      <c r="C79" s="3" t="s">
        <v>13366</v>
      </c>
      <c r="D79" s="3" t="s">
        <v>13329</v>
      </c>
      <c r="F79" s="5" t="str">
        <f>IFERROR(__xludf.DUMMYFUNCTION("GOOGLETRANSLATE(A79, ""en"", ""hi"")"),"78")</f>
        <v>78</v>
      </c>
      <c r="G79" s="5" t="str">
        <f>IFERROR(__xludf.DUMMYFUNCTION("GOOGLETRANSLATE(B79, ""en"", ""hi"")"),"मुकना मैच के दौरान, यदि दोनों खिलाड़ी एक साथ गिर जाते हैं और कोई भी खिलाड़ी आगे खेल जारी नहीं रख पाता है, तो राउंड का सामान्य परिणाम क्या होता है?")</f>
        <v>मुकना मैच के दौरान, यदि दोनों खिलाड़ी एक साथ गिर जाते हैं और कोई भी खिलाड़ी आगे खेल जारी नहीं रख पाता है, तो राउंड का सामान्य परिणाम क्या होता है?</v>
      </c>
      <c r="H79" s="5" t="str">
        <f>IFERROR(__xludf.DUMMYFUNCTION("GOOGLETRANSLATE(C79,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79" s="5" t="str">
        <f>IFERROR(__xludf.DUMMYFUNCTION("GOOGLETRANSLATE(D79, ""en"", ""hi"")"),"ए) राउंड को ड्रा घोषित किया जाता है।")</f>
        <v>ए) राउंड को ड्रा घोषित किया जाता है।</v>
      </c>
    </row>
    <row r="80" ht="22.5" customHeight="1">
      <c r="A80" s="8">
        <v>79.0</v>
      </c>
      <c r="B80" s="3" t="s">
        <v>13367</v>
      </c>
      <c r="C80" s="3" t="s">
        <v>13331</v>
      </c>
      <c r="D80" s="3" t="s">
        <v>13258</v>
      </c>
      <c r="F80" s="5" t="str">
        <f>IFERROR(__xludf.DUMMYFUNCTION("GOOGLETRANSLATE(A80, ""en"", ""hi"")"),"79")</f>
        <v>79</v>
      </c>
      <c r="G80" s="5" t="str">
        <f>IFERROR(__xludf.DUMMYFUNCTION("GOOGLETRANSLATE(B80, ""en"", ""hi"")"),"मुकना मुकाबले में, यदि खिलाड़ी X कोई ऐसी चाल चलता है जिससे खिलाड़ी Y गिर जाता है, लेकिन इस प्रक्रिया के दौरान खिलाड़ी X घायल हो जाता है, तो आमतौर पर राउंड का निर्णय कैसे किया जाता है?")</f>
        <v>मुकना मुकाबले में, यदि खिलाड़ी X कोई ऐसी चाल चलता है जिससे खिलाड़ी Y गिर जाता है, लेकिन इस प्रक्रिया के दौरान खिलाड़ी X घायल हो जाता है, तो आमतौर पर राउंड का निर्णय कैसे किया जाता है?</v>
      </c>
      <c r="H80" s="5" t="str">
        <f>IFERROR(__xludf.DUMMYFUNCTION("GOOGLETRANSLATE(C80, ""en"", ""hi"")"),"A) खिलाड़ी X को विजेता घोषित किया जाता है। , B) खिलाड़ी Y को विजेता घोषित किया जाता है। , C) मेडिकल मूल्यांकन के लिए मैच रोक दिया जाता है। , D) मैच को ड्रॉ घोषित किया जाता है।")</f>
        <v>A) खिलाड़ी X को विजेता घोषित किया जाता है। , B) खिलाड़ी Y को विजेता घोषित किया जाता है। , C) मेडिकल मूल्यांकन के लिए मैच रोक दिया जाता है। , D) मैच को ड्रॉ घोषित किया जाता है।</v>
      </c>
      <c r="I80" s="5" t="str">
        <f>IFERROR(__xludf.DUMMYFUNCTION("GOOGLETRANSLATE(D80, ""en"", ""hi"")"),"C) मैच को चिकित्सीय मूल्यांकन के लिए रोक दिया गया है।")</f>
        <v>C) मैच को चिकित्सीय मूल्यांकन के लिए रोक दिया गया है।</v>
      </c>
    </row>
    <row r="81" ht="22.5" customHeight="1">
      <c r="A81" s="8">
        <v>80.0</v>
      </c>
      <c r="B81" s="3" t="s">
        <v>13368</v>
      </c>
      <c r="C81" s="3" t="s">
        <v>13369</v>
      </c>
      <c r="D81" s="3" t="s">
        <v>13288</v>
      </c>
      <c r="F81" s="5" t="str">
        <f>IFERROR(__xludf.DUMMYFUNCTION("GOOGLETRANSLATE(A81, ""en"", ""hi"")"),"80")</f>
        <v>80</v>
      </c>
      <c r="G81" s="5" t="str">
        <f>IFERROR(__xludf.DUMMYFUNCTION("GOOGLETRANSLATE(B81, ""en"", ""hi"")"),"खिलाड़ी X और खिलाड़ी Y एक मुकना मैच में प्रतिस्पर्धा कर रहे हैं। यदि खिलाड़ी X 3 राउंड जीतता है और खिलाड़ी Y 3 राउंड जीतता है, और खिलाड़ी X की अंतिम राउंड की जीत खिलाड़ी Y की गलती के कारण हुई है, तो आगे क्या होगा?")</f>
        <v>खिलाड़ी X और खिलाड़ी Y एक मुकना मैच में प्रतिस्पर्धा कर रहे हैं। यदि खिलाड़ी X 3 राउंड जीतता है और खिलाड़ी Y 3 राउंड जीतता है, और खिलाड़ी X की अंतिम राउंड की जीत खिलाड़ी Y की गलती के कारण हुई है, तो आगे क्या होगा?</v>
      </c>
      <c r="H81" s="5" t="str">
        <f>IFERROR(__xludf.DUMMYFUNCTION("GOOGLETRANSLATE(C81,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81" s="5" t="str">
        <f>IFERROR(__xludf.DUMMYFUNCTION("GOOGLETRANSLATE(D81, ""en"", ""hi"")"),"ए) अंतिम निर्णायक दौर खेला जाता है।")</f>
        <v>ए) अंतिम निर्णायक दौर खेला जाता है।</v>
      </c>
    </row>
    <row r="82" ht="22.5" customHeight="1">
      <c r="A82" s="8">
        <v>81.0</v>
      </c>
      <c r="B82" s="3" t="s">
        <v>13370</v>
      </c>
      <c r="C82" s="3" t="s">
        <v>13336</v>
      </c>
      <c r="D82" s="3" t="s">
        <v>13288</v>
      </c>
      <c r="F82" s="5" t="str">
        <f>IFERROR(__xludf.DUMMYFUNCTION("GOOGLETRANSLATE(A82, ""en"", ""hi"")"),"81")</f>
        <v>81</v>
      </c>
      <c r="G82" s="5" t="str">
        <f>IFERROR(__xludf.DUMMYFUNCTION("GOOGLETRANSLATE(B82, ""en"", ""hi"")"),"मुकना में, यदि खिलाड़ी X और खिलाड़ी Y प्रत्येक 3 राउंड जीतते हैं और फॉल्स में बराबरी पर होते हैं, तो विजेता का निर्धारण करने की सामान्य प्रक्रिया क्या है?")</f>
        <v>मुकना में, यदि खिलाड़ी X और खिलाड़ी Y प्रत्येक 3 राउंड जीतते हैं और फॉल्स में बराबरी पर होते हैं, तो विजेता का निर्धारण करने की सामान्य प्रक्रिया क्या है?</v>
      </c>
      <c r="H82" s="5" t="str">
        <f>IFERROR(__xludf.DUMMYFUNCTION("GOOGLETRANSLATE(C82, ""en"", ""hi"")"),"A) अंतिम निर्णायक राउंड खेला जाता है। , B) मैच को ड्रॉ घोषित किया जाता है। , C) सबसे कम फॉल वाले खिलाड़ी को विजेता घोषित किया जाता है। , D) मैच पुनः खेला जाता है।")</f>
        <v>A) अंतिम निर्णायक राउंड खेला जाता है। , B) मैच को ड्रॉ घोषित किया जाता है। , C) सबसे कम फॉल वाले खिलाड़ी को विजेता घोषित किया जाता है। , D) मैच पुनः खेला जाता है।</v>
      </c>
      <c r="I82" s="5" t="str">
        <f>IFERROR(__xludf.DUMMYFUNCTION("GOOGLETRANSLATE(D82, ""en"", ""hi"")"),"ए) अंतिम निर्णायक दौर खेला जाता है।")</f>
        <v>ए) अंतिम निर्णायक दौर खेला जाता है।</v>
      </c>
    </row>
    <row r="83" ht="22.5" customHeight="1">
      <c r="A83" s="8">
        <v>82.0</v>
      </c>
      <c r="B83" s="3" t="s">
        <v>13371</v>
      </c>
      <c r="C83" s="3" t="s">
        <v>13372</v>
      </c>
      <c r="D83" s="3" t="s">
        <v>13373</v>
      </c>
      <c r="F83" s="5" t="str">
        <f>IFERROR(__xludf.DUMMYFUNCTION("GOOGLETRANSLATE(A83, ""en"", ""hi"")"),"82")</f>
        <v>82</v>
      </c>
      <c r="G83" s="5" t="str">
        <f>IFERROR(__xludf.DUMMYFUNCTION("GOOGLETRANSLATE(B83, ""en"", ""hi"")"),"मुकना मुकाबले के दौरान, यदि खिलाड़ी X कोई ऐसी तकनीक अपनाता है जिसके कारण खिलाड़ी Y गिर जाता है और खिलाड़ी Y इस चाल की वैधता का विरोध करता है, तो उचित कार्रवाई क्या होगी?")</f>
        <v>मुकना मुकाबले के दौरान, यदि खिलाड़ी X कोई ऐसी तकनीक अपनाता है जिसके कारण खिलाड़ी Y गिर जाता है और खिलाड़ी Y इस चाल की वैधता का विरोध करता है, तो उचित कार्रवाई क्या होगी?</v>
      </c>
      <c r="H83" s="5" t="str">
        <f>IFERROR(__xludf.DUMMYFUNCTION("GOOGLETRANSLATE(C83, ""en"", ""hi"")"),"ए) खिलाड़ी एक्स को अयोग्य घोषित कर दिया जाता है।, बी) राउंड की समीक्षा की जाती है और निर्णय लिया जाता है।, सी) खिलाड़ी वाई को विजेता घोषित किया जाता है।, डी) मैच पुनः शुरू किया जाता है।")</f>
        <v>ए) खिलाड़ी एक्स को अयोग्य घोषित कर दिया जाता है।, बी) राउंड की समीक्षा की जाती है और निर्णय लिया जाता है।, सी) खिलाड़ी वाई को विजेता घोषित किया जाता है।, डी) मैच पुनः शुरू किया जाता है।</v>
      </c>
      <c r="I83" s="5" t="str">
        <f>IFERROR(__xludf.DUMMYFUNCTION("GOOGLETRANSLATE(D83, ""en"", ""hi"")"),"बी) राउंड की समीक्षा की जाती है और निर्णय लिया जाता है।")</f>
        <v>बी) राउंड की समीक्षा की जाती है और निर्णय लिया जाता है।</v>
      </c>
    </row>
    <row r="84" ht="22.5" customHeight="1">
      <c r="A84" s="8">
        <v>83.0</v>
      </c>
      <c r="B84" s="3" t="s">
        <v>13374</v>
      </c>
      <c r="C84" s="3" t="s">
        <v>13375</v>
      </c>
      <c r="D84" s="3" t="s">
        <v>13288</v>
      </c>
      <c r="F84" s="5" t="str">
        <f>IFERROR(__xludf.DUMMYFUNCTION("GOOGLETRANSLATE(A84, ""en"", ""hi"")"),"83")</f>
        <v>83</v>
      </c>
      <c r="G84" s="5" t="str">
        <f>IFERROR(__xludf.DUMMYFUNCTION("GOOGLETRANSLATE(B84, ""en"", ""hi"")"),"मुकना प्रतियोगिता में, यदि खिलाड़ी X और खिलाड़ी Y राउंड और फॉल में बराबरी पर हैं, तो विजेता का निर्धारण करने की मानक प्रक्रिया क्या है?")</f>
        <v>मुकना प्रतियोगिता में, यदि खिलाड़ी X और खिलाड़ी Y राउंड और फॉल में बराबरी पर हैं, तो विजेता का निर्धारण करने की मानक प्रक्रिया क्या है?</v>
      </c>
      <c r="H84" s="5" t="str">
        <f>IFERROR(__xludf.DUMMYFUNCTION("GOOGLETRANSLATE(C84, ""en"", ""hi"")"),"A) अंतिम निर्णायक राउंड खेला जाता है। , B) मैच को ड्रॉ घोषित कर दिया जाता है। , C) अधिक सफल तकनीक वाले खिलाड़ी को विजेता घोषित किया जाता है। , D) मैच पुनः खेला जाता है।")</f>
        <v>A) अंतिम निर्णायक राउंड खेला जाता है। , B) मैच को ड्रॉ घोषित कर दिया जाता है। , C) अधिक सफल तकनीक वाले खिलाड़ी को विजेता घोषित किया जाता है। , D) मैच पुनः खेला जाता है।</v>
      </c>
      <c r="I84" s="5" t="str">
        <f>IFERROR(__xludf.DUMMYFUNCTION("GOOGLETRANSLATE(D84, ""en"", ""hi"")"),"ए) अंतिम निर्णायक दौर खेला जाता है।")</f>
        <v>ए) अंतिम निर्णायक दौर खेला जाता है।</v>
      </c>
    </row>
    <row r="85" ht="22.5" customHeight="1">
      <c r="A85" s="8">
        <v>84.0</v>
      </c>
      <c r="B85" s="3" t="s">
        <v>13376</v>
      </c>
      <c r="C85" s="3" t="s">
        <v>13363</v>
      </c>
      <c r="D85" s="3" t="s">
        <v>13364</v>
      </c>
      <c r="F85" s="5" t="str">
        <f>IFERROR(__xludf.DUMMYFUNCTION("GOOGLETRANSLATE(A85, ""en"", ""hi"")"),"84")</f>
        <v>84</v>
      </c>
      <c r="G85" s="5" t="str">
        <f>IFERROR(__xludf.DUMMYFUNCTION("GOOGLETRANSLATE(B85, ""en"", ""hi"")"),"यदि खिलाड़ी X और खिलाड़ी Y एक मुकना मैच में हैं और खिलाड़ी X 4 राउंड जीतता है जबकि खिलाड़ी Y 3 जीतता है, लेकिन खिलाड़ी Y, खिलाड़ी X की अवैध चाल का विरोध करता है, तो सामान्य प्रतिक्रिया क्या होगी?")</f>
        <v>यदि खिलाड़ी X और खिलाड़ी Y एक मुकना मैच में हैं और खिलाड़ी X 4 राउंड जीतता है जबकि खिलाड़ी Y 3 जीतता है, लेकिन खिलाड़ी Y, खिलाड़ी X की अवैध चाल का विरोध करता है, तो सामान्य प्रतिक्रिया क्या होगी?</v>
      </c>
      <c r="H85" s="5" t="str">
        <f>IFERROR(__xludf.DUMMYFUNCTION("GOOGLETRANSLATE(C85, ""en"", ""hi"")"),"ए) मैच रोक दिया जाता है और उसकी समीक्षा की जाती है।, बी) खिलाड़ी एक्स को अयोग्य घोषित कर दिया जाता है।, सी) खिलाड़ी वाई को विजेता घोषित किया जाता है।, डी) मैच जारी रहता है।")</f>
        <v>ए) मैच रोक दिया जाता है और उसकी समीक्षा की जाती है।, बी) खिलाड़ी एक्स को अयोग्य घोषित कर दिया जाता है।, सी) खिलाड़ी वाई को विजेता घोषित किया जाता है।, डी) मैच जारी रहता है।</v>
      </c>
      <c r="I85" s="5" t="str">
        <f>IFERROR(__xludf.DUMMYFUNCTION("GOOGLETRANSLATE(D85, ""en"", ""hi"")"),"ए) मैच को रोक दिया जाता है और उसकी समीक्षा की जाती है।")</f>
        <v>ए) मैच को रोक दिया जाता है और उसकी समीक्षा की जाती है।</v>
      </c>
    </row>
    <row r="86" ht="22.5" customHeight="1">
      <c r="A86" s="8">
        <v>85.0</v>
      </c>
      <c r="B86" s="3" t="s">
        <v>13377</v>
      </c>
      <c r="C86" s="3" t="s">
        <v>13338</v>
      </c>
      <c r="D86" s="3" t="s">
        <v>13195</v>
      </c>
      <c r="F86" s="5" t="str">
        <f>IFERROR(__xludf.DUMMYFUNCTION("GOOGLETRANSLATE(A86, ""en"", ""hi"")"),"85")</f>
        <v>85</v>
      </c>
      <c r="G86" s="5" t="str">
        <f>IFERROR(__xludf.DUMMYFUNCTION("GOOGLETRANSLATE(B86, ""en"", ""hi"")"),"मुकना मुकाबले के दौरान, यदि खिलाड़ी X ऐसी तकनीक अपनाता है जिसके कारण खिलाड़ी Y रिंग के बाहर गिर जाता है, लेकिन रेफरी की 10 की गिनती से पहले खिलाड़ी Y वापस अंदर आ जाता है, तो विजेता किसे घोषित किया जाएगा?")</f>
        <v>मुकना मुकाबले के दौरान, यदि खिलाड़ी X ऐसी तकनीक अपनाता है जिसके कारण खिलाड़ी Y रिंग के बाहर गिर जाता है, लेकिन रेफरी की 10 की गिनती से पहले खिलाड़ी Y वापस अंदर आ जाता है, तो विजेता किसे घोषित किया जाएगा?</v>
      </c>
      <c r="H86" s="5" t="str">
        <f>IFERROR(__xludf.DUMMYFUNCTION("GOOGLETRANSLATE(C86, ""en"", ""hi"")"),"A) खिलाड़ी X, B) खिलाड़ी Y, C) राउंड को ड्रॉ घोषित किया जाता है, D) मैच पुनः शुरू किया जाता है")</f>
        <v>A) खिलाड़ी X, B) खिलाड़ी Y, C) राउंड को ड्रॉ घोषित किया जाता है, D) मैच पुनः शुरू किया जाता है</v>
      </c>
      <c r="I86" s="5" t="str">
        <f>IFERROR(__xludf.DUMMYFUNCTION("GOOGLETRANSLATE(D86, ""en"", ""hi"")"),"ए) खिलाड़ी एक्स")</f>
        <v>ए) खिलाड़ी एक्स</v>
      </c>
    </row>
    <row r="87" ht="22.5" customHeight="1">
      <c r="A87" s="8">
        <v>86.0</v>
      </c>
      <c r="B87" s="3" t="s">
        <v>13378</v>
      </c>
      <c r="C87" s="3" t="s">
        <v>13351</v>
      </c>
      <c r="D87" s="3" t="s">
        <v>13329</v>
      </c>
      <c r="F87" s="5" t="str">
        <f>IFERROR(__xludf.DUMMYFUNCTION("GOOGLETRANSLATE(A87, ""en"", ""hi"")"),"86")</f>
        <v>86</v>
      </c>
      <c r="G87" s="5" t="str">
        <f>IFERROR(__xludf.DUMMYFUNCTION("GOOGLETRANSLATE(B87, ""en"", ""hi"")"),"यदि मुकना मुकाबले के दौरान दोनों खिलाड़ी एक साथ गिर जाते हैं और कोई भी आगे नहीं खेल पाता, तो उस राउंड का सामान्य परिणाम क्या होगा?")</f>
        <v>यदि मुकना मुकाबले के दौरान दोनों खिलाड़ी एक साथ गिर जाते हैं और कोई भी आगे नहीं खेल पाता, तो उस राउंड का सामान्य परिणाम क्या होगा?</v>
      </c>
      <c r="H87" s="5" t="str">
        <f>IFERROR(__xludf.DUMMYFUNCTION("GOOGLETRANSLATE(C87, ""en"", ""hi"")"),"ए) राउंड को ड्रा घोषित कर दिया जाता है।, बी) मैच पुनः शुरू किया जाता है।, सी) सबसे कम फॉल वाले खिलाड़ी को विजेता घोषित किया जाता है।, डी) मैच को रोक दिया जाता है और उसकी समीक्षा की जाती है।")</f>
        <v>ए) राउंड को ड्रा घोषित कर दिया जाता है।, बी) मैच पुनः शुरू किया जाता है।, सी) सबसे कम फॉल वाले खिलाड़ी को विजेता घोषित किया जाता है।, डी) मैच को रोक दिया जाता है और उसकी समीक्षा की जाती है।</v>
      </c>
      <c r="I87" s="5" t="str">
        <f>IFERROR(__xludf.DUMMYFUNCTION("GOOGLETRANSLATE(D87, ""en"", ""hi"")"),"ए) राउंड को ड्रा घोषित किया जाता है।")</f>
        <v>ए) राउंड को ड्रा घोषित किया जाता है।</v>
      </c>
    </row>
    <row r="88" ht="22.5" customHeight="1">
      <c r="A88" s="8">
        <v>87.0</v>
      </c>
      <c r="B88" s="3" t="s">
        <v>13379</v>
      </c>
      <c r="C88" s="3" t="s">
        <v>13380</v>
      </c>
      <c r="D88" s="3" t="s">
        <v>13349</v>
      </c>
      <c r="F88" s="5" t="str">
        <f>IFERROR(__xludf.DUMMYFUNCTION("GOOGLETRANSLATE(A88, ""en"", ""hi"")"),"87")</f>
        <v>87</v>
      </c>
      <c r="G88" s="5" t="str">
        <f>IFERROR(__xludf.DUMMYFUNCTION("GOOGLETRANSLATE(B88, ""en"", ""hi"")"),"मुकना में, यदि खिलाड़ी X और खिलाड़ी Y राउंड में बराबरी पर हैं और खिलाड़ी X को तकनीक में स्पष्ट बढ़त प्राप्त है, लेकिन अंतिम राउंड के दौरान वह पिछड़ जाता है, तो मैच का निर्णय आमतौर पर कैसे होता है?")</f>
        <v>मुकना में, यदि खिलाड़ी X और खिलाड़ी Y राउंड में बराबरी पर हैं और खिलाड़ी X को तकनीक में स्पष्ट बढ़त प्राप्त है, लेकिन अंतिम राउंड के दौरान वह पिछड़ जाता है, तो मैच का निर्णय आमतौर पर कैसे होता है?</v>
      </c>
      <c r="H88" s="5" t="str">
        <f>IFERROR(__xludf.DUMMYFUNCTION("GOOGLETRANSLATE(C88, ""en"", ""hi"")"),"A) खिलाड़ी Y मैच जीतता है। , B) खिलाड़ी X मैच जीतता है। , C) मैच को ड्रॉ घोषित किया जाता है। , D) अंतिम निर्णायक दौर खेला जाता है।")</f>
        <v>A) खिलाड़ी Y मैच जीतता है। , B) खिलाड़ी X मैच जीतता है। , C) मैच को ड्रॉ घोषित किया जाता है। , D) अंतिम निर्णायक दौर खेला जाता है।</v>
      </c>
      <c r="I88" s="5" t="str">
        <f>IFERROR(__xludf.DUMMYFUNCTION("GOOGLETRANSLATE(D88, ""en"", ""hi"")"),"D) अंतिम निर्णायक दौर खेला जाता है।")</f>
        <v>D) अंतिम निर्णायक दौर खेला जाता है।</v>
      </c>
    </row>
    <row r="89" ht="22.5" customHeight="1">
      <c r="A89" s="8">
        <v>88.0</v>
      </c>
      <c r="B89" s="3" t="s">
        <v>13381</v>
      </c>
      <c r="C89" s="3" t="s">
        <v>13382</v>
      </c>
      <c r="D89" s="3" t="s">
        <v>13383</v>
      </c>
      <c r="F89" s="5" t="str">
        <f>IFERROR(__xludf.DUMMYFUNCTION("GOOGLETRANSLATE(A89, ""en"", ""hi"")"),"88")</f>
        <v>88</v>
      </c>
      <c r="G89" s="5" t="str">
        <f>IFERROR(__xludf.DUMMYFUNCTION("GOOGLETRANSLATE(B89, ""en"", ""hi"")"),"यदि खिलाड़ी X कोई चाल चलता है जिसके परिणामस्वरूप खिलाड़ी Y गिर जाता है, लेकिन खिलाड़ी Y दावा करता है कि खिलाड़ी X की चाल अवैध थी, तो मानक प्रक्रिया क्या है?")</f>
        <v>यदि खिलाड़ी X कोई चाल चलता है जिसके परिणामस्वरूप खिलाड़ी Y गिर जाता है, लेकिन खिलाड़ी Y दावा करता है कि खिलाड़ी X की चाल अवैध थी, तो मानक प्रक्रिया क्या है?</v>
      </c>
      <c r="H89" s="5" t="str">
        <f>IFERROR(__xludf.DUMMYFUNCTION("GOOGLETRANSLATE(C89, ""en"", ""hi"")"),"ए) रेफरी द्वारा चाल की समीक्षा की जाती है।, बी) खिलाड़ी एक्स को अयोग्य घोषित किया जाता है।, सी) खिलाड़ी वाई को विजेता घोषित किया जाता है।, डी) राउंड फिर से खेला जाता है।")</f>
        <v>ए) रेफरी द्वारा चाल की समीक्षा की जाती है।, बी) खिलाड़ी एक्स को अयोग्य घोषित किया जाता है।, सी) खिलाड़ी वाई को विजेता घोषित किया जाता है।, डी) राउंड फिर से खेला जाता है।</v>
      </c>
      <c r="I89" s="5" t="str">
        <f>IFERROR(__xludf.DUMMYFUNCTION("GOOGLETRANSLATE(D89, ""en"", ""hi"")"),"ए) रेफरी द्वारा चाल की समीक्षा की जाती है।")</f>
        <v>ए) रेफरी द्वारा चाल की समीक्षा की जाती है।</v>
      </c>
    </row>
    <row r="90" ht="22.5" customHeight="1">
      <c r="A90" s="8">
        <v>89.0</v>
      </c>
      <c r="B90" s="3" t="s">
        <v>13384</v>
      </c>
      <c r="C90" s="3" t="s">
        <v>13385</v>
      </c>
      <c r="D90" s="3" t="s">
        <v>13288</v>
      </c>
      <c r="F90" s="5" t="str">
        <f>IFERROR(__xludf.DUMMYFUNCTION("GOOGLETRANSLATE(A90, ""en"", ""hi"")"),"89")</f>
        <v>89</v>
      </c>
      <c r="G90" s="5" t="str">
        <f>IFERROR(__xludf.DUMMYFUNCTION("GOOGLETRANSLATE(B90, ""en"", ""hi"")"),"मुकना मुकाबले के दौरान, यदि खिलाड़ी X 3 राउंड जीतता है और खिलाड़ी Y 3 राउंड जीतता है, और खिलाड़ी X की अंतिम जीत एक विवादास्पद चाल के कारण हुई थी, तो आम तौर पर आगे क्या होता है?")</f>
        <v>मुकना मुकाबले के दौरान, यदि खिलाड़ी X 3 राउंड जीतता है और खिलाड़ी Y 3 राउंड जीतता है, और खिलाड़ी X की अंतिम जीत एक विवादास्पद चाल के कारण हुई थी, तो आम तौर पर आगे क्या होता है?</v>
      </c>
      <c r="H90" s="5" t="str">
        <f>IFERROR(__xludf.DUMMYFUNCTION("GOOGLETRANSLATE(C90, ""en"", ""hi"")"),"A) अंतिम निर्णायक राउंड खेला जाता है। , B) खिलाड़ी X को विजेता घोषित किया जाता है। , C) मैच को ड्रॉ घोषित किया जाता है। , D) मैच पुनः शुरू किया जाता है।")</f>
        <v>A) अंतिम निर्णायक राउंड खेला जाता है। , B) खिलाड़ी X को विजेता घोषित किया जाता है। , C) मैच को ड्रॉ घोषित किया जाता है। , D) मैच पुनः शुरू किया जाता है।</v>
      </c>
      <c r="I90" s="5" t="str">
        <f>IFERROR(__xludf.DUMMYFUNCTION("GOOGLETRANSLATE(D90, ""en"", ""hi"")"),"ए) अंतिम निर्णायक दौर खेला जाता है।")</f>
        <v>ए) अंतिम निर्णायक दौर खेला जाता है।</v>
      </c>
    </row>
    <row r="91" ht="22.5" customHeight="1">
      <c r="A91" s="8">
        <v>90.0</v>
      </c>
      <c r="B91" s="3" t="s">
        <v>13386</v>
      </c>
      <c r="C91" s="3" t="s">
        <v>13336</v>
      </c>
      <c r="D91" s="3" t="s">
        <v>13288</v>
      </c>
      <c r="F91" s="5" t="str">
        <f>IFERROR(__xludf.DUMMYFUNCTION("GOOGLETRANSLATE(A91, ""en"", ""hi"")"),"90")</f>
        <v>90</v>
      </c>
      <c r="G91" s="5" t="str">
        <f>IFERROR(__xludf.DUMMYFUNCTION("GOOGLETRANSLATE(B91, ""en"", ""hi"")"),"यदि खिलाड़ी X और खिलाड़ी Y मुकना मैच के दौरान राउंड और फाल्स में बराबरी पर हैं, और दोनों खिलाड़ी समान संख्या में सफल तकनीकें प्रदर्शित करते हैं, तो सामान्य प्रक्रिया क्या होगी?")</f>
        <v>यदि खिलाड़ी X और खिलाड़ी Y मुकना मैच के दौरान राउंड और फाल्स में बराबरी पर हैं, और दोनों खिलाड़ी समान संख्या में सफल तकनीकें प्रदर्शित करते हैं, तो सामान्य प्रक्रिया क्या होगी?</v>
      </c>
      <c r="H91" s="5" t="str">
        <f>IFERROR(__xludf.DUMMYFUNCTION("GOOGLETRANSLATE(C91, ""en"", ""hi"")"),"A) अंतिम निर्णायक राउंड खेला जाता है। , B) मैच को ड्रॉ घोषित किया जाता है। , C) सबसे कम फॉल वाले खिलाड़ी को विजेता घोषित किया जाता है। , D) मैच पुनः खेला जाता है।")</f>
        <v>A) अंतिम निर्णायक राउंड खेला जाता है। , B) मैच को ड्रॉ घोषित किया जाता है। , C) सबसे कम फॉल वाले खिलाड़ी को विजेता घोषित किया जाता है। , D) मैच पुनः खेला जाता है।</v>
      </c>
      <c r="I91" s="5" t="str">
        <f>IFERROR(__xludf.DUMMYFUNCTION("GOOGLETRANSLATE(D91, ""en"", ""hi"")"),"ए) अंतिम निर्णायक दौर खेला जाता है।")</f>
        <v>ए) अंतिम निर्णायक दौर खेला जाता है।</v>
      </c>
    </row>
    <row r="92" ht="22.5" customHeight="1">
      <c r="A92" s="8">
        <v>91.0</v>
      </c>
      <c r="B92" s="3" t="s">
        <v>13387</v>
      </c>
      <c r="C92" s="3" t="s">
        <v>13388</v>
      </c>
      <c r="D92" s="3" t="s">
        <v>13389</v>
      </c>
      <c r="F92" s="5" t="str">
        <f>IFERROR(__xludf.DUMMYFUNCTION("GOOGLETRANSLATE(A92, ""en"", ""hi"")"),"91")</f>
        <v>91</v>
      </c>
      <c r="G92" s="5" t="str">
        <f>IFERROR(__xludf.DUMMYFUNCTION("GOOGLETRANSLATE(B92, ""en"", ""hi"")"),"मुकना प्रतियोगिता में, यदि खिलाड़ी X ऐसी तकनीक का प्रदर्शन करता है जिसके कारण खिलाड़ी Y गिर जाता है, लेकिन खिलाड़ी X भी तुरंत बाद गिर जाता है, तो आमतौर पर राउंड का स्कोर कैसे निर्धारित किया जाता है?")</f>
        <v>मुकना प्रतियोगिता में, यदि खिलाड़ी X ऐसी तकनीक का प्रदर्शन करता है जिसके कारण खिलाड़ी Y गिर जाता है, लेकिन खिलाड़ी X भी तुरंत बाद गिर जाता है, तो आमतौर पर राउंड का स्कोर कैसे निर्धारित किया जाता है?</v>
      </c>
      <c r="H92" s="5" t="str">
        <f>IFERROR(__xludf.DUMMYFUNCTION("GOOGLETRANSLATE(C92,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92" s="5" t="str">
        <f>IFERROR(__xludf.DUMMYFUNCTION("GOOGLETRANSLATE(D92, ""en"", ""hi"")"),"A) खिलाड़ी Y राउंड जीतता है।")</f>
        <v>A) खिलाड़ी Y राउंड जीतता है।</v>
      </c>
    </row>
    <row r="93" ht="22.5" customHeight="1">
      <c r="A93" s="8">
        <v>92.0</v>
      </c>
      <c r="B93" s="3" t="s">
        <v>13390</v>
      </c>
      <c r="C93" s="3" t="s">
        <v>13323</v>
      </c>
      <c r="D93" s="3" t="s">
        <v>13174</v>
      </c>
      <c r="F93" s="5" t="str">
        <f>IFERROR(__xludf.DUMMYFUNCTION("GOOGLETRANSLATE(A93, ""en"", ""hi"")"),"92")</f>
        <v>92</v>
      </c>
      <c r="G93" s="5" t="str">
        <f>IFERROR(__xludf.DUMMYFUNCTION("GOOGLETRANSLATE(B93, ""en"", ""hi"")"),"यदि खिलाड़ी X और खिलाड़ी Y मुकना मैच के दौरान एक साथ गिरते हैं, लेकिन खिलाड़ी X का गिरना खिलाड़ी Y की अवैध चाल के कारण होता है, तो राउंड का निर्णय आमतौर पर कैसे किया जाता है?")</f>
        <v>यदि खिलाड़ी X और खिलाड़ी Y मुकना मैच के दौरान एक साथ गिरते हैं, लेकिन खिलाड़ी X का गिरना खिलाड़ी Y की अवैध चाल के कारण होता है, तो राउंड का निर्णय आमतौर पर कैसे किया जाता है?</v>
      </c>
      <c r="H93" s="5" t="str">
        <f>IFERROR(__xludf.DUMMYFUNCTION("GOOGLETRANSLATE(C93, ""en"", ""hi"")"),"ए) खिलाड़ी एक्स राउंड जीतता है।, बी) खिलाड़ी वाई राउंड जीतता है।, सी) राउंड को ड्रॉ घोषित किया जाता है।, डी) मैच को रोक दिया जाता है और उसकी समीक्षा की जाती है।")</f>
        <v>ए) खिलाड़ी एक्स राउंड जीतता है।, बी) खिलाड़ी वाई राउंड जीतता है।, सी) राउंड को ड्रॉ घोषित किया जाता है।, डी) मैच को रोक दिया जाता है और उसकी समीक्षा की जाती है।</v>
      </c>
      <c r="I93" s="5" t="str">
        <f>IFERROR(__xludf.DUMMYFUNCTION("GOOGLETRANSLATE(D93, ""en"", ""hi"")"),"A) खिलाड़ी X राउंड जीतता है।")</f>
        <v>A) खिलाड़ी X राउंड जीतता है।</v>
      </c>
    </row>
    <row r="94" ht="22.5" customHeight="1">
      <c r="A94" s="8">
        <v>93.0</v>
      </c>
      <c r="B94" s="3" t="s">
        <v>13391</v>
      </c>
      <c r="C94" s="3" t="s">
        <v>13363</v>
      </c>
      <c r="D94" s="3" t="s">
        <v>13364</v>
      </c>
      <c r="F94" s="5" t="str">
        <f>IFERROR(__xludf.DUMMYFUNCTION("GOOGLETRANSLATE(A94, ""en"", ""hi"")"),"93")</f>
        <v>93</v>
      </c>
      <c r="G94" s="5" t="str">
        <f>IFERROR(__xludf.DUMMYFUNCTION("GOOGLETRANSLATE(B94, ""en"", ""hi"")"),"मुकना मुकाबले के दौरान, यदि खिलाड़ी X 4 राउंड जीतता है और खिलाड़ी Y 3 राउंड जीतता है, लेकिन खिलाड़ी Y, खिलाड़ी X की अवैध चाल का विरोध करता है, तो सामान्य प्रक्रिया क्या है?")</f>
        <v>मुकना मुकाबले के दौरान, यदि खिलाड़ी X 4 राउंड जीतता है और खिलाड़ी Y 3 राउंड जीतता है, लेकिन खिलाड़ी Y, खिलाड़ी X की अवैध चाल का विरोध करता है, तो सामान्य प्रक्रिया क्या है?</v>
      </c>
      <c r="H94" s="5" t="str">
        <f>IFERROR(__xludf.DUMMYFUNCTION("GOOGLETRANSLATE(C94, ""en"", ""hi"")"),"ए) मैच रोक दिया जाता है और उसकी समीक्षा की जाती है।, बी) खिलाड़ी एक्स को अयोग्य घोषित कर दिया जाता है।, सी) खिलाड़ी वाई को विजेता घोषित किया जाता है।, डी) मैच जारी रहता है।")</f>
        <v>ए) मैच रोक दिया जाता है और उसकी समीक्षा की जाती है।, बी) खिलाड़ी एक्स को अयोग्य घोषित कर दिया जाता है।, सी) खिलाड़ी वाई को विजेता घोषित किया जाता है।, डी) मैच जारी रहता है।</v>
      </c>
      <c r="I94" s="5" t="str">
        <f>IFERROR(__xludf.DUMMYFUNCTION("GOOGLETRANSLATE(D94, ""en"", ""hi"")"),"ए) मैच को रोक दिया जाता है और उसकी समीक्षा की जाती है।")</f>
        <v>ए) मैच को रोक दिया जाता है और उसकी समीक्षा की जाती है।</v>
      </c>
    </row>
    <row r="95" ht="22.5" customHeight="1">
      <c r="A95" s="8">
        <v>94.0</v>
      </c>
      <c r="B95" s="3" t="s">
        <v>13392</v>
      </c>
      <c r="C95" s="3" t="s">
        <v>13366</v>
      </c>
      <c r="D95" s="3" t="s">
        <v>13329</v>
      </c>
      <c r="F95" s="5" t="str">
        <f>IFERROR(__xludf.DUMMYFUNCTION("GOOGLETRANSLATE(A95, ""en"", ""hi"")"),"94")</f>
        <v>94</v>
      </c>
      <c r="G95" s="5" t="str">
        <f>IFERROR(__xludf.DUMMYFUNCTION("GOOGLETRANSLATE(B95, ""en"", ""hi"")"),"यदि खिलाड़ी X और खिलाड़ी Y दोनों एक साथ रिंग के बाहर गिर जाते हैं और कोई भी आगे नहीं खेल सकता, तो राउंड का सामान्य परिणाम क्या होगा?")</f>
        <v>यदि खिलाड़ी X और खिलाड़ी Y दोनों एक साथ रिंग के बाहर गिर जाते हैं और कोई भी आगे नहीं खेल सकता, तो राउंड का सामान्य परिणाम क्या होगा?</v>
      </c>
      <c r="H95" s="5" t="str">
        <f>IFERROR(__xludf.DUMMYFUNCTION("GOOGLETRANSLATE(C95,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95" s="5" t="str">
        <f>IFERROR(__xludf.DUMMYFUNCTION("GOOGLETRANSLATE(D95, ""en"", ""hi"")"),"ए) राउंड को ड्रा घोषित किया जाता है।")</f>
        <v>ए) राउंड को ड्रा घोषित किया जाता है।</v>
      </c>
    </row>
    <row r="96" ht="22.5" customHeight="1">
      <c r="A96" s="8">
        <v>95.0</v>
      </c>
      <c r="B96" s="3" t="s">
        <v>13393</v>
      </c>
      <c r="C96" s="3" t="s">
        <v>13394</v>
      </c>
      <c r="D96" s="3" t="s">
        <v>13395</v>
      </c>
      <c r="F96" s="5" t="str">
        <f>IFERROR(__xludf.DUMMYFUNCTION("GOOGLETRANSLATE(A96, ""en"", ""hi"")"),"95")</f>
        <v>95</v>
      </c>
      <c r="G96" s="5" t="str">
        <f>IFERROR(__xludf.DUMMYFUNCTION("GOOGLETRANSLATE(B96, ""en"", ""hi"")"),"मुकना में, यदि खिलाड़ी X एक सफल तकनीक का प्रयोग करता है, जिससे खिलाड़ी Y गिर जाता है और खिलाड़ी Y दावा करता है कि तकनीक अवैध थी, तो मानक परिणाम क्या होगा?")</f>
        <v>मुकना में, यदि खिलाड़ी X एक सफल तकनीक का प्रयोग करता है, जिससे खिलाड़ी Y गिर जाता है और खिलाड़ी Y दावा करता है कि तकनीक अवैध थी, तो मानक परिणाम क्या होगा?</v>
      </c>
      <c r="H96" s="5" t="str">
        <f>IFERROR(__xludf.DUMMYFUNCTION("GOOGLETRANSLATE(C96, ""en"", ""hi"")"),"ए) चाल की समीक्षा की जाती है और निर्णय लिया जाता है।, बी) खिलाड़ी एक्स को अयोग्य घोषित किया जाता है।, सी) खिलाड़ी वाई को विजेता घोषित किया जाता है।, डी) मैच पुनः शुरू किया जाता है।")</f>
        <v>ए) चाल की समीक्षा की जाती है और निर्णय लिया जाता है।, बी) खिलाड़ी एक्स को अयोग्य घोषित किया जाता है।, सी) खिलाड़ी वाई को विजेता घोषित किया जाता है।, डी) मैच पुनः शुरू किया जाता है।</v>
      </c>
      <c r="I96" s="5" t="str">
        <f>IFERROR(__xludf.DUMMYFUNCTION("GOOGLETRANSLATE(D96, ""en"", ""hi"")"),"क) इस कदम की समीक्षा की जाती है और निर्णय लिया जाता है।")</f>
        <v>क) इस कदम की समीक्षा की जाती है और निर्णय लिया जाता है।</v>
      </c>
    </row>
    <row r="97" ht="22.5" customHeight="1">
      <c r="A97" s="8">
        <v>96.0</v>
      </c>
      <c r="B97" s="3" t="s">
        <v>13396</v>
      </c>
      <c r="C97" s="3" t="s">
        <v>13375</v>
      </c>
      <c r="D97" s="3" t="s">
        <v>13288</v>
      </c>
      <c r="F97" s="5" t="str">
        <f>IFERROR(__xludf.DUMMYFUNCTION("GOOGLETRANSLATE(A97, ""en"", ""hi"")"),"96")</f>
        <v>96</v>
      </c>
      <c r="G97" s="5" t="str">
        <f>IFERROR(__xludf.DUMMYFUNCTION("GOOGLETRANSLATE(B97, ""en"", ""hi"")"),"मुकना मैच के दौरान, यदि दोनों खिलाड़ी फाल्स और राउंड में बराबरी पर हों, तो विजेता का निर्धारण करने की सामान्य प्रक्रिया क्या है?")</f>
        <v>मुकना मैच के दौरान, यदि दोनों खिलाड़ी फाल्स और राउंड में बराबरी पर हों, तो विजेता का निर्धारण करने की सामान्य प्रक्रिया क्या है?</v>
      </c>
      <c r="H97" s="5" t="str">
        <f>IFERROR(__xludf.DUMMYFUNCTION("GOOGLETRANSLATE(C97, ""en"", ""hi"")"),"A) अंतिम निर्णायक राउंड खेला जाता है। , B) मैच को ड्रॉ घोषित कर दिया जाता है। , C) अधिक सफल तकनीक वाले खिलाड़ी को विजेता घोषित किया जाता है। , D) मैच पुनः खेला जाता है।")</f>
        <v>A) अंतिम निर्णायक राउंड खेला जाता है। , B) मैच को ड्रॉ घोषित कर दिया जाता है। , C) अधिक सफल तकनीक वाले खिलाड़ी को विजेता घोषित किया जाता है। , D) मैच पुनः खेला जाता है।</v>
      </c>
      <c r="I97" s="5" t="str">
        <f>IFERROR(__xludf.DUMMYFUNCTION("GOOGLETRANSLATE(D97, ""en"", ""hi"")"),"ए) अंतिम निर्णायक दौर खेला जाता है।")</f>
        <v>ए) अंतिम निर्णायक दौर खेला जाता है।</v>
      </c>
    </row>
    <row r="98" ht="22.5" customHeight="1">
      <c r="A98" s="8">
        <v>97.0</v>
      </c>
      <c r="B98" s="3" t="s">
        <v>13397</v>
      </c>
      <c r="C98" s="3" t="s">
        <v>13336</v>
      </c>
      <c r="D98" s="3" t="s">
        <v>13288</v>
      </c>
      <c r="F98" s="5" t="str">
        <f>IFERROR(__xludf.DUMMYFUNCTION("GOOGLETRANSLATE(A98, ""en"", ""hi"")"),"97")</f>
        <v>97</v>
      </c>
      <c r="G98" s="5" t="str">
        <f>IFERROR(__xludf.DUMMYFUNCTION("GOOGLETRANSLATE(B98, ""en"", ""hi"")"),"यदि खिलाड़ी X और खिलाड़ी Y, मुकना मैच में 3 राउंड जीतते हैं और फॉल्स में बराबरी पर रहते हैं, तो विजेता का निर्धारण करने की सामान्य प्रक्रिया क्या है?")</f>
        <v>यदि खिलाड़ी X और खिलाड़ी Y, मुकना मैच में 3 राउंड जीतते हैं और फॉल्स में बराबरी पर रहते हैं, तो विजेता का निर्धारण करने की सामान्य प्रक्रिया क्या है?</v>
      </c>
      <c r="H98" s="5" t="str">
        <f>IFERROR(__xludf.DUMMYFUNCTION("GOOGLETRANSLATE(C98, ""en"", ""hi"")"),"A) अंतिम निर्णायक राउंड खेला जाता है। , B) मैच को ड्रॉ घोषित किया जाता है। , C) सबसे कम फॉल वाले खिलाड़ी को विजेता घोषित किया जाता है। , D) मैच पुनः खेला जाता है।")</f>
        <v>A) अंतिम निर्णायक राउंड खेला जाता है। , B) मैच को ड्रॉ घोषित किया जाता है। , C) सबसे कम फॉल वाले खिलाड़ी को विजेता घोषित किया जाता है। , D) मैच पुनः खेला जाता है।</v>
      </c>
      <c r="I98" s="5" t="str">
        <f>IFERROR(__xludf.DUMMYFUNCTION("GOOGLETRANSLATE(D98, ""en"", ""hi"")"),"ए) अंतिम निर्णायक दौर खेला जाता है।")</f>
        <v>ए) अंतिम निर्णायक दौर खेला जाता है।</v>
      </c>
    </row>
    <row r="99" ht="22.5" customHeight="1">
      <c r="A99" s="8">
        <v>98.0</v>
      </c>
      <c r="B99" s="3" t="s">
        <v>13398</v>
      </c>
      <c r="C99" s="3" t="s">
        <v>13338</v>
      </c>
      <c r="D99" s="3" t="s">
        <v>13195</v>
      </c>
      <c r="F99" s="5" t="str">
        <f>IFERROR(__xludf.DUMMYFUNCTION("GOOGLETRANSLATE(A99, ""en"", ""hi"")"),"98")</f>
        <v>98</v>
      </c>
      <c r="G99" s="5" t="str">
        <f>IFERROR(__xludf.DUMMYFUNCTION("GOOGLETRANSLATE(B99, ""en"", ""hi"")"),"मुकना मुकाबले के दौरान, यदि खिलाड़ी X, खिलाड़ी Y की अवैध चाल के कारण गिर जाता है, तो उस राउंड का विजेता किसे घोषित किया जाएगा?")</f>
        <v>मुकना मुकाबले के दौरान, यदि खिलाड़ी X, खिलाड़ी Y की अवैध चाल के कारण गिर जाता है, तो उस राउंड का विजेता किसे घोषित किया जाएगा?</v>
      </c>
      <c r="H99" s="5" t="str">
        <f>IFERROR(__xludf.DUMMYFUNCTION("GOOGLETRANSLATE(C99, ""en"", ""hi"")"),"A) खिलाड़ी X, B) खिलाड़ी Y, C) राउंड को ड्रॉ घोषित किया जाता है, D) मैच पुनः शुरू किया जाता है")</f>
        <v>A) खिलाड़ी X, B) खिलाड़ी Y, C) राउंड को ड्रॉ घोषित किया जाता है, D) मैच पुनः शुरू किया जाता है</v>
      </c>
      <c r="I99" s="5" t="str">
        <f>IFERROR(__xludf.DUMMYFUNCTION("GOOGLETRANSLATE(D99, ""en"", ""hi"")"),"ए) खिलाड़ी एक्स")</f>
        <v>ए) खिलाड़ी एक्स</v>
      </c>
    </row>
    <row r="100" ht="22.5" customHeight="1">
      <c r="A100" s="8">
        <v>99.0</v>
      </c>
      <c r="B100" s="3" t="s">
        <v>13399</v>
      </c>
      <c r="C100" s="3" t="s">
        <v>13363</v>
      </c>
      <c r="D100" s="3" t="s">
        <v>13364</v>
      </c>
      <c r="F100" s="5" t="str">
        <f>IFERROR(__xludf.DUMMYFUNCTION("GOOGLETRANSLATE(A100, ""en"", ""hi"")"),"99")</f>
        <v>99</v>
      </c>
      <c r="G100" s="5" t="str">
        <f>IFERROR(__xludf.DUMMYFUNCTION("GOOGLETRANSLATE(B100, ""en"", ""hi"")"),"यदि खिलाड़ी X और खिलाड़ी Y एक मुकना मैच में प्रतिस्पर्धा कर रहे हैं और खिलाड़ी X 4 राउंड जीतता है जबकि खिलाड़ी Y 3 जीतता है, लेकिन खिलाड़ी Y एक अवैध तकनीक का विरोध करता है, तो आगे क्या होता है?")</f>
        <v>यदि खिलाड़ी X और खिलाड़ी Y एक मुकना मैच में प्रतिस्पर्धा कर रहे हैं और खिलाड़ी X 4 राउंड जीतता है जबकि खिलाड़ी Y 3 जीतता है, लेकिन खिलाड़ी Y एक अवैध तकनीक का विरोध करता है, तो आगे क्या होता है?</v>
      </c>
      <c r="H100" s="5" t="str">
        <f>IFERROR(__xludf.DUMMYFUNCTION("GOOGLETRANSLATE(C100, ""en"", ""hi"")"),"ए) मैच रोक दिया जाता है और उसकी समीक्षा की जाती है।, बी) खिलाड़ी एक्स को अयोग्य घोषित कर दिया जाता है।, सी) खिलाड़ी वाई को विजेता घोषित किया जाता है।, डी) मैच जारी रहता है।")</f>
        <v>ए) मैच रोक दिया जाता है और उसकी समीक्षा की जाती है।, बी) खिलाड़ी एक्स को अयोग्य घोषित कर दिया जाता है।, सी) खिलाड़ी वाई को विजेता घोषित किया जाता है।, डी) मैच जारी रहता है।</v>
      </c>
      <c r="I100" s="5" t="str">
        <f>IFERROR(__xludf.DUMMYFUNCTION("GOOGLETRANSLATE(D100, ""en"", ""hi"")"),"ए) मैच को रोक दिया जाता है और उसकी समीक्षा की जाती है।")</f>
        <v>ए) मैच को रोक दिया जाता है और उसकी समीक्षा की जाती है।</v>
      </c>
    </row>
    <row r="101" ht="22.5" customHeight="1">
      <c r="A101" s="8">
        <v>100.0</v>
      </c>
      <c r="B101" s="3" t="s">
        <v>13400</v>
      </c>
      <c r="C101" s="3" t="s">
        <v>13388</v>
      </c>
      <c r="D101" s="3" t="s">
        <v>13389</v>
      </c>
      <c r="F101" s="5" t="str">
        <f>IFERROR(__xludf.DUMMYFUNCTION("GOOGLETRANSLATE(A101, ""en"", ""hi"")"),"100")</f>
        <v>100</v>
      </c>
      <c r="G101" s="5" t="str">
        <f>IFERROR(__xludf.DUMMYFUNCTION("GOOGLETRANSLATE(B101, ""en"", ""hi"")"),"मुकना मुकाबले के दौरान, यदि खिलाड़ी X ऐसी तकनीक का प्रयोग करता है जिसके कारण खिलाड़ी Y गिर जाता है, लेकिन खिलाड़ी X भी तुरंत बाद गिर जाता है, तो उस राउंड का सामान्य परिणाम क्या होगा?")</f>
        <v>मुकना मुकाबले के दौरान, यदि खिलाड़ी X ऐसी तकनीक का प्रयोग करता है जिसके कारण खिलाड़ी Y गिर जाता है, लेकिन खिलाड़ी X भी तुरंत बाद गिर जाता है, तो उस राउंड का सामान्य परिणाम क्या होगा?</v>
      </c>
      <c r="H101" s="5" t="str">
        <f>IFERROR(__xludf.DUMMYFUNCTION("GOOGLETRANSLATE(C101,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01" s="5" t="str">
        <f>IFERROR(__xludf.DUMMYFUNCTION("GOOGLETRANSLATE(D101, ""en"", ""hi"")"),"A) खिलाड़ी Y राउंड जीतता है।")</f>
        <v>A) खिलाड़ी Y राउंड जीतता है।</v>
      </c>
    </row>
    <row r="102" ht="22.5" customHeight="1">
      <c r="A102" s="8">
        <v>101.0</v>
      </c>
      <c r="B102" s="3" t="s">
        <v>13401</v>
      </c>
      <c r="C102" s="3" t="s">
        <v>13323</v>
      </c>
      <c r="D102" s="3" t="s">
        <v>13174</v>
      </c>
      <c r="F102" s="5" t="str">
        <f>IFERROR(__xludf.DUMMYFUNCTION("GOOGLETRANSLATE(A102, ""en"", ""hi"")"),"101")</f>
        <v>101</v>
      </c>
      <c r="G102" s="5" t="str">
        <f>IFERROR(__xludf.DUMMYFUNCTION("GOOGLETRANSLATE(B102, ""en"", ""hi"")"),"मुकना में, यदि खिलाड़ी X और खिलाड़ी Y एक मुकाबले के दौरान एक साथ गिरते हैं, लेकिन खिलाड़ी X का गिरना किसी तकनीक के कारण था और खिलाड़ी Y का गिरना आकस्मिक था, तो राउंड का निर्णय कैसे किया जाता है?")</f>
        <v>मुकना में, यदि खिलाड़ी X और खिलाड़ी Y एक मुकाबले के दौरान एक साथ गिरते हैं, लेकिन खिलाड़ी X का गिरना किसी तकनीक के कारण था और खिलाड़ी Y का गिरना आकस्मिक था, तो राउंड का निर्णय कैसे किया जाता है?</v>
      </c>
      <c r="H102" s="5" t="str">
        <f>IFERROR(__xludf.DUMMYFUNCTION("GOOGLETRANSLATE(C102, ""en"", ""hi"")"),"ए) खिलाड़ी एक्स राउंड जीतता है।, बी) खिलाड़ी वाई राउंड जीतता है।, सी) राउंड को ड्रॉ घोषित किया जाता है।, डी) मैच को रोक दिया जाता है और उसकी समीक्षा की जाती है।")</f>
        <v>ए) खिलाड़ी एक्स राउंड जीतता है।, बी) खिलाड़ी वाई राउंड जीतता है।, सी) राउंड को ड्रॉ घोषित किया जाता है।, डी) मैच को रोक दिया जाता है और उसकी समीक्षा की जाती है।</v>
      </c>
      <c r="I102" s="5" t="str">
        <f>IFERROR(__xludf.DUMMYFUNCTION("GOOGLETRANSLATE(D102, ""en"", ""hi"")"),"A) खिलाड़ी X राउंड जीतता है।")</f>
        <v>A) खिलाड़ी X राउंड जीतता है।</v>
      </c>
    </row>
    <row r="103" ht="22.5" customHeight="1">
      <c r="A103" s="8">
        <v>102.0</v>
      </c>
      <c r="B103" s="3" t="s">
        <v>13402</v>
      </c>
      <c r="C103" s="3" t="s">
        <v>13369</v>
      </c>
      <c r="D103" s="3" t="s">
        <v>13288</v>
      </c>
      <c r="F103" s="5" t="str">
        <f>IFERROR(__xludf.DUMMYFUNCTION("GOOGLETRANSLATE(A103, ""en"", ""hi"")"),"102")</f>
        <v>102</v>
      </c>
      <c r="G103" s="5" t="str">
        <f>IFERROR(__xludf.DUMMYFUNCTION("GOOGLETRANSLATE(B103, ""en"", ""hi"")"),"यदि खिलाड़ी X और खिलाड़ी Y फाल्स और राउंड में बराबर हैं, और खिलाड़ी X की अंतिम राउंड जीत खिलाड़ी Y की गलती के कारण हुई है, तो परिणाम क्या होगा?")</f>
        <v>यदि खिलाड़ी X और खिलाड़ी Y फाल्स और राउंड में बराबर हैं, और खिलाड़ी X की अंतिम राउंड जीत खिलाड़ी Y की गलती के कारण हुई है, तो परिणाम क्या होगा?</v>
      </c>
      <c r="H103" s="5" t="str">
        <f>IFERROR(__xludf.DUMMYFUNCTION("GOOGLETRANSLATE(C103,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03" s="5" t="str">
        <f>IFERROR(__xludf.DUMMYFUNCTION("GOOGLETRANSLATE(D103, ""en"", ""hi"")"),"ए) अंतिम निर्णायक दौर खेला जाता है।")</f>
        <v>ए) अंतिम निर्णायक दौर खेला जाता है।</v>
      </c>
    </row>
    <row r="104" ht="22.5" customHeight="1">
      <c r="A104" s="8">
        <v>103.0</v>
      </c>
      <c r="B104" s="3" t="s">
        <v>13403</v>
      </c>
      <c r="C104" s="3" t="s">
        <v>13404</v>
      </c>
      <c r="D104" s="3" t="s">
        <v>13405</v>
      </c>
      <c r="F104" s="5" t="str">
        <f>IFERROR(__xludf.DUMMYFUNCTION("GOOGLETRANSLATE(A104, ""en"", ""hi"")"),"103")</f>
        <v>103</v>
      </c>
      <c r="G104" s="5" t="str">
        <f>IFERROR(__xludf.DUMMYFUNCTION("GOOGLETRANSLATE(B104,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104" s="5" t="str">
        <f>IFERROR(__xludf.DUMMYFUNCTION("GOOGLETRANSLATE(C104, ""en"", ""hi"")"),"A) खिलाड़ी Y को राउंड का विजेता घोषित किया जाता है। , B) खिलाड़ी X को अयोग्य घोषित किया जाता है। , C) राउंड पुनः खेला जाता है। , D) मैच जारी रहता है।")</f>
        <v>A) खिलाड़ी Y को राउंड का विजेता घोषित किया जाता है। , B) खिलाड़ी X को अयोग्य घोषित किया जाता है। , C) राउंड पुनः खेला जाता है। , D) मैच जारी रहता है।</v>
      </c>
      <c r="I104" s="5" t="str">
        <f>IFERROR(__xludf.DUMMYFUNCTION("GOOGLETRANSLATE(D104, ""en"", ""hi"")"),"A) खिलाड़ी Y को राउंड का विजेता घोषित किया जाता है।")</f>
        <v>A) खिलाड़ी Y को राउंड का विजेता घोषित किया जाता है।</v>
      </c>
    </row>
    <row r="105" ht="22.5" customHeight="1">
      <c r="A105" s="8">
        <v>104.0</v>
      </c>
      <c r="B105" s="3" t="s">
        <v>13406</v>
      </c>
      <c r="C105" s="3" t="s">
        <v>13366</v>
      </c>
      <c r="D105" s="3" t="s">
        <v>13329</v>
      </c>
      <c r="F105" s="5" t="str">
        <f>IFERROR(__xludf.DUMMYFUNCTION("GOOGLETRANSLATE(A105, ""en"", ""hi"")"),"104")</f>
        <v>104</v>
      </c>
      <c r="G105" s="5" t="str">
        <f>IFERROR(__xludf.DUMMYFUNCTION("GOOGLETRANSLATE(B105, ""en"", ""hi"")"),"मुकना मुकाबले में, यदि दोनों खिलाड़ी एक साथ रिंग के बाहर गिर जाते हैं और कोई भी आगे नहीं खेल पाता, तो आमतौर पर राउंड का स्कोर कैसे निर्धारित किया जाता है?")</f>
        <v>मुकना मुकाबले में, यदि दोनों खिलाड़ी एक साथ रिंग के बाहर गिर जाते हैं और कोई भी आगे नहीं खेल पाता, तो आमतौर पर राउंड का स्कोर कैसे निर्धारित किया जाता है?</v>
      </c>
      <c r="H105" s="5" t="str">
        <f>IFERROR(__xludf.DUMMYFUNCTION("GOOGLETRANSLATE(C105,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05" s="5" t="str">
        <f>IFERROR(__xludf.DUMMYFUNCTION("GOOGLETRANSLATE(D105, ""en"", ""hi"")"),"ए) राउंड को ड्रा घोषित किया जाता है।")</f>
        <v>ए) राउंड को ड्रा घोषित किया जाता है।</v>
      </c>
    </row>
    <row r="106" ht="22.5" customHeight="1">
      <c r="A106" s="8">
        <v>105.0</v>
      </c>
      <c r="B106" s="3" t="s">
        <v>13407</v>
      </c>
      <c r="C106" s="3" t="s">
        <v>13375</v>
      </c>
      <c r="D106" s="3" t="s">
        <v>13288</v>
      </c>
      <c r="F106" s="5" t="str">
        <f>IFERROR(__xludf.DUMMYFUNCTION("GOOGLETRANSLATE(A106, ""en"", ""hi"")"),"105")</f>
        <v>105</v>
      </c>
      <c r="G106" s="5" t="str">
        <f>IFERROR(__xludf.DUMMYFUNCTION("GOOGLETRANSLATE(B106, ""en"", ""hi"")"),"यदि खिलाड़ी X और खिलाड़ी Y मुकना मुकाबले के दौरान फाल्स और राउंड में बराबरी पर हों, तो आमतौर पर विजेता का निर्धारण कैसे होता है?")</f>
        <v>यदि खिलाड़ी X और खिलाड़ी Y मुकना मुकाबले के दौरान फाल्स और राउंड में बराबरी पर हों, तो आमतौर पर विजेता का निर्धारण कैसे होता है?</v>
      </c>
      <c r="H106" s="5" t="str">
        <f>IFERROR(__xludf.DUMMYFUNCTION("GOOGLETRANSLATE(C106, ""en"", ""hi"")"),"A) अंतिम निर्णायक राउंड खेला जाता है। , B) मैच को ड्रॉ घोषित कर दिया जाता है। , C) अधिक सफल तकनीक वाले खिलाड़ी को विजेता घोषित किया जाता है। , D) मैच पुनः खेला जाता है।")</f>
        <v>A) अंतिम निर्णायक राउंड खेला जाता है। , B) मैच को ड्रॉ घोषित कर दिया जाता है। , C) अधिक सफल तकनीक वाले खिलाड़ी को विजेता घोषित किया जाता है। , D) मैच पुनः खेला जाता है।</v>
      </c>
      <c r="I106" s="5" t="str">
        <f>IFERROR(__xludf.DUMMYFUNCTION("GOOGLETRANSLATE(D106, ""en"", ""hi"")"),"ए) अंतिम निर्णायक दौर खेला जाता है।")</f>
        <v>ए) अंतिम निर्णायक दौर खेला जाता है।</v>
      </c>
    </row>
    <row r="107" ht="22.5" customHeight="1">
      <c r="A107" s="8">
        <v>106.0</v>
      </c>
      <c r="B107" s="3" t="s">
        <v>13408</v>
      </c>
      <c r="C107" s="3" t="s">
        <v>13363</v>
      </c>
      <c r="D107" s="3" t="s">
        <v>13364</v>
      </c>
      <c r="F107" s="5" t="str">
        <f>IFERROR(__xludf.DUMMYFUNCTION("GOOGLETRANSLATE(A107, ""en"", ""hi"")"),"106")</f>
        <v>106</v>
      </c>
      <c r="G107" s="5" t="str">
        <f>IFERROR(__xludf.DUMMYFUNCTION("GOOGLETRANSLATE(B107, ""en"", ""hi"")"),"यदि खिलाड़ी X मुकना में 4 राउंड जीतता है और खिलाड़ी Y 3 राउंड जीतता है, और खिलाड़ी Y खिलाड़ी X की अवैध चाल का विरोध करता है, तो सामान्य प्रक्रिया क्या होगी?")</f>
        <v>यदि खिलाड़ी X मुकना में 4 राउंड जीतता है और खिलाड़ी Y 3 राउंड जीतता है, और खिलाड़ी Y खिलाड़ी X की अवैध चाल का विरोध करता है, तो सामान्य प्रक्रिया क्या होगी?</v>
      </c>
      <c r="H107" s="5" t="str">
        <f>IFERROR(__xludf.DUMMYFUNCTION("GOOGLETRANSLATE(C107, ""en"", ""hi"")"),"ए) मैच रोक दिया जाता है और उसकी समीक्षा की जाती है।, बी) खिलाड़ी एक्स को अयोग्य घोषित कर दिया जाता है।, सी) खिलाड़ी वाई को विजेता घोषित किया जाता है।, डी) मैच जारी रहता है।")</f>
        <v>ए) मैच रोक दिया जाता है और उसकी समीक्षा की जाती है।, बी) खिलाड़ी एक्स को अयोग्य घोषित कर दिया जाता है।, सी) खिलाड़ी वाई को विजेता घोषित किया जाता है।, डी) मैच जारी रहता है।</v>
      </c>
      <c r="I107" s="5" t="str">
        <f>IFERROR(__xludf.DUMMYFUNCTION("GOOGLETRANSLATE(D107, ""en"", ""hi"")"),"ए) मैच को रोक दिया जाता है और उसकी समीक्षा की जाती है।")</f>
        <v>ए) मैच को रोक दिया जाता है और उसकी समीक्षा की जाती है।</v>
      </c>
    </row>
    <row r="108" ht="22.5" customHeight="1">
      <c r="A108" s="8">
        <v>107.0</v>
      </c>
      <c r="B108" s="3" t="s">
        <v>13409</v>
      </c>
      <c r="C108" s="3" t="s">
        <v>13388</v>
      </c>
      <c r="D108" s="3" t="s">
        <v>13389</v>
      </c>
      <c r="F108" s="5" t="str">
        <f>IFERROR(__xludf.DUMMYFUNCTION("GOOGLETRANSLATE(A108, ""en"", ""hi"")"),"107")</f>
        <v>107</v>
      </c>
      <c r="G108" s="5" t="str">
        <f>IFERROR(__xludf.DUMMYFUNCTION("GOOGLETRANSLATE(B108, ""en"", ""hi"")"),"मुकना मुकाबले के दौरान, यदि खिलाड़ी X ऐसी तकनीक का प्रयोग करता है जिससे खिलाड़ी Y गिर जाता है, लेकिन तुरंत बाद गिर जाता है, तो उस राउंड का सामान्य परिणाम क्या होगा?")</f>
        <v>मुकना मुकाबले के दौरान, यदि खिलाड़ी X ऐसी तकनीक का प्रयोग करता है जिससे खिलाड़ी Y गिर जाता है, लेकिन तुरंत बाद गिर जाता है, तो उस राउंड का सामान्य परिणाम क्या होगा?</v>
      </c>
      <c r="H108" s="5" t="str">
        <f>IFERROR(__xludf.DUMMYFUNCTION("GOOGLETRANSLATE(C108,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08" s="5" t="str">
        <f>IFERROR(__xludf.DUMMYFUNCTION("GOOGLETRANSLATE(D108, ""en"", ""hi"")"),"A) खिलाड़ी Y राउंड जीतता है।")</f>
        <v>A) खिलाड़ी Y राउंड जीतता है।</v>
      </c>
    </row>
    <row r="109" ht="22.5" customHeight="1">
      <c r="A109" s="8">
        <v>108.0</v>
      </c>
      <c r="B109" s="3" t="s">
        <v>13410</v>
      </c>
      <c r="C109" s="3" t="s">
        <v>13366</v>
      </c>
      <c r="D109" s="3" t="s">
        <v>13329</v>
      </c>
      <c r="F109" s="5" t="str">
        <f>IFERROR(__xludf.DUMMYFUNCTION("GOOGLETRANSLATE(A109, ""en"", ""hi"")"),"108")</f>
        <v>108</v>
      </c>
      <c r="G109" s="5" t="str">
        <f>IFERROR(__xludf.DUMMYFUNCTION("GOOGLETRANSLATE(B109, ""en"", ""hi"")"),"मुकना मैच में, यदि दोनों खिलाड़ी एक साथ गिर जाते हैं और कोई भी आगे नहीं खेल सकता, तो राउंड का सामान्य परिणाम क्या होता है?")</f>
        <v>मुकना मैच में, यदि दोनों खिलाड़ी एक साथ गिर जाते हैं और कोई भी आगे नहीं खेल सकता, तो राउंड का सामान्य परिणाम क्या होता है?</v>
      </c>
      <c r="H109" s="5" t="str">
        <f>IFERROR(__xludf.DUMMYFUNCTION("GOOGLETRANSLATE(C109,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09" s="5" t="str">
        <f>IFERROR(__xludf.DUMMYFUNCTION("GOOGLETRANSLATE(D109, ""en"", ""hi"")"),"ए) राउंड को ड्रा घोषित किया जाता है।")</f>
        <v>ए) राउंड को ड्रा घोषित किया जाता है।</v>
      </c>
    </row>
    <row r="110" ht="22.5" customHeight="1">
      <c r="A110" s="8">
        <v>109.0</v>
      </c>
      <c r="B110" s="3" t="s">
        <v>13411</v>
      </c>
      <c r="C110" s="3" t="s">
        <v>13369</v>
      </c>
      <c r="D110" s="3" t="s">
        <v>13288</v>
      </c>
      <c r="F110" s="5" t="str">
        <f>IFERROR(__xludf.DUMMYFUNCTION("GOOGLETRANSLATE(A110, ""en"", ""hi"")"),"109")</f>
        <v>109</v>
      </c>
      <c r="G110" s="5" t="str">
        <f>IFERROR(__xludf.DUMMYFUNCTION("GOOGLETRANSLATE(B110, ""en"", ""hi"")"),"यदि खिलाड़ी X और खिलाड़ी Y फाल्स और राउंड में बराबरी पर हैं, और खिलाड़ी X की अंतिम जीत एक विवादास्पद चाल के कारण हुई है, तो आम तौर पर आगे क्या होता है?")</f>
        <v>यदि खिलाड़ी X और खिलाड़ी Y फाल्स और राउंड में बराबरी पर हैं, और खिलाड़ी X की अंतिम जीत एक विवादास्पद चाल के कारण हुई है, तो आम तौर पर आगे क्या होता है?</v>
      </c>
      <c r="H110" s="5" t="str">
        <f>IFERROR(__xludf.DUMMYFUNCTION("GOOGLETRANSLATE(C110,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10" s="5" t="str">
        <f>IFERROR(__xludf.DUMMYFUNCTION("GOOGLETRANSLATE(D110, ""en"", ""hi"")"),"ए) अंतिम निर्णायक दौर खेला जाता है।")</f>
        <v>ए) अंतिम निर्णायक दौर खेला जाता है।</v>
      </c>
    </row>
    <row r="111" ht="22.5" customHeight="1">
      <c r="A111" s="8">
        <v>110.0</v>
      </c>
      <c r="B111" s="3" t="s">
        <v>13412</v>
      </c>
      <c r="C111" s="3" t="s">
        <v>13388</v>
      </c>
      <c r="D111" s="3" t="s">
        <v>13389</v>
      </c>
      <c r="F111" s="5" t="str">
        <f>IFERROR(__xludf.DUMMYFUNCTION("GOOGLETRANSLATE(A111, ""en"", ""hi"")"),"110")</f>
        <v>110</v>
      </c>
      <c r="G111" s="5" t="str">
        <f>IFERROR(__xludf.DUMMYFUNCTION("GOOGLETRANSLATE(B111, ""en"", ""hi"")"),"मुकना में, यदि खिलाड़ी X कोई ऐसी तकनीक अपनाता है जिसके कारण खिलाड़ी Y गिर जाता है, लेकिन खिलाड़ी X भी तुरंत बाद गिर जाता है, तो राउंड का स्कोर सामान्यतः कैसे होगा?")</f>
        <v>मुकना में, यदि खिलाड़ी X कोई ऐसी तकनीक अपनाता है जिसके कारण खिलाड़ी Y गिर जाता है, लेकिन खिलाड़ी X भी तुरंत बाद गिर जाता है, तो राउंड का स्कोर सामान्यतः कैसे होगा?</v>
      </c>
      <c r="H111" s="5" t="str">
        <f>IFERROR(__xludf.DUMMYFUNCTION("GOOGLETRANSLATE(C111,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11" s="5" t="str">
        <f>IFERROR(__xludf.DUMMYFUNCTION("GOOGLETRANSLATE(D111, ""en"", ""hi"")"),"A) खिलाड़ी Y राउंड जीतता है।")</f>
        <v>A) खिलाड़ी Y राउंड जीतता है।</v>
      </c>
    </row>
    <row r="112" ht="22.5" customHeight="1">
      <c r="A112" s="8">
        <v>111.0</v>
      </c>
      <c r="B112" s="3" t="s">
        <v>13413</v>
      </c>
      <c r="C112" s="3" t="s">
        <v>13366</v>
      </c>
      <c r="D112" s="3" t="s">
        <v>13329</v>
      </c>
      <c r="F112" s="5" t="str">
        <f>IFERROR(__xludf.DUMMYFUNCTION("GOOGLETRANSLATE(A112, ""en"", ""hi"")"),"111")</f>
        <v>111</v>
      </c>
      <c r="G112" s="5" t="str">
        <f>IFERROR(__xludf.DUMMYFUNCTION("GOOGLETRANSLATE(B112, ""en"", ""hi"")"),"मुकना मुकाबले के दौरान, यदि खिलाड़ी X और खिलाड़ी Y दोनों एक ही समय पर रिंग के बाहर गिर जाते हैं और कोई भी आगे नहीं खेल पाता, तो सामान्य परिणाम क्या होगा?")</f>
        <v>मुकना मुकाबले के दौरान, यदि खिलाड़ी X और खिलाड़ी Y दोनों एक ही समय पर रिंग के बाहर गिर जाते हैं और कोई भी आगे नहीं खेल पाता, तो सामान्य परिणाम क्या होगा?</v>
      </c>
      <c r="H112" s="5" t="str">
        <f>IFERROR(__xludf.DUMMYFUNCTION("GOOGLETRANSLATE(C112,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12" s="5" t="str">
        <f>IFERROR(__xludf.DUMMYFUNCTION("GOOGLETRANSLATE(D112, ""en"", ""hi"")"),"ए) राउंड को ड्रा घोषित किया जाता है।")</f>
        <v>ए) राउंड को ड्रा घोषित किया जाता है।</v>
      </c>
    </row>
    <row r="113" ht="22.5" customHeight="1">
      <c r="A113" s="8">
        <v>112.0</v>
      </c>
      <c r="B113" s="3" t="s">
        <v>13414</v>
      </c>
      <c r="C113" s="3" t="s">
        <v>13369</v>
      </c>
      <c r="D113" s="3" t="s">
        <v>13288</v>
      </c>
      <c r="F113" s="5" t="str">
        <f>IFERROR(__xludf.DUMMYFUNCTION("GOOGLETRANSLATE(A113, ""en"", ""hi"")"),"112")</f>
        <v>112</v>
      </c>
      <c r="G113" s="5" t="str">
        <f>IFERROR(__xludf.DUMMYFUNCTION("GOOGLETRANSLATE(B113, ""en"", ""hi"")"),"यदि खिलाड़ी X और खिलाड़ी Y मुकना मैच के दौरान फॉल्स और राउंड में बराबरी पर हैं, और खिलाड़ी X की अंतिम जीत खिलाड़ी Y की गलती के कारण हुई है, तो आगे क्या होगा?")</f>
        <v>यदि खिलाड़ी X और खिलाड़ी Y मुकना मैच के दौरान फॉल्स और राउंड में बराबरी पर हैं, और खिलाड़ी X की अंतिम जीत खिलाड़ी Y की गलती के कारण हुई है, तो आगे क्या होगा?</v>
      </c>
      <c r="H113" s="5" t="str">
        <f>IFERROR(__xludf.DUMMYFUNCTION("GOOGLETRANSLATE(C113,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13" s="5" t="str">
        <f>IFERROR(__xludf.DUMMYFUNCTION("GOOGLETRANSLATE(D113, ""en"", ""hi"")"),"ए) अंतिम निर्णायक दौर खेला जाता है।")</f>
        <v>ए) अंतिम निर्णायक दौर खेला जाता है।</v>
      </c>
    </row>
    <row r="114" ht="22.5" customHeight="1">
      <c r="A114" s="8">
        <v>113.0</v>
      </c>
      <c r="B114" s="3" t="s">
        <v>13415</v>
      </c>
      <c r="C114" s="3" t="s">
        <v>13416</v>
      </c>
      <c r="D114" s="3" t="s">
        <v>13417</v>
      </c>
      <c r="F114" s="5" t="str">
        <f>IFERROR(__xludf.DUMMYFUNCTION("GOOGLETRANSLATE(A114, ""en"", ""hi"")"),"113")</f>
        <v>113</v>
      </c>
      <c r="G114" s="5" t="str">
        <f>IFERROR(__xludf.DUMMYFUNCTION("GOOGLETRANSLATE(B114, ""en"", ""hi"")"),"मुकना में, यदि खिलाड़ी X कोई अवैध चाल चलता है जिसके कारण खिलाड़ी Y गिर जाता है, तो राउंड का सामान्य परिणाम क्या होता है?")</f>
        <v>मुकना में, यदि खिलाड़ी X कोई अवैध चाल चलता है जिसके कारण खिलाड़ी Y गिर जाता है, तो राउंड का सामान्य परिणाम क्या होता है?</v>
      </c>
      <c r="H114" s="5" t="str">
        <f>IFERROR(__xludf.DUMMYFUNCTION("GOOGLETRANSLATE(C114,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14" s="5" t="str">
        <f>IFERROR(__xludf.DUMMYFUNCTION("GOOGLETRANSLATE(D114, ""en"", ""hi"")"),"A) खिलाड़ी Y को विजेता घोषित किया जाता है।")</f>
        <v>A) खिलाड़ी Y को विजेता घोषित किया जाता है।</v>
      </c>
    </row>
    <row r="115" ht="22.5" customHeight="1">
      <c r="A115" s="8">
        <v>114.0</v>
      </c>
      <c r="B115" s="3" t="s">
        <v>13418</v>
      </c>
      <c r="C115" s="3" t="s">
        <v>13366</v>
      </c>
      <c r="D115" s="3" t="s">
        <v>13329</v>
      </c>
      <c r="F115" s="5" t="str">
        <f>IFERROR(__xludf.DUMMYFUNCTION("GOOGLETRANSLATE(A115, ""en"", ""hi"")"),"114")</f>
        <v>114</v>
      </c>
      <c r="G115" s="5" t="str">
        <f>IFERROR(__xludf.DUMMYFUNCTION("GOOGLETRANSLATE(B115, ""en"", ""hi"")"),"मुकना मैच के दौरान, यदि खिलाड़ी X और खिलाड़ी Y एक साथ गिर जाते हैं और कोई भी आगे नहीं बढ़ पाता है, तो आमतौर पर राउंड का निर्णय कैसे किया जाता है?")</f>
        <v>मुकना मैच के दौरान, यदि खिलाड़ी X और खिलाड़ी Y एक साथ गिर जाते हैं और कोई भी आगे नहीं बढ़ पाता है, तो आमतौर पर राउंड का निर्णय कैसे किया जाता है?</v>
      </c>
      <c r="H115" s="5" t="str">
        <f>IFERROR(__xludf.DUMMYFUNCTION("GOOGLETRANSLATE(C115,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15" s="5" t="str">
        <f>IFERROR(__xludf.DUMMYFUNCTION("GOOGLETRANSLATE(D115, ""en"", ""hi"")"),"ए) राउंड को ड्रा घोषित किया जाता है।")</f>
        <v>ए) राउंड को ड्रा घोषित किया जाता है।</v>
      </c>
    </row>
    <row r="116" ht="22.5" customHeight="1">
      <c r="A116" s="8">
        <v>115.0</v>
      </c>
      <c r="B116" s="3" t="s">
        <v>13407</v>
      </c>
      <c r="C116" s="3" t="s">
        <v>13375</v>
      </c>
      <c r="D116" s="3" t="s">
        <v>13288</v>
      </c>
      <c r="F116" s="5" t="str">
        <f>IFERROR(__xludf.DUMMYFUNCTION("GOOGLETRANSLATE(A116, ""en"", ""hi"")"),"115")</f>
        <v>115</v>
      </c>
      <c r="G116" s="5" t="str">
        <f>IFERROR(__xludf.DUMMYFUNCTION("GOOGLETRANSLATE(B116, ""en"", ""hi"")"),"यदि खिलाड़ी X और खिलाड़ी Y मुकना मुकाबले के दौरान फाल्स और राउंड में बराबरी पर हों, तो आमतौर पर विजेता का निर्धारण कैसे होता है?")</f>
        <v>यदि खिलाड़ी X और खिलाड़ी Y मुकना मुकाबले के दौरान फाल्स और राउंड में बराबरी पर हों, तो आमतौर पर विजेता का निर्धारण कैसे होता है?</v>
      </c>
      <c r="H116" s="5" t="str">
        <f>IFERROR(__xludf.DUMMYFUNCTION("GOOGLETRANSLATE(C116, ""en"", ""hi"")"),"A) अंतिम निर्णायक राउंड खेला जाता है। , B) मैच को ड्रॉ घोषित कर दिया जाता है। , C) अधिक सफल तकनीक वाले खिलाड़ी को विजेता घोषित किया जाता है। , D) मैच पुनः खेला जाता है।")</f>
        <v>A) अंतिम निर्णायक राउंड खेला जाता है। , B) मैच को ड्रॉ घोषित कर दिया जाता है। , C) अधिक सफल तकनीक वाले खिलाड़ी को विजेता घोषित किया जाता है। , D) मैच पुनः खेला जाता है।</v>
      </c>
      <c r="I116" s="5" t="str">
        <f>IFERROR(__xludf.DUMMYFUNCTION("GOOGLETRANSLATE(D116, ""en"", ""hi"")"),"ए) अंतिम निर्णायक दौर खेला जाता है।")</f>
        <v>ए) अंतिम निर्णायक दौर खेला जाता है।</v>
      </c>
    </row>
    <row r="117" ht="22.5" customHeight="1">
      <c r="A117" s="8">
        <v>116.0</v>
      </c>
      <c r="B117" s="3" t="s">
        <v>13419</v>
      </c>
      <c r="C117" s="3" t="s">
        <v>13363</v>
      </c>
      <c r="D117" s="3" t="s">
        <v>13364</v>
      </c>
      <c r="F117" s="5" t="str">
        <f>IFERROR(__xludf.DUMMYFUNCTION("GOOGLETRANSLATE(A117, ""en"", ""hi"")"),"116")</f>
        <v>116</v>
      </c>
      <c r="G117" s="5" t="str">
        <f>IFERROR(__xludf.DUMMYFUNCTION("GOOGLETRANSLATE(B117, ""en"", ""hi"")"),"यदि खिलाड़ी X मुकना में 4 राउंड जीतता है और खिलाड़ी Y 3 राउंड जीतता है, और खिलाड़ी Y खिलाड़ी X की अवैध तकनीक का विरोध करता है, तो सामान्य प्रक्रिया क्या होगी?")</f>
        <v>यदि खिलाड़ी X मुकना में 4 राउंड जीतता है और खिलाड़ी Y 3 राउंड जीतता है, और खिलाड़ी Y खिलाड़ी X की अवैध तकनीक का विरोध करता है, तो सामान्य प्रक्रिया क्या होगी?</v>
      </c>
      <c r="H117" s="5" t="str">
        <f>IFERROR(__xludf.DUMMYFUNCTION("GOOGLETRANSLATE(C117, ""en"", ""hi"")"),"ए) मैच रोक दिया जाता है और उसकी समीक्षा की जाती है।, बी) खिलाड़ी एक्स को अयोग्य घोषित कर दिया जाता है।, सी) खिलाड़ी वाई को विजेता घोषित किया जाता है।, डी) मैच जारी रहता है।")</f>
        <v>ए) मैच रोक दिया जाता है और उसकी समीक्षा की जाती है।, बी) खिलाड़ी एक्स को अयोग्य घोषित कर दिया जाता है।, सी) खिलाड़ी वाई को विजेता घोषित किया जाता है।, डी) मैच जारी रहता है।</v>
      </c>
      <c r="I117" s="5" t="str">
        <f>IFERROR(__xludf.DUMMYFUNCTION("GOOGLETRANSLATE(D117, ""en"", ""hi"")"),"ए) मैच को रोक दिया जाता है और उसकी समीक्षा की जाती है।")</f>
        <v>ए) मैच को रोक दिया जाता है और उसकी समीक्षा की जाती है।</v>
      </c>
    </row>
    <row r="118" ht="22.5" customHeight="1">
      <c r="A118" s="8">
        <v>117.0</v>
      </c>
      <c r="B118" s="3" t="s">
        <v>13420</v>
      </c>
      <c r="C118" s="3" t="s">
        <v>13388</v>
      </c>
      <c r="D118" s="3" t="s">
        <v>13389</v>
      </c>
      <c r="F118" s="5" t="str">
        <f>IFERROR(__xludf.DUMMYFUNCTION("GOOGLETRANSLATE(A118, ""en"", ""hi"")"),"117")</f>
        <v>117</v>
      </c>
      <c r="G118" s="5" t="str">
        <f>IFERROR(__xludf.DUMMYFUNCTION("GOOGLETRANSLATE(B118, ""en"", ""hi"")"),"मुकना मुकाबले के दौरान, यदि खिलाड़ी X ऐसी तकनीक अपनाता है जिसके कारण खिलाड़ी Y गिर जाता है, लेकिन खिलाड़ी X भी तुरंत बाद गिर जाता है, तो राउंड का स्कोर कैसे होगा?")</f>
        <v>मुकना मुकाबले के दौरान, यदि खिलाड़ी X ऐसी तकनीक अपनाता है जिसके कारण खिलाड़ी Y गिर जाता है, लेकिन खिलाड़ी X भी तुरंत बाद गिर जाता है, तो राउंड का स्कोर कैसे होगा?</v>
      </c>
      <c r="H118" s="5" t="str">
        <f>IFERROR(__xludf.DUMMYFUNCTION("GOOGLETRANSLATE(C118,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18" s="5" t="str">
        <f>IFERROR(__xludf.DUMMYFUNCTION("GOOGLETRANSLATE(D118, ""en"", ""hi"")"),"A) खिलाड़ी Y राउंड जीतता है।")</f>
        <v>A) खिलाड़ी Y राउंड जीतता है।</v>
      </c>
    </row>
    <row r="119" ht="22.5" customHeight="1">
      <c r="A119" s="8">
        <v>118.0</v>
      </c>
      <c r="B119" s="3" t="s">
        <v>13421</v>
      </c>
      <c r="C119" s="3" t="s">
        <v>13366</v>
      </c>
      <c r="D119" s="3" t="s">
        <v>13329</v>
      </c>
      <c r="F119" s="5" t="str">
        <f>IFERROR(__xludf.DUMMYFUNCTION("GOOGLETRANSLATE(A119, ""en"", ""hi"")"),"118")</f>
        <v>118</v>
      </c>
      <c r="G119" s="5" t="str">
        <f>IFERROR(__xludf.DUMMYFUNCTION("GOOGLETRANSLATE(B119, ""en"", ""hi"")"),"मुकना मैच में, यदि खिलाड़ी X और खिलाड़ी Y दोनों एक साथ रिंग के बाहर गिर जाते हैं और कोई भी आगे नहीं खेल सकता, तो आमतौर पर राउंड का स्कोर कैसे होगा?")</f>
        <v>मुकना मैच में, यदि खिलाड़ी X और खिलाड़ी Y दोनों एक साथ रिंग के बाहर गिर जाते हैं और कोई भी आगे नहीं खेल सकता, तो आमतौर पर राउंड का स्कोर कैसे होगा?</v>
      </c>
      <c r="H119" s="5" t="str">
        <f>IFERROR(__xludf.DUMMYFUNCTION("GOOGLETRANSLATE(C119,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19" s="5" t="str">
        <f>IFERROR(__xludf.DUMMYFUNCTION("GOOGLETRANSLATE(D119, ""en"", ""hi"")"),"ए) राउंड को ड्रा घोषित किया जाता है।")</f>
        <v>ए) राउंड को ड्रा घोषित किया जाता है।</v>
      </c>
    </row>
    <row r="120" ht="22.5" customHeight="1">
      <c r="A120" s="8">
        <v>119.0</v>
      </c>
      <c r="B120" s="3" t="s">
        <v>13422</v>
      </c>
      <c r="C120" s="3" t="s">
        <v>13369</v>
      </c>
      <c r="D120" s="3" t="s">
        <v>13288</v>
      </c>
      <c r="F120" s="5" t="str">
        <f>IFERROR(__xludf.DUMMYFUNCTION("GOOGLETRANSLATE(A120, ""en"", ""hi"")"),"119")</f>
        <v>119</v>
      </c>
      <c r="G120" s="5" t="str">
        <f>IFERROR(__xludf.DUMMYFUNCTION("GOOGLETRANSLATE(B120, ""en"", ""hi"")"),"यदि खिलाड़ी X और खिलाड़ी Y फाल्स और राउंड में बराबरी पर हैं, और खिलाड़ी X की अंतिम जीत एक विवादास्पद चाल के कारण हुई है, तो सामान्य प्रक्रिया क्या है?")</f>
        <v>यदि खिलाड़ी X और खिलाड़ी Y फाल्स और राउंड में बराबरी पर हैं, और खिलाड़ी X की अंतिम जीत एक विवादास्पद चाल के कारण हुई है, तो सामान्य प्रक्रिया क्या है?</v>
      </c>
      <c r="H120" s="5" t="str">
        <f>IFERROR(__xludf.DUMMYFUNCTION("GOOGLETRANSLATE(C120,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20" s="5" t="str">
        <f>IFERROR(__xludf.DUMMYFUNCTION("GOOGLETRANSLATE(D120, ""en"", ""hi"")"),"ए) अंतिम निर्णायक दौर खेला जाता है।")</f>
        <v>ए) अंतिम निर्णायक दौर खेला जाता है।</v>
      </c>
    </row>
    <row r="121" ht="22.5" customHeight="1">
      <c r="A121" s="8">
        <v>120.0</v>
      </c>
      <c r="B121" s="3" t="s">
        <v>13423</v>
      </c>
      <c r="C121" s="3" t="s">
        <v>13388</v>
      </c>
      <c r="D121" s="3" t="s">
        <v>13389</v>
      </c>
      <c r="F121" s="5" t="str">
        <f>IFERROR(__xludf.DUMMYFUNCTION("GOOGLETRANSLATE(A121, ""en"", ""hi"")"),"120")</f>
        <v>120</v>
      </c>
      <c r="G121" s="5" t="str">
        <f>IFERROR(__xludf.DUMMYFUNCTION("GOOGLETRANSLATE(B121, ""en"", ""hi"")"),"मुकना मैच के दौरान, यदि खिलाड़ी X कोई ऐसी तकनीक अपनाता है जिसके कारण खिलाड़ी Y गिर जाता है, लेकिन खिलाड़ी X भी तुरंत बाद गिर जाता है, तो राउंड का निर्णय कैसे किया जाता है?")</f>
        <v>मुकना मैच के दौरान, यदि खिलाड़ी X कोई ऐसी तकनीक अपनाता है जिसके कारण खिलाड़ी Y गिर जाता है, लेकिन खिलाड़ी X भी तुरंत बाद गिर जाता है, तो राउंड का निर्णय कैसे किया जाता है?</v>
      </c>
      <c r="H121" s="5" t="str">
        <f>IFERROR(__xludf.DUMMYFUNCTION("GOOGLETRANSLATE(C121,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21" s="5" t="str">
        <f>IFERROR(__xludf.DUMMYFUNCTION("GOOGLETRANSLATE(D121, ""en"", ""hi"")"),"A) खिलाड़ी Y राउंड जीतता है।")</f>
        <v>A) खिलाड़ी Y राउंड जीतता है।</v>
      </c>
    </row>
    <row r="122" ht="22.5" customHeight="1">
      <c r="A122" s="8">
        <v>121.0</v>
      </c>
      <c r="B122" s="3" t="s">
        <v>13424</v>
      </c>
      <c r="C122" s="3" t="s">
        <v>13323</v>
      </c>
      <c r="D122" s="3" t="s">
        <v>13174</v>
      </c>
      <c r="F122" s="5" t="str">
        <f>IFERROR(__xludf.DUMMYFUNCTION("GOOGLETRANSLATE(A122, ""en"", ""hi"")"),"121")</f>
        <v>121</v>
      </c>
      <c r="G122" s="5" t="str">
        <f>IFERROR(__xludf.DUMMYFUNCTION("GOOGLETRANSLATE(B122, ""en"", ""hi"")"),"मुकना में, यदि खिलाड़ी X और खिलाड़ी Y एक मुकाबले के दौरान एक साथ गिरते हैं, लेकिन खिलाड़ी X का गिरना खिलाड़ी Y की अवैध चाल के कारण होता है, तो राउंड का निर्णय आमतौर पर कैसे किया जाता है?")</f>
        <v>मुकना में, यदि खिलाड़ी X और खिलाड़ी Y एक मुकाबले के दौरान एक साथ गिरते हैं, लेकिन खिलाड़ी X का गिरना खिलाड़ी Y की अवैध चाल के कारण होता है, तो राउंड का निर्णय आमतौर पर कैसे किया जाता है?</v>
      </c>
      <c r="H122" s="5" t="str">
        <f>IFERROR(__xludf.DUMMYFUNCTION("GOOGLETRANSLATE(C122, ""en"", ""hi"")"),"ए) खिलाड़ी एक्स राउंड जीतता है।, बी) खिलाड़ी वाई राउंड जीतता है।, सी) राउंड को ड्रॉ घोषित किया जाता है।, डी) मैच को रोक दिया जाता है और उसकी समीक्षा की जाती है।")</f>
        <v>ए) खिलाड़ी एक्स राउंड जीतता है।, बी) खिलाड़ी वाई राउंड जीतता है।, सी) राउंड को ड्रॉ घोषित किया जाता है।, डी) मैच को रोक दिया जाता है और उसकी समीक्षा की जाती है।</v>
      </c>
      <c r="I122" s="5" t="str">
        <f>IFERROR(__xludf.DUMMYFUNCTION("GOOGLETRANSLATE(D122, ""en"", ""hi"")"),"A) खिलाड़ी X राउंड जीतता है।")</f>
        <v>A) खिलाड़ी X राउंड जीतता है।</v>
      </c>
    </row>
    <row r="123" ht="22.5" customHeight="1">
      <c r="A123" s="8">
        <v>122.0</v>
      </c>
      <c r="B123" s="3" t="s">
        <v>13425</v>
      </c>
      <c r="C123" s="3" t="s">
        <v>13369</v>
      </c>
      <c r="D123" s="3" t="s">
        <v>13288</v>
      </c>
      <c r="F123" s="5" t="str">
        <f>IFERROR(__xludf.DUMMYFUNCTION("GOOGLETRANSLATE(A123, ""en"", ""hi"")"),"122")</f>
        <v>122</v>
      </c>
      <c r="G123" s="5" t="str">
        <f>IFERROR(__xludf.DUMMYFUNCTION("GOOGLETRANSLATE(B123, ""en"", ""hi"")"),"यदि खिलाड़ी X और खिलाड़ी Y फाल्स और राउंड में बराबर हैं, और खिलाड़ी X की अंतिम जीत खिलाड़ी Y की गलती के कारण हुई है, तो सामान्य परिणाम क्या होगा?")</f>
        <v>यदि खिलाड़ी X और खिलाड़ी Y फाल्स और राउंड में बराबर हैं, और खिलाड़ी X की अंतिम जीत खिलाड़ी Y की गलती के कारण हुई है, तो सामान्य परिणाम क्या होगा?</v>
      </c>
      <c r="H123" s="5" t="str">
        <f>IFERROR(__xludf.DUMMYFUNCTION("GOOGLETRANSLATE(C123,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23" s="5" t="str">
        <f>IFERROR(__xludf.DUMMYFUNCTION("GOOGLETRANSLATE(D123, ""en"", ""hi"")"),"ए) अंतिम निर्णायक दौर खेला जाता है।")</f>
        <v>ए) अंतिम निर्णायक दौर खेला जाता है।</v>
      </c>
    </row>
    <row r="124" ht="22.5" customHeight="1">
      <c r="A124" s="8">
        <v>123.0</v>
      </c>
      <c r="B124" s="3" t="s">
        <v>13426</v>
      </c>
      <c r="C124" s="3" t="s">
        <v>13416</v>
      </c>
      <c r="D124" s="3" t="s">
        <v>13417</v>
      </c>
      <c r="F124" s="5" t="str">
        <f>IFERROR(__xludf.DUMMYFUNCTION("GOOGLETRANSLATE(A124, ""en"", ""hi"")"),"123")</f>
        <v>123</v>
      </c>
      <c r="G124" s="5" t="str">
        <f>IFERROR(__xludf.DUMMYFUNCTION("GOOGLETRANSLATE(B124, ""en"", ""hi"")"),"मुकना मुकाबले में, यदि खिलाड़ी X कोई अवैध चाल चलता है जिसके कारण खिलाड़ी Y गिर जाता है, तो उस राउंड का मानक परिणाम क्या होगा?")</f>
        <v>मुकना मुकाबले में, यदि खिलाड़ी X कोई अवैध चाल चलता है जिसके कारण खिलाड़ी Y गिर जाता है, तो उस राउंड का मानक परिणाम क्या होगा?</v>
      </c>
      <c r="H124" s="5" t="str">
        <f>IFERROR(__xludf.DUMMYFUNCTION("GOOGLETRANSLATE(C124,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24" s="5" t="str">
        <f>IFERROR(__xludf.DUMMYFUNCTION("GOOGLETRANSLATE(D124, ""en"", ""hi"")"),"A) खिलाड़ी Y को विजेता घोषित किया जाता है।")</f>
        <v>A) खिलाड़ी Y को विजेता घोषित किया जाता है।</v>
      </c>
    </row>
    <row r="125" ht="22.5" customHeight="1">
      <c r="A125" s="8">
        <v>124.0</v>
      </c>
      <c r="B125" s="3" t="s">
        <v>13427</v>
      </c>
      <c r="C125" s="3" t="s">
        <v>13366</v>
      </c>
      <c r="D125" s="3" t="s">
        <v>13329</v>
      </c>
      <c r="F125" s="5" t="str">
        <f>IFERROR(__xludf.DUMMYFUNCTION("GOOGLETRANSLATE(A125, ""en"", ""hi"")"),"124")</f>
        <v>124</v>
      </c>
      <c r="G125" s="5" t="str">
        <f>IFERROR(__xludf.DUMMYFUNCTION("GOOGLETRANSLATE(B125, ""en"", ""hi"")"),"मुकना मैच के दौरान, यदि खिलाड़ी X और खिलाड़ी Y दोनों एक साथ रिंग के बाहर गिर जाते हैं और कोई भी आगे नहीं खेल सकता, तो आमतौर पर राउंड का स्कोर कैसे निर्धारित किया जाता है?")</f>
        <v>मुकना मैच के दौरान, यदि खिलाड़ी X और खिलाड़ी Y दोनों एक साथ रिंग के बाहर गिर जाते हैं और कोई भी आगे नहीं खेल सकता, तो आमतौर पर राउंड का स्कोर कैसे निर्धारित किया जाता है?</v>
      </c>
      <c r="H125" s="5" t="str">
        <f>IFERROR(__xludf.DUMMYFUNCTION("GOOGLETRANSLATE(C125,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25" s="5" t="str">
        <f>IFERROR(__xludf.DUMMYFUNCTION("GOOGLETRANSLATE(D125, ""en"", ""hi"")"),"ए) राउंड को ड्रा घोषित किया जाता है।")</f>
        <v>ए) राउंड को ड्रा घोषित किया जाता है।</v>
      </c>
    </row>
    <row r="126" ht="22.5" customHeight="1">
      <c r="A126" s="8">
        <v>125.0</v>
      </c>
      <c r="B126" s="3" t="s">
        <v>13411</v>
      </c>
      <c r="C126" s="3" t="s">
        <v>13369</v>
      </c>
      <c r="D126" s="3" t="s">
        <v>13288</v>
      </c>
      <c r="F126" s="5" t="str">
        <f>IFERROR(__xludf.DUMMYFUNCTION("GOOGLETRANSLATE(A126, ""en"", ""hi"")"),"125")</f>
        <v>125</v>
      </c>
      <c r="G126" s="5" t="str">
        <f>IFERROR(__xludf.DUMMYFUNCTION("GOOGLETRANSLATE(B126, ""en"", ""hi"")"),"यदि खिलाड़ी X और खिलाड़ी Y फाल्स और राउंड में बराबरी पर हैं, और खिलाड़ी X की अंतिम जीत एक विवादास्पद चाल के कारण हुई है, तो आम तौर पर आगे क्या होता है?")</f>
        <v>यदि खिलाड़ी X और खिलाड़ी Y फाल्स और राउंड में बराबरी पर हैं, और खिलाड़ी X की अंतिम जीत एक विवादास्पद चाल के कारण हुई है, तो आम तौर पर आगे क्या होता है?</v>
      </c>
      <c r="H126" s="5" t="str">
        <f>IFERROR(__xludf.DUMMYFUNCTION("GOOGLETRANSLATE(C126,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26" s="5" t="str">
        <f>IFERROR(__xludf.DUMMYFUNCTION("GOOGLETRANSLATE(D126, ""en"", ""hi"")"),"ए) अंतिम निर्णायक दौर खेला जाता है।")</f>
        <v>ए) अंतिम निर्णायक दौर खेला जाता है।</v>
      </c>
    </row>
    <row r="127" ht="22.5" customHeight="1">
      <c r="A127" s="8">
        <v>126.0</v>
      </c>
      <c r="B127" s="3" t="s">
        <v>13428</v>
      </c>
      <c r="C127" s="3" t="s">
        <v>13388</v>
      </c>
      <c r="D127" s="3" t="s">
        <v>13389</v>
      </c>
      <c r="F127" s="5" t="str">
        <f>IFERROR(__xludf.DUMMYFUNCTION("GOOGLETRANSLATE(A127, ""en"", ""hi"")"),"126")</f>
        <v>126</v>
      </c>
      <c r="G127" s="5" t="str">
        <f>IFERROR(__xludf.DUMMYFUNCTION("GOOGLETRANSLATE(B127, ""en"", ""hi"")"),"मुकना में, यदि खिलाड़ी X कोई ऐसी तकनीक अपनाता है जिसके कारण खिलाड़ी Y गिर जाता है, लेकिन खिलाड़ी X भी तुरंत बाद गिर जाता है, तो राउंड का स्कोर आमतौर पर कैसे होता है?")</f>
        <v>मुकना में, यदि खिलाड़ी X कोई ऐसी तकनीक अपनाता है जिसके कारण खिलाड़ी Y गिर जाता है, लेकिन खिलाड़ी X भी तुरंत बाद गिर जाता है, तो राउंड का स्कोर आमतौर पर कैसे होता है?</v>
      </c>
      <c r="H127" s="5" t="str">
        <f>IFERROR(__xludf.DUMMYFUNCTION("GOOGLETRANSLATE(C127,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27" s="5" t="str">
        <f>IFERROR(__xludf.DUMMYFUNCTION("GOOGLETRANSLATE(D127, ""en"", ""hi"")"),"A) खिलाड़ी Y राउंड जीतता है।")</f>
        <v>A) खिलाड़ी Y राउंड जीतता है।</v>
      </c>
    </row>
    <row r="128" ht="22.5" customHeight="1">
      <c r="A128" s="8">
        <v>127.0</v>
      </c>
      <c r="B128" s="3" t="s">
        <v>13429</v>
      </c>
      <c r="C128" s="3" t="s">
        <v>13369</v>
      </c>
      <c r="D128" s="3" t="s">
        <v>13288</v>
      </c>
      <c r="F128" s="5" t="str">
        <f>IFERROR(__xludf.DUMMYFUNCTION("GOOGLETRANSLATE(A128, ""en"", ""hi"")"),"127")</f>
        <v>127</v>
      </c>
      <c r="G128" s="5" t="str">
        <f>IFERROR(__xludf.DUMMYFUNCTION("GOOGLETRANSLATE(B128, ""en"", ""hi"")"),"यदि खिलाड़ी X और खिलाड़ी Y मुकना मुकाबले के दौरान फॉल्स और राउंड में बराबरी पर हैं, और खिलाड़ी X की अंतिम जीत खिलाड़ी Y की गलती के कारण हुई है, तो सामान्य प्रक्रिया क्या है?")</f>
        <v>यदि खिलाड़ी X और खिलाड़ी Y मुकना मुकाबले के दौरान फॉल्स और राउंड में बराबरी पर हैं, और खिलाड़ी X की अंतिम जीत खिलाड़ी Y की गलती के कारण हुई है, तो सामान्य प्रक्रिया क्या है?</v>
      </c>
      <c r="H128" s="5" t="str">
        <f>IFERROR(__xludf.DUMMYFUNCTION("GOOGLETRANSLATE(C128,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28" s="5" t="str">
        <f>IFERROR(__xludf.DUMMYFUNCTION("GOOGLETRANSLATE(D128, ""en"", ""hi"")"),"ए) अंतिम निर्णायक दौर खेला जाता है।")</f>
        <v>ए) अंतिम निर्णायक दौर खेला जाता है।</v>
      </c>
    </row>
    <row r="129" ht="22.5" customHeight="1">
      <c r="A129" s="8">
        <v>128.0</v>
      </c>
      <c r="B129" s="3" t="s">
        <v>13430</v>
      </c>
      <c r="C129" s="3" t="s">
        <v>13416</v>
      </c>
      <c r="D129" s="3" t="s">
        <v>13417</v>
      </c>
      <c r="F129" s="5" t="str">
        <f>IFERROR(__xludf.DUMMYFUNCTION("GOOGLETRANSLATE(A129, ""en"", ""hi"")"),"128")</f>
        <v>128</v>
      </c>
      <c r="G129" s="5" t="str">
        <f>IFERROR(__xludf.DUMMYFUNCTION("GOOGLETRANSLATE(B129, ""en"", ""hi"")"),"मुकना मैच के दौरान, यदि खिलाड़ी X कोई अवैध चाल चलता है जिसके कारण खिलाड़ी Y गिर जाता है, तो उस राउंड का मानक परिणाम क्या होगा?")</f>
        <v>मुकना मैच के दौरान, यदि खिलाड़ी X कोई अवैध चाल चलता है जिसके कारण खिलाड़ी Y गिर जाता है, तो उस राउंड का मानक परिणाम क्या होगा?</v>
      </c>
      <c r="H129" s="5" t="str">
        <f>IFERROR(__xludf.DUMMYFUNCTION("GOOGLETRANSLATE(C129,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29" s="5" t="str">
        <f>IFERROR(__xludf.DUMMYFUNCTION("GOOGLETRANSLATE(D129, ""en"", ""hi"")"),"A) खिलाड़ी Y को विजेता घोषित किया जाता है।")</f>
        <v>A) खिलाड़ी Y को विजेता घोषित किया जाता है।</v>
      </c>
    </row>
    <row r="130" ht="22.5" customHeight="1">
      <c r="A130" s="8">
        <v>129.0</v>
      </c>
      <c r="B130" s="3" t="s">
        <v>13390</v>
      </c>
      <c r="C130" s="3" t="s">
        <v>13323</v>
      </c>
      <c r="D130" s="3" t="s">
        <v>13174</v>
      </c>
      <c r="F130" s="5" t="str">
        <f>IFERROR(__xludf.DUMMYFUNCTION("GOOGLETRANSLATE(A130, ""en"", ""hi"")"),"129")</f>
        <v>129</v>
      </c>
      <c r="G130" s="5" t="str">
        <f>IFERROR(__xludf.DUMMYFUNCTION("GOOGLETRANSLATE(B130, ""en"", ""hi"")"),"यदि खिलाड़ी X और खिलाड़ी Y मुकना मैच के दौरान एक साथ गिरते हैं, लेकिन खिलाड़ी X का गिरना खिलाड़ी Y की अवैध चाल के कारण होता है, तो राउंड का निर्णय आमतौर पर कैसे किया जाता है?")</f>
        <v>यदि खिलाड़ी X और खिलाड़ी Y मुकना मैच के दौरान एक साथ गिरते हैं, लेकिन खिलाड़ी X का गिरना खिलाड़ी Y की अवैध चाल के कारण होता है, तो राउंड का निर्णय आमतौर पर कैसे किया जाता है?</v>
      </c>
      <c r="H130" s="5" t="str">
        <f>IFERROR(__xludf.DUMMYFUNCTION("GOOGLETRANSLATE(C130, ""en"", ""hi"")"),"ए) खिलाड़ी एक्स राउंड जीतता है।, बी) खिलाड़ी वाई राउंड जीतता है।, सी) राउंड को ड्रॉ घोषित किया जाता है।, डी) मैच को रोक दिया जाता है और उसकी समीक्षा की जाती है।")</f>
        <v>ए) खिलाड़ी एक्स राउंड जीतता है।, बी) खिलाड़ी वाई राउंड जीतता है।, सी) राउंड को ड्रॉ घोषित किया जाता है।, डी) मैच को रोक दिया जाता है और उसकी समीक्षा की जाती है।</v>
      </c>
      <c r="I130" s="5" t="str">
        <f>IFERROR(__xludf.DUMMYFUNCTION("GOOGLETRANSLATE(D130, ""en"", ""hi"")"),"A) खिलाड़ी X राउंड जीतता है।")</f>
        <v>A) खिलाड़ी X राउंड जीतता है।</v>
      </c>
    </row>
    <row r="131" ht="22.5" customHeight="1">
      <c r="A131" s="8">
        <v>130.0</v>
      </c>
      <c r="B131" s="3" t="s">
        <v>13431</v>
      </c>
      <c r="C131" s="3" t="s">
        <v>13369</v>
      </c>
      <c r="D131" s="3" t="s">
        <v>13288</v>
      </c>
      <c r="F131" s="5" t="str">
        <f>IFERROR(__xludf.DUMMYFUNCTION("GOOGLETRANSLATE(A131, ""en"", ""hi"")"),"130")</f>
        <v>130</v>
      </c>
      <c r="G131" s="5" t="str">
        <f>IFERROR(__xludf.DUMMYFUNCTION("GOOGLETRANSLATE(B131, ""en"", ""hi"")"),"मुकना में, यदि खिलाड़ी X और खिलाड़ी Y फाल्स और राउंड में बराबरी पर हैं, और खिलाड़ी X की अंतिम जीत खिलाड़ी Y की गलती के कारण हुई है, तो आमतौर पर आगे क्या होता है?")</f>
        <v>मुकना में, यदि खिलाड़ी X और खिलाड़ी Y फाल्स और राउंड में बराबरी पर हैं, और खिलाड़ी X की अंतिम जीत खिलाड़ी Y की गलती के कारण हुई है, तो आमतौर पर आगे क्या होता है?</v>
      </c>
      <c r="H131" s="5" t="str">
        <f>IFERROR(__xludf.DUMMYFUNCTION("GOOGLETRANSLATE(C131,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31" s="5" t="str">
        <f>IFERROR(__xludf.DUMMYFUNCTION("GOOGLETRANSLATE(D131, ""en"", ""hi"")"),"ए) अंतिम निर्णायक दौर खेला जाता है।")</f>
        <v>ए) अंतिम निर्णायक दौर खेला जाता है।</v>
      </c>
    </row>
    <row r="132" ht="22.5" customHeight="1">
      <c r="A132" s="8">
        <v>131.0</v>
      </c>
      <c r="B132" s="3" t="s">
        <v>13432</v>
      </c>
      <c r="C132" s="3" t="s">
        <v>13366</v>
      </c>
      <c r="D132" s="3" t="s">
        <v>13329</v>
      </c>
      <c r="F132" s="5" t="str">
        <f>IFERROR(__xludf.DUMMYFUNCTION("GOOGLETRANSLATE(A132, ""en"", ""hi"")"),"131")</f>
        <v>131</v>
      </c>
      <c r="G132" s="5" t="str">
        <f>IFERROR(__xludf.DUMMYFUNCTION("GOOGLETRANSLATE(B132, ""en"", ""hi"")"),"मुकना मुकाबले के दौरान, यदि खिलाड़ी X और खिलाड़ी Y दोनों एक साथ रिंग के बाहर गिर जाते हैं और कोई भी आगे नहीं खेल सकता, तो आमतौर पर राउंड का स्कोर कैसे निर्धारित किया जाता है?")</f>
        <v>मुकना मुकाबले के दौरान, यदि खिलाड़ी X और खिलाड़ी Y दोनों एक साथ रिंग के बाहर गिर जाते हैं और कोई भी आगे नहीं खेल सकता, तो आमतौर पर राउंड का स्कोर कैसे निर्धारित किया जाता है?</v>
      </c>
      <c r="H132" s="5" t="str">
        <f>IFERROR(__xludf.DUMMYFUNCTION("GOOGLETRANSLATE(C132,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32" s="5" t="str">
        <f>IFERROR(__xludf.DUMMYFUNCTION("GOOGLETRANSLATE(D132, ""en"", ""hi"")"),"ए) राउंड को ड्रा घोषित किया जाता है।")</f>
        <v>ए) राउंड को ड्रा घोषित किया जाता है।</v>
      </c>
    </row>
    <row r="133" ht="22.5" customHeight="1">
      <c r="A133" s="8">
        <v>132.0</v>
      </c>
      <c r="B133" s="3" t="s">
        <v>13422</v>
      </c>
      <c r="C133" s="3" t="s">
        <v>13369</v>
      </c>
      <c r="D133" s="3" t="s">
        <v>13288</v>
      </c>
      <c r="F133" s="5" t="str">
        <f>IFERROR(__xludf.DUMMYFUNCTION("GOOGLETRANSLATE(A133, ""en"", ""hi"")"),"132")</f>
        <v>132</v>
      </c>
      <c r="G133" s="5" t="str">
        <f>IFERROR(__xludf.DUMMYFUNCTION("GOOGLETRANSLATE(B133, ""en"", ""hi"")"),"यदि खिलाड़ी X और खिलाड़ी Y फाल्स और राउंड में बराबरी पर हैं, और खिलाड़ी X की अंतिम जीत एक विवादास्पद चाल के कारण हुई है, तो सामान्य प्रक्रिया क्या है?")</f>
        <v>यदि खिलाड़ी X और खिलाड़ी Y फाल्स और राउंड में बराबरी पर हैं, और खिलाड़ी X की अंतिम जीत एक विवादास्पद चाल के कारण हुई है, तो सामान्य प्रक्रिया क्या है?</v>
      </c>
      <c r="H133" s="5" t="str">
        <f>IFERROR(__xludf.DUMMYFUNCTION("GOOGLETRANSLATE(C133,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33" s="5" t="str">
        <f>IFERROR(__xludf.DUMMYFUNCTION("GOOGLETRANSLATE(D133, ""en"", ""hi"")"),"ए) अंतिम निर्णायक दौर खेला जाता है।")</f>
        <v>ए) अंतिम निर्णायक दौर खेला जाता है।</v>
      </c>
    </row>
    <row r="134" ht="22.5" customHeight="1">
      <c r="A134" s="8">
        <v>133.0</v>
      </c>
      <c r="B134" s="3" t="s">
        <v>13433</v>
      </c>
      <c r="C134" s="3" t="s">
        <v>13416</v>
      </c>
      <c r="D134" s="3" t="s">
        <v>13417</v>
      </c>
      <c r="F134" s="5" t="str">
        <f>IFERROR(__xludf.DUMMYFUNCTION("GOOGLETRANSLATE(A134, ""en"", ""hi"")"),"133")</f>
        <v>133</v>
      </c>
      <c r="G134" s="5" t="str">
        <f>IFERROR(__xludf.DUMMYFUNCTION("GOOGLETRANSLATE(B134, ""en"", ""hi"")"),"मुकना मुकाबले में, यदि खिलाड़ी X कोई अवैध तकनीक अपनाता है, जिसके कारण खिलाड़ी Y गिर जाता है, तो उस राउंड का सामान्य परिणाम क्या होता है?")</f>
        <v>मुकना मुकाबले में, यदि खिलाड़ी X कोई अवैध तकनीक अपनाता है, जिसके कारण खिलाड़ी Y गिर जाता है, तो उस राउंड का सामान्य परिणाम क्या होता है?</v>
      </c>
      <c r="H134" s="5" t="str">
        <f>IFERROR(__xludf.DUMMYFUNCTION("GOOGLETRANSLATE(C134,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34" s="5" t="str">
        <f>IFERROR(__xludf.DUMMYFUNCTION("GOOGLETRANSLATE(D134, ""en"", ""hi"")"),"A) खिलाड़ी Y को विजेता घोषित किया जाता है।")</f>
        <v>A) खिलाड़ी Y को विजेता घोषित किया जाता है।</v>
      </c>
    </row>
    <row r="135" ht="22.5" customHeight="1">
      <c r="A135" s="8">
        <v>134.0</v>
      </c>
      <c r="B135" s="3" t="s">
        <v>13434</v>
      </c>
      <c r="C135" s="3" t="s">
        <v>13366</v>
      </c>
      <c r="D135" s="3" t="s">
        <v>13329</v>
      </c>
      <c r="F135" s="5" t="str">
        <f>IFERROR(__xludf.DUMMYFUNCTION("GOOGLETRANSLATE(A135, ""en"", ""hi"")"),"134")</f>
        <v>134</v>
      </c>
      <c r="G135" s="5" t="str">
        <f>IFERROR(__xludf.DUMMYFUNCTION("GOOGLETRANSLATE(B135, ""en"", ""hi"")"),"मुकना मैच के दौरान, यदि खिलाड़ी X और खिलाड़ी Y दोनों एक साथ गिर जाते हैं और कोई भी आगे नहीं बढ़ पाता है, तो आमतौर पर राउंड का स्कोर कैसे होगा?")</f>
        <v>मुकना मैच के दौरान, यदि खिलाड़ी X और खिलाड़ी Y दोनों एक साथ गिर जाते हैं और कोई भी आगे नहीं बढ़ पाता है, तो आमतौर पर राउंड का स्कोर कैसे होगा?</v>
      </c>
      <c r="H135" s="5" t="str">
        <f>IFERROR(__xludf.DUMMYFUNCTION("GOOGLETRANSLATE(C135,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35" s="5" t="str">
        <f>IFERROR(__xludf.DUMMYFUNCTION("GOOGLETRANSLATE(D135, ""en"", ""hi"")"),"ए) राउंड को ड्रा घोषित किया जाता है।")</f>
        <v>ए) राउंड को ड्रा घोषित किया जाता है।</v>
      </c>
    </row>
    <row r="136" ht="22.5" customHeight="1">
      <c r="A136" s="8">
        <v>135.0</v>
      </c>
      <c r="B136" s="3" t="s">
        <v>13429</v>
      </c>
      <c r="C136" s="3" t="s">
        <v>13369</v>
      </c>
      <c r="D136" s="3" t="s">
        <v>13288</v>
      </c>
      <c r="F136" s="5" t="str">
        <f>IFERROR(__xludf.DUMMYFUNCTION("GOOGLETRANSLATE(A136, ""en"", ""hi"")"),"135")</f>
        <v>135</v>
      </c>
      <c r="G136" s="5" t="str">
        <f>IFERROR(__xludf.DUMMYFUNCTION("GOOGLETRANSLATE(B136, ""en"", ""hi"")"),"यदि खिलाड़ी X और खिलाड़ी Y मुकना मुकाबले के दौरान फॉल्स और राउंड में बराबरी पर हैं, और खिलाड़ी X की अंतिम जीत खिलाड़ी Y की गलती के कारण हुई है, तो सामान्य प्रक्रिया क्या है?")</f>
        <v>यदि खिलाड़ी X और खिलाड़ी Y मुकना मुकाबले के दौरान फॉल्स और राउंड में बराबरी पर हैं, और खिलाड़ी X की अंतिम जीत खिलाड़ी Y की गलती के कारण हुई है, तो सामान्य प्रक्रिया क्या है?</v>
      </c>
      <c r="H136" s="5" t="str">
        <f>IFERROR(__xludf.DUMMYFUNCTION("GOOGLETRANSLATE(C136,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36" s="5" t="str">
        <f>IFERROR(__xludf.DUMMYFUNCTION("GOOGLETRANSLATE(D136, ""en"", ""hi"")"),"ए) अंतिम निर्णायक दौर खेला जाता है।")</f>
        <v>ए) अंतिम निर्णायक दौर खेला जाता है।</v>
      </c>
    </row>
    <row r="137" ht="22.5" customHeight="1">
      <c r="A137" s="8">
        <v>136.0</v>
      </c>
      <c r="B137" s="3" t="s">
        <v>13435</v>
      </c>
      <c r="C137" s="3" t="s">
        <v>13388</v>
      </c>
      <c r="D137" s="3" t="s">
        <v>13389</v>
      </c>
      <c r="F137" s="5" t="str">
        <f>IFERROR(__xludf.DUMMYFUNCTION("GOOGLETRANSLATE(A137, ""en"", ""hi"")"),"136")</f>
        <v>136</v>
      </c>
      <c r="G137" s="5" t="str">
        <f>IFERROR(__xludf.DUMMYFUNCTION("GOOGLETRANSLATE(B137, ""en"", ""hi"")"),"मुकना में, यदि खिलाड़ी X एक सफल तकनीक का प्रयोग करता है, जिसके कारण खिलाड़ी Y गिर जाता है, लेकिन खिलाड़ी X भी तुरंत बाद गिर जाता है, तो राउंड का निर्णय कैसे किया जाता है?")</f>
        <v>मुकना में, यदि खिलाड़ी X एक सफल तकनीक का प्रयोग करता है, जिसके कारण खिलाड़ी Y गिर जाता है, लेकिन खिलाड़ी X भी तुरंत बाद गिर जाता है, तो राउंड का निर्णय कैसे किया जाता है?</v>
      </c>
      <c r="H137" s="5" t="str">
        <f>IFERROR(__xludf.DUMMYFUNCTION("GOOGLETRANSLATE(C137,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37" s="5" t="str">
        <f>IFERROR(__xludf.DUMMYFUNCTION("GOOGLETRANSLATE(D137, ""en"", ""hi"")"),"A) खिलाड़ी Y राउंड जीतता है।")</f>
        <v>A) खिलाड़ी Y राउंड जीतता है।</v>
      </c>
    </row>
    <row r="138" ht="22.5" customHeight="1">
      <c r="A138" s="8">
        <v>137.0</v>
      </c>
      <c r="B138" s="3" t="s">
        <v>13427</v>
      </c>
      <c r="C138" s="3" t="s">
        <v>13366</v>
      </c>
      <c r="D138" s="3" t="s">
        <v>13329</v>
      </c>
      <c r="F138" s="5" t="str">
        <f>IFERROR(__xludf.DUMMYFUNCTION("GOOGLETRANSLATE(A138, ""en"", ""hi"")"),"137")</f>
        <v>137</v>
      </c>
      <c r="G138" s="5" t="str">
        <f>IFERROR(__xludf.DUMMYFUNCTION("GOOGLETRANSLATE(B138, ""en"", ""hi"")"),"मुकना मैच के दौरान, यदि खिलाड़ी X और खिलाड़ी Y दोनों एक साथ रिंग के बाहर गिर जाते हैं और कोई भी आगे नहीं खेल सकता, तो आमतौर पर राउंड का स्कोर कैसे निर्धारित किया जाता है?")</f>
        <v>मुकना मैच के दौरान, यदि खिलाड़ी X और खिलाड़ी Y दोनों एक साथ रिंग के बाहर गिर जाते हैं और कोई भी आगे नहीं खेल सकता, तो आमतौर पर राउंड का स्कोर कैसे निर्धारित किया जाता है?</v>
      </c>
      <c r="H138" s="5" t="str">
        <f>IFERROR(__xludf.DUMMYFUNCTION("GOOGLETRANSLATE(C138,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38" s="5" t="str">
        <f>IFERROR(__xludf.DUMMYFUNCTION("GOOGLETRANSLATE(D138, ""en"", ""hi"")"),"ए) राउंड को ड्रा घोषित किया जाता है।")</f>
        <v>ए) राउंड को ड्रा घोषित किया जाता है।</v>
      </c>
    </row>
    <row r="139" ht="22.5" customHeight="1">
      <c r="A139" s="8">
        <v>138.0</v>
      </c>
      <c r="B139" s="3" t="s">
        <v>13411</v>
      </c>
      <c r="C139" s="3" t="s">
        <v>13369</v>
      </c>
      <c r="D139" s="3" t="s">
        <v>13288</v>
      </c>
      <c r="F139" s="5" t="str">
        <f>IFERROR(__xludf.DUMMYFUNCTION("GOOGLETRANSLATE(A139, ""en"", ""hi"")"),"138")</f>
        <v>138</v>
      </c>
      <c r="G139" s="5" t="str">
        <f>IFERROR(__xludf.DUMMYFUNCTION("GOOGLETRANSLATE(B139, ""en"", ""hi"")"),"यदि खिलाड़ी X और खिलाड़ी Y फाल्स और राउंड में बराबरी पर हैं, और खिलाड़ी X की अंतिम जीत एक विवादास्पद चाल के कारण हुई है, तो आम तौर पर आगे क्या होता है?")</f>
        <v>यदि खिलाड़ी X और खिलाड़ी Y फाल्स और राउंड में बराबरी पर हैं, और खिलाड़ी X की अंतिम जीत एक विवादास्पद चाल के कारण हुई है, तो आम तौर पर आगे क्या होता है?</v>
      </c>
      <c r="H139" s="5" t="str">
        <f>IFERROR(__xludf.DUMMYFUNCTION("GOOGLETRANSLATE(C139,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39" s="5" t="str">
        <f>IFERROR(__xludf.DUMMYFUNCTION("GOOGLETRANSLATE(D139, ""en"", ""hi"")"),"ए) अंतिम निर्णायक दौर खेला जाता है।")</f>
        <v>ए) अंतिम निर्णायक दौर खेला जाता है।</v>
      </c>
    </row>
    <row r="140" ht="22.5" customHeight="1">
      <c r="A140" s="8">
        <v>139.0</v>
      </c>
      <c r="B140" s="3" t="s">
        <v>13436</v>
      </c>
      <c r="C140" s="3" t="s">
        <v>13416</v>
      </c>
      <c r="D140" s="3" t="s">
        <v>13417</v>
      </c>
      <c r="F140" s="5" t="str">
        <f>IFERROR(__xludf.DUMMYFUNCTION("GOOGLETRANSLATE(A140, ""en"", ""hi"")"),"139")</f>
        <v>139</v>
      </c>
      <c r="G140" s="5" t="str">
        <f>IFERROR(__xludf.DUMMYFUNCTION("GOOGLETRANSLATE(B140, ""en"", ""hi"")"),"मुकना में, यदि खिलाड़ी X कोई अवैध तकनीक अपनाता है जिसके कारण खिलाड़ी Y गिर जाता है, तो राउंड का मानक परिणाम क्या होगा?")</f>
        <v>मुकना में, यदि खिलाड़ी X कोई अवैध तकनीक अपनाता है जिसके कारण खिलाड़ी Y गिर जाता है, तो राउंड का मानक परिणाम क्या होगा?</v>
      </c>
      <c r="H140" s="5" t="str">
        <f>IFERROR(__xludf.DUMMYFUNCTION("GOOGLETRANSLATE(C140,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40" s="5" t="str">
        <f>IFERROR(__xludf.DUMMYFUNCTION("GOOGLETRANSLATE(D140, ""en"", ""hi"")"),"A) खिलाड़ी Y को विजेता घोषित किया जाता है।")</f>
        <v>A) खिलाड़ी Y को विजेता घोषित किया जाता है।</v>
      </c>
    </row>
    <row r="141" ht="22.5" customHeight="1">
      <c r="A141" s="8">
        <v>140.0</v>
      </c>
      <c r="B141" s="3" t="s">
        <v>13432</v>
      </c>
      <c r="C141" s="3" t="s">
        <v>13366</v>
      </c>
      <c r="D141" s="3" t="s">
        <v>13329</v>
      </c>
      <c r="F141" s="5" t="str">
        <f>IFERROR(__xludf.DUMMYFUNCTION("GOOGLETRANSLATE(A141, ""en"", ""hi"")"),"140")</f>
        <v>140</v>
      </c>
      <c r="G141" s="5" t="str">
        <f>IFERROR(__xludf.DUMMYFUNCTION("GOOGLETRANSLATE(B141, ""en"", ""hi"")"),"मुकना मुकाबले के दौरान, यदि खिलाड़ी X और खिलाड़ी Y दोनों एक साथ रिंग के बाहर गिर जाते हैं और कोई भी आगे नहीं खेल सकता, तो आमतौर पर राउंड का स्कोर कैसे निर्धारित किया जाता है?")</f>
        <v>मुकना मुकाबले के दौरान, यदि खिलाड़ी X और खिलाड़ी Y दोनों एक साथ रिंग के बाहर गिर जाते हैं और कोई भी आगे नहीं खेल सकता, तो आमतौर पर राउंड का स्कोर कैसे निर्धारित किया जाता है?</v>
      </c>
      <c r="H141" s="5" t="str">
        <f>IFERROR(__xludf.DUMMYFUNCTION("GOOGLETRANSLATE(C141,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41" s="5" t="str">
        <f>IFERROR(__xludf.DUMMYFUNCTION("GOOGLETRANSLATE(D141, ""en"", ""hi"")"),"ए) राउंड को ड्रा घोषित किया जाता है।")</f>
        <v>ए) राउंड को ड्रा घोषित किया जाता है।</v>
      </c>
    </row>
    <row r="142" ht="22.5" customHeight="1">
      <c r="A142" s="8">
        <v>141.0</v>
      </c>
      <c r="B142" s="3" t="s">
        <v>13437</v>
      </c>
      <c r="C142" s="3" t="s">
        <v>13369</v>
      </c>
      <c r="D142" s="3" t="s">
        <v>13288</v>
      </c>
      <c r="F142" s="5" t="str">
        <f>IFERROR(__xludf.DUMMYFUNCTION("GOOGLETRANSLATE(A142, ""en"", ""hi"")"),"141")</f>
        <v>141</v>
      </c>
      <c r="G142" s="5" t="str">
        <f>IFERROR(__xludf.DUMMYFUNCTION("GOOGLETRANSLATE(B142, ""en"", ""hi"")"),"यदि खिलाड़ी X और खिलाड़ी Y फाल्स और राउंड में बराबर हैं, और खिलाड़ी X की अंतिम जीत खिलाड़ी Y की गलती के कारण हुई है, तो सामान्य प्रक्रिया क्या है?")</f>
        <v>यदि खिलाड़ी X और खिलाड़ी Y फाल्स और राउंड में बराबर हैं, और खिलाड़ी X की अंतिम जीत खिलाड़ी Y की गलती के कारण हुई है, तो सामान्य प्रक्रिया क्या है?</v>
      </c>
      <c r="H142" s="5" t="str">
        <f>IFERROR(__xludf.DUMMYFUNCTION("GOOGLETRANSLATE(C142,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42" s="5" t="str">
        <f>IFERROR(__xludf.DUMMYFUNCTION("GOOGLETRANSLATE(D142, ""en"", ""hi"")"),"ए) अंतिम निर्णायक दौर खेला जाता है।")</f>
        <v>ए) अंतिम निर्णायक दौर खेला जाता है।</v>
      </c>
    </row>
    <row r="143" ht="22.5" customHeight="1">
      <c r="A143" s="8">
        <v>142.0</v>
      </c>
      <c r="B143" s="3" t="s">
        <v>13438</v>
      </c>
      <c r="C143" s="3" t="s">
        <v>13416</v>
      </c>
      <c r="D143" s="3" t="s">
        <v>13417</v>
      </c>
      <c r="F143" s="5" t="str">
        <f>IFERROR(__xludf.DUMMYFUNCTION("GOOGLETRANSLATE(A143, ""en"", ""hi"")"),"142")</f>
        <v>142</v>
      </c>
      <c r="G143" s="5" t="str">
        <f>IFERROR(__xludf.DUMMYFUNCTION("GOOGLETRANSLATE(B143,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143" s="5" t="str">
        <f>IFERROR(__xludf.DUMMYFUNCTION("GOOGLETRANSLATE(C143,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43" s="5" t="str">
        <f>IFERROR(__xludf.DUMMYFUNCTION("GOOGLETRANSLATE(D143, ""en"", ""hi"")"),"A) खिलाड़ी Y को विजेता घोषित किया जाता है।")</f>
        <v>A) खिलाड़ी Y को विजेता घोषित किया जाता है।</v>
      </c>
    </row>
    <row r="144" ht="22.5" customHeight="1">
      <c r="A144" s="8">
        <v>143.0</v>
      </c>
      <c r="B144" s="3" t="s">
        <v>13439</v>
      </c>
      <c r="C144" s="3" t="s">
        <v>13366</v>
      </c>
      <c r="D144" s="3" t="s">
        <v>13329</v>
      </c>
      <c r="F144" s="5" t="str">
        <f>IFERROR(__xludf.DUMMYFUNCTION("GOOGLETRANSLATE(A144, ""en"", ""hi"")"),"143")</f>
        <v>143</v>
      </c>
      <c r="G144" s="5" t="str">
        <f>IFERROR(__xludf.DUMMYFUNCTION("GOOGLETRANSLATE(B144, ""en"", ""hi"")"),"मुकना में, यदि खिलाड़ी X और खिलाड़ी Y एक साथ गिरते हैं और कोई भी आगे नहीं बढ़ सकता है, तो राउंड का सामान्य परिणाम क्या होगा?")</f>
        <v>मुकना में, यदि खिलाड़ी X और खिलाड़ी Y एक साथ गिरते हैं और कोई भी आगे नहीं बढ़ सकता है, तो राउंड का सामान्य परिणाम क्या होगा?</v>
      </c>
      <c r="H144" s="5" t="str">
        <f>IFERROR(__xludf.DUMMYFUNCTION("GOOGLETRANSLATE(C144,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44" s="5" t="str">
        <f>IFERROR(__xludf.DUMMYFUNCTION("GOOGLETRANSLATE(D144, ""en"", ""hi"")"),"ए) राउंड को ड्रा घोषित किया जाता है।")</f>
        <v>ए) राउंड को ड्रा घोषित किया जाता है।</v>
      </c>
    </row>
    <row r="145" ht="22.5" customHeight="1">
      <c r="A145" s="8">
        <v>144.0</v>
      </c>
      <c r="B145" s="3" t="s">
        <v>13440</v>
      </c>
      <c r="C145" s="3" t="s">
        <v>13369</v>
      </c>
      <c r="D145" s="3" t="s">
        <v>13288</v>
      </c>
      <c r="F145" s="5" t="str">
        <f>IFERROR(__xludf.DUMMYFUNCTION("GOOGLETRANSLATE(A145, ""en"", ""hi"")"),"144")</f>
        <v>144</v>
      </c>
      <c r="G145" s="5" t="str">
        <f>IFERROR(__xludf.DUMMYFUNCTION("GOOGLETRANSLATE(B145, ""en"", ""hi"")"),"यदि खिलाड़ी X और खिलाड़ी Y मुकना मुकाबले के दौरान फॉल्स और राउंड में बराबरी पर हैं, और खिलाड़ी X की अंतिम जीत खिलाड़ी Y की गलती के कारण हुई है, तो आमतौर पर आगे क्या होता है?")</f>
        <v>यदि खिलाड़ी X और खिलाड़ी Y मुकना मुकाबले के दौरान फॉल्स और राउंड में बराबरी पर हैं, और खिलाड़ी X की अंतिम जीत खिलाड़ी Y की गलती के कारण हुई है, तो आमतौर पर आगे क्या होता है?</v>
      </c>
      <c r="H145" s="5" t="str">
        <f>IFERROR(__xludf.DUMMYFUNCTION("GOOGLETRANSLATE(C145,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45" s="5" t="str">
        <f>IFERROR(__xludf.DUMMYFUNCTION("GOOGLETRANSLATE(D145, ""en"", ""hi"")"),"ए) अंतिम निर्णायक दौर खेला जाता है।")</f>
        <v>ए) अंतिम निर्णायक दौर खेला जाता है।</v>
      </c>
    </row>
    <row r="146" ht="22.5" customHeight="1">
      <c r="A146" s="8">
        <v>145.0</v>
      </c>
      <c r="B146" s="3" t="s">
        <v>13441</v>
      </c>
      <c r="C146" s="3" t="s">
        <v>13388</v>
      </c>
      <c r="D146" s="3" t="s">
        <v>13389</v>
      </c>
      <c r="F146" s="5" t="str">
        <f>IFERROR(__xludf.DUMMYFUNCTION("GOOGLETRANSLATE(A146, ""en"", ""hi"")"),"145")</f>
        <v>145</v>
      </c>
      <c r="G146" s="5" t="str">
        <f>IFERROR(__xludf.DUMMYFUNCTION("GOOGLETRANSLATE(B146, ""en"", ""hi"")"),"मुकना मैच के दौरान, यदि खिलाड़ी X कोई ऐसी तकनीक अपनाता है जिसके कारण खिलाड़ी Y गिर जाता है, लेकिन खिलाड़ी X भी तुरंत बाद गिर जाता है, तो राउंड का स्कोर कैसे होगा?")</f>
        <v>मुकना मैच के दौरान, यदि खिलाड़ी X कोई ऐसी तकनीक अपनाता है जिसके कारण खिलाड़ी Y गिर जाता है, लेकिन खिलाड़ी X भी तुरंत बाद गिर जाता है, तो राउंड का स्कोर कैसे होगा?</v>
      </c>
      <c r="H146" s="5" t="str">
        <f>IFERROR(__xludf.DUMMYFUNCTION("GOOGLETRANSLATE(C146,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46" s="5" t="str">
        <f>IFERROR(__xludf.DUMMYFUNCTION("GOOGLETRANSLATE(D146, ""en"", ""hi"")"),"A) खिलाड़ी Y राउंड जीतता है।")</f>
        <v>A) खिलाड़ी Y राउंड जीतता है।</v>
      </c>
    </row>
    <row r="147" ht="22.5" customHeight="1">
      <c r="A147" s="8">
        <v>146.0</v>
      </c>
      <c r="B147" s="3" t="s">
        <v>13442</v>
      </c>
      <c r="C147" s="3" t="s">
        <v>13366</v>
      </c>
      <c r="D147" s="3" t="s">
        <v>13329</v>
      </c>
      <c r="F147" s="5" t="str">
        <f>IFERROR(__xludf.DUMMYFUNCTION("GOOGLETRANSLATE(A147, ""en"", ""hi"")"),"146")</f>
        <v>146</v>
      </c>
      <c r="G147" s="5" t="str">
        <f>IFERROR(__xludf.DUMMYFUNCTION("GOOGLETRANSLATE(B147, ""en"", ""hi"")"),"मुकना मुकाबले में, यदि खिलाड़ी X और खिलाड़ी Y एक साथ रिंग के बाहर गिर जाते हैं और कोई भी आगे नहीं खेल सकता, तो आमतौर पर राउंड का स्कोर कैसे निर्धारित किया जाता है?")</f>
        <v>मुकना मुकाबले में, यदि खिलाड़ी X और खिलाड़ी Y एक साथ रिंग के बाहर गिर जाते हैं और कोई भी आगे नहीं खेल सकता, तो आमतौर पर राउंड का स्कोर कैसे निर्धारित किया जाता है?</v>
      </c>
      <c r="H147" s="5" t="str">
        <f>IFERROR(__xludf.DUMMYFUNCTION("GOOGLETRANSLATE(C147,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47" s="5" t="str">
        <f>IFERROR(__xludf.DUMMYFUNCTION("GOOGLETRANSLATE(D147, ""en"", ""hi"")"),"ए) राउंड को ड्रा घोषित किया जाता है।")</f>
        <v>ए) राउंड को ड्रा घोषित किया जाता है।</v>
      </c>
    </row>
    <row r="148" ht="22.5" customHeight="1">
      <c r="A148" s="8">
        <v>147.0</v>
      </c>
      <c r="B148" s="3" t="s">
        <v>13437</v>
      </c>
      <c r="C148" s="3" t="s">
        <v>13369</v>
      </c>
      <c r="D148" s="3" t="s">
        <v>13288</v>
      </c>
      <c r="F148" s="5" t="str">
        <f>IFERROR(__xludf.DUMMYFUNCTION("GOOGLETRANSLATE(A148, ""en"", ""hi"")"),"147")</f>
        <v>147</v>
      </c>
      <c r="G148" s="5" t="str">
        <f>IFERROR(__xludf.DUMMYFUNCTION("GOOGLETRANSLATE(B148, ""en"", ""hi"")"),"यदि खिलाड़ी X और खिलाड़ी Y फाल्स और राउंड में बराबर हैं, और खिलाड़ी X की अंतिम जीत खिलाड़ी Y की गलती के कारण हुई है, तो सामान्य प्रक्रिया क्या है?")</f>
        <v>यदि खिलाड़ी X और खिलाड़ी Y फाल्स और राउंड में बराबर हैं, और खिलाड़ी X की अंतिम जीत खिलाड़ी Y की गलती के कारण हुई है, तो सामान्य प्रक्रिया क्या है?</v>
      </c>
      <c r="H148" s="5" t="str">
        <f>IFERROR(__xludf.DUMMYFUNCTION("GOOGLETRANSLATE(C148,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48" s="5" t="str">
        <f>IFERROR(__xludf.DUMMYFUNCTION("GOOGLETRANSLATE(D148, ""en"", ""hi"")"),"ए) अंतिम निर्णायक दौर खेला जाता है।")</f>
        <v>ए) अंतिम निर्णायक दौर खेला जाता है।</v>
      </c>
    </row>
    <row r="149" ht="22.5" customHeight="1">
      <c r="A149" s="8">
        <v>148.0</v>
      </c>
      <c r="B149" s="3" t="s">
        <v>13443</v>
      </c>
      <c r="C149" s="3" t="s">
        <v>13416</v>
      </c>
      <c r="D149" s="3" t="s">
        <v>13417</v>
      </c>
      <c r="F149" s="5" t="str">
        <f>IFERROR(__xludf.DUMMYFUNCTION("GOOGLETRANSLATE(A149, ""en"", ""hi"")"),"148")</f>
        <v>148</v>
      </c>
      <c r="G149" s="5" t="str">
        <f>IFERROR(__xludf.DUMMYFUNCTION("GOOGLETRANSLATE(B149, ""en"", ""hi"")"),"मुकना मैच के दौरान, यदि खिलाड़ी X कोई अवैध चाल चलता है जिसके कारण खिलाड़ी Y गिर जाता है, तो उस राउंड का मानक परिणाम क्या होगा?")</f>
        <v>मुकना मैच के दौरान, यदि खिलाड़ी X कोई अवैध चाल चलता है जिसके कारण खिलाड़ी Y गिर जाता है, तो उस राउंड का मानक परिणाम क्या होगा?</v>
      </c>
      <c r="H149" s="5" t="str">
        <f>IFERROR(__xludf.DUMMYFUNCTION("GOOGLETRANSLATE(C149,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49" s="5" t="str">
        <f>IFERROR(__xludf.DUMMYFUNCTION("GOOGLETRANSLATE(D149, ""en"", ""hi"")"),"A) खिलाड़ी Y को विजेता घोषित किया जाता है।")</f>
        <v>A) खिलाड़ी Y को विजेता घोषित किया जाता है।</v>
      </c>
    </row>
    <row r="150" ht="22.5" customHeight="1">
      <c r="A150" s="8">
        <v>149.0</v>
      </c>
      <c r="B150" s="3" t="s">
        <v>13439</v>
      </c>
      <c r="C150" s="3" t="s">
        <v>13366</v>
      </c>
      <c r="D150" s="3" t="s">
        <v>13329</v>
      </c>
      <c r="F150" s="5" t="str">
        <f>IFERROR(__xludf.DUMMYFUNCTION("GOOGLETRANSLATE(A150, ""en"", ""hi"")"),"149")</f>
        <v>149</v>
      </c>
      <c r="G150" s="5" t="str">
        <f>IFERROR(__xludf.DUMMYFUNCTION("GOOGLETRANSLATE(B150, ""en"", ""hi"")"),"मुकना में, यदि खिलाड़ी X और खिलाड़ी Y एक साथ गिरते हैं और कोई भी आगे नहीं बढ़ सकता है, तो राउंड का सामान्य परिणाम क्या होगा?")</f>
        <v>मुकना में, यदि खिलाड़ी X और खिलाड़ी Y एक साथ गिरते हैं और कोई भी आगे नहीं बढ़ सकता है, तो राउंड का सामान्य परिणाम क्या होगा?</v>
      </c>
      <c r="H150" s="5" t="str">
        <f>IFERROR(__xludf.DUMMYFUNCTION("GOOGLETRANSLATE(C150,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50" s="5" t="str">
        <f>IFERROR(__xludf.DUMMYFUNCTION("GOOGLETRANSLATE(D150, ""en"", ""hi"")"),"ए) राउंड को ड्रा घोषित किया जाता है।")</f>
        <v>ए) राउंड को ड्रा घोषित किया जाता है।</v>
      </c>
    </row>
    <row r="151" ht="22.5" customHeight="1">
      <c r="A151" s="8">
        <v>150.0</v>
      </c>
      <c r="B151" s="3" t="s">
        <v>13444</v>
      </c>
      <c r="C151" s="3" t="s">
        <v>13416</v>
      </c>
      <c r="D151" s="3" t="s">
        <v>13417</v>
      </c>
      <c r="F151" s="5" t="str">
        <f>IFERROR(__xludf.DUMMYFUNCTION("GOOGLETRANSLATE(A151, ""en"", ""hi"")"),"150")</f>
        <v>150</v>
      </c>
      <c r="G151" s="5" t="str">
        <f>IFERROR(__xludf.DUMMYFUNCTION("GOOGLETRANSLATE(B151, ""en"", ""hi"")"),"मुकना मैच के दौरान, यदि खिलाड़ी X कोई अवैध तकनीक का उपयोग करता है जिसके कारण खिलाड़ी Y गिर जाता है, तो उस राउंड का सामान्य परिणाम क्या होता है?")</f>
        <v>मुकना मैच के दौरान, यदि खिलाड़ी X कोई अवैध तकनीक का उपयोग करता है जिसके कारण खिलाड़ी Y गिर जाता है, तो उस राउंड का सामान्य परिणाम क्या होता है?</v>
      </c>
      <c r="H151" s="5" t="str">
        <f>IFERROR(__xludf.DUMMYFUNCTION("GOOGLETRANSLATE(C151,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51" s="5" t="str">
        <f>IFERROR(__xludf.DUMMYFUNCTION("GOOGLETRANSLATE(D151, ""en"", ""hi"")"),"A) खिलाड़ी Y को विजेता घोषित किया जाता है।")</f>
        <v>A) खिलाड़ी Y को विजेता घोषित किया जाता है।</v>
      </c>
    </row>
    <row r="152" ht="22.5" customHeight="1">
      <c r="A152" s="8">
        <v>151.0</v>
      </c>
      <c r="B152" s="3" t="s">
        <v>13445</v>
      </c>
      <c r="C152" s="3" t="s">
        <v>13446</v>
      </c>
      <c r="D152" s="3" t="s">
        <v>13364</v>
      </c>
      <c r="F152" s="5" t="str">
        <f>IFERROR(__xludf.DUMMYFUNCTION("GOOGLETRANSLATE(A152, ""en"", ""hi"")"),"151")</f>
        <v>151</v>
      </c>
      <c r="G152" s="5" t="str">
        <f>IFERROR(__xludf.DUMMYFUNCTION("GOOGLETRANSLATE(B152, ""en"", ""hi"")"),"यदि खिलाड़ी X 5 राउंड जीतता है और खिलाड़ी Y 3 राउंड जीतता है, लेकिन खिलाड़ी Y रेफरी द्वारा किए गए निर्णय पर विवाद करता है, तो आमतौर पर क्या होता है?")</f>
        <v>यदि खिलाड़ी X 5 राउंड जीतता है और खिलाड़ी Y 3 राउंड जीतता है, लेकिन खिलाड़ी Y रेफरी द्वारा किए गए निर्णय पर विवाद करता है, तो आमतौर पर क्या होता है?</v>
      </c>
      <c r="H152" s="5" t="str">
        <f>IFERROR(__xludf.DUMMYFUNCTION("GOOGLETRANSLATE(C152, ""en"", ""hi"")"),"ए) मैच रोक दिया जाता है और उसकी समीक्षा की जाती है।, बी) खिलाड़ी वाई को विजेता घोषित किया जाता है।, सी) खिलाड़ी एक्स को अयोग्य घोषित कर दिया जाता है।, डी) मैच वैसे ही जारी रहता है।")</f>
        <v>ए) मैच रोक दिया जाता है और उसकी समीक्षा की जाती है।, बी) खिलाड़ी वाई को विजेता घोषित किया जाता है।, सी) खिलाड़ी एक्स को अयोग्य घोषित कर दिया जाता है।, डी) मैच वैसे ही जारी रहता है।</v>
      </c>
      <c r="I152" s="5" t="str">
        <f>IFERROR(__xludf.DUMMYFUNCTION("GOOGLETRANSLATE(D152, ""en"", ""hi"")"),"ए) मैच को रोक दिया जाता है और उसकी समीक्षा की जाती है।")</f>
        <v>ए) मैच को रोक दिया जाता है और उसकी समीक्षा की जाती है।</v>
      </c>
    </row>
    <row r="153" ht="22.5" customHeight="1">
      <c r="A153" s="8">
        <v>152.0</v>
      </c>
      <c r="B153" s="3" t="s">
        <v>13447</v>
      </c>
      <c r="C153" s="3" t="s">
        <v>13366</v>
      </c>
      <c r="D153" s="3" t="s">
        <v>13329</v>
      </c>
      <c r="F153" s="5" t="str">
        <f>IFERROR(__xludf.DUMMYFUNCTION("GOOGLETRANSLATE(A153, ""en"", ""hi"")"),"152")</f>
        <v>152</v>
      </c>
      <c r="G153" s="5" t="str">
        <f>IFERROR(__xludf.DUMMYFUNCTION("GOOGLETRANSLATE(B153, ""en"", ""hi"")"),"मुकना मुकाबले में यदि दोनों खिलाड़ी एक ही समय पर रिंग के बाहर गिर जाएं और कोई भी आगे नहीं खेल सके, तो सामान्य परिणाम क्या होगा?")</f>
        <v>मुकना मुकाबले में यदि दोनों खिलाड़ी एक ही समय पर रिंग के बाहर गिर जाएं और कोई भी आगे नहीं खेल सके, तो सामान्य परिणाम क्या होगा?</v>
      </c>
      <c r="H153" s="5" t="str">
        <f>IFERROR(__xludf.DUMMYFUNCTION("GOOGLETRANSLATE(C153,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53" s="5" t="str">
        <f>IFERROR(__xludf.DUMMYFUNCTION("GOOGLETRANSLATE(D153, ""en"", ""hi"")"),"ए) राउंड को ड्रा घोषित किया जाता है।")</f>
        <v>ए) राउंड को ड्रा घोषित किया जाता है।</v>
      </c>
    </row>
    <row r="154" ht="22.5" customHeight="1">
      <c r="A154" s="8">
        <v>153.0</v>
      </c>
      <c r="B154" s="3" t="s">
        <v>13448</v>
      </c>
      <c r="C154" s="3" t="s">
        <v>13388</v>
      </c>
      <c r="D154" s="3" t="s">
        <v>13389</v>
      </c>
      <c r="F154" s="5" t="str">
        <f>IFERROR(__xludf.DUMMYFUNCTION("GOOGLETRANSLATE(A154, ""en"", ""hi"")"),"153")</f>
        <v>153</v>
      </c>
      <c r="G154" s="5" t="str">
        <f>IFERROR(__xludf.DUMMYFUNCTION("GOOGLETRANSLATE(B154, ""en"", ""hi"")"),"मुकना मैच के दौरान, यदि खिलाड़ी X कोई ऐसी तकनीक अपनाता है जिसके कारण खिलाड़ी Y गिर जाता है, लेकिन खिलाड़ी X भी तुरंत बाद गिर जाता है, तो राउंड का निर्णय कैसे किया जाता है?")</f>
        <v>मुकना मैच के दौरान, यदि खिलाड़ी X कोई ऐसी तकनीक अपनाता है जिसके कारण खिलाड़ी Y गिर जाता है, लेकिन खिलाड़ी X भी तुरंत बाद गिर जाता है, तो राउंड का निर्णय कैसे किया जाता है?</v>
      </c>
      <c r="H154" s="5" t="str">
        <f>IFERROR(__xludf.DUMMYFUNCTION("GOOGLETRANSLATE(C154,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54" s="5" t="str">
        <f>IFERROR(__xludf.DUMMYFUNCTION("GOOGLETRANSLATE(D154, ""en"", ""hi"")"),"A) खिलाड़ी Y राउंड जीतता है।")</f>
        <v>A) खिलाड़ी Y राउंड जीतता है।</v>
      </c>
    </row>
    <row r="155" ht="22.5" customHeight="1">
      <c r="A155" s="8">
        <v>154.0</v>
      </c>
      <c r="B155" s="3" t="s">
        <v>13449</v>
      </c>
      <c r="C155" s="3" t="s">
        <v>13450</v>
      </c>
      <c r="D155" s="3" t="s">
        <v>13451</v>
      </c>
      <c r="F155" s="5" t="str">
        <f>IFERROR(__xludf.DUMMYFUNCTION("GOOGLETRANSLATE(A155, ""en"", ""hi"")"),"154")</f>
        <v>154</v>
      </c>
      <c r="G155" s="5" t="str">
        <f>IFERROR(__xludf.DUMMYFUNCTION("GOOGLETRANSLATE(B155, ""en"", ""hi"")"),"यदि खिलाड़ी X और खिलाड़ी Y फाल्स और राउंड में बराबर हैं, और खिलाड़ी X की अंतिम जीत खिलाड़ी Y की अवैध चाल के कारण हुई है, तो सामान्य प्रक्रिया क्या है?")</f>
        <v>यदि खिलाड़ी X और खिलाड़ी Y फाल्स और राउंड में बराबर हैं, और खिलाड़ी X की अंतिम जीत खिलाड़ी Y की अवैध चाल के कारण हुई है, तो सामान्य प्रक्रिया क्या है?</v>
      </c>
      <c r="H155" s="5" t="str">
        <f>IFERROR(__xludf.DUMMYFUNCTION("GOOGLETRANSLATE(C155, ""en"", ""hi"")"),"A) खिलाड़ी X को विजेता घोषित किया जाता है। , B) मैच को ड्रॉ घोषित किया जाता है। , C) अंतिम निर्णायक दौर खेला जाता है। , D) खिलाड़ी Y को विजेता घोषित किया जाता है।")</f>
        <v>A) खिलाड़ी X को विजेता घोषित किया जाता है। , B) मैच को ड्रॉ घोषित किया जाता है। , C) अंतिम निर्णायक दौर खेला जाता है। , D) खिलाड़ी Y को विजेता घोषित किया जाता है।</v>
      </c>
      <c r="I155" s="5" t="str">
        <f>IFERROR(__xludf.DUMMYFUNCTION("GOOGLETRANSLATE(D155, ""en"", ""hi"")"),"C) अंतिम निर्णायक दौर खेला जाता है।")</f>
        <v>C) अंतिम निर्णायक दौर खेला जाता है।</v>
      </c>
    </row>
    <row r="156" ht="22.5" customHeight="1">
      <c r="A156" s="8">
        <v>155.0</v>
      </c>
      <c r="B156" s="3" t="s">
        <v>13452</v>
      </c>
      <c r="C156" s="3" t="s">
        <v>13366</v>
      </c>
      <c r="D156" s="3" t="s">
        <v>13329</v>
      </c>
      <c r="F156" s="5" t="str">
        <f>IFERROR(__xludf.DUMMYFUNCTION("GOOGLETRANSLATE(A156, ""en"", ""hi"")"),"155")</f>
        <v>155</v>
      </c>
      <c r="G156" s="5" t="str">
        <f>IFERROR(__xludf.DUMMYFUNCTION("GOOGLETRANSLATE(B156, ""en"", ""hi"")"),"मुकना मुकाबले में, यदि खिलाड़ी X और खिलाड़ी Y दोनों एक साथ हार जाते हैं और कोई भी आगे नहीं खेल सकता, तो राउंड का सामान्य परिणाम क्या होगा?")</f>
        <v>मुकना मुकाबले में, यदि खिलाड़ी X और खिलाड़ी Y दोनों एक साथ हार जाते हैं और कोई भी आगे नहीं खेल सकता, तो राउंड का सामान्य परिणाम क्या होगा?</v>
      </c>
      <c r="H156" s="5" t="str">
        <f>IFERROR(__xludf.DUMMYFUNCTION("GOOGLETRANSLATE(C156,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56" s="5" t="str">
        <f>IFERROR(__xludf.DUMMYFUNCTION("GOOGLETRANSLATE(D156, ""en"", ""hi"")"),"ए) राउंड को ड्रा घोषित किया जाता है।")</f>
        <v>ए) राउंड को ड्रा घोषित किया जाता है।</v>
      </c>
    </row>
    <row r="157" ht="22.5" customHeight="1">
      <c r="A157" s="8">
        <v>156.0</v>
      </c>
      <c r="B157" s="3" t="s">
        <v>13453</v>
      </c>
      <c r="C157" s="3" t="s">
        <v>13388</v>
      </c>
      <c r="D157" s="3" t="s">
        <v>13389</v>
      </c>
      <c r="F157" s="5" t="str">
        <f>IFERROR(__xludf.DUMMYFUNCTION("GOOGLETRANSLATE(A157, ""en"", ""hi"")"),"156")</f>
        <v>156</v>
      </c>
      <c r="G157" s="5" t="str">
        <f>IFERROR(__xludf.DUMMYFUNCTION("GOOGLETRANSLATE(B157, ""en"", ""hi"")"),"यदि खिलाड़ी X ऐसी तकनीक का प्रयोग करता है जिसके कारण खिलाड़ी Y गिर जाता है, लेकिन खिलाड़ी X भी तुरंत बाद गिर जाता है, तो मुकना में राउंड का स्कोर सामान्यतः कैसे होगा?")</f>
        <v>यदि खिलाड़ी X ऐसी तकनीक का प्रयोग करता है जिसके कारण खिलाड़ी Y गिर जाता है, लेकिन खिलाड़ी X भी तुरंत बाद गिर जाता है, तो मुकना में राउंड का स्कोर सामान्यतः कैसे होगा?</v>
      </c>
      <c r="H157" s="5" t="str">
        <f>IFERROR(__xludf.DUMMYFUNCTION("GOOGLETRANSLATE(C157,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57" s="5" t="str">
        <f>IFERROR(__xludf.DUMMYFUNCTION("GOOGLETRANSLATE(D157, ""en"", ""hi"")"),"A) खिलाड़ी Y राउंड जीतता है।")</f>
        <v>A) खिलाड़ी Y राउंड जीतता है।</v>
      </c>
    </row>
    <row r="158" ht="22.5" customHeight="1">
      <c r="A158" s="8">
        <v>157.0</v>
      </c>
      <c r="B158" s="3" t="s">
        <v>13454</v>
      </c>
      <c r="C158" s="3" t="s">
        <v>13366</v>
      </c>
      <c r="D158" s="3" t="s">
        <v>13329</v>
      </c>
      <c r="F158" s="5" t="str">
        <f>IFERROR(__xludf.DUMMYFUNCTION("GOOGLETRANSLATE(A158, ""en"", ""hi"")"),"157")</f>
        <v>157</v>
      </c>
      <c r="G158" s="5" t="str">
        <f>IFERROR(__xludf.DUMMYFUNCTION("GOOGLETRANSLATE(B158, ""en"", ""hi"")"),"मुकना मैच के दौरान, यदि खिलाड़ी X और खिलाड़ी Y एक साथ रिंग के बाहर गिर जाते हैं और कोई भी आगे नहीं खेल सकता, तो आमतौर पर राउंड का निर्णय कैसे किया जाता है?")</f>
        <v>मुकना मैच के दौरान, यदि खिलाड़ी X और खिलाड़ी Y एक साथ रिंग के बाहर गिर जाते हैं और कोई भी आगे नहीं खेल सकता, तो आमतौर पर राउंड का निर्णय कैसे किया जाता है?</v>
      </c>
      <c r="H158" s="5" t="str">
        <f>IFERROR(__xludf.DUMMYFUNCTION("GOOGLETRANSLATE(C158,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58" s="5" t="str">
        <f>IFERROR(__xludf.DUMMYFUNCTION("GOOGLETRANSLATE(D158, ""en"", ""hi"")"),"ए) राउंड को ड्रा घोषित किया जाता है।")</f>
        <v>ए) राउंड को ड्रा घोषित किया जाता है।</v>
      </c>
    </row>
    <row r="159" ht="22.5" customHeight="1">
      <c r="A159" s="8">
        <v>158.0</v>
      </c>
      <c r="B159" s="3" t="s">
        <v>13440</v>
      </c>
      <c r="C159" s="3" t="s">
        <v>13369</v>
      </c>
      <c r="D159" s="3" t="s">
        <v>13288</v>
      </c>
      <c r="F159" s="5" t="str">
        <f>IFERROR(__xludf.DUMMYFUNCTION("GOOGLETRANSLATE(A159, ""en"", ""hi"")"),"158")</f>
        <v>158</v>
      </c>
      <c r="G159" s="5" t="str">
        <f>IFERROR(__xludf.DUMMYFUNCTION("GOOGLETRANSLATE(B159, ""en"", ""hi"")"),"यदि खिलाड़ी X और खिलाड़ी Y मुकना मुकाबले के दौरान फॉल्स और राउंड में बराबरी पर हैं, और खिलाड़ी X की अंतिम जीत खिलाड़ी Y की गलती के कारण हुई है, तो आमतौर पर आगे क्या होता है?")</f>
        <v>यदि खिलाड़ी X और खिलाड़ी Y मुकना मुकाबले के दौरान फॉल्स और राउंड में बराबरी पर हैं, और खिलाड़ी X की अंतिम जीत खिलाड़ी Y की गलती के कारण हुई है, तो आमतौर पर आगे क्या होता है?</v>
      </c>
      <c r="H159" s="5" t="str">
        <f>IFERROR(__xludf.DUMMYFUNCTION("GOOGLETRANSLATE(C159,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59" s="5" t="str">
        <f>IFERROR(__xludf.DUMMYFUNCTION("GOOGLETRANSLATE(D159, ""en"", ""hi"")"),"ए) अंतिम निर्णायक दौर खेला जाता है।")</f>
        <v>ए) अंतिम निर्णायक दौर खेला जाता है।</v>
      </c>
    </row>
    <row r="160" ht="22.5" customHeight="1">
      <c r="A160" s="8">
        <v>159.0</v>
      </c>
      <c r="B160" s="3" t="s">
        <v>13455</v>
      </c>
      <c r="C160" s="3" t="s">
        <v>13416</v>
      </c>
      <c r="D160" s="3" t="s">
        <v>13417</v>
      </c>
      <c r="F160" s="5" t="str">
        <f>IFERROR(__xludf.DUMMYFUNCTION("GOOGLETRANSLATE(A160, ""en"", ""hi"")"),"159")</f>
        <v>159</v>
      </c>
      <c r="G160" s="5" t="str">
        <f>IFERROR(__xludf.DUMMYFUNCTION("GOOGLETRANSLATE(B160, ""en"", ""hi"")"),"मुकना में, यदि खिलाड़ी X कोई अवैध तकनीक अपनाता है जिसके कारण खिलाड़ी Y गिर जाता है, तो उस राउंड का सामान्य परिणाम क्या होता है?")</f>
        <v>मुकना में, यदि खिलाड़ी X कोई अवैध तकनीक अपनाता है जिसके कारण खिलाड़ी Y गिर जाता है, तो उस राउंड का सामान्य परिणाम क्या होता है?</v>
      </c>
      <c r="H160" s="5" t="str">
        <f>IFERROR(__xludf.DUMMYFUNCTION("GOOGLETRANSLATE(C160,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60" s="5" t="str">
        <f>IFERROR(__xludf.DUMMYFUNCTION("GOOGLETRANSLATE(D160, ""en"", ""hi"")"),"A) खिलाड़ी Y को विजेता घोषित किया जाता है।")</f>
        <v>A) खिलाड़ी Y को विजेता घोषित किया जाता है।</v>
      </c>
    </row>
    <row r="161" ht="22.5" customHeight="1">
      <c r="A161" s="8">
        <v>160.0</v>
      </c>
      <c r="B161" s="3" t="s">
        <v>13456</v>
      </c>
      <c r="C161" s="3" t="s">
        <v>13366</v>
      </c>
      <c r="D161" s="3" t="s">
        <v>13329</v>
      </c>
      <c r="F161" s="5" t="str">
        <f>IFERROR(__xludf.DUMMYFUNCTION("GOOGLETRANSLATE(A161, ""en"", ""hi"")"),"160")</f>
        <v>160</v>
      </c>
      <c r="G161" s="5" t="str">
        <f>IFERROR(__xludf.DUMMYFUNCTION("GOOGLETRANSLATE(B161, ""en"", ""hi"")"),"मुकना मुकाबले के दौरान, यदि खिलाड़ी X और खिलाड़ी Y दोनों एक ही समय पर रिंग के बाहर गिर जाते हैं और कोई भी आगे नहीं खेल पाता है, तो आमतौर पर राउंड का स्कोर कैसे निर्धारित किया जाता है?")</f>
        <v>मुकना मुकाबले के दौरान, यदि खिलाड़ी X और खिलाड़ी Y दोनों एक ही समय पर रिंग के बाहर गिर जाते हैं और कोई भी आगे नहीं खेल पाता है, तो आमतौर पर राउंड का स्कोर कैसे निर्धारित किया जाता है?</v>
      </c>
      <c r="H161" s="5" t="str">
        <f>IFERROR(__xludf.DUMMYFUNCTION("GOOGLETRANSLATE(C161,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61" s="5" t="str">
        <f>IFERROR(__xludf.DUMMYFUNCTION("GOOGLETRANSLATE(D161, ""en"", ""hi"")"),"ए) राउंड को ड्रा घोषित किया जाता है।")</f>
        <v>ए) राउंड को ड्रा घोषित किया जाता है।</v>
      </c>
    </row>
    <row r="162" ht="22.5" customHeight="1">
      <c r="A162" s="8">
        <v>161.0</v>
      </c>
      <c r="B162" s="3" t="s">
        <v>13422</v>
      </c>
      <c r="C162" s="3" t="s">
        <v>13369</v>
      </c>
      <c r="D162" s="3" t="s">
        <v>13288</v>
      </c>
      <c r="F162" s="5" t="str">
        <f>IFERROR(__xludf.DUMMYFUNCTION("GOOGLETRANSLATE(A162, ""en"", ""hi"")"),"161")</f>
        <v>161</v>
      </c>
      <c r="G162" s="5" t="str">
        <f>IFERROR(__xludf.DUMMYFUNCTION("GOOGLETRANSLATE(B162, ""en"", ""hi"")"),"यदि खिलाड़ी X और खिलाड़ी Y फाल्स और राउंड में बराबरी पर हैं, और खिलाड़ी X की अंतिम जीत एक विवादास्पद चाल के कारण हुई है, तो सामान्य प्रक्रिया क्या है?")</f>
        <v>यदि खिलाड़ी X और खिलाड़ी Y फाल्स और राउंड में बराबरी पर हैं, और खिलाड़ी X की अंतिम जीत एक विवादास्पद चाल के कारण हुई है, तो सामान्य प्रक्रिया क्या है?</v>
      </c>
      <c r="H162" s="5" t="str">
        <f>IFERROR(__xludf.DUMMYFUNCTION("GOOGLETRANSLATE(C162,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62" s="5" t="str">
        <f>IFERROR(__xludf.DUMMYFUNCTION("GOOGLETRANSLATE(D162, ""en"", ""hi"")"),"ए) अंतिम निर्णायक दौर खेला जाता है।")</f>
        <v>ए) अंतिम निर्णायक दौर खेला जाता है।</v>
      </c>
    </row>
    <row r="163" ht="22.5" customHeight="1">
      <c r="A163" s="8">
        <v>162.0</v>
      </c>
      <c r="B163" s="3" t="s">
        <v>13457</v>
      </c>
      <c r="C163" s="3" t="s">
        <v>13388</v>
      </c>
      <c r="D163" s="3" t="s">
        <v>13389</v>
      </c>
      <c r="F163" s="5" t="str">
        <f>IFERROR(__xludf.DUMMYFUNCTION("GOOGLETRANSLATE(A163, ""en"", ""hi"")"),"162")</f>
        <v>162</v>
      </c>
      <c r="G163" s="5" t="str">
        <f>IFERROR(__xludf.DUMMYFUNCTION("GOOGLETRANSLATE(B163, ""en"", ""hi"")"),"मुकना में, यदि खिलाड़ी X ऐसी तकनीक का प्रयोग करता है जिसके कारण खिलाड़ी Y गिर जाता है, लेकिन खिलाड़ी X भी तुरंत बाद गिर जाता है, तो राउंड का निर्णय कैसे किया जाता है?")</f>
        <v>मुकना में, यदि खिलाड़ी X ऐसी तकनीक का प्रयोग करता है जिसके कारण खिलाड़ी Y गिर जाता है, लेकिन खिलाड़ी X भी तुरंत बाद गिर जाता है, तो राउंड का निर्णय कैसे किया जाता है?</v>
      </c>
      <c r="H163" s="5" t="str">
        <f>IFERROR(__xludf.DUMMYFUNCTION("GOOGLETRANSLATE(C163,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63" s="5" t="str">
        <f>IFERROR(__xludf.DUMMYFUNCTION("GOOGLETRANSLATE(D163, ""en"", ""hi"")"),"A) खिलाड़ी Y राउंड जीतता है।")</f>
        <v>A) खिलाड़ी Y राउंड जीतता है।</v>
      </c>
    </row>
    <row r="164" ht="22.5" customHeight="1">
      <c r="A164" s="8">
        <v>163.0</v>
      </c>
      <c r="B164" s="3" t="s">
        <v>13458</v>
      </c>
      <c r="C164" s="3" t="s">
        <v>13366</v>
      </c>
      <c r="D164" s="3" t="s">
        <v>13329</v>
      </c>
      <c r="F164" s="5" t="str">
        <f>IFERROR(__xludf.DUMMYFUNCTION("GOOGLETRANSLATE(A164, ""en"", ""hi"")"),"163")</f>
        <v>163</v>
      </c>
      <c r="G164" s="5" t="str">
        <f>IFERROR(__xludf.DUMMYFUNCTION("GOOGLETRANSLATE(B164, ""en"", ""hi"")"),"मुकना मैच के दौरान, यदि खिलाड़ी X और खिलाड़ी Y दोनों एक साथ गिर जाते हैं और कोई भी आगे नहीं बढ़ पाता है, तो आमतौर पर राउंड का निर्णय कैसे किया जाता है?")</f>
        <v>मुकना मैच के दौरान, यदि खिलाड़ी X और खिलाड़ी Y दोनों एक साथ गिर जाते हैं और कोई भी आगे नहीं बढ़ पाता है, तो आमतौर पर राउंड का निर्णय कैसे किया जाता है?</v>
      </c>
      <c r="H164" s="5" t="str">
        <f>IFERROR(__xludf.DUMMYFUNCTION("GOOGLETRANSLATE(C164,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64" s="5" t="str">
        <f>IFERROR(__xludf.DUMMYFUNCTION("GOOGLETRANSLATE(D164, ""en"", ""hi"")"),"ए) राउंड को ड्रा घोषित किया जाता है।")</f>
        <v>ए) राउंड को ड्रा घोषित किया जाता है।</v>
      </c>
    </row>
    <row r="165" ht="22.5" customHeight="1">
      <c r="A165" s="8">
        <v>164.0</v>
      </c>
      <c r="B165" s="3" t="s">
        <v>13459</v>
      </c>
      <c r="C165" s="3" t="s">
        <v>13369</v>
      </c>
      <c r="D165" s="3" t="s">
        <v>13288</v>
      </c>
      <c r="F165" s="5" t="str">
        <f>IFERROR(__xludf.DUMMYFUNCTION("GOOGLETRANSLATE(A165, ""en"", ""hi"")"),"164")</f>
        <v>164</v>
      </c>
      <c r="G165" s="5" t="str">
        <f>IFERROR(__xludf.DUMMYFUNCTION("GOOGLETRANSLATE(B165, ""en"", ""hi"")"),"यदि खिलाड़ी X और खिलाड़ी Y फाल्स और राउंड में बराबर हैं, और खिलाड़ी X की अंतिम जीत खिलाड़ी Y की अवैध चाल के कारण हुई है, तो सामान्य परिणाम क्या होगा?")</f>
        <v>यदि खिलाड़ी X और खिलाड़ी Y फाल्स और राउंड में बराबर हैं, और खिलाड़ी X की अंतिम जीत खिलाड़ी Y की अवैध चाल के कारण हुई है, तो सामान्य परिणाम क्या होगा?</v>
      </c>
      <c r="H165" s="5" t="str">
        <f>IFERROR(__xludf.DUMMYFUNCTION("GOOGLETRANSLATE(C165,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65" s="5" t="str">
        <f>IFERROR(__xludf.DUMMYFUNCTION("GOOGLETRANSLATE(D165, ""en"", ""hi"")"),"ए) अंतिम निर्णायक दौर खेला जाता है।")</f>
        <v>ए) अंतिम निर्णायक दौर खेला जाता है।</v>
      </c>
    </row>
    <row r="166" ht="22.5" customHeight="1">
      <c r="A166" s="8">
        <v>165.0</v>
      </c>
      <c r="B166" s="3" t="s">
        <v>13460</v>
      </c>
      <c r="C166" s="3" t="s">
        <v>13388</v>
      </c>
      <c r="D166" s="3" t="s">
        <v>13389</v>
      </c>
      <c r="F166" s="5" t="str">
        <f>IFERROR(__xludf.DUMMYFUNCTION("GOOGLETRANSLATE(A166, ""en"", ""hi"")"),"165")</f>
        <v>165</v>
      </c>
      <c r="G166" s="5" t="str">
        <f>IFERROR(__xludf.DUMMYFUNCTION("GOOGLETRANSLATE(B166, ""en"", ""hi"")"),"मुकना में, यदि खिलाड़ी X कोई ऐसी तकनीक अपनाता है जिसके कारण खिलाड़ी Y गिर जाता है, लेकिन खिलाड़ी X भी तुरंत बाद गिर जाता है, तो राउंड का स्कोर कैसे होगा?")</f>
        <v>मुकना में, यदि खिलाड़ी X कोई ऐसी तकनीक अपनाता है जिसके कारण खिलाड़ी Y गिर जाता है, लेकिन खिलाड़ी X भी तुरंत बाद गिर जाता है, तो राउंड का स्कोर कैसे होगा?</v>
      </c>
      <c r="H166" s="5" t="str">
        <f>IFERROR(__xludf.DUMMYFUNCTION("GOOGLETRANSLATE(C166,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66" s="5" t="str">
        <f>IFERROR(__xludf.DUMMYFUNCTION("GOOGLETRANSLATE(D166, ""en"", ""hi"")"),"A) खिलाड़ी Y राउंड जीतता है।")</f>
        <v>A) खिलाड़ी Y राउंड जीतता है।</v>
      </c>
    </row>
    <row r="167" ht="22.5" customHeight="1">
      <c r="A167" s="8">
        <v>166.0</v>
      </c>
      <c r="B167" s="3" t="s">
        <v>13461</v>
      </c>
      <c r="C167" s="3" t="s">
        <v>13366</v>
      </c>
      <c r="D167" s="3" t="s">
        <v>13329</v>
      </c>
      <c r="F167" s="5" t="str">
        <f>IFERROR(__xludf.DUMMYFUNCTION("GOOGLETRANSLATE(A167, ""en"", ""hi"")"),"166")</f>
        <v>166</v>
      </c>
      <c r="G167" s="5" t="str">
        <f>IFERROR(__xludf.DUMMYFUNCTION("GOOGLETRANSLATE(B167, ""en"", ""hi"")"),"मुकना मैच के दौरान, यदि खिलाड़ी X और खिलाड़ी Y दोनों एक साथ रिंग के बाहर गिर जाते हैं और कोई भी आगे नहीं खेल सकता, तो आमतौर पर राउंड का निर्णय कैसे किया जाता है?")</f>
        <v>मुकना मैच के दौरान, यदि खिलाड़ी X और खिलाड़ी Y दोनों एक साथ रिंग के बाहर गिर जाते हैं और कोई भी आगे नहीं खेल सकता, तो आमतौर पर राउंड का निर्णय कैसे किया जाता है?</v>
      </c>
      <c r="H167" s="5" t="str">
        <f>IFERROR(__xludf.DUMMYFUNCTION("GOOGLETRANSLATE(C167,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67" s="5" t="str">
        <f>IFERROR(__xludf.DUMMYFUNCTION("GOOGLETRANSLATE(D167, ""en"", ""hi"")"),"ए) राउंड को ड्रा घोषित किया जाता है।")</f>
        <v>ए) राउंड को ड्रा घोषित किया जाता है।</v>
      </c>
    </row>
    <row r="168" ht="22.5" customHeight="1">
      <c r="A168" s="8">
        <v>167.0</v>
      </c>
      <c r="B168" s="3" t="s">
        <v>13429</v>
      </c>
      <c r="C168" s="3" t="s">
        <v>13369</v>
      </c>
      <c r="D168" s="3" t="s">
        <v>13288</v>
      </c>
      <c r="F168" s="5" t="str">
        <f>IFERROR(__xludf.DUMMYFUNCTION("GOOGLETRANSLATE(A168, ""en"", ""hi"")"),"167")</f>
        <v>167</v>
      </c>
      <c r="G168" s="5" t="str">
        <f>IFERROR(__xludf.DUMMYFUNCTION("GOOGLETRANSLATE(B168, ""en"", ""hi"")"),"यदि खिलाड़ी X और खिलाड़ी Y मुकना मुकाबले के दौरान फॉल्स और राउंड में बराबरी पर हैं, और खिलाड़ी X की अंतिम जीत खिलाड़ी Y की गलती के कारण हुई है, तो सामान्य प्रक्रिया क्या है?")</f>
        <v>यदि खिलाड़ी X और खिलाड़ी Y मुकना मुकाबले के दौरान फॉल्स और राउंड में बराबरी पर हैं, और खिलाड़ी X की अंतिम जीत खिलाड़ी Y की गलती के कारण हुई है, तो सामान्य प्रक्रिया क्या है?</v>
      </c>
      <c r="H168" s="5" t="str">
        <f>IFERROR(__xludf.DUMMYFUNCTION("GOOGLETRANSLATE(C168,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68" s="5" t="str">
        <f>IFERROR(__xludf.DUMMYFUNCTION("GOOGLETRANSLATE(D168, ""en"", ""hi"")"),"ए) अंतिम निर्णायक दौर खेला जाता है।")</f>
        <v>ए) अंतिम निर्णायक दौर खेला जाता है।</v>
      </c>
    </row>
    <row r="169" ht="22.5" customHeight="1">
      <c r="A169" s="8">
        <v>168.0</v>
      </c>
      <c r="B169" s="3" t="s">
        <v>13462</v>
      </c>
      <c r="C169" s="3" t="s">
        <v>13366</v>
      </c>
      <c r="D169" s="3" t="s">
        <v>13329</v>
      </c>
      <c r="F169" s="5" t="str">
        <f>IFERROR(__xludf.DUMMYFUNCTION("GOOGLETRANSLATE(A169, ""en"", ""hi"")"),"168")</f>
        <v>168</v>
      </c>
      <c r="G169" s="5" t="str">
        <f>IFERROR(__xludf.DUMMYFUNCTION("GOOGLETRANSLATE(B169, ""en"", ""hi"")"),"मुकना मुकाबले के दौरान, यदि खिलाड़ी X और खिलाड़ी Y एक साथ गिर जाते हैं और कोई भी आगे नहीं खेल सकता, तो उस राउंड का सामान्य परिणाम क्या होगा?")</f>
        <v>मुकना मुकाबले के दौरान, यदि खिलाड़ी X और खिलाड़ी Y एक साथ गिर जाते हैं और कोई भी आगे नहीं खेल सकता, तो उस राउंड का सामान्य परिणाम क्या होगा?</v>
      </c>
      <c r="H169" s="5" t="str">
        <f>IFERROR(__xludf.DUMMYFUNCTION("GOOGLETRANSLATE(C169,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69" s="5" t="str">
        <f>IFERROR(__xludf.DUMMYFUNCTION("GOOGLETRANSLATE(D169, ""en"", ""hi"")"),"ए) राउंड को ड्रा घोषित किया जाता है।")</f>
        <v>ए) राउंड को ड्रा घोषित किया जाता है।</v>
      </c>
    </row>
    <row r="170" ht="22.5" customHeight="1">
      <c r="A170" s="8">
        <v>169.0</v>
      </c>
      <c r="B170" s="3" t="s">
        <v>13463</v>
      </c>
      <c r="C170" s="3" t="s">
        <v>13416</v>
      </c>
      <c r="D170" s="3" t="s">
        <v>13417</v>
      </c>
      <c r="F170" s="5" t="str">
        <f>IFERROR(__xludf.DUMMYFUNCTION("GOOGLETRANSLATE(A170, ""en"", ""hi"")"),"169")</f>
        <v>169</v>
      </c>
      <c r="G170" s="5" t="str">
        <f>IFERROR(__xludf.DUMMYFUNCTION("GOOGLETRANSLATE(B170, ""en"", ""hi"")"),"यदि खिलाड़ी X कोई अवैध तकनीक अपनाता है जिसके कारण खिलाड़ी Y गिर जाता है, तो मुकना में राउंड का मानक परिणाम क्या होगा?")</f>
        <v>यदि खिलाड़ी X कोई अवैध तकनीक अपनाता है जिसके कारण खिलाड़ी Y गिर जाता है, तो मुकना में राउंड का मानक परिणाम क्या होगा?</v>
      </c>
      <c r="H170" s="5" t="str">
        <f>IFERROR(__xludf.DUMMYFUNCTION("GOOGLETRANSLATE(C170,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70" s="5" t="str">
        <f>IFERROR(__xludf.DUMMYFUNCTION("GOOGLETRANSLATE(D170, ""en"", ""hi"")"),"A) खिलाड़ी Y को विजेता घोषित किया जाता है।")</f>
        <v>A) खिलाड़ी Y को विजेता घोषित किया जाता है।</v>
      </c>
    </row>
    <row r="171" ht="22.5" customHeight="1">
      <c r="A171" s="8">
        <v>170.0</v>
      </c>
      <c r="B171" s="3" t="s">
        <v>13464</v>
      </c>
      <c r="C171" s="3" t="s">
        <v>13366</v>
      </c>
      <c r="D171" s="3" t="s">
        <v>13329</v>
      </c>
      <c r="F171" s="5" t="str">
        <f>IFERROR(__xludf.DUMMYFUNCTION("GOOGLETRANSLATE(A171, ""en"", ""hi"")"),"170")</f>
        <v>170</v>
      </c>
      <c r="G171" s="5" t="str">
        <f>IFERROR(__xludf.DUMMYFUNCTION("GOOGLETRANSLATE(B171, ""en"", ""hi"")"),"मुकना मैच के दौरान, यदि खिलाड़ी X और खिलाड़ी Y दोनों एक ही समय पर रिंग के बाहर गिर जाते हैं और कोई भी आगे नहीं खेल सकता, तो आमतौर पर राउंड का स्कोर कैसे होगा?")</f>
        <v>मुकना मैच के दौरान, यदि खिलाड़ी X और खिलाड़ी Y दोनों एक ही समय पर रिंग के बाहर गिर जाते हैं और कोई भी आगे नहीं खेल सकता, तो आमतौर पर राउंड का स्कोर कैसे होगा?</v>
      </c>
      <c r="H171" s="5" t="str">
        <f>IFERROR(__xludf.DUMMYFUNCTION("GOOGLETRANSLATE(C171,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71" s="5" t="str">
        <f>IFERROR(__xludf.DUMMYFUNCTION("GOOGLETRANSLATE(D171, ""en"", ""hi"")"),"ए) राउंड को ड्रा घोषित किया जाता है।")</f>
        <v>ए) राउंड को ड्रा घोषित किया जाता है।</v>
      </c>
    </row>
    <row r="172" ht="22.5" customHeight="1">
      <c r="A172" s="8">
        <v>171.0</v>
      </c>
      <c r="B172" s="3" t="s">
        <v>13422</v>
      </c>
      <c r="C172" s="3" t="s">
        <v>13369</v>
      </c>
      <c r="D172" s="3" t="s">
        <v>13288</v>
      </c>
      <c r="F172" s="5" t="str">
        <f>IFERROR(__xludf.DUMMYFUNCTION("GOOGLETRANSLATE(A172, ""en"", ""hi"")"),"171")</f>
        <v>171</v>
      </c>
      <c r="G172" s="5" t="str">
        <f>IFERROR(__xludf.DUMMYFUNCTION("GOOGLETRANSLATE(B172, ""en"", ""hi"")"),"यदि खिलाड़ी X और खिलाड़ी Y फाल्स और राउंड में बराबरी पर हैं, और खिलाड़ी X की अंतिम जीत एक विवादास्पद चाल के कारण हुई है, तो सामान्य प्रक्रिया क्या है?")</f>
        <v>यदि खिलाड़ी X और खिलाड़ी Y फाल्स और राउंड में बराबरी पर हैं, और खिलाड़ी X की अंतिम जीत एक विवादास्पद चाल के कारण हुई है, तो सामान्य प्रक्रिया क्या है?</v>
      </c>
      <c r="H172" s="5" t="str">
        <f>IFERROR(__xludf.DUMMYFUNCTION("GOOGLETRANSLATE(C172,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72" s="5" t="str">
        <f>IFERROR(__xludf.DUMMYFUNCTION("GOOGLETRANSLATE(D172, ""en"", ""hi"")"),"ए) अंतिम निर्णायक दौर खेला जाता है।")</f>
        <v>ए) अंतिम निर्णायक दौर खेला जाता है।</v>
      </c>
    </row>
    <row r="173" ht="22.5" customHeight="1">
      <c r="A173" s="8">
        <v>172.0</v>
      </c>
      <c r="B173" s="3" t="s">
        <v>13457</v>
      </c>
      <c r="C173" s="3" t="s">
        <v>13388</v>
      </c>
      <c r="D173" s="3" t="s">
        <v>13389</v>
      </c>
      <c r="F173" s="5" t="str">
        <f>IFERROR(__xludf.DUMMYFUNCTION("GOOGLETRANSLATE(A173, ""en"", ""hi"")"),"172")</f>
        <v>172</v>
      </c>
      <c r="G173" s="5" t="str">
        <f>IFERROR(__xludf.DUMMYFUNCTION("GOOGLETRANSLATE(B173, ""en"", ""hi"")"),"मुकना में, यदि खिलाड़ी X ऐसी तकनीक का प्रयोग करता है जिसके कारण खिलाड़ी Y गिर जाता है, लेकिन खिलाड़ी X भी तुरंत बाद गिर जाता है, तो राउंड का निर्णय कैसे किया जाता है?")</f>
        <v>मुकना में, यदि खिलाड़ी X ऐसी तकनीक का प्रयोग करता है जिसके कारण खिलाड़ी Y गिर जाता है, लेकिन खिलाड़ी X भी तुरंत बाद गिर जाता है, तो राउंड का निर्णय कैसे किया जाता है?</v>
      </c>
      <c r="H173" s="5" t="str">
        <f>IFERROR(__xludf.DUMMYFUNCTION("GOOGLETRANSLATE(C173,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73" s="5" t="str">
        <f>IFERROR(__xludf.DUMMYFUNCTION("GOOGLETRANSLATE(D173, ""en"", ""hi"")"),"A) खिलाड़ी Y राउंड जीतता है।")</f>
        <v>A) खिलाड़ी Y राउंड जीतता है।</v>
      </c>
    </row>
    <row r="174" ht="22.5" customHeight="1">
      <c r="A174" s="8">
        <v>173.0</v>
      </c>
      <c r="B174" s="3" t="s">
        <v>13465</v>
      </c>
      <c r="C174" s="3" t="s">
        <v>13366</v>
      </c>
      <c r="D174" s="3" t="s">
        <v>13329</v>
      </c>
      <c r="F174" s="5" t="str">
        <f>IFERROR(__xludf.DUMMYFUNCTION("GOOGLETRANSLATE(A174, ""en"", ""hi"")"),"173")</f>
        <v>173</v>
      </c>
      <c r="G174" s="5" t="str">
        <f>IFERROR(__xludf.DUMMYFUNCTION("GOOGLETRANSLATE(B174, ""en"", ""hi"")"),"मुकना मैच के दौरान, यदि खिलाड़ी X और खिलाड़ी Y एक साथ गिर जाते हैं और कोई भी आगे नहीं खेल सकता, तो राउंड का सामान्य परिणाम क्या होगा?")</f>
        <v>मुकना मैच के दौरान, यदि खिलाड़ी X और खिलाड़ी Y एक साथ गिर जाते हैं और कोई भी आगे नहीं खेल सकता, तो राउंड का सामान्य परिणाम क्या होगा?</v>
      </c>
      <c r="H174" s="5" t="str">
        <f>IFERROR(__xludf.DUMMYFUNCTION("GOOGLETRANSLATE(C174,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74" s="5" t="str">
        <f>IFERROR(__xludf.DUMMYFUNCTION("GOOGLETRANSLATE(D174, ""en"", ""hi"")"),"ए) राउंड को ड्रा घोषित किया जाता है।")</f>
        <v>ए) राउंड को ड्रा घोषित किया जाता है।</v>
      </c>
    </row>
    <row r="175" ht="22.5" customHeight="1">
      <c r="A175" s="8">
        <v>174.0</v>
      </c>
      <c r="B175" s="3" t="s">
        <v>13466</v>
      </c>
      <c r="C175" s="3" t="s">
        <v>13369</v>
      </c>
      <c r="D175" s="3" t="s">
        <v>13288</v>
      </c>
      <c r="F175" s="5" t="str">
        <f>IFERROR(__xludf.DUMMYFUNCTION("GOOGLETRANSLATE(A175, ""en"", ""hi"")"),"174")</f>
        <v>174</v>
      </c>
      <c r="G175" s="5" t="str">
        <f>IFERROR(__xludf.DUMMYFUNCTION("GOOGLETRANSLATE(B175, ""en"", ""hi"")"),"यदि खिलाड़ी X और खिलाड़ी Y मुकना मुकाबले के दौरान फॉल्स और राउंड में बराबरी पर हैं, और खिलाड़ी X की अंतिम जीत खिलाड़ी Y की गलती के कारण हुई है, तो सामान्य परिणाम क्या होगा?")</f>
        <v>यदि खिलाड़ी X और खिलाड़ी Y मुकना मुकाबले के दौरान फॉल्स और राउंड में बराबरी पर हैं, और खिलाड़ी X की अंतिम जीत खिलाड़ी Y की गलती के कारण हुई है, तो सामान्य परिणाम क्या होगा?</v>
      </c>
      <c r="H175" s="5" t="str">
        <f>IFERROR(__xludf.DUMMYFUNCTION("GOOGLETRANSLATE(C175,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75" s="5" t="str">
        <f>IFERROR(__xludf.DUMMYFUNCTION("GOOGLETRANSLATE(D175, ""en"", ""hi"")"),"ए) अंतिम निर्णायक दौर खेला जाता है।")</f>
        <v>ए) अंतिम निर्णायक दौर खेला जाता है।</v>
      </c>
    </row>
    <row r="176" ht="22.5" customHeight="1">
      <c r="A176" s="8">
        <v>175.0</v>
      </c>
      <c r="B176" s="3" t="s">
        <v>13467</v>
      </c>
      <c r="C176" s="3" t="s">
        <v>13366</v>
      </c>
      <c r="D176" s="3" t="s">
        <v>13329</v>
      </c>
      <c r="F176" s="5" t="str">
        <f>IFERROR(__xludf.DUMMYFUNCTION("GOOGLETRANSLATE(A176, ""en"", ""hi"")"),"175")</f>
        <v>175</v>
      </c>
      <c r="G176" s="5" t="str">
        <f>IFERROR(__xludf.DUMMYFUNCTION("GOOGLETRANSLATE(B176, ""en"", ""hi"")"),"मुकना मुकाबले के दौरान, यदि खिलाड़ी X और खिलाड़ी Y दोनों एक ही समय पर रिंग के बाहर गिर जाते हैं और कोई भी आगे नहीं खेल सकता, तो आमतौर पर राउंड का निर्णय कैसे किया जाता है?")</f>
        <v>मुकना मुकाबले के दौरान, यदि खिलाड़ी X और खिलाड़ी Y दोनों एक ही समय पर रिंग के बाहर गिर जाते हैं और कोई भी आगे नहीं खेल सकता, तो आमतौर पर राउंड का निर्णय कैसे किया जाता है?</v>
      </c>
      <c r="H176" s="5" t="str">
        <f>IFERROR(__xludf.DUMMYFUNCTION("GOOGLETRANSLATE(C176,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76" s="5" t="str">
        <f>IFERROR(__xludf.DUMMYFUNCTION("GOOGLETRANSLATE(D176, ""en"", ""hi"")"),"ए) राउंड को ड्रा घोषित किया जाता है।")</f>
        <v>ए) राउंड को ड्रा घोषित किया जाता है।</v>
      </c>
    </row>
    <row r="177" ht="22.5" customHeight="1">
      <c r="A177" s="8">
        <v>176.0</v>
      </c>
      <c r="B177" s="3" t="s">
        <v>13468</v>
      </c>
      <c r="C177" s="3" t="s">
        <v>13388</v>
      </c>
      <c r="D177" s="3" t="s">
        <v>13389</v>
      </c>
      <c r="F177" s="5" t="str">
        <f>IFERROR(__xludf.DUMMYFUNCTION("GOOGLETRANSLATE(A177, ""en"", ""hi"")"),"176")</f>
        <v>176</v>
      </c>
      <c r="G177" s="5" t="str">
        <f>IFERROR(__xludf.DUMMYFUNCTION("GOOGLETRANSLATE(B177, ""en"", ""hi"")"),"यदि खिलाड़ी X कोई ऐसी तकनीक अपनाता है जिसके कारण खिलाड़ी Y गिर जाता है, लेकिन खिलाड़ी X भी तुरंत बाद गिर जाता है, तो मुकना में राउंड का स्कोर सामान्यतः कैसे होता है?")</f>
        <v>यदि खिलाड़ी X कोई ऐसी तकनीक अपनाता है जिसके कारण खिलाड़ी Y गिर जाता है, लेकिन खिलाड़ी X भी तुरंत बाद गिर जाता है, तो मुकना में राउंड का स्कोर सामान्यतः कैसे होता है?</v>
      </c>
      <c r="H177" s="5" t="str">
        <f>IFERROR(__xludf.DUMMYFUNCTION("GOOGLETRANSLATE(C177,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77" s="5" t="str">
        <f>IFERROR(__xludf.DUMMYFUNCTION("GOOGLETRANSLATE(D177, ""en"", ""hi"")"),"A) खिलाड़ी Y राउंड जीतता है।")</f>
        <v>A) खिलाड़ी Y राउंड जीतता है।</v>
      </c>
    </row>
    <row r="178" ht="22.5" customHeight="1">
      <c r="A178" s="8">
        <v>177.0</v>
      </c>
      <c r="B178" s="3" t="s">
        <v>13427</v>
      </c>
      <c r="C178" s="3" t="s">
        <v>13366</v>
      </c>
      <c r="D178" s="3" t="s">
        <v>13329</v>
      </c>
      <c r="F178" s="5" t="str">
        <f>IFERROR(__xludf.DUMMYFUNCTION("GOOGLETRANSLATE(A178, ""en"", ""hi"")"),"177")</f>
        <v>177</v>
      </c>
      <c r="G178" s="5" t="str">
        <f>IFERROR(__xludf.DUMMYFUNCTION("GOOGLETRANSLATE(B178, ""en"", ""hi"")"),"मुकना मैच के दौरान, यदि खिलाड़ी X और खिलाड़ी Y दोनों एक साथ रिंग के बाहर गिर जाते हैं और कोई भी आगे नहीं खेल सकता, तो आमतौर पर राउंड का स्कोर कैसे निर्धारित किया जाता है?")</f>
        <v>मुकना मैच के दौरान, यदि खिलाड़ी X और खिलाड़ी Y दोनों एक साथ रिंग के बाहर गिर जाते हैं और कोई भी आगे नहीं खेल सकता, तो आमतौर पर राउंड का स्कोर कैसे निर्धारित किया जाता है?</v>
      </c>
      <c r="H178" s="5" t="str">
        <f>IFERROR(__xludf.DUMMYFUNCTION("GOOGLETRANSLATE(C178,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78" s="5" t="str">
        <f>IFERROR(__xludf.DUMMYFUNCTION("GOOGLETRANSLATE(D178, ""en"", ""hi"")"),"ए) राउंड को ड्रा घोषित किया जाता है।")</f>
        <v>ए) राउंड को ड्रा घोषित किया जाता है।</v>
      </c>
    </row>
    <row r="179" ht="22.5" customHeight="1">
      <c r="A179" s="8">
        <v>178.0</v>
      </c>
      <c r="B179" s="3" t="s">
        <v>13449</v>
      </c>
      <c r="C179" s="3" t="s">
        <v>13369</v>
      </c>
      <c r="D179" s="3" t="s">
        <v>13288</v>
      </c>
      <c r="F179" s="5" t="str">
        <f>IFERROR(__xludf.DUMMYFUNCTION("GOOGLETRANSLATE(A179, ""en"", ""hi"")"),"178")</f>
        <v>178</v>
      </c>
      <c r="G179" s="5" t="str">
        <f>IFERROR(__xludf.DUMMYFUNCTION("GOOGLETRANSLATE(B179, ""en"", ""hi"")"),"यदि खिलाड़ी X और खिलाड़ी Y फाल्स और राउंड में बराबर हैं, और खिलाड़ी X की अंतिम जीत खिलाड़ी Y की अवैध चाल के कारण हुई है, तो सामान्य प्रक्रिया क्या है?")</f>
        <v>यदि खिलाड़ी X और खिलाड़ी Y फाल्स और राउंड में बराबर हैं, और खिलाड़ी X की अंतिम जीत खिलाड़ी Y की अवैध चाल के कारण हुई है, तो सामान्य प्रक्रिया क्या है?</v>
      </c>
      <c r="H179" s="5" t="str">
        <f>IFERROR(__xludf.DUMMYFUNCTION("GOOGLETRANSLATE(C179,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79" s="5" t="str">
        <f>IFERROR(__xludf.DUMMYFUNCTION("GOOGLETRANSLATE(D179, ""en"", ""hi"")"),"ए) अंतिम निर्णायक दौर खेला जाता है।")</f>
        <v>ए) अंतिम निर्णायक दौर खेला जाता है।</v>
      </c>
    </row>
    <row r="180" ht="22.5" customHeight="1">
      <c r="A180" s="8">
        <v>179.0</v>
      </c>
      <c r="B180" s="3" t="s">
        <v>13457</v>
      </c>
      <c r="C180" s="3" t="s">
        <v>13388</v>
      </c>
      <c r="D180" s="3" t="s">
        <v>13389</v>
      </c>
      <c r="F180" s="5" t="str">
        <f>IFERROR(__xludf.DUMMYFUNCTION("GOOGLETRANSLATE(A180, ""en"", ""hi"")"),"179")</f>
        <v>179</v>
      </c>
      <c r="G180" s="5" t="str">
        <f>IFERROR(__xludf.DUMMYFUNCTION("GOOGLETRANSLATE(B180, ""en"", ""hi"")"),"मुकना में, यदि खिलाड़ी X ऐसी तकनीक का प्रयोग करता है जिसके कारण खिलाड़ी Y गिर जाता है, लेकिन खिलाड़ी X भी तुरंत बाद गिर जाता है, तो राउंड का निर्णय कैसे किया जाता है?")</f>
        <v>मुकना में, यदि खिलाड़ी X ऐसी तकनीक का प्रयोग करता है जिसके कारण खिलाड़ी Y गिर जाता है, लेकिन खिलाड़ी X भी तुरंत बाद गिर जाता है, तो राउंड का निर्णय कैसे किया जाता है?</v>
      </c>
      <c r="H180" s="5" t="str">
        <f>IFERROR(__xludf.DUMMYFUNCTION("GOOGLETRANSLATE(C180,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80" s="5" t="str">
        <f>IFERROR(__xludf.DUMMYFUNCTION("GOOGLETRANSLATE(D180, ""en"", ""hi"")"),"A) खिलाड़ी Y राउंड जीतता है।")</f>
        <v>A) खिलाड़ी Y राउंड जीतता है।</v>
      </c>
    </row>
    <row r="181" ht="22.5" customHeight="1">
      <c r="A181" s="8">
        <v>180.0</v>
      </c>
      <c r="B181" s="3" t="s">
        <v>13469</v>
      </c>
      <c r="C181" s="3" t="s">
        <v>13366</v>
      </c>
      <c r="D181" s="3" t="s">
        <v>13329</v>
      </c>
      <c r="F181" s="5" t="str">
        <f>IFERROR(__xludf.DUMMYFUNCTION("GOOGLETRANSLATE(A181, ""en"", ""hi"")"),"180")</f>
        <v>180</v>
      </c>
      <c r="G181" s="5" t="str">
        <f>IFERROR(__xludf.DUMMYFUNCTION("GOOGLETRANSLATE(B181, ""en"", ""hi"")"),"मुकना मैच के दौरान, यदि खिलाड़ी X और खिलाड़ी Y एक साथ गिर जाते हैं और कोई भी आगे नहीं खेल सकता, तो राउंड का सामान्य परिणाम क्या होगा?")</f>
        <v>मुकना मैच के दौरान, यदि खिलाड़ी X और खिलाड़ी Y एक साथ गिर जाते हैं और कोई भी आगे नहीं खेल सकता, तो राउंड का सामान्य परिणाम क्या होगा?</v>
      </c>
      <c r="H181" s="5" t="str">
        <f>IFERROR(__xludf.DUMMYFUNCTION("GOOGLETRANSLATE(C181,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81" s="5" t="str">
        <f>IFERROR(__xludf.DUMMYFUNCTION("GOOGLETRANSLATE(D181, ""en"", ""hi"")"),"ए) राउंड को ड्रा घोषित किया जाता है।")</f>
        <v>ए) राउंड को ड्रा घोषित किया जाता है।</v>
      </c>
    </row>
    <row r="182" ht="22.5" customHeight="1">
      <c r="A182" s="8">
        <v>181.0</v>
      </c>
      <c r="B182" s="3" t="s">
        <v>13470</v>
      </c>
      <c r="C182" s="3" t="s">
        <v>13416</v>
      </c>
      <c r="D182" s="3" t="s">
        <v>13417</v>
      </c>
      <c r="F182" s="5" t="str">
        <f>IFERROR(__xludf.DUMMYFUNCTION("GOOGLETRANSLATE(A182, ""en"", ""hi"")"),"181")</f>
        <v>181</v>
      </c>
      <c r="G182" s="5" t="str">
        <f>IFERROR(__xludf.DUMMYFUNCTION("GOOGLETRANSLATE(B182, ""en"", ""hi"")"),"यदि खिलाड़ी X कोई अवैध तकनीक अपनाता है जिसके कारण खिलाड़ी Y गिर जाता है, तो मुकना में राउंड का मानक परिणाम क्या होगा?")</f>
        <v>यदि खिलाड़ी X कोई अवैध तकनीक अपनाता है जिसके कारण खिलाड़ी Y गिर जाता है, तो मुकना में राउंड का मानक परिणाम क्या होगा?</v>
      </c>
      <c r="H182" s="5" t="str">
        <f>IFERROR(__xludf.DUMMYFUNCTION("GOOGLETRANSLATE(C182,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82" s="5" t="str">
        <f>IFERROR(__xludf.DUMMYFUNCTION("GOOGLETRANSLATE(D182, ""en"", ""hi"")"),"A) खिलाड़ी Y को विजेता घोषित किया जाता है।")</f>
        <v>A) खिलाड़ी Y को विजेता घोषित किया जाता है।</v>
      </c>
    </row>
    <row r="183" ht="22.5" customHeight="1">
      <c r="A183" s="8">
        <v>182.0</v>
      </c>
      <c r="B183" s="3" t="s">
        <v>13471</v>
      </c>
      <c r="C183" s="3" t="s">
        <v>13366</v>
      </c>
      <c r="D183" s="3" t="s">
        <v>13329</v>
      </c>
      <c r="F183" s="5" t="str">
        <f>IFERROR(__xludf.DUMMYFUNCTION("GOOGLETRANSLATE(A183, ""en"", ""hi"")"),"182")</f>
        <v>182</v>
      </c>
      <c r="G183" s="5" t="str">
        <f>IFERROR(__xludf.DUMMYFUNCTION("GOOGLETRANSLATE(B183, ""en"", ""hi"")"),"मुकना मैच में, यदि खिलाड़ी X और खिलाड़ी Y एक साथ रिंग के बाहर गिर जाते हैं और कोई भी आगे नहीं खेल सकता, तो आमतौर पर राउंड का स्कोर कैसे निर्धारित किया जाता है?")</f>
        <v>मुकना मैच में, यदि खिलाड़ी X और खिलाड़ी Y एक साथ रिंग के बाहर गिर जाते हैं और कोई भी आगे नहीं खेल सकता, तो आमतौर पर राउंड का स्कोर कैसे निर्धारित किया जाता है?</v>
      </c>
      <c r="H183" s="5" t="str">
        <f>IFERROR(__xludf.DUMMYFUNCTION("GOOGLETRANSLATE(C183,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83" s="5" t="str">
        <f>IFERROR(__xludf.DUMMYFUNCTION("GOOGLETRANSLATE(D183, ""en"", ""hi"")"),"ए) राउंड को ड्रा घोषित किया जाता है।")</f>
        <v>ए) राउंड को ड्रा घोषित किया जाता है।</v>
      </c>
    </row>
    <row r="184" ht="22.5" customHeight="1">
      <c r="A184" s="8">
        <v>183.0</v>
      </c>
      <c r="B184" s="3" t="s">
        <v>13422</v>
      </c>
      <c r="C184" s="3" t="s">
        <v>13369</v>
      </c>
      <c r="D184" s="3" t="s">
        <v>13288</v>
      </c>
      <c r="F184" s="5" t="str">
        <f>IFERROR(__xludf.DUMMYFUNCTION("GOOGLETRANSLATE(A184, ""en"", ""hi"")"),"183")</f>
        <v>183</v>
      </c>
      <c r="G184" s="5" t="str">
        <f>IFERROR(__xludf.DUMMYFUNCTION("GOOGLETRANSLATE(B184, ""en"", ""hi"")"),"यदि खिलाड़ी X और खिलाड़ी Y फाल्स और राउंड में बराबरी पर हैं, और खिलाड़ी X की अंतिम जीत एक विवादास्पद चाल के कारण हुई है, तो सामान्य प्रक्रिया क्या है?")</f>
        <v>यदि खिलाड़ी X और खिलाड़ी Y फाल्स और राउंड में बराबरी पर हैं, और खिलाड़ी X की अंतिम जीत एक विवादास्पद चाल के कारण हुई है, तो सामान्य प्रक्रिया क्या है?</v>
      </c>
      <c r="H184" s="5" t="str">
        <f>IFERROR(__xludf.DUMMYFUNCTION("GOOGLETRANSLATE(C184,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84" s="5" t="str">
        <f>IFERROR(__xludf.DUMMYFUNCTION("GOOGLETRANSLATE(D184, ""en"", ""hi"")"),"ए) अंतिम निर्णायक दौर खेला जाता है।")</f>
        <v>ए) अंतिम निर्णायक दौर खेला जाता है।</v>
      </c>
    </row>
    <row r="185" ht="22.5" customHeight="1">
      <c r="A185" s="8">
        <v>184.0</v>
      </c>
      <c r="B185" s="3" t="s">
        <v>13472</v>
      </c>
      <c r="C185" s="3" t="s">
        <v>13388</v>
      </c>
      <c r="D185" s="3" t="s">
        <v>13389</v>
      </c>
      <c r="F185" s="5" t="str">
        <f>IFERROR(__xludf.DUMMYFUNCTION("GOOGLETRANSLATE(A185, ""en"", ""hi"")"),"184")</f>
        <v>184</v>
      </c>
      <c r="G185" s="5" t="str">
        <f>IFERROR(__xludf.DUMMYFUNCTION("GOOGLETRANSLATE(B185, ""en"", ""hi"")"),"मुकना मैच के दौरान, यदि खिलाड़ी X ऐसी तकनीक का प्रयोग करता है जिसके कारण खिलाड़ी Y गिर जाता है, लेकिन खिलाड़ी X भी तुरंत बाद गिर जाता है, तो राउंड का निर्णय कैसे किया जाता है?")</f>
        <v>मुकना मैच के दौरान, यदि खिलाड़ी X ऐसी तकनीक का प्रयोग करता है जिसके कारण खिलाड़ी Y गिर जाता है, लेकिन खिलाड़ी X भी तुरंत बाद गिर जाता है, तो राउंड का निर्णय कैसे किया जाता है?</v>
      </c>
      <c r="H185" s="5" t="str">
        <f>IFERROR(__xludf.DUMMYFUNCTION("GOOGLETRANSLATE(C185,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185" s="5" t="str">
        <f>IFERROR(__xludf.DUMMYFUNCTION("GOOGLETRANSLATE(D185, ""en"", ""hi"")"),"A) खिलाड़ी Y राउंड जीतता है।")</f>
        <v>A) खिलाड़ी Y राउंड जीतता है।</v>
      </c>
    </row>
    <row r="186" ht="22.5" customHeight="1">
      <c r="A186" s="8">
        <v>185.0</v>
      </c>
      <c r="B186" s="3" t="s">
        <v>13473</v>
      </c>
      <c r="C186" s="3" t="s">
        <v>13366</v>
      </c>
      <c r="D186" s="3" t="s">
        <v>13329</v>
      </c>
      <c r="F186" s="5" t="str">
        <f>IFERROR(__xludf.DUMMYFUNCTION("GOOGLETRANSLATE(A186, ""en"", ""hi"")"),"185")</f>
        <v>185</v>
      </c>
      <c r="G186" s="5" t="str">
        <f>IFERROR(__xludf.DUMMYFUNCTION("GOOGLETRANSLATE(B186, ""en"", ""hi"")"),"यदि खिलाड़ी X और खिलाड़ी Y एक साथ रिंग के बाहर गिर जाते हैं और कोई भी आगे नहीं खेल सकता, तो मुकना में राउंड का निर्णय आमतौर पर कैसे किया जाता है?")</f>
        <v>यदि खिलाड़ी X और खिलाड़ी Y एक साथ रिंग के बाहर गिर जाते हैं और कोई भी आगे नहीं खेल सकता, तो मुकना में राउंड का निर्णय आमतौर पर कैसे किया जाता है?</v>
      </c>
      <c r="H186" s="5" t="str">
        <f>IFERROR(__xludf.DUMMYFUNCTION("GOOGLETRANSLATE(C186,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86" s="5" t="str">
        <f>IFERROR(__xludf.DUMMYFUNCTION("GOOGLETRANSLATE(D186, ""en"", ""hi"")"),"ए) राउंड को ड्रा घोषित किया जाता है।")</f>
        <v>ए) राउंड को ड्रा घोषित किया जाता है।</v>
      </c>
    </row>
    <row r="187" ht="22.5" customHeight="1">
      <c r="A187" s="8">
        <v>186.0</v>
      </c>
      <c r="B187" s="3" t="s">
        <v>13474</v>
      </c>
      <c r="C187" s="3" t="s">
        <v>13369</v>
      </c>
      <c r="D187" s="3" t="s">
        <v>13288</v>
      </c>
      <c r="F187" s="5" t="str">
        <f>IFERROR(__xludf.DUMMYFUNCTION("GOOGLETRANSLATE(A187, ""en"", ""hi"")"),"186")</f>
        <v>186</v>
      </c>
      <c r="G187" s="5" t="str">
        <f>IFERROR(__xludf.DUMMYFUNCTION("GOOGLETRANSLATE(B187, ""en"", ""hi"")"),"मुकना में, यदि खिलाड़ी X और खिलाड़ी Y फाल्स और राउंड में बराबर हैं, और खिलाड़ी X की अंतिम जीत खिलाड़ी Y की गलती के कारण हुई है, तो सामान्य परिणाम क्या होगा?")</f>
        <v>मुकना में, यदि खिलाड़ी X और खिलाड़ी Y फाल्स और राउंड में बराबर हैं, और खिलाड़ी X की अंतिम जीत खिलाड़ी Y की गलती के कारण हुई है, तो सामान्य परिणाम क्या होगा?</v>
      </c>
      <c r="H187" s="5" t="str">
        <f>IFERROR(__xludf.DUMMYFUNCTION("GOOGLETRANSLATE(C187,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87" s="5" t="str">
        <f>IFERROR(__xludf.DUMMYFUNCTION("GOOGLETRANSLATE(D187, ""en"", ""hi"")"),"ए) अंतिम निर्णायक दौर खेला जाता है।")</f>
        <v>ए) अंतिम निर्णायक दौर खेला जाता है।</v>
      </c>
    </row>
    <row r="188" ht="22.5" customHeight="1">
      <c r="A188" s="8">
        <v>187.0</v>
      </c>
      <c r="B188" s="3" t="s">
        <v>13475</v>
      </c>
      <c r="C188" s="3" t="s">
        <v>13366</v>
      </c>
      <c r="D188" s="3" t="s">
        <v>13329</v>
      </c>
      <c r="F188" s="5" t="str">
        <f>IFERROR(__xludf.DUMMYFUNCTION("GOOGLETRANSLATE(A188, ""en"", ""hi"")"),"187")</f>
        <v>187</v>
      </c>
      <c r="G188" s="5" t="str">
        <f>IFERROR(__xludf.DUMMYFUNCTION("GOOGLETRANSLATE(B188, ""en"", ""hi"")"),"मुकना मुकाबले के दौरान, यदि खिलाड़ी X और खिलाड़ी Y एक साथ गिर जाते हैं और कोई भी आगे नहीं बढ़ पाता है, तो आमतौर पर राउंड का स्कोर कैसे निर्धारित किया जाता है?")</f>
        <v>मुकना मुकाबले के दौरान, यदि खिलाड़ी X और खिलाड़ी Y एक साथ गिर जाते हैं और कोई भी आगे नहीं बढ़ पाता है, तो आमतौर पर राउंड का स्कोर कैसे निर्धारित किया जाता है?</v>
      </c>
      <c r="H188" s="5" t="str">
        <f>IFERROR(__xludf.DUMMYFUNCTION("GOOGLETRANSLATE(C188,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88" s="5" t="str">
        <f>IFERROR(__xludf.DUMMYFUNCTION("GOOGLETRANSLATE(D188, ""en"", ""hi"")"),"ए) राउंड को ड्रा घोषित किया जाता है।")</f>
        <v>ए) राउंड को ड्रा घोषित किया जाता है।</v>
      </c>
    </row>
    <row r="189" ht="22.5" customHeight="1">
      <c r="A189" s="8">
        <v>188.0</v>
      </c>
      <c r="B189" s="3" t="s">
        <v>13476</v>
      </c>
      <c r="C189" s="3" t="s">
        <v>13416</v>
      </c>
      <c r="D189" s="3" t="s">
        <v>13417</v>
      </c>
      <c r="F189" s="5" t="str">
        <f>IFERROR(__xludf.DUMMYFUNCTION("GOOGLETRANSLATE(A189, ""en"", ""hi"")"),"188")</f>
        <v>188</v>
      </c>
      <c r="G189" s="5" t="str">
        <f>IFERROR(__xludf.DUMMYFUNCTION("GOOGLETRANSLATE(B189, ""en"", ""hi"")"),"यदि खिलाड़ी X कोई अवैध चाल चलता है जिसके कारण खिलाड़ी Y गिर जाता है, तो मुकना में राउंड का सामान्य परिणाम क्या होता है?")</f>
        <v>यदि खिलाड़ी X कोई अवैध चाल चलता है जिसके कारण खिलाड़ी Y गिर जाता है, तो मुकना में राउंड का सामान्य परिणाम क्या होता है?</v>
      </c>
      <c r="H189" s="5" t="str">
        <f>IFERROR(__xludf.DUMMYFUNCTION("GOOGLETRANSLATE(C189,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89" s="5" t="str">
        <f>IFERROR(__xludf.DUMMYFUNCTION("GOOGLETRANSLATE(D189, ""en"", ""hi"")"),"A) खिलाड़ी Y को विजेता घोषित किया जाता है।")</f>
        <v>A) खिलाड़ी Y को विजेता घोषित किया जाता है।</v>
      </c>
    </row>
    <row r="190" ht="22.5" customHeight="1">
      <c r="A190" s="8">
        <v>189.0</v>
      </c>
      <c r="B190" s="3" t="s">
        <v>13477</v>
      </c>
      <c r="C190" s="3" t="s">
        <v>13366</v>
      </c>
      <c r="D190" s="3" t="s">
        <v>13329</v>
      </c>
      <c r="F190" s="5" t="str">
        <f>IFERROR(__xludf.DUMMYFUNCTION("GOOGLETRANSLATE(A190, ""en"", ""hi"")"),"189")</f>
        <v>189</v>
      </c>
      <c r="G190" s="5" t="str">
        <f>IFERROR(__xludf.DUMMYFUNCTION("GOOGLETRANSLATE(B190, ""en"", ""hi"")"),"मुकना में, यदि खिलाड़ी X और खिलाड़ी Y एक साथ हार जाते हैं और कोई भी आगे नहीं बढ़ पाता है, तो आमतौर पर राउंड का निर्णय कैसे किया जाता है?")</f>
        <v>मुकना में, यदि खिलाड़ी X और खिलाड़ी Y एक साथ हार जाते हैं और कोई भी आगे नहीं बढ़ पाता है, तो आमतौर पर राउंड का निर्णय कैसे किया जाता है?</v>
      </c>
      <c r="H190" s="5" t="str">
        <f>IFERROR(__xludf.DUMMYFUNCTION("GOOGLETRANSLATE(C190,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90" s="5" t="str">
        <f>IFERROR(__xludf.DUMMYFUNCTION("GOOGLETRANSLATE(D190, ""en"", ""hi"")"),"ए) राउंड को ड्रा घोषित किया जाता है।")</f>
        <v>ए) राउंड को ड्रा घोषित किया जाता है।</v>
      </c>
    </row>
    <row r="191" ht="22.5" customHeight="1">
      <c r="A191" s="8">
        <v>190.0</v>
      </c>
      <c r="B191" s="3" t="s">
        <v>13437</v>
      </c>
      <c r="C191" s="3" t="s">
        <v>13369</v>
      </c>
      <c r="D191" s="3" t="s">
        <v>13288</v>
      </c>
      <c r="F191" s="5" t="str">
        <f>IFERROR(__xludf.DUMMYFUNCTION("GOOGLETRANSLATE(A191, ""en"", ""hi"")"),"190")</f>
        <v>190</v>
      </c>
      <c r="G191" s="5" t="str">
        <f>IFERROR(__xludf.DUMMYFUNCTION("GOOGLETRANSLATE(B191, ""en"", ""hi"")"),"यदि खिलाड़ी X और खिलाड़ी Y फाल्स और राउंड में बराबर हैं, और खिलाड़ी X की अंतिम जीत खिलाड़ी Y की गलती के कारण हुई है, तो सामान्य प्रक्रिया क्या है?")</f>
        <v>यदि खिलाड़ी X और खिलाड़ी Y फाल्स और राउंड में बराबर हैं, और खिलाड़ी X की अंतिम जीत खिलाड़ी Y की गलती के कारण हुई है, तो सामान्य प्रक्रिया क्या है?</v>
      </c>
      <c r="H191" s="5" t="str">
        <f>IFERROR(__xludf.DUMMYFUNCTION("GOOGLETRANSLATE(C191,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91" s="5" t="str">
        <f>IFERROR(__xludf.DUMMYFUNCTION("GOOGLETRANSLATE(D191, ""en"", ""hi"")"),"ए) अंतिम निर्णायक दौर खेला जाता है।")</f>
        <v>ए) अंतिम निर्णायक दौर खेला जाता है।</v>
      </c>
    </row>
    <row r="192" ht="22.5" customHeight="1">
      <c r="A192" s="8">
        <v>191.0</v>
      </c>
      <c r="B192" s="3" t="s">
        <v>13478</v>
      </c>
      <c r="C192" s="3" t="s">
        <v>13416</v>
      </c>
      <c r="D192" s="3" t="s">
        <v>13417</v>
      </c>
      <c r="F192" s="5" t="str">
        <f>IFERROR(__xludf.DUMMYFUNCTION("GOOGLETRANSLATE(A192, ""en"", ""hi"")"),"191")</f>
        <v>191</v>
      </c>
      <c r="G192" s="5" t="str">
        <f>IFERROR(__xludf.DUMMYFUNCTION("GOOGLETRANSLATE(B192, ""en"", ""hi"")"),"मुकना मैच के दौरान, यदि खिलाड़ी X कोई अवैध तकनीक अपनाता है जिसके कारण खिलाड़ी Y गिर जाता है, तो उस राउंड का मानक परिणाम क्या होगा?")</f>
        <v>मुकना मैच के दौरान, यदि खिलाड़ी X कोई अवैध तकनीक अपनाता है जिसके कारण खिलाड़ी Y गिर जाता है, तो उस राउंड का मानक परिणाम क्या होगा?</v>
      </c>
      <c r="H192" s="5" t="str">
        <f>IFERROR(__xludf.DUMMYFUNCTION("GOOGLETRANSLATE(C192,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92" s="5" t="str">
        <f>IFERROR(__xludf.DUMMYFUNCTION("GOOGLETRANSLATE(D192, ""en"", ""hi"")"),"A) खिलाड़ी Y को विजेता घोषित किया जाता है।")</f>
        <v>A) खिलाड़ी Y को विजेता घोषित किया जाता है।</v>
      </c>
    </row>
    <row r="193" ht="22.5" customHeight="1">
      <c r="A193" s="8">
        <v>192.0</v>
      </c>
      <c r="B193" s="3" t="s">
        <v>13479</v>
      </c>
      <c r="C193" s="3" t="s">
        <v>13366</v>
      </c>
      <c r="D193" s="3" t="s">
        <v>13329</v>
      </c>
      <c r="F193" s="5" t="str">
        <f>IFERROR(__xludf.DUMMYFUNCTION("GOOGLETRANSLATE(A193, ""en"", ""hi"")"),"192")</f>
        <v>192</v>
      </c>
      <c r="G193" s="5" t="str">
        <f>IFERROR(__xludf.DUMMYFUNCTION("GOOGLETRANSLATE(B193, ""en"", ""hi"")"),"यदि खिलाड़ी X और खिलाड़ी Y एक साथ रिंग के बाहर गिर जाते हैं और कोई भी आगे नहीं खेल सकता, तो मुकना में राउंड का स्कोर आमतौर पर कैसे होगा?")</f>
        <v>यदि खिलाड़ी X और खिलाड़ी Y एक साथ रिंग के बाहर गिर जाते हैं और कोई भी आगे नहीं खेल सकता, तो मुकना में राउंड का स्कोर आमतौर पर कैसे होगा?</v>
      </c>
      <c r="H193" s="5" t="str">
        <f>IFERROR(__xludf.DUMMYFUNCTION("GOOGLETRANSLATE(C193,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93" s="5" t="str">
        <f>IFERROR(__xludf.DUMMYFUNCTION("GOOGLETRANSLATE(D193, ""en"", ""hi"")"),"ए) राउंड को ड्रा घोषित किया जाता है।")</f>
        <v>ए) राउंड को ड्रा घोषित किया जाता है।</v>
      </c>
    </row>
    <row r="194" ht="22.5" customHeight="1">
      <c r="A194" s="8">
        <v>193.0</v>
      </c>
      <c r="B194" s="3" t="s">
        <v>13422</v>
      </c>
      <c r="C194" s="3" t="s">
        <v>13369</v>
      </c>
      <c r="D194" s="3" t="s">
        <v>13288</v>
      </c>
      <c r="F194" s="5" t="str">
        <f>IFERROR(__xludf.DUMMYFUNCTION("GOOGLETRANSLATE(A194, ""en"", ""hi"")"),"193")</f>
        <v>193</v>
      </c>
      <c r="G194" s="5" t="str">
        <f>IFERROR(__xludf.DUMMYFUNCTION("GOOGLETRANSLATE(B194, ""en"", ""hi"")"),"यदि खिलाड़ी X और खिलाड़ी Y फाल्स और राउंड में बराबरी पर हैं, और खिलाड़ी X की अंतिम जीत एक विवादास्पद चाल के कारण हुई है, तो सामान्य प्रक्रिया क्या है?")</f>
        <v>यदि खिलाड़ी X और खिलाड़ी Y फाल्स और राउंड में बराबरी पर हैं, और खिलाड़ी X की अंतिम जीत एक विवादास्पद चाल के कारण हुई है, तो सामान्य प्रक्रिया क्या है?</v>
      </c>
      <c r="H194" s="5" t="str">
        <f>IFERROR(__xludf.DUMMYFUNCTION("GOOGLETRANSLATE(C194,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94" s="5" t="str">
        <f>IFERROR(__xludf.DUMMYFUNCTION("GOOGLETRANSLATE(D194, ""en"", ""hi"")"),"ए) अंतिम निर्णायक दौर खेला जाता है।")</f>
        <v>ए) अंतिम निर्णायक दौर खेला जाता है।</v>
      </c>
    </row>
    <row r="195" ht="22.5" customHeight="1">
      <c r="A195" s="8">
        <v>194.0</v>
      </c>
      <c r="B195" s="3" t="s">
        <v>13480</v>
      </c>
      <c r="C195" s="3" t="s">
        <v>13366</v>
      </c>
      <c r="D195" s="3" t="s">
        <v>13329</v>
      </c>
      <c r="F195" s="5" t="str">
        <f>IFERROR(__xludf.DUMMYFUNCTION("GOOGLETRANSLATE(A195, ""en"", ""hi"")"),"194")</f>
        <v>194</v>
      </c>
      <c r="G195" s="5" t="str">
        <f>IFERROR(__xludf.DUMMYFUNCTION("GOOGLETRANSLATE(B195, ""en"", ""hi"")"),"मुकना मुकाबले के दौरान, यदि खिलाड़ी X और खिलाड़ी Y दोनों एक साथ गिर जाते हैं और कोई भी आगे नहीं बढ़ पाता, तो आमतौर पर राउंड का निर्णय कैसे किया जाता है?")</f>
        <v>मुकना मुकाबले के दौरान, यदि खिलाड़ी X और खिलाड़ी Y दोनों एक साथ गिर जाते हैं और कोई भी आगे नहीं बढ़ पाता, तो आमतौर पर राउंड का निर्णय कैसे किया जाता है?</v>
      </c>
      <c r="H195" s="5" t="str">
        <f>IFERROR(__xludf.DUMMYFUNCTION("GOOGLETRANSLATE(C195,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95" s="5" t="str">
        <f>IFERROR(__xludf.DUMMYFUNCTION("GOOGLETRANSLATE(D195, ""en"", ""hi"")"),"ए) राउंड को ड्रा घोषित किया जाता है।")</f>
        <v>ए) राउंड को ड्रा घोषित किया जाता है।</v>
      </c>
    </row>
    <row r="196" ht="22.5" customHeight="1">
      <c r="A196" s="8">
        <v>195.0</v>
      </c>
      <c r="B196" s="3" t="s">
        <v>13481</v>
      </c>
      <c r="C196" s="3" t="s">
        <v>13416</v>
      </c>
      <c r="D196" s="3" t="s">
        <v>13417</v>
      </c>
      <c r="F196" s="5" t="str">
        <f>IFERROR(__xludf.DUMMYFUNCTION("GOOGLETRANSLATE(A196, ""en"", ""hi"")"),"195")</f>
        <v>195</v>
      </c>
      <c r="G196" s="5" t="str">
        <f>IFERROR(__xludf.DUMMYFUNCTION("GOOGLETRANSLATE(B196, ""en"", ""hi"")"),"यदि खिलाड़ी X कोई अवैध तकनीक अपनाता है जिसके कारण खिलाड़ी Y गिर जाता है, तो मुकना में राउंड का सामान्य परिणाम क्या होता है?")</f>
        <v>यदि खिलाड़ी X कोई अवैध तकनीक अपनाता है जिसके कारण खिलाड़ी Y गिर जाता है, तो मुकना में राउंड का सामान्य परिणाम क्या होता है?</v>
      </c>
      <c r="H196" s="5" t="str">
        <f>IFERROR(__xludf.DUMMYFUNCTION("GOOGLETRANSLATE(C196,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196" s="5" t="str">
        <f>IFERROR(__xludf.DUMMYFUNCTION("GOOGLETRANSLATE(D196, ""en"", ""hi"")"),"A) खिलाड़ी Y को विजेता घोषित किया जाता है।")</f>
        <v>A) खिलाड़ी Y को विजेता घोषित किया जाता है।</v>
      </c>
    </row>
    <row r="197" ht="22.5" customHeight="1">
      <c r="A197" s="8">
        <v>196.0</v>
      </c>
      <c r="B197" s="3" t="s">
        <v>13482</v>
      </c>
      <c r="C197" s="3" t="s">
        <v>13366</v>
      </c>
      <c r="D197" s="3" t="s">
        <v>13329</v>
      </c>
      <c r="F197" s="5" t="str">
        <f>IFERROR(__xludf.DUMMYFUNCTION("GOOGLETRANSLATE(A197, ""en"", ""hi"")"),"196")</f>
        <v>196</v>
      </c>
      <c r="G197" s="5" t="str">
        <f>IFERROR(__xludf.DUMMYFUNCTION("GOOGLETRANSLATE(B197, ""en"", ""hi"")"),"मुकना में, यदि खिलाड़ी X और खिलाड़ी Y एक साथ गिर जाते हैं और कोई भी आगे नहीं बढ़ पाता है, तो आमतौर पर राउंड का स्कोर कैसे किया जाता है?")</f>
        <v>मुकना में, यदि खिलाड़ी X और खिलाड़ी Y एक साथ गिर जाते हैं और कोई भी आगे नहीं बढ़ पाता है, तो आमतौर पर राउंड का स्कोर कैसे किया जाता है?</v>
      </c>
      <c r="H197" s="5" t="str">
        <f>IFERROR(__xludf.DUMMYFUNCTION("GOOGLETRANSLATE(C197,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97" s="5" t="str">
        <f>IFERROR(__xludf.DUMMYFUNCTION("GOOGLETRANSLATE(D197, ""en"", ""hi"")"),"ए) राउंड को ड्रा घोषित किया जाता है।")</f>
        <v>ए) राउंड को ड्रा घोषित किया जाता है।</v>
      </c>
    </row>
    <row r="198" ht="22.5" customHeight="1">
      <c r="A198" s="8">
        <v>197.0</v>
      </c>
      <c r="B198" s="3" t="s">
        <v>13437</v>
      </c>
      <c r="C198" s="3" t="s">
        <v>13369</v>
      </c>
      <c r="D198" s="3" t="s">
        <v>13288</v>
      </c>
      <c r="F198" s="5" t="str">
        <f>IFERROR(__xludf.DUMMYFUNCTION("GOOGLETRANSLATE(A198, ""en"", ""hi"")"),"197")</f>
        <v>197</v>
      </c>
      <c r="G198" s="5" t="str">
        <f>IFERROR(__xludf.DUMMYFUNCTION("GOOGLETRANSLATE(B198, ""en"", ""hi"")"),"यदि खिलाड़ी X और खिलाड़ी Y फाल्स और राउंड में बराबर हैं, और खिलाड़ी X की अंतिम जीत खिलाड़ी Y की गलती के कारण हुई है, तो सामान्य प्रक्रिया क्या है?")</f>
        <v>यदि खिलाड़ी X और खिलाड़ी Y फाल्स और राउंड में बराबर हैं, और खिलाड़ी X की अंतिम जीत खिलाड़ी Y की गलती के कारण हुई है, तो सामान्य प्रक्रिया क्या है?</v>
      </c>
      <c r="H198" s="5" t="str">
        <f>IFERROR(__xludf.DUMMYFUNCTION("GOOGLETRANSLATE(C198,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198" s="5" t="str">
        <f>IFERROR(__xludf.DUMMYFUNCTION("GOOGLETRANSLATE(D198, ""en"", ""hi"")"),"ए) अंतिम निर्णायक दौर खेला जाता है।")</f>
        <v>ए) अंतिम निर्णायक दौर खेला जाता है।</v>
      </c>
    </row>
    <row r="199" ht="22.5" customHeight="1">
      <c r="A199" s="8">
        <v>198.0</v>
      </c>
      <c r="B199" s="3" t="s">
        <v>13483</v>
      </c>
      <c r="C199" s="3" t="s">
        <v>13366</v>
      </c>
      <c r="D199" s="3" t="s">
        <v>13329</v>
      </c>
      <c r="F199" s="5" t="str">
        <f>IFERROR(__xludf.DUMMYFUNCTION("GOOGLETRANSLATE(A199, ""en"", ""hi"")"),"198")</f>
        <v>198</v>
      </c>
      <c r="G199" s="5" t="str">
        <f>IFERROR(__xludf.DUMMYFUNCTION("GOOGLETRANSLATE(B199, ""en"", ""hi"")"),"मुकना मैच के दौरान, यदि खिलाड़ी X और खिलाड़ी Y दोनों एक ही समय पर रिंग के बाहर गिर जाते हैं और कोई भी आगे नहीं खेल सकता, तो आमतौर पर राउंड का निर्णय कैसे किया जाता है?")</f>
        <v>मुकना मैच के दौरान, यदि खिलाड़ी X और खिलाड़ी Y दोनों एक ही समय पर रिंग के बाहर गिर जाते हैं और कोई भी आगे नहीं खेल सकता, तो आमतौर पर राउंड का निर्णय कैसे किया जाता है?</v>
      </c>
      <c r="H199" s="5" t="str">
        <f>IFERROR(__xludf.DUMMYFUNCTION("GOOGLETRANSLATE(C199,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199" s="5" t="str">
        <f>IFERROR(__xludf.DUMMYFUNCTION("GOOGLETRANSLATE(D199, ""en"", ""hi"")"),"ए) राउंड को ड्रा घोषित किया जाता है।")</f>
        <v>ए) राउंड को ड्रा घोषित किया जाता है।</v>
      </c>
    </row>
    <row r="200" ht="22.5" customHeight="1">
      <c r="A200" s="8">
        <v>199.0</v>
      </c>
      <c r="B200" s="3" t="s">
        <v>13468</v>
      </c>
      <c r="C200" s="3" t="s">
        <v>13388</v>
      </c>
      <c r="D200" s="3" t="s">
        <v>13389</v>
      </c>
      <c r="F200" s="5" t="str">
        <f>IFERROR(__xludf.DUMMYFUNCTION("GOOGLETRANSLATE(A200, ""en"", ""hi"")"),"199")</f>
        <v>199</v>
      </c>
      <c r="G200" s="5" t="str">
        <f>IFERROR(__xludf.DUMMYFUNCTION("GOOGLETRANSLATE(B200, ""en"", ""hi"")"),"यदि खिलाड़ी X कोई ऐसी तकनीक अपनाता है जिसके कारण खिलाड़ी Y गिर जाता है, लेकिन खिलाड़ी X भी तुरंत बाद गिर जाता है, तो मुकना में राउंड का स्कोर सामान्यतः कैसे होता है?")</f>
        <v>यदि खिलाड़ी X कोई ऐसी तकनीक अपनाता है जिसके कारण खिलाड़ी Y गिर जाता है, लेकिन खिलाड़ी X भी तुरंत बाद गिर जाता है, तो मुकना में राउंड का स्कोर सामान्यतः कैसे होता है?</v>
      </c>
      <c r="H200" s="5" t="str">
        <f>IFERROR(__xludf.DUMMYFUNCTION("GOOGLETRANSLATE(C200,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00" s="5" t="str">
        <f>IFERROR(__xludf.DUMMYFUNCTION("GOOGLETRANSLATE(D200, ""en"", ""hi"")"),"A) खिलाड़ी Y राउंड जीतता है।")</f>
        <v>A) खिलाड़ी Y राउंड जीतता है।</v>
      </c>
    </row>
    <row r="201" ht="22.5" customHeight="1">
      <c r="A201" s="8">
        <v>200.0</v>
      </c>
      <c r="B201" s="3" t="s">
        <v>13462</v>
      </c>
      <c r="C201" s="3" t="s">
        <v>13366</v>
      </c>
      <c r="D201" s="3" t="s">
        <v>13329</v>
      </c>
      <c r="F201" s="5" t="str">
        <f>IFERROR(__xludf.DUMMYFUNCTION("GOOGLETRANSLATE(A201, ""en"", ""hi"")"),"200")</f>
        <v>200</v>
      </c>
      <c r="G201" s="5" t="str">
        <f>IFERROR(__xludf.DUMMYFUNCTION("GOOGLETRANSLATE(B201, ""en"", ""hi"")"),"मुकना मुकाबले के दौरान, यदि खिलाड़ी X और खिलाड़ी Y एक साथ गिर जाते हैं और कोई भी आगे नहीं खेल सकता, तो उस राउंड का सामान्य परिणाम क्या होगा?")</f>
        <v>मुकना मुकाबले के दौरान, यदि खिलाड़ी X और खिलाड़ी Y एक साथ गिर जाते हैं और कोई भी आगे नहीं खेल सकता, तो उस राउंड का सामान्य परिणाम क्या होगा?</v>
      </c>
      <c r="H201" s="5" t="str">
        <f>IFERROR(__xludf.DUMMYFUNCTION("GOOGLETRANSLATE(C201,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201" s="5" t="str">
        <f>IFERROR(__xludf.DUMMYFUNCTION("GOOGLETRANSLATE(D201, ""en"", ""hi"")"),"ए) राउंड को ड्रा घोषित किया जाता है।")</f>
        <v>ए) राउंड को ड्रा घोषित किया जाता है।</v>
      </c>
    </row>
    <row r="202" ht="22.5" customHeight="1">
      <c r="A202" s="8">
        <v>201.0</v>
      </c>
      <c r="B202" s="3" t="s">
        <v>13425</v>
      </c>
      <c r="C202" s="3" t="s">
        <v>13369</v>
      </c>
      <c r="D202" s="3" t="s">
        <v>13288</v>
      </c>
      <c r="F202" s="5" t="str">
        <f>IFERROR(__xludf.DUMMYFUNCTION("GOOGLETRANSLATE(A202, ""en"", ""hi"")"),"201")</f>
        <v>201</v>
      </c>
      <c r="G202" s="5" t="str">
        <f>IFERROR(__xludf.DUMMYFUNCTION("GOOGLETRANSLATE(B202, ""en"", ""hi"")"),"यदि खिलाड़ी X और खिलाड़ी Y फाल्स और राउंड में बराबर हैं, और खिलाड़ी X की अंतिम जीत खिलाड़ी Y की गलती के कारण हुई है, तो सामान्य परिणाम क्या होगा?")</f>
        <v>यदि खिलाड़ी X और खिलाड़ी Y फाल्स और राउंड में बराबर हैं, और खिलाड़ी X की अंतिम जीत खिलाड़ी Y की गलती के कारण हुई है, तो सामान्य परिणाम क्या होगा?</v>
      </c>
      <c r="H202" s="5" t="str">
        <f>IFERROR(__xludf.DUMMYFUNCTION("GOOGLETRANSLATE(C202,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202" s="5" t="str">
        <f>IFERROR(__xludf.DUMMYFUNCTION("GOOGLETRANSLATE(D202, ""en"", ""hi"")"),"ए) अंतिम निर्णायक दौर खेला जाता है।")</f>
        <v>ए) अंतिम निर्णायक दौर खेला जाता है।</v>
      </c>
    </row>
    <row r="203" ht="22.5" customHeight="1">
      <c r="A203" s="8">
        <v>202.0</v>
      </c>
      <c r="B203" s="3" t="s">
        <v>13461</v>
      </c>
      <c r="C203" s="3" t="s">
        <v>13366</v>
      </c>
      <c r="D203" s="3" t="s">
        <v>13329</v>
      </c>
      <c r="F203" s="5" t="str">
        <f>IFERROR(__xludf.DUMMYFUNCTION("GOOGLETRANSLATE(A203, ""en"", ""hi"")"),"202")</f>
        <v>202</v>
      </c>
      <c r="G203" s="5" t="str">
        <f>IFERROR(__xludf.DUMMYFUNCTION("GOOGLETRANSLATE(B203, ""en"", ""hi"")"),"मुकना मैच के दौरान, यदि खिलाड़ी X और खिलाड़ी Y दोनों एक साथ रिंग के बाहर गिर जाते हैं और कोई भी आगे नहीं खेल सकता, तो आमतौर पर राउंड का निर्णय कैसे किया जाता है?")</f>
        <v>मुकना मैच के दौरान, यदि खिलाड़ी X और खिलाड़ी Y दोनों एक साथ रिंग के बाहर गिर जाते हैं और कोई भी आगे नहीं खेल सकता, तो आमतौर पर राउंड का निर्णय कैसे किया जाता है?</v>
      </c>
      <c r="H203" s="5" t="str">
        <f>IFERROR(__xludf.DUMMYFUNCTION("GOOGLETRANSLATE(C203,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203" s="5" t="str">
        <f>IFERROR(__xludf.DUMMYFUNCTION("GOOGLETRANSLATE(D203, ""en"", ""hi"")"),"ए) राउंड को ड्रा घोषित किया जाता है।")</f>
        <v>ए) राउंड को ड्रा घोषित किया जाता है।</v>
      </c>
    </row>
    <row r="204" ht="22.5" customHeight="1">
      <c r="A204" s="8">
        <v>203.0</v>
      </c>
      <c r="B204" s="3" t="s">
        <v>13470</v>
      </c>
      <c r="C204" s="3" t="s">
        <v>13416</v>
      </c>
      <c r="D204" s="3" t="s">
        <v>13417</v>
      </c>
      <c r="F204" s="5" t="str">
        <f>IFERROR(__xludf.DUMMYFUNCTION("GOOGLETRANSLATE(A204, ""en"", ""hi"")"),"203")</f>
        <v>203</v>
      </c>
      <c r="G204" s="5" t="str">
        <f>IFERROR(__xludf.DUMMYFUNCTION("GOOGLETRANSLATE(B204, ""en"", ""hi"")"),"यदि खिलाड़ी X कोई अवैध तकनीक अपनाता है जिसके कारण खिलाड़ी Y गिर जाता है, तो मुकना में राउंड का मानक परिणाम क्या होगा?")</f>
        <v>यदि खिलाड़ी X कोई अवैध तकनीक अपनाता है जिसके कारण खिलाड़ी Y गिर जाता है, तो मुकना में राउंड का मानक परिणाम क्या होगा?</v>
      </c>
      <c r="H204" s="5" t="str">
        <f>IFERROR(__xludf.DUMMYFUNCTION("GOOGLETRANSLATE(C204,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04" s="5" t="str">
        <f>IFERROR(__xludf.DUMMYFUNCTION("GOOGLETRANSLATE(D204, ""en"", ""hi"")"),"A) खिलाड़ी Y को विजेता घोषित किया जाता है।")</f>
        <v>A) खिलाड़ी Y को विजेता घोषित किया जाता है।</v>
      </c>
    </row>
    <row r="205" ht="22.5" customHeight="1">
      <c r="A205" s="8">
        <v>204.0</v>
      </c>
      <c r="B205" s="3" t="s">
        <v>13482</v>
      </c>
      <c r="C205" s="3" t="s">
        <v>13366</v>
      </c>
      <c r="D205" s="3" t="s">
        <v>13329</v>
      </c>
      <c r="F205" s="5" t="str">
        <f>IFERROR(__xludf.DUMMYFUNCTION("GOOGLETRANSLATE(A205, ""en"", ""hi"")"),"204")</f>
        <v>204</v>
      </c>
      <c r="G205" s="5" t="str">
        <f>IFERROR(__xludf.DUMMYFUNCTION("GOOGLETRANSLATE(B205, ""en"", ""hi"")"),"मुकना में, यदि खिलाड़ी X और खिलाड़ी Y एक साथ गिर जाते हैं और कोई भी आगे नहीं बढ़ पाता है, तो आमतौर पर राउंड का स्कोर कैसे किया जाता है?")</f>
        <v>मुकना में, यदि खिलाड़ी X और खिलाड़ी Y एक साथ गिर जाते हैं और कोई भी आगे नहीं बढ़ पाता है, तो आमतौर पर राउंड का स्कोर कैसे किया जाता है?</v>
      </c>
      <c r="H205" s="5" t="str">
        <f>IFERROR(__xludf.DUMMYFUNCTION("GOOGLETRANSLATE(C205,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205" s="5" t="str">
        <f>IFERROR(__xludf.DUMMYFUNCTION("GOOGLETRANSLATE(D205, ""en"", ""hi"")"),"ए) राउंड को ड्रा घोषित किया जाता है।")</f>
        <v>ए) राउंड को ड्रा घोषित किया जाता है।</v>
      </c>
    </row>
    <row r="206" ht="22.5" customHeight="1">
      <c r="A206" s="8">
        <v>205.0</v>
      </c>
      <c r="B206" s="3" t="s">
        <v>13437</v>
      </c>
      <c r="C206" s="3" t="s">
        <v>13369</v>
      </c>
      <c r="D206" s="3" t="s">
        <v>13288</v>
      </c>
      <c r="F206" s="5" t="str">
        <f>IFERROR(__xludf.DUMMYFUNCTION("GOOGLETRANSLATE(A206, ""en"", ""hi"")"),"205")</f>
        <v>205</v>
      </c>
      <c r="G206" s="5" t="str">
        <f>IFERROR(__xludf.DUMMYFUNCTION("GOOGLETRANSLATE(B206, ""en"", ""hi"")"),"यदि खिलाड़ी X और खिलाड़ी Y फाल्स और राउंड में बराबर हैं, और खिलाड़ी X की अंतिम जीत खिलाड़ी Y की गलती के कारण हुई है, तो सामान्य प्रक्रिया क्या है?")</f>
        <v>यदि खिलाड़ी X और खिलाड़ी Y फाल्स और राउंड में बराबर हैं, और खिलाड़ी X की अंतिम जीत खिलाड़ी Y की गलती के कारण हुई है, तो सामान्य प्रक्रिया क्या है?</v>
      </c>
      <c r="H206" s="5" t="str">
        <f>IFERROR(__xludf.DUMMYFUNCTION("GOOGLETRANSLATE(C206,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206" s="5" t="str">
        <f>IFERROR(__xludf.DUMMYFUNCTION("GOOGLETRANSLATE(D206, ""en"", ""hi"")"),"ए) अंतिम निर्णायक दौर खेला जाता है।")</f>
        <v>ए) अंतिम निर्णायक दौर खेला जाता है।</v>
      </c>
    </row>
    <row r="207" ht="22.5" customHeight="1">
      <c r="A207" s="8">
        <v>206.0</v>
      </c>
      <c r="B207" s="3" t="s">
        <v>13461</v>
      </c>
      <c r="C207" s="3" t="s">
        <v>13366</v>
      </c>
      <c r="D207" s="3" t="s">
        <v>13329</v>
      </c>
      <c r="F207" s="5" t="str">
        <f>IFERROR(__xludf.DUMMYFUNCTION("GOOGLETRANSLATE(A207, ""en"", ""hi"")"),"206")</f>
        <v>206</v>
      </c>
      <c r="G207" s="5" t="str">
        <f>IFERROR(__xludf.DUMMYFUNCTION("GOOGLETRANSLATE(B207, ""en"", ""hi"")"),"मुकना मैच के दौरान, यदि खिलाड़ी X और खिलाड़ी Y दोनों एक साथ रिंग के बाहर गिर जाते हैं और कोई भी आगे नहीं खेल सकता, तो आमतौर पर राउंड का निर्णय कैसे किया जाता है?")</f>
        <v>मुकना मैच के दौरान, यदि खिलाड़ी X और खिलाड़ी Y दोनों एक साथ रिंग के बाहर गिर जाते हैं और कोई भी आगे नहीं खेल सकता, तो आमतौर पर राउंड का निर्णय कैसे किया जाता है?</v>
      </c>
      <c r="H207" s="5" t="str">
        <f>IFERROR(__xludf.DUMMYFUNCTION("GOOGLETRANSLATE(C207, ""en"", ""hi"")"),"A) राउंड को ड्रा घोषित कर दिया जाता है। , B) मैच पुनः शुरू कर दिया जाता है। , C) सबसे कम फॉल वाले खिलाड़ी को विजेता घोषित कर दिया जाता है। , D) मैच रोक दिया जाता है।")</f>
        <v>A) राउंड को ड्रा घोषित कर दिया जाता है। , B) मैच पुनः शुरू कर दिया जाता है। , C) सबसे कम फॉल वाले खिलाड़ी को विजेता घोषित कर दिया जाता है। , D) मैच रोक दिया जाता है।</v>
      </c>
      <c r="I207" s="5" t="str">
        <f>IFERROR(__xludf.DUMMYFUNCTION("GOOGLETRANSLATE(D207, ""en"", ""hi"")"),"ए) राउंड को ड्रा घोषित किया जाता है।")</f>
        <v>ए) राउंड को ड्रा घोषित किया जाता है।</v>
      </c>
    </row>
    <row r="208" ht="22.5" customHeight="1">
      <c r="A208" s="8">
        <v>207.0</v>
      </c>
      <c r="B208" s="3" t="s">
        <v>13484</v>
      </c>
      <c r="C208" s="3" t="s">
        <v>13388</v>
      </c>
      <c r="D208" s="3" t="s">
        <v>13389</v>
      </c>
      <c r="F208" s="5" t="str">
        <f>IFERROR(__xludf.DUMMYFUNCTION("GOOGLETRANSLATE(A208, ""en"", ""hi"")"),"207")</f>
        <v>207</v>
      </c>
      <c r="G208" s="5" t="str">
        <f>IFERROR(__xludf.DUMMYFUNCTION("GOOGLETRANSLATE(B208, ""en"", ""hi"")"),"यदि खिलाड़ी X एक सफल तकनीक का प्रदर्शन करता है और खिलाड़ी Y गिर जाता है, लेकिन खिलाड़ी X भी संतुलन खो देता है और बाद में गिर जाता है, तो राउंड का निर्णय कैसे किया जाता है?")</f>
        <v>यदि खिलाड़ी X एक सफल तकनीक का प्रदर्शन करता है और खिलाड़ी Y गिर जाता है, लेकिन खिलाड़ी X भी संतुलन खो देता है और बाद में गिर जाता है, तो राउंड का निर्णय कैसे किया जाता है?</v>
      </c>
      <c r="H208" s="5" t="str">
        <f>IFERROR(__xludf.DUMMYFUNCTION("GOOGLETRANSLATE(C208,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08" s="5" t="str">
        <f>IFERROR(__xludf.DUMMYFUNCTION("GOOGLETRANSLATE(D208, ""en"", ""hi"")"),"A) खिलाड़ी Y राउंड जीतता है।")</f>
        <v>A) खिलाड़ी Y राउंड जीतता है।</v>
      </c>
    </row>
    <row r="209" ht="22.5" customHeight="1">
      <c r="A209" s="8">
        <v>208.0</v>
      </c>
      <c r="B209" s="3" t="s">
        <v>13485</v>
      </c>
      <c r="C209" s="3" t="s">
        <v>13486</v>
      </c>
      <c r="D209" s="3" t="s">
        <v>13329</v>
      </c>
      <c r="F209" s="5" t="str">
        <f>IFERROR(__xludf.DUMMYFUNCTION("GOOGLETRANSLATE(A209, ""en"", ""hi"")"),"208")</f>
        <v>208</v>
      </c>
      <c r="G209" s="5" t="str">
        <f>IFERROR(__xludf.DUMMYFUNCTION("GOOGLETRANSLATE(B209, ""en"", ""hi"")"),"मुकना में, यदि खिलाड़ी X और खिलाड़ी Y एक साथ रिंग के बाहर गिर जाते हैं और कोई भी आगे नहीं खेल सकता, तो सामान्य परिणाम क्या होगा?")</f>
        <v>मुकना में, यदि खिलाड़ी X और खिलाड़ी Y एक साथ रिंग के बाहर गिर जाते हैं और कोई भी आगे नहीं खेल सकता, तो सामान्य परिणाम क्या होगा?</v>
      </c>
      <c r="H209" s="5" t="str">
        <f>IFERROR(__xludf.DUMMYFUNCTION("GOOGLETRANSLATE(C209, ""en"", ""hi"")"),"A) राउंड को ड्रा घोषित किया जाता है। , B) खिलाड़ी X को विजेता घोषित किया जाता है। , C) खिलाड़ी Y को विजेता घोषित किया जाता है। , D) मैच पुनः शुरू किया जाता है।")</f>
        <v>A) राउंड को ड्रा घोषित किया जाता है। , B) खिलाड़ी X को विजेता घोषित किया जाता है। , C) खिलाड़ी Y को विजेता घोषित किया जाता है। , D) मैच पुनः शुरू किया जाता है।</v>
      </c>
      <c r="I209" s="5" t="str">
        <f>IFERROR(__xludf.DUMMYFUNCTION("GOOGLETRANSLATE(D209, ""en"", ""hi"")"),"ए) राउंड को ड्रा घोषित किया जाता है।")</f>
        <v>ए) राउंड को ड्रा घोषित किया जाता है।</v>
      </c>
    </row>
    <row r="210" ht="22.5" customHeight="1">
      <c r="A210" s="8">
        <v>209.0</v>
      </c>
      <c r="B210" s="3" t="s">
        <v>13487</v>
      </c>
      <c r="C210" s="3" t="s">
        <v>13488</v>
      </c>
      <c r="D210" s="3" t="s">
        <v>13417</v>
      </c>
      <c r="F210" s="5" t="str">
        <f>IFERROR(__xludf.DUMMYFUNCTION("GOOGLETRANSLATE(A210, ""en"", ""hi"")"),"209")</f>
        <v>209</v>
      </c>
      <c r="G210" s="5" t="str">
        <f>IFERROR(__xludf.DUMMYFUNCTION("GOOGLETRANSLATE(B210, ""en"", ""hi"")"),"यदि खिलाड़ी X कोई अवैध चाल चलता है जिसके कारण खिलाड़ी Y गिर जाता है, तो मुकना में क्या होता है?")</f>
        <v>यदि खिलाड़ी X कोई अवैध चाल चलता है जिसके कारण खिलाड़ी Y गिर जाता है, तो मुकना में क्या होता है?</v>
      </c>
      <c r="H210" s="5" t="str">
        <f>IFERROR(__xludf.DUMMYFUNCTION("GOOGLETRANSLATE(C210, ""en"", ""hi"")"),"ए) खिलाड़ी वाई को विजेता घोषित किया जाता है।, बी) खिलाड़ी एक्स को अयोग्य घोषित किया जाता है।, सी) मैच रोक दिया जाता है।, डी) राउंड पुनः खेला जाता है।")</f>
        <v>ए) खिलाड़ी वाई को विजेता घोषित किया जाता है।, बी) खिलाड़ी एक्स को अयोग्य घोषित किया जाता है।, सी) मैच रोक दिया जाता है।, डी) राउंड पुनः खेला जाता है।</v>
      </c>
      <c r="I210" s="5" t="str">
        <f>IFERROR(__xludf.DUMMYFUNCTION("GOOGLETRANSLATE(D210, ""en"", ""hi"")"),"A) खिलाड़ी Y को विजेता घोषित किया जाता है।")</f>
        <v>A) खिलाड़ी Y को विजेता घोषित किया जाता है।</v>
      </c>
    </row>
    <row r="211" ht="22.5" customHeight="1">
      <c r="A211" s="8">
        <v>210.0</v>
      </c>
      <c r="B211" s="3" t="s">
        <v>13489</v>
      </c>
      <c r="C211" s="3" t="s">
        <v>13486</v>
      </c>
      <c r="D211" s="3" t="s">
        <v>13329</v>
      </c>
      <c r="F211" s="5" t="str">
        <f>IFERROR(__xludf.DUMMYFUNCTION("GOOGLETRANSLATE(A211, ""en"", ""hi"")"),"210")</f>
        <v>210</v>
      </c>
      <c r="G211" s="5" t="str">
        <f>IFERROR(__xludf.DUMMYFUNCTION("GOOGLETRANSLATE(B211, ""en"", ""hi"")"),"मुकना मैच के दौरान, यदि खिलाड़ी X और खिलाड़ी Y एक ही समय पर गिर जाते हैं और कोई भी आगे नहीं खेल सकता, तो आमतौर पर राउंड का निर्णय कैसे किया जाता है?")</f>
        <v>मुकना मैच के दौरान, यदि खिलाड़ी X और खिलाड़ी Y एक ही समय पर गिर जाते हैं और कोई भी आगे नहीं खेल सकता, तो आमतौर पर राउंड का निर्णय कैसे किया जाता है?</v>
      </c>
      <c r="H211" s="5" t="str">
        <f>IFERROR(__xludf.DUMMYFUNCTION("GOOGLETRANSLATE(C211, ""en"", ""hi"")"),"A) राउंड को ड्रा घोषित किया जाता है। , B) खिलाड़ी X को विजेता घोषित किया जाता है। , C) खिलाड़ी Y को विजेता घोषित किया जाता है। , D) मैच पुनः शुरू किया जाता है।")</f>
        <v>A) राउंड को ड्रा घोषित किया जाता है। , B) खिलाड़ी X को विजेता घोषित किया जाता है। , C) खिलाड़ी Y को विजेता घोषित किया जाता है। , D) मैच पुनः शुरू किया जाता है।</v>
      </c>
      <c r="I211" s="5" t="str">
        <f>IFERROR(__xludf.DUMMYFUNCTION("GOOGLETRANSLATE(D211, ""en"", ""hi"")"),"ए) राउंड को ड्रा घोषित किया जाता है।")</f>
        <v>ए) राउंड को ड्रा घोषित किया जाता है।</v>
      </c>
    </row>
    <row r="212" ht="22.5" customHeight="1">
      <c r="A212" s="8">
        <v>211.0</v>
      </c>
      <c r="B212" s="3" t="s">
        <v>13490</v>
      </c>
      <c r="C212" s="3" t="s">
        <v>13369</v>
      </c>
      <c r="D212" s="3" t="s">
        <v>13288</v>
      </c>
      <c r="F212" s="5" t="str">
        <f>IFERROR(__xludf.DUMMYFUNCTION("GOOGLETRANSLATE(A212, ""en"", ""hi"")"),"211")</f>
        <v>211</v>
      </c>
      <c r="G212" s="5" t="str">
        <f>IFERROR(__xludf.DUMMYFUNCTION("GOOGLETRANSLATE(B212, ""en"", ""hi"")"),"मुकना में, यदि खिलाड़ी X और खिलाड़ी Y फाल्स और राउंड में बराबर हैं, और खिलाड़ी X की अंतिम जीत खिलाड़ी Y की गलती के कारण हुई है, तो सामान्य परिणाम क्या होगा?")</f>
        <v>मुकना में, यदि खिलाड़ी X और खिलाड़ी Y फाल्स और राउंड में बराबर हैं, और खिलाड़ी X की अंतिम जीत खिलाड़ी Y की गलती के कारण हुई है, तो सामान्य परिणाम क्या होगा?</v>
      </c>
      <c r="H212" s="5" t="str">
        <f>IFERROR(__xludf.DUMMYFUNCTION("GOOGLETRANSLATE(C212,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212" s="5" t="str">
        <f>IFERROR(__xludf.DUMMYFUNCTION("GOOGLETRANSLATE(D212, ""en"", ""hi"")"),"ए) अंतिम निर्णायक दौर खेला जाता है।")</f>
        <v>ए) अंतिम निर्णायक दौर खेला जाता है।</v>
      </c>
    </row>
    <row r="213" ht="22.5" customHeight="1">
      <c r="A213" s="8">
        <v>212.0</v>
      </c>
      <c r="B213" s="3" t="s">
        <v>13491</v>
      </c>
      <c r="C213" s="3" t="s">
        <v>13492</v>
      </c>
      <c r="D213" s="3" t="s">
        <v>13329</v>
      </c>
      <c r="F213" s="5" t="str">
        <f>IFERROR(__xludf.DUMMYFUNCTION("GOOGLETRANSLATE(A213, ""en"", ""hi"")"),"212")</f>
        <v>212</v>
      </c>
      <c r="G213" s="5" t="str">
        <f>IFERROR(__xludf.DUMMYFUNCTION("GOOGLETRANSLATE(B213, ""en"", ""hi"")"),"यदि खिलाड़ी X और खिलाड़ी Y दोनों एक साथ गिर जाते हैं और कोई भी आगे नहीं बढ़ सकता, तो मुकना में राउंड का स्कोर आमतौर पर कैसे होता है?")</f>
        <v>यदि खिलाड़ी X और खिलाड़ी Y दोनों एक साथ गिर जाते हैं और कोई भी आगे नहीं बढ़ सकता, तो मुकना में राउंड का स्कोर आमतौर पर कैसे होता है?</v>
      </c>
      <c r="H213" s="5" t="str">
        <f>IFERROR(__xludf.DUMMYFUNCTION("GOOGLETRANSLATE(C213,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13" s="5" t="str">
        <f>IFERROR(__xludf.DUMMYFUNCTION("GOOGLETRANSLATE(D213, ""en"", ""hi"")"),"ए) राउंड को ड्रा घोषित किया जाता है।")</f>
        <v>ए) राउंड को ड्रा घोषित किया जाता है।</v>
      </c>
    </row>
    <row r="214" ht="22.5" customHeight="1">
      <c r="A214" s="8">
        <v>213.0</v>
      </c>
      <c r="B214" s="3" t="s">
        <v>13493</v>
      </c>
      <c r="C214" s="3" t="s">
        <v>13388</v>
      </c>
      <c r="D214" s="3" t="s">
        <v>13389</v>
      </c>
      <c r="F214" s="5" t="str">
        <f>IFERROR(__xludf.DUMMYFUNCTION("GOOGLETRANSLATE(A214, ""en"", ""hi"")"),"213")</f>
        <v>213</v>
      </c>
      <c r="G214" s="5" t="str">
        <f>IFERROR(__xludf.DUMMYFUNCTION("GOOGLETRANSLATE(B214, ""en"", ""hi"")"),"मुकना मुकाबले के दौरान, यदि खिलाड़ी X ऐसी तकनीक अपनाता है जिससे खिलाड़ी Y गिर जाता है, लेकिन साथ ही अपना संतुलन भी खो देता है और बाद में गिर जाता है, तो कौन राउंड जीतता है?")</f>
        <v>मुकना मुकाबले के दौरान, यदि खिलाड़ी X ऐसी तकनीक अपनाता है जिससे खिलाड़ी Y गिर जाता है, लेकिन साथ ही अपना संतुलन भी खो देता है और बाद में गिर जाता है, तो कौन राउंड जीतता है?</v>
      </c>
      <c r="H214" s="5" t="str">
        <f>IFERROR(__xludf.DUMMYFUNCTION("GOOGLETRANSLATE(C214,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14" s="5" t="str">
        <f>IFERROR(__xludf.DUMMYFUNCTION("GOOGLETRANSLATE(D214, ""en"", ""hi"")"),"A) खिलाड़ी Y राउंड जीतता है।")</f>
        <v>A) खिलाड़ी Y राउंड जीतता है।</v>
      </c>
    </row>
    <row r="215" ht="22.5" customHeight="1">
      <c r="A215" s="8">
        <v>214.0</v>
      </c>
      <c r="B215" s="3" t="s">
        <v>13494</v>
      </c>
      <c r="C215" s="3" t="s">
        <v>13492</v>
      </c>
      <c r="D215" s="3" t="s">
        <v>13329</v>
      </c>
      <c r="F215" s="5" t="str">
        <f>IFERROR(__xludf.DUMMYFUNCTION("GOOGLETRANSLATE(A215, ""en"", ""hi"")"),"214")</f>
        <v>214</v>
      </c>
      <c r="G215" s="5" t="str">
        <f>IFERROR(__xludf.DUMMYFUNCTION("GOOGLETRANSLATE(B215, ""en"", ""hi"")"),"मुकना में, यदि खिलाड़ी X और खिलाड़ी Y दोनों एक ही समय पर रिंग के बाहर गिर जाते हैं और कोई भी आगे नहीं खेल सकता, तो सामान्य परिणाम क्या होगा?")</f>
        <v>मुकना में, यदि खिलाड़ी X और खिलाड़ी Y दोनों एक ही समय पर रिंग के बाहर गिर जाते हैं और कोई भी आगे नहीं खेल सकता, तो सामान्य परिणाम क्या होगा?</v>
      </c>
      <c r="H215" s="5" t="str">
        <f>IFERROR(__xludf.DUMMYFUNCTION("GOOGLETRANSLATE(C215,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15" s="5" t="str">
        <f>IFERROR(__xludf.DUMMYFUNCTION("GOOGLETRANSLATE(D215, ""en"", ""hi"")"),"ए) राउंड को ड्रा घोषित किया जाता है।")</f>
        <v>ए) राउंड को ड्रा घोषित किया जाता है।</v>
      </c>
    </row>
    <row r="216" ht="22.5" customHeight="1">
      <c r="A216" s="8">
        <v>215.0</v>
      </c>
      <c r="B216" s="3" t="s">
        <v>13495</v>
      </c>
      <c r="C216" s="3" t="s">
        <v>13416</v>
      </c>
      <c r="D216" s="3" t="s">
        <v>13417</v>
      </c>
      <c r="F216" s="5" t="str">
        <f>IFERROR(__xludf.DUMMYFUNCTION("GOOGLETRANSLATE(A216, ""en"", ""hi"")"),"215")</f>
        <v>215</v>
      </c>
      <c r="G216" s="5" t="str">
        <f>IFERROR(__xludf.DUMMYFUNCTION("GOOGLETRANSLATE(B216, ""en"", ""hi"")"),"यदि खिलाड़ी X कोई अवैध चाल चलता है जिसके परिणामस्वरूप खिलाड़ी Y गिर जाता है, तो मुकना में राउंड का मानक परिणाम क्या होगा?")</f>
        <v>यदि खिलाड़ी X कोई अवैध चाल चलता है जिसके परिणामस्वरूप खिलाड़ी Y गिर जाता है, तो मुकना में राउंड का मानक परिणाम क्या होगा?</v>
      </c>
      <c r="H216" s="5" t="str">
        <f>IFERROR(__xludf.DUMMYFUNCTION("GOOGLETRANSLATE(C216,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16" s="5" t="str">
        <f>IFERROR(__xludf.DUMMYFUNCTION("GOOGLETRANSLATE(D216, ""en"", ""hi"")"),"A) खिलाड़ी Y को विजेता घोषित किया जाता है।")</f>
        <v>A) खिलाड़ी Y को विजेता घोषित किया जाता है।</v>
      </c>
    </row>
    <row r="217" ht="22.5" customHeight="1">
      <c r="A217" s="8">
        <v>216.0</v>
      </c>
      <c r="B217" s="3" t="s">
        <v>13496</v>
      </c>
      <c r="C217" s="3" t="s">
        <v>13492</v>
      </c>
      <c r="D217" s="3" t="s">
        <v>13329</v>
      </c>
      <c r="F217" s="5" t="str">
        <f>IFERROR(__xludf.DUMMYFUNCTION("GOOGLETRANSLATE(A217, ""en"", ""hi"")"),"216")</f>
        <v>216</v>
      </c>
      <c r="G217" s="5" t="str">
        <f>IFERROR(__xludf.DUMMYFUNCTION("GOOGLETRANSLATE(B217, ""en"", ""hi"")"),"मुकना मैच के दौरान, यदि खिलाड़ी X और खिलाड़ी Y एक साथ हार जाते हैं और कोई भी आगे नहीं बढ़ पाता है, तो आमतौर पर राउंड का निर्णय कैसे किया जाता है?")</f>
        <v>मुकना मैच के दौरान, यदि खिलाड़ी X और खिलाड़ी Y एक साथ हार जाते हैं और कोई भी आगे नहीं बढ़ पाता है, तो आमतौर पर राउंड का निर्णय कैसे किया जाता है?</v>
      </c>
      <c r="H217" s="5" t="str">
        <f>IFERROR(__xludf.DUMMYFUNCTION("GOOGLETRANSLATE(C217,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17" s="5" t="str">
        <f>IFERROR(__xludf.DUMMYFUNCTION("GOOGLETRANSLATE(D217, ""en"", ""hi"")"),"ए) राउंड को ड्रा घोषित किया जाता है।")</f>
        <v>ए) राउंड को ड्रा घोषित किया जाता है।</v>
      </c>
    </row>
    <row r="218" ht="22.5" customHeight="1">
      <c r="A218" s="8">
        <v>217.0</v>
      </c>
      <c r="B218" s="3" t="s">
        <v>13497</v>
      </c>
      <c r="C218" s="3" t="s">
        <v>13369</v>
      </c>
      <c r="D218" s="3" t="s">
        <v>13288</v>
      </c>
      <c r="F218" s="5" t="str">
        <f>IFERROR(__xludf.DUMMYFUNCTION("GOOGLETRANSLATE(A218, ""en"", ""hi"")"),"217")</f>
        <v>217</v>
      </c>
      <c r="G218" s="5" t="str">
        <f>IFERROR(__xludf.DUMMYFUNCTION("GOOGLETRANSLATE(B218, ""en"", ""hi"")"),"मुकना में, यदि खिलाड़ी X और खिलाड़ी Y फाल्स और राउंड में बराबरी पर हैं, और खिलाड़ी X की अंतिम जीत खिलाड़ी Y की गलती के कारण हुई है, तो आगे क्या होगा?")</f>
        <v>मुकना में, यदि खिलाड़ी X और खिलाड़ी Y फाल्स और राउंड में बराबरी पर हैं, और खिलाड़ी X की अंतिम जीत खिलाड़ी Y की गलती के कारण हुई है, तो आगे क्या होगा?</v>
      </c>
      <c r="H218" s="5" t="str">
        <f>IFERROR(__xludf.DUMMYFUNCTION("GOOGLETRANSLATE(C218,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218" s="5" t="str">
        <f>IFERROR(__xludf.DUMMYFUNCTION("GOOGLETRANSLATE(D218, ""en"", ""hi"")"),"ए) अंतिम निर्णायक दौर खेला जाता है।")</f>
        <v>ए) अंतिम निर्णायक दौर खेला जाता है।</v>
      </c>
    </row>
    <row r="219" ht="22.5" customHeight="1">
      <c r="A219" s="8">
        <v>218.0</v>
      </c>
      <c r="B219" s="3" t="s">
        <v>13498</v>
      </c>
      <c r="C219" s="3" t="s">
        <v>13492</v>
      </c>
      <c r="D219" s="3" t="s">
        <v>13329</v>
      </c>
      <c r="F219" s="5" t="str">
        <f>IFERROR(__xludf.DUMMYFUNCTION("GOOGLETRANSLATE(A219, ""en"", ""hi"")"),"218")</f>
        <v>218</v>
      </c>
      <c r="G219" s="5" t="str">
        <f>IFERROR(__xludf.DUMMYFUNCTION("GOOGLETRANSLATE(B219, ""en"", ""hi"")"),"यदि खिलाड़ी X और खिलाड़ी Y दोनों एक ही समय पर रिंग के बाहर गिर जाते हैं और कोई भी आगे नहीं खेल सकता, तो मुकना में सामान्य परिणाम क्या होगा?")</f>
        <v>यदि खिलाड़ी X और खिलाड़ी Y दोनों एक ही समय पर रिंग के बाहर गिर जाते हैं और कोई भी आगे नहीं खेल सकता, तो मुकना में सामान्य परिणाम क्या होगा?</v>
      </c>
      <c r="H219" s="5" t="str">
        <f>IFERROR(__xludf.DUMMYFUNCTION("GOOGLETRANSLATE(C219,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19" s="5" t="str">
        <f>IFERROR(__xludf.DUMMYFUNCTION("GOOGLETRANSLATE(D219, ""en"", ""hi"")"),"ए) राउंड को ड्रा घोषित किया जाता है।")</f>
        <v>ए) राउंड को ड्रा घोषित किया जाता है।</v>
      </c>
    </row>
    <row r="220" ht="22.5" customHeight="1">
      <c r="A220" s="8">
        <v>219.0</v>
      </c>
      <c r="B220" s="3" t="s">
        <v>13499</v>
      </c>
      <c r="C220" s="3" t="s">
        <v>13388</v>
      </c>
      <c r="D220" s="3" t="s">
        <v>13389</v>
      </c>
      <c r="F220" s="5" t="str">
        <f>IFERROR(__xludf.DUMMYFUNCTION("GOOGLETRANSLATE(A220, ""en"", ""hi"")"),"219")</f>
        <v>219</v>
      </c>
      <c r="G220" s="5" t="str">
        <f>IFERROR(__xludf.DUMMYFUNCTION("GOOGLETRANSLATE(B220, ""en"", ""hi"")"),"मुकना मैच के दौरान, यदि खिलाड़ी X ऐसी तकनीक का प्रयोग करता है जिससे खिलाड़ी Y गिर जाता है, लेकिन बाद में वह भी गिर जाता है, तो राउंड का स्कोर कैसे होगा?")</f>
        <v>मुकना मैच के दौरान, यदि खिलाड़ी X ऐसी तकनीक का प्रयोग करता है जिससे खिलाड़ी Y गिर जाता है, लेकिन बाद में वह भी गिर जाता है, तो राउंड का स्कोर कैसे होगा?</v>
      </c>
      <c r="H220" s="5" t="str">
        <f>IFERROR(__xludf.DUMMYFUNCTION("GOOGLETRANSLATE(C220,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20" s="5" t="str">
        <f>IFERROR(__xludf.DUMMYFUNCTION("GOOGLETRANSLATE(D220, ""en"", ""hi"")"),"A) खिलाड़ी Y राउंड जीतता है।")</f>
        <v>A) खिलाड़ी Y राउंड जीतता है।</v>
      </c>
    </row>
    <row r="221" ht="22.5" customHeight="1">
      <c r="A221" s="8">
        <v>220.0</v>
      </c>
      <c r="B221" s="3" t="s">
        <v>13500</v>
      </c>
      <c r="C221" s="3" t="s">
        <v>13492</v>
      </c>
      <c r="D221" s="3" t="s">
        <v>13329</v>
      </c>
      <c r="F221" s="5" t="str">
        <f>IFERROR(__xludf.DUMMYFUNCTION("GOOGLETRANSLATE(A221, ""en"", ""hi"")"),"220")</f>
        <v>220</v>
      </c>
      <c r="G221" s="5" t="str">
        <f>IFERROR(__xludf.DUMMYFUNCTION("GOOGLETRANSLATE(B221, ""en"", ""hi"")"),"मुकना में, यदि खिलाड़ी X और खिलाड़ी Y एक साथ हार जाते हैं और कोई भी आगे नहीं बढ़ पाता है, तो आमतौर पर राउंड का निर्णय कैसे किया जाता है?")</f>
        <v>मुकना में, यदि खिलाड़ी X और खिलाड़ी Y एक साथ हार जाते हैं और कोई भी आगे नहीं बढ़ पाता है, तो आमतौर पर राउंड का निर्णय कैसे किया जाता है?</v>
      </c>
      <c r="H221" s="5" t="str">
        <f>IFERROR(__xludf.DUMMYFUNCTION("GOOGLETRANSLATE(C221,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21" s="5" t="str">
        <f>IFERROR(__xludf.DUMMYFUNCTION("GOOGLETRANSLATE(D221, ""en"", ""hi"")"),"ए) राउंड को ड्रा घोषित किया जाता है।")</f>
        <v>ए) राउंड को ड्रा घोषित किया जाता है।</v>
      </c>
    </row>
    <row r="222" ht="22.5" customHeight="1">
      <c r="A222" s="8">
        <v>221.0</v>
      </c>
      <c r="B222" s="3" t="s">
        <v>13481</v>
      </c>
      <c r="C222" s="3" t="s">
        <v>13416</v>
      </c>
      <c r="D222" s="3" t="s">
        <v>13417</v>
      </c>
      <c r="F222" s="5" t="str">
        <f>IFERROR(__xludf.DUMMYFUNCTION("GOOGLETRANSLATE(A222, ""en"", ""hi"")"),"221")</f>
        <v>221</v>
      </c>
      <c r="G222" s="5" t="str">
        <f>IFERROR(__xludf.DUMMYFUNCTION("GOOGLETRANSLATE(B222, ""en"", ""hi"")"),"यदि खिलाड़ी X कोई अवैध तकनीक अपनाता है जिसके कारण खिलाड़ी Y गिर जाता है, तो मुकना में राउंड का सामान्य परिणाम क्या होता है?")</f>
        <v>यदि खिलाड़ी X कोई अवैध तकनीक अपनाता है जिसके कारण खिलाड़ी Y गिर जाता है, तो मुकना में राउंड का सामान्य परिणाम क्या होता है?</v>
      </c>
      <c r="H222" s="5" t="str">
        <f>IFERROR(__xludf.DUMMYFUNCTION("GOOGLETRANSLATE(C222,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22" s="5" t="str">
        <f>IFERROR(__xludf.DUMMYFUNCTION("GOOGLETRANSLATE(D222, ""en"", ""hi"")"),"A) खिलाड़ी Y को विजेता घोषित किया जाता है।")</f>
        <v>A) खिलाड़ी Y को विजेता घोषित किया जाता है।</v>
      </c>
    </row>
    <row r="223" ht="22.5" customHeight="1">
      <c r="A223" s="8">
        <v>222.0</v>
      </c>
      <c r="B223" s="3" t="s">
        <v>13501</v>
      </c>
      <c r="C223" s="3" t="s">
        <v>13492</v>
      </c>
      <c r="D223" s="3" t="s">
        <v>13329</v>
      </c>
      <c r="F223" s="5" t="str">
        <f>IFERROR(__xludf.DUMMYFUNCTION("GOOGLETRANSLATE(A223, ""en"", ""hi"")"),"222")</f>
        <v>222</v>
      </c>
      <c r="G223" s="5" t="str">
        <f>IFERROR(__xludf.DUMMYFUNCTION("GOOGLETRANSLATE(B223, ""en"", ""hi"")"),"मुकना मुकाबले के दौरान, यदि खिलाड़ी X और खिलाड़ी Y दोनों एक साथ गिर जाते हैं और कोई भी आगे नहीं बढ़ पाता है, तो आमतौर पर राउंड का स्कोर कैसे होगा?")</f>
        <v>मुकना मुकाबले के दौरान, यदि खिलाड़ी X और खिलाड़ी Y दोनों एक साथ गिर जाते हैं और कोई भी आगे नहीं बढ़ पाता है, तो आमतौर पर राउंड का स्कोर कैसे होगा?</v>
      </c>
      <c r="H223" s="5" t="str">
        <f>IFERROR(__xludf.DUMMYFUNCTION("GOOGLETRANSLATE(C223,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23" s="5" t="str">
        <f>IFERROR(__xludf.DUMMYFUNCTION("GOOGLETRANSLATE(D223, ""en"", ""hi"")"),"ए) राउंड को ड्रा घोषित किया जाता है।")</f>
        <v>ए) राउंड को ड्रा घोषित किया जाता है।</v>
      </c>
    </row>
    <row r="224" ht="22.5" customHeight="1">
      <c r="A224" s="8">
        <v>223.0</v>
      </c>
      <c r="B224" s="3" t="s">
        <v>13502</v>
      </c>
      <c r="C224" s="3" t="s">
        <v>13369</v>
      </c>
      <c r="D224" s="3" t="s">
        <v>13288</v>
      </c>
      <c r="F224" s="5" t="str">
        <f>IFERROR(__xludf.DUMMYFUNCTION("GOOGLETRANSLATE(A224, ""en"", ""hi"")"),"223")</f>
        <v>223</v>
      </c>
      <c r="G224" s="5" t="str">
        <f>IFERROR(__xludf.DUMMYFUNCTION("GOOGLETRANSLATE(B224, ""en"", ""hi"")"),"मुकना में, यदि खिलाड़ी X और खिलाड़ी Y फाल्स और राउंड में बराबर हैं, और खिलाड़ी X की अंतिम जीत खिलाड़ी Y की गलती के कारण हुई है, तो सामान्य प्रक्रिया क्या है?")</f>
        <v>मुकना में, यदि खिलाड़ी X और खिलाड़ी Y फाल्स और राउंड में बराबर हैं, और खिलाड़ी X की अंतिम जीत खिलाड़ी Y की गलती के कारण हुई है, तो सामान्य प्रक्रिया क्या है?</v>
      </c>
      <c r="H224" s="5" t="str">
        <f>IFERROR(__xludf.DUMMYFUNCTION("GOOGLETRANSLATE(C224, ""en"", ""hi"")"),"A) अंतिम निर्णायक राउंड खेला जाता है। , B) खिलाड़ी X को विजेता घोषित किया जाता है। , C) मैच को ड्रॉ घोषित किया जाता है। , D) खिलाड़ी Y को विजेता घोषित किया जाता है।")</f>
        <v>A) अंतिम निर्णायक राउंड खेला जाता है। , B) खिलाड़ी X को विजेता घोषित किया जाता है। , C) मैच को ड्रॉ घोषित किया जाता है। , D) खिलाड़ी Y को विजेता घोषित किया जाता है।</v>
      </c>
      <c r="I224" s="5" t="str">
        <f>IFERROR(__xludf.DUMMYFUNCTION("GOOGLETRANSLATE(D224, ""en"", ""hi"")"),"ए) अंतिम निर्णायक दौर खेला जाता है।")</f>
        <v>ए) अंतिम निर्णायक दौर खेला जाता है।</v>
      </c>
    </row>
    <row r="225" ht="22.5" customHeight="1">
      <c r="A225" s="8">
        <v>224.0</v>
      </c>
      <c r="B225" s="3" t="s">
        <v>13503</v>
      </c>
      <c r="C225" s="3" t="s">
        <v>13492</v>
      </c>
      <c r="D225" s="3" t="s">
        <v>13329</v>
      </c>
      <c r="F225" s="5" t="str">
        <f>IFERROR(__xludf.DUMMYFUNCTION("GOOGLETRANSLATE(A225, ""en"", ""hi"")"),"224")</f>
        <v>224</v>
      </c>
      <c r="G225" s="5" t="str">
        <f>IFERROR(__xludf.DUMMYFUNCTION("GOOGLETRANSLATE(B225, ""en"", ""hi"")"),"यदि खिलाड़ी X और खिलाड़ी Y दोनों एक साथ रिंग के बाहर गिर जाते हैं और कोई भी आगे नहीं खेल सकता, तो मुकना में राउंड का निर्णय आमतौर पर कैसे किया जाता है?")</f>
        <v>यदि खिलाड़ी X और खिलाड़ी Y दोनों एक साथ रिंग के बाहर गिर जाते हैं और कोई भी आगे नहीं खेल सकता, तो मुकना में राउंड का निर्णय आमतौर पर कैसे किया जाता है?</v>
      </c>
      <c r="H225" s="5" t="str">
        <f>IFERROR(__xludf.DUMMYFUNCTION("GOOGLETRANSLATE(C225,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25" s="5" t="str">
        <f>IFERROR(__xludf.DUMMYFUNCTION("GOOGLETRANSLATE(D225, ""en"", ""hi"")"),"ए) राउंड को ड्रा घोषित किया जाता है।")</f>
        <v>ए) राउंड को ड्रा घोषित किया जाता है।</v>
      </c>
    </row>
    <row r="226" ht="22.5" customHeight="1">
      <c r="A226" s="8">
        <v>225.0</v>
      </c>
      <c r="B226" s="3" t="s">
        <v>13504</v>
      </c>
      <c r="C226" s="3" t="s">
        <v>13388</v>
      </c>
      <c r="D226" s="3" t="s">
        <v>13389</v>
      </c>
      <c r="F226" s="5" t="str">
        <f>IFERROR(__xludf.DUMMYFUNCTION("GOOGLETRANSLATE(A226, ""en"", ""hi"")"),"225")</f>
        <v>225</v>
      </c>
      <c r="G226" s="5" t="str">
        <f>IFERROR(__xludf.DUMMYFUNCTION("GOOGLETRANSLATE(B226, ""en"", ""hi"")"),"मुकना मैच के दौरान, यदि खिलाड़ी X एक सफल तकनीक का प्रदर्शन करता है जिसके कारण खिलाड़ी Y गिर जाता है, लेकिन खिलाड़ी X भी बाद में गिर जाता है, तो कौन राउंड जीतता है?")</f>
        <v>मुकना मैच के दौरान, यदि खिलाड़ी X एक सफल तकनीक का प्रदर्शन करता है जिसके कारण खिलाड़ी Y गिर जाता है, लेकिन खिलाड़ी X भी बाद में गिर जाता है, तो कौन राउंड जीतता है?</v>
      </c>
      <c r="H226" s="5" t="str">
        <f>IFERROR(__xludf.DUMMYFUNCTION("GOOGLETRANSLATE(C226,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26" s="5" t="str">
        <f>IFERROR(__xludf.DUMMYFUNCTION("GOOGLETRANSLATE(D226, ""en"", ""hi"")"),"A) खिलाड़ी Y राउंड जीतता है।")</f>
        <v>A) खिलाड़ी Y राउंड जीतता है।</v>
      </c>
    </row>
    <row r="227" ht="22.5" customHeight="1">
      <c r="A227" s="8">
        <v>226.0</v>
      </c>
      <c r="B227" s="3" t="s">
        <v>13505</v>
      </c>
      <c r="C227" s="3" t="s">
        <v>13492</v>
      </c>
      <c r="D227" s="3" t="s">
        <v>13329</v>
      </c>
      <c r="F227" s="5" t="str">
        <f>IFERROR(__xludf.DUMMYFUNCTION("GOOGLETRANSLATE(A227, ""en"", ""hi"")"),"226")</f>
        <v>226</v>
      </c>
      <c r="G227" s="5" t="str">
        <f>IFERROR(__xludf.DUMMYFUNCTION("GOOGLETRANSLATE(B227, ""en"", ""hi"")"),"मुकना में, यदि खिलाड़ी X और खिलाड़ी Y एक साथ गिर जाते हैं और कोई भी आगे नहीं बढ़ पाता है, तो आमतौर पर राउंड का स्कोर कैसे होगा?")</f>
        <v>मुकना में, यदि खिलाड़ी X और खिलाड़ी Y एक साथ गिर जाते हैं और कोई भी आगे नहीं बढ़ पाता है, तो आमतौर पर राउंड का स्कोर कैसे होगा?</v>
      </c>
      <c r="H227" s="5" t="str">
        <f>IFERROR(__xludf.DUMMYFUNCTION("GOOGLETRANSLATE(C227,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27" s="5" t="str">
        <f>IFERROR(__xludf.DUMMYFUNCTION("GOOGLETRANSLATE(D227, ""en"", ""hi"")"),"ए) राउंड को ड्रा घोषित किया जाता है।")</f>
        <v>ए) राउंड को ड्रा घोषित किया जाता है।</v>
      </c>
    </row>
    <row r="228" ht="22.5" customHeight="1">
      <c r="A228" s="8">
        <v>227.0</v>
      </c>
      <c r="B228" s="3" t="s">
        <v>13481</v>
      </c>
      <c r="C228" s="3" t="s">
        <v>13416</v>
      </c>
      <c r="D228" s="3" t="s">
        <v>13417</v>
      </c>
      <c r="F228" s="5" t="str">
        <f>IFERROR(__xludf.DUMMYFUNCTION("GOOGLETRANSLATE(A228, ""en"", ""hi"")"),"227")</f>
        <v>227</v>
      </c>
      <c r="G228" s="5" t="str">
        <f>IFERROR(__xludf.DUMMYFUNCTION("GOOGLETRANSLATE(B228, ""en"", ""hi"")"),"यदि खिलाड़ी X कोई अवैध तकनीक अपनाता है जिसके कारण खिलाड़ी Y गिर जाता है, तो मुकना में राउंड का सामान्य परिणाम क्या होता है?")</f>
        <v>यदि खिलाड़ी X कोई अवैध तकनीक अपनाता है जिसके कारण खिलाड़ी Y गिर जाता है, तो मुकना में राउंड का सामान्य परिणाम क्या होता है?</v>
      </c>
      <c r="H228" s="5" t="str">
        <f>IFERROR(__xludf.DUMMYFUNCTION("GOOGLETRANSLATE(C228,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28" s="5" t="str">
        <f>IFERROR(__xludf.DUMMYFUNCTION("GOOGLETRANSLATE(D228, ""en"", ""hi"")"),"A) खिलाड़ी Y को विजेता घोषित किया जाता है।")</f>
        <v>A) खिलाड़ी Y को विजेता घोषित किया जाता है।</v>
      </c>
    </row>
    <row r="229" ht="22.5" customHeight="1">
      <c r="A229" s="8">
        <v>228.0</v>
      </c>
      <c r="B229" s="3" t="s">
        <v>13506</v>
      </c>
      <c r="C229" s="3" t="s">
        <v>13492</v>
      </c>
      <c r="D229" s="3" t="s">
        <v>13329</v>
      </c>
      <c r="F229" s="5" t="str">
        <f>IFERROR(__xludf.DUMMYFUNCTION("GOOGLETRANSLATE(A229, ""en"", ""hi"")"),"228")</f>
        <v>228</v>
      </c>
      <c r="G229" s="5" t="str">
        <f>IFERROR(__xludf.DUMMYFUNCTION("GOOGLETRANSLATE(B229, ""en"", ""hi"")"),"मुकना मुकाबले के दौरान, यदि खिलाड़ी X और खिलाड़ी Y एक साथ रिंग के बाहर गिर जाते हैं और कोई भी आगे नहीं खेल सकता, तो आमतौर पर राउंड का निर्णय कैसे किया जाता है?")</f>
        <v>मुकना मुकाबले के दौरान, यदि खिलाड़ी X और खिलाड़ी Y एक साथ रिंग के बाहर गिर जाते हैं और कोई भी आगे नहीं खेल सकता, तो आमतौर पर राउंड का निर्णय कैसे किया जाता है?</v>
      </c>
      <c r="H229" s="5" t="str">
        <f>IFERROR(__xludf.DUMMYFUNCTION("GOOGLETRANSLATE(C229,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29" s="5" t="str">
        <f>IFERROR(__xludf.DUMMYFUNCTION("GOOGLETRANSLATE(D229, ""en"", ""hi"")"),"ए) राउंड को ड्रा घोषित किया जाता है।")</f>
        <v>ए) राउंड को ड्रा घोषित किया जाता है।</v>
      </c>
    </row>
    <row r="230" ht="22.5" customHeight="1">
      <c r="A230" s="8">
        <v>229.0</v>
      </c>
      <c r="B230" s="3" t="s">
        <v>13507</v>
      </c>
      <c r="C230" s="3" t="s">
        <v>13388</v>
      </c>
      <c r="D230" s="3" t="s">
        <v>13389</v>
      </c>
      <c r="F230" s="5" t="str">
        <f>IFERROR(__xludf.DUMMYFUNCTION("GOOGLETRANSLATE(A230, ""en"", ""hi"")"),"229")</f>
        <v>229</v>
      </c>
      <c r="G230" s="5" t="str">
        <f>IFERROR(__xludf.DUMMYFUNCTION("GOOGLETRANSLATE(B230, ""en"", ""hi"")"),"यदि खिलाड़ी X ऐसी तकनीक का प्रयोग करता है जिससे खिलाड़ी Y गिर जाता है, लेकिन उसके तुरंत बाद वह भी गिर जाता है, तो मुकना में राउंड का स्कोर कैसे होगा?")</f>
        <v>यदि खिलाड़ी X ऐसी तकनीक का प्रयोग करता है जिससे खिलाड़ी Y गिर जाता है, लेकिन उसके तुरंत बाद वह भी गिर जाता है, तो मुकना में राउंड का स्कोर कैसे होगा?</v>
      </c>
      <c r="H230" s="5" t="str">
        <f>IFERROR(__xludf.DUMMYFUNCTION("GOOGLETRANSLATE(C230,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30" s="5" t="str">
        <f>IFERROR(__xludf.DUMMYFUNCTION("GOOGLETRANSLATE(D230, ""en"", ""hi"")"),"A) खिलाड़ी Y राउंड जीतता है।")</f>
        <v>A) खिलाड़ी Y राउंड जीतता है।</v>
      </c>
    </row>
    <row r="231" ht="22.5" customHeight="1">
      <c r="A231" s="8">
        <v>230.0</v>
      </c>
      <c r="B231" s="3" t="s">
        <v>13508</v>
      </c>
      <c r="C231" s="3" t="s">
        <v>13492</v>
      </c>
      <c r="D231" s="3" t="s">
        <v>13329</v>
      </c>
      <c r="F231" s="5" t="str">
        <f>IFERROR(__xludf.DUMMYFUNCTION("GOOGLETRANSLATE(A231, ""en"", ""hi"")"),"230")</f>
        <v>230</v>
      </c>
      <c r="G231" s="5" t="str">
        <f>IFERROR(__xludf.DUMMYFUNCTION("GOOGLETRANSLATE(B231, ""en"", ""hi"")"),"मुकना में, यदि खिलाड़ी X और खिलाड़ी Y दोनों एक साथ गिर जाते हैं और कोई भी आगे नहीं बढ़ पाता है, तो आमतौर पर राउंड का स्कोर कैसे होगा?")</f>
        <v>मुकना में, यदि खिलाड़ी X और खिलाड़ी Y दोनों एक साथ गिर जाते हैं और कोई भी आगे नहीं बढ़ पाता है, तो आमतौर पर राउंड का स्कोर कैसे होगा?</v>
      </c>
      <c r="H231" s="5" t="str">
        <f>IFERROR(__xludf.DUMMYFUNCTION("GOOGLETRANSLATE(C231,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31" s="5" t="str">
        <f>IFERROR(__xludf.DUMMYFUNCTION("GOOGLETRANSLATE(D231, ""en"", ""hi"")"),"ए) राउंड को ड्रा घोषित किया जाता है।")</f>
        <v>ए) राउंड को ड्रा घोषित किया जाता है।</v>
      </c>
    </row>
    <row r="232" ht="22.5" customHeight="1">
      <c r="A232" s="8">
        <v>231.0</v>
      </c>
      <c r="B232" s="3" t="s">
        <v>13509</v>
      </c>
      <c r="C232" s="3" t="s">
        <v>13416</v>
      </c>
      <c r="D232" s="3" t="s">
        <v>13417</v>
      </c>
      <c r="F232" s="5" t="str">
        <f>IFERROR(__xludf.DUMMYFUNCTION("GOOGLETRANSLATE(A232, ""en"", ""hi"")"),"231")</f>
        <v>231</v>
      </c>
      <c r="G232" s="5" t="str">
        <f>IFERROR(__xludf.DUMMYFUNCTION("GOOGLETRANSLATE(B232,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232" s="5" t="str">
        <f>IFERROR(__xludf.DUMMYFUNCTION("GOOGLETRANSLATE(C232,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32" s="5" t="str">
        <f>IFERROR(__xludf.DUMMYFUNCTION("GOOGLETRANSLATE(D232, ""en"", ""hi"")"),"A) खिलाड़ी Y को विजेता घोषित किया जाता है।")</f>
        <v>A) खिलाड़ी Y को विजेता घोषित किया जाता है।</v>
      </c>
    </row>
    <row r="233" ht="22.5" customHeight="1">
      <c r="A233" s="8">
        <v>232.0</v>
      </c>
      <c r="B233" s="3" t="s">
        <v>13510</v>
      </c>
      <c r="C233" s="3" t="s">
        <v>13492</v>
      </c>
      <c r="D233" s="3" t="s">
        <v>13329</v>
      </c>
      <c r="F233" s="5" t="str">
        <f>IFERROR(__xludf.DUMMYFUNCTION("GOOGLETRANSLATE(A233, ""en"", ""hi"")"),"232")</f>
        <v>232</v>
      </c>
      <c r="G233" s="5" t="str">
        <f>IFERROR(__xludf.DUMMYFUNCTION("GOOGLETRANSLATE(B233, ""en"", ""hi"")"),"यदि खिलाड़ी X और खिलाड़ी Y एक साथ रिंग के बाहर गिर जाते हैं और कोई भी आगे नहीं खेल सकता, तो मुकना में राउंड का निर्णय आमतौर पर कैसे किया जाता है?")</f>
        <v>यदि खिलाड़ी X और खिलाड़ी Y एक साथ रिंग के बाहर गिर जाते हैं और कोई भी आगे नहीं खेल सकता, तो मुकना में राउंड का निर्णय आमतौर पर कैसे किया जाता है?</v>
      </c>
      <c r="H233" s="5" t="str">
        <f>IFERROR(__xludf.DUMMYFUNCTION("GOOGLETRANSLATE(C233,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33" s="5" t="str">
        <f>IFERROR(__xludf.DUMMYFUNCTION("GOOGLETRANSLATE(D233, ""en"", ""hi"")"),"ए) राउंड को ड्रा घोषित किया जाता है।")</f>
        <v>ए) राउंड को ड्रा घोषित किया जाता है।</v>
      </c>
    </row>
    <row r="234" ht="22.5" customHeight="1">
      <c r="A234" s="8">
        <v>233.0</v>
      </c>
      <c r="B234" s="3" t="s">
        <v>13511</v>
      </c>
      <c r="C234" s="3" t="s">
        <v>13388</v>
      </c>
      <c r="D234" s="3" t="s">
        <v>13389</v>
      </c>
      <c r="F234" s="5" t="str">
        <f>IFERROR(__xludf.DUMMYFUNCTION("GOOGLETRANSLATE(A234, ""en"", ""hi"")"),"233")</f>
        <v>233</v>
      </c>
      <c r="G234" s="5" t="str">
        <f>IFERROR(__xludf.DUMMYFUNCTION("GOOGLETRANSLATE(B234, ""en"", ""hi"")"),"मुकना में, यदि खिलाड़ी X एक सफल तकनीक का प्रदर्शन करता है और खिलाड़ी Y को गिरा देता है, लेकिन खिलाड़ी X भी बाद में गिर जाता है, तो आमतौर पर राउंड का निर्णय कैसे किया जाता है?")</f>
        <v>मुकना में, यदि खिलाड़ी X एक सफल तकनीक का प्रदर्शन करता है और खिलाड़ी Y को गिरा देता है, लेकिन खिलाड़ी X भी बाद में गिर जाता है, तो आमतौर पर राउंड का निर्णय कैसे किया जाता है?</v>
      </c>
      <c r="H234" s="5" t="str">
        <f>IFERROR(__xludf.DUMMYFUNCTION("GOOGLETRANSLATE(C234,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34" s="5" t="str">
        <f>IFERROR(__xludf.DUMMYFUNCTION("GOOGLETRANSLATE(D234, ""en"", ""hi"")"),"A) खिलाड़ी Y राउंड जीतता है।")</f>
        <v>A) खिलाड़ी Y राउंड जीतता है।</v>
      </c>
    </row>
    <row r="235" ht="22.5" customHeight="1">
      <c r="A235" s="8">
        <v>234.0</v>
      </c>
      <c r="B235" s="3" t="s">
        <v>13512</v>
      </c>
      <c r="C235" s="3" t="s">
        <v>13492</v>
      </c>
      <c r="D235" s="3" t="s">
        <v>13329</v>
      </c>
      <c r="F235" s="5" t="str">
        <f>IFERROR(__xludf.DUMMYFUNCTION("GOOGLETRANSLATE(A235, ""en"", ""hi"")"),"234")</f>
        <v>234</v>
      </c>
      <c r="G235" s="5" t="str">
        <f>IFERROR(__xludf.DUMMYFUNCTION("GOOGLETRANSLATE(B235, ""en"", ""hi"")"),"मुकना मैच के दौरान, यदि खिलाड़ी X और खिलाड़ी Y दोनों एक साथ गिर जाते हैं और कोई भी आगे नहीं बढ़ पाता है, तो आमतौर पर राउंड का स्कोर कैसे किया जाता है?")</f>
        <v>मुकना मैच के दौरान, यदि खिलाड़ी X और खिलाड़ी Y दोनों एक साथ गिर जाते हैं और कोई भी आगे नहीं बढ़ पाता है, तो आमतौर पर राउंड का स्कोर कैसे किया जाता है?</v>
      </c>
      <c r="H235" s="5" t="str">
        <f>IFERROR(__xludf.DUMMYFUNCTION("GOOGLETRANSLATE(C235,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35" s="5" t="str">
        <f>IFERROR(__xludf.DUMMYFUNCTION("GOOGLETRANSLATE(D235, ""en"", ""hi"")"),"ए) राउंड को ड्रा घोषित किया जाता है।")</f>
        <v>ए) राउंड को ड्रा घोषित किया जाता है।</v>
      </c>
    </row>
    <row r="236" ht="22.5" customHeight="1">
      <c r="A236" s="8">
        <v>235.0</v>
      </c>
      <c r="B236" s="3" t="s">
        <v>13513</v>
      </c>
      <c r="C236" s="3" t="s">
        <v>13416</v>
      </c>
      <c r="D236" s="3" t="s">
        <v>13417</v>
      </c>
      <c r="F236" s="5" t="str">
        <f>IFERROR(__xludf.DUMMYFUNCTION("GOOGLETRANSLATE(A236, ""en"", ""hi"")"),"235")</f>
        <v>235</v>
      </c>
      <c r="G236" s="5" t="str">
        <f>IFERROR(__xludf.DUMMYFUNCTION("GOOGLETRANSLATE(B236, ""en"", ""hi"")"),"यदि खिलाड़ी X कोई अवैध चाल चलता है जिसके परिणामस्वरूप खिलाड़ी Y गिर जाता है, तो मुकना में सामान्य परिणाम क्या होगा?")</f>
        <v>यदि खिलाड़ी X कोई अवैध चाल चलता है जिसके परिणामस्वरूप खिलाड़ी Y गिर जाता है, तो मुकना में सामान्य परिणाम क्या होगा?</v>
      </c>
      <c r="H236" s="5" t="str">
        <f>IFERROR(__xludf.DUMMYFUNCTION("GOOGLETRANSLATE(C236,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36" s="5" t="str">
        <f>IFERROR(__xludf.DUMMYFUNCTION("GOOGLETRANSLATE(D236, ""en"", ""hi"")"),"A) खिलाड़ी Y को विजेता घोषित किया जाता है।")</f>
        <v>A) खिलाड़ी Y को विजेता घोषित किया जाता है।</v>
      </c>
    </row>
    <row r="237" ht="22.5" customHeight="1">
      <c r="A237" s="8">
        <v>236.0</v>
      </c>
      <c r="B237" s="3" t="s">
        <v>13514</v>
      </c>
      <c r="C237" s="3" t="s">
        <v>13492</v>
      </c>
      <c r="D237" s="3" t="s">
        <v>13329</v>
      </c>
      <c r="F237" s="5" t="str">
        <f>IFERROR(__xludf.DUMMYFUNCTION("GOOGLETRANSLATE(A237, ""en"", ""hi"")"),"236")</f>
        <v>236</v>
      </c>
      <c r="G237" s="5" t="str">
        <f>IFERROR(__xludf.DUMMYFUNCTION("GOOGLETRANSLATE(B237, ""en"", ""hi"")"),"मुकना मुकाबले के दौरान, यदि खिलाड़ी X और खिलाड़ी Y दोनों एक ही समय पर रिंग के बाहर गिर जाते हैं और कोई भी आगे नहीं खेल सकता, तो सामान्य परिणाम क्या होगा?")</f>
        <v>मुकना मुकाबले के दौरान, यदि खिलाड़ी X और खिलाड़ी Y दोनों एक ही समय पर रिंग के बाहर गिर जाते हैं और कोई भी आगे नहीं खेल सकता, तो सामान्य परिणाम क्या होगा?</v>
      </c>
      <c r="H237" s="5" t="str">
        <f>IFERROR(__xludf.DUMMYFUNCTION("GOOGLETRANSLATE(C237,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37" s="5" t="str">
        <f>IFERROR(__xludf.DUMMYFUNCTION("GOOGLETRANSLATE(D237, ""en"", ""hi"")"),"ए) राउंड को ड्रा घोषित किया जाता है।")</f>
        <v>ए) राउंड को ड्रा घोषित किया जाता है।</v>
      </c>
    </row>
    <row r="238" ht="22.5" customHeight="1">
      <c r="A238" s="8">
        <v>237.0</v>
      </c>
      <c r="B238" s="3" t="s">
        <v>13515</v>
      </c>
      <c r="C238" s="3" t="s">
        <v>13388</v>
      </c>
      <c r="D238" s="3" t="s">
        <v>13389</v>
      </c>
      <c r="F238" s="5" t="str">
        <f>IFERROR(__xludf.DUMMYFUNCTION("GOOGLETRANSLATE(A238, ""en"", ""hi"")"),"237")</f>
        <v>237</v>
      </c>
      <c r="G238" s="5" t="str">
        <f>IFERROR(__xludf.DUMMYFUNCTION("GOOGLETRANSLATE(B238, ""en"", ""hi"")"),"यदि खिलाड़ी X ऐसी तकनीक का प्रयोग करता है जिससे खिलाड़ी Y गिर जाता है, लेकिन खिलाड़ी X भी अपना संतुलन खो देता है और बाद में गिर जाता है, तो कौन राउंड जीतता है?")</f>
        <v>यदि खिलाड़ी X ऐसी तकनीक का प्रयोग करता है जिससे खिलाड़ी Y गिर जाता है, लेकिन खिलाड़ी X भी अपना संतुलन खो देता है और बाद में गिर जाता है, तो कौन राउंड जीतता है?</v>
      </c>
      <c r="H238" s="5" t="str">
        <f>IFERROR(__xludf.DUMMYFUNCTION("GOOGLETRANSLATE(C238,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38" s="5" t="str">
        <f>IFERROR(__xludf.DUMMYFUNCTION("GOOGLETRANSLATE(D238, ""en"", ""hi"")"),"A) खिलाड़ी Y राउंड जीतता है।")</f>
        <v>A) खिलाड़ी Y राउंड जीतता है।</v>
      </c>
    </row>
    <row r="239" ht="22.5" customHeight="1">
      <c r="A239" s="8">
        <v>238.0</v>
      </c>
      <c r="B239" s="3" t="s">
        <v>13500</v>
      </c>
      <c r="C239" s="3" t="s">
        <v>13492</v>
      </c>
      <c r="D239" s="3" t="s">
        <v>13329</v>
      </c>
      <c r="F239" s="5" t="str">
        <f>IFERROR(__xludf.DUMMYFUNCTION("GOOGLETRANSLATE(A239, ""en"", ""hi"")"),"238")</f>
        <v>238</v>
      </c>
      <c r="G239" s="5" t="str">
        <f>IFERROR(__xludf.DUMMYFUNCTION("GOOGLETRANSLATE(B239, ""en"", ""hi"")"),"मुकना में, यदि खिलाड़ी X और खिलाड़ी Y एक साथ हार जाते हैं और कोई भी आगे नहीं बढ़ पाता है, तो आमतौर पर राउंड का निर्णय कैसे किया जाता है?")</f>
        <v>मुकना में, यदि खिलाड़ी X और खिलाड़ी Y एक साथ हार जाते हैं और कोई भी आगे नहीं बढ़ पाता है, तो आमतौर पर राउंड का निर्णय कैसे किया जाता है?</v>
      </c>
      <c r="H239" s="5" t="str">
        <f>IFERROR(__xludf.DUMMYFUNCTION("GOOGLETRANSLATE(C239,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39" s="5" t="str">
        <f>IFERROR(__xludf.DUMMYFUNCTION("GOOGLETRANSLATE(D239, ""en"", ""hi"")"),"ए) राउंड को ड्रा घोषित किया जाता है।")</f>
        <v>ए) राउंड को ड्रा घोषित किया जाता है।</v>
      </c>
    </row>
    <row r="240" ht="22.5" customHeight="1">
      <c r="A240" s="8">
        <v>239.0</v>
      </c>
      <c r="B240" s="3" t="s">
        <v>13516</v>
      </c>
      <c r="C240" s="3" t="s">
        <v>13416</v>
      </c>
      <c r="D240" s="3" t="s">
        <v>13417</v>
      </c>
      <c r="F240" s="5" t="str">
        <f>IFERROR(__xludf.DUMMYFUNCTION("GOOGLETRANSLATE(A240, ""en"", ""hi"")"),"239")</f>
        <v>239</v>
      </c>
      <c r="G240" s="5" t="str">
        <f>IFERROR(__xludf.DUMMYFUNCTION("GOOGLETRANSLATE(B240,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240" s="5" t="str">
        <f>IFERROR(__xludf.DUMMYFUNCTION("GOOGLETRANSLATE(C240,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40" s="5" t="str">
        <f>IFERROR(__xludf.DUMMYFUNCTION("GOOGLETRANSLATE(D240, ""en"", ""hi"")"),"A) खिलाड़ी Y को विजेता घोषित किया जाता है।")</f>
        <v>A) खिलाड़ी Y को विजेता घोषित किया जाता है।</v>
      </c>
    </row>
    <row r="241" ht="22.5" customHeight="1">
      <c r="A241" s="8">
        <v>240.0</v>
      </c>
      <c r="B241" s="3" t="s">
        <v>13517</v>
      </c>
      <c r="C241" s="3" t="s">
        <v>13492</v>
      </c>
      <c r="D241" s="3" t="s">
        <v>13329</v>
      </c>
      <c r="F241" s="5" t="str">
        <f>IFERROR(__xludf.DUMMYFUNCTION("GOOGLETRANSLATE(A241, ""en"", ""hi"")"),"240")</f>
        <v>240</v>
      </c>
      <c r="G241" s="5" t="str">
        <f>IFERROR(__xludf.DUMMYFUNCTION("GOOGLETRANSLATE(B241, ""en"", ""hi"")"),"यदि खिलाड़ी X और खिलाड़ी Y दोनों एक साथ रिंग के बाहर गिर जाते हैं और कोई भी आगे नहीं खेल सकता, तो मुकना में राउंड का स्कोर आमतौर पर कैसे होगा?")</f>
        <v>यदि खिलाड़ी X और खिलाड़ी Y दोनों एक साथ रिंग के बाहर गिर जाते हैं और कोई भी आगे नहीं खेल सकता, तो मुकना में राउंड का स्कोर आमतौर पर कैसे होगा?</v>
      </c>
      <c r="H241" s="5" t="str">
        <f>IFERROR(__xludf.DUMMYFUNCTION("GOOGLETRANSLATE(C241,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41" s="5" t="str">
        <f>IFERROR(__xludf.DUMMYFUNCTION("GOOGLETRANSLATE(D241, ""en"", ""hi"")"),"ए) राउंड को ड्रा घोषित किया जाता है।")</f>
        <v>ए) राउंड को ड्रा घोषित किया जाता है।</v>
      </c>
    </row>
    <row r="242" ht="22.5" customHeight="1">
      <c r="A242" s="8">
        <v>241.0</v>
      </c>
      <c r="B242" s="3" t="s">
        <v>13518</v>
      </c>
      <c r="C242" s="3" t="s">
        <v>13388</v>
      </c>
      <c r="D242" s="3" t="s">
        <v>13389</v>
      </c>
      <c r="F242" s="5" t="str">
        <f>IFERROR(__xludf.DUMMYFUNCTION("GOOGLETRANSLATE(A242, ""en"", ""hi"")"),"241")</f>
        <v>241</v>
      </c>
      <c r="G242" s="5" t="str">
        <f>IFERROR(__xludf.DUMMYFUNCTION("GOOGLETRANSLATE(B242, ""en"", ""hi"")"),"मुकना में, यदि खिलाड़ी X एक सफल तकनीक का प्रदर्शन करता है और खिलाड़ी Y को गिरा देता है, लेकिन खिलाड़ी X भी बाद में गिर जाता है, तो राउंड का निर्णय कैसे किया जाता है?")</f>
        <v>मुकना में, यदि खिलाड़ी X एक सफल तकनीक का प्रदर्शन करता है और खिलाड़ी Y को गिरा देता है, लेकिन खिलाड़ी X भी बाद में गिर जाता है, तो राउंड का निर्णय कैसे किया जाता है?</v>
      </c>
      <c r="H242" s="5" t="str">
        <f>IFERROR(__xludf.DUMMYFUNCTION("GOOGLETRANSLATE(C242,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42" s="5" t="str">
        <f>IFERROR(__xludf.DUMMYFUNCTION("GOOGLETRANSLATE(D242, ""en"", ""hi"")"),"A) खिलाड़ी Y राउंड जीतता है।")</f>
        <v>A) खिलाड़ी Y राउंड जीतता है।</v>
      </c>
    </row>
    <row r="243" ht="22.5" customHeight="1">
      <c r="A243" s="8">
        <v>242.0</v>
      </c>
      <c r="B243" s="3" t="s">
        <v>13519</v>
      </c>
      <c r="C243" s="3" t="s">
        <v>13492</v>
      </c>
      <c r="D243" s="3" t="s">
        <v>13329</v>
      </c>
      <c r="F243" s="5" t="str">
        <f>IFERROR(__xludf.DUMMYFUNCTION("GOOGLETRANSLATE(A243, ""en"", ""hi"")"),"242")</f>
        <v>242</v>
      </c>
      <c r="G243" s="5" t="str">
        <f>IFERROR(__xludf.DUMMYFUNCTION("GOOGLETRANSLATE(B243, ""en"", ""hi"")"),"मुकना मैच के दौरान, यदि खिलाड़ी X और खिलाड़ी Y एक साथ गिर जाते हैं और कोई भी आगे नहीं बढ़ पाता है, तो राउंड का स्कोर आमतौर पर कैसे होगा?")</f>
        <v>मुकना मैच के दौरान, यदि खिलाड़ी X और खिलाड़ी Y एक साथ गिर जाते हैं और कोई भी आगे नहीं बढ़ पाता है, तो राउंड का स्कोर आमतौर पर कैसे होगा?</v>
      </c>
      <c r="H243" s="5" t="str">
        <f>IFERROR(__xludf.DUMMYFUNCTION("GOOGLETRANSLATE(C243,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43" s="5" t="str">
        <f>IFERROR(__xludf.DUMMYFUNCTION("GOOGLETRANSLATE(D243, ""en"", ""hi"")"),"ए) राउंड को ड्रा घोषित किया जाता है।")</f>
        <v>ए) राउंड को ड्रा घोषित किया जाता है।</v>
      </c>
    </row>
    <row r="244" ht="22.5" customHeight="1">
      <c r="A244" s="8">
        <v>243.0</v>
      </c>
      <c r="B244" s="3" t="s">
        <v>13520</v>
      </c>
      <c r="C244" s="3" t="s">
        <v>13416</v>
      </c>
      <c r="D244" s="3" t="s">
        <v>13417</v>
      </c>
      <c r="F244" s="5" t="str">
        <f>IFERROR(__xludf.DUMMYFUNCTION("GOOGLETRANSLATE(A244, ""en"", ""hi"")"),"243")</f>
        <v>243</v>
      </c>
      <c r="G244" s="5" t="str">
        <f>IFERROR(__xludf.DUMMYFUNCTION("GOOGLETRANSLATE(B244, ""en"", ""hi"")"),"यदि खिलाड़ी X कोई अवैध चाल चलता है जिसके परिणामस्वरूप खिलाड़ी Y गिर जाता है, तो मुकना में राउंड का सामान्य परिणाम क्या होता है?")</f>
        <v>यदि खिलाड़ी X कोई अवैध चाल चलता है जिसके परिणामस्वरूप खिलाड़ी Y गिर जाता है, तो मुकना में राउंड का सामान्य परिणाम क्या होता है?</v>
      </c>
      <c r="H244" s="5" t="str">
        <f>IFERROR(__xludf.DUMMYFUNCTION("GOOGLETRANSLATE(C244,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44" s="5" t="str">
        <f>IFERROR(__xludf.DUMMYFUNCTION("GOOGLETRANSLATE(D244, ""en"", ""hi"")"),"A) खिलाड़ी Y को विजेता घोषित किया जाता है।")</f>
        <v>A) खिलाड़ी Y को विजेता घोषित किया जाता है।</v>
      </c>
    </row>
    <row r="245" ht="22.5" customHeight="1">
      <c r="A245" s="8">
        <v>244.0</v>
      </c>
      <c r="B245" s="3" t="s">
        <v>13514</v>
      </c>
      <c r="C245" s="3" t="s">
        <v>13492</v>
      </c>
      <c r="D245" s="3" t="s">
        <v>13329</v>
      </c>
      <c r="F245" s="5" t="str">
        <f>IFERROR(__xludf.DUMMYFUNCTION("GOOGLETRANSLATE(A245, ""en"", ""hi"")"),"244")</f>
        <v>244</v>
      </c>
      <c r="G245" s="5" t="str">
        <f>IFERROR(__xludf.DUMMYFUNCTION("GOOGLETRANSLATE(B245, ""en"", ""hi"")"),"मुकना मुकाबले के दौरान, यदि खिलाड़ी X और खिलाड़ी Y दोनों एक ही समय पर रिंग के बाहर गिर जाते हैं और कोई भी आगे नहीं खेल सकता, तो सामान्य परिणाम क्या होगा?")</f>
        <v>मुकना मुकाबले के दौरान, यदि खिलाड़ी X और खिलाड़ी Y दोनों एक ही समय पर रिंग के बाहर गिर जाते हैं और कोई भी आगे नहीं खेल सकता, तो सामान्य परिणाम क्या होगा?</v>
      </c>
      <c r="H245" s="5" t="str">
        <f>IFERROR(__xludf.DUMMYFUNCTION("GOOGLETRANSLATE(C245,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45" s="5" t="str">
        <f>IFERROR(__xludf.DUMMYFUNCTION("GOOGLETRANSLATE(D245, ""en"", ""hi"")"),"ए) राउंड को ड्रा घोषित किया जाता है।")</f>
        <v>ए) राउंड को ड्रा घोषित किया जाता है।</v>
      </c>
    </row>
    <row r="246" ht="22.5" customHeight="1">
      <c r="A246" s="8">
        <v>245.0</v>
      </c>
      <c r="B246" s="3" t="s">
        <v>13521</v>
      </c>
      <c r="C246" s="3" t="s">
        <v>13388</v>
      </c>
      <c r="D246" s="3" t="s">
        <v>13389</v>
      </c>
      <c r="F246" s="5" t="str">
        <f>IFERROR(__xludf.DUMMYFUNCTION("GOOGLETRANSLATE(A246, ""en"", ""hi"")"),"245")</f>
        <v>245</v>
      </c>
      <c r="G246" s="5" t="str">
        <f>IFERROR(__xludf.DUMMYFUNCTION("GOOGLETRANSLATE(B246, ""en"", ""hi"")"),"यदि खिलाड़ी X ऐसी तकनीक का प्रयोग करता है जिससे खिलाड़ी Y गिर जाता है, लेकिन खिलाड़ी X भी तुरंत बाद गिर जाता है, तो मुकना में कौन राउंड जीतता है?")</f>
        <v>यदि खिलाड़ी X ऐसी तकनीक का प्रयोग करता है जिससे खिलाड़ी Y गिर जाता है, लेकिन खिलाड़ी X भी तुरंत बाद गिर जाता है, तो मुकना में कौन राउंड जीतता है?</v>
      </c>
      <c r="H246" s="5" t="str">
        <f>IFERROR(__xludf.DUMMYFUNCTION("GOOGLETRANSLATE(C246,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46" s="5" t="str">
        <f>IFERROR(__xludf.DUMMYFUNCTION("GOOGLETRANSLATE(D246, ""en"", ""hi"")"),"A) खिलाड़ी Y राउंड जीतता है।")</f>
        <v>A) खिलाड़ी Y राउंड जीतता है।</v>
      </c>
    </row>
    <row r="247" ht="22.5" customHeight="1">
      <c r="A247" s="8">
        <v>246.0</v>
      </c>
      <c r="B247" s="3" t="s">
        <v>13522</v>
      </c>
      <c r="C247" s="3" t="s">
        <v>13492</v>
      </c>
      <c r="D247" s="3" t="s">
        <v>13329</v>
      </c>
      <c r="F247" s="5" t="str">
        <f>IFERROR(__xludf.DUMMYFUNCTION("GOOGLETRANSLATE(A247, ""en"", ""hi"")"),"246")</f>
        <v>246</v>
      </c>
      <c r="G247" s="5" t="str">
        <f>IFERROR(__xludf.DUMMYFUNCTION("GOOGLETRANSLATE(B247, ""en"", ""hi"")"),"मुकना में, यदि खिलाड़ी X और खिलाड़ी Y दोनों एक साथ गिर जाते हैं और कोई भी आगे नहीं बढ़ पाता है, तो आमतौर पर राउंड का निर्णय कैसे किया जाता है?")</f>
        <v>मुकना में, यदि खिलाड़ी X और खिलाड़ी Y दोनों एक साथ गिर जाते हैं और कोई भी आगे नहीं बढ़ पाता है, तो आमतौर पर राउंड का निर्णय कैसे किया जाता है?</v>
      </c>
      <c r="H247" s="5" t="str">
        <f>IFERROR(__xludf.DUMMYFUNCTION("GOOGLETRANSLATE(C247,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47" s="5" t="str">
        <f>IFERROR(__xludf.DUMMYFUNCTION("GOOGLETRANSLATE(D247, ""en"", ""hi"")"),"ए) राउंड को ड्रा घोषित किया जाता है।")</f>
        <v>ए) राउंड को ड्रा घोषित किया जाता है।</v>
      </c>
    </row>
    <row r="248" ht="22.5" customHeight="1">
      <c r="A248" s="8">
        <v>247.0</v>
      </c>
      <c r="B248" s="3" t="s">
        <v>13509</v>
      </c>
      <c r="C248" s="3" t="s">
        <v>13416</v>
      </c>
      <c r="D248" s="3" t="s">
        <v>13417</v>
      </c>
      <c r="F248" s="5" t="str">
        <f>IFERROR(__xludf.DUMMYFUNCTION("GOOGLETRANSLATE(A248, ""en"", ""hi"")"),"247")</f>
        <v>247</v>
      </c>
      <c r="G248" s="5" t="str">
        <f>IFERROR(__xludf.DUMMYFUNCTION("GOOGLETRANSLATE(B248,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248" s="5" t="str">
        <f>IFERROR(__xludf.DUMMYFUNCTION("GOOGLETRANSLATE(C248,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48" s="5" t="str">
        <f>IFERROR(__xludf.DUMMYFUNCTION("GOOGLETRANSLATE(D248, ""en"", ""hi"")"),"A) खिलाड़ी Y को विजेता घोषित किया जाता है।")</f>
        <v>A) खिलाड़ी Y को विजेता घोषित किया जाता है।</v>
      </c>
    </row>
    <row r="249" ht="22.5" customHeight="1">
      <c r="A249" s="8">
        <v>248.0</v>
      </c>
      <c r="B249" s="3" t="s">
        <v>13510</v>
      </c>
      <c r="C249" s="3" t="s">
        <v>13492</v>
      </c>
      <c r="D249" s="3" t="s">
        <v>13329</v>
      </c>
      <c r="F249" s="5" t="str">
        <f>IFERROR(__xludf.DUMMYFUNCTION("GOOGLETRANSLATE(A249, ""en"", ""hi"")"),"248")</f>
        <v>248</v>
      </c>
      <c r="G249" s="5" t="str">
        <f>IFERROR(__xludf.DUMMYFUNCTION("GOOGLETRANSLATE(B249, ""en"", ""hi"")"),"यदि खिलाड़ी X और खिलाड़ी Y एक साथ रिंग के बाहर गिर जाते हैं और कोई भी आगे नहीं खेल सकता, तो मुकना में राउंड का निर्णय आमतौर पर कैसे किया जाता है?")</f>
        <v>यदि खिलाड़ी X और खिलाड़ी Y एक साथ रिंग के बाहर गिर जाते हैं और कोई भी आगे नहीं खेल सकता, तो मुकना में राउंड का निर्णय आमतौर पर कैसे किया जाता है?</v>
      </c>
      <c r="H249" s="5" t="str">
        <f>IFERROR(__xludf.DUMMYFUNCTION("GOOGLETRANSLATE(C249,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49" s="5" t="str">
        <f>IFERROR(__xludf.DUMMYFUNCTION("GOOGLETRANSLATE(D249, ""en"", ""hi"")"),"ए) राउंड को ड्रा घोषित किया जाता है।")</f>
        <v>ए) राउंड को ड्रा घोषित किया जाता है।</v>
      </c>
    </row>
    <row r="250" ht="22.5" customHeight="1">
      <c r="A250" s="8">
        <v>249.0</v>
      </c>
      <c r="B250" s="3" t="s">
        <v>13523</v>
      </c>
      <c r="C250" s="3" t="s">
        <v>13388</v>
      </c>
      <c r="D250" s="3" t="s">
        <v>13389</v>
      </c>
      <c r="F250" s="5" t="str">
        <f>IFERROR(__xludf.DUMMYFUNCTION("GOOGLETRANSLATE(A250, ""en"", ""hi"")"),"249")</f>
        <v>249</v>
      </c>
      <c r="G250" s="5" t="str">
        <f>IFERROR(__xludf.DUMMYFUNCTION("GOOGLETRANSLATE(B250, ""en"", ""hi"")"),"मुकना में, यदि खिलाड़ी X एक सफल तकनीक का प्रदर्शन करता है जिसके कारण खिलाड़ी Y गिर जाता है, लेकिन खिलाड़ी X भी संतुलन खो देता है और बाद में गिर जाता है, तो राउंड का निर्णय कैसे किया जाता है?")</f>
        <v>मुकना में, यदि खिलाड़ी X एक सफल तकनीक का प्रदर्शन करता है जिसके कारण खिलाड़ी Y गिर जाता है, लेकिन खिलाड़ी X भी संतुलन खो देता है और बाद में गिर जाता है, तो राउंड का निर्णय कैसे किया जाता है?</v>
      </c>
      <c r="H250" s="5" t="str">
        <f>IFERROR(__xludf.DUMMYFUNCTION("GOOGLETRANSLATE(C250,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50" s="5" t="str">
        <f>IFERROR(__xludf.DUMMYFUNCTION("GOOGLETRANSLATE(D250, ""en"", ""hi"")"),"A) खिलाड़ी Y राउंड जीतता है।")</f>
        <v>A) खिलाड़ी Y राउंड जीतता है।</v>
      </c>
    </row>
    <row r="251" ht="22.5" customHeight="1">
      <c r="A251" s="8">
        <v>250.0</v>
      </c>
      <c r="B251" s="3" t="s">
        <v>13434</v>
      </c>
      <c r="C251" s="3" t="s">
        <v>13492</v>
      </c>
      <c r="D251" s="3" t="s">
        <v>13329</v>
      </c>
      <c r="F251" s="5" t="str">
        <f>IFERROR(__xludf.DUMMYFUNCTION("GOOGLETRANSLATE(A251, ""en"", ""hi"")"),"250")</f>
        <v>250</v>
      </c>
      <c r="G251" s="5" t="str">
        <f>IFERROR(__xludf.DUMMYFUNCTION("GOOGLETRANSLATE(B251, ""en"", ""hi"")"),"मुकना मैच के दौरान, यदि खिलाड़ी X और खिलाड़ी Y दोनों एक साथ गिर जाते हैं और कोई भी आगे नहीं बढ़ पाता है, तो आमतौर पर राउंड का स्कोर कैसे होगा?")</f>
        <v>मुकना मैच के दौरान, यदि खिलाड़ी X और खिलाड़ी Y दोनों एक साथ गिर जाते हैं और कोई भी आगे नहीं बढ़ पाता है, तो आमतौर पर राउंड का स्कोर कैसे होगा?</v>
      </c>
      <c r="H251" s="5" t="str">
        <f>IFERROR(__xludf.DUMMYFUNCTION("GOOGLETRANSLATE(C251,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51" s="5" t="str">
        <f>IFERROR(__xludf.DUMMYFUNCTION("GOOGLETRANSLATE(D251, ""en"", ""hi"")"),"ए) राउंड को ड्रा घोषित किया जाता है।")</f>
        <v>ए) राउंड को ड्रा घोषित किया जाता है।</v>
      </c>
    </row>
    <row r="252" ht="22.5" customHeight="1">
      <c r="A252" s="8">
        <v>251.0</v>
      </c>
      <c r="B252" s="3" t="s">
        <v>13524</v>
      </c>
      <c r="C252" s="3" t="s">
        <v>13416</v>
      </c>
      <c r="D252" s="3" t="s">
        <v>13417</v>
      </c>
      <c r="F252" s="5" t="str">
        <f>IFERROR(__xludf.DUMMYFUNCTION("GOOGLETRANSLATE(A252, ""en"", ""hi"")"),"251")</f>
        <v>251</v>
      </c>
      <c r="G252" s="5" t="str">
        <f>IFERROR(__xludf.DUMMYFUNCTION("GOOGLETRANSLATE(B252, ""en"", ""hi"")"),"यदि खिलाड़ी X कोई अवैध तकनीक अपनाता है जिसके परिणामस्वरूप खिलाड़ी Y गिर जाता है, तो मुकना में राउंड का सामान्य परिणाम क्या होता है?")</f>
        <v>यदि खिलाड़ी X कोई अवैध तकनीक अपनाता है जिसके परिणामस्वरूप खिलाड़ी Y गिर जाता है, तो मुकना में राउंड का सामान्य परिणाम क्या होता है?</v>
      </c>
      <c r="H252" s="5" t="str">
        <f>IFERROR(__xludf.DUMMYFUNCTION("GOOGLETRANSLATE(C252,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52" s="5" t="str">
        <f>IFERROR(__xludf.DUMMYFUNCTION("GOOGLETRANSLATE(D252, ""en"", ""hi"")"),"A) खिलाड़ी Y को विजेता घोषित किया जाता है।")</f>
        <v>A) खिलाड़ी Y को विजेता घोषित किया जाता है।</v>
      </c>
    </row>
    <row r="253" ht="22.5" customHeight="1">
      <c r="A253" s="8">
        <v>252.0</v>
      </c>
      <c r="B253" s="3" t="s">
        <v>13514</v>
      </c>
      <c r="C253" s="3" t="s">
        <v>13492</v>
      </c>
      <c r="D253" s="3" t="s">
        <v>13329</v>
      </c>
      <c r="F253" s="5" t="str">
        <f>IFERROR(__xludf.DUMMYFUNCTION("GOOGLETRANSLATE(A253, ""en"", ""hi"")"),"252")</f>
        <v>252</v>
      </c>
      <c r="G253" s="5" t="str">
        <f>IFERROR(__xludf.DUMMYFUNCTION("GOOGLETRANSLATE(B253, ""en"", ""hi"")"),"मुकना मुकाबले के दौरान, यदि खिलाड़ी X और खिलाड़ी Y दोनों एक ही समय पर रिंग के बाहर गिर जाते हैं और कोई भी आगे नहीं खेल सकता, तो सामान्य परिणाम क्या होगा?")</f>
        <v>मुकना मुकाबले के दौरान, यदि खिलाड़ी X और खिलाड़ी Y दोनों एक ही समय पर रिंग के बाहर गिर जाते हैं और कोई भी आगे नहीं खेल सकता, तो सामान्य परिणाम क्या होगा?</v>
      </c>
      <c r="H253" s="5" t="str">
        <f>IFERROR(__xludf.DUMMYFUNCTION("GOOGLETRANSLATE(C253,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53" s="5" t="str">
        <f>IFERROR(__xludf.DUMMYFUNCTION("GOOGLETRANSLATE(D253, ""en"", ""hi"")"),"ए) राउंड को ड्रा घोषित किया जाता है।")</f>
        <v>ए) राउंड को ड्रा घोषित किया जाता है।</v>
      </c>
    </row>
    <row r="254" ht="22.5" customHeight="1">
      <c r="A254" s="8">
        <v>253.0</v>
      </c>
      <c r="B254" s="3" t="s">
        <v>13525</v>
      </c>
      <c r="C254" s="3" t="s">
        <v>13388</v>
      </c>
      <c r="D254" s="3" t="s">
        <v>13389</v>
      </c>
      <c r="F254" s="5" t="str">
        <f>IFERROR(__xludf.DUMMYFUNCTION("GOOGLETRANSLATE(A254, ""en"", ""hi"")"),"253")</f>
        <v>253</v>
      </c>
      <c r="G254" s="5" t="str">
        <f>IFERROR(__xludf.DUMMYFUNCTION("GOOGLETRANSLATE(B254, ""en"", ""hi"")"),"यदि खिलाड़ी X ऐसी तकनीक का प्रयोग करता है जिससे खिलाड़ी Y गिर जाता है, लेकिन उसके बाद खिलाड़ी X भी गिर जाता है, तो मुकना में कौन जीतता है?")</f>
        <v>यदि खिलाड़ी X ऐसी तकनीक का प्रयोग करता है जिससे खिलाड़ी Y गिर जाता है, लेकिन उसके बाद खिलाड़ी X भी गिर जाता है, तो मुकना में कौन जीतता है?</v>
      </c>
      <c r="H254" s="5" t="str">
        <f>IFERROR(__xludf.DUMMYFUNCTION("GOOGLETRANSLATE(C254,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54" s="5" t="str">
        <f>IFERROR(__xludf.DUMMYFUNCTION("GOOGLETRANSLATE(D254, ""en"", ""hi"")"),"A) खिलाड़ी Y राउंड जीतता है।")</f>
        <v>A) खिलाड़ी Y राउंड जीतता है।</v>
      </c>
    </row>
    <row r="255" ht="22.5" customHeight="1">
      <c r="A255" s="8">
        <v>254.0</v>
      </c>
      <c r="B255" s="3" t="s">
        <v>13522</v>
      </c>
      <c r="C255" s="3" t="s">
        <v>13492</v>
      </c>
      <c r="D255" s="3" t="s">
        <v>13329</v>
      </c>
      <c r="F255" s="5" t="str">
        <f>IFERROR(__xludf.DUMMYFUNCTION("GOOGLETRANSLATE(A255, ""en"", ""hi"")"),"254")</f>
        <v>254</v>
      </c>
      <c r="G255" s="5" t="str">
        <f>IFERROR(__xludf.DUMMYFUNCTION("GOOGLETRANSLATE(B255, ""en"", ""hi"")"),"मुकना में, यदि खिलाड़ी X और खिलाड़ी Y दोनों एक साथ गिर जाते हैं और कोई भी आगे नहीं बढ़ पाता है, तो आमतौर पर राउंड का निर्णय कैसे किया जाता है?")</f>
        <v>मुकना में, यदि खिलाड़ी X और खिलाड़ी Y दोनों एक साथ गिर जाते हैं और कोई भी आगे नहीं बढ़ पाता है, तो आमतौर पर राउंड का निर्णय कैसे किया जाता है?</v>
      </c>
      <c r="H255" s="5" t="str">
        <f>IFERROR(__xludf.DUMMYFUNCTION("GOOGLETRANSLATE(C255,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55" s="5" t="str">
        <f>IFERROR(__xludf.DUMMYFUNCTION("GOOGLETRANSLATE(D255, ""en"", ""hi"")"),"ए) राउंड को ड्रा घोषित किया जाता है।")</f>
        <v>ए) राउंड को ड्रा घोषित किया जाता है।</v>
      </c>
    </row>
    <row r="256" ht="22.5" customHeight="1">
      <c r="A256" s="8">
        <v>255.0</v>
      </c>
      <c r="B256" s="3" t="s">
        <v>13516</v>
      </c>
      <c r="C256" s="3" t="s">
        <v>13416</v>
      </c>
      <c r="D256" s="3" t="s">
        <v>13417</v>
      </c>
      <c r="F256" s="5" t="str">
        <f>IFERROR(__xludf.DUMMYFUNCTION("GOOGLETRANSLATE(A256, ""en"", ""hi"")"),"255")</f>
        <v>255</v>
      </c>
      <c r="G256" s="5" t="str">
        <f>IFERROR(__xludf.DUMMYFUNCTION("GOOGLETRANSLATE(B256,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256" s="5" t="str">
        <f>IFERROR(__xludf.DUMMYFUNCTION("GOOGLETRANSLATE(C256,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56" s="5" t="str">
        <f>IFERROR(__xludf.DUMMYFUNCTION("GOOGLETRANSLATE(D256, ""en"", ""hi"")"),"A) खिलाड़ी Y को विजेता घोषित किया जाता है।")</f>
        <v>A) खिलाड़ी Y को विजेता घोषित किया जाता है।</v>
      </c>
    </row>
    <row r="257" ht="22.5" customHeight="1">
      <c r="A257" s="8">
        <v>256.0</v>
      </c>
      <c r="B257" s="3" t="s">
        <v>13526</v>
      </c>
      <c r="C257" s="3" t="s">
        <v>13492</v>
      </c>
      <c r="D257" s="3" t="s">
        <v>13329</v>
      </c>
      <c r="F257" s="5" t="str">
        <f>IFERROR(__xludf.DUMMYFUNCTION("GOOGLETRANSLATE(A257, ""en"", ""hi"")"),"256")</f>
        <v>256</v>
      </c>
      <c r="G257" s="5" t="str">
        <f>IFERROR(__xludf.DUMMYFUNCTION("GOOGLETRANSLATE(B257, ""en"", ""hi"")"),"यदि खिलाड़ी X और खिलाड़ी Y दोनों एक साथ रिंग के बाहर गिर जाते हैं और कोई भी आगे नहीं खेल सकता, तो आमतौर पर मुकना में राउंड का फैसला कैसे किया जाता है?")</f>
        <v>यदि खिलाड़ी X और खिलाड़ी Y दोनों एक साथ रिंग के बाहर गिर जाते हैं और कोई भी आगे नहीं खेल सकता, तो आमतौर पर मुकना में राउंड का फैसला कैसे किया जाता है?</v>
      </c>
      <c r="H257" s="5" t="str">
        <f>IFERROR(__xludf.DUMMYFUNCTION("GOOGLETRANSLATE(C257,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57" s="5" t="str">
        <f>IFERROR(__xludf.DUMMYFUNCTION("GOOGLETRANSLATE(D257, ""en"", ""hi"")"),"ए) राउंड को ड्रा घोषित किया जाता है।")</f>
        <v>ए) राउंड को ड्रा घोषित किया जाता है।</v>
      </c>
    </row>
    <row r="258" ht="22.5" customHeight="1">
      <c r="A258" s="8">
        <v>257.0</v>
      </c>
      <c r="B258" s="3" t="s">
        <v>13527</v>
      </c>
      <c r="C258" s="3" t="s">
        <v>13388</v>
      </c>
      <c r="D258" s="3" t="s">
        <v>13389</v>
      </c>
      <c r="F258" s="5" t="str">
        <f>IFERROR(__xludf.DUMMYFUNCTION("GOOGLETRANSLATE(A258, ""en"", ""hi"")"),"257")</f>
        <v>257</v>
      </c>
      <c r="G258" s="5" t="str">
        <f>IFERROR(__xludf.DUMMYFUNCTION("GOOGLETRANSLATE(B258, ""en"", ""hi"")"),"मुकना में, यदि खिलाड़ी X एक सफल तकनीक का प्रदर्शन करता है और खिलाड़ी Y को गिरा देता है, लेकिन खिलाड़ी X भी संतुलन खो देता है और बाद में गिर जाता है, तो राउंड का निर्णय कैसे किया जाता है?")</f>
        <v>मुकना में, यदि खिलाड़ी X एक सफल तकनीक का प्रदर्शन करता है और खिलाड़ी Y को गिरा देता है, लेकिन खिलाड़ी X भी संतुलन खो देता है और बाद में गिर जाता है, तो राउंड का निर्णय कैसे किया जाता है?</v>
      </c>
      <c r="H258" s="5" t="str">
        <f>IFERROR(__xludf.DUMMYFUNCTION("GOOGLETRANSLATE(C258,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58" s="5" t="str">
        <f>IFERROR(__xludf.DUMMYFUNCTION("GOOGLETRANSLATE(D258, ""en"", ""hi"")"),"A) खिलाड़ी Y राउंड जीतता है।")</f>
        <v>A) खिलाड़ी Y राउंड जीतता है।</v>
      </c>
    </row>
    <row r="259" ht="22.5" customHeight="1">
      <c r="A259" s="8">
        <v>258.0</v>
      </c>
      <c r="B259" s="3" t="s">
        <v>13434</v>
      </c>
      <c r="C259" s="3" t="s">
        <v>13492</v>
      </c>
      <c r="D259" s="3" t="s">
        <v>13329</v>
      </c>
      <c r="F259" s="5" t="str">
        <f>IFERROR(__xludf.DUMMYFUNCTION("GOOGLETRANSLATE(A259, ""en"", ""hi"")"),"258")</f>
        <v>258</v>
      </c>
      <c r="G259" s="5" t="str">
        <f>IFERROR(__xludf.DUMMYFUNCTION("GOOGLETRANSLATE(B259, ""en"", ""hi"")"),"मुकना मैच के दौरान, यदि खिलाड़ी X और खिलाड़ी Y दोनों एक साथ गिर जाते हैं और कोई भी आगे नहीं बढ़ पाता है, तो आमतौर पर राउंड का स्कोर कैसे होगा?")</f>
        <v>मुकना मैच के दौरान, यदि खिलाड़ी X और खिलाड़ी Y दोनों एक साथ गिर जाते हैं और कोई भी आगे नहीं बढ़ पाता है, तो आमतौर पर राउंड का स्कोर कैसे होगा?</v>
      </c>
      <c r="H259" s="5" t="str">
        <f>IFERROR(__xludf.DUMMYFUNCTION("GOOGLETRANSLATE(C259,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59" s="5" t="str">
        <f>IFERROR(__xludf.DUMMYFUNCTION("GOOGLETRANSLATE(D259, ""en"", ""hi"")"),"ए) राउंड को ड्रा घोषित किया जाता है।")</f>
        <v>ए) राउंड को ड्रा घोषित किया जाता है।</v>
      </c>
    </row>
    <row r="260" ht="22.5" customHeight="1">
      <c r="A260" s="8">
        <v>259.0</v>
      </c>
      <c r="B260" s="3" t="s">
        <v>13524</v>
      </c>
      <c r="C260" s="3" t="s">
        <v>13416</v>
      </c>
      <c r="D260" s="3" t="s">
        <v>13417</v>
      </c>
      <c r="F260" s="5" t="str">
        <f>IFERROR(__xludf.DUMMYFUNCTION("GOOGLETRANSLATE(A260, ""en"", ""hi"")"),"259")</f>
        <v>259</v>
      </c>
      <c r="G260" s="5" t="str">
        <f>IFERROR(__xludf.DUMMYFUNCTION("GOOGLETRANSLATE(B260, ""en"", ""hi"")"),"यदि खिलाड़ी X कोई अवैध तकनीक अपनाता है जिसके परिणामस्वरूप खिलाड़ी Y गिर जाता है, तो मुकना में राउंड का सामान्य परिणाम क्या होता है?")</f>
        <v>यदि खिलाड़ी X कोई अवैध तकनीक अपनाता है जिसके परिणामस्वरूप खिलाड़ी Y गिर जाता है, तो मुकना में राउंड का सामान्य परिणाम क्या होता है?</v>
      </c>
      <c r="H260" s="5" t="str">
        <f>IFERROR(__xludf.DUMMYFUNCTION("GOOGLETRANSLATE(C260,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60" s="5" t="str">
        <f>IFERROR(__xludf.DUMMYFUNCTION("GOOGLETRANSLATE(D260, ""en"", ""hi"")"),"A) खिलाड़ी Y को विजेता घोषित किया जाता है।")</f>
        <v>A) खिलाड़ी Y को विजेता घोषित किया जाता है।</v>
      </c>
    </row>
    <row r="261" ht="22.5" customHeight="1">
      <c r="A261" s="8">
        <v>260.0</v>
      </c>
      <c r="B261" s="3" t="s">
        <v>13514</v>
      </c>
      <c r="C261" s="3" t="s">
        <v>13492</v>
      </c>
      <c r="D261" s="3" t="s">
        <v>13329</v>
      </c>
      <c r="F261" s="5" t="str">
        <f>IFERROR(__xludf.DUMMYFUNCTION("GOOGLETRANSLATE(A261, ""en"", ""hi"")"),"260")</f>
        <v>260</v>
      </c>
      <c r="G261" s="5" t="str">
        <f>IFERROR(__xludf.DUMMYFUNCTION("GOOGLETRANSLATE(B261, ""en"", ""hi"")"),"मुकना मुकाबले के दौरान, यदि खिलाड़ी X और खिलाड़ी Y दोनों एक ही समय पर रिंग के बाहर गिर जाते हैं और कोई भी आगे नहीं खेल सकता, तो सामान्य परिणाम क्या होगा?")</f>
        <v>मुकना मुकाबले के दौरान, यदि खिलाड़ी X और खिलाड़ी Y दोनों एक ही समय पर रिंग के बाहर गिर जाते हैं और कोई भी आगे नहीं खेल सकता, तो सामान्य परिणाम क्या होगा?</v>
      </c>
      <c r="H261" s="5" t="str">
        <f>IFERROR(__xludf.DUMMYFUNCTION("GOOGLETRANSLATE(C261,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61" s="5" t="str">
        <f>IFERROR(__xludf.DUMMYFUNCTION("GOOGLETRANSLATE(D261, ""en"", ""hi"")"),"ए) राउंड को ड्रा घोषित किया जाता है।")</f>
        <v>ए) राउंड को ड्रा घोषित किया जाता है।</v>
      </c>
    </row>
    <row r="262" ht="22.5" customHeight="1">
      <c r="A262" s="8">
        <v>261.0</v>
      </c>
      <c r="B262" s="3" t="s">
        <v>13525</v>
      </c>
      <c r="C262" s="3" t="s">
        <v>13388</v>
      </c>
      <c r="D262" s="3" t="s">
        <v>13389</v>
      </c>
      <c r="F262" s="5" t="str">
        <f>IFERROR(__xludf.DUMMYFUNCTION("GOOGLETRANSLATE(A262, ""en"", ""hi"")"),"261")</f>
        <v>261</v>
      </c>
      <c r="G262" s="5" t="str">
        <f>IFERROR(__xludf.DUMMYFUNCTION("GOOGLETRANSLATE(B262, ""en"", ""hi"")"),"यदि खिलाड़ी X ऐसी तकनीक का प्रयोग करता है जिससे खिलाड़ी Y गिर जाता है, लेकिन उसके बाद खिलाड़ी X भी गिर जाता है, तो मुकना में कौन जीतता है?")</f>
        <v>यदि खिलाड़ी X ऐसी तकनीक का प्रयोग करता है जिससे खिलाड़ी Y गिर जाता है, लेकिन उसके बाद खिलाड़ी X भी गिर जाता है, तो मुकना में कौन जीतता है?</v>
      </c>
      <c r="H262" s="5" t="str">
        <f>IFERROR(__xludf.DUMMYFUNCTION("GOOGLETRANSLATE(C262,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62" s="5" t="str">
        <f>IFERROR(__xludf.DUMMYFUNCTION("GOOGLETRANSLATE(D262, ""en"", ""hi"")"),"A) खिलाड़ी Y राउंड जीतता है।")</f>
        <v>A) खिलाड़ी Y राउंड जीतता है।</v>
      </c>
    </row>
    <row r="263" ht="22.5" customHeight="1">
      <c r="A263" s="8">
        <v>262.0</v>
      </c>
      <c r="B263" s="3" t="s">
        <v>13522</v>
      </c>
      <c r="C263" s="3" t="s">
        <v>13492</v>
      </c>
      <c r="D263" s="3" t="s">
        <v>13329</v>
      </c>
      <c r="F263" s="5" t="str">
        <f>IFERROR(__xludf.DUMMYFUNCTION("GOOGLETRANSLATE(A263, ""en"", ""hi"")"),"262")</f>
        <v>262</v>
      </c>
      <c r="G263" s="5" t="str">
        <f>IFERROR(__xludf.DUMMYFUNCTION("GOOGLETRANSLATE(B263, ""en"", ""hi"")"),"मुकना में, यदि खिलाड़ी X और खिलाड़ी Y दोनों एक साथ गिर जाते हैं और कोई भी आगे नहीं बढ़ पाता है, तो आमतौर पर राउंड का निर्णय कैसे किया जाता है?")</f>
        <v>मुकना में, यदि खिलाड़ी X और खिलाड़ी Y दोनों एक साथ गिर जाते हैं और कोई भी आगे नहीं बढ़ पाता है, तो आमतौर पर राउंड का निर्णय कैसे किया जाता है?</v>
      </c>
      <c r="H263" s="5" t="str">
        <f>IFERROR(__xludf.DUMMYFUNCTION("GOOGLETRANSLATE(C263,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63" s="5" t="str">
        <f>IFERROR(__xludf.DUMMYFUNCTION("GOOGLETRANSLATE(D263, ""en"", ""hi"")"),"ए) राउंड को ड्रा घोषित किया जाता है।")</f>
        <v>ए) राउंड को ड्रा घोषित किया जाता है।</v>
      </c>
    </row>
    <row r="264" ht="22.5" customHeight="1">
      <c r="A264" s="8">
        <v>263.0</v>
      </c>
      <c r="B264" s="3" t="s">
        <v>13516</v>
      </c>
      <c r="C264" s="3" t="s">
        <v>13416</v>
      </c>
      <c r="D264" s="3" t="s">
        <v>13417</v>
      </c>
      <c r="F264" s="5" t="str">
        <f>IFERROR(__xludf.DUMMYFUNCTION("GOOGLETRANSLATE(A264, ""en"", ""hi"")"),"263")</f>
        <v>263</v>
      </c>
      <c r="G264" s="5" t="str">
        <f>IFERROR(__xludf.DUMMYFUNCTION("GOOGLETRANSLATE(B264,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264" s="5" t="str">
        <f>IFERROR(__xludf.DUMMYFUNCTION("GOOGLETRANSLATE(C264,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64" s="5" t="str">
        <f>IFERROR(__xludf.DUMMYFUNCTION("GOOGLETRANSLATE(D264, ""en"", ""hi"")"),"A) खिलाड़ी Y को विजेता घोषित किया जाता है।")</f>
        <v>A) खिलाड़ी Y को विजेता घोषित किया जाता है।</v>
      </c>
    </row>
    <row r="265" ht="22.5" customHeight="1">
      <c r="A265" s="8">
        <v>264.0</v>
      </c>
      <c r="B265" s="3" t="s">
        <v>13510</v>
      </c>
      <c r="C265" s="3" t="s">
        <v>13492</v>
      </c>
      <c r="D265" s="3" t="s">
        <v>13329</v>
      </c>
      <c r="F265" s="5" t="str">
        <f>IFERROR(__xludf.DUMMYFUNCTION("GOOGLETRANSLATE(A265, ""en"", ""hi"")"),"264")</f>
        <v>264</v>
      </c>
      <c r="G265" s="5" t="str">
        <f>IFERROR(__xludf.DUMMYFUNCTION("GOOGLETRANSLATE(B265, ""en"", ""hi"")"),"यदि खिलाड़ी X और खिलाड़ी Y एक साथ रिंग के बाहर गिर जाते हैं और कोई भी आगे नहीं खेल सकता, तो मुकना में राउंड का निर्णय आमतौर पर कैसे किया जाता है?")</f>
        <v>यदि खिलाड़ी X और खिलाड़ी Y एक साथ रिंग के बाहर गिर जाते हैं और कोई भी आगे नहीं खेल सकता, तो मुकना में राउंड का निर्णय आमतौर पर कैसे किया जाता है?</v>
      </c>
      <c r="H265" s="5" t="str">
        <f>IFERROR(__xludf.DUMMYFUNCTION("GOOGLETRANSLATE(C265,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65" s="5" t="str">
        <f>IFERROR(__xludf.DUMMYFUNCTION("GOOGLETRANSLATE(D265, ""en"", ""hi"")"),"ए) राउंड को ड्रा घोषित किया जाता है।")</f>
        <v>ए) राउंड को ड्रा घोषित किया जाता है।</v>
      </c>
    </row>
    <row r="266" ht="22.5" customHeight="1">
      <c r="A266" s="8">
        <v>265.0</v>
      </c>
      <c r="B266" s="3" t="s">
        <v>13518</v>
      </c>
      <c r="C266" s="3" t="s">
        <v>13388</v>
      </c>
      <c r="D266" s="3" t="s">
        <v>13389</v>
      </c>
      <c r="F266" s="5" t="str">
        <f>IFERROR(__xludf.DUMMYFUNCTION("GOOGLETRANSLATE(A266, ""en"", ""hi"")"),"265")</f>
        <v>265</v>
      </c>
      <c r="G266" s="5" t="str">
        <f>IFERROR(__xludf.DUMMYFUNCTION("GOOGLETRANSLATE(B266, ""en"", ""hi"")"),"मुकना में, यदि खिलाड़ी X एक सफल तकनीक का प्रदर्शन करता है और खिलाड़ी Y को गिरा देता है, लेकिन खिलाड़ी X भी बाद में गिर जाता है, तो राउंड का निर्णय कैसे किया जाता है?")</f>
        <v>मुकना में, यदि खिलाड़ी X एक सफल तकनीक का प्रदर्शन करता है और खिलाड़ी Y को गिरा देता है, लेकिन खिलाड़ी X भी बाद में गिर जाता है, तो राउंड का निर्णय कैसे किया जाता है?</v>
      </c>
      <c r="H266" s="5" t="str">
        <f>IFERROR(__xludf.DUMMYFUNCTION("GOOGLETRANSLATE(C266,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66" s="5" t="str">
        <f>IFERROR(__xludf.DUMMYFUNCTION("GOOGLETRANSLATE(D266, ""en"", ""hi"")"),"A) खिलाड़ी Y राउंड जीतता है।")</f>
        <v>A) खिलाड़ी Y राउंड जीतता है।</v>
      </c>
    </row>
    <row r="267" ht="22.5" customHeight="1">
      <c r="A267" s="8">
        <v>266.0</v>
      </c>
      <c r="B267" s="3" t="s">
        <v>13434</v>
      </c>
      <c r="C267" s="3" t="s">
        <v>13492</v>
      </c>
      <c r="D267" s="3" t="s">
        <v>13329</v>
      </c>
      <c r="F267" s="5" t="str">
        <f>IFERROR(__xludf.DUMMYFUNCTION("GOOGLETRANSLATE(A267, ""en"", ""hi"")"),"266")</f>
        <v>266</v>
      </c>
      <c r="G267" s="5" t="str">
        <f>IFERROR(__xludf.DUMMYFUNCTION("GOOGLETRANSLATE(B267, ""en"", ""hi"")"),"मुकना मैच के दौरान, यदि खिलाड़ी X और खिलाड़ी Y दोनों एक साथ गिर जाते हैं और कोई भी आगे नहीं बढ़ पाता है, तो आमतौर पर राउंड का स्कोर कैसे होगा?")</f>
        <v>मुकना मैच के दौरान, यदि खिलाड़ी X और खिलाड़ी Y दोनों एक साथ गिर जाते हैं और कोई भी आगे नहीं बढ़ पाता है, तो आमतौर पर राउंड का स्कोर कैसे होगा?</v>
      </c>
      <c r="H267" s="5" t="str">
        <f>IFERROR(__xludf.DUMMYFUNCTION("GOOGLETRANSLATE(C267,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67" s="5" t="str">
        <f>IFERROR(__xludf.DUMMYFUNCTION("GOOGLETRANSLATE(D267, ""en"", ""hi"")"),"ए) राउंड को ड्रा घोषित किया जाता है।")</f>
        <v>ए) राउंड को ड्रा घोषित किया जाता है।</v>
      </c>
    </row>
    <row r="268" ht="22.5" customHeight="1">
      <c r="A268" s="8">
        <v>267.0</v>
      </c>
      <c r="B268" s="3" t="s">
        <v>13520</v>
      </c>
      <c r="C268" s="3" t="s">
        <v>13416</v>
      </c>
      <c r="D268" s="3" t="s">
        <v>13417</v>
      </c>
      <c r="F268" s="5" t="str">
        <f>IFERROR(__xludf.DUMMYFUNCTION("GOOGLETRANSLATE(A268, ""en"", ""hi"")"),"267")</f>
        <v>267</v>
      </c>
      <c r="G268" s="5" t="str">
        <f>IFERROR(__xludf.DUMMYFUNCTION("GOOGLETRANSLATE(B268, ""en"", ""hi"")"),"यदि खिलाड़ी X कोई अवैध चाल चलता है जिसके परिणामस्वरूप खिलाड़ी Y गिर जाता है, तो मुकना में राउंड का सामान्य परिणाम क्या होता है?")</f>
        <v>यदि खिलाड़ी X कोई अवैध चाल चलता है जिसके परिणामस्वरूप खिलाड़ी Y गिर जाता है, तो मुकना में राउंड का सामान्य परिणाम क्या होता है?</v>
      </c>
      <c r="H268" s="5" t="str">
        <f>IFERROR(__xludf.DUMMYFUNCTION("GOOGLETRANSLATE(C268,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68" s="5" t="str">
        <f>IFERROR(__xludf.DUMMYFUNCTION("GOOGLETRANSLATE(D268, ""en"", ""hi"")"),"A) खिलाड़ी Y को विजेता घोषित किया जाता है।")</f>
        <v>A) खिलाड़ी Y को विजेता घोषित किया जाता है।</v>
      </c>
    </row>
    <row r="269" ht="22.5" customHeight="1">
      <c r="A269" s="8">
        <v>268.0</v>
      </c>
      <c r="B269" s="3" t="s">
        <v>13514</v>
      </c>
      <c r="C269" s="3" t="s">
        <v>13492</v>
      </c>
      <c r="D269" s="3" t="s">
        <v>13329</v>
      </c>
      <c r="F269" s="5" t="str">
        <f>IFERROR(__xludf.DUMMYFUNCTION("GOOGLETRANSLATE(A269, ""en"", ""hi"")"),"268")</f>
        <v>268</v>
      </c>
      <c r="G269" s="5" t="str">
        <f>IFERROR(__xludf.DUMMYFUNCTION("GOOGLETRANSLATE(B269, ""en"", ""hi"")"),"मुकना मुकाबले के दौरान, यदि खिलाड़ी X और खिलाड़ी Y दोनों एक ही समय पर रिंग के बाहर गिर जाते हैं और कोई भी आगे नहीं खेल सकता, तो सामान्य परिणाम क्या होगा?")</f>
        <v>मुकना मुकाबले के दौरान, यदि खिलाड़ी X और खिलाड़ी Y दोनों एक ही समय पर रिंग के बाहर गिर जाते हैं और कोई भी आगे नहीं खेल सकता, तो सामान्य परिणाम क्या होगा?</v>
      </c>
      <c r="H269" s="5" t="str">
        <f>IFERROR(__xludf.DUMMYFUNCTION("GOOGLETRANSLATE(C269,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69" s="5" t="str">
        <f>IFERROR(__xludf.DUMMYFUNCTION("GOOGLETRANSLATE(D269, ""en"", ""hi"")"),"ए) राउंड को ड्रा घोषित किया जाता है।")</f>
        <v>ए) राउंड को ड्रा घोषित किया जाता है।</v>
      </c>
    </row>
    <row r="270" ht="22.5" customHeight="1">
      <c r="A270" s="8">
        <v>269.0</v>
      </c>
      <c r="B270" s="3" t="s">
        <v>13525</v>
      </c>
      <c r="C270" s="3" t="s">
        <v>13388</v>
      </c>
      <c r="D270" s="3" t="s">
        <v>13389</v>
      </c>
      <c r="F270" s="5" t="str">
        <f>IFERROR(__xludf.DUMMYFUNCTION("GOOGLETRANSLATE(A270, ""en"", ""hi"")"),"269")</f>
        <v>269</v>
      </c>
      <c r="G270" s="5" t="str">
        <f>IFERROR(__xludf.DUMMYFUNCTION("GOOGLETRANSLATE(B270, ""en"", ""hi"")"),"यदि खिलाड़ी X ऐसी तकनीक का प्रयोग करता है जिससे खिलाड़ी Y गिर जाता है, लेकिन उसके बाद खिलाड़ी X भी गिर जाता है, तो मुकना में कौन जीतता है?")</f>
        <v>यदि खिलाड़ी X ऐसी तकनीक का प्रयोग करता है जिससे खिलाड़ी Y गिर जाता है, लेकिन उसके बाद खिलाड़ी X भी गिर जाता है, तो मुकना में कौन जीतता है?</v>
      </c>
      <c r="H270" s="5" t="str">
        <f>IFERROR(__xludf.DUMMYFUNCTION("GOOGLETRANSLATE(C270,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70" s="5" t="str">
        <f>IFERROR(__xludf.DUMMYFUNCTION("GOOGLETRANSLATE(D270, ""en"", ""hi"")"),"A) खिलाड़ी Y राउंड जीतता है।")</f>
        <v>A) खिलाड़ी Y राउंड जीतता है।</v>
      </c>
    </row>
    <row r="271" ht="22.5" customHeight="1">
      <c r="A271" s="8">
        <v>270.0</v>
      </c>
      <c r="B271" s="3" t="s">
        <v>13522</v>
      </c>
      <c r="C271" s="3" t="s">
        <v>13492</v>
      </c>
      <c r="D271" s="3" t="s">
        <v>13329</v>
      </c>
      <c r="F271" s="5" t="str">
        <f>IFERROR(__xludf.DUMMYFUNCTION("GOOGLETRANSLATE(A271, ""en"", ""hi"")"),"270")</f>
        <v>270</v>
      </c>
      <c r="G271" s="5" t="str">
        <f>IFERROR(__xludf.DUMMYFUNCTION("GOOGLETRANSLATE(B271, ""en"", ""hi"")"),"मुकना में, यदि खिलाड़ी X और खिलाड़ी Y दोनों एक साथ गिर जाते हैं और कोई भी आगे नहीं बढ़ पाता है, तो आमतौर पर राउंड का निर्णय कैसे किया जाता है?")</f>
        <v>मुकना में, यदि खिलाड़ी X और खिलाड़ी Y दोनों एक साथ गिर जाते हैं और कोई भी आगे नहीं बढ़ पाता है, तो आमतौर पर राउंड का निर्णय कैसे किया जाता है?</v>
      </c>
      <c r="H271" s="5" t="str">
        <f>IFERROR(__xludf.DUMMYFUNCTION("GOOGLETRANSLATE(C271,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71" s="5" t="str">
        <f>IFERROR(__xludf.DUMMYFUNCTION("GOOGLETRANSLATE(D271, ""en"", ""hi"")"),"ए) राउंड को ड्रा घोषित किया जाता है।")</f>
        <v>ए) राउंड को ड्रा घोषित किया जाता है।</v>
      </c>
    </row>
    <row r="272" ht="22.5" customHeight="1">
      <c r="A272" s="8">
        <v>271.0</v>
      </c>
      <c r="B272" s="3" t="s">
        <v>13516</v>
      </c>
      <c r="C272" s="3" t="s">
        <v>13416</v>
      </c>
      <c r="D272" s="3" t="s">
        <v>13417</v>
      </c>
      <c r="F272" s="5" t="str">
        <f>IFERROR(__xludf.DUMMYFUNCTION("GOOGLETRANSLATE(A272, ""en"", ""hi"")"),"271")</f>
        <v>271</v>
      </c>
      <c r="G272" s="5" t="str">
        <f>IFERROR(__xludf.DUMMYFUNCTION("GOOGLETRANSLATE(B272, ""en"", ""hi"")"),"मुकना मैच के दौरान, यदि खिलाड़ी X कोई अवैध तकनीक अपनाता है जिसके कारण खिलाड़ी Y गिर जाता है, तो उस राउंड का सामान्य परिणाम क्या होता है?")</f>
        <v>मुकना मैच के दौरान, यदि खिलाड़ी X कोई अवैध तकनीक अपनाता है जिसके कारण खिलाड़ी Y गिर जाता है, तो उस राउंड का सामान्य परिणाम क्या होता है?</v>
      </c>
      <c r="H272" s="5" t="str">
        <f>IFERROR(__xludf.DUMMYFUNCTION("GOOGLETRANSLATE(C272,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72" s="5" t="str">
        <f>IFERROR(__xludf.DUMMYFUNCTION("GOOGLETRANSLATE(D272, ""en"", ""hi"")"),"A) खिलाड़ी Y को विजेता घोषित किया जाता है।")</f>
        <v>A) खिलाड़ी Y को विजेता घोषित किया जाता है।</v>
      </c>
    </row>
    <row r="273" ht="22.5" customHeight="1">
      <c r="A273" s="8">
        <v>272.0</v>
      </c>
      <c r="B273" s="3" t="s">
        <v>13510</v>
      </c>
      <c r="C273" s="3" t="s">
        <v>13492</v>
      </c>
      <c r="D273" s="3" t="s">
        <v>13329</v>
      </c>
      <c r="F273" s="5" t="str">
        <f>IFERROR(__xludf.DUMMYFUNCTION("GOOGLETRANSLATE(A273, ""en"", ""hi"")"),"272")</f>
        <v>272</v>
      </c>
      <c r="G273" s="5" t="str">
        <f>IFERROR(__xludf.DUMMYFUNCTION("GOOGLETRANSLATE(B273, ""en"", ""hi"")"),"यदि खिलाड़ी X और खिलाड़ी Y एक साथ रिंग के बाहर गिर जाते हैं और कोई भी आगे नहीं खेल सकता, तो मुकना में राउंड का निर्णय आमतौर पर कैसे किया जाता है?")</f>
        <v>यदि खिलाड़ी X और खिलाड़ी Y एक साथ रिंग के बाहर गिर जाते हैं और कोई भी आगे नहीं खेल सकता, तो मुकना में राउंड का निर्णय आमतौर पर कैसे किया जाता है?</v>
      </c>
      <c r="H273" s="5" t="str">
        <f>IFERROR(__xludf.DUMMYFUNCTION("GOOGLETRANSLATE(C273,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73" s="5" t="str">
        <f>IFERROR(__xludf.DUMMYFUNCTION("GOOGLETRANSLATE(D273, ""en"", ""hi"")"),"ए) राउंड को ड्रा घोषित किया जाता है।")</f>
        <v>ए) राउंड को ड्रा घोषित किया जाता है।</v>
      </c>
    </row>
    <row r="274" ht="22.5" customHeight="1">
      <c r="A274" s="8">
        <v>273.0</v>
      </c>
      <c r="B274" s="3" t="s">
        <v>13528</v>
      </c>
      <c r="C274" s="3" t="s">
        <v>13529</v>
      </c>
      <c r="D274" s="3" t="s">
        <v>13174</v>
      </c>
      <c r="F274" s="5" t="str">
        <f>IFERROR(__xludf.DUMMYFUNCTION("GOOGLETRANSLATE(A274, ""en"", ""hi"")"),"273")</f>
        <v>273</v>
      </c>
      <c r="G274" s="5" t="str">
        <f>IFERROR(__xludf.DUMMYFUNCTION("GOOGLETRANSLATE(B274, ""en"", ""hi"")"),"मुकना में, यदि खिलाड़ी X एक सफल तकनीक का प्रयोग करता है जिसके कारण खिलाड़ी Y गिर जाता है, लेकिन खिलाड़ी Y अनुमत समय के भीतर ठीक होकर वापस खड़ा होने में सफल हो जाता है, तो परिणाम क्या होगा?")</f>
        <v>मुकना में, यदि खिलाड़ी X एक सफल तकनीक का प्रयोग करता है जिसके कारण खिलाड़ी Y गिर जाता है, लेकिन खिलाड़ी Y अनुमत समय के भीतर ठीक होकर वापस खड़ा होने में सफल हो जाता है, तो परिणाम क्या होगा?</v>
      </c>
      <c r="H274" s="5" t="str">
        <f>IFERROR(__xludf.DUMMYFUNCTION("GOOGLETRANSLATE(C274, ""en"", ""hi"")"),"A) खिलाड़ी X राउंड जीतता है। , B) खिलाड़ी Y राउंड जीतता है। , C) राउंड पुनः खेला जाता है। , D) मैच पुनः शुरू होता है।")</f>
        <v>A) खिलाड़ी X राउंड जीतता है। , B) खिलाड़ी Y राउंड जीतता है। , C) राउंड पुनः खेला जाता है। , D) मैच पुनः शुरू होता है।</v>
      </c>
      <c r="I274" s="5" t="str">
        <f>IFERROR(__xludf.DUMMYFUNCTION("GOOGLETRANSLATE(D274, ""en"", ""hi"")"),"A) खिलाड़ी X राउंड जीतता है।")</f>
        <v>A) खिलाड़ी X राउंड जीतता है।</v>
      </c>
    </row>
    <row r="275" ht="22.5" customHeight="1">
      <c r="A275" s="8">
        <v>274.0</v>
      </c>
      <c r="B275" s="3" t="s">
        <v>13530</v>
      </c>
      <c r="C275" s="3" t="s">
        <v>13531</v>
      </c>
      <c r="D275" s="3" t="s">
        <v>13329</v>
      </c>
      <c r="F275" s="5" t="str">
        <f>IFERROR(__xludf.DUMMYFUNCTION("GOOGLETRANSLATE(A275, ""en"", ""hi"")"),"274")</f>
        <v>274</v>
      </c>
      <c r="G275" s="5" t="str">
        <f>IFERROR(__xludf.DUMMYFUNCTION("GOOGLETRANSLATE(B275, ""en"", ""hi"")"),"यदि खिलाड़ी X और खिलाड़ी Y एक साथ रिंग के बाहर गिर जाते हैं और कोई भी आगे नहीं खेल सकता, तो मुकना में राउंड का निर्णय आमतौर पर कैसे किया जाता है?")</f>
        <v>यदि खिलाड़ी X और खिलाड़ी Y एक साथ रिंग के बाहर गिर जाते हैं और कोई भी आगे नहीं खेल सकता, तो मुकना में राउंड का निर्णय आमतौर पर कैसे किया जाता है?</v>
      </c>
      <c r="H275" s="5" t="str">
        <f>IFERROR(__xludf.DUMMYFUNCTION("GOOGLETRANSLATE(C275,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275" s="5" t="str">
        <f>IFERROR(__xludf.DUMMYFUNCTION("GOOGLETRANSLATE(D275, ""en"", ""hi"")"),"ए) राउंड को ड्रा घोषित किया जाता है।")</f>
        <v>ए) राउंड को ड्रा घोषित किया जाता है।</v>
      </c>
    </row>
    <row r="276" ht="22.5" customHeight="1">
      <c r="A276" s="8">
        <v>275.0</v>
      </c>
      <c r="B276" s="3" t="s">
        <v>13532</v>
      </c>
      <c r="C276" s="3" t="s">
        <v>13533</v>
      </c>
      <c r="D276" s="3" t="s">
        <v>13389</v>
      </c>
      <c r="F276" s="5" t="str">
        <f>IFERROR(__xludf.DUMMYFUNCTION("GOOGLETRANSLATE(A276, ""en"", ""hi"")"),"275")</f>
        <v>275</v>
      </c>
      <c r="G276" s="5" t="str">
        <f>IFERROR(__xludf.DUMMYFUNCTION("GOOGLETRANSLATE(B276, ""en"", ""hi"")"),"मुकना मैच के दौरान, यदि खिलाड़ी X ऐसी तकनीक का प्रयोग करता है जिससे खिलाड़ी Y गिर जाता है, लेकिन खिलाड़ी X तुरंत बाद गिर जाता है, तो उस राउंड के लिए सामान्य निर्णय क्या होगा?")</f>
        <v>मुकना मैच के दौरान, यदि खिलाड़ी X ऐसी तकनीक का प्रयोग करता है जिससे खिलाड़ी Y गिर जाता है, लेकिन खिलाड़ी X तुरंत बाद गिर जाता है, तो उस राउंड के लिए सामान्य निर्णय क्या होगा?</v>
      </c>
      <c r="H276" s="5" t="str">
        <f>IFERROR(__xludf.DUMMYFUNCTION("GOOGLETRANSLATE(C276,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276" s="5" t="str">
        <f>IFERROR(__xludf.DUMMYFUNCTION("GOOGLETRANSLATE(D276, ""en"", ""hi"")"),"A) खिलाड़ी Y राउंड जीतता है।")</f>
        <v>A) खिलाड़ी Y राउंड जीतता है।</v>
      </c>
    </row>
    <row r="277" ht="22.5" customHeight="1">
      <c r="A277" s="8">
        <v>276.0</v>
      </c>
      <c r="B277" s="3" t="s">
        <v>13534</v>
      </c>
      <c r="C277" s="3" t="s">
        <v>13416</v>
      </c>
      <c r="D277" s="3" t="s">
        <v>13417</v>
      </c>
      <c r="F277" s="5" t="str">
        <f>IFERROR(__xludf.DUMMYFUNCTION("GOOGLETRANSLATE(A277, ""en"", ""hi"")"),"276")</f>
        <v>276</v>
      </c>
      <c r="G277" s="5" t="str">
        <f>IFERROR(__xludf.DUMMYFUNCTION("GOOGLETRANSLATE(B277, ""en"", ""hi"")"),"मुकना में, यदि खिलाड़ी X कोई अवैध तकनीक अपनाता है जिसके कारण खिलाड़ी Y गिर जाता है, तो सामान्य परिणाम क्या होगा?")</f>
        <v>मुकना में, यदि खिलाड़ी X कोई अवैध तकनीक अपनाता है जिसके कारण खिलाड़ी Y गिर जाता है, तो सामान्य परिणाम क्या होगा?</v>
      </c>
      <c r="H277" s="5" t="str">
        <f>IFERROR(__xludf.DUMMYFUNCTION("GOOGLETRANSLATE(C277,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77" s="5" t="str">
        <f>IFERROR(__xludf.DUMMYFUNCTION("GOOGLETRANSLATE(D277, ""en"", ""hi"")"),"A) खिलाड़ी Y को विजेता घोषित किया जाता है।")</f>
        <v>A) खिलाड़ी Y को विजेता घोषित किया जाता है।</v>
      </c>
    </row>
    <row r="278" ht="22.5" customHeight="1">
      <c r="A278" s="8">
        <v>277.0</v>
      </c>
      <c r="B278" s="3" t="s">
        <v>13535</v>
      </c>
      <c r="C278" s="3" t="s">
        <v>13486</v>
      </c>
      <c r="D278" s="3" t="s">
        <v>13329</v>
      </c>
      <c r="F278" s="5" t="str">
        <f>IFERROR(__xludf.DUMMYFUNCTION("GOOGLETRANSLATE(A278, ""en"", ""hi"")"),"277")</f>
        <v>277</v>
      </c>
      <c r="G278" s="5" t="str">
        <f>IFERROR(__xludf.DUMMYFUNCTION("GOOGLETRANSLATE(B278, ""en"", ""hi"")"),"यदि खिलाड़ी X और खिलाड़ी Y दोनों एक ही समय पर रिंग के बाहर गिर जाते हैं और कोई भी आगे नहीं खेल सकता, तो मुकना में मानक परिणाम क्या होगा?")</f>
        <v>यदि खिलाड़ी X और खिलाड़ी Y दोनों एक ही समय पर रिंग के बाहर गिर जाते हैं और कोई भी आगे नहीं खेल सकता, तो मुकना में मानक परिणाम क्या होगा?</v>
      </c>
      <c r="H278" s="5" t="str">
        <f>IFERROR(__xludf.DUMMYFUNCTION("GOOGLETRANSLATE(C278, ""en"", ""hi"")"),"A) राउंड को ड्रा घोषित किया जाता है। , B) खिलाड़ी X को विजेता घोषित किया जाता है। , C) खिलाड़ी Y को विजेता घोषित किया जाता है। , D) मैच पुनः शुरू किया जाता है।")</f>
        <v>A) राउंड को ड्रा घोषित किया जाता है। , B) खिलाड़ी X को विजेता घोषित किया जाता है। , C) खिलाड़ी Y को विजेता घोषित किया जाता है। , D) मैच पुनः शुरू किया जाता है।</v>
      </c>
      <c r="I278" s="5" t="str">
        <f>IFERROR(__xludf.DUMMYFUNCTION("GOOGLETRANSLATE(D278, ""en"", ""hi"")"),"ए) राउंड को ड्रा घोषित किया जाता है।")</f>
        <v>ए) राउंड को ड्रा घोषित किया जाता है।</v>
      </c>
    </row>
    <row r="279" ht="22.5" customHeight="1">
      <c r="A279" s="8">
        <v>278.0</v>
      </c>
      <c r="B279" s="3" t="s">
        <v>13536</v>
      </c>
      <c r="C279" s="3" t="s">
        <v>13533</v>
      </c>
      <c r="D279" s="3" t="s">
        <v>13389</v>
      </c>
      <c r="F279" s="5" t="str">
        <f>IFERROR(__xludf.DUMMYFUNCTION("GOOGLETRANSLATE(A279, ""en"", ""hi"")"),"278")</f>
        <v>278</v>
      </c>
      <c r="G279" s="5" t="str">
        <f>IFERROR(__xludf.DUMMYFUNCTION("GOOGLETRANSLATE(B279, ""en"", ""hi"")"),"मुकना मैच के दौरान, यदि खिलाड़ी X कोई वैध तकनीक अपनाता है जिसके कारण खिलाड़ी Y गिर जाता है, लेकिन खिलाड़ी X भी अपना संतुलन खो देता है और गिर जाता है, तो आमतौर पर राउंड का स्कोर कैसे होता है?")</f>
        <v>मुकना मैच के दौरान, यदि खिलाड़ी X कोई वैध तकनीक अपनाता है जिसके कारण खिलाड़ी Y गिर जाता है, लेकिन खिलाड़ी X भी अपना संतुलन खो देता है और गिर जाता है, तो आमतौर पर राउंड का स्कोर कैसे होता है?</v>
      </c>
      <c r="H279" s="5" t="str">
        <f>IFERROR(__xludf.DUMMYFUNCTION("GOOGLETRANSLATE(C279,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279" s="5" t="str">
        <f>IFERROR(__xludf.DUMMYFUNCTION("GOOGLETRANSLATE(D279, ""en"", ""hi"")"),"A) खिलाड़ी Y राउंड जीतता है।")</f>
        <v>A) खिलाड़ी Y राउंड जीतता है।</v>
      </c>
    </row>
    <row r="280" ht="22.5" customHeight="1">
      <c r="A280" s="8">
        <v>279.0</v>
      </c>
      <c r="B280" s="3" t="s">
        <v>13537</v>
      </c>
      <c r="C280" s="3" t="s">
        <v>13492</v>
      </c>
      <c r="D280" s="3" t="s">
        <v>13329</v>
      </c>
      <c r="F280" s="5" t="str">
        <f>IFERROR(__xludf.DUMMYFUNCTION("GOOGLETRANSLATE(A280, ""en"", ""hi"")"),"279")</f>
        <v>279</v>
      </c>
      <c r="G280" s="5" t="str">
        <f>IFERROR(__xludf.DUMMYFUNCTION("GOOGLETRANSLATE(B280, ""en"", ""hi"")"),"यदि खिलाड़ी X और खिलाड़ी Y एक साथ हार जाते हैं और कोई भी आगे नहीं बढ़ सकता, तो आमतौर पर मुकना में राउंड का निर्णय कैसे किया जाता है?")</f>
        <v>यदि खिलाड़ी X और खिलाड़ी Y एक साथ हार जाते हैं और कोई भी आगे नहीं बढ़ सकता, तो आमतौर पर मुकना में राउंड का निर्णय कैसे किया जाता है?</v>
      </c>
      <c r="H280" s="5" t="str">
        <f>IFERROR(__xludf.DUMMYFUNCTION("GOOGLETRANSLATE(C280,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80" s="5" t="str">
        <f>IFERROR(__xludf.DUMMYFUNCTION("GOOGLETRANSLATE(D280, ""en"", ""hi"")"),"ए) राउंड को ड्रा घोषित किया जाता है।")</f>
        <v>ए) राउंड को ड्रा घोषित किया जाता है।</v>
      </c>
    </row>
    <row r="281" ht="22.5" customHeight="1">
      <c r="A281" s="8">
        <v>280.0</v>
      </c>
      <c r="B281" s="3" t="s">
        <v>13538</v>
      </c>
      <c r="C281" s="3" t="s">
        <v>13388</v>
      </c>
      <c r="D281" s="3" t="s">
        <v>13389</v>
      </c>
      <c r="F281" s="5" t="str">
        <f>IFERROR(__xludf.DUMMYFUNCTION("GOOGLETRANSLATE(A281, ""en"", ""hi"")"),"280")</f>
        <v>280</v>
      </c>
      <c r="G281" s="5" t="str">
        <f>IFERROR(__xludf.DUMMYFUNCTION("GOOGLETRANSLATE(B281, ""en"", ""hi"")"),"मुकना में, यदि खिलाड़ी X कोई ऐसी तकनीक अपनाता है जिसके परिणामस्वरूप खिलाड़ी Y गिर जाता है, लेकिन खिलाड़ी X भी तुरंत बाद गिर जाता है, तो कौन राउंड जीतता है?")</f>
        <v>मुकना में, यदि खिलाड़ी X कोई ऐसी तकनीक अपनाता है जिसके परिणामस्वरूप खिलाड़ी Y गिर जाता है, लेकिन खिलाड़ी X भी तुरंत बाद गिर जाता है, तो कौन राउंड जीतता है?</v>
      </c>
      <c r="H281" s="5" t="str">
        <f>IFERROR(__xludf.DUMMYFUNCTION("GOOGLETRANSLATE(C281,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81" s="5" t="str">
        <f>IFERROR(__xludf.DUMMYFUNCTION("GOOGLETRANSLATE(D281, ""en"", ""hi"")"),"A) खिलाड़ी Y राउंड जीतता है।")</f>
        <v>A) खिलाड़ी Y राउंड जीतता है।</v>
      </c>
    </row>
    <row r="282" ht="22.5" customHeight="1">
      <c r="A282" s="8">
        <v>281.0</v>
      </c>
      <c r="B282" s="3" t="s">
        <v>13539</v>
      </c>
      <c r="C282" s="3" t="s">
        <v>13416</v>
      </c>
      <c r="D282" s="3" t="s">
        <v>13417</v>
      </c>
      <c r="F282" s="5" t="str">
        <f>IFERROR(__xludf.DUMMYFUNCTION("GOOGLETRANSLATE(A282, ""en"", ""hi"")"),"281")</f>
        <v>281</v>
      </c>
      <c r="G282" s="5" t="str">
        <f>IFERROR(__xludf.DUMMYFUNCTION("GOOGLETRANSLATE(B282, ""en"", ""hi"")"),"यदि खिलाड़ी X कोई अवैध चाल चलता है जिसके कारण खिलाड़ी Y गिर जाता है, तो मुकना में राउंड का सामान्य परिणाम क्या होगा?")</f>
        <v>यदि खिलाड़ी X कोई अवैध चाल चलता है जिसके कारण खिलाड़ी Y गिर जाता है, तो मुकना में राउंड का सामान्य परिणाम क्या होगा?</v>
      </c>
      <c r="H282" s="5" t="str">
        <f>IFERROR(__xludf.DUMMYFUNCTION("GOOGLETRANSLATE(C282,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82" s="5" t="str">
        <f>IFERROR(__xludf.DUMMYFUNCTION("GOOGLETRANSLATE(D282, ""en"", ""hi"")"),"A) खिलाड़ी Y को विजेता घोषित किया जाता है।")</f>
        <v>A) खिलाड़ी Y को विजेता घोषित किया जाता है।</v>
      </c>
    </row>
    <row r="283" ht="22.5" customHeight="1">
      <c r="A283" s="8">
        <v>282.0</v>
      </c>
      <c r="B283" s="3" t="s">
        <v>13514</v>
      </c>
      <c r="C283" s="3" t="s">
        <v>13492</v>
      </c>
      <c r="D283" s="3" t="s">
        <v>13329</v>
      </c>
      <c r="F283" s="5" t="str">
        <f>IFERROR(__xludf.DUMMYFUNCTION("GOOGLETRANSLATE(A283, ""en"", ""hi"")"),"282")</f>
        <v>282</v>
      </c>
      <c r="G283" s="5" t="str">
        <f>IFERROR(__xludf.DUMMYFUNCTION("GOOGLETRANSLATE(B283, ""en"", ""hi"")"),"मुकना मुकाबले के दौरान, यदि खिलाड़ी X और खिलाड़ी Y दोनों एक ही समय पर रिंग के बाहर गिर जाते हैं और कोई भी आगे नहीं खेल सकता, तो सामान्य परिणाम क्या होगा?")</f>
        <v>मुकना मुकाबले के दौरान, यदि खिलाड़ी X और खिलाड़ी Y दोनों एक ही समय पर रिंग के बाहर गिर जाते हैं और कोई भी आगे नहीं खेल सकता, तो सामान्य परिणाम क्या होगा?</v>
      </c>
      <c r="H283" s="5" t="str">
        <f>IFERROR(__xludf.DUMMYFUNCTION("GOOGLETRANSLATE(C283,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83" s="5" t="str">
        <f>IFERROR(__xludf.DUMMYFUNCTION("GOOGLETRANSLATE(D283, ""en"", ""hi"")"),"ए) राउंड को ड्रा घोषित किया जाता है।")</f>
        <v>ए) राउंड को ड्रा घोषित किया जाता है।</v>
      </c>
    </row>
    <row r="284" ht="22.5" customHeight="1">
      <c r="A284" s="8">
        <v>283.0</v>
      </c>
      <c r="B284" s="3" t="s">
        <v>13540</v>
      </c>
      <c r="C284" s="3" t="s">
        <v>13388</v>
      </c>
      <c r="D284" s="3" t="s">
        <v>13389</v>
      </c>
      <c r="F284" s="5" t="str">
        <f>IFERROR(__xludf.DUMMYFUNCTION("GOOGLETRANSLATE(A284, ""en"", ""hi"")"),"283")</f>
        <v>283</v>
      </c>
      <c r="G284" s="5" t="str">
        <f>IFERROR(__xludf.DUMMYFUNCTION("GOOGLETRANSLATE(B284, ""en"", ""hi"")"),"यदि खिलाड़ी X एक सफल तकनीक का प्रदर्शन करता है और खिलाड़ी Y को गिरा देता है, लेकिन खिलाड़ी X भी बाद में गिर जाता है, तो मुकना में राउंड का विजेता कौन है?")</f>
        <v>यदि खिलाड़ी X एक सफल तकनीक का प्रदर्शन करता है और खिलाड़ी Y को गिरा देता है, लेकिन खिलाड़ी X भी बाद में गिर जाता है, तो मुकना में राउंड का विजेता कौन है?</v>
      </c>
      <c r="H284" s="5" t="str">
        <f>IFERROR(__xludf.DUMMYFUNCTION("GOOGLETRANSLATE(C284,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84" s="5" t="str">
        <f>IFERROR(__xludf.DUMMYFUNCTION("GOOGLETRANSLATE(D284, ""en"", ""hi"")"),"A) खिलाड़ी Y राउंड जीतता है।")</f>
        <v>A) खिलाड़ी Y राउंड जीतता है।</v>
      </c>
    </row>
    <row r="285" ht="22.5" customHeight="1">
      <c r="A285" s="8">
        <v>284.0</v>
      </c>
      <c r="B285" s="3" t="s">
        <v>13541</v>
      </c>
      <c r="C285" s="3" t="s">
        <v>13531</v>
      </c>
      <c r="D285" s="3" t="s">
        <v>13329</v>
      </c>
      <c r="F285" s="5" t="str">
        <f>IFERROR(__xludf.DUMMYFUNCTION("GOOGLETRANSLATE(A285, ""en"", ""hi"")"),"284")</f>
        <v>284</v>
      </c>
      <c r="G285" s="5" t="str">
        <f>IFERROR(__xludf.DUMMYFUNCTION("GOOGLETRANSLATE(B285, ""en"", ""hi"")"),"मुकना में, यदि खिलाड़ी X और खिलाड़ी Y दोनों एक साथ गिर जाते हैं और कोई भी आगे नहीं बढ़ सकता है, तो राउंड का मानक परिणाम क्या होगा?")</f>
        <v>मुकना में, यदि खिलाड़ी X और खिलाड़ी Y दोनों एक साथ गिर जाते हैं और कोई भी आगे नहीं बढ़ सकता है, तो राउंड का मानक परिणाम क्या होगा?</v>
      </c>
      <c r="H285" s="5" t="str">
        <f>IFERROR(__xludf.DUMMYFUNCTION("GOOGLETRANSLATE(C285,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285" s="5" t="str">
        <f>IFERROR(__xludf.DUMMYFUNCTION("GOOGLETRANSLATE(D285, ""en"", ""hi"")"),"ए) राउंड को ड्रा घोषित किया जाता है।")</f>
        <v>ए) राउंड को ड्रा घोषित किया जाता है।</v>
      </c>
    </row>
    <row r="286" ht="22.5" customHeight="1">
      <c r="A286" s="8">
        <v>285.0</v>
      </c>
      <c r="B286" s="3" t="s">
        <v>13542</v>
      </c>
      <c r="C286" s="3" t="s">
        <v>13416</v>
      </c>
      <c r="D286" s="3" t="s">
        <v>13417</v>
      </c>
      <c r="F286" s="5" t="str">
        <f>IFERROR(__xludf.DUMMYFUNCTION("GOOGLETRANSLATE(A286, ""en"", ""hi"")"),"285")</f>
        <v>285</v>
      </c>
      <c r="G286" s="5" t="str">
        <f>IFERROR(__xludf.DUMMYFUNCTION("GOOGLETRANSLATE(B286, ""en"", ""hi"")"),"यदि खिलाड़ी X कोई अवैध तकनीक अपनाता है जिसके परिणामस्वरूप खिलाड़ी Y गिर जाता है, तो मुकना में राउंड का सामान्य परिणाम क्या होता है?")</f>
        <v>यदि खिलाड़ी X कोई अवैध तकनीक अपनाता है जिसके परिणामस्वरूप खिलाड़ी Y गिर जाता है, तो मुकना में राउंड का सामान्य परिणाम क्या होता है?</v>
      </c>
      <c r="H286" s="5" t="str">
        <f>IFERROR(__xludf.DUMMYFUNCTION("GOOGLETRANSLATE(C286,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86" s="5" t="str">
        <f>IFERROR(__xludf.DUMMYFUNCTION("GOOGLETRANSLATE(D286, ""en"", ""hi"")"),"A) खिलाड़ी Y को विजेता घोषित किया जाता है।")</f>
        <v>A) खिलाड़ी Y को विजेता घोषित किया जाता है।</v>
      </c>
    </row>
    <row r="287" ht="22.5" customHeight="1">
      <c r="A287" s="8">
        <v>286.0</v>
      </c>
      <c r="B287" s="3" t="s">
        <v>13543</v>
      </c>
      <c r="C287" s="3" t="s">
        <v>13486</v>
      </c>
      <c r="D287" s="3" t="s">
        <v>13329</v>
      </c>
      <c r="F287" s="5" t="str">
        <f>IFERROR(__xludf.DUMMYFUNCTION("GOOGLETRANSLATE(A287, ""en"", ""hi"")"),"286")</f>
        <v>286</v>
      </c>
      <c r="G287" s="5" t="str">
        <f>IFERROR(__xludf.DUMMYFUNCTION("GOOGLETRANSLATE(B287, ""en"", ""hi"")"),"मुकना मैच के दौरान, यदि खिलाड़ी X और खिलाड़ी Y दोनों एक साथ रिंग के बाहर गिर जाते हैं और कोई भी आगे नहीं खेल सकता, तो आमतौर पर राउंड का स्कोर कैसे होगा?")</f>
        <v>मुकना मैच के दौरान, यदि खिलाड़ी X और खिलाड़ी Y दोनों एक साथ रिंग के बाहर गिर जाते हैं और कोई भी आगे नहीं खेल सकता, तो आमतौर पर राउंड का स्कोर कैसे होगा?</v>
      </c>
      <c r="H287" s="5" t="str">
        <f>IFERROR(__xludf.DUMMYFUNCTION("GOOGLETRANSLATE(C287, ""en"", ""hi"")"),"A) राउंड को ड्रा घोषित किया जाता है। , B) खिलाड़ी X को विजेता घोषित किया जाता है। , C) खिलाड़ी Y को विजेता घोषित किया जाता है। , D) मैच पुनः शुरू किया जाता है।")</f>
        <v>A) राउंड को ड्रा घोषित किया जाता है। , B) खिलाड़ी X को विजेता घोषित किया जाता है। , C) खिलाड़ी Y को विजेता घोषित किया जाता है। , D) मैच पुनः शुरू किया जाता है।</v>
      </c>
      <c r="I287" s="5" t="str">
        <f>IFERROR(__xludf.DUMMYFUNCTION("GOOGLETRANSLATE(D287, ""en"", ""hi"")"),"ए) राउंड को ड्रा घोषित किया जाता है।")</f>
        <v>ए) राउंड को ड्रा घोषित किया जाता है।</v>
      </c>
    </row>
    <row r="288" ht="22.5" customHeight="1">
      <c r="A288" s="8">
        <v>287.0</v>
      </c>
      <c r="B288" s="3" t="s">
        <v>13544</v>
      </c>
      <c r="C288" s="3" t="s">
        <v>13388</v>
      </c>
      <c r="D288" s="3" t="s">
        <v>13389</v>
      </c>
      <c r="F288" s="5" t="str">
        <f>IFERROR(__xludf.DUMMYFUNCTION("GOOGLETRANSLATE(A288, ""en"", ""hi"")"),"287")</f>
        <v>287</v>
      </c>
      <c r="G288" s="5" t="str">
        <f>IFERROR(__xludf.DUMMYFUNCTION("GOOGLETRANSLATE(B288, ""en"", ""hi"")"),"मुकना में, यदि खिलाड़ी X ऐसी तकनीक का प्रयोग करता है जिससे खिलाड़ी Y गिर जाता है, लेकिन खिलाड़ी X भी तुरंत बाद गिर जाता है, तो कौन राउंड जीतता है?")</f>
        <v>मुकना में, यदि खिलाड़ी X ऐसी तकनीक का प्रयोग करता है जिससे खिलाड़ी Y गिर जाता है, लेकिन खिलाड़ी X भी तुरंत बाद गिर जाता है, तो कौन राउंड जीतता है?</v>
      </c>
      <c r="H288" s="5" t="str">
        <f>IFERROR(__xludf.DUMMYFUNCTION("GOOGLETRANSLATE(C288,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88" s="5" t="str">
        <f>IFERROR(__xludf.DUMMYFUNCTION("GOOGLETRANSLATE(D288, ""en"", ""hi"")"),"A) खिलाड़ी Y राउंड जीतता है।")</f>
        <v>A) खिलाड़ी Y राउंड जीतता है।</v>
      </c>
    </row>
    <row r="289" ht="22.5" customHeight="1">
      <c r="A289" s="8">
        <v>288.0</v>
      </c>
      <c r="B289" s="3" t="s">
        <v>13545</v>
      </c>
      <c r="C289" s="3" t="s">
        <v>13492</v>
      </c>
      <c r="D289" s="3" t="s">
        <v>13329</v>
      </c>
      <c r="F289" s="5" t="str">
        <f>IFERROR(__xludf.DUMMYFUNCTION("GOOGLETRANSLATE(A289, ""en"", ""hi"")"),"288")</f>
        <v>288</v>
      </c>
      <c r="G289" s="5" t="str">
        <f>IFERROR(__xludf.DUMMYFUNCTION("GOOGLETRANSLATE(B289, ""en"", ""hi"")"),"यदि खिलाड़ी X और खिलाड़ी Y दोनों एक साथ हार जाते हैं और कोई भी आगे नहीं बढ़ सकता, तो मुकना में राउंड का निर्णय आमतौर पर कैसे किया जाता है?")</f>
        <v>यदि खिलाड़ी X और खिलाड़ी Y दोनों एक साथ हार जाते हैं और कोई भी आगे नहीं बढ़ सकता, तो मुकना में राउंड का निर्णय आमतौर पर कैसे किया जाता है?</v>
      </c>
      <c r="H289" s="5" t="str">
        <f>IFERROR(__xludf.DUMMYFUNCTION("GOOGLETRANSLATE(C289,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89" s="5" t="str">
        <f>IFERROR(__xludf.DUMMYFUNCTION("GOOGLETRANSLATE(D289, ""en"", ""hi"")"),"ए) राउंड को ड्रा घोषित किया जाता है।")</f>
        <v>ए) राउंड को ड्रा घोषित किया जाता है।</v>
      </c>
    </row>
    <row r="290" ht="22.5" customHeight="1">
      <c r="A290" s="8">
        <v>289.0</v>
      </c>
      <c r="B290" s="3" t="s">
        <v>13546</v>
      </c>
      <c r="C290" s="3" t="s">
        <v>13416</v>
      </c>
      <c r="D290" s="3" t="s">
        <v>13417</v>
      </c>
      <c r="F290" s="5" t="str">
        <f>IFERROR(__xludf.DUMMYFUNCTION("GOOGLETRANSLATE(A290, ""en"", ""hi"")"),"289")</f>
        <v>289</v>
      </c>
      <c r="G290" s="5" t="str">
        <f>IFERROR(__xludf.DUMMYFUNCTION("GOOGLETRANSLATE(B290, ""en"", ""hi"")"),"मुकना मैच के दौरान, यदि खिलाड़ी X कोई अवैध चाल चलता है जिसके कारण खिलाड़ी Y गिर जाता है, तो उस राउंड का सामान्य परिणाम क्या होता है?")</f>
        <v>मुकना मैच के दौरान, यदि खिलाड़ी X कोई अवैध चाल चलता है जिसके कारण खिलाड़ी Y गिर जाता है, तो उस राउंड का सामान्य परिणाम क्या होता है?</v>
      </c>
      <c r="H290" s="5" t="str">
        <f>IFERROR(__xludf.DUMMYFUNCTION("GOOGLETRANSLATE(C290,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90" s="5" t="str">
        <f>IFERROR(__xludf.DUMMYFUNCTION("GOOGLETRANSLATE(D290, ""en"", ""hi"")"),"A) खिलाड़ी Y को विजेता घोषित किया जाता है।")</f>
        <v>A) खिलाड़ी Y को विजेता घोषित किया जाता है।</v>
      </c>
    </row>
    <row r="291" ht="22.5" customHeight="1">
      <c r="A291" s="8">
        <v>290.0</v>
      </c>
      <c r="B291" s="3" t="s">
        <v>13547</v>
      </c>
      <c r="C291" s="3" t="s">
        <v>13492</v>
      </c>
      <c r="D291" s="3" t="s">
        <v>13329</v>
      </c>
      <c r="F291" s="5" t="str">
        <f>IFERROR(__xludf.DUMMYFUNCTION("GOOGLETRANSLATE(A291, ""en"", ""hi"")"),"290")</f>
        <v>290</v>
      </c>
      <c r="G291" s="5" t="str">
        <f>IFERROR(__xludf.DUMMYFUNCTION("GOOGLETRANSLATE(B291, ""en"", ""hi"")"),"यदि खिलाड़ी X और खिलाड़ी Y एक साथ रिंग के बाहर गिर जाते हैं और कोई भी आगे नहीं खेल सकता, तो मुकना में मानक परिणाम क्या होगा?")</f>
        <v>यदि खिलाड़ी X और खिलाड़ी Y एक साथ रिंग के बाहर गिर जाते हैं और कोई भी आगे नहीं खेल सकता, तो मुकना में मानक परिणाम क्या होगा?</v>
      </c>
      <c r="H291" s="5" t="str">
        <f>IFERROR(__xludf.DUMMYFUNCTION("GOOGLETRANSLATE(C291,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291" s="5" t="str">
        <f>IFERROR(__xludf.DUMMYFUNCTION("GOOGLETRANSLATE(D291, ""en"", ""hi"")"),"ए) राउंड को ड्रा घोषित किया जाता है।")</f>
        <v>ए) राउंड को ड्रा घोषित किया जाता है।</v>
      </c>
    </row>
    <row r="292" ht="22.5" customHeight="1">
      <c r="A292" s="8">
        <v>291.0</v>
      </c>
      <c r="B292" s="3" t="s">
        <v>13548</v>
      </c>
      <c r="C292" s="3" t="s">
        <v>13388</v>
      </c>
      <c r="D292" s="3" t="s">
        <v>13389</v>
      </c>
      <c r="F292" s="5" t="str">
        <f>IFERROR(__xludf.DUMMYFUNCTION("GOOGLETRANSLATE(A292, ""en"", ""hi"")"),"291")</f>
        <v>291</v>
      </c>
      <c r="G292" s="5" t="str">
        <f>IFERROR(__xludf.DUMMYFUNCTION("GOOGLETRANSLATE(B292, ""en"", ""hi"")"),"मुकना में, यदि खिलाड़ी X एक सफल तकनीक का प्रदर्शन करता है जिसके कारण खिलाड़ी Y गिर जाता है, लेकिन खिलाड़ी X भी बाद में गिर जाता है, तो आमतौर पर राउंड का निर्णय कैसे किया जाता है?")</f>
        <v>मुकना में, यदि खिलाड़ी X एक सफल तकनीक का प्रदर्शन करता है जिसके कारण खिलाड़ी Y गिर जाता है, लेकिन खिलाड़ी X भी बाद में गिर जाता है, तो आमतौर पर राउंड का निर्णय कैसे किया जाता है?</v>
      </c>
      <c r="H292" s="5" t="str">
        <f>IFERROR(__xludf.DUMMYFUNCTION("GOOGLETRANSLATE(C292,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292" s="5" t="str">
        <f>IFERROR(__xludf.DUMMYFUNCTION("GOOGLETRANSLATE(D292, ""en"", ""hi"")"),"A) खिलाड़ी Y राउंड जीतता है।")</f>
        <v>A) खिलाड़ी Y राउंड जीतता है।</v>
      </c>
    </row>
    <row r="293" ht="22.5" customHeight="1">
      <c r="A293" s="8">
        <v>292.0</v>
      </c>
      <c r="B293" s="3" t="s">
        <v>13549</v>
      </c>
      <c r="C293" s="3" t="s">
        <v>13531</v>
      </c>
      <c r="D293" s="3" t="s">
        <v>13329</v>
      </c>
      <c r="F293" s="5" t="str">
        <f>IFERROR(__xludf.DUMMYFUNCTION("GOOGLETRANSLATE(A293, ""en"", ""hi"")"),"292")</f>
        <v>292</v>
      </c>
      <c r="G293" s="5" t="str">
        <f>IFERROR(__xludf.DUMMYFUNCTION("GOOGLETRANSLATE(B293, ""en"", ""hi"")"),"मुकना मुकाबले के दौरान, यदि खिलाड़ी X और खिलाड़ी Y दोनों एक साथ गिर जाते हैं और कोई भी आगे नहीं बढ़ पाता है, तो आमतौर पर राउंड का स्कोर कैसे किया जाता है?")</f>
        <v>मुकना मुकाबले के दौरान, यदि खिलाड़ी X और खिलाड़ी Y दोनों एक साथ गिर जाते हैं और कोई भी आगे नहीं बढ़ पाता है, तो आमतौर पर राउंड का स्कोर कैसे किया जाता है?</v>
      </c>
      <c r="H293" s="5" t="str">
        <f>IFERROR(__xludf.DUMMYFUNCTION("GOOGLETRANSLATE(C293,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293" s="5" t="str">
        <f>IFERROR(__xludf.DUMMYFUNCTION("GOOGLETRANSLATE(D293, ""en"", ""hi"")"),"ए) राउंड को ड्रा घोषित किया जाता है।")</f>
        <v>ए) राउंड को ड्रा घोषित किया जाता है।</v>
      </c>
    </row>
    <row r="294" ht="22.5" customHeight="1">
      <c r="A294" s="8">
        <v>293.0</v>
      </c>
      <c r="B294" s="3" t="s">
        <v>13550</v>
      </c>
      <c r="C294" s="3" t="s">
        <v>13416</v>
      </c>
      <c r="D294" s="3" t="s">
        <v>13417</v>
      </c>
      <c r="F294" s="5" t="str">
        <f>IFERROR(__xludf.DUMMYFUNCTION("GOOGLETRANSLATE(A294, ""en"", ""hi"")"),"293")</f>
        <v>293</v>
      </c>
      <c r="G294" s="5" t="str">
        <f>IFERROR(__xludf.DUMMYFUNCTION("GOOGLETRANSLATE(B294, ""en"", ""hi"")"),"यदि खिलाड़ी X कोई अवैध तकनीक अपनाता है जिसके कारण खिलाड़ी Y गिर जाता है, तो मुकना में राउंड का सामान्य परिणाम क्या होगा?")</f>
        <v>यदि खिलाड़ी X कोई अवैध तकनीक अपनाता है जिसके कारण खिलाड़ी Y गिर जाता है, तो मुकना में राउंड का सामान्य परिणाम क्या होगा?</v>
      </c>
      <c r="H294" s="5" t="str">
        <f>IFERROR(__xludf.DUMMYFUNCTION("GOOGLETRANSLATE(C294,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94" s="5" t="str">
        <f>IFERROR(__xludf.DUMMYFUNCTION("GOOGLETRANSLATE(D294, ""en"", ""hi"")"),"A) खिलाड़ी Y को विजेता घोषित किया जाता है।")</f>
        <v>A) खिलाड़ी Y को विजेता घोषित किया जाता है।</v>
      </c>
    </row>
    <row r="295" ht="22.5" customHeight="1">
      <c r="A295" s="8">
        <v>294.0</v>
      </c>
      <c r="B295" s="3" t="s">
        <v>13551</v>
      </c>
      <c r="C295" s="3" t="s">
        <v>13486</v>
      </c>
      <c r="D295" s="3" t="s">
        <v>13329</v>
      </c>
      <c r="F295" s="5" t="str">
        <f>IFERROR(__xludf.DUMMYFUNCTION("GOOGLETRANSLATE(A295, ""en"", ""hi"")"),"294")</f>
        <v>294</v>
      </c>
      <c r="G295" s="5" t="str">
        <f>IFERROR(__xludf.DUMMYFUNCTION("GOOGLETRANSLATE(B295, ""en"", ""hi"")"),"मुकना मैच के दौरान, यदि खिलाड़ी X और खिलाड़ी Y दोनों एक ही समय पर रिंग के बाहर गिर जाते हैं और कोई भी आगे नहीं खेल सकता, तो आमतौर पर राउंड का निर्णय कैसे किया जाता है?")</f>
        <v>मुकना मैच के दौरान, यदि खिलाड़ी X और खिलाड़ी Y दोनों एक ही समय पर रिंग के बाहर गिर जाते हैं और कोई भी आगे नहीं खेल सकता, तो आमतौर पर राउंड का निर्णय कैसे किया जाता है?</v>
      </c>
      <c r="H295" s="5" t="str">
        <f>IFERROR(__xludf.DUMMYFUNCTION("GOOGLETRANSLATE(C295, ""en"", ""hi"")"),"A) राउंड को ड्रा घोषित किया जाता है। , B) खिलाड़ी X को विजेता घोषित किया जाता है। , C) खिलाड़ी Y को विजेता घोषित किया जाता है। , D) मैच पुनः शुरू किया जाता है।")</f>
        <v>A) राउंड को ड्रा घोषित किया जाता है। , B) खिलाड़ी X को विजेता घोषित किया जाता है। , C) खिलाड़ी Y को विजेता घोषित किया जाता है। , D) मैच पुनः शुरू किया जाता है।</v>
      </c>
      <c r="I295" s="5" t="str">
        <f>IFERROR(__xludf.DUMMYFUNCTION("GOOGLETRANSLATE(D295, ""en"", ""hi"")"),"ए) राउंड को ड्रा घोषित किया जाता है।")</f>
        <v>ए) राउंड को ड्रा घोषित किया जाता है।</v>
      </c>
    </row>
    <row r="296" ht="22.5" customHeight="1">
      <c r="A296" s="8">
        <v>295.0</v>
      </c>
      <c r="B296" s="3" t="s">
        <v>13552</v>
      </c>
      <c r="C296" s="3" t="s">
        <v>13553</v>
      </c>
      <c r="D296" s="3" t="s">
        <v>13174</v>
      </c>
      <c r="F296" s="5" t="str">
        <f>IFERROR(__xludf.DUMMYFUNCTION("GOOGLETRANSLATE(A296, ""en"", ""hi"")"),"295")</f>
        <v>295</v>
      </c>
      <c r="G296" s="5" t="str">
        <f>IFERROR(__xludf.DUMMYFUNCTION("GOOGLETRANSLATE(B296, ""en"", ""hi"")"),"मुकना मुकाबले के दौरान, यदि खिलाड़ी X कोई वैध तकनीक अपनाता है जिसके कारण खिलाड़ी Y गिर जाता है, लेकिन खिलाड़ी Y निर्धारित समय के भीतर उठने में सफल हो जाता है, तो आगे क्या होगा?")</f>
        <v>मुकना मुकाबले के दौरान, यदि खिलाड़ी X कोई वैध तकनीक अपनाता है जिसके कारण खिलाड़ी Y गिर जाता है, लेकिन खिलाड़ी Y निर्धारित समय के भीतर उठने में सफल हो जाता है, तो आगे क्या होगा?</v>
      </c>
      <c r="H296" s="5" t="str">
        <f>IFERROR(__xludf.DUMMYFUNCTION("GOOGLETRANSLATE(C296, ""en"", ""hi"")"),"A) खिलाड़ी X राउंड जीतता है। , B) खिलाड़ी Y राउंड जीतता है। , C) राउंड पुनः खेला जाता है। , D) मैच जारी रहता है।")</f>
        <v>A) खिलाड़ी X राउंड जीतता है। , B) खिलाड़ी Y राउंड जीतता है। , C) राउंड पुनः खेला जाता है। , D) मैच जारी रहता है।</v>
      </c>
      <c r="I296" s="5" t="str">
        <f>IFERROR(__xludf.DUMMYFUNCTION("GOOGLETRANSLATE(D296, ""en"", ""hi"")"),"A) खिलाड़ी X राउंड जीतता है।")</f>
        <v>A) खिलाड़ी X राउंड जीतता है।</v>
      </c>
    </row>
    <row r="297" ht="22.5" customHeight="1">
      <c r="A297" s="8">
        <v>296.0</v>
      </c>
      <c r="B297" s="3" t="s">
        <v>13554</v>
      </c>
      <c r="C297" s="3" t="s">
        <v>13531</v>
      </c>
      <c r="D297" s="3" t="s">
        <v>13329</v>
      </c>
      <c r="F297" s="5" t="str">
        <f>IFERROR(__xludf.DUMMYFUNCTION("GOOGLETRANSLATE(A297, ""en"", ""hi"")"),"296")</f>
        <v>296</v>
      </c>
      <c r="G297" s="5" t="str">
        <f>IFERROR(__xludf.DUMMYFUNCTION("GOOGLETRANSLATE(B297, ""en"", ""hi"")"),"यदि खिलाड़ी X और खिलाड़ी Y एक साथ रिंग के बाहर गिर जाते हैं और कोई भी आगे नहीं खेल सकता, तो मुकना में राउंड का निर्णय कैसे किया जाता है?")</f>
        <v>यदि खिलाड़ी X और खिलाड़ी Y एक साथ रिंग के बाहर गिर जाते हैं और कोई भी आगे नहीं खेल सकता, तो मुकना में राउंड का निर्णय कैसे किया जाता है?</v>
      </c>
      <c r="H297" s="5" t="str">
        <f>IFERROR(__xludf.DUMMYFUNCTION("GOOGLETRANSLATE(C297,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297" s="5" t="str">
        <f>IFERROR(__xludf.DUMMYFUNCTION("GOOGLETRANSLATE(D297, ""en"", ""hi"")"),"ए) राउंड को ड्रा घोषित किया जाता है।")</f>
        <v>ए) राउंड को ड्रा घोषित किया जाता है।</v>
      </c>
    </row>
    <row r="298" ht="22.5" customHeight="1">
      <c r="A298" s="8">
        <v>297.0</v>
      </c>
      <c r="B298" s="3" t="s">
        <v>13555</v>
      </c>
      <c r="C298" s="3" t="s">
        <v>13533</v>
      </c>
      <c r="D298" s="3" t="s">
        <v>13389</v>
      </c>
      <c r="F298" s="5" t="str">
        <f>IFERROR(__xludf.DUMMYFUNCTION("GOOGLETRANSLATE(A298, ""en"", ""hi"")"),"297")</f>
        <v>297</v>
      </c>
      <c r="G298" s="5" t="str">
        <f>IFERROR(__xludf.DUMMYFUNCTION("GOOGLETRANSLATE(B298, ""en"", ""hi"")"),"मुकना में, यदि खिलाड़ी X ऐसी तकनीक का प्रयोग करता है जिससे खिलाड़ी Y गिर जाता है, लेकिन खिलाड़ी X भी तुरंत बाद गिर जाता है, तो उस राउंड का विजेता किसे घोषित किया जाता है?")</f>
        <v>मुकना में, यदि खिलाड़ी X ऐसी तकनीक का प्रयोग करता है जिससे खिलाड़ी Y गिर जाता है, लेकिन खिलाड़ी X भी तुरंत बाद गिर जाता है, तो उस राउंड का विजेता किसे घोषित किया जाता है?</v>
      </c>
      <c r="H298" s="5" t="str">
        <f>IFERROR(__xludf.DUMMYFUNCTION("GOOGLETRANSLATE(C298,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298" s="5" t="str">
        <f>IFERROR(__xludf.DUMMYFUNCTION("GOOGLETRANSLATE(D298, ""en"", ""hi"")"),"A) खिलाड़ी Y राउंड जीतता है।")</f>
        <v>A) खिलाड़ी Y राउंड जीतता है।</v>
      </c>
    </row>
    <row r="299" ht="22.5" customHeight="1">
      <c r="A299" s="8">
        <v>298.0</v>
      </c>
      <c r="B299" s="3" t="s">
        <v>13556</v>
      </c>
      <c r="C299" s="3" t="s">
        <v>13416</v>
      </c>
      <c r="D299" s="3" t="s">
        <v>13417</v>
      </c>
      <c r="F299" s="5" t="str">
        <f>IFERROR(__xludf.DUMMYFUNCTION("GOOGLETRANSLATE(A299, ""en"", ""hi"")"),"298")</f>
        <v>298</v>
      </c>
      <c r="G299" s="5" t="str">
        <f>IFERROR(__xludf.DUMMYFUNCTION("GOOGLETRANSLATE(B299, ""en"", ""hi"")"),"यदि खिलाड़ी X कोई अवैध चाल चलता है जिसके परिणामस्वरूप खिलाड़ी Y गिर जाता है, तो मुकना में राउंड का सामान्य परिणाम क्या होता है?")</f>
        <v>यदि खिलाड़ी X कोई अवैध चाल चलता है जिसके परिणामस्वरूप खिलाड़ी Y गिर जाता है, तो मुकना में राउंड का सामान्य परिणाम क्या होता है?</v>
      </c>
      <c r="H299" s="5" t="str">
        <f>IFERROR(__xludf.DUMMYFUNCTION("GOOGLETRANSLATE(C299,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299" s="5" t="str">
        <f>IFERROR(__xludf.DUMMYFUNCTION("GOOGLETRANSLATE(D299, ""en"", ""hi"")"),"A) खिलाड़ी Y को विजेता घोषित किया जाता है।")</f>
        <v>A) खिलाड़ी Y को विजेता घोषित किया जाता है।</v>
      </c>
    </row>
    <row r="300" ht="22.5" customHeight="1">
      <c r="A300" s="8">
        <v>299.0</v>
      </c>
      <c r="B300" s="3" t="s">
        <v>13514</v>
      </c>
      <c r="C300" s="3" t="s">
        <v>13486</v>
      </c>
      <c r="D300" s="3" t="s">
        <v>13329</v>
      </c>
      <c r="F300" s="5" t="str">
        <f>IFERROR(__xludf.DUMMYFUNCTION("GOOGLETRANSLATE(A300, ""en"", ""hi"")"),"299")</f>
        <v>299</v>
      </c>
      <c r="G300" s="5" t="str">
        <f>IFERROR(__xludf.DUMMYFUNCTION("GOOGLETRANSLATE(B300, ""en"", ""hi"")"),"मुकना मुकाबले के दौरान, यदि खिलाड़ी X और खिलाड़ी Y दोनों एक ही समय पर रिंग के बाहर गिर जाते हैं और कोई भी आगे नहीं खेल सकता, तो सामान्य परिणाम क्या होगा?")</f>
        <v>मुकना मुकाबले के दौरान, यदि खिलाड़ी X और खिलाड़ी Y दोनों एक ही समय पर रिंग के बाहर गिर जाते हैं और कोई भी आगे नहीं खेल सकता, तो सामान्य परिणाम क्या होगा?</v>
      </c>
      <c r="H300" s="5" t="str">
        <f>IFERROR(__xludf.DUMMYFUNCTION("GOOGLETRANSLATE(C300, ""en"", ""hi"")"),"A) राउंड को ड्रा घोषित किया जाता है। , B) खिलाड़ी X को विजेता घोषित किया जाता है। , C) खिलाड़ी Y को विजेता घोषित किया जाता है। , D) मैच पुनः शुरू किया जाता है।")</f>
        <v>A) राउंड को ड्रा घोषित किया जाता है। , B) खिलाड़ी X को विजेता घोषित किया जाता है। , C) खिलाड़ी Y को विजेता घोषित किया जाता है। , D) मैच पुनः शुरू किया जाता है।</v>
      </c>
      <c r="I300" s="5" t="str">
        <f>IFERROR(__xludf.DUMMYFUNCTION("GOOGLETRANSLATE(D300, ""en"", ""hi"")"),"ए) राउंड को ड्रा घोषित किया जाता है।")</f>
        <v>ए) राउंड को ड्रा घोषित किया जाता है।</v>
      </c>
    </row>
    <row r="301" ht="22.5" customHeight="1">
      <c r="A301" s="8">
        <v>300.0</v>
      </c>
      <c r="B301" s="3" t="s">
        <v>13557</v>
      </c>
      <c r="C301" s="3" t="s">
        <v>13533</v>
      </c>
      <c r="D301" s="3" t="s">
        <v>13389</v>
      </c>
      <c r="F301" s="5" t="str">
        <f>IFERROR(__xludf.DUMMYFUNCTION("GOOGLETRANSLATE(A301, ""en"", ""hi"")"),"300")</f>
        <v>300</v>
      </c>
      <c r="G301" s="5" t="str">
        <f>IFERROR(__xludf.DUMMYFUNCTION("GOOGLETRANSLATE(B301, ""en"", ""hi"")"),"यदि खिलाड़ी X एक सफल तकनीक का प्रदर्शन करता है और खिलाड़ी Y को गिरा देता है, लेकिन खिलाड़ी X भी संतुलन खो देता है और बाद में गिर जाता है, तो मुकना में कौन राउंड जीतता है?")</f>
        <v>यदि खिलाड़ी X एक सफल तकनीक का प्रदर्शन करता है और खिलाड़ी Y को गिरा देता है, लेकिन खिलाड़ी X भी संतुलन खो देता है और बाद में गिर जाता है, तो मुकना में कौन राउंड जीतता है?</v>
      </c>
      <c r="H301" s="5" t="str">
        <f>IFERROR(__xludf.DUMMYFUNCTION("GOOGLETRANSLATE(C301,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01" s="5" t="str">
        <f>IFERROR(__xludf.DUMMYFUNCTION("GOOGLETRANSLATE(D301, ""en"", ""hi"")"),"A) खिलाड़ी Y राउंड जीतता है।")</f>
        <v>A) खिलाड़ी Y राउंड जीतता है।</v>
      </c>
    </row>
    <row r="302" ht="22.5" customHeight="1">
      <c r="A302" s="8">
        <v>301.0</v>
      </c>
      <c r="B302" s="3" t="s">
        <v>13500</v>
      </c>
      <c r="C302" s="3" t="s">
        <v>13558</v>
      </c>
      <c r="D302" s="3" t="s">
        <v>13329</v>
      </c>
      <c r="F302" s="5" t="str">
        <f>IFERROR(__xludf.DUMMYFUNCTION("GOOGLETRANSLATE(A302, ""en"", ""hi"")"),"301")</f>
        <v>301</v>
      </c>
      <c r="G302" s="5" t="str">
        <f>IFERROR(__xludf.DUMMYFUNCTION("GOOGLETRANSLATE(B302, ""en"", ""hi"")"),"मुकना में, यदि खिलाड़ी X और खिलाड़ी Y एक साथ हार जाते हैं और कोई भी आगे नहीं बढ़ पाता है, तो आमतौर पर राउंड का निर्णय कैसे किया जाता है?")</f>
        <v>मुकना में, यदि खिलाड़ी X और खिलाड़ी Y एक साथ हार जाते हैं और कोई भी आगे नहीं बढ़ पाता है, तो आमतौर पर राउंड का निर्णय कैसे किया जाता है?</v>
      </c>
      <c r="H302" s="5" t="str">
        <f>IFERROR(__xludf.DUMMYFUNCTION("GOOGLETRANSLATE(C302, ""en"", ""hi"")"),"ए) राउंड को ड्रा घोषित किया जाता है।, बी) मैच पुनः शुरू किया जाता है।, सी) खिलाड़ी एक्स राउंड जीतता है।, डी) खिलाड़ी वाई राउंड जीतता है।")</f>
        <v>ए) राउंड को ड्रा घोषित किया जाता है।, बी) मैच पुनः शुरू किया जाता है।, सी) खिलाड़ी एक्स राउंड जीतता है।, डी) खिलाड़ी वाई राउंड जीतता है।</v>
      </c>
      <c r="I302" s="5" t="str">
        <f>IFERROR(__xludf.DUMMYFUNCTION("GOOGLETRANSLATE(D302, ""en"", ""hi"")"),"ए) राउंड को ड्रा घोषित किया जाता है।")</f>
        <v>ए) राउंड को ड्रा घोषित किया जाता है।</v>
      </c>
    </row>
    <row r="303" ht="22.5" customHeight="1">
      <c r="A303" s="8">
        <v>302.0</v>
      </c>
      <c r="B303" s="3" t="s">
        <v>13559</v>
      </c>
      <c r="C303" s="3" t="s">
        <v>13416</v>
      </c>
      <c r="D303" s="3" t="s">
        <v>13417</v>
      </c>
      <c r="F303" s="5" t="str">
        <f>IFERROR(__xludf.DUMMYFUNCTION("GOOGLETRANSLATE(A303, ""en"", ""hi"")"),"302")</f>
        <v>302</v>
      </c>
      <c r="G303" s="5" t="str">
        <f>IFERROR(__xludf.DUMMYFUNCTION("GOOGLETRANSLATE(B303, ""en"", ""hi"")"),"मुकना मैच के दौरान, यदि खिलाड़ी X कोई अवैध चाल चलता है जिसके परिणामस्वरूप खिलाड़ी Y गिर जाता है, तो उस राउंड का सामान्य परिणाम क्या होता है?")</f>
        <v>मुकना मैच के दौरान, यदि खिलाड़ी X कोई अवैध चाल चलता है जिसके परिणामस्वरूप खिलाड़ी Y गिर जाता है, तो उस राउंड का सामान्य परिणाम क्या होता है?</v>
      </c>
      <c r="H303" s="5" t="str">
        <f>IFERROR(__xludf.DUMMYFUNCTION("GOOGLETRANSLATE(C303,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03" s="5" t="str">
        <f>IFERROR(__xludf.DUMMYFUNCTION("GOOGLETRANSLATE(D303, ""en"", ""hi"")"),"A) खिलाड़ी Y को विजेता घोषित किया जाता है।")</f>
        <v>A) खिलाड़ी Y को विजेता घोषित किया जाता है।</v>
      </c>
    </row>
    <row r="304" ht="22.5" customHeight="1">
      <c r="A304" s="8">
        <v>303.0</v>
      </c>
      <c r="B304" s="3" t="s">
        <v>13560</v>
      </c>
      <c r="C304" s="3" t="s">
        <v>13531</v>
      </c>
      <c r="D304" s="3" t="s">
        <v>13329</v>
      </c>
      <c r="F304" s="5" t="str">
        <f>IFERROR(__xludf.DUMMYFUNCTION("GOOGLETRANSLATE(A304, ""en"", ""hi"")"),"303")</f>
        <v>303</v>
      </c>
      <c r="G304" s="5" t="str">
        <f>IFERROR(__xludf.DUMMYFUNCTION("GOOGLETRANSLATE(B304, ""en"", ""hi"")"),"यदि खिलाड़ी X और खिलाड़ी Y एक साथ रिंग के बाहर गिर जाते हैं और कोई भी आगे नहीं खेल सकता, तो मुकना में सामान्य निर्णय क्या होगा?")</f>
        <v>यदि खिलाड़ी X और खिलाड़ी Y एक साथ रिंग के बाहर गिर जाते हैं और कोई भी आगे नहीं खेल सकता, तो मुकना में सामान्य निर्णय क्या होगा?</v>
      </c>
      <c r="H304" s="5" t="str">
        <f>IFERROR(__xludf.DUMMYFUNCTION("GOOGLETRANSLATE(C304,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04" s="5" t="str">
        <f>IFERROR(__xludf.DUMMYFUNCTION("GOOGLETRANSLATE(D304, ""en"", ""hi"")"),"ए) राउंड को ड्रा घोषित किया जाता है।")</f>
        <v>ए) राउंड को ड्रा घोषित किया जाता है।</v>
      </c>
    </row>
    <row r="305" ht="22.5" customHeight="1">
      <c r="A305" s="8">
        <v>304.0</v>
      </c>
      <c r="B305" s="3" t="s">
        <v>13561</v>
      </c>
      <c r="C305" s="3" t="s">
        <v>13388</v>
      </c>
      <c r="D305" s="3" t="s">
        <v>13389</v>
      </c>
      <c r="F305" s="5" t="str">
        <f>IFERROR(__xludf.DUMMYFUNCTION("GOOGLETRANSLATE(A305, ""en"", ""hi"")"),"304")</f>
        <v>304</v>
      </c>
      <c r="G305" s="5" t="str">
        <f>IFERROR(__xludf.DUMMYFUNCTION("GOOGLETRANSLATE(B305, ""en"", ""hi"")"),"यदि खिलाड़ी X कोई ऐसी तकनीक अपनाता है जिससे खिलाड़ी Y गिर जाता है, लेकिन खिलाड़ी X भी तुरंत बाद गिर जाता है, तो मुकना में कौन राउंड जीतता है?")</f>
        <v>यदि खिलाड़ी X कोई ऐसी तकनीक अपनाता है जिससे खिलाड़ी Y गिर जाता है, लेकिन खिलाड़ी X भी तुरंत बाद गिर जाता है, तो मुकना में कौन राउंड जीतता है?</v>
      </c>
      <c r="H305" s="5" t="str">
        <f>IFERROR(__xludf.DUMMYFUNCTION("GOOGLETRANSLATE(C305,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05" s="5" t="str">
        <f>IFERROR(__xludf.DUMMYFUNCTION("GOOGLETRANSLATE(D305, ""en"", ""hi"")"),"A) खिलाड़ी Y राउंड जीतता है।")</f>
        <v>A) खिलाड़ी Y राउंड जीतता है।</v>
      </c>
    </row>
    <row r="306" ht="22.5" customHeight="1">
      <c r="A306" s="8">
        <v>305.0</v>
      </c>
      <c r="B306" s="3" t="s">
        <v>13562</v>
      </c>
      <c r="C306" s="3" t="s">
        <v>13531</v>
      </c>
      <c r="D306" s="3" t="s">
        <v>13329</v>
      </c>
      <c r="F306" s="5" t="str">
        <f>IFERROR(__xludf.DUMMYFUNCTION("GOOGLETRANSLATE(A306, ""en"", ""hi"")"),"305")</f>
        <v>305</v>
      </c>
      <c r="G306" s="5" t="str">
        <f>IFERROR(__xludf.DUMMYFUNCTION("GOOGLETRANSLATE(B306, ""en"", ""hi"")"),"मुकना मुकाबले के दौरान, यदि खिलाड़ी X और खिलाड़ी Y एक साथ गिर जाते हैं और कोई भी आगे नहीं बढ़ पाता है, तो आमतौर पर राउंड का स्कोर कैसे निर्धारित किया जाता है?")</f>
        <v>मुकना मुकाबले के दौरान, यदि खिलाड़ी X और खिलाड़ी Y एक साथ गिर जाते हैं और कोई भी आगे नहीं बढ़ पाता है, तो आमतौर पर राउंड का स्कोर कैसे निर्धारित किया जाता है?</v>
      </c>
      <c r="H306" s="5" t="str">
        <f>IFERROR(__xludf.DUMMYFUNCTION("GOOGLETRANSLATE(C306,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06" s="5" t="str">
        <f>IFERROR(__xludf.DUMMYFUNCTION("GOOGLETRANSLATE(D306, ""en"", ""hi"")"),"ए) राउंड को ड्रा घोषित किया जाता है।")</f>
        <v>ए) राउंड को ड्रा घोषित किया जाता है।</v>
      </c>
    </row>
    <row r="307" ht="22.5" customHeight="1">
      <c r="A307" s="8">
        <v>306.0</v>
      </c>
      <c r="B307" s="3" t="s">
        <v>13563</v>
      </c>
      <c r="C307" s="3" t="s">
        <v>13416</v>
      </c>
      <c r="D307" s="3" t="s">
        <v>13417</v>
      </c>
      <c r="F307" s="5" t="str">
        <f>IFERROR(__xludf.DUMMYFUNCTION("GOOGLETRANSLATE(A307, ""en"", ""hi"")"),"306")</f>
        <v>306</v>
      </c>
      <c r="G307" s="5" t="str">
        <f>IFERROR(__xludf.DUMMYFUNCTION("GOOGLETRANSLATE(B307, ""en"", ""hi"")"),"मुकना में, यदि खिलाड़ी X कोई अवैध तकनीक अपनाता है जिसके कारण खिलाड़ी Y गिर जाता है, तो राउंड का सामान्य परिणाम क्या होता है?")</f>
        <v>मुकना में, यदि खिलाड़ी X कोई अवैध तकनीक अपनाता है जिसके कारण खिलाड़ी Y गिर जाता है, तो राउंड का सामान्य परिणाम क्या होता है?</v>
      </c>
      <c r="H307" s="5" t="str">
        <f>IFERROR(__xludf.DUMMYFUNCTION("GOOGLETRANSLATE(C307,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07" s="5" t="str">
        <f>IFERROR(__xludf.DUMMYFUNCTION("GOOGLETRANSLATE(D307, ""en"", ""hi"")"),"A) खिलाड़ी Y को विजेता घोषित किया जाता है।")</f>
        <v>A) खिलाड़ी Y को विजेता घोषित किया जाता है।</v>
      </c>
    </row>
    <row r="308" ht="22.5" customHeight="1">
      <c r="A308" s="8">
        <v>307.0</v>
      </c>
      <c r="B308" s="3" t="s">
        <v>13564</v>
      </c>
      <c r="C308" s="3" t="s">
        <v>13492</v>
      </c>
      <c r="D308" s="3" t="s">
        <v>13329</v>
      </c>
      <c r="F308" s="5" t="str">
        <f>IFERROR(__xludf.DUMMYFUNCTION("GOOGLETRANSLATE(A308, ""en"", ""hi"")"),"307")</f>
        <v>307</v>
      </c>
      <c r="G308" s="5" t="str">
        <f>IFERROR(__xludf.DUMMYFUNCTION("GOOGLETRANSLATE(B308, ""en"", ""hi"")"),"यदि खिलाड़ी X और खिलाड़ी Y एक साथ रिंग के बाहर गिर जाते हैं और कोई भी आगे नहीं खेल सकता, तो मुकना में मानक परिणाम क्या होगा?")</f>
        <v>यदि खिलाड़ी X और खिलाड़ी Y एक साथ रिंग के बाहर गिर जाते हैं और कोई भी आगे नहीं खेल सकता, तो मुकना में मानक परिणाम क्या होगा?</v>
      </c>
      <c r="H308" s="5" t="str">
        <f>IFERROR(__xludf.DUMMYFUNCTION("GOOGLETRANSLATE(C308, ""en"", ""hi"")"),"A) राउंड को ड्रा घोषित किया जाता है। , B) मैच पुनः शुरू किया जाता है। , C) खिलाड़ी X को विजेता घोषित किया जाता है। , D) खिलाड़ी Y को विजेता घोषित किया जाता है।")</f>
        <v>A) राउंड को ड्रा घोषित किया जाता है। , B) मैच पुनः शुरू किया जाता है। , C) खिलाड़ी X को विजेता घोषित किया जाता है। , D) खिलाड़ी Y को विजेता घोषित किया जाता है।</v>
      </c>
      <c r="I308" s="5" t="str">
        <f>IFERROR(__xludf.DUMMYFUNCTION("GOOGLETRANSLATE(D308, ""en"", ""hi"")"),"ए) राउंड को ड्रा घोषित किया जाता है।")</f>
        <v>ए) राउंड को ड्रा घोषित किया जाता है।</v>
      </c>
    </row>
    <row r="309" ht="22.5" customHeight="1">
      <c r="A309" s="8">
        <v>308.0</v>
      </c>
      <c r="B309" s="3" t="s">
        <v>13565</v>
      </c>
      <c r="C309" s="3" t="s">
        <v>13388</v>
      </c>
      <c r="D309" s="3" t="s">
        <v>13389</v>
      </c>
      <c r="F309" s="5" t="str">
        <f>IFERROR(__xludf.DUMMYFUNCTION("GOOGLETRANSLATE(A309, ""en"", ""hi"")"),"308")</f>
        <v>308</v>
      </c>
      <c r="G309" s="5" t="str">
        <f>IFERROR(__xludf.DUMMYFUNCTION("GOOGLETRANSLATE(B309, ""en"", ""hi"")"),"मुकना मैच के दौरान, यदि खिलाड़ी X एक सफल तकनीक का प्रदर्शन करता है जिसके कारण खिलाड़ी Y गिर जाता है, लेकिन खिलाड़ी X भी बाद में गिर जाता है, तो राउंड का निर्णय आमतौर पर कैसे किया जाता है?")</f>
        <v>मुकना मैच के दौरान, यदि खिलाड़ी X एक सफल तकनीक का प्रदर्शन करता है जिसके कारण खिलाड़ी Y गिर जाता है, लेकिन खिलाड़ी X भी बाद में गिर जाता है, तो राउंड का निर्णय आमतौर पर कैसे किया जाता है?</v>
      </c>
      <c r="H309" s="5" t="str">
        <f>IFERROR(__xludf.DUMMYFUNCTION("GOOGLETRANSLATE(C309,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09" s="5" t="str">
        <f>IFERROR(__xludf.DUMMYFUNCTION("GOOGLETRANSLATE(D309, ""en"", ""hi"")"),"A) खिलाड़ी Y राउंड जीतता है।")</f>
        <v>A) खिलाड़ी Y राउंड जीतता है।</v>
      </c>
    </row>
    <row r="310" ht="22.5" customHeight="1">
      <c r="A310" s="8">
        <v>309.0</v>
      </c>
      <c r="B310" s="3" t="s">
        <v>13566</v>
      </c>
      <c r="C310" s="3" t="s">
        <v>13531</v>
      </c>
      <c r="D310" s="3" t="s">
        <v>13329</v>
      </c>
      <c r="F310" s="5" t="str">
        <f>IFERROR(__xludf.DUMMYFUNCTION("GOOGLETRANSLATE(A310, ""en"", ""hi"")"),"309")</f>
        <v>309</v>
      </c>
      <c r="G310" s="5" t="str">
        <f>IFERROR(__xludf.DUMMYFUNCTION("GOOGLETRANSLATE(B310, ""en"", ""hi"")"),"यदि खिलाड़ी X और खिलाड़ी Y दोनों एक साथ गिर जाते हैं और कोई भी आगे नहीं बढ़ सकता, तो मुकना में राउंड का समाधान आम तौर पर कैसे किया जाता है?")</f>
        <v>यदि खिलाड़ी X और खिलाड़ी Y दोनों एक साथ गिर जाते हैं और कोई भी आगे नहीं बढ़ सकता, तो मुकना में राउंड का समाधान आम तौर पर कैसे किया जाता है?</v>
      </c>
      <c r="H310" s="5" t="str">
        <f>IFERROR(__xludf.DUMMYFUNCTION("GOOGLETRANSLATE(C310,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10" s="5" t="str">
        <f>IFERROR(__xludf.DUMMYFUNCTION("GOOGLETRANSLATE(D310, ""en"", ""hi"")"),"ए) राउंड को ड्रा घोषित किया जाता है।")</f>
        <v>ए) राउंड को ड्रा घोषित किया जाता है।</v>
      </c>
    </row>
    <row r="311" ht="22.5" customHeight="1">
      <c r="A311" s="8">
        <v>310.0</v>
      </c>
      <c r="B311" s="3" t="s">
        <v>13567</v>
      </c>
      <c r="C311" s="3" t="s">
        <v>13416</v>
      </c>
      <c r="D311" s="3" t="s">
        <v>13417</v>
      </c>
      <c r="F311" s="5" t="str">
        <f>IFERROR(__xludf.DUMMYFUNCTION("GOOGLETRANSLATE(A311, ""en"", ""hi"")"),"310")</f>
        <v>310</v>
      </c>
      <c r="G311" s="5" t="str">
        <f>IFERROR(__xludf.DUMMYFUNCTION("GOOGLETRANSLATE(B311, ""en"", ""hi"")"),"मुकना में, यदि खिलाड़ी X कोई अवैध चाल चलता है जिसके परिणामस्वरूप खिलाड़ी Y गिर जाता है, तो सामान्य परिणाम क्या होगा?")</f>
        <v>मुकना में, यदि खिलाड़ी X कोई अवैध चाल चलता है जिसके परिणामस्वरूप खिलाड़ी Y गिर जाता है, तो सामान्य परिणाम क्या होगा?</v>
      </c>
      <c r="H311" s="5" t="str">
        <f>IFERROR(__xludf.DUMMYFUNCTION("GOOGLETRANSLATE(C311,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11" s="5" t="str">
        <f>IFERROR(__xludf.DUMMYFUNCTION("GOOGLETRANSLATE(D311, ""en"", ""hi"")"),"A) खिलाड़ी Y को विजेता घोषित किया जाता है।")</f>
        <v>A) खिलाड़ी Y को विजेता घोषित किया जाता है।</v>
      </c>
    </row>
    <row r="312" ht="22.5" customHeight="1">
      <c r="A312" s="8">
        <v>311.0</v>
      </c>
      <c r="B312" s="3" t="s">
        <v>13568</v>
      </c>
      <c r="C312" s="3" t="s">
        <v>13531</v>
      </c>
      <c r="D312" s="3" t="s">
        <v>13329</v>
      </c>
      <c r="F312" s="5" t="str">
        <f>IFERROR(__xludf.DUMMYFUNCTION("GOOGLETRANSLATE(A312, ""en"", ""hi"")"),"311")</f>
        <v>311</v>
      </c>
      <c r="G312" s="5" t="str">
        <f>IFERROR(__xludf.DUMMYFUNCTION("GOOGLETRANSLATE(B312, ""en"", ""hi"")"),"मुकना मुकाबले के दौरान, यदि खिलाड़ी X और खिलाड़ी Y एक ही समय पर रिंग के बाहर गिर जाते हैं और कोई भी आगे नहीं खेल सकता, तो आमतौर पर राउंड का निर्णय कैसे किया जाता है?")</f>
        <v>मुकना मुकाबले के दौरान, यदि खिलाड़ी X और खिलाड़ी Y एक ही समय पर रिंग के बाहर गिर जाते हैं और कोई भी आगे नहीं खेल सकता, तो आमतौर पर राउंड का निर्णय कैसे किया जाता है?</v>
      </c>
      <c r="H312" s="5" t="str">
        <f>IFERROR(__xludf.DUMMYFUNCTION("GOOGLETRANSLATE(C312,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12" s="5" t="str">
        <f>IFERROR(__xludf.DUMMYFUNCTION("GOOGLETRANSLATE(D312, ""en"", ""hi"")"),"ए) राउंड को ड्रा घोषित किया जाता है।")</f>
        <v>ए) राउंड को ड्रा घोषित किया जाता है।</v>
      </c>
    </row>
    <row r="313" ht="22.5" customHeight="1">
      <c r="A313" s="8">
        <v>312.0</v>
      </c>
      <c r="B313" s="3" t="s">
        <v>13569</v>
      </c>
      <c r="C313" s="3" t="s">
        <v>13388</v>
      </c>
      <c r="D313" s="3" t="s">
        <v>13389</v>
      </c>
      <c r="F313" s="5" t="str">
        <f>IFERROR(__xludf.DUMMYFUNCTION("GOOGLETRANSLATE(A313, ""en"", ""hi"")"),"312")</f>
        <v>312</v>
      </c>
      <c r="G313" s="5" t="str">
        <f>IFERROR(__xludf.DUMMYFUNCTION("GOOGLETRANSLATE(B313, ""en"", ""hi"")"),"यदि खिलाड़ी X ऐसी तकनीक का प्रयोग करता है जिससे खिलाड़ी Y गिर जाता है, लेकिन खिलाड़ी X भी तुरंत बाद गिर जाता है, तो मुकना में कौन राउंड जीतता है?")</f>
        <v>यदि खिलाड़ी X ऐसी तकनीक का प्रयोग करता है जिससे खिलाड़ी Y गिर जाता है, लेकिन खिलाड़ी X भी तुरंत बाद गिर जाता है, तो मुकना में कौन राउंड जीतता है?</v>
      </c>
      <c r="H313" s="5" t="str">
        <f>IFERROR(__xludf.DUMMYFUNCTION("GOOGLETRANSLATE(C313,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13" s="5" t="str">
        <f>IFERROR(__xludf.DUMMYFUNCTION("GOOGLETRANSLATE(D313, ""en"", ""hi"")"),"A) खिलाड़ी Y राउंड जीतता है।")</f>
        <v>A) खिलाड़ी Y राउंड जीतता है।</v>
      </c>
    </row>
    <row r="314" ht="22.5" customHeight="1">
      <c r="A314" s="8">
        <v>313.0</v>
      </c>
      <c r="B314" s="3" t="s">
        <v>13570</v>
      </c>
      <c r="C314" s="3" t="s">
        <v>13531</v>
      </c>
      <c r="D314" s="3" t="s">
        <v>13329</v>
      </c>
      <c r="F314" s="5" t="str">
        <f>IFERROR(__xludf.DUMMYFUNCTION("GOOGLETRANSLATE(A314, ""en"", ""hi"")"),"313")</f>
        <v>313</v>
      </c>
      <c r="G314" s="5" t="str">
        <f>IFERROR(__xludf.DUMMYFUNCTION("GOOGLETRANSLATE(B314, ""en"", ""hi"")"),"मुकना में, यदि खिलाड़ी X और खिलाड़ी Y दोनों एक साथ गिर जाते हैं और कोई भी आगे नहीं बढ़ पाता है, तो आमतौर पर राउंड का समाधान कैसे किया जाता है?")</f>
        <v>मुकना में, यदि खिलाड़ी X और खिलाड़ी Y दोनों एक साथ गिर जाते हैं और कोई भी आगे नहीं बढ़ पाता है, तो आमतौर पर राउंड का समाधान कैसे किया जाता है?</v>
      </c>
      <c r="H314" s="5" t="str">
        <f>IFERROR(__xludf.DUMMYFUNCTION("GOOGLETRANSLATE(C314,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14" s="5" t="str">
        <f>IFERROR(__xludf.DUMMYFUNCTION("GOOGLETRANSLATE(D314, ""en"", ""hi"")"),"ए) राउंड को ड्रा घोषित किया जाता है।")</f>
        <v>ए) राउंड को ड्रा घोषित किया जाता है।</v>
      </c>
    </row>
    <row r="315" ht="22.5" customHeight="1">
      <c r="A315" s="8">
        <v>314.0</v>
      </c>
      <c r="B315" s="3" t="s">
        <v>13571</v>
      </c>
      <c r="C315" s="3" t="s">
        <v>13416</v>
      </c>
      <c r="D315" s="3" t="s">
        <v>13417</v>
      </c>
      <c r="F315" s="5" t="str">
        <f>IFERROR(__xludf.DUMMYFUNCTION("GOOGLETRANSLATE(A315, ""en"", ""hi"")"),"314")</f>
        <v>314</v>
      </c>
      <c r="G315" s="5" t="str">
        <f>IFERROR(__xludf.DUMMYFUNCTION("GOOGLETRANSLATE(B315, ""en"", ""hi"")"),"मुकना मैच के दौरान, यदि खिलाड़ी X कोई अवैध तकनीक अपनाता है जिसके परिणामस्वरूप खिलाड़ी Y गिर जाता है, तो उस राउंड का सामान्य परिणाम क्या होगा?")</f>
        <v>मुकना मैच के दौरान, यदि खिलाड़ी X कोई अवैध तकनीक अपनाता है जिसके परिणामस्वरूप खिलाड़ी Y गिर जाता है, तो उस राउंड का सामान्य परिणाम क्या होगा?</v>
      </c>
      <c r="H315" s="5" t="str">
        <f>IFERROR(__xludf.DUMMYFUNCTION("GOOGLETRANSLATE(C315,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15" s="5" t="str">
        <f>IFERROR(__xludf.DUMMYFUNCTION("GOOGLETRANSLATE(D315, ""en"", ""hi"")"),"A) खिलाड़ी Y को विजेता घोषित किया जाता है।")</f>
        <v>A) खिलाड़ी Y को विजेता घोषित किया जाता है।</v>
      </c>
    </row>
    <row r="316" ht="22.5" customHeight="1">
      <c r="A316" s="8">
        <v>315.0</v>
      </c>
      <c r="B316" s="3" t="s">
        <v>13572</v>
      </c>
      <c r="C316" s="3" t="s">
        <v>13558</v>
      </c>
      <c r="D316" s="3" t="s">
        <v>13329</v>
      </c>
      <c r="F316" s="5" t="str">
        <f>IFERROR(__xludf.DUMMYFUNCTION("GOOGLETRANSLATE(A316, ""en"", ""hi"")"),"315")</f>
        <v>315</v>
      </c>
      <c r="G316" s="5" t="str">
        <f>IFERROR(__xludf.DUMMYFUNCTION("GOOGLETRANSLATE(B316, ""en"", ""hi"")"),"यदि खिलाड़ी X और खिलाड़ी Y एक साथ रिंग के बाहर गिर जाते हैं और कोई भी आगे नहीं खेल सकता, तो मुकना में सामान्य परिणाम क्या होगा?")</f>
        <v>यदि खिलाड़ी X और खिलाड़ी Y एक साथ रिंग के बाहर गिर जाते हैं और कोई भी आगे नहीं खेल सकता, तो मुकना में सामान्य परिणाम क्या होगा?</v>
      </c>
      <c r="H316" s="5" t="str">
        <f>IFERROR(__xludf.DUMMYFUNCTION("GOOGLETRANSLATE(C316, ""en"", ""hi"")"),"ए) राउंड को ड्रा घोषित किया जाता है।, बी) मैच पुनः शुरू किया जाता है।, सी) खिलाड़ी एक्स राउंड जीतता है।, डी) खिलाड़ी वाई राउंड जीतता है।")</f>
        <v>ए) राउंड को ड्रा घोषित किया जाता है।, बी) मैच पुनः शुरू किया जाता है।, सी) खिलाड़ी एक्स राउंड जीतता है।, डी) खिलाड़ी वाई राउंड जीतता है।</v>
      </c>
      <c r="I316" s="5" t="str">
        <f>IFERROR(__xludf.DUMMYFUNCTION("GOOGLETRANSLATE(D316, ""en"", ""hi"")"),"ए) राउंड को ड्रा घोषित किया जाता है।")</f>
        <v>ए) राउंड को ड्रा घोषित किया जाता है।</v>
      </c>
    </row>
    <row r="317" ht="22.5" customHeight="1">
      <c r="A317" s="8">
        <v>316.0</v>
      </c>
      <c r="B317" s="3" t="s">
        <v>13573</v>
      </c>
      <c r="C317" s="3" t="s">
        <v>13388</v>
      </c>
      <c r="D317" s="3" t="s">
        <v>13389</v>
      </c>
      <c r="F317" s="5" t="str">
        <f>IFERROR(__xludf.DUMMYFUNCTION("GOOGLETRANSLATE(A317, ""en"", ""hi"")"),"316")</f>
        <v>316</v>
      </c>
      <c r="G317" s="5" t="str">
        <f>IFERROR(__xludf.DUMMYFUNCTION("GOOGLETRANSLATE(B317, ""en"", ""hi"")"),"मुकना में, यदि खिलाड़ी X एक सफल तकनीक का प्रदर्शन करता है, जिससे खिलाड़ी Y गिर जाता है, लेकिन खिलाड़ी X भी बाद में गिर जाता है, तो कौन राउंड जीतता है?")</f>
        <v>मुकना में, यदि खिलाड़ी X एक सफल तकनीक का प्रदर्शन करता है, जिससे खिलाड़ी Y गिर जाता है, लेकिन खिलाड़ी X भी बाद में गिर जाता है, तो कौन राउंड जीतता है?</v>
      </c>
      <c r="H317" s="5" t="str">
        <f>IFERROR(__xludf.DUMMYFUNCTION("GOOGLETRANSLATE(C317,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17" s="5" t="str">
        <f>IFERROR(__xludf.DUMMYFUNCTION("GOOGLETRANSLATE(D317, ""en"", ""hi"")"),"A) खिलाड़ी Y राउंड जीतता है।")</f>
        <v>A) खिलाड़ी Y राउंड जीतता है।</v>
      </c>
    </row>
    <row r="318" ht="22.5" customHeight="1">
      <c r="A318" s="8">
        <v>317.0</v>
      </c>
      <c r="B318" s="3" t="s">
        <v>13549</v>
      </c>
      <c r="C318" s="3" t="s">
        <v>13531</v>
      </c>
      <c r="D318" s="3" t="s">
        <v>13329</v>
      </c>
      <c r="F318" s="5" t="str">
        <f>IFERROR(__xludf.DUMMYFUNCTION("GOOGLETRANSLATE(A318, ""en"", ""hi"")"),"317")</f>
        <v>317</v>
      </c>
      <c r="G318" s="5" t="str">
        <f>IFERROR(__xludf.DUMMYFUNCTION("GOOGLETRANSLATE(B318, ""en"", ""hi"")"),"मुकना मुकाबले के दौरान, यदि खिलाड़ी X और खिलाड़ी Y दोनों एक साथ गिर जाते हैं और कोई भी आगे नहीं बढ़ पाता है, तो आमतौर पर राउंड का स्कोर कैसे किया जाता है?")</f>
        <v>मुकना मुकाबले के दौरान, यदि खिलाड़ी X और खिलाड़ी Y दोनों एक साथ गिर जाते हैं और कोई भी आगे नहीं बढ़ पाता है, तो आमतौर पर राउंड का स्कोर कैसे किया जाता है?</v>
      </c>
      <c r="H318" s="5" t="str">
        <f>IFERROR(__xludf.DUMMYFUNCTION("GOOGLETRANSLATE(C318,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18" s="5" t="str">
        <f>IFERROR(__xludf.DUMMYFUNCTION("GOOGLETRANSLATE(D318, ""en"", ""hi"")"),"ए) राउंड को ड्रा घोषित किया जाता है।")</f>
        <v>ए) राउंड को ड्रा घोषित किया जाता है।</v>
      </c>
    </row>
    <row r="319" ht="22.5" customHeight="1">
      <c r="A319" s="8">
        <v>318.0</v>
      </c>
      <c r="B319" s="3" t="s">
        <v>13574</v>
      </c>
      <c r="C319" s="3" t="s">
        <v>13416</v>
      </c>
      <c r="D319" s="3" t="s">
        <v>13417</v>
      </c>
      <c r="F319" s="5" t="str">
        <f>IFERROR(__xludf.DUMMYFUNCTION("GOOGLETRANSLATE(A319, ""en"", ""hi"")"),"318")</f>
        <v>318</v>
      </c>
      <c r="G319" s="5" t="str">
        <f>IFERROR(__xludf.DUMMYFUNCTION("GOOGLETRANSLATE(B319, ""en"", ""hi"")"),"मुकना में, यदि खिलाड़ी X कोई अवैध तकनीक अपनाता है जिसके कारण खिलाड़ी Y गिर जाता है, तो उस राउंड के लिए सामान्य निर्णय क्या होता है?")</f>
        <v>मुकना में, यदि खिलाड़ी X कोई अवैध तकनीक अपनाता है जिसके कारण खिलाड़ी Y गिर जाता है, तो उस राउंड के लिए सामान्य निर्णय क्या होता है?</v>
      </c>
      <c r="H319" s="5" t="str">
        <f>IFERROR(__xludf.DUMMYFUNCTION("GOOGLETRANSLATE(C319,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19" s="5" t="str">
        <f>IFERROR(__xludf.DUMMYFUNCTION("GOOGLETRANSLATE(D319, ""en"", ""hi"")"),"A) खिलाड़ी Y को विजेता घोषित किया जाता है।")</f>
        <v>A) खिलाड़ी Y को विजेता घोषित किया जाता है।</v>
      </c>
    </row>
    <row r="320" ht="22.5" customHeight="1">
      <c r="A320" s="8">
        <v>319.0</v>
      </c>
      <c r="B320" s="3" t="s">
        <v>13575</v>
      </c>
      <c r="C320" s="3" t="s">
        <v>13558</v>
      </c>
      <c r="D320" s="3" t="s">
        <v>13329</v>
      </c>
      <c r="F320" s="5" t="str">
        <f>IFERROR(__xludf.DUMMYFUNCTION("GOOGLETRANSLATE(A320, ""en"", ""hi"")"),"319")</f>
        <v>319</v>
      </c>
      <c r="G320" s="5" t="str">
        <f>IFERROR(__xludf.DUMMYFUNCTION("GOOGLETRANSLATE(B320, ""en"", ""hi"")"),"यदि खिलाड़ी X और खिलाड़ी Y दोनों एक साथ रिंग के बाहर गिर जाते हैं और कोई भी आगे नहीं खेल सकता, तो मुकना में मानक परिणाम क्या होगा?")</f>
        <v>यदि खिलाड़ी X और खिलाड़ी Y दोनों एक साथ रिंग के बाहर गिर जाते हैं और कोई भी आगे नहीं खेल सकता, तो मुकना में मानक परिणाम क्या होगा?</v>
      </c>
      <c r="H320" s="5" t="str">
        <f>IFERROR(__xludf.DUMMYFUNCTION("GOOGLETRANSLATE(C320, ""en"", ""hi"")"),"ए) राउंड को ड्रा घोषित किया जाता है।, बी) मैच पुनः शुरू किया जाता है।, सी) खिलाड़ी एक्स राउंड जीतता है।, डी) खिलाड़ी वाई राउंड जीतता है।")</f>
        <v>ए) राउंड को ड्रा घोषित किया जाता है।, बी) मैच पुनः शुरू किया जाता है।, सी) खिलाड़ी एक्स राउंड जीतता है।, डी) खिलाड़ी वाई राउंड जीतता है।</v>
      </c>
      <c r="I320" s="5" t="str">
        <f>IFERROR(__xludf.DUMMYFUNCTION("GOOGLETRANSLATE(D320, ""en"", ""hi"")"),"ए) राउंड को ड्रा घोषित किया जाता है।")</f>
        <v>ए) राउंड को ड्रा घोषित किया जाता है।</v>
      </c>
    </row>
    <row r="321" ht="22.5" customHeight="1">
      <c r="A321" s="8">
        <v>320.0</v>
      </c>
      <c r="B321" s="3" t="s">
        <v>13576</v>
      </c>
      <c r="C321" s="3" t="s">
        <v>13388</v>
      </c>
      <c r="D321" s="3" t="s">
        <v>13389</v>
      </c>
      <c r="F321" s="5" t="str">
        <f>IFERROR(__xludf.DUMMYFUNCTION("GOOGLETRANSLATE(A321, ""en"", ""hi"")"),"320")</f>
        <v>320</v>
      </c>
      <c r="G321" s="5" t="str">
        <f>IFERROR(__xludf.DUMMYFUNCTION("GOOGLETRANSLATE(B321, ""en"", ""hi"")"),"मुकना में, यदि खिलाड़ी X कोई ऐसी तकनीक अपनाता है जिसके कारण खिलाड़ी Y गिर जाता है, लेकिन खिलाड़ी X भी तुरंत बाद गिर जाता है, तो आमतौर पर राउंड का निर्णय कैसे किया जाता है?")</f>
        <v>मुकना में, यदि खिलाड़ी X कोई ऐसी तकनीक अपनाता है जिसके कारण खिलाड़ी Y गिर जाता है, लेकिन खिलाड़ी X भी तुरंत बाद गिर जाता है, तो आमतौर पर राउंड का निर्णय कैसे किया जाता है?</v>
      </c>
      <c r="H321" s="5" t="str">
        <f>IFERROR(__xludf.DUMMYFUNCTION("GOOGLETRANSLATE(C321,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21" s="5" t="str">
        <f>IFERROR(__xludf.DUMMYFUNCTION("GOOGLETRANSLATE(D321, ""en"", ""hi"")"),"A) खिलाड़ी Y राउंड जीतता है।")</f>
        <v>A) खिलाड़ी Y राउंड जीतता है।</v>
      </c>
    </row>
    <row r="322" ht="22.5" customHeight="1">
      <c r="A322" s="8">
        <v>321.0</v>
      </c>
      <c r="B322" s="3" t="s">
        <v>13577</v>
      </c>
      <c r="C322" s="3" t="s">
        <v>13531</v>
      </c>
      <c r="D322" s="3" t="s">
        <v>13329</v>
      </c>
      <c r="F322" s="5" t="str">
        <f>IFERROR(__xludf.DUMMYFUNCTION("GOOGLETRANSLATE(A322, ""en"", ""hi"")"),"321")</f>
        <v>321</v>
      </c>
      <c r="G322" s="5" t="str">
        <f>IFERROR(__xludf.DUMMYFUNCTION("GOOGLETRANSLATE(B322, ""en"", ""hi"")"),"मुकना मुकाबले के दौरान, यदि खिलाड़ी X और खिलाड़ी Y दोनों एक साथ गिर जाते हैं और कोई भी आगे नहीं बढ़ पाता, तो आमतौर पर राउंड का समाधान कैसे किया जाता है?")</f>
        <v>मुकना मुकाबले के दौरान, यदि खिलाड़ी X और खिलाड़ी Y दोनों एक साथ गिर जाते हैं और कोई भी आगे नहीं बढ़ पाता, तो आमतौर पर राउंड का समाधान कैसे किया जाता है?</v>
      </c>
      <c r="H322" s="5" t="str">
        <f>IFERROR(__xludf.DUMMYFUNCTION("GOOGLETRANSLATE(C322,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22" s="5" t="str">
        <f>IFERROR(__xludf.DUMMYFUNCTION("GOOGLETRANSLATE(D322, ""en"", ""hi"")"),"ए) राउंड को ड्रा घोषित किया जाता है।")</f>
        <v>ए) राउंड को ड्रा घोषित किया जाता है।</v>
      </c>
    </row>
    <row r="323" ht="22.5" customHeight="1">
      <c r="A323" s="8">
        <v>322.0</v>
      </c>
      <c r="B323" s="3" t="s">
        <v>13578</v>
      </c>
      <c r="C323" s="3" t="s">
        <v>13416</v>
      </c>
      <c r="D323" s="3" t="s">
        <v>13417</v>
      </c>
      <c r="F323" s="5" t="str">
        <f>IFERROR(__xludf.DUMMYFUNCTION("GOOGLETRANSLATE(A323, ""en"", ""hi"")"),"322")</f>
        <v>322</v>
      </c>
      <c r="G323" s="5" t="str">
        <f>IFERROR(__xludf.DUMMYFUNCTION("GOOGLETRANSLATE(B323, ""en"", ""hi"")"),"मुकना में, यदि खिलाड़ी X कोई अवैध तकनीक अपनाता है जिसके परिणामस्वरूप खिलाड़ी Y गिर जाता है, तो राउंड का सामान्य परिणाम क्या होता है?")</f>
        <v>मुकना में, यदि खिलाड़ी X कोई अवैध तकनीक अपनाता है जिसके परिणामस्वरूप खिलाड़ी Y गिर जाता है, तो राउंड का सामान्य परिणाम क्या होता है?</v>
      </c>
      <c r="H323" s="5" t="str">
        <f>IFERROR(__xludf.DUMMYFUNCTION("GOOGLETRANSLATE(C323,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23" s="5" t="str">
        <f>IFERROR(__xludf.DUMMYFUNCTION("GOOGLETRANSLATE(D323, ""en"", ""hi"")"),"A) खिलाड़ी Y को विजेता घोषित किया जाता है।")</f>
        <v>A) खिलाड़ी Y को विजेता घोषित किया जाता है।</v>
      </c>
    </row>
    <row r="324" ht="22.5" customHeight="1">
      <c r="A324" s="8">
        <v>323.0</v>
      </c>
      <c r="B324" s="3" t="s">
        <v>13579</v>
      </c>
      <c r="C324" s="3" t="s">
        <v>13531</v>
      </c>
      <c r="D324" s="3" t="s">
        <v>13329</v>
      </c>
      <c r="F324" s="5" t="str">
        <f>IFERROR(__xludf.DUMMYFUNCTION("GOOGLETRANSLATE(A324, ""en"", ""hi"")"),"323")</f>
        <v>323</v>
      </c>
      <c r="G324" s="5" t="str">
        <f>IFERROR(__xludf.DUMMYFUNCTION("GOOGLETRANSLATE(B324, ""en"", ""hi"")"),"यदि खिलाड़ी X और खिलाड़ी Y दोनों एक ही समय पर रिंग के बाहर गिर जाते हैं और कोई भी आगे नहीं खेल सकता, तो मुकना में राउंड का स्कोर आमतौर पर कैसे होगा?")</f>
        <v>यदि खिलाड़ी X और खिलाड़ी Y दोनों एक ही समय पर रिंग के बाहर गिर जाते हैं और कोई भी आगे नहीं खेल सकता, तो मुकना में राउंड का स्कोर आमतौर पर कैसे होगा?</v>
      </c>
      <c r="H324" s="5" t="str">
        <f>IFERROR(__xludf.DUMMYFUNCTION("GOOGLETRANSLATE(C324,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24" s="5" t="str">
        <f>IFERROR(__xludf.DUMMYFUNCTION("GOOGLETRANSLATE(D324, ""en"", ""hi"")"),"ए) राउंड को ड्रा घोषित किया जाता है।")</f>
        <v>ए) राउंड को ड्रा घोषित किया जाता है।</v>
      </c>
    </row>
    <row r="325" ht="22.5" customHeight="1">
      <c r="A325" s="8">
        <v>324.0</v>
      </c>
      <c r="B325" s="3" t="s">
        <v>13580</v>
      </c>
      <c r="C325" s="3" t="s">
        <v>13388</v>
      </c>
      <c r="D325" s="3" t="s">
        <v>13389</v>
      </c>
      <c r="F325" s="5" t="str">
        <f>IFERROR(__xludf.DUMMYFUNCTION("GOOGLETRANSLATE(A325, ""en"", ""hi"")"),"324")</f>
        <v>324</v>
      </c>
      <c r="G325" s="5" t="str">
        <f>IFERROR(__xludf.DUMMYFUNCTION("GOOGLETRANSLATE(B325, ""en"", ""hi"")"),"मुकना में, यदि खिलाड़ी X कोई सफल तकनीक अपनाता है, जिससे खिलाड़ी Y गिर जाता है, लेकिन उसके बाद खिलाड़ी X भी गिर जाता है, तो आमतौर पर राउंड का निर्णय कैसे किया जाता है?")</f>
        <v>मुकना में, यदि खिलाड़ी X कोई सफल तकनीक अपनाता है, जिससे खिलाड़ी Y गिर जाता है, लेकिन उसके बाद खिलाड़ी X भी गिर जाता है, तो आमतौर पर राउंड का निर्णय कैसे किया जाता है?</v>
      </c>
      <c r="H325" s="5" t="str">
        <f>IFERROR(__xludf.DUMMYFUNCTION("GOOGLETRANSLATE(C325,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25" s="5" t="str">
        <f>IFERROR(__xludf.DUMMYFUNCTION("GOOGLETRANSLATE(D325, ""en"", ""hi"")"),"A) खिलाड़ी Y राउंड जीतता है।")</f>
        <v>A) खिलाड़ी Y राउंड जीतता है।</v>
      </c>
    </row>
    <row r="326" ht="22.5" customHeight="1">
      <c r="A326" s="8">
        <v>325.0</v>
      </c>
      <c r="B326" s="3" t="s">
        <v>13581</v>
      </c>
      <c r="C326" s="3" t="s">
        <v>13531</v>
      </c>
      <c r="D326" s="3" t="s">
        <v>13329</v>
      </c>
      <c r="F326" s="5" t="str">
        <f>IFERROR(__xludf.DUMMYFUNCTION("GOOGLETRANSLATE(A326, ""en"", ""hi"")"),"325")</f>
        <v>325</v>
      </c>
      <c r="G326" s="5" t="str">
        <f>IFERROR(__xludf.DUMMYFUNCTION("GOOGLETRANSLATE(B326, ""en"", ""hi"")"),"मुकना मैच के दौरान, यदि खिलाड़ी X और खिलाड़ी Y एक साथ गिर जाते हैं और कोई भी आगे नहीं बढ़ सकता है, तो उस राउंड के लिए मानक निर्णय क्या होगा?")</f>
        <v>मुकना मैच के दौरान, यदि खिलाड़ी X और खिलाड़ी Y एक साथ गिर जाते हैं और कोई भी आगे नहीं बढ़ सकता है, तो उस राउंड के लिए मानक निर्णय क्या होगा?</v>
      </c>
      <c r="H326" s="5" t="str">
        <f>IFERROR(__xludf.DUMMYFUNCTION("GOOGLETRANSLATE(C326,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26" s="5" t="str">
        <f>IFERROR(__xludf.DUMMYFUNCTION("GOOGLETRANSLATE(D326, ""en"", ""hi"")"),"ए) राउंड को ड्रा घोषित किया जाता है।")</f>
        <v>ए) राउंड को ड्रा घोषित किया जाता है।</v>
      </c>
    </row>
    <row r="327" ht="22.5" customHeight="1">
      <c r="A327" s="8">
        <v>326.0</v>
      </c>
      <c r="B327" s="3" t="s">
        <v>13582</v>
      </c>
      <c r="C327" s="3" t="s">
        <v>13416</v>
      </c>
      <c r="D327" s="3" t="s">
        <v>13417</v>
      </c>
      <c r="F327" s="5" t="str">
        <f>IFERROR(__xludf.DUMMYFUNCTION("GOOGLETRANSLATE(A327, ""en"", ""hi"")"),"326")</f>
        <v>326</v>
      </c>
      <c r="G327" s="5" t="str">
        <f>IFERROR(__xludf.DUMMYFUNCTION("GOOGLETRANSLATE(B327, ""en"", ""hi"")"),"मुकना में, यदि खिलाड़ी X कोई अवैध चाल चलता है जिसके कारण खिलाड़ी Y गिर जाता है, तो राउंड का सामान्य परिणाम क्या होता है?")</f>
        <v>मुकना में, यदि खिलाड़ी X कोई अवैध चाल चलता है जिसके कारण खिलाड़ी Y गिर जाता है, तो राउंड का सामान्य परिणाम क्या होता है?</v>
      </c>
      <c r="H327" s="5" t="str">
        <f>IFERROR(__xludf.DUMMYFUNCTION("GOOGLETRANSLATE(C327,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27" s="5" t="str">
        <f>IFERROR(__xludf.DUMMYFUNCTION("GOOGLETRANSLATE(D327, ""en"", ""hi"")"),"A) खिलाड़ी Y को विजेता घोषित किया जाता है।")</f>
        <v>A) खिलाड़ी Y को विजेता घोषित किया जाता है।</v>
      </c>
    </row>
    <row r="328" ht="22.5" customHeight="1">
      <c r="A328" s="8">
        <v>327.0</v>
      </c>
      <c r="B328" s="3" t="s">
        <v>13554</v>
      </c>
      <c r="C328" s="3" t="s">
        <v>13531</v>
      </c>
      <c r="D328" s="3" t="s">
        <v>13329</v>
      </c>
      <c r="F328" s="5" t="str">
        <f>IFERROR(__xludf.DUMMYFUNCTION("GOOGLETRANSLATE(A328, ""en"", ""hi"")"),"327")</f>
        <v>327</v>
      </c>
      <c r="G328" s="5" t="str">
        <f>IFERROR(__xludf.DUMMYFUNCTION("GOOGLETRANSLATE(B328, ""en"", ""hi"")"),"यदि खिलाड़ी X और खिलाड़ी Y एक साथ रिंग के बाहर गिर जाते हैं और कोई भी आगे नहीं खेल सकता, तो मुकना में राउंड का निर्णय कैसे किया जाता है?")</f>
        <v>यदि खिलाड़ी X और खिलाड़ी Y एक साथ रिंग के बाहर गिर जाते हैं और कोई भी आगे नहीं खेल सकता, तो मुकना में राउंड का निर्णय कैसे किया जाता है?</v>
      </c>
      <c r="H328" s="5" t="str">
        <f>IFERROR(__xludf.DUMMYFUNCTION("GOOGLETRANSLATE(C328,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28" s="5" t="str">
        <f>IFERROR(__xludf.DUMMYFUNCTION("GOOGLETRANSLATE(D328, ""en"", ""hi"")"),"ए) राउंड को ड्रा घोषित किया जाता है।")</f>
        <v>ए) राउंड को ड्रा घोषित किया जाता है।</v>
      </c>
    </row>
    <row r="329" ht="22.5" customHeight="1">
      <c r="A329" s="8">
        <v>328.0</v>
      </c>
      <c r="B329" s="3" t="s">
        <v>13583</v>
      </c>
      <c r="C329" s="3" t="s">
        <v>13533</v>
      </c>
      <c r="D329" s="3" t="s">
        <v>13389</v>
      </c>
      <c r="F329" s="5" t="str">
        <f>IFERROR(__xludf.DUMMYFUNCTION("GOOGLETRANSLATE(A329, ""en"", ""hi"")"),"328")</f>
        <v>328</v>
      </c>
      <c r="G329" s="5" t="str">
        <f>IFERROR(__xludf.DUMMYFUNCTION("GOOGLETRANSLATE(B329, ""en"", ""hi"")"),"मुकना में, यदि खिलाड़ी X कोई ऐसी तकनीक अपनाता है जिससे खिलाड़ी Y गिर जाता है, लेकिन खिलाड़ी X भी तुरंत बाद गिर जाता है, तो विजेता किसे घोषित किया जाता है?")</f>
        <v>मुकना में, यदि खिलाड़ी X कोई ऐसी तकनीक अपनाता है जिससे खिलाड़ी Y गिर जाता है, लेकिन खिलाड़ी X भी तुरंत बाद गिर जाता है, तो विजेता किसे घोषित किया जाता है?</v>
      </c>
      <c r="H329" s="5" t="str">
        <f>IFERROR(__xludf.DUMMYFUNCTION("GOOGLETRANSLATE(C329,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29" s="5" t="str">
        <f>IFERROR(__xludf.DUMMYFUNCTION("GOOGLETRANSLATE(D329, ""en"", ""hi"")"),"A) खिलाड़ी Y राउंड जीतता है।")</f>
        <v>A) खिलाड़ी Y राउंड जीतता है।</v>
      </c>
    </row>
    <row r="330" ht="22.5" customHeight="1">
      <c r="A330" s="8">
        <v>329.0</v>
      </c>
      <c r="B330" s="3" t="s">
        <v>13584</v>
      </c>
      <c r="C330" s="3" t="s">
        <v>13531</v>
      </c>
      <c r="D330" s="3" t="s">
        <v>13329</v>
      </c>
      <c r="F330" s="5" t="str">
        <f>IFERROR(__xludf.DUMMYFUNCTION("GOOGLETRANSLATE(A330, ""en"", ""hi"")"),"329")</f>
        <v>329</v>
      </c>
      <c r="G330" s="5" t="str">
        <f>IFERROR(__xludf.DUMMYFUNCTION("GOOGLETRANSLATE(B330, ""en"", ""hi"")"),"मुकना मुकाबले के दौरान, यदि खिलाड़ी X और खिलाड़ी Y दोनों एक साथ गिर जाते हैं और कोई भी आगे नहीं बढ़ पाता, तो सामान्य परिणाम क्या होगा?")</f>
        <v>मुकना मुकाबले के दौरान, यदि खिलाड़ी X और खिलाड़ी Y दोनों एक साथ गिर जाते हैं और कोई भी आगे नहीं बढ़ पाता, तो सामान्य परिणाम क्या होगा?</v>
      </c>
      <c r="H330" s="5" t="str">
        <f>IFERROR(__xludf.DUMMYFUNCTION("GOOGLETRANSLATE(C330,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30" s="5" t="str">
        <f>IFERROR(__xludf.DUMMYFUNCTION("GOOGLETRANSLATE(D330, ""en"", ""hi"")"),"ए) राउंड को ड्रा घोषित किया जाता है।")</f>
        <v>ए) राउंड को ड्रा घोषित किया जाता है।</v>
      </c>
    </row>
    <row r="331" ht="22.5" customHeight="1">
      <c r="A331" s="8">
        <v>330.0</v>
      </c>
      <c r="B331" s="3" t="s">
        <v>13585</v>
      </c>
      <c r="C331" s="3" t="s">
        <v>13416</v>
      </c>
      <c r="D331" s="3" t="s">
        <v>13417</v>
      </c>
      <c r="F331" s="5" t="str">
        <f>IFERROR(__xludf.DUMMYFUNCTION("GOOGLETRANSLATE(A331, ""en"", ""hi"")"),"330")</f>
        <v>330</v>
      </c>
      <c r="G331" s="5" t="str">
        <f>IFERROR(__xludf.DUMMYFUNCTION("GOOGLETRANSLATE(B331, ""en"", ""hi"")"),"यदि खिलाड़ी X कोई अवैध चाल चलता है जिसके कारण खिलाड़ी Y गिर जाता है, तो मुकना में राउंड के लिए सामान्य निर्णय क्या होता है?")</f>
        <v>यदि खिलाड़ी X कोई अवैध चाल चलता है जिसके कारण खिलाड़ी Y गिर जाता है, तो मुकना में राउंड के लिए सामान्य निर्णय क्या होता है?</v>
      </c>
      <c r="H331" s="5" t="str">
        <f>IFERROR(__xludf.DUMMYFUNCTION("GOOGLETRANSLATE(C331,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31" s="5" t="str">
        <f>IFERROR(__xludf.DUMMYFUNCTION("GOOGLETRANSLATE(D331, ""en"", ""hi"")"),"A) खिलाड़ी Y को विजेता घोषित किया जाता है।")</f>
        <v>A) खिलाड़ी Y को विजेता घोषित किया जाता है।</v>
      </c>
    </row>
    <row r="332" ht="22.5" customHeight="1">
      <c r="A332" s="8">
        <v>331.0</v>
      </c>
      <c r="B332" s="3" t="s">
        <v>13586</v>
      </c>
      <c r="C332" s="3" t="s">
        <v>13531</v>
      </c>
      <c r="D332" s="3" t="s">
        <v>13329</v>
      </c>
      <c r="F332" s="5" t="str">
        <f>IFERROR(__xludf.DUMMYFUNCTION("GOOGLETRANSLATE(A332, ""en"", ""hi"")"),"331")</f>
        <v>331</v>
      </c>
      <c r="G332" s="5" t="str">
        <f>IFERROR(__xludf.DUMMYFUNCTION("GOOGLETRANSLATE(B332, ""en"", ""hi"")"),"मुकना मैच के दौरान, यदि खिलाड़ी X और खिलाड़ी Y दोनों एक साथ रिंग के बाहर गिर जाते हैं और कोई भी आगे नहीं खेल सकता, तो आमतौर पर राउंड का समाधान कैसे किया जाता है?")</f>
        <v>मुकना मैच के दौरान, यदि खिलाड़ी X और खिलाड़ी Y दोनों एक साथ रिंग के बाहर गिर जाते हैं और कोई भी आगे नहीं खेल सकता, तो आमतौर पर राउंड का समाधान कैसे किया जाता है?</v>
      </c>
      <c r="H332" s="5" t="str">
        <f>IFERROR(__xludf.DUMMYFUNCTION("GOOGLETRANSLATE(C332,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32" s="5" t="str">
        <f>IFERROR(__xludf.DUMMYFUNCTION("GOOGLETRANSLATE(D332, ""en"", ""hi"")"),"ए) राउंड को ड्रा घोषित किया जाता है।")</f>
        <v>ए) राउंड को ड्रा घोषित किया जाता है।</v>
      </c>
    </row>
    <row r="333" ht="22.5" customHeight="1">
      <c r="A333" s="8">
        <v>332.0</v>
      </c>
      <c r="B333" s="3" t="s">
        <v>13587</v>
      </c>
      <c r="C333" s="3" t="s">
        <v>13388</v>
      </c>
      <c r="D333" s="3" t="s">
        <v>13389</v>
      </c>
      <c r="F333" s="5" t="str">
        <f>IFERROR(__xludf.DUMMYFUNCTION("GOOGLETRANSLATE(A333, ""en"", ""hi"")"),"332")</f>
        <v>332</v>
      </c>
      <c r="G333" s="5" t="str">
        <f>IFERROR(__xludf.DUMMYFUNCTION("GOOGLETRANSLATE(B333, ""en"", ""hi"")"),"मुकना में, यदि खिलाड़ी X कोई ऐसी तकनीक अपनाता है जिसके कारण खिलाड़ी Y गिर जाता है, लेकिन उसके बाद खिलाड़ी X भी गिर जाता है, तो आमतौर पर राउंड का स्कोर कैसे निर्धारित किया जाता है?")</f>
        <v>मुकना में, यदि खिलाड़ी X कोई ऐसी तकनीक अपनाता है जिसके कारण खिलाड़ी Y गिर जाता है, लेकिन उसके बाद खिलाड़ी X भी गिर जाता है, तो आमतौर पर राउंड का स्कोर कैसे निर्धारित किया जाता है?</v>
      </c>
      <c r="H333" s="5" t="str">
        <f>IFERROR(__xludf.DUMMYFUNCTION("GOOGLETRANSLATE(C333,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33" s="5" t="str">
        <f>IFERROR(__xludf.DUMMYFUNCTION("GOOGLETRANSLATE(D333, ""en"", ""hi"")"),"A) खिलाड़ी Y राउंड जीतता है।")</f>
        <v>A) खिलाड़ी Y राउंड जीतता है।</v>
      </c>
    </row>
    <row r="334" ht="22.5" customHeight="1">
      <c r="A334" s="8">
        <v>333.0</v>
      </c>
      <c r="B334" s="3" t="s">
        <v>13588</v>
      </c>
      <c r="C334" s="3" t="s">
        <v>13531</v>
      </c>
      <c r="D334" s="3" t="s">
        <v>13329</v>
      </c>
      <c r="F334" s="5" t="str">
        <f>IFERROR(__xludf.DUMMYFUNCTION("GOOGLETRANSLATE(A334, ""en"", ""hi"")"),"333")</f>
        <v>333</v>
      </c>
      <c r="G334" s="5" t="str">
        <f>IFERROR(__xludf.DUMMYFUNCTION("GOOGLETRANSLATE(B334, ""en"", ""hi"")"),"यदि खिलाड़ी X और खिलाड़ी Y दोनों एक साथ हार जाते हैं और कोई भी आगे नहीं बढ़ सकता, तो आमतौर पर मुकना में राउंड का फैसला कैसे किया जाता है?")</f>
        <v>यदि खिलाड़ी X और खिलाड़ी Y दोनों एक साथ हार जाते हैं और कोई भी आगे नहीं बढ़ सकता, तो आमतौर पर मुकना में राउंड का फैसला कैसे किया जाता है?</v>
      </c>
      <c r="H334" s="5" t="str">
        <f>IFERROR(__xludf.DUMMYFUNCTION("GOOGLETRANSLATE(C334,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34" s="5" t="str">
        <f>IFERROR(__xludf.DUMMYFUNCTION("GOOGLETRANSLATE(D334, ""en"", ""hi"")"),"ए) राउंड को ड्रा घोषित किया जाता है।")</f>
        <v>ए) राउंड को ड्रा घोषित किया जाता है।</v>
      </c>
    </row>
    <row r="335" ht="22.5" customHeight="1">
      <c r="A335" s="8">
        <v>334.0</v>
      </c>
      <c r="B335" s="3" t="s">
        <v>13589</v>
      </c>
      <c r="C335" s="3" t="s">
        <v>13416</v>
      </c>
      <c r="D335" s="3" t="s">
        <v>13417</v>
      </c>
      <c r="F335" s="5" t="str">
        <f>IFERROR(__xludf.DUMMYFUNCTION("GOOGLETRANSLATE(A335, ""en"", ""hi"")"),"334")</f>
        <v>334</v>
      </c>
      <c r="G335" s="5" t="str">
        <f>IFERROR(__xludf.DUMMYFUNCTION("GOOGLETRANSLATE(B335, ""en"", ""hi"")"),"मुकना में, यदि खिलाड़ी X कोई अवैध चाल चलता है जिसके परिणामस्वरूप खिलाड़ी Y गिर जाता है, तो राउंड का सामान्य परिणाम क्या होता है?")</f>
        <v>मुकना में, यदि खिलाड़ी X कोई अवैध चाल चलता है जिसके परिणामस्वरूप खिलाड़ी Y गिर जाता है, तो राउंड का सामान्य परिणाम क्या होता है?</v>
      </c>
      <c r="H335" s="5" t="str">
        <f>IFERROR(__xludf.DUMMYFUNCTION("GOOGLETRANSLATE(C335,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35" s="5" t="str">
        <f>IFERROR(__xludf.DUMMYFUNCTION("GOOGLETRANSLATE(D335, ""en"", ""hi"")"),"A) खिलाड़ी Y को विजेता घोषित किया जाता है।")</f>
        <v>A) खिलाड़ी Y को विजेता घोषित किया जाता है।</v>
      </c>
    </row>
    <row r="336" ht="22.5" customHeight="1">
      <c r="A336" s="8">
        <v>335.0</v>
      </c>
      <c r="B336" s="3" t="s">
        <v>13551</v>
      </c>
      <c r="C336" s="3" t="s">
        <v>13531</v>
      </c>
      <c r="D336" s="3" t="s">
        <v>13329</v>
      </c>
      <c r="F336" s="5" t="str">
        <f>IFERROR(__xludf.DUMMYFUNCTION("GOOGLETRANSLATE(A336, ""en"", ""hi"")"),"335")</f>
        <v>335</v>
      </c>
      <c r="G336" s="5" t="str">
        <f>IFERROR(__xludf.DUMMYFUNCTION("GOOGLETRANSLATE(B336, ""en"", ""hi"")"),"मुकना मैच के दौरान, यदि खिलाड़ी X और खिलाड़ी Y दोनों एक ही समय पर रिंग के बाहर गिर जाते हैं और कोई भी आगे नहीं खेल सकता, तो आमतौर पर राउंड का निर्णय कैसे किया जाता है?")</f>
        <v>मुकना मैच के दौरान, यदि खिलाड़ी X और खिलाड़ी Y दोनों एक ही समय पर रिंग के बाहर गिर जाते हैं और कोई भी आगे नहीं खेल सकता, तो आमतौर पर राउंड का निर्णय कैसे किया जाता है?</v>
      </c>
      <c r="H336" s="5" t="str">
        <f>IFERROR(__xludf.DUMMYFUNCTION("GOOGLETRANSLATE(C336,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36" s="5" t="str">
        <f>IFERROR(__xludf.DUMMYFUNCTION("GOOGLETRANSLATE(D336, ""en"", ""hi"")"),"ए) राउंड को ड्रा घोषित किया जाता है।")</f>
        <v>ए) राउंड को ड्रा घोषित किया जाता है।</v>
      </c>
    </row>
    <row r="337" ht="22.5" customHeight="1">
      <c r="A337" s="8">
        <v>336.0</v>
      </c>
      <c r="B337" s="3" t="s">
        <v>13590</v>
      </c>
      <c r="C337" s="3" t="s">
        <v>13388</v>
      </c>
      <c r="D337" s="3" t="s">
        <v>13389</v>
      </c>
      <c r="F337" s="5" t="str">
        <f>IFERROR(__xludf.DUMMYFUNCTION("GOOGLETRANSLATE(A337, ""en"", ""hi"")"),"336")</f>
        <v>336</v>
      </c>
      <c r="G337" s="5" t="str">
        <f>IFERROR(__xludf.DUMMYFUNCTION("GOOGLETRANSLATE(B337, ""en"", ""hi"")"),"मुकना में, यदि खिलाड़ी X ऐसी तकनीक का प्रयोग करता है जिससे खिलाड़ी Y गिर जाता है, लेकिन उसके बाद खिलाड़ी X भी गिर जाता है, तो कौन राउंड जीतता है?")</f>
        <v>मुकना में, यदि खिलाड़ी X ऐसी तकनीक का प्रयोग करता है जिससे खिलाड़ी Y गिर जाता है, लेकिन उसके बाद खिलाड़ी X भी गिर जाता है, तो कौन राउंड जीतता है?</v>
      </c>
      <c r="H337" s="5" t="str">
        <f>IFERROR(__xludf.DUMMYFUNCTION("GOOGLETRANSLATE(C337,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37" s="5" t="str">
        <f>IFERROR(__xludf.DUMMYFUNCTION("GOOGLETRANSLATE(D337, ""en"", ""hi"")"),"A) खिलाड़ी Y राउंड जीतता है।")</f>
        <v>A) खिलाड़ी Y राउंड जीतता है।</v>
      </c>
    </row>
    <row r="338" ht="22.5" customHeight="1">
      <c r="A338" s="8">
        <v>337.0</v>
      </c>
      <c r="B338" s="3" t="s">
        <v>13566</v>
      </c>
      <c r="C338" s="3" t="s">
        <v>13531</v>
      </c>
      <c r="D338" s="3" t="s">
        <v>13329</v>
      </c>
      <c r="F338" s="5" t="str">
        <f>IFERROR(__xludf.DUMMYFUNCTION("GOOGLETRANSLATE(A338, ""en"", ""hi"")"),"337")</f>
        <v>337</v>
      </c>
      <c r="G338" s="5" t="str">
        <f>IFERROR(__xludf.DUMMYFUNCTION("GOOGLETRANSLATE(B338, ""en"", ""hi"")"),"यदि खिलाड़ी X और खिलाड़ी Y दोनों एक साथ गिर जाते हैं और कोई भी आगे नहीं बढ़ सकता, तो मुकना में राउंड का समाधान आम तौर पर कैसे किया जाता है?")</f>
        <v>यदि खिलाड़ी X और खिलाड़ी Y दोनों एक साथ गिर जाते हैं और कोई भी आगे नहीं बढ़ सकता, तो मुकना में राउंड का समाधान आम तौर पर कैसे किया जाता है?</v>
      </c>
      <c r="H338" s="5" t="str">
        <f>IFERROR(__xludf.DUMMYFUNCTION("GOOGLETRANSLATE(C338,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38" s="5" t="str">
        <f>IFERROR(__xludf.DUMMYFUNCTION("GOOGLETRANSLATE(D338, ""en"", ""hi"")"),"ए) राउंड को ड्रा घोषित किया जाता है।")</f>
        <v>ए) राउंड को ड्रा घोषित किया जाता है।</v>
      </c>
    </row>
    <row r="339" ht="22.5" customHeight="1">
      <c r="A339" s="8">
        <v>338.0</v>
      </c>
      <c r="B339" s="3" t="s">
        <v>13591</v>
      </c>
      <c r="C339" s="3" t="s">
        <v>13416</v>
      </c>
      <c r="D339" s="3" t="s">
        <v>13417</v>
      </c>
      <c r="F339" s="5" t="str">
        <f>IFERROR(__xludf.DUMMYFUNCTION("GOOGLETRANSLATE(A339, ""en"", ""hi"")"),"338")</f>
        <v>338</v>
      </c>
      <c r="G339" s="5" t="str">
        <f>IFERROR(__xludf.DUMMYFUNCTION("GOOGLETRANSLATE(B339, ""en"", ""hi"")"),"मुकना में, यदि खिलाड़ी X कोई अवैध तकनीक अपनाता है जिसके परिणामस्वरूप खिलाड़ी Y गिर जाता है, तो राउंड का सामान्य परिणाम क्या होता है?")</f>
        <v>मुकना में, यदि खिलाड़ी X कोई अवैध तकनीक अपनाता है जिसके परिणामस्वरूप खिलाड़ी Y गिर जाता है, तो राउंड का सामान्य परिणाम क्या होता है?</v>
      </c>
      <c r="H339" s="5" t="str">
        <f>IFERROR(__xludf.DUMMYFUNCTION("GOOGLETRANSLATE(C339,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39" s="5" t="str">
        <f>IFERROR(__xludf.DUMMYFUNCTION("GOOGLETRANSLATE(D339, ""en"", ""hi"")"),"A) खिलाड़ी Y को विजेता घोषित किया जाता है।")</f>
        <v>A) खिलाड़ी Y को विजेता घोषित किया जाता है।</v>
      </c>
    </row>
    <row r="340" ht="22.5" customHeight="1">
      <c r="A340" s="8">
        <v>339.0</v>
      </c>
      <c r="B340" s="3" t="s">
        <v>13592</v>
      </c>
      <c r="C340" s="3" t="s">
        <v>13531</v>
      </c>
      <c r="D340" s="3" t="s">
        <v>13329</v>
      </c>
      <c r="F340" s="5" t="str">
        <f>IFERROR(__xludf.DUMMYFUNCTION("GOOGLETRANSLATE(A340, ""en"", ""hi"")"),"339")</f>
        <v>339</v>
      </c>
      <c r="G340" s="5" t="str">
        <f>IFERROR(__xludf.DUMMYFUNCTION("GOOGLETRANSLATE(B340, ""en"", ""hi"")"),"मुकना मैच के दौरान, यदि खिलाड़ी X और खिलाड़ी Y दोनों एक ही समय पर रिंग के बाहर गिर जाते हैं और कोई भी आगे नहीं खेल सकता, तो आमतौर पर राउंड का समाधान कैसे किया जाता है?")</f>
        <v>मुकना मैच के दौरान, यदि खिलाड़ी X और खिलाड़ी Y दोनों एक ही समय पर रिंग के बाहर गिर जाते हैं और कोई भी आगे नहीं खेल सकता, तो आमतौर पर राउंड का समाधान कैसे किया जाता है?</v>
      </c>
      <c r="H340" s="5" t="str">
        <f>IFERROR(__xludf.DUMMYFUNCTION("GOOGLETRANSLATE(C340,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40" s="5" t="str">
        <f>IFERROR(__xludf.DUMMYFUNCTION("GOOGLETRANSLATE(D340, ""en"", ""hi"")"),"ए) राउंड को ड्रा घोषित किया जाता है।")</f>
        <v>ए) राउंड को ड्रा घोषित किया जाता है।</v>
      </c>
    </row>
    <row r="341" ht="22.5" customHeight="1">
      <c r="A341" s="8">
        <v>340.0</v>
      </c>
      <c r="B341" s="3" t="s">
        <v>13580</v>
      </c>
      <c r="C341" s="3" t="s">
        <v>13388</v>
      </c>
      <c r="D341" s="3" t="s">
        <v>13389</v>
      </c>
      <c r="F341" s="5" t="str">
        <f>IFERROR(__xludf.DUMMYFUNCTION("GOOGLETRANSLATE(A341, ""en"", ""hi"")"),"340")</f>
        <v>340</v>
      </c>
      <c r="G341" s="5" t="str">
        <f>IFERROR(__xludf.DUMMYFUNCTION("GOOGLETRANSLATE(B341, ""en"", ""hi"")"),"मुकना में, यदि खिलाड़ी X कोई सफल तकनीक अपनाता है, जिससे खिलाड़ी Y गिर जाता है, लेकिन उसके बाद खिलाड़ी X भी गिर जाता है, तो आमतौर पर राउंड का निर्णय कैसे किया जाता है?")</f>
        <v>मुकना में, यदि खिलाड़ी X कोई सफल तकनीक अपनाता है, जिससे खिलाड़ी Y गिर जाता है, लेकिन उसके बाद खिलाड़ी X भी गिर जाता है, तो आमतौर पर राउंड का निर्णय कैसे किया जाता है?</v>
      </c>
      <c r="H341" s="5" t="str">
        <f>IFERROR(__xludf.DUMMYFUNCTION("GOOGLETRANSLATE(C341,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41" s="5" t="str">
        <f>IFERROR(__xludf.DUMMYFUNCTION("GOOGLETRANSLATE(D341, ""en"", ""hi"")"),"A) खिलाड़ी Y राउंड जीतता है।")</f>
        <v>A) खिलाड़ी Y राउंड जीतता है।</v>
      </c>
    </row>
    <row r="342" ht="22.5" customHeight="1">
      <c r="A342" s="8">
        <v>341.0</v>
      </c>
      <c r="B342" s="3" t="s">
        <v>13593</v>
      </c>
      <c r="C342" s="3" t="s">
        <v>13531</v>
      </c>
      <c r="D342" s="3" t="s">
        <v>13329</v>
      </c>
      <c r="F342" s="5" t="str">
        <f>IFERROR(__xludf.DUMMYFUNCTION("GOOGLETRANSLATE(A342, ""en"", ""hi"")"),"341")</f>
        <v>341</v>
      </c>
      <c r="G342" s="5" t="str">
        <f>IFERROR(__xludf.DUMMYFUNCTION("GOOGLETRANSLATE(B342, ""en"", ""hi"")"),"यदि खिलाड़ी X और खिलाड़ी Y दोनों एक साथ गिर जाते हैं और कोई भी आगे नहीं बढ़ सकता है, तो मुकना में राउंड के लिए मानक परिणाम क्या होगा?")</f>
        <v>यदि खिलाड़ी X और खिलाड़ी Y दोनों एक साथ गिर जाते हैं और कोई भी आगे नहीं बढ़ सकता है, तो मुकना में राउंड के लिए मानक परिणाम क्या होगा?</v>
      </c>
      <c r="H342" s="5" t="str">
        <f>IFERROR(__xludf.DUMMYFUNCTION("GOOGLETRANSLATE(C342,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42" s="5" t="str">
        <f>IFERROR(__xludf.DUMMYFUNCTION("GOOGLETRANSLATE(D342, ""en"", ""hi"")"),"ए) राउंड को ड्रा घोषित किया जाता है।")</f>
        <v>ए) राउंड को ड्रा घोषित किया जाता है।</v>
      </c>
    </row>
    <row r="343" ht="22.5" customHeight="1">
      <c r="A343" s="8">
        <v>342.0</v>
      </c>
      <c r="B343" s="3" t="s">
        <v>13582</v>
      </c>
      <c r="C343" s="3" t="s">
        <v>13416</v>
      </c>
      <c r="D343" s="3" t="s">
        <v>13417</v>
      </c>
      <c r="F343" s="5" t="str">
        <f>IFERROR(__xludf.DUMMYFUNCTION("GOOGLETRANSLATE(A343, ""en"", ""hi"")"),"342")</f>
        <v>342</v>
      </c>
      <c r="G343" s="5" t="str">
        <f>IFERROR(__xludf.DUMMYFUNCTION("GOOGLETRANSLATE(B343, ""en"", ""hi"")"),"मुकना में, यदि खिलाड़ी X कोई अवैध चाल चलता है जिसके कारण खिलाड़ी Y गिर जाता है, तो राउंड का सामान्य परिणाम क्या होता है?")</f>
        <v>मुकना में, यदि खिलाड़ी X कोई अवैध चाल चलता है जिसके कारण खिलाड़ी Y गिर जाता है, तो राउंड का सामान्य परिणाम क्या होता है?</v>
      </c>
      <c r="H343" s="5" t="str">
        <f>IFERROR(__xludf.DUMMYFUNCTION("GOOGLETRANSLATE(C343,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43" s="5" t="str">
        <f>IFERROR(__xludf.DUMMYFUNCTION("GOOGLETRANSLATE(D343, ""en"", ""hi"")"),"A) खिलाड़ी Y को विजेता घोषित किया जाता है।")</f>
        <v>A) खिलाड़ी Y को विजेता घोषित किया जाता है।</v>
      </c>
    </row>
    <row r="344" ht="22.5" customHeight="1">
      <c r="A344" s="8">
        <v>343.0</v>
      </c>
      <c r="B344" s="3" t="s">
        <v>13594</v>
      </c>
      <c r="C344" s="3" t="s">
        <v>13531</v>
      </c>
      <c r="D344" s="3" t="s">
        <v>13329</v>
      </c>
      <c r="F344" s="5" t="str">
        <f>IFERROR(__xludf.DUMMYFUNCTION("GOOGLETRANSLATE(A344, ""en"", ""hi"")"),"343")</f>
        <v>343</v>
      </c>
      <c r="G344" s="5" t="str">
        <f>IFERROR(__xludf.DUMMYFUNCTION("GOOGLETRANSLATE(B344, ""en"", ""hi"")"),"मुकना मुकाबले के दौरान, यदि खिलाड़ी X और खिलाड़ी Y एक साथ रिंग के बाहर गिर जाते हैं और कोई भी आगे नहीं खेल सकता, तो आमतौर पर राउंड का निर्णय कैसे किया जाता है?")</f>
        <v>मुकना मुकाबले के दौरान, यदि खिलाड़ी X और खिलाड़ी Y एक साथ रिंग के बाहर गिर जाते हैं और कोई भी आगे नहीं खेल सकता, तो आमतौर पर राउंड का निर्णय कैसे किया जाता है?</v>
      </c>
      <c r="H344" s="5" t="str">
        <f>IFERROR(__xludf.DUMMYFUNCTION("GOOGLETRANSLATE(C344,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44" s="5" t="str">
        <f>IFERROR(__xludf.DUMMYFUNCTION("GOOGLETRANSLATE(D344, ""en"", ""hi"")"),"ए) राउंड को ड्रा घोषित किया जाता है।")</f>
        <v>ए) राउंड को ड्रा घोषित किया जाता है।</v>
      </c>
    </row>
    <row r="345" ht="22.5" customHeight="1">
      <c r="A345" s="8">
        <v>344.0</v>
      </c>
      <c r="B345" s="3" t="s">
        <v>13595</v>
      </c>
      <c r="C345" s="3" t="s">
        <v>13388</v>
      </c>
      <c r="D345" s="3" t="s">
        <v>13389</v>
      </c>
      <c r="F345" s="5" t="str">
        <f>IFERROR(__xludf.DUMMYFUNCTION("GOOGLETRANSLATE(A345, ""en"", ""hi"")"),"344")</f>
        <v>344</v>
      </c>
      <c r="G345" s="5" t="str">
        <f>IFERROR(__xludf.DUMMYFUNCTION("GOOGLETRANSLATE(B345, ""en"", ""hi"")"),"मुकना में, यदि खिलाड़ी X कोई ऐसी तकनीक अपनाता है जिससे खिलाड़ी Y गिर जाता है, लेकिन उसके बाद खिलाड़ी X भी गिर जाता है, तो आमतौर पर राउंड का निर्णय कैसे किया जाता है?")</f>
        <v>मुकना में, यदि खिलाड़ी X कोई ऐसी तकनीक अपनाता है जिससे खिलाड़ी Y गिर जाता है, लेकिन उसके बाद खिलाड़ी X भी गिर जाता है, तो आमतौर पर राउंड का निर्णय कैसे किया जाता है?</v>
      </c>
      <c r="H345" s="5" t="str">
        <f>IFERROR(__xludf.DUMMYFUNCTION("GOOGLETRANSLATE(C345,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45" s="5" t="str">
        <f>IFERROR(__xludf.DUMMYFUNCTION("GOOGLETRANSLATE(D345, ""en"", ""hi"")"),"A) खिलाड़ी Y राउंड जीतता है।")</f>
        <v>A) खिलाड़ी Y राउंड जीतता है।</v>
      </c>
    </row>
    <row r="346" ht="22.5" customHeight="1">
      <c r="A346" s="8">
        <v>345.0</v>
      </c>
      <c r="B346" s="3" t="s">
        <v>13596</v>
      </c>
      <c r="C346" s="3" t="s">
        <v>13531</v>
      </c>
      <c r="D346" s="3" t="s">
        <v>13329</v>
      </c>
      <c r="F346" s="5" t="str">
        <f>IFERROR(__xludf.DUMMYFUNCTION("GOOGLETRANSLATE(A346, ""en"", ""hi"")"),"345")</f>
        <v>345</v>
      </c>
      <c r="G346" s="5" t="str">
        <f>IFERROR(__xludf.DUMMYFUNCTION("GOOGLETRANSLATE(B346, ""en"", ""hi"")"),"यदि खिलाड़ी X और खिलाड़ी Y एक साथ गिर जाते हैं और कोई भी आगे नहीं बढ़ सकता है, तो मुकना में राउंड का सामान्य परिणाम क्या होगा?")</f>
        <v>यदि खिलाड़ी X और खिलाड़ी Y एक साथ गिर जाते हैं और कोई भी आगे नहीं बढ़ सकता है, तो मुकना में राउंड का सामान्य परिणाम क्या होगा?</v>
      </c>
      <c r="H346" s="5" t="str">
        <f>IFERROR(__xludf.DUMMYFUNCTION("GOOGLETRANSLATE(C346,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46" s="5" t="str">
        <f>IFERROR(__xludf.DUMMYFUNCTION("GOOGLETRANSLATE(D346, ""en"", ""hi"")"),"ए) राउंड को ड्रा घोषित किया जाता है।")</f>
        <v>ए) राउंड को ड्रा घोषित किया जाता है।</v>
      </c>
    </row>
    <row r="347" ht="22.5" customHeight="1">
      <c r="A347" s="8">
        <v>346.0</v>
      </c>
      <c r="B347" s="3" t="s">
        <v>13574</v>
      </c>
      <c r="C347" s="3" t="s">
        <v>13416</v>
      </c>
      <c r="D347" s="3" t="s">
        <v>13417</v>
      </c>
      <c r="F347" s="5" t="str">
        <f>IFERROR(__xludf.DUMMYFUNCTION("GOOGLETRANSLATE(A347, ""en"", ""hi"")"),"346")</f>
        <v>346</v>
      </c>
      <c r="G347" s="5" t="str">
        <f>IFERROR(__xludf.DUMMYFUNCTION("GOOGLETRANSLATE(B347, ""en"", ""hi"")"),"मुकना में, यदि खिलाड़ी X कोई अवैध तकनीक अपनाता है जिसके कारण खिलाड़ी Y गिर जाता है, तो उस राउंड के लिए सामान्य निर्णय क्या होता है?")</f>
        <v>मुकना में, यदि खिलाड़ी X कोई अवैध तकनीक अपनाता है जिसके कारण खिलाड़ी Y गिर जाता है, तो उस राउंड के लिए सामान्य निर्णय क्या होता है?</v>
      </c>
      <c r="H347" s="5" t="str">
        <f>IFERROR(__xludf.DUMMYFUNCTION("GOOGLETRANSLATE(C347,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47" s="5" t="str">
        <f>IFERROR(__xludf.DUMMYFUNCTION("GOOGLETRANSLATE(D347, ""en"", ""hi"")"),"A) खिलाड़ी Y को विजेता घोषित किया जाता है।")</f>
        <v>A) खिलाड़ी Y को विजेता घोषित किया जाता है।</v>
      </c>
    </row>
    <row r="348" ht="22.5" customHeight="1">
      <c r="A348" s="8">
        <v>347.0</v>
      </c>
      <c r="B348" s="3" t="s">
        <v>13597</v>
      </c>
      <c r="C348" s="3" t="s">
        <v>13531</v>
      </c>
      <c r="D348" s="3" t="s">
        <v>13329</v>
      </c>
      <c r="F348" s="5" t="str">
        <f>IFERROR(__xludf.DUMMYFUNCTION("GOOGLETRANSLATE(A348, ""en"", ""hi"")"),"347")</f>
        <v>347</v>
      </c>
      <c r="G348" s="5" t="str">
        <f>IFERROR(__xludf.DUMMYFUNCTION("GOOGLETRANSLATE(B348, ""en"", ""hi"")"),"मुकना मैच के दौरान, यदि खिलाड़ी X और खिलाड़ी Y एक साथ रिंग के बाहर गिर जाते हैं और कोई भी आगे नहीं खेल सकता, तो राउंड का समाधान आमतौर पर कैसे किया जाता है?")</f>
        <v>मुकना मैच के दौरान, यदि खिलाड़ी X और खिलाड़ी Y एक साथ रिंग के बाहर गिर जाते हैं और कोई भी आगे नहीं खेल सकता, तो राउंड का समाधान आमतौर पर कैसे किया जाता है?</v>
      </c>
      <c r="H348" s="5" t="str">
        <f>IFERROR(__xludf.DUMMYFUNCTION("GOOGLETRANSLATE(C348,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48" s="5" t="str">
        <f>IFERROR(__xludf.DUMMYFUNCTION("GOOGLETRANSLATE(D348, ""en"", ""hi"")"),"ए) राउंड को ड्रा घोषित किया जाता है।")</f>
        <v>ए) राउंड को ड्रा घोषित किया जाता है।</v>
      </c>
    </row>
    <row r="349" ht="22.5" customHeight="1">
      <c r="A349" s="8">
        <v>348.0</v>
      </c>
      <c r="B349" s="3" t="s">
        <v>13598</v>
      </c>
      <c r="C349" s="3" t="s">
        <v>13388</v>
      </c>
      <c r="D349" s="3" t="s">
        <v>13389</v>
      </c>
      <c r="F349" s="5" t="str">
        <f>IFERROR(__xludf.DUMMYFUNCTION("GOOGLETRANSLATE(A349, ""en"", ""hi"")"),"348")</f>
        <v>348</v>
      </c>
      <c r="G349" s="5" t="str">
        <f>IFERROR(__xludf.DUMMYFUNCTION("GOOGLETRANSLATE(B349, ""en"", ""hi"")"),"मुकना में, यदि खिलाड़ी X ऐसी तकनीक का प्रयोग करता है जिससे खिलाड़ी Y गिर जाता है, लेकिन खिलाड़ी X भी तुरंत बाद गिर जाता है, तो कौन राउंड जीतता है?")</f>
        <v>मुकना में, यदि खिलाड़ी X ऐसी तकनीक का प्रयोग करता है जिससे खिलाड़ी Y गिर जाता है, लेकिन खिलाड़ी X भी तुरंत बाद गिर जाता है, तो कौन राउंड जीतता है?</v>
      </c>
      <c r="H349" s="5" t="str">
        <f>IFERROR(__xludf.DUMMYFUNCTION("GOOGLETRANSLATE(C349,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49" s="5" t="str">
        <f>IFERROR(__xludf.DUMMYFUNCTION("GOOGLETRANSLATE(D349, ""en"", ""hi"")"),"A) खिलाड़ी Y राउंड जीतता है।")</f>
        <v>A) खिलाड़ी Y राउंड जीतता है।</v>
      </c>
    </row>
    <row r="350" ht="22.5" customHeight="1">
      <c r="A350" s="8">
        <v>349.0</v>
      </c>
      <c r="B350" s="3" t="s">
        <v>13599</v>
      </c>
      <c r="C350" s="3" t="s">
        <v>13531</v>
      </c>
      <c r="D350" s="3" t="s">
        <v>13329</v>
      </c>
      <c r="F350" s="5" t="str">
        <f>IFERROR(__xludf.DUMMYFUNCTION("GOOGLETRANSLATE(A350, ""en"", ""hi"")"),"349")</f>
        <v>349</v>
      </c>
      <c r="G350" s="5" t="str">
        <f>IFERROR(__xludf.DUMMYFUNCTION("GOOGLETRANSLATE(B350, ""en"", ""hi"")"),"यदि खिलाड़ी X और खिलाड़ी Y एक साथ हार जाते हैं और कोई भी आगे नहीं बढ़ सकता, तो मुकना में राउंड का स्कोर आमतौर पर कैसे किया जाता है?")</f>
        <v>यदि खिलाड़ी X और खिलाड़ी Y एक साथ हार जाते हैं और कोई भी आगे नहीं बढ़ सकता, तो मुकना में राउंड का स्कोर आमतौर पर कैसे किया जाता है?</v>
      </c>
      <c r="H350" s="5" t="str">
        <f>IFERROR(__xludf.DUMMYFUNCTION("GOOGLETRANSLATE(C350,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50" s="5" t="str">
        <f>IFERROR(__xludf.DUMMYFUNCTION("GOOGLETRANSLATE(D350, ""en"", ""hi"")"),"ए) राउंड को ड्रा घोषित किया जाता है।")</f>
        <v>ए) राउंड को ड्रा घोषित किया जाता है।</v>
      </c>
    </row>
    <row r="351" ht="22.5" customHeight="1">
      <c r="A351" s="8">
        <v>350.0</v>
      </c>
      <c r="B351" s="3" t="s">
        <v>13600</v>
      </c>
      <c r="C351" s="3" t="s">
        <v>13416</v>
      </c>
      <c r="D351" s="3" t="s">
        <v>13417</v>
      </c>
      <c r="F351" s="5" t="str">
        <f>IFERROR(__xludf.DUMMYFUNCTION("GOOGLETRANSLATE(A351, ""en"", ""hi"")"),"350")</f>
        <v>350</v>
      </c>
      <c r="G351" s="5" t="str">
        <f>IFERROR(__xludf.DUMMYFUNCTION("GOOGLETRANSLATE(B351, ""en"", ""hi"")"),"मुकना में, यदि खिलाड़ी X कोई अवैध चाल चलता है जिसके परिणामस्वरूप खिलाड़ी Y गिर जाता है, तो राउंड का मानक परिणाम क्या होगा?")</f>
        <v>मुकना में, यदि खिलाड़ी X कोई अवैध चाल चलता है जिसके परिणामस्वरूप खिलाड़ी Y गिर जाता है, तो राउंड का मानक परिणाम क्या होगा?</v>
      </c>
      <c r="H351" s="5" t="str">
        <f>IFERROR(__xludf.DUMMYFUNCTION("GOOGLETRANSLATE(C351,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51" s="5" t="str">
        <f>IFERROR(__xludf.DUMMYFUNCTION("GOOGLETRANSLATE(D351, ""en"", ""hi"")"),"A) खिलाड़ी Y को विजेता घोषित किया जाता है।")</f>
        <v>A) खिलाड़ी Y को विजेता घोषित किया जाता है।</v>
      </c>
    </row>
    <row r="352" ht="22.5" customHeight="1">
      <c r="A352" s="8">
        <v>351.0</v>
      </c>
      <c r="B352" s="3" t="s">
        <v>13601</v>
      </c>
      <c r="C352" s="3" t="s">
        <v>13531</v>
      </c>
      <c r="D352" s="3" t="s">
        <v>13329</v>
      </c>
      <c r="F352" s="5" t="str">
        <f>IFERROR(__xludf.DUMMYFUNCTION("GOOGLETRANSLATE(A352, ""en"", ""hi"")"),"351")</f>
        <v>351</v>
      </c>
      <c r="G352" s="5" t="str">
        <f>IFERROR(__xludf.DUMMYFUNCTION("GOOGLETRANSLATE(B352, ""en"", ""hi"")"),"मुकना मैच के दौरान, यदि खिलाड़ी X और खिलाड़ी Y एक साथ रिंग के बाहर गिर जाते हैं और कोई भी आगे नहीं खेल सकता, तो उस राउंड के लिए सामान्य निर्णय क्या होगा?")</f>
        <v>मुकना मैच के दौरान, यदि खिलाड़ी X और खिलाड़ी Y एक साथ रिंग के बाहर गिर जाते हैं और कोई भी आगे नहीं खेल सकता, तो उस राउंड के लिए सामान्य निर्णय क्या होगा?</v>
      </c>
      <c r="H352" s="5" t="str">
        <f>IFERROR(__xludf.DUMMYFUNCTION("GOOGLETRANSLATE(C352,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52" s="5" t="str">
        <f>IFERROR(__xludf.DUMMYFUNCTION("GOOGLETRANSLATE(D352, ""en"", ""hi"")"),"ए) राउंड को ड्रा घोषित किया जाता है।")</f>
        <v>ए) राउंड को ड्रा घोषित किया जाता है।</v>
      </c>
    </row>
    <row r="353" ht="22.5" customHeight="1">
      <c r="A353" s="8">
        <v>352.0</v>
      </c>
      <c r="B353" s="3" t="s">
        <v>13602</v>
      </c>
      <c r="C353" s="3" t="s">
        <v>13388</v>
      </c>
      <c r="D353" s="3" t="s">
        <v>13389</v>
      </c>
      <c r="F353" s="5" t="str">
        <f>IFERROR(__xludf.DUMMYFUNCTION("GOOGLETRANSLATE(A353, ""en"", ""hi"")"),"352")</f>
        <v>352</v>
      </c>
      <c r="G353" s="5" t="str">
        <f>IFERROR(__xludf.DUMMYFUNCTION("GOOGLETRANSLATE(B353, ""en"", ""hi"")"),"मुकना में, यदि खिलाड़ी X कोई सफल तकनीक अपनाता है, जिससे खिलाड़ी Y गिर जाता है, लेकिन उसके बाद खिलाड़ी X भी गिर जाता है, तो आमतौर पर राउंड का निर्णय कैसे होता है?")</f>
        <v>मुकना में, यदि खिलाड़ी X कोई सफल तकनीक अपनाता है, जिससे खिलाड़ी Y गिर जाता है, लेकिन उसके बाद खिलाड़ी X भी गिर जाता है, तो आमतौर पर राउंड का निर्णय कैसे होता है?</v>
      </c>
      <c r="H353" s="5" t="str">
        <f>IFERROR(__xludf.DUMMYFUNCTION("GOOGLETRANSLATE(C353,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53" s="5" t="str">
        <f>IFERROR(__xludf.DUMMYFUNCTION("GOOGLETRANSLATE(D353, ""en"", ""hi"")"),"A) खिलाड़ी Y राउंड जीतता है।")</f>
        <v>A) खिलाड़ी Y राउंड जीतता है।</v>
      </c>
    </row>
    <row r="354" ht="22.5" customHeight="1">
      <c r="A354" s="8">
        <v>353.0</v>
      </c>
      <c r="B354" s="3" t="s">
        <v>13603</v>
      </c>
      <c r="C354" s="3" t="s">
        <v>13531</v>
      </c>
      <c r="D354" s="3" t="s">
        <v>13329</v>
      </c>
      <c r="F354" s="5" t="str">
        <f>IFERROR(__xludf.DUMMYFUNCTION("GOOGLETRANSLATE(A354, ""en"", ""hi"")"),"353")</f>
        <v>353</v>
      </c>
      <c r="G354" s="5" t="str">
        <f>IFERROR(__xludf.DUMMYFUNCTION("GOOGLETRANSLATE(B354, ""en"", ""hi"")"),"यदि खिलाड़ी X और खिलाड़ी Y एक साथ गिर जाते हैं और कोई भी आगे नहीं बढ़ सकता है, तो मुकना में राउंड के लिए मानक निर्णय क्या है?")</f>
        <v>यदि खिलाड़ी X और खिलाड़ी Y एक साथ गिर जाते हैं और कोई भी आगे नहीं बढ़ सकता है, तो मुकना में राउंड के लिए मानक निर्णय क्या है?</v>
      </c>
      <c r="H354" s="5" t="str">
        <f>IFERROR(__xludf.DUMMYFUNCTION("GOOGLETRANSLATE(C354,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54" s="5" t="str">
        <f>IFERROR(__xludf.DUMMYFUNCTION("GOOGLETRANSLATE(D354, ""en"", ""hi"")"),"ए) राउंड को ड्रा घोषित किया जाता है।")</f>
        <v>ए) राउंड को ड्रा घोषित किया जाता है।</v>
      </c>
    </row>
    <row r="355" ht="22.5" customHeight="1">
      <c r="A355" s="8">
        <v>354.0</v>
      </c>
      <c r="B355" s="3" t="s">
        <v>13604</v>
      </c>
      <c r="C355" s="3" t="s">
        <v>13605</v>
      </c>
      <c r="D355" s="3" t="s">
        <v>13227</v>
      </c>
      <c r="F355" s="5" t="str">
        <f>IFERROR(__xludf.DUMMYFUNCTION("GOOGLETRANSLATE(A355, ""en"", ""hi"")"),"354")</f>
        <v>354</v>
      </c>
      <c r="G355" s="5" t="str">
        <f>IFERROR(__xludf.DUMMYFUNCTION("GOOGLETRANSLATE(B355, ""en"", ""hi"")"),"मुकना मैच में, यदि खिलाड़ी X और खिलाड़ी Y दोनों एक ही राउंड के दौरान अवैध तकनीकों का उपयोग करते हैं, तो सामान्य परिणाम क्या होगा?")</f>
        <v>मुकना मैच में, यदि खिलाड़ी X और खिलाड़ी Y दोनों एक ही राउंड के दौरान अवैध तकनीकों का उपयोग करते हैं, तो सामान्य परिणाम क्या होगा?</v>
      </c>
      <c r="H355" s="5" t="str">
        <f>IFERROR(__xludf.DUMMYFUNCTION("GOOGLETRANSLATE(C355, ""en"", ""hi"")"),"ए) खिलाड़ी एक्स को अयोग्य घोषित कर दिया गया है।, बी) खिलाड़ी वाई को अयोग्य घोषित कर दिया गया है।, सी) राउंड को ड्रा घोषित कर दिया गया है।, डी) मैच पुनः शुरू किया गया है।")</f>
        <v>ए) खिलाड़ी एक्स को अयोग्य घोषित कर दिया गया है।, बी) खिलाड़ी वाई को अयोग्य घोषित कर दिया गया है।, सी) राउंड को ड्रा घोषित कर दिया गया है।, डी) मैच पुनः शुरू किया गया है।</v>
      </c>
      <c r="I355" s="5" t="str">
        <f>IFERROR(__xludf.DUMMYFUNCTION("GOOGLETRANSLATE(D355, ""en"", ""hi"")"),"C) राउंड को ड्रा घोषित किया जाता है।")</f>
        <v>C) राउंड को ड्रा घोषित किया जाता है।</v>
      </c>
    </row>
    <row r="356" ht="22.5" customHeight="1">
      <c r="A356" s="8">
        <v>355.0</v>
      </c>
      <c r="B356" s="3" t="s">
        <v>13606</v>
      </c>
      <c r="C356" s="3" t="s">
        <v>13282</v>
      </c>
      <c r="D356" s="3" t="s">
        <v>13174</v>
      </c>
      <c r="F356" s="5" t="str">
        <f>IFERROR(__xludf.DUMMYFUNCTION("GOOGLETRANSLATE(A356, ""en"", ""hi"")"),"355")</f>
        <v>355</v>
      </c>
      <c r="G356" s="5" t="str">
        <f>IFERROR(__xludf.DUMMYFUNCTION("GOOGLETRANSLATE(B356, ""en"", ""hi"")"),"मुकना मुकाबले के दौरान, यदि खिलाड़ी X रिंग से बाहर गिर जाता है लेकिन खिलाड़ी Y अंदर ही रहता है और आगे नहीं खेलता है, तो राउंड का निर्णय कैसे किया जाता है?")</f>
        <v>मुकना मुकाबले के दौरान, यदि खिलाड़ी X रिंग से बाहर गिर जाता है लेकिन खिलाड़ी Y अंदर ही रहता है और आगे नहीं खेलता है, तो राउंड का निर्णय कैसे किया जाता है?</v>
      </c>
      <c r="H356" s="5" t="str">
        <f>IFERROR(__xludf.DUMMYFUNCTION("GOOGLETRANSLATE(C356, ""en"", ""hi"")"),"A) खिलाड़ी X राउंड जीतता है। , B) खिलाड़ी Y राउंड जीतता है। , C) राउंड को ड्रा घोषित किया जाता है। , D) मैच पुनः शुरू होता है।")</f>
        <v>A) खिलाड़ी X राउंड जीतता है। , B) खिलाड़ी Y राउंड जीतता है। , C) राउंड को ड्रा घोषित किया जाता है। , D) मैच पुनः शुरू होता है।</v>
      </c>
      <c r="I356" s="5" t="str">
        <f>IFERROR(__xludf.DUMMYFUNCTION("GOOGLETRANSLATE(D356, ""en"", ""hi"")"),"A) खिलाड़ी X राउंड जीतता है।")</f>
        <v>A) खिलाड़ी X राउंड जीतता है।</v>
      </c>
    </row>
    <row r="357" ht="22.5" customHeight="1">
      <c r="A357" s="8">
        <v>356.0</v>
      </c>
      <c r="B357" s="3" t="s">
        <v>13607</v>
      </c>
      <c r="C357" s="3" t="s">
        <v>13533</v>
      </c>
      <c r="D357" s="3" t="s">
        <v>13389</v>
      </c>
      <c r="F357" s="5" t="str">
        <f>IFERROR(__xludf.DUMMYFUNCTION("GOOGLETRANSLATE(A357, ""en"", ""hi"")"),"356")</f>
        <v>356</v>
      </c>
      <c r="G357" s="5" t="str">
        <f>IFERROR(__xludf.DUMMYFUNCTION("GOOGLETRANSLATE(B357, ""en"", ""hi"")"),"यदि खिलाड़ी X कोई ऐसी चाल चलता है जिससे खिलाड़ी Y गिर जाता है, लेकिन खिलाड़ी X अपना संतुलन खो देता है और तुरंत बाद गिर जाता है, तो मुकना में सामान्य नियम क्या है?")</f>
        <v>यदि खिलाड़ी X कोई ऐसी चाल चलता है जिससे खिलाड़ी Y गिर जाता है, लेकिन खिलाड़ी X अपना संतुलन खो देता है और तुरंत बाद गिर जाता है, तो मुकना में सामान्य नियम क्या है?</v>
      </c>
      <c r="H357" s="5" t="str">
        <f>IFERROR(__xludf.DUMMYFUNCTION("GOOGLETRANSLATE(C357,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57" s="5" t="str">
        <f>IFERROR(__xludf.DUMMYFUNCTION("GOOGLETRANSLATE(D357, ""en"", ""hi"")"),"A) खिलाड़ी Y राउंड जीतता है।")</f>
        <v>A) खिलाड़ी Y राउंड जीतता है।</v>
      </c>
    </row>
    <row r="358" ht="22.5" customHeight="1">
      <c r="A358" s="8">
        <v>357.0</v>
      </c>
      <c r="B358" s="3" t="s">
        <v>13608</v>
      </c>
      <c r="C358" s="3" t="s">
        <v>13282</v>
      </c>
      <c r="D358" s="3" t="s">
        <v>13227</v>
      </c>
      <c r="F358" s="5" t="str">
        <f>IFERROR(__xludf.DUMMYFUNCTION("GOOGLETRANSLATE(A358, ""en"", ""hi"")"),"357")</f>
        <v>357</v>
      </c>
      <c r="G358" s="5" t="str">
        <f>IFERROR(__xludf.DUMMYFUNCTION("GOOGLETRANSLATE(B358, ""en"", ""hi"")"),"मुकना में, यदि खिलाड़ी X और खिलाड़ी Y दोनों एक साथ रिंग के बाहर गिर जाते हैं और कोई भी आगे नहीं खेल सकता, तो राउंड का समाधान आमतौर पर कैसे किया जाता है?")</f>
        <v>मुकना में, यदि खिलाड़ी X और खिलाड़ी Y दोनों एक साथ रिंग के बाहर गिर जाते हैं और कोई भी आगे नहीं खेल सकता, तो राउंड का समाधान आमतौर पर कैसे किया जाता है?</v>
      </c>
      <c r="H358" s="5" t="str">
        <f>IFERROR(__xludf.DUMMYFUNCTION("GOOGLETRANSLATE(C358, ""en"", ""hi"")"),"A) खिलाड़ी X राउंड जीतता है। , B) खिलाड़ी Y राउंड जीतता है। , C) राउंड को ड्रा घोषित किया जाता है। , D) मैच पुनः शुरू होता है।")</f>
        <v>A) खिलाड़ी X राउंड जीतता है। , B) खिलाड़ी Y राउंड जीतता है। , C) राउंड को ड्रा घोषित किया जाता है। , D) मैच पुनः शुरू होता है।</v>
      </c>
      <c r="I358" s="5" t="str">
        <f>IFERROR(__xludf.DUMMYFUNCTION("GOOGLETRANSLATE(D358, ""en"", ""hi"")"),"C) राउंड को ड्रा घोषित किया जाता है।")</f>
        <v>C) राउंड को ड्रा घोषित किया जाता है।</v>
      </c>
    </row>
    <row r="359" ht="22.5" customHeight="1">
      <c r="A359" s="8">
        <v>358.0</v>
      </c>
      <c r="B359" s="3" t="s">
        <v>13609</v>
      </c>
      <c r="C359" s="3" t="s">
        <v>13416</v>
      </c>
      <c r="D359" s="3" t="s">
        <v>13417</v>
      </c>
      <c r="F359" s="5" t="str">
        <f>IFERROR(__xludf.DUMMYFUNCTION("GOOGLETRANSLATE(A359, ""en"", ""hi"")"),"358")</f>
        <v>358</v>
      </c>
      <c r="G359" s="5" t="str">
        <f>IFERROR(__xludf.DUMMYFUNCTION("GOOGLETRANSLATE(B359, ""en"", ""hi"")"),"मुकना मैच के दौरान, यदि खिलाड़ी X कोई अवैध तकनीक का उपयोग करता है जिसके परिणामस्वरूप खिलाड़ी Y गिर जाता है, तो मानक निर्णय क्या होगा?")</f>
        <v>मुकना मैच के दौरान, यदि खिलाड़ी X कोई अवैध तकनीक का उपयोग करता है जिसके परिणामस्वरूप खिलाड़ी Y गिर जाता है, तो मानक निर्णय क्या होगा?</v>
      </c>
      <c r="H359" s="5" t="str">
        <f>IFERROR(__xludf.DUMMYFUNCTION("GOOGLETRANSLATE(C359, ""en"", ""hi"")"),"ए) खिलाड़ी वाई को विजेता घोषित किया जाता है।, बी) खिलाड़ी एक्स को अयोग्य घोषित किया जाता है।, सी) राउंड पुनः खेला जाता है।, डी) मैच जारी रहता है।")</f>
        <v>ए) खिलाड़ी वाई को विजेता घोषित किया जाता है।, बी) खिलाड़ी एक्स को अयोग्य घोषित किया जाता है।, सी) राउंड पुनः खेला जाता है।, डी) मैच जारी रहता है।</v>
      </c>
      <c r="I359" s="5" t="str">
        <f>IFERROR(__xludf.DUMMYFUNCTION("GOOGLETRANSLATE(D359, ""en"", ""hi"")"),"A) खिलाड़ी Y को विजेता घोषित किया जाता है।")</f>
        <v>A) खिलाड़ी Y को विजेता घोषित किया जाता है।</v>
      </c>
    </row>
    <row r="360" ht="22.5" customHeight="1">
      <c r="A360" s="8">
        <v>359.0</v>
      </c>
      <c r="B360" s="3" t="s">
        <v>13610</v>
      </c>
      <c r="C360" s="3" t="s">
        <v>13388</v>
      </c>
      <c r="D360" s="3" t="s">
        <v>13389</v>
      </c>
      <c r="F360" s="5" t="str">
        <f>IFERROR(__xludf.DUMMYFUNCTION("GOOGLETRANSLATE(A360, ""en"", ""hi"")"),"359")</f>
        <v>359</v>
      </c>
      <c r="G360" s="5" t="str">
        <f>IFERROR(__xludf.DUMMYFUNCTION("GOOGLETRANSLATE(B360, ""en"", ""hi"")"),"यदि खिलाड़ी X कोई ऐसी तकनीक अपनाता है जिससे खिलाड़ी Y गिर जाता है और खिलाड़ी X भी उसके बाद गिर जाता है, तो मुकना में आमतौर पर कौन राउंड जीतता है?")</f>
        <v>यदि खिलाड़ी X कोई ऐसी तकनीक अपनाता है जिससे खिलाड़ी Y गिर जाता है और खिलाड़ी X भी उसके बाद गिर जाता है, तो मुकना में आमतौर पर कौन राउंड जीतता है?</v>
      </c>
      <c r="H360" s="5" t="str">
        <f>IFERROR(__xludf.DUMMYFUNCTION("GOOGLETRANSLATE(C360,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60" s="5" t="str">
        <f>IFERROR(__xludf.DUMMYFUNCTION("GOOGLETRANSLATE(D360, ""en"", ""hi"")"),"A) खिलाड़ी Y राउंड जीतता है।")</f>
        <v>A) खिलाड़ी Y राउंड जीतता है।</v>
      </c>
    </row>
    <row r="361" ht="22.5" customHeight="1">
      <c r="A361" s="8">
        <v>360.0</v>
      </c>
      <c r="B361" s="3" t="s">
        <v>13611</v>
      </c>
      <c r="C361" s="3" t="s">
        <v>13531</v>
      </c>
      <c r="D361" s="3" t="s">
        <v>13329</v>
      </c>
      <c r="F361" s="5" t="str">
        <f>IFERROR(__xludf.DUMMYFUNCTION("GOOGLETRANSLATE(A361, ""en"", ""hi"")"),"360")</f>
        <v>360</v>
      </c>
      <c r="G361" s="5" t="str">
        <f>IFERROR(__xludf.DUMMYFUNCTION("GOOGLETRANSLATE(B361, ""en"", ""hi"")"),"मुकना मुकाबले में, यदि खिलाड़ी X और खिलाड़ी Y दोनों एक ही समय पर रिंग से बाहर हो जाते हैं और कोई भी आगे नहीं खेल सकता, तो सामान्य निर्णय क्या होगा?")</f>
        <v>मुकना मुकाबले में, यदि खिलाड़ी X और खिलाड़ी Y दोनों एक ही समय पर रिंग से बाहर हो जाते हैं और कोई भी आगे नहीं खेल सकता, तो सामान्य निर्णय क्या होगा?</v>
      </c>
      <c r="H361" s="5" t="str">
        <f>IFERROR(__xludf.DUMMYFUNCTION("GOOGLETRANSLATE(C361,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61" s="5" t="str">
        <f>IFERROR(__xludf.DUMMYFUNCTION("GOOGLETRANSLATE(D361, ""en"", ""hi"")"),"ए) राउंड को ड्रा घोषित किया जाता है।")</f>
        <v>ए) राउंड को ड्रा घोषित किया जाता है।</v>
      </c>
    </row>
    <row r="362" ht="22.5" customHeight="1">
      <c r="A362" s="8">
        <v>361.0</v>
      </c>
      <c r="B362" s="3" t="s">
        <v>13612</v>
      </c>
      <c r="C362" s="3" t="s">
        <v>13613</v>
      </c>
      <c r="D362" s="3" t="s">
        <v>13329</v>
      </c>
      <c r="F362" s="5" t="str">
        <f>IFERROR(__xludf.DUMMYFUNCTION("GOOGLETRANSLATE(A362, ""en"", ""hi"")"),"361")</f>
        <v>361</v>
      </c>
      <c r="G362" s="5" t="str">
        <f>IFERROR(__xludf.DUMMYFUNCTION("GOOGLETRANSLATE(B362, ""en"", ""hi"")"),"यदि खिलाड़ी X और खिलाड़ी Y दोनों अवैध तकनीकों का उपयोग करते हैं, जिसके परिणामस्वरूप दोनों रिंग से बाहर गिर जाते हैं, तो मुकना में राउंड का निर्णय आमतौर पर कैसे किया जाता है?")</f>
        <v>यदि खिलाड़ी X और खिलाड़ी Y दोनों अवैध तकनीकों का उपयोग करते हैं, जिसके परिणामस्वरूप दोनों रिंग से बाहर गिर जाते हैं, तो मुकना में राउंड का निर्णय आमतौर पर कैसे किया जाता है?</v>
      </c>
      <c r="H362" s="5" t="str">
        <f>IFERROR(__xludf.DUMMYFUNCTION("GOOGLETRANSLATE(C362,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62" s="5" t="str">
        <f>IFERROR(__xludf.DUMMYFUNCTION("GOOGLETRANSLATE(D362, ""en"", ""hi"")"),"ए) राउंड को ड्रा घोषित किया जाता है।")</f>
        <v>ए) राउंड को ड्रा घोषित किया जाता है।</v>
      </c>
    </row>
    <row r="363" ht="22.5" customHeight="1">
      <c r="A363" s="8">
        <v>362.0</v>
      </c>
      <c r="B363" s="3" t="s">
        <v>13614</v>
      </c>
      <c r="C363" s="3" t="s">
        <v>13388</v>
      </c>
      <c r="D363" s="3" t="s">
        <v>13389</v>
      </c>
      <c r="F363" s="5" t="str">
        <f>IFERROR(__xludf.DUMMYFUNCTION("GOOGLETRANSLATE(A363, ""en"", ""hi"")"),"362")</f>
        <v>362</v>
      </c>
      <c r="G363" s="5" t="str">
        <f>IFERROR(__xludf.DUMMYFUNCTION("GOOGLETRANSLATE(B363, ""en"", ""hi"")"),"मुकना में, यदि खिलाड़ी X कोई ऐसी तकनीक अपनाता है जिसके कारण खिलाड़ी Y गिर जाता है, और खिलाड़ी X भी तुरंत बाद गिर जाता है, तो उस राउंड का मानक परिणाम क्या होगा?")</f>
        <v>मुकना में, यदि खिलाड़ी X कोई ऐसी तकनीक अपनाता है जिसके कारण खिलाड़ी Y गिर जाता है, और खिलाड़ी X भी तुरंत बाद गिर जाता है, तो उस राउंड का मानक परिणाम क्या होगा?</v>
      </c>
      <c r="H363" s="5" t="str">
        <f>IFERROR(__xludf.DUMMYFUNCTION("GOOGLETRANSLATE(C363,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63" s="5" t="str">
        <f>IFERROR(__xludf.DUMMYFUNCTION("GOOGLETRANSLATE(D363, ""en"", ""hi"")"),"A) खिलाड़ी Y राउंड जीतता है।")</f>
        <v>A) खिलाड़ी Y राउंड जीतता है।</v>
      </c>
    </row>
    <row r="364" ht="22.5" customHeight="1">
      <c r="A364" s="8">
        <v>363.0</v>
      </c>
      <c r="B364" s="3" t="s">
        <v>13615</v>
      </c>
      <c r="C364" s="3" t="s">
        <v>13531</v>
      </c>
      <c r="D364" s="3" t="s">
        <v>13329</v>
      </c>
      <c r="F364" s="5" t="str">
        <f>IFERROR(__xludf.DUMMYFUNCTION("GOOGLETRANSLATE(A364, ""en"", ""hi"")"),"363")</f>
        <v>363</v>
      </c>
      <c r="G364" s="5" t="str">
        <f>IFERROR(__xludf.DUMMYFUNCTION("GOOGLETRANSLATE(B364, ""en"", ""hi"")"),"मुकना मैच के दौरान, यदि दोनों खिलाड़ी एक साथ रिंग के बाहर गिर जाते हैं और कोई भी आगे नहीं खेल सकता, तो सामान्य निर्णय क्या होता है?")</f>
        <v>मुकना मैच के दौरान, यदि दोनों खिलाड़ी एक साथ रिंग के बाहर गिर जाते हैं और कोई भी आगे नहीं खेल सकता, तो सामान्य निर्णय क्या होता है?</v>
      </c>
      <c r="H364" s="5" t="str">
        <f>IFERROR(__xludf.DUMMYFUNCTION("GOOGLETRANSLATE(C364,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64" s="5" t="str">
        <f>IFERROR(__xludf.DUMMYFUNCTION("GOOGLETRANSLATE(D364, ""en"", ""hi"")"),"ए) राउंड को ड्रा घोषित किया जाता है।")</f>
        <v>ए) राउंड को ड्रा घोषित किया जाता है।</v>
      </c>
    </row>
    <row r="365" ht="22.5" customHeight="1">
      <c r="A365" s="8">
        <v>364.0</v>
      </c>
      <c r="B365" s="3" t="s">
        <v>13616</v>
      </c>
      <c r="C365" s="3" t="s">
        <v>13533</v>
      </c>
      <c r="D365" s="3" t="s">
        <v>13389</v>
      </c>
      <c r="F365" s="5" t="str">
        <f>IFERROR(__xludf.DUMMYFUNCTION("GOOGLETRANSLATE(A365, ""en"", ""hi"")"),"364")</f>
        <v>364</v>
      </c>
      <c r="G365" s="5" t="str">
        <f>IFERROR(__xludf.DUMMYFUNCTION("GOOGLETRANSLATE(B365, ""en"", ""hi"")"),"यदि खिलाड़ी X कोई ऐसी तकनीक अपनाता है जिसके परिणामस्वरूप खिलाड़ी Y गिर जाता है, लेकिन खिलाड़ी X भी अपना संतुलन खो देता है और बाद में गिर जाता है, तो मुकना में कौन राउंड जीतता है?")</f>
        <v>यदि खिलाड़ी X कोई ऐसी तकनीक अपनाता है जिसके परिणामस्वरूप खिलाड़ी Y गिर जाता है, लेकिन खिलाड़ी X भी अपना संतुलन खो देता है और बाद में गिर जाता है, तो मुकना में कौन राउंड जीतता है?</v>
      </c>
      <c r="H365" s="5" t="str">
        <f>IFERROR(__xludf.DUMMYFUNCTION("GOOGLETRANSLATE(C365,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65" s="5" t="str">
        <f>IFERROR(__xludf.DUMMYFUNCTION("GOOGLETRANSLATE(D365, ""en"", ""hi"")"),"A) खिलाड़ी Y राउंड जीतता है।")</f>
        <v>A) खिलाड़ी Y राउंड जीतता है।</v>
      </c>
    </row>
    <row r="366" ht="22.5" customHeight="1">
      <c r="A366" s="8">
        <v>365.0</v>
      </c>
      <c r="B366" s="3" t="s">
        <v>13617</v>
      </c>
      <c r="C366" s="3" t="s">
        <v>13613</v>
      </c>
      <c r="D366" s="3" t="s">
        <v>13329</v>
      </c>
      <c r="F366" s="5" t="str">
        <f>IFERROR(__xludf.DUMMYFUNCTION("GOOGLETRANSLATE(A366, ""en"", ""hi"")"),"365")</f>
        <v>365</v>
      </c>
      <c r="G366" s="5" t="str">
        <f>IFERROR(__xludf.DUMMYFUNCTION("GOOGLETRANSLATE(B366, ""en"", ""hi"")"),"मुकना में, यदि खिलाड़ी X और खिलाड़ी Y दोनों अवैध तकनीक का प्रदर्शन करते हैं, जिसके कारण दोनों रिंग से बाहर गिर जाते हैं, तो मानक नियम क्या है?")</f>
        <v>मुकना में, यदि खिलाड़ी X और खिलाड़ी Y दोनों अवैध तकनीक का प्रदर्शन करते हैं, जिसके कारण दोनों रिंग से बाहर गिर जाते हैं, तो मानक नियम क्या है?</v>
      </c>
      <c r="H366" s="5" t="str">
        <f>IFERROR(__xludf.DUMMYFUNCTION("GOOGLETRANSLATE(C366,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66" s="5" t="str">
        <f>IFERROR(__xludf.DUMMYFUNCTION("GOOGLETRANSLATE(D366, ""en"", ""hi"")"),"ए) राउंड को ड्रा घोषित किया जाता है।")</f>
        <v>ए) राउंड को ड्रा घोषित किया जाता है।</v>
      </c>
    </row>
    <row r="367" ht="22.5" customHeight="1">
      <c r="A367" s="8">
        <v>366.0</v>
      </c>
      <c r="B367" s="3" t="s">
        <v>13618</v>
      </c>
      <c r="C367" s="3" t="s">
        <v>13531</v>
      </c>
      <c r="D367" s="3" t="s">
        <v>13329</v>
      </c>
      <c r="F367" s="5" t="str">
        <f>IFERROR(__xludf.DUMMYFUNCTION("GOOGLETRANSLATE(A367, ""en"", ""hi"")"),"366")</f>
        <v>366</v>
      </c>
      <c r="G367" s="5" t="str">
        <f>IFERROR(__xludf.DUMMYFUNCTION("GOOGLETRANSLATE(B367, ""en"", ""hi"")"),"मुकना मुकाबले के दौरान, यदि खिलाड़ी X और खिलाड़ी Y दोनों एक साथ रिंग के बाहर गिर जाते हैं और कोई भी आगे नहीं खेल सकता, तो आमतौर पर राउंड का समाधान कैसे किया जाता है?")</f>
        <v>मुकना मुकाबले के दौरान, यदि खिलाड़ी X और खिलाड़ी Y दोनों एक साथ रिंग के बाहर गिर जाते हैं और कोई भी आगे नहीं खेल सकता, तो आमतौर पर राउंड का समाधान कैसे किया जाता है?</v>
      </c>
      <c r="H367" s="5" t="str">
        <f>IFERROR(__xludf.DUMMYFUNCTION("GOOGLETRANSLATE(C367,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67" s="5" t="str">
        <f>IFERROR(__xludf.DUMMYFUNCTION("GOOGLETRANSLATE(D367, ""en"", ""hi"")"),"ए) राउंड को ड्रा घोषित किया जाता है।")</f>
        <v>ए) राउंड को ड्रा घोषित किया जाता है।</v>
      </c>
    </row>
    <row r="368" ht="22.5" customHeight="1">
      <c r="A368" s="8">
        <v>367.0</v>
      </c>
      <c r="B368" s="3" t="s">
        <v>13619</v>
      </c>
      <c r="C368" s="3" t="s">
        <v>13613</v>
      </c>
      <c r="D368" s="3" t="s">
        <v>13329</v>
      </c>
      <c r="F368" s="5" t="str">
        <f>IFERROR(__xludf.DUMMYFUNCTION("GOOGLETRANSLATE(A368, ""en"", ""hi"")"),"367")</f>
        <v>367</v>
      </c>
      <c r="G368" s="5" t="str">
        <f>IFERROR(__xludf.DUMMYFUNCTION("GOOGLETRANSLATE(B368, ""en"", ""hi"")"),"यदि खिलाड़ी X कोई अवैध चाल चलता है जिसके कारण खिलाड़ी Y गिर जाता है, और दोनों खिलाड़ी एक साथ रिंग के बाहर गिर जाते हैं, तो मुकना में राउंड का निर्णय आमतौर पर कैसे किया जाता है?")</f>
        <v>यदि खिलाड़ी X कोई अवैध चाल चलता है जिसके कारण खिलाड़ी Y गिर जाता है, और दोनों खिलाड़ी एक साथ रिंग के बाहर गिर जाते हैं, तो मुकना में राउंड का निर्णय आमतौर पर कैसे किया जाता है?</v>
      </c>
      <c r="H368" s="5" t="str">
        <f>IFERROR(__xludf.DUMMYFUNCTION("GOOGLETRANSLATE(C368,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68" s="5" t="str">
        <f>IFERROR(__xludf.DUMMYFUNCTION("GOOGLETRANSLATE(D368, ""en"", ""hi"")"),"ए) राउंड को ड्रा घोषित किया जाता है।")</f>
        <v>ए) राउंड को ड्रा घोषित किया जाता है।</v>
      </c>
    </row>
    <row r="369" ht="22.5" customHeight="1">
      <c r="A369" s="8">
        <v>368.0</v>
      </c>
      <c r="B369" s="3" t="s">
        <v>13620</v>
      </c>
      <c r="C369" s="3" t="s">
        <v>13388</v>
      </c>
      <c r="D369" s="3" t="s">
        <v>13389</v>
      </c>
      <c r="F369" s="5" t="str">
        <f>IFERROR(__xludf.DUMMYFUNCTION("GOOGLETRANSLATE(A369, ""en"", ""hi"")"),"368")</f>
        <v>368</v>
      </c>
      <c r="G369" s="5" t="str">
        <f>IFERROR(__xludf.DUMMYFUNCTION("GOOGLETRANSLATE(B369, ""en"", ""hi"")"),"मुकना में, यदि खिलाड़ी X कोई ऐसी तकनीक अपनाता है जिससे खिलाड़ी Y गिर जाता है, लेकिन खिलाड़ी X भी तुरंत बाद गिर जाता है, तो विजेता किसे घोषित किया जाता है?")</f>
        <v>मुकना में, यदि खिलाड़ी X कोई ऐसी तकनीक अपनाता है जिससे खिलाड़ी Y गिर जाता है, लेकिन खिलाड़ी X भी तुरंत बाद गिर जाता है, तो विजेता किसे घोषित किया जाता है?</v>
      </c>
      <c r="H369" s="5" t="str">
        <f>IFERROR(__xludf.DUMMYFUNCTION("GOOGLETRANSLATE(C369,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69" s="5" t="str">
        <f>IFERROR(__xludf.DUMMYFUNCTION("GOOGLETRANSLATE(D369, ""en"", ""hi"")"),"A) खिलाड़ी Y राउंड जीतता है।")</f>
        <v>A) खिलाड़ी Y राउंड जीतता है।</v>
      </c>
    </row>
    <row r="370" ht="22.5" customHeight="1">
      <c r="A370" s="8">
        <v>369.0</v>
      </c>
      <c r="B370" s="3" t="s">
        <v>13621</v>
      </c>
      <c r="C370" s="3" t="s">
        <v>13531</v>
      </c>
      <c r="D370" s="3" t="s">
        <v>13329</v>
      </c>
      <c r="F370" s="5" t="str">
        <f>IFERROR(__xludf.DUMMYFUNCTION("GOOGLETRANSLATE(A370, ""en"", ""hi"")"),"369")</f>
        <v>369</v>
      </c>
      <c r="G370" s="5" t="str">
        <f>IFERROR(__xludf.DUMMYFUNCTION("GOOGLETRANSLATE(B370, ""en"", ""hi"")"),"मुकना मैच के दौरान, यदि खिलाड़ी X और खिलाड़ी Y दोनों एक ही समय पर रिंग के बाहर गिर जाते हैं और कोई भी आगे नहीं खेल सकता, तो उस राउंड का मानक परिणाम क्या होगा?")</f>
        <v>मुकना मैच के दौरान, यदि खिलाड़ी X और खिलाड़ी Y दोनों एक ही समय पर रिंग के बाहर गिर जाते हैं और कोई भी आगे नहीं खेल सकता, तो उस राउंड का मानक परिणाम क्या होगा?</v>
      </c>
      <c r="H370" s="5" t="str">
        <f>IFERROR(__xludf.DUMMYFUNCTION("GOOGLETRANSLATE(C370,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70" s="5" t="str">
        <f>IFERROR(__xludf.DUMMYFUNCTION("GOOGLETRANSLATE(D370, ""en"", ""hi"")"),"ए) राउंड को ड्रा घोषित किया जाता है।")</f>
        <v>ए) राउंड को ड्रा घोषित किया जाता है।</v>
      </c>
    </row>
    <row r="371" ht="22.5" customHeight="1">
      <c r="A371" s="8">
        <v>370.0</v>
      </c>
      <c r="B371" s="3" t="s">
        <v>13622</v>
      </c>
      <c r="C371" s="3" t="s">
        <v>13533</v>
      </c>
      <c r="D371" s="3" t="s">
        <v>13389</v>
      </c>
      <c r="F371" s="5" t="str">
        <f>IFERROR(__xludf.DUMMYFUNCTION("GOOGLETRANSLATE(A371, ""en"", ""hi"")"),"370")</f>
        <v>370</v>
      </c>
      <c r="G371" s="5" t="str">
        <f>IFERROR(__xludf.DUMMYFUNCTION("GOOGLETRANSLATE(B371, ""en"", ""hi"")"),"यदि खिलाड़ी X किसी अवैध तकनीक का उपयोग करता है जिसके परिणामस्वरूप खिलाड़ी Y गिर जाता है, लेकिन खिलाड़ी X भी तुरंत बाद गिर जाता है, तो मुकना में राउंड का निर्णय आमतौर पर कैसे किया जाता है?")</f>
        <v>यदि खिलाड़ी X किसी अवैध तकनीक का उपयोग करता है जिसके परिणामस्वरूप खिलाड़ी Y गिर जाता है, लेकिन खिलाड़ी X भी तुरंत बाद गिर जाता है, तो मुकना में राउंड का निर्णय आमतौर पर कैसे किया जाता है?</v>
      </c>
      <c r="H371" s="5" t="str">
        <f>IFERROR(__xludf.DUMMYFUNCTION("GOOGLETRANSLATE(C371,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71" s="5" t="str">
        <f>IFERROR(__xludf.DUMMYFUNCTION("GOOGLETRANSLATE(D371, ""en"", ""hi"")"),"A) खिलाड़ी Y राउंड जीतता है।")</f>
        <v>A) खिलाड़ी Y राउंड जीतता है।</v>
      </c>
    </row>
    <row r="372" ht="22.5" customHeight="1">
      <c r="A372" s="8">
        <v>371.0</v>
      </c>
      <c r="B372" s="3" t="s">
        <v>13623</v>
      </c>
      <c r="C372" s="3" t="s">
        <v>13531</v>
      </c>
      <c r="D372" s="3" t="s">
        <v>13329</v>
      </c>
      <c r="F372" s="5" t="str">
        <f>IFERROR(__xludf.DUMMYFUNCTION("GOOGLETRANSLATE(A372, ""en"", ""hi"")"),"371")</f>
        <v>371</v>
      </c>
      <c r="G372" s="5" t="str">
        <f>IFERROR(__xludf.DUMMYFUNCTION("GOOGLETRANSLATE(B372, ""en"", ""hi"")"),"मुकना में, यदि खिलाड़ी X और खिलाड़ी Y दोनों एक साथ गिर जाते हैं और कोई भी आगे नहीं बढ़ पाता है, तो राउंड का समाधान आमतौर पर कैसे किया जाता है?")</f>
        <v>मुकना में, यदि खिलाड़ी X और खिलाड़ी Y दोनों एक साथ गिर जाते हैं और कोई भी आगे नहीं बढ़ पाता है, तो राउंड का समाधान आमतौर पर कैसे किया जाता है?</v>
      </c>
      <c r="H372" s="5" t="str">
        <f>IFERROR(__xludf.DUMMYFUNCTION("GOOGLETRANSLATE(C372,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72" s="5" t="str">
        <f>IFERROR(__xludf.DUMMYFUNCTION("GOOGLETRANSLATE(D372, ""en"", ""hi"")"),"ए) राउंड को ड्रा घोषित किया जाता है।")</f>
        <v>ए) राउंड को ड्रा घोषित किया जाता है।</v>
      </c>
    </row>
    <row r="373" ht="22.5" customHeight="1">
      <c r="A373" s="8">
        <v>372.0</v>
      </c>
      <c r="B373" s="3" t="s">
        <v>13624</v>
      </c>
      <c r="C373" s="3" t="s">
        <v>13613</v>
      </c>
      <c r="D373" s="3" t="s">
        <v>13329</v>
      </c>
      <c r="F373" s="5" t="str">
        <f>IFERROR(__xludf.DUMMYFUNCTION("GOOGLETRANSLATE(A373, ""en"", ""hi"")"),"372")</f>
        <v>372</v>
      </c>
      <c r="G373" s="5" t="str">
        <f>IFERROR(__xludf.DUMMYFUNCTION("GOOGLETRANSLATE(B373, ""en"", ""hi"")"),"मुकना मुकाबले के दौरान, यदि खिलाड़ी X कोई अवैध चाल चलता है जिसके कारण खिलाड़ी Y गिर जाता है, और दोनों खिलाड़ी एक साथ रिंग के बाहर गिर जाते हैं, तो उस राउंड के लिए मानक निर्णय क्या होगा?")</f>
        <v>मुकना मुकाबले के दौरान, यदि खिलाड़ी X कोई अवैध चाल चलता है जिसके कारण खिलाड़ी Y गिर जाता है, और दोनों खिलाड़ी एक साथ रिंग के बाहर गिर जाते हैं, तो उस राउंड के लिए मानक निर्णय क्या होगा?</v>
      </c>
      <c r="H373" s="5" t="str">
        <f>IFERROR(__xludf.DUMMYFUNCTION("GOOGLETRANSLATE(C373,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73" s="5" t="str">
        <f>IFERROR(__xludf.DUMMYFUNCTION("GOOGLETRANSLATE(D373, ""en"", ""hi"")"),"ए) राउंड को ड्रा घोषित किया जाता है।")</f>
        <v>ए) राउंड को ड्रा घोषित किया जाता है।</v>
      </c>
    </row>
    <row r="374" ht="22.5" customHeight="1">
      <c r="A374" s="8">
        <v>373.0</v>
      </c>
      <c r="B374" s="3" t="s">
        <v>13625</v>
      </c>
      <c r="C374" s="3" t="s">
        <v>13388</v>
      </c>
      <c r="D374" s="3" t="s">
        <v>13389</v>
      </c>
      <c r="F374" s="5" t="str">
        <f>IFERROR(__xludf.DUMMYFUNCTION("GOOGLETRANSLATE(A374, ""en"", ""hi"")"),"373")</f>
        <v>373</v>
      </c>
      <c r="G374" s="5" t="str">
        <f>IFERROR(__xludf.DUMMYFUNCTION("GOOGLETRANSLATE(B374, ""en"", ""hi"")"),"मुकना में, यदि खिलाड़ी X कोई ऐसी तकनीक अपनाता है जिसके कारण खिलाड़ी Y गिर जाता है, लेकिन खिलाड़ी X भी तुरंत बाद गिर जाता है, तो उस राउंड के लिए सामान्य नियम क्या है?")</f>
        <v>मुकना में, यदि खिलाड़ी X कोई ऐसी तकनीक अपनाता है जिसके कारण खिलाड़ी Y गिर जाता है, लेकिन खिलाड़ी X भी तुरंत बाद गिर जाता है, तो उस राउंड के लिए सामान्य नियम क्या है?</v>
      </c>
      <c r="H374" s="5" t="str">
        <f>IFERROR(__xludf.DUMMYFUNCTION("GOOGLETRANSLATE(C374,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74" s="5" t="str">
        <f>IFERROR(__xludf.DUMMYFUNCTION("GOOGLETRANSLATE(D374, ""en"", ""hi"")"),"A) खिलाड़ी Y राउंड जीतता है।")</f>
        <v>A) खिलाड़ी Y राउंड जीतता है।</v>
      </c>
    </row>
    <row r="375" ht="22.5" customHeight="1">
      <c r="A375" s="8">
        <v>374.0</v>
      </c>
      <c r="B375" s="3" t="s">
        <v>13626</v>
      </c>
      <c r="C375" s="3" t="s">
        <v>13531</v>
      </c>
      <c r="D375" s="3" t="s">
        <v>13329</v>
      </c>
      <c r="F375" s="5" t="str">
        <f>IFERROR(__xludf.DUMMYFUNCTION("GOOGLETRANSLATE(A375, ""en"", ""hi"")"),"374")</f>
        <v>374</v>
      </c>
      <c r="G375" s="5" t="str">
        <f>IFERROR(__xludf.DUMMYFUNCTION("GOOGLETRANSLATE(B375, ""en"", ""hi"")"),"यदि खिलाड़ी X और खिलाड़ी Y एक साथ रिंग के बाहर गिर जाते हैं और कोई भी आगे नहीं खेल सकता, तो मुकना में राउंड का सामान्य परिणाम क्या होगा?")</f>
        <v>यदि खिलाड़ी X और खिलाड़ी Y एक साथ रिंग के बाहर गिर जाते हैं और कोई भी आगे नहीं खेल सकता, तो मुकना में राउंड का सामान्य परिणाम क्या होगा?</v>
      </c>
      <c r="H375" s="5" t="str">
        <f>IFERROR(__xludf.DUMMYFUNCTION("GOOGLETRANSLATE(C375,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75" s="5" t="str">
        <f>IFERROR(__xludf.DUMMYFUNCTION("GOOGLETRANSLATE(D375, ""en"", ""hi"")"),"ए) राउंड को ड्रा घोषित किया जाता है।")</f>
        <v>ए) राउंड को ड्रा घोषित किया जाता है।</v>
      </c>
    </row>
    <row r="376" ht="22.5" customHeight="1">
      <c r="A376" s="8">
        <v>375.0</v>
      </c>
      <c r="B376" s="3" t="s">
        <v>13627</v>
      </c>
      <c r="C376" s="3" t="s">
        <v>13613</v>
      </c>
      <c r="D376" s="3" t="s">
        <v>13329</v>
      </c>
      <c r="F376" s="5" t="str">
        <f>IFERROR(__xludf.DUMMYFUNCTION("GOOGLETRANSLATE(A376, ""en"", ""hi"")"),"375")</f>
        <v>375</v>
      </c>
      <c r="G376" s="5" t="str">
        <f>IFERROR(__xludf.DUMMYFUNCTION("GOOGLETRANSLATE(B376, ""en"", ""hi"")"),"मुकना में, यदि खिलाड़ी X कोई अवैध चाल चलता है, जिसके कारण खिलाड़ी Y गिर जाता है और दोनों खिलाड़ी रिंग से बाहर गिर जाते हैं, तो आमतौर पर राउंड का निर्णय कैसे किया जाता है?")</f>
        <v>मुकना में, यदि खिलाड़ी X कोई अवैध चाल चलता है, जिसके कारण खिलाड़ी Y गिर जाता है और दोनों खिलाड़ी रिंग से बाहर गिर जाते हैं, तो आमतौर पर राउंड का निर्णय कैसे किया जाता है?</v>
      </c>
      <c r="H376" s="5" t="str">
        <f>IFERROR(__xludf.DUMMYFUNCTION("GOOGLETRANSLATE(C376,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76" s="5" t="str">
        <f>IFERROR(__xludf.DUMMYFUNCTION("GOOGLETRANSLATE(D376, ""en"", ""hi"")"),"ए) राउंड को ड्रा घोषित किया जाता है।")</f>
        <v>ए) राउंड को ड्रा घोषित किया जाता है।</v>
      </c>
    </row>
    <row r="377" ht="22.5" customHeight="1">
      <c r="A377" s="8">
        <v>376.0</v>
      </c>
      <c r="B377" s="3" t="s">
        <v>13628</v>
      </c>
      <c r="C377" s="3" t="s">
        <v>13533</v>
      </c>
      <c r="D377" s="3" t="s">
        <v>13389</v>
      </c>
      <c r="F377" s="5" t="str">
        <f>IFERROR(__xludf.DUMMYFUNCTION("GOOGLETRANSLATE(A377, ""en"", ""hi"")"),"376")</f>
        <v>376</v>
      </c>
      <c r="G377" s="5" t="str">
        <f>IFERROR(__xludf.DUMMYFUNCTION("GOOGLETRANSLATE(B377, ""en"", ""hi"")"),"मुकना मुकाबले के दौरान, यदि खिलाड़ी X कोई ऐसी तकनीक अपनाता है जिसके परिणामस्वरूप खिलाड़ी Y गिर जाता है, तथा खिलाड़ी X भी अपना संतुलन खो देता है और गिर जाता है, तो आमतौर पर राउंड का निर्णय कैसे किया जाता है?")</f>
        <v>मुकना मुकाबले के दौरान, यदि खिलाड़ी X कोई ऐसी तकनीक अपनाता है जिसके परिणामस्वरूप खिलाड़ी Y गिर जाता है, तथा खिलाड़ी X भी अपना संतुलन खो देता है और गिर जाता है, तो आमतौर पर राउंड का निर्णय कैसे किया जाता है?</v>
      </c>
      <c r="H377" s="5" t="str">
        <f>IFERROR(__xludf.DUMMYFUNCTION("GOOGLETRANSLATE(C377,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77" s="5" t="str">
        <f>IFERROR(__xludf.DUMMYFUNCTION("GOOGLETRANSLATE(D377, ""en"", ""hi"")"),"A) खिलाड़ी Y राउंड जीतता है।")</f>
        <v>A) खिलाड़ी Y राउंड जीतता है।</v>
      </c>
    </row>
    <row r="378" ht="22.5" customHeight="1">
      <c r="A378" s="8">
        <v>377.0</v>
      </c>
      <c r="B378" s="3" t="s">
        <v>13629</v>
      </c>
      <c r="C378" s="3" t="s">
        <v>13531</v>
      </c>
      <c r="D378" s="3" t="s">
        <v>13329</v>
      </c>
      <c r="F378" s="5" t="str">
        <f>IFERROR(__xludf.DUMMYFUNCTION("GOOGLETRANSLATE(A378, ""en"", ""hi"")"),"377")</f>
        <v>377</v>
      </c>
      <c r="G378" s="5" t="str">
        <f>IFERROR(__xludf.DUMMYFUNCTION("GOOGLETRANSLATE(B378, ""en"", ""hi"")"),"मुकना में, यदि खिलाड़ी X और खिलाड़ी Y दोनों एक साथ गिर जाते हैं और कोई भी आगे नहीं बढ़ सकता है, तो राउंड के लिए मानक निर्णय क्या है?")</f>
        <v>मुकना में, यदि खिलाड़ी X और खिलाड़ी Y दोनों एक साथ गिर जाते हैं और कोई भी आगे नहीं बढ़ सकता है, तो राउंड के लिए मानक निर्णय क्या है?</v>
      </c>
      <c r="H378" s="5" t="str">
        <f>IFERROR(__xludf.DUMMYFUNCTION("GOOGLETRANSLATE(C378,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78" s="5" t="str">
        <f>IFERROR(__xludf.DUMMYFUNCTION("GOOGLETRANSLATE(D378, ""en"", ""hi"")"),"ए) राउंड को ड्रा घोषित किया जाता है।")</f>
        <v>ए) राउंड को ड्रा घोषित किया जाता है।</v>
      </c>
    </row>
    <row r="379" ht="22.5" customHeight="1">
      <c r="A379" s="8">
        <v>378.0</v>
      </c>
      <c r="B379" s="3" t="s">
        <v>13630</v>
      </c>
      <c r="C379" s="3" t="s">
        <v>13613</v>
      </c>
      <c r="D379" s="3" t="s">
        <v>13329</v>
      </c>
      <c r="F379" s="5" t="str">
        <f>IFERROR(__xludf.DUMMYFUNCTION("GOOGLETRANSLATE(A379, ""en"", ""hi"")"),"378")</f>
        <v>378</v>
      </c>
      <c r="G379" s="5" t="str">
        <f>IFERROR(__xludf.DUMMYFUNCTION("GOOGLETRANSLATE(B379, ""en"", ""hi"")"),"यदि खिलाड़ी X किसी अवैध तकनीक का उपयोग करता है, जिसके कारण खिलाड़ी Y गिर जाता है, लेकिन फिर दोनों खिलाड़ी रिंग से बाहर गिर जाते हैं, तो मुकना में उस राउंड के लिए सामान्य नियम क्या है?")</f>
        <v>यदि खिलाड़ी X किसी अवैध तकनीक का उपयोग करता है, जिसके कारण खिलाड़ी Y गिर जाता है, लेकिन फिर दोनों खिलाड़ी रिंग से बाहर गिर जाते हैं, तो मुकना में उस राउंड के लिए सामान्य नियम क्या है?</v>
      </c>
      <c r="H379" s="5" t="str">
        <f>IFERROR(__xludf.DUMMYFUNCTION("GOOGLETRANSLATE(C379,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79" s="5" t="str">
        <f>IFERROR(__xludf.DUMMYFUNCTION("GOOGLETRANSLATE(D379, ""en"", ""hi"")"),"ए) राउंड को ड्रा घोषित किया जाता है।")</f>
        <v>ए) राउंड को ड्रा घोषित किया जाता है।</v>
      </c>
    </row>
    <row r="380" ht="22.5" customHeight="1">
      <c r="A380" s="8">
        <v>379.0</v>
      </c>
      <c r="B380" s="3" t="s">
        <v>13631</v>
      </c>
      <c r="C380" s="3" t="s">
        <v>13388</v>
      </c>
      <c r="D380" s="3" t="s">
        <v>13389</v>
      </c>
      <c r="F380" s="5" t="str">
        <f>IFERROR(__xludf.DUMMYFUNCTION("GOOGLETRANSLATE(A380, ""en"", ""hi"")"),"379")</f>
        <v>379</v>
      </c>
      <c r="G380" s="5" t="str">
        <f>IFERROR(__xludf.DUMMYFUNCTION("GOOGLETRANSLATE(B380, ""en"", ""hi"")"),"मुकना में, यदि खिलाड़ी X ऐसी तकनीक का प्रयोग करता है जिससे खिलाड़ी Y गिर जाता है और खिलाड़ी X भी तुरंत बाद गिर जाता है, तो आमतौर पर कौन राउंड जीतता है?")</f>
        <v>मुकना में, यदि खिलाड़ी X ऐसी तकनीक का प्रयोग करता है जिससे खिलाड़ी Y गिर जाता है और खिलाड़ी X भी तुरंत बाद गिर जाता है, तो आमतौर पर कौन राउंड जीतता है?</v>
      </c>
      <c r="H380" s="5" t="str">
        <f>IFERROR(__xludf.DUMMYFUNCTION("GOOGLETRANSLATE(C380,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80" s="5" t="str">
        <f>IFERROR(__xludf.DUMMYFUNCTION("GOOGLETRANSLATE(D380, ""en"", ""hi"")"),"A) खिलाड़ी Y राउंड जीतता है।")</f>
        <v>A) खिलाड़ी Y राउंड जीतता है।</v>
      </c>
    </row>
    <row r="381" ht="22.5" customHeight="1">
      <c r="A381" s="8">
        <v>380.0</v>
      </c>
      <c r="B381" s="3" t="s">
        <v>13461</v>
      </c>
      <c r="C381" s="3" t="s">
        <v>13531</v>
      </c>
      <c r="D381" s="3" t="s">
        <v>13329</v>
      </c>
      <c r="F381" s="5" t="str">
        <f>IFERROR(__xludf.DUMMYFUNCTION("GOOGLETRANSLATE(A381, ""en"", ""hi"")"),"380")</f>
        <v>380</v>
      </c>
      <c r="G381" s="5" t="str">
        <f>IFERROR(__xludf.DUMMYFUNCTION("GOOGLETRANSLATE(B381, ""en"", ""hi"")"),"मुकना मैच के दौरान, यदि खिलाड़ी X और खिलाड़ी Y दोनों एक साथ रिंग के बाहर गिर जाते हैं और कोई भी आगे नहीं खेल सकता, तो आमतौर पर राउंड का निर्णय कैसे किया जाता है?")</f>
        <v>मुकना मैच के दौरान, यदि खिलाड़ी X और खिलाड़ी Y दोनों एक साथ रिंग के बाहर गिर जाते हैं और कोई भी आगे नहीं खेल सकता, तो आमतौर पर राउंड का निर्णय कैसे किया जाता है?</v>
      </c>
      <c r="H381" s="5" t="str">
        <f>IFERROR(__xludf.DUMMYFUNCTION("GOOGLETRANSLATE(C381,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81" s="5" t="str">
        <f>IFERROR(__xludf.DUMMYFUNCTION("GOOGLETRANSLATE(D381, ""en"", ""hi"")"),"ए) राउंड को ड्रा घोषित किया जाता है।")</f>
        <v>ए) राउंड को ड्रा घोषित किया जाता है।</v>
      </c>
    </row>
    <row r="382" ht="22.5" customHeight="1">
      <c r="A382" s="8">
        <v>381.0</v>
      </c>
      <c r="B382" s="3" t="s">
        <v>13632</v>
      </c>
      <c r="C382" s="3" t="s">
        <v>13533</v>
      </c>
      <c r="D382" s="3" t="s">
        <v>13389</v>
      </c>
      <c r="F382" s="5" t="str">
        <f>IFERROR(__xludf.DUMMYFUNCTION("GOOGLETRANSLATE(A382, ""en"", ""hi"")"),"381")</f>
        <v>381</v>
      </c>
      <c r="G382" s="5" t="str">
        <f>IFERROR(__xludf.DUMMYFUNCTION("GOOGLETRANSLATE(B382, ""en"", ""hi"")"),"यदि खिलाड़ी X कोई अवैध चाल चलता है जिसके कारण खिलाड़ी Y गिर जाता है, तथा खिलाड़ी X भी रिंग से बाहर गिर जाता है, तो मुकना में राउंड का समाधान आमतौर पर किस प्रकार किया जाता है?")</f>
        <v>यदि खिलाड़ी X कोई अवैध चाल चलता है जिसके कारण खिलाड़ी Y गिर जाता है, तथा खिलाड़ी X भी रिंग से बाहर गिर जाता है, तो मुकना में राउंड का समाधान आमतौर पर किस प्रकार किया जाता है?</v>
      </c>
      <c r="H382" s="5" t="str">
        <f>IFERROR(__xludf.DUMMYFUNCTION("GOOGLETRANSLATE(C382,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82" s="5" t="str">
        <f>IFERROR(__xludf.DUMMYFUNCTION("GOOGLETRANSLATE(D382, ""en"", ""hi"")"),"A) खिलाड़ी Y राउंड जीतता है।")</f>
        <v>A) खिलाड़ी Y राउंड जीतता है।</v>
      </c>
    </row>
    <row r="383" ht="22.5" customHeight="1">
      <c r="A383" s="8">
        <v>382.0</v>
      </c>
      <c r="B383" s="3" t="s">
        <v>13633</v>
      </c>
      <c r="C383" s="3" t="s">
        <v>13531</v>
      </c>
      <c r="D383" s="3" t="s">
        <v>13329</v>
      </c>
      <c r="F383" s="5" t="str">
        <f>IFERROR(__xludf.DUMMYFUNCTION("GOOGLETRANSLATE(A383, ""en"", ""hi"")"),"382")</f>
        <v>382</v>
      </c>
      <c r="G383" s="5" t="str">
        <f>IFERROR(__xludf.DUMMYFUNCTION("GOOGLETRANSLATE(B383, ""en"", ""hi"")"),"मुकना में, यदि खिलाड़ी X और खिलाड़ी Y दोनों एक साथ गिर जाते हैं और कोई भी आगे नहीं बढ़ सकता है, तो राउंड के लिए मानक परिणाम क्या है?")</f>
        <v>मुकना में, यदि खिलाड़ी X और खिलाड़ी Y दोनों एक साथ गिर जाते हैं और कोई भी आगे नहीं बढ़ सकता है, तो राउंड के लिए मानक परिणाम क्या है?</v>
      </c>
      <c r="H383" s="5" t="str">
        <f>IFERROR(__xludf.DUMMYFUNCTION("GOOGLETRANSLATE(C383,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83" s="5" t="str">
        <f>IFERROR(__xludf.DUMMYFUNCTION("GOOGLETRANSLATE(D383, ""en"", ""hi"")"),"ए) राउंड को ड्रा घोषित किया जाता है।")</f>
        <v>ए) राउंड को ड्रा घोषित किया जाता है।</v>
      </c>
    </row>
    <row r="384" ht="22.5" customHeight="1">
      <c r="A384" s="8">
        <v>383.0</v>
      </c>
      <c r="B384" s="3" t="s">
        <v>13634</v>
      </c>
      <c r="C384" s="3" t="s">
        <v>13613</v>
      </c>
      <c r="D384" s="3" t="s">
        <v>13329</v>
      </c>
      <c r="F384" s="5" t="str">
        <f>IFERROR(__xludf.DUMMYFUNCTION("GOOGLETRANSLATE(A384, ""en"", ""hi"")"),"383")</f>
        <v>383</v>
      </c>
      <c r="G384" s="5" t="str">
        <f>IFERROR(__xludf.DUMMYFUNCTION("GOOGLETRANSLATE(B384, ""en"", ""hi"")"),"मुकना मुकाबले के दौरान, यदि खिलाड़ी X कोई अवैध तकनीक अपनाता है, जिसके कारण खिलाड़ी Y गिर जाता है, और दोनों खिलाड़ी रिंग के बाहर गिर जाते हैं, तो उस राउंड के लिए सामान्य नियम क्या है?")</f>
        <v>मुकना मुकाबले के दौरान, यदि खिलाड़ी X कोई अवैध तकनीक अपनाता है, जिसके कारण खिलाड़ी Y गिर जाता है, और दोनों खिलाड़ी रिंग के बाहर गिर जाते हैं, तो उस राउंड के लिए सामान्य नियम क्या है?</v>
      </c>
      <c r="H384" s="5" t="str">
        <f>IFERROR(__xludf.DUMMYFUNCTION("GOOGLETRANSLATE(C384,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84" s="5" t="str">
        <f>IFERROR(__xludf.DUMMYFUNCTION("GOOGLETRANSLATE(D384, ""en"", ""hi"")"),"ए) राउंड को ड्रा घोषित किया जाता है।")</f>
        <v>ए) राउंड को ड्रा घोषित किया जाता है।</v>
      </c>
    </row>
    <row r="385" ht="22.5" customHeight="1">
      <c r="A385" s="8">
        <v>384.0</v>
      </c>
      <c r="B385" s="3" t="s">
        <v>13635</v>
      </c>
      <c r="C385" s="3" t="s">
        <v>13533</v>
      </c>
      <c r="D385" s="3" t="s">
        <v>13389</v>
      </c>
      <c r="F385" s="5" t="str">
        <f>IFERROR(__xludf.DUMMYFUNCTION("GOOGLETRANSLATE(A385, ""en"", ""hi"")"),"384")</f>
        <v>384</v>
      </c>
      <c r="G385" s="5" t="str">
        <f>IFERROR(__xludf.DUMMYFUNCTION("GOOGLETRANSLATE(B385, ""en"", ""hi"")"),"यदि खिलाड़ी X कोई ऐसी तकनीक अपनाता है जिसके परिणामस्वरूप खिलाड़ी Y गिर जाता है, लेकिन खिलाड़ी X भी तुरंत बाद गिर जाता है, तो मुकना में कौन राउंड जीतता है?")</f>
        <v>यदि खिलाड़ी X कोई ऐसी तकनीक अपनाता है जिसके परिणामस्वरूप खिलाड़ी Y गिर जाता है, लेकिन खिलाड़ी X भी तुरंत बाद गिर जाता है, तो मुकना में कौन राउंड जीतता है?</v>
      </c>
      <c r="H385" s="5" t="str">
        <f>IFERROR(__xludf.DUMMYFUNCTION("GOOGLETRANSLATE(C385,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85" s="5" t="str">
        <f>IFERROR(__xludf.DUMMYFUNCTION("GOOGLETRANSLATE(D385, ""en"", ""hi"")"),"A) खिलाड़ी Y राउंड जीतता है।")</f>
        <v>A) खिलाड़ी Y राउंड जीतता है।</v>
      </c>
    </row>
    <row r="386" ht="22.5" customHeight="1">
      <c r="A386" s="8">
        <v>385.0</v>
      </c>
      <c r="B386" s="3" t="s">
        <v>13636</v>
      </c>
      <c r="C386" s="3" t="s">
        <v>13531</v>
      </c>
      <c r="D386" s="3" t="s">
        <v>13329</v>
      </c>
      <c r="F386" s="5" t="str">
        <f>IFERROR(__xludf.DUMMYFUNCTION("GOOGLETRANSLATE(A386, ""en"", ""hi"")"),"385")</f>
        <v>385</v>
      </c>
      <c r="G386" s="5" t="str">
        <f>IFERROR(__xludf.DUMMYFUNCTION("GOOGLETRANSLATE(B386, ""en"", ""hi"")"),"मुकना में, यदि खिलाड़ी X और खिलाड़ी Y दोनों एक साथ रिंग के बाहर गिर जाते हैं और कोई भी आगे नहीं खेल सकता, तो उस राउंड के लिए सामान्य निर्णय क्या होगा?")</f>
        <v>मुकना में, यदि खिलाड़ी X और खिलाड़ी Y दोनों एक साथ रिंग के बाहर गिर जाते हैं और कोई भी आगे नहीं खेल सकता, तो उस राउंड के लिए सामान्य निर्णय क्या होगा?</v>
      </c>
      <c r="H386" s="5" t="str">
        <f>IFERROR(__xludf.DUMMYFUNCTION("GOOGLETRANSLATE(C386,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86" s="5" t="str">
        <f>IFERROR(__xludf.DUMMYFUNCTION("GOOGLETRANSLATE(D386, ""en"", ""hi"")"),"ए) राउंड को ड्रा घोषित किया जाता है।")</f>
        <v>ए) राउंड को ड्रा घोषित किया जाता है।</v>
      </c>
    </row>
    <row r="387" ht="22.5" customHeight="1">
      <c r="A387" s="8">
        <v>386.0</v>
      </c>
      <c r="B387" s="3" t="s">
        <v>13637</v>
      </c>
      <c r="C387" s="3" t="s">
        <v>13533</v>
      </c>
      <c r="D387" s="3" t="s">
        <v>13389</v>
      </c>
      <c r="F387" s="5" t="str">
        <f>IFERROR(__xludf.DUMMYFUNCTION("GOOGLETRANSLATE(A387, ""en"", ""hi"")"),"386")</f>
        <v>386</v>
      </c>
      <c r="G387" s="5" t="str">
        <f>IFERROR(__xludf.DUMMYFUNCTION("GOOGLETRANSLATE(B387, ""en"", ""hi"")"),"मुकना मैच के दौरान, यदि खिलाड़ी X कोई अवैध चाल चलता है, जिसके कारण खिलाड़ी Y गिर जाता है, तथा खिलाड़ी X भी रिंग से बाहर गिर जाता है, तो आमतौर पर राउंड का निर्णय कैसे किया जाता है?")</f>
        <v>मुकना मैच के दौरान, यदि खिलाड़ी X कोई अवैध चाल चलता है, जिसके कारण खिलाड़ी Y गिर जाता है, तथा खिलाड़ी X भी रिंग से बाहर गिर जाता है, तो आमतौर पर राउंड का निर्णय कैसे किया जाता है?</v>
      </c>
      <c r="H387" s="5" t="str">
        <f>IFERROR(__xludf.DUMMYFUNCTION("GOOGLETRANSLATE(C387,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87" s="5" t="str">
        <f>IFERROR(__xludf.DUMMYFUNCTION("GOOGLETRANSLATE(D387, ""en"", ""hi"")"),"A) खिलाड़ी Y राउंड जीतता है।")</f>
        <v>A) खिलाड़ी Y राउंड जीतता है।</v>
      </c>
    </row>
    <row r="388" ht="22.5" customHeight="1">
      <c r="A388" s="8">
        <v>387.0</v>
      </c>
      <c r="B388" s="3" t="s">
        <v>13638</v>
      </c>
      <c r="C388" s="3" t="s">
        <v>13531</v>
      </c>
      <c r="D388" s="3" t="s">
        <v>13329</v>
      </c>
      <c r="F388" s="5" t="str">
        <f>IFERROR(__xludf.DUMMYFUNCTION("GOOGLETRANSLATE(A388, ""en"", ""hi"")"),"387")</f>
        <v>387</v>
      </c>
      <c r="G388" s="5" t="str">
        <f>IFERROR(__xludf.DUMMYFUNCTION("GOOGLETRANSLATE(B388, ""en"", ""hi"")"),"मुकना में, यदि खिलाड़ी X और खिलाड़ी Y दोनों एक साथ गिर जाते हैं और कोई भी आगे नहीं खेल सकता, तो राउंड का मानक परिणाम क्या होगा?")</f>
        <v>मुकना में, यदि खिलाड़ी X और खिलाड़ी Y दोनों एक साथ गिर जाते हैं और कोई भी आगे नहीं खेल सकता, तो राउंड का मानक परिणाम क्या होगा?</v>
      </c>
      <c r="H388" s="5" t="str">
        <f>IFERROR(__xludf.DUMMYFUNCTION("GOOGLETRANSLATE(C388,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88" s="5" t="str">
        <f>IFERROR(__xludf.DUMMYFUNCTION("GOOGLETRANSLATE(D388, ""en"", ""hi"")"),"ए) राउंड को ड्रा घोषित किया जाता है।")</f>
        <v>ए) राउंड को ड्रा घोषित किया जाता है।</v>
      </c>
    </row>
    <row r="389" ht="22.5" customHeight="1">
      <c r="A389" s="8">
        <v>388.0</v>
      </c>
      <c r="B389" s="3" t="s">
        <v>13639</v>
      </c>
      <c r="C389" s="3" t="s">
        <v>13533</v>
      </c>
      <c r="D389" s="3" t="s">
        <v>13389</v>
      </c>
      <c r="F389" s="5" t="str">
        <f>IFERROR(__xludf.DUMMYFUNCTION("GOOGLETRANSLATE(A389, ""en"", ""hi"")"),"388")</f>
        <v>388</v>
      </c>
      <c r="G389" s="5" t="str">
        <f>IFERROR(__xludf.DUMMYFUNCTION("GOOGLETRANSLATE(B389, ""en"", ""hi"")"),"यदि खिलाड़ी X कोई अवैध तकनीक अपनाता है जिसके परिणामस्वरूप खिलाड़ी Y गिर जाता है, तथा खिलाड़ी X भी रिंग के बाहर गिर जाता है, तो मुकना में राउंड का समाधान आमतौर पर कैसे किया जाता है?")</f>
        <v>यदि खिलाड़ी X कोई अवैध तकनीक अपनाता है जिसके परिणामस्वरूप खिलाड़ी Y गिर जाता है, तथा खिलाड़ी X भी रिंग के बाहर गिर जाता है, तो मुकना में राउंड का समाधान आमतौर पर कैसे किया जाता है?</v>
      </c>
      <c r="H389" s="5" t="str">
        <f>IFERROR(__xludf.DUMMYFUNCTION("GOOGLETRANSLATE(C389,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89" s="5" t="str">
        <f>IFERROR(__xludf.DUMMYFUNCTION("GOOGLETRANSLATE(D389, ""en"", ""hi"")"),"A) खिलाड़ी Y राउंड जीतता है।")</f>
        <v>A) खिलाड़ी Y राउंड जीतता है।</v>
      </c>
    </row>
    <row r="390" ht="22.5" customHeight="1">
      <c r="A390" s="8">
        <v>389.0</v>
      </c>
      <c r="B390" s="3" t="s">
        <v>13640</v>
      </c>
      <c r="C390" s="3" t="s">
        <v>13388</v>
      </c>
      <c r="D390" s="3" t="s">
        <v>13389</v>
      </c>
      <c r="F390" s="5" t="str">
        <f>IFERROR(__xludf.DUMMYFUNCTION("GOOGLETRANSLATE(A390, ""en"", ""hi"")"),"389")</f>
        <v>389</v>
      </c>
      <c r="G390" s="5" t="str">
        <f>IFERROR(__xludf.DUMMYFUNCTION("GOOGLETRANSLATE(B390, ""en"", ""hi"")"),"मुकना में, यदि खिलाड़ी X कोई ऐसी तकनीक अपनाता है जिससे खिलाड़ी Y गिर जाता है, लेकिन खिलाड़ी X भी अपना संतुलन खो देता है और तुरंत बाद गिर जाता है, तो कौन राउंड जीतता है?")</f>
        <v>मुकना में, यदि खिलाड़ी X कोई ऐसी तकनीक अपनाता है जिससे खिलाड़ी Y गिर जाता है, लेकिन खिलाड़ी X भी अपना संतुलन खो देता है और तुरंत बाद गिर जाता है, तो कौन राउंड जीतता है?</v>
      </c>
      <c r="H390" s="5" t="str">
        <f>IFERROR(__xludf.DUMMYFUNCTION("GOOGLETRANSLATE(C390, ""en"", ""hi"")"),"A) खिलाड़ी Y राउंड जीतता है। , B) खिलाड़ी X राउंड जीतता है। , C) राउंड को ड्रा घोषित किया जाता है। , D) मैच पुनः शुरू किया जाता है।")</f>
        <v>A) खिलाड़ी Y राउंड जीतता है। , B) खिलाड़ी X राउंड जीतता है। , C) राउंड को ड्रा घोषित किया जाता है। , D) मैच पुनः शुरू किया जाता है।</v>
      </c>
      <c r="I390" s="5" t="str">
        <f>IFERROR(__xludf.DUMMYFUNCTION("GOOGLETRANSLATE(D390, ""en"", ""hi"")"),"A) खिलाड़ी Y राउंड जीतता है।")</f>
        <v>A) खिलाड़ी Y राउंड जीतता है।</v>
      </c>
    </row>
    <row r="391" ht="22.5" customHeight="1">
      <c r="A391" s="8">
        <v>390.0</v>
      </c>
      <c r="B391" s="3" t="s">
        <v>13551</v>
      </c>
      <c r="C391" s="3" t="s">
        <v>13531</v>
      </c>
      <c r="D391" s="3" t="s">
        <v>13329</v>
      </c>
      <c r="F391" s="5" t="str">
        <f>IFERROR(__xludf.DUMMYFUNCTION("GOOGLETRANSLATE(A391, ""en"", ""hi"")"),"390")</f>
        <v>390</v>
      </c>
      <c r="G391" s="5" t="str">
        <f>IFERROR(__xludf.DUMMYFUNCTION("GOOGLETRANSLATE(B391, ""en"", ""hi"")"),"मुकना मैच के दौरान, यदि खिलाड़ी X और खिलाड़ी Y दोनों एक ही समय पर रिंग के बाहर गिर जाते हैं और कोई भी आगे नहीं खेल सकता, तो आमतौर पर राउंड का निर्णय कैसे किया जाता है?")</f>
        <v>मुकना मैच के दौरान, यदि खिलाड़ी X और खिलाड़ी Y दोनों एक ही समय पर रिंग के बाहर गिर जाते हैं और कोई भी आगे नहीं खेल सकता, तो आमतौर पर राउंड का निर्णय कैसे किया जाता है?</v>
      </c>
      <c r="H391" s="5" t="str">
        <f>IFERROR(__xludf.DUMMYFUNCTION("GOOGLETRANSLATE(C391,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91" s="5" t="str">
        <f>IFERROR(__xludf.DUMMYFUNCTION("GOOGLETRANSLATE(D391, ""en"", ""hi"")"),"ए) राउंड को ड्रा घोषित किया जाता है।")</f>
        <v>ए) राउंड को ड्रा घोषित किया जाता है।</v>
      </c>
    </row>
    <row r="392" ht="22.5" customHeight="1">
      <c r="A392" s="8">
        <v>391.0</v>
      </c>
      <c r="B392" s="3" t="s">
        <v>13641</v>
      </c>
      <c r="C392" s="3" t="s">
        <v>13613</v>
      </c>
      <c r="D392" s="3" t="s">
        <v>13329</v>
      </c>
      <c r="F392" s="5" t="str">
        <f>IFERROR(__xludf.DUMMYFUNCTION("GOOGLETRANSLATE(A392, ""en"", ""hi"")"),"391")</f>
        <v>391</v>
      </c>
      <c r="G392" s="5" t="str">
        <f>IFERROR(__xludf.DUMMYFUNCTION("GOOGLETRANSLATE(B392, ""en"", ""hi"")"),"यदि खिलाड़ी X कोई अवैध चाल चलता है, जिसके कारण खिलाड़ी Y गिर जाता है, लेकिन फिर दोनों खिलाड़ी रिंग से बाहर गिर जाते हैं, तो मुकना में राउंड के लिए सामान्य निर्णय क्या होता है?")</f>
        <v>यदि खिलाड़ी X कोई अवैध चाल चलता है, जिसके कारण खिलाड़ी Y गिर जाता है, लेकिन फिर दोनों खिलाड़ी रिंग से बाहर गिर जाते हैं, तो मुकना में राउंड के लिए सामान्य निर्णय क्या होता है?</v>
      </c>
      <c r="H392" s="5" t="str">
        <f>IFERROR(__xludf.DUMMYFUNCTION("GOOGLETRANSLATE(C392,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92" s="5" t="str">
        <f>IFERROR(__xludf.DUMMYFUNCTION("GOOGLETRANSLATE(D392, ""en"", ""hi"")"),"ए) राउंड को ड्रा घोषित किया जाता है।")</f>
        <v>ए) राउंड को ड्रा घोषित किया जाता है।</v>
      </c>
    </row>
    <row r="393" ht="22.5" customHeight="1">
      <c r="A393" s="8">
        <v>392.0</v>
      </c>
      <c r="B393" s="3" t="s">
        <v>13642</v>
      </c>
      <c r="C393" s="3" t="s">
        <v>13533</v>
      </c>
      <c r="D393" s="3" t="s">
        <v>13389</v>
      </c>
      <c r="F393" s="5" t="str">
        <f>IFERROR(__xludf.DUMMYFUNCTION("GOOGLETRANSLATE(A393, ""en"", ""hi"")"),"392")</f>
        <v>392</v>
      </c>
      <c r="G393" s="5" t="str">
        <f>IFERROR(__xludf.DUMMYFUNCTION("GOOGLETRANSLATE(B393, ""en"", ""hi"")"),"मुकना में, यदि खिलाड़ी X कोई ऐसी तकनीक अपनाता है जिसके कारण खिलाड़ी Y गिर जाता है और खिलाड़ी X भी तुरंत बाद गिर जाता है, तो आमतौर पर राउंड का समाधान कैसे किया जाता है?")</f>
        <v>मुकना में, यदि खिलाड़ी X कोई ऐसी तकनीक अपनाता है जिसके कारण खिलाड़ी Y गिर जाता है और खिलाड़ी X भी तुरंत बाद गिर जाता है, तो आमतौर पर राउंड का समाधान कैसे किया जाता है?</v>
      </c>
      <c r="H393" s="5" t="str">
        <f>IFERROR(__xludf.DUMMYFUNCTION("GOOGLETRANSLATE(C393,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93" s="5" t="str">
        <f>IFERROR(__xludf.DUMMYFUNCTION("GOOGLETRANSLATE(D393, ""en"", ""hi"")"),"A) खिलाड़ी Y राउंड जीतता है।")</f>
        <v>A) खिलाड़ी Y राउंड जीतता है।</v>
      </c>
    </row>
    <row r="394" ht="22.5" customHeight="1">
      <c r="A394" s="8">
        <v>393.0</v>
      </c>
      <c r="B394" s="3" t="s">
        <v>13643</v>
      </c>
      <c r="C394" s="3" t="s">
        <v>13531</v>
      </c>
      <c r="D394" s="3" t="s">
        <v>13329</v>
      </c>
      <c r="F394" s="5" t="str">
        <f>IFERROR(__xludf.DUMMYFUNCTION("GOOGLETRANSLATE(A394, ""en"", ""hi"")"),"393")</f>
        <v>393</v>
      </c>
      <c r="G394" s="5" t="str">
        <f>IFERROR(__xludf.DUMMYFUNCTION("GOOGLETRANSLATE(B394, ""en"", ""hi"")"),"यदि खिलाड़ी X और खिलाड़ी Y एक साथ रिंग के बाहर गिर जाते हैं और कोई भी आगे नहीं खेल सकता, तो मुकना में राउंड का सामान्य परिणाम क्या होगा?")</f>
        <v>यदि खिलाड़ी X और खिलाड़ी Y एक साथ रिंग के बाहर गिर जाते हैं और कोई भी आगे नहीं खेल सकता, तो मुकना में राउंड का सामान्य परिणाम क्या होगा?</v>
      </c>
      <c r="H394" s="5" t="str">
        <f>IFERROR(__xludf.DUMMYFUNCTION("GOOGLETRANSLATE(C394,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94" s="5" t="str">
        <f>IFERROR(__xludf.DUMMYFUNCTION("GOOGLETRANSLATE(D394, ""en"", ""hi"")"),"ए) राउंड को ड्रा घोषित किया जाता है।")</f>
        <v>ए) राउंड को ड्रा घोषित किया जाता है।</v>
      </c>
    </row>
    <row r="395" ht="22.5" customHeight="1">
      <c r="A395" s="8">
        <v>394.0</v>
      </c>
      <c r="B395" s="3" t="s">
        <v>13644</v>
      </c>
      <c r="C395" s="3" t="s">
        <v>13613</v>
      </c>
      <c r="D395" s="3" t="s">
        <v>13329</v>
      </c>
      <c r="F395" s="5" t="str">
        <f>IFERROR(__xludf.DUMMYFUNCTION("GOOGLETRANSLATE(A395, ""en"", ""hi"")"),"394")</f>
        <v>394</v>
      </c>
      <c r="G395" s="5" t="str">
        <f>IFERROR(__xludf.DUMMYFUNCTION("GOOGLETRANSLATE(B395, ""en"", ""hi"")"),"मुकना में, यदि खिलाड़ी X कोई अवैध तकनीक का उपयोग करता है जिसके परिणामस्वरूप खिलाड़ी Y गिर जाता है, लेकिन दोनों खिलाड़ी बाद में रिंग से बाहर गिर जाते हैं, तो आमतौर पर राउंड का निर्णय कैसे किया जाता है?")</f>
        <v>मुकना में, यदि खिलाड़ी X कोई अवैध तकनीक का उपयोग करता है जिसके परिणामस्वरूप खिलाड़ी Y गिर जाता है, लेकिन दोनों खिलाड़ी बाद में रिंग से बाहर गिर जाते हैं, तो आमतौर पर राउंड का निर्णय कैसे किया जाता है?</v>
      </c>
      <c r="H395" s="5" t="str">
        <f>IFERROR(__xludf.DUMMYFUNCTION("GOOGLETRANSLATE(C395,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395" s="5" t="str">
        <f>IFERROR(__xludf.DUMMYFUNCTION("GOOGLETRANSLATE(D395, ""en"", ""hi"")"),"ए) राउंड को ड्रा घोषित किया जाता है।")</f>
        <v>ए) राउंड को ड्रा घोषित किया जाता है।</v>
      </c>
    </row>
    <row r="396" ht="22.5" customHeight="1">
      <c r="A396" s="8">
        <v>395.0</v>
      </c>
      <c r="B396" s="3" t="s">
        <v>13645</v>
      </c>
      <c r="C396" s="3" t="s">
        <v>13533</v>
      </c>
      <c r="D396" s="3" t="s">
        <v>13389</v>
      </c>
      <c r="F396" s="5" t="str">
        <f>IFERROR(__xludf.DUMMYFUNCTION("GOOGLETRANSLATE(A396, ""en"", ""hi"")"),"395")</f>
        <v>395</v>
      </c>
      <c r="G396" s="5" t="str">
        <f>IFERROR(__xludf.DUMMYFUNCTION("GOOGLETRANSLATE(B396, ""en"", ""hi"")"),"मुकना मुकाबले के दौरान, यदि खिलाड़ी X ऐसी तकनीक का प्रयोग करता है जिससे खिलाड़ी Y गिर जाता है, लेकिन खिलाड़ी X भी अपना संतुलन खो देता है और तुरंत बाद गिर जाता है, तो कौन राउंड जीतता है?")</f>
        <v>मुकना मुकाबले के दौरान, यदि खिलाड़ी X ऐसी तकनीक का प्रयोग करता है जिससे खिलाड़ी Y गिर जाता है, लेकिन खिलाड़ी X भी अपना संतुलन खो देता है और तुरंत बाद गिर जाता है, तो कौन राउंड जीतता है?</v>
      </c>
      <c r="H396" s="5" t="str">
        <f>IFERROR(__xludf.DUMMYFUNCTION("GOOGLETRANSLATE(C396,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96" s="5" t="str">
        <f>IFERROR(__xludf.DUMMYFUNCTION("GOOGLETRANSLATE(D396, ""en"", ""hi"")"),"A) खिलाड़ी Y राउंड जीतता है।")</f>
        <v>A) खिलाड़ी Y राउंड जीतता है।</v>
      </c>
    </row>
    <row r="397" ht="22.5" customHeight="1">
      <c r="A397" s="8">
        <v>396.0</v>
      </c>
      <c r="B397" s="3" t="s">
        <v>13646</v>
      </c>
      <c r="C397" s="3" t="s">
        <v>13531</v>
      </c>
      <c r="D397" s="3" t="s">
        <v>13329</v>
      </c>
      <c r="F397" s="5" t="str">
        <f>IFERROR(__xludf.DUMMYFUNCTION("GOOGLETRANSLATE(A397, ""en"", ""hi"")"),"396")</f>
        <v>396</v>
      </c>
      <c r="G397" s="5" t="str">
        <f>IFERROR(__xludf.DUMMYFUNCTION("GOOGLETRANSLATE(B397, ""en"", ""hi"")"),"यदि खिलाड़ी X और खिलाड़ी Y दोनों एक साथ रिंग के बाहर गिर जाते हैं और कोई भी आगे नहीं खेल सकता, तो मुकना में राउंड का समाधान आमतौर पर कैसे किया जाता है?")</f>
        <v>यदि खिलाड़ी X और खिलाड़ी Y दोनों एक साथ रिंग के बाहर गिर जाते हैं और कोई भी आगे नहीं खेल सकता, तो मुकना में राउंड का समाधान आमतौर पर कैसे किया जाता है?</v>
      </c>
      <c r="H397" s="5" t="str">
        <f>IFERROR(__xludf.DUMMYFUNCTION("GOOGLETRANSLATE(C397,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97" s="5" t="str">
        <f>IFERROR(__xludf.DUMMYFUNCTION("GOOGLETRANSLATE(D397, ""en"", ""hi"")"),"ए) राउंड को ड्रा घोषित किया जाता है।")</f>
        <v>ए) राउंड को ड्रा घोषित किया जाता है।</v>
      </c>
    </row>
    <row r="398" ht="22.5" customHeight="1">
      <c r="A398" s="8">
        <v>397.0</v>
      </c>
      <c r="B398" s="3" t="s">
        <v>13647</v>
      </c>
      <c r="C398" s="3" t="s">
        <v>13533</v>
      </c>
      <c r="D398" s="3" t="s">
        <v>13389</v>
      </c>
      <c r="F398" s="5" t="str">
        <f>IFERROR(__xludf.DUMMYFUNCTION("GOOGLETRANSLATE(A398, ""en"", ""hi"")"),"397")</f>
        <v>397</v>
      </c>
      <c r="G398" s="5" t="str">
        <f>IFERROR(__xludf.DUMMYFUNCTION("GOOGLETRANSLATE(B398, ""en"", ""hi"")"),"मुकना में, यदि खिलाड़ी X कोई अवैध चाल चलता है जिसके कारण खिलाड़ी Y गिर जाता है, लेकिन खिलाड़ी X भी रिंग से बाहर गिर जाता है, तो उस राउंड के लिए सामान्य नियम क्या है?")</f>
        <v>मुकना में, यदि खिलाड़ी X कोई अवैध चाल चलता है जिसके कारण खिलाड़ी Y गिर जाता है, लेकिन खिलाड़ी X भी रिंग से बाहर गिर जाता है, तो उस राउंड के लिए सामान्य नियम क्या है?</v>
      </c>
      <c r="H398" s="5" t="str">
        <f>IFERROR(__xludf.DUMMYFUNCTION("GOOGLETRANSLATE(C398,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398" s="5" t="str">
        <f>IFERROR(__xludf.DUMMYFUNCTION("GOOGLETRANSLATE(D398, ""en"", ""hi"")"),"A) खिलाड़ी Y राउंड जीतता है।")</f>
        <v>A) खिलाड़ी Y राउंड जीतता है।</v>
      </c>
    </row>
    <row r="399" ht="22.5" customHeight="1">
      <c r="A399" s="8">
        <v>398.0</v>
      </c>
      <c r="B399" s="3" t="s">
        <v>13648</v>
      </c>
      <c r="C399" s="3" t="s">
        <v>13531</v>
      </c>
      <c r="D399" s="3" t="s">
        <v>13329</v>
      </c>
      <c r="F399" s="5" t="str">
        <f>IFERROR(__xludf.DUMMYFUNCTION("GOOGLETRANSLATE(A399, ""en"", ""hi"")"),"398")</f>
        <v>398</v>
      </c>
      <c r="G399" s="5" t="str">
        <f>IFERROR(__xludf.DUMMYFUNCTION("GOOGLETRANSLATE(B399, ""en"", ""hi"")"),"मुकना मैच के दौरान, यदि खिलाड़ी X और खिलाड़ी Y दोनों एक साथ रिंग के बाहर गिर जाते हैं और कोई भी आगे नहीं खेल सकता, तो उस राउंड का मानक परिणाम क्या होगा?")</f>
        <v>मुकना मैच के दौरान, यदि खिलाड़ी X और खिलाड़ी Y दोनों एक साथ रिंग के बाहर गिर जाते हैं और कोई भी आगे नहीं खेल सकता, तो उस राउंड का मानक परिणाम क्या होगा?</v>
      </c>
      <c r="H399" s="5" t="str">
        <f>IFERROR(__xludf.DUMMYFUNCTION("GOOGLETRANSLATE(C399,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399" s="5" t="str">
        <f>IFERROR(__xludf.DUMMYFUNCTION("GOOGLETRANSLATE(D399, ""en"", ""hi"")"),"ए) राउंड को ड्रा घोषित किया जाता है।")</f>
        <v>ए) राउंड को ड्रा घोषित किया जाता है।</v>
      </c>
    </row>
    <row r="400" ht="22.5" customHeight="1">
      <c r="A400" s="8">
        <v>399.0</v>
      </c>
      <c r="B400" s="3" t="s">
        <v>13649</v>
      </c>
      <c r="C400" s="3" t="s">
        <v>13533</v>
      </c>
      <c r="D400" s="3" t="s">
        <v>13389</v>
      </c>
      <c r="F400" s="5" t="str">
        <f>IFERROR(__xludf.DUMMYFUNCTION("GOOGLETRANSLATE(A400, ""en"", ""hi"")"),"399")</f>
        <v>399</v>
      </c>
      <c r="G400" s="5" t="str">
        <f>IFERROR(__xludf.DUMMYFUNCTION("GOOGLETRANSLATE(B400, ""en"", ""hi"")"),"यदि खिलाड़ी X कोई ऐसी तकनीक अपनाता है जिसके कारण खिलाड़ी Y गिर जाता है, और खिलाड़ी X भी अपना संतुलन खो देता है और तुरंत बाद गिर जाता है, तो मुकना में राउंड का निर्णय आमतौर पर कैसे किया जाता है?")</f>
        <v>यदि खिलाड़ी X कोई ऐसी तकनीक अपनाता है जिसके कारण खिलाड़ी Y गिर जाता है, और खिलाड़ी X भी अपना संतुलन खो देता है और तुरंत बाद गिर जाता है, तो मुकना में राउंड का निर्णय आमतौर पर कैसे किया जाता है?</v>
      </c>
      <c r="H400" s="5" t="str">
        <f>IFERROR(__xludf.DUMMYFUNCTION("GOOGLETRANSLATE(C400,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00" s="5" t="str">
        <f>IFERROR(__xludf.DUMMYFUNCTION("GOOGLETRANSLATE(D400, ""en"", ""hi"")"),"A) खिलाड़ी Y राउंड जीतता है।")</f>
        <v>A) खिलाड़ी Y राउंड जीतता है।</v>
      </c>
    </row>
    <row r="401" ht="22.5" customHeight="1">
      <c r="A401" s="8">
        <v>400.0</v>
      </c>
      <c r="B401" s="3" t="s">
        <v>13650</v>
      </c>
      <c r="C401" s="3" t="s">
        <v>13531</v>
      </c>
      <c r="D401" s="3" t="s">
        <v>13329</v>
      </c>
      <c r="F401" s="5" t="str">
        <f>IFERROR(__xludf.DUMMYFUNCTION("GOOGLETRANSLATE(A401, ""en"", ""hi"")"),"400")</f>
        <v>400</v>
      </c>
      <c r="G401" s="5" t="str">
        <f>IFERROR(__xludf.DUMMYFUNCTION("GOOGLETRANSLATE(B401, ""en"", ""hi"")"),"मुकना में, यदि खिलाड़ी X और खिलाड़ी Y दोनों एक साथ रिंग के बाहर गिर जाते हैं और कोई भी आगे नहीं खेल सकता, तो आमतौर पर राउंड का निर्णय कैसे किया जाता है?")</f>
        <v>मुकना में, यदि खिलाड़ी X और खिलाड़ी Y दोनों एक साथ रिंग के बाहर गिर जाते हैं और कोई भी आगे नहीं खेल सकता, तो आमतौर पर राउंड का निर्णय कैसे किया जाता है?</v>
      </c>
      <c r="H401" s="5" t="str">
        <f>IFERROR(__xludf.DUMMYFUNCTION("GOOGLETRANSLATE(C401,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01" s="5" t="str">
        <f>IFERROR(__xludf.DUMMYFUNCTION("GOOGLETRANSLATE(D401, ""en"", ""hi"")"),"ए) राउंड को ड्रा घोषित किया जाता है।")</f>
        <v>ए) राउंड को ड्रा घोषित किया जाता है।</v>
      </c>
    </row>
    <row r="402" ht="22.5" customHeight="1">
      <c r="A402" s="8">
        <v>401.0</v>
      </c>
      <c r="B402" s="3" t="s">
        <v>13651</v>
      </c>
      <c r="C402" s="3" t="s">
        <v>13613</v>
      </c>
      <c r="D402" s="3" t="s">
        <v>13329</v>
      </c>
      <c r="F402" s="5" t="str">
        <f>IFERROR(__xludf.DUMMYFUNCTION("GOOGLETRANSLATE(A402, ""en"", ""hi"")"),"401")</f>
        <v>401</v>
      </c>
      <c r="G402" s="5" t="str">
        <f>IFERROR(__xludf.DUMMYFUNCTION("GOOGLETRANSLATE(B402, ""en"", ""hi"")"),"मुकना मुकाबले के दौरान, यदि खिलाड़ी X कोई अवैध तकनीक अपनाता है, जिससे खिलाड़ी Y गिर जाता है, तथा खिलाड़ी X भी रिंग से बाहर गिर जाता है, तो सामान्य नियम क्या है?")</f>
        <v>मुकना मुकाबले के दौरान, यदि खिलाड़ी X कोई अवैध तकनीक अपनाता है, जिससे खिलाड़ी Y गिर जाता है, तथा खिलाड़ी X भी रिंग से बाहर गिर जाता है, तो सामान्य नियम क्या है?</v>
      </c>
      <c r="H402" s="5" t="str">
        <f>IFERROR(__xludf.DUMMYFUNCTION("GOOGLETRANSLATE(C402,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402" s="5" t="str">
        <f>IFERROR(__xludf.DUMMYFUNCTION("GOOGLETRANSLATE(D402, ""en"", ""hi"")"),"ए) राउंड को ड्रा घोषित किया जाता है।")</f>
        <v>ए) राउंड को ड्रा घोषित किया जाता है।</v>
      </c>
    </row>
    <row r="403" ht="22.5" customHeight="1">
      <c r="A403" s="8">
        <v>402.0</v>
      </c>
      <c r="B403" s="3" t="s">
        <v>13652</v>
      </c>
      <c r="C403" s="3" t="s">
        <v>13533</v>
      </c>
      <c r="D403" s="3" t="s">
        <v>13389</v>
      </c>
      <c r="F403" s="5" t="str">
        <f>IFERROR(__xludf.DUMMYFUNCTION("GOOGLETRANSLATE(A403, ""en"", ""hi"")"),"402")</f>
        <v>402</v>
      </c>
      <c r="G403" s="5" t="str">
        <f>IFERROR(__xludf.DUMMYFUNCTION("GOOGLETRANSLATE(B403, ""en"", ""hi"")"),"यदि खिलाड़ी X कोई ऐसी तकनीक अपनाता है जिसके कारण खिलाड़ी Y गिर जाता है, और खिलाड़ी X भी तुरंत बाद गिर जाता है, तो मुक्ना में राउंड का समाधान आमतौर पर कैसे किया जाता है?")</f>
        <v>यदि खिलाड़ी X कोई ऐसी तकनीक अपनाता है जिसके कारण खिलाड़ी Y गिर जाता है, और खिलाड़ी X भी तुरंत बाद गिर जाता है, तो मुक्ना में राउंड का समाधान आमतौर पर कैसे किया जाता है?</v>
      </c>
      <c r="H403" s="5" t="str">
        <f>IFERROR(__xludf.DUMMYFUNCTION("GOOGLETRANSLATE(C403,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03" s="5" t="str">
        <f>IFERROR(__xludf.DUMMYFUNCTION("GOOGLETRANSLATE(D403, ""en"", ""hi"")"),"A) खिलाड़ी Y राउंड जीतता है।")</f>
        <v>A) खिलाड़ी Y राउंड जीतता है।</v>
      </c>
    </row>
    <row r="404" ht="22.5" customHeight="1">
      <c r="A404" s="8">
        <v>403.0</v>
      </c>
      <c r="B404" s="3" t="s">
        <v>13653</v>
      </c>
      <c r="C404" s="3" t="s">
        <v>13531</v>
      </c>
      <c r="D404" s="3" t="s">
        <v>13329</v>
      </c>
      <c r="F404" s="5" t="str">
        <f>IFERROR(__xludf.DUMMYFUNCTION("GOOGLETRANSLATE(A404, ""en"", ""hi"")"),"403")</f>
        <v>403</v>
      </c>
      <c r="G404" s="5" t="str">
        <f>IFERROR(__xludf.DUMMYFUNCTION("GOOGLETRANSLATE(B404, ""en"", ""hi"")"),"मुकना में, यदि खिलाड़ी X और खिलाड़ी Y दोनों एक ही समय पर रिंग के बाहर गिर जाते हैं और कोई भी आगे नहीं खेल सकता, तो राउंड का मानक परिणाम क्या होगा?")</f>
        <v>मुकना में, यदि खिलाड़ी X और खिलाड़ी Y दोनों एक ही समय पर रिंग के बाहर गिर जाते हैं और कोई भी आगे नहीं खेल सकता, तो राउंड का मानक परिणाम क्या होगा?</v>
      </c>
      <c r="H404" s="5" t="str">
        <f>IFERROR(__xludf.DUMMYFUNCTION("GOOGLETRANSLATE(C404,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04" s="5" t="str">
        <f>IFERROR(__xludf.DUMMYFUNCTION("GOOGLETRANSLATE(D404, ""en"", ""hi"")"),"ए) राउंड को ड्रा घोषित किया जाता है।")</f>
        <v>ए) राउंड को ड्रा घोषित किया जाता है।</v>
      </c>
    </row>
    <row r="405" ht="22.5" customHeight="1">
      <c r="A405" s="8">
        <v>404.0</v>
      </c>
      <c r="B405" s="3" t="s">
        <v>13654</v>
      </c>
      <c r="C405" s="3" t="s">
        <v>13533</v>
      </c>
      <c r="D405" s="3" t="s">
        <v>13389</v>
      </c>
      <c r="F405" s="5" t="str">
        <f>IFERROR(__xludf.DUMMYFUNCTION("GOOGLETRANSLATE(A405, ""en"", ""hi"")"),"404")</f>
        <v>404</v>
      </c>
      <c r="G405" s="5" t="str">
        <f>IFERROR(__xludf.DUMMYFUNCTION("GOOGLETRANSLATE(B405, ""en"", ""hi"")"),"मुकना मैच के दौरान, यदि खिलाड़ी X कोई अवैध चाल चलता है जिसके कारण खिलाड़ी Y गिर जाता है, तथा खिलाड़ी X भी रिंग से बाहर गिर जाता है, तो उस राउंड के लिए सामान्य नियम क्या है?")</f>
        <v>मुकना मैच के दौरान, यदि खिलाड़ी X कोई अवैध चाल चलता है जिसके कारण खिलाड़ी Y गिर जाता है, तथा खिलाड़ी X भी रिंग से बाहर गिर जाता है, तो उस राउंड के लिए सामान्य नियम क्या है?</v>
      </c>
      <c r="H405" s="5" t="str">
        <f>IFERROR(__xludf.DUMMYFUNCTION("GOOGLETRANSLATE(C405,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05" s="5" t="str">
        <f>IFERROR(__xludf.DUMMYFUNCTION("GOOGLETRANSLATE(D405, ""en"", ""hi"")"),"A) खिलाड़ी Y राउंड जीतता है।")</f>
        <v>A) खिलाड़ी Y राउंड जीतता है।</v>
      </c>
    </row>
    <row r="406" ht="22.5" customHeight="1">
      <c r="A406" s="8">
        <v>405.0</v>
      </c>
      <c r="B406" s="3" t="s">
        <v>13655</v>
      </c>
      <c r="C406" s="3" t="s">
        <v>13531</v>
      </c>
      <c r="D406" s="3" t="s">
        <v>13329</v>
      </c>
      <c r="F406" s="5" t="str">
        <f>IFERROR(__xludf.DUMMYFUNCTION("GOOGLETRANSLATE(A406, ""en"", ""hi"")"),"405")</f>
        <v>405</v>
      </c>
      <c r="G406" s="5" t="str">
        <f>IFERROR(__xludf.DUMMYFUNCTION("GOOGLETRANSLATE(B406, ""en"", ""hi"")"),"मुकना में, यदि खिलाड़ी X और खिलाड़ी Y दोनों एक साथ गिर जाते हैं और कोई भी आगे नहीं बढ़ सकता, तो आमतौर पर राउंड का निर्णय कैसे किया जाता है?")</f>
        <v>मुकना में, यदि खिलाड़ी X और खिलाड़ी Y दोनों एक साथ गिर जाते हैं और कोई भी आगे नहीं बढ़ सकता, तो आमतौर पर राउंड का निर्णय कैसे किया जाता है?</v>
      </c>
      <c r="H406" s="5" t="str">
        <f>IFERROR(__xludf.DUMMYFUNCTION("GOOGLETRANSLATE(C406,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06" s="5" t="str">
        <f>IFERROR(__xludf.DUMMYFUNCTION("GOOGLETRANSLATE(D406, ""en"", ""hi"")"),"ए) राउंड को ड्रा घोषित किया जाता है।")</f>
        <v>ए) राउंड को ड्रा घोषित किया जाता है।</v>
      </c>
    </row>
    <row r="407" ht="22.5" customHeight="1">
      <c r="A407" s="8">
        <v>406.0</v>
      </c>
      <c r="B407" s="3" t="s">
        <v>13656</v>
      </c>
      <c r="C407" s="3" t="s">
        <v>13533</v>
      </c>
      <c r="D407" s="3" t="s">
        <v>13389</v>
      </c>
      <c r="F407" s="5" t="str">
        <f>IFERROR(__xludf.DUMMYFUNCTION("GOOGLETRANSLATE(A407, ""en"", ""hi"")"),"406")</f>
        <v>406</v>
      </c>
      <c r="G407" s="5" t="str">
        <f>IFERROR(__xludf.DUMMYFUNCTION("GOOGLETRANSLATE(B407, ""en"", ""hi"")"),"यदि खिलाड़ी X कोई ऐसी तकनीक अपनाता है जिसके कारण खिलाड़ी Y गिर जाता है, लेकिन खिलाड़ी X भी अपना संतुलन खो देता है और तुरंत बाद गिर जाता है, तो मुकना में राउंड का निर्णय आमतौर पर कैसे किया जाता है?")</f>
        <v>यदि खिलाड़ी X कोई ऐसी तकनीक अपनाता है जिसके कारण खिलाड़ी Y गिर जाता है, लेकिन खिलाड़ी X भी अपना संतुलन खो देता है और तुरंत बाद गिर जाता है, तो मुकना में राउंड का निर्णय आमतौर पर कैसे किया जाता है?</v>
      </c>
      <c r="H407" s="5" t="str">
        <f>IFERROR(__xludf.DUMMYFUNCTION("GOOGLETRANSLATE(C407,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07" s="5" t="str">
        <f>IFERROR(__xludf.DUMMYFUNCTION("GOOGLETRANSLATE(D407, ""en"", ""hi"")"),"A) खिलाड़ी Y राउंड जीतता है।")</f>
        <v>A) खिलाड़ी Y राउंड जीतता है।</v>
      </c>
    </row>
    <row r="408" ht="22.5" customHeight="1">
      <c r="A408" s="8">
        <v>407.0</v>
      </c>
      <c r="B408" s="3" t="s">
        <v>13657</v>
      </c>
      <c r="C408" s="3" t="s">
        <v>13531</v>
      </c>
      <c r="D408" s="3" t="s">
        <v>13329</v>
      </c>
      <c r="F408" s="5" t="str">
        <f>IFERROR(__xludf.DUMMYFUNCTION("GOOGLETRANSLATE(A408, ""en"", ""hi"")"),"407")</f>
        <v>407</v>
      </c>
      <c r="G408" s="5" t="str">
        <f>IFERROR(__xludf.DUMMYFUNCTION("GOOGLETRANSLATE(B408, ""en"", ""hi"")"),"मुकना मुकाबले के दौरान, यदि खिलाड़ी X और खिलाड़ी Y दोनों एक साथ रिंग के बाहर गिर जाते हैं और कोई भी आगे नहीं खेल सकता, तो राउंड का समाधान कैसे होगा?")</f>
        <v>मुकना मुकाबले के दौरान, यदि खिलाड़ी X और खिलाड़ी Y दोनों एक साथ रिंग के बाहर गिर जाते हैं और कोई भी आगे नहीं खेल सकता, तो राउंड का समाधान कैसे होगा?</v>
      </c>
      <c r="H408" s="5" t="str">
        <f>IFERROR(__xludf.DUMMYFUNCTION("GOOGLETRANSLATE(C408,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08" s="5" t="str">
        <f>IFERROR(__xludf.DUMMYFUNCTION("GOOGLETRANSLATE(D408, ""en"", ""hi"")"),"ए) राउंड को ड्रा घोषित किया जाता है।")</f>
        <v>ए) राउंड को ड्रा घोषित किया जाता है।</v>
      </c>
    </row>
    <row r="409" ht="22.5" customHeight="1">
      <c r="A409" s="8">
        <v>408.0</v>
      </c>
      <c r="B409" s="3" t="s">
        <v>13658</v>
      </c>
      <c r="C409" s="3" t="s">
        <v>13613</v>
      </c>
      <c r="D409" s="3" t="s">
        <v>13329</v>
      </c>
      <c r="F409" s="5" t="str">
        <f>IFERROR(__xludf.DUMMYFUNCTION("GOOGLETRANSLATE(A409, ""en"", ""hi"")"),"408")</f>
        <v>408</v>
      </c>
      <c r="G409" s="5" t="str">
        <f>IFERROR(__xludf.DUMMYFUNCTION("GOOGLETRANSLATE(B409, ""en"", ""hi"")"),"मुकना में, यदि खिलाड़ी X कोई अवैध तकनीक का उपयोग करता है, जिसके परिणामस्वरूप खिलाड़ी Y गिर जाता है, लेकिन फिर दोनों खिलाड़ी रिंग से बाहर गिर जाते हैं, तो आमतौर पर राउंड का निर्णय कैसे किया जाता है?")</f>
        <v>मुकना में, यदि खिलाड़ी X कोई अवैध तकनीक का उपयोग करता है, जिसके परिणामस्वरूप खिलाड़ी Y गिर जाता है, लेकिन फिर दोनों खिलाड़ी रिंग से बाहर गिर जाते हैं, तो आमतौर पर राउंड का निर्णय कैसे किया जाता है?</v>
      </c>
      <c r="H409" s="5" t="str">
        <f>IFERROR(__xludf.DUMMYFUNCTION("GOOGLETRANSLATE(C409,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409" s="5" t="str">
        <f>IFERROR(__xludf.DUMMYFUNCTION("GOOGLETRANSLATE(D409, ""en"", ""hi"")"),"ए) राउंड को ड्रा घोषित किया जाता है।")</f>
        <v>ए) राउंड को ड्रा घोषित किया जाता है।</v>
      </c>
    </row>
    <row r="410" ht="22.5" customHeight="1">
      <c r="A410" s="8">
        <v>409.0</v>
      </c>
      <c r="B410" s="3" t="s">
        <v>13659</v>
      </c>
      <c r="C410" s="3" t="s">
        <v>13533</v>
      </c>
      <c r="D410" s="3" t="s">
        <v>13389</v>
      </c>
      <c r="F410" s="5" t="str">
        <f>IFERROR(__xludf.DUMMYFUNCTION("GOOGLETRANSLATE(A410, ""en"", ""hi"")"),"409")</f>
        <v>409</v>
      </c>
      <c r="G410" s="5" t="str">
        <f>IFERROR(__xludf.DUMMYFUNCTION("GOOGLETRANSLATE(B410, ""en"", ""hi"")"),"मुकना मैच के दौरान, यदि खिलाड़ी X कोई ऐसी तकनीक अपनाता है जिसके कारण खिलाड़ी Y गिर जाता है, लेकिन खिलाड़ी X भी अपना संतुलन खो देता है और तुरंत बाद गिर जाता है, तो आमतौर पर राउंड का निर्णय कैसे किया जाता है?")</f>
        <v>मुकना मैच के दौरान, यदि खिलाड़ी X कोई ऐसी तकनीक अपनाता है जिसके कारण खिलाड़ी Y गिर जाता है, लेकिन खिलाड़ी X भी अपना संतुलन खो देता है और तुरंत बाद गिर जाता है, तो आमतौर पर राउंड का निर्णय कैसे किया जाता है?</v>
      </c>
      <c r="H410" s="5" t="str">
        <f>IFERROR(__xludf.DUMMYFUNCTION("GOOGLETRANSLATE(C410,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10" s="5" t="str">
        <f>IFERROR(__xludf.DUMMYFUNCTION("GOOGLETRANSLATE(D410, ""en"", ""hi"")"),"A) खिलाड़ी Y राउंड जीतता है।")</f>
        <v>A) खिलाड़ी Y राउंड जीतता है।</v>
      </c>
    </row>
    <row r="411" ht="22.5" customHeight="1">
      <c r="A411" s="8">
        <v>410.0</v>
      </c>
      <c r="B411" s="3" t="s">
        <v>13660</v>
      </c>
      <c r="C411" s="3" t="s">
        <v>13531</v>
      </c>
      <c r="D411" s="3" t="s">
        <v>13329</v>
      </c>
      <c r="F411" s="5" t="str">
        <f>IFERROR(__xludf.DUMMYFUNCTION("GOOGLETRANSLATE(A411, ""en"", ""hi"")"),"410")</f>
        <v>410</v>
      </c>
      <c r="G411" s="5" t="str">
        <f>IFERROR(__xludf.DUMMYFUNCTION("GOOGLETRANSLATE(B411, ""en"", ""hi"")"),"मुकना में, यदि खिलाड़ी X और खिलाड़ी Y दोनों एक साथ रिंग के बाहर गिर जाते हैं और कोई भी आगे नहीं खेल सकता, तो आमतौर पर राउंड का निर्णय कैसे किया जाता है?")</f>
        <v>मुकना में, यदि खिलाड़ी X और खिलाड़ी Y दोनों एक साथ रिंग के बाहर गिर जाते हैं और कोई भी आगे नहीं खेल सकता, तो आमतौर पर राउंड का निर्णय कैसे किया जाता है?</v>
      </c>
      <c r="H411" s="5" t="str">
        <f>IFERROR(__xludf.DUMMYFUNCTION("GOOGLETRANSLATE(C411,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11" s="5" t="str">
        <f>IFERROR(__xludf.DUMMYFUNCTION("GOOGLETRANSLATE(D411, ""en"", ""hi"")"),"ए) राउंड को ड्रा घोषित किया जाता है।")</f>
        <v>ए) राउंड को ड्रा घोषित किया जाता है।</v>
      </c>
    </row>
    <row r="412" ht="22.5" customHeight="1">
      <c r="A412" s="8">
        <v>411.0</v>
      </c>
      <c r="B412" s="3" t="s">
        <v>13661</v>
      </c>
      <c r="C412" s="3" t="s">
        <v>13533</v>
      </c>
      <c r="D412" s="3" t="s">
        <v>13389</v>
      </c>
      <c r="F412" s="5" t="str">
        <f>IFERROR(__xludf.DUMMYFUNCTION("GOOGLETRANSLATE(A412, ""en"", ""hi"")"),"411")</f>
        <v>411</v>
      </c>
      <c r="G412" s="5" t="str">
        <f>IFERROR(__xludf.DUMMYFUNCTION("GOOGLETRANSLATE(B412, ""en"", ""hi"")"),"मुकना मुकाबले के दौरान, यदि खिलाड़ी X कोई अवैध तकनीक अपनाता है, जिसके कारण खिलाड़ी Y गिर जाता है, तथा खिलाड़ी X भी रिंग से बाहर गिर जाता है, तो आमतौर पर राउंड का निर्णय कैसे किया जाता है?")</f>
        <v>मुकना मुकाबले के दौरान, यदि खिलाड़ी X कोई अवैध तकनीक अपनाता है, जिसके कारण खिलाड़ी Y गिर जाता है, तथा खिलाड़ी X भी रिंग से बाहर गिर जाता है, तो आमतौर पर राउंड का निर्णय कैसे किया जाता है?</v>
      </c>
      <c r="H412" s="5" t="str">
        <f>IFERROR(__xludf.DUMMYFUNCTION("GOOGLETRANSLATE(C412,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12" s="5" t="str">
        <f>IFERROR(__xludf.DUMMYFUNCTION("GOOGLETRANSLATE(D412, ""en"", ""hi"")"),"A) खिलाड़ी Y राउंड जीतता है।")</f>
        <v>A) खिलाड़ी Y राउंड जीतता है।</v>
      </c>
    </row>
    <row r="413" ht="22.5" customHeight="1">
      <c r="A413" s="8">
        <v>412.0</v>
      </c>
      <c r="B413" s="3" t="s">
        <v>13623</v>
      </c>
      <c r="C413" s="3" t="s">
        <v>13531</v>
      </c>
      <c r="D413" s="3" t="s">
        <v>13329</v>
      </c>
      <c r="F413" s="5" t="str">
        <f>IFERROR(__xludf.DUMMYFUNCTION("GOOGLETRANSLATE(A413, ""en"", ""hi"")"),"412")</f>
        <v>412</v>
      </c>
      <c r="G413" s="5" t="str">
        <f>IFERROR(__xludf.DUMMYFUNCTION("GOOGLETRANSLATE(B413, ""en"", ""hi"")"),"मुकना में, यदि खिलाड़ी X और खिलाड़ी Y दोनों एक साथ गिर जाते हैं और कोई भी आगे नहीं बढ़ पाता है, तो राउंड का समाधान आमतौर पर कैसे किया जाता है?")</f>
        <v>मुकना में, यदि खिलाड़ी X और खिलाड़ी Y दोनों एक साथ गिर जाते हैं और कोई भी आगे नहीं बढ़ पाता है, तो राउंड का समाधान आमतौर पर कैसे किया जाता है?</v>
      </c>
      <c r="H413" s="5" t="str">
        <f>IFERROR(__xludf.DUMMYFUNCTION("GOOGLETRANSLATE(C413,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13" s="5" t="str">
        <f>IFERROR(__xludf.DUMMYFUNCTION("GOOGLETRANSLATE(D413, ""en"", ""hi"")"),"ए) राउंड को ड्रा घोषित किया जाता है।")</f>
        <v>ए) राउंड को ड्रा घोषित किया जाता है।</v>
      </c>
    </row>
    <row r="414" ht="22.5" customHeight="1">
      <c r="A414" s="8">
        <v>413.0</v>
      </c>
      <c r="B414" s="3" t="s">
        <v>13662</v>
      </c>
      <c r="C414" s="3" t="s">
        <v>13533</v>
      </c>
      <c r="D414" s="3" t="s">
        <v>13389</v>
      </c>
      <c r="F414" s="5" t="str">
        <f>IFERROR(__xludf.DUMMYFUNCTION("GOOGLETRANSLATE(A414, ""en"", ""hi"")"),"413")</f>
        <v>413</v>
      </c>
      <c r="G414" s="5" t="str">
        <f>IFERROR(__xludf.DUMMYFUNCTION("GOOGLETRANSLATE(B414, ""en"", ""hi"")"),"यदि खिलाड़ी X कोई ऐसी तकनीक अपनाता है जिसके कारण खिलाड़ी Y गिर जाता है, लेकिन खिलाड़ी X भी अपना संतुलन खो देता है और तुरंत बाद गिर जाता है, तो मुकना में राउंड के लिए मानक निर्णय क्या होगा?")</f>
        <v>यदि खिलाड़ी X कोई ऐसी तकनीक अपनाता है जिसके कारण खिलाड़ी Y गिर जाता है, लेकिन खिलाड़ी X भी अपना संतुलन खो देता है और तुरंत बाद गिर जाता है, तो मुकना में राउंड के लिए मानक निर्णय क्या होगा?</v>
      </c>
      <c r="H414" s="5" t="str">
        <f>IFERROR(__xludf.DUMMYFUNCTION("GOOGLETRANSLATE(C414,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14" s="5" t="str">
        <f>IFERROR(__xludf.DUMMYFUNCTION("GOOGLETRANSLATE(D414, ""en"", ""hi"")"),"A) खिलाड़ी Y राउंड जीतता है।")</f>
        <v>A) खिलाड़ी Y राउंड जीतता है।</v>
      </c>
    </row>
    <row r="415" ht="22.5" customHeight="1">
      <c r="A415" s="8">
        <v>414.0</v>
      </c>
      <c r="B415" s="3" t="s">
        <v>13663</v>
      </c>
      <c r="C415" s="3" t="s">
        <v>13531</v>
      </c>
      <c r="D415" s="3" t="s">
        <v>13329</v>
      </c>
      <c r="F415" s="5" t="str">
        <f>IFERROR(__xludf.DUMMYFUNCTION("GOOGLETRANSLATE(A415, ""en"", ""hi"")"),"414")</f>
        <v>414</v>
      </c>
      <c r="G415" s="5" t="str">
        <f>IFERROR(__xludf.DUMMYFUNCTION("GOOGLETRANSLATE(B415, ""en"", ""hi"")"),"मुकना में, यदि खिलाड़ी X और खिलाड़ी Y दोनों एक साथ रिंग के बाहर गिर जाते हैं और कोई भी आगे नहीं खेल सकता, तो आमतौर पर राउंड का समाधान कैसे किया जाता है?")</f>
        <v>मुकना में, यदि खिलाड़ी X और खिलाड़ी Y दोनों एक साथ रिंग के बाहर गिर जाते हैं और कोई भी आगे नहीं खेल सकता, तो आमतौर पर राउंड का समाधान कैसे किया जाता है?</v>
      </c>
      <c r="H415" s="5" t="str">
        <f>IFERROR(__xludf.DUMMYFUNCTION("GOOGLETRANSLATE(C415,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15" s="5" t="str">
        <f>IFERROR(__xludf.DUMMYFUNCTION("GOOGLETRANSLATE(D415, ""en"", ""hi"")"),"ए) राउंड को ड्रा घोषित किया जाता है।")</f>
        <v>ए) राउंड को ड्रा घोषित किया जाता है।</v>
      </c>
    </row>
    <row r="416" ht="22.5" customHeight="1">
      <c r="A416" s="8">
        <v>415.0</v>
      </c>
      <c r="B416" s="3" t="s">
        <v>13664</v>
      </c>
      <c r="C416" s="3" t="s">
        <v>13533</v>
      </c>
      <c r="D416" s="3" t="s">
        <v>13389</v>
      </c>
      <c r="F416" s="5" t="str">
        <f>IFERROR(__xludf.DUMMYFUNCTION("GOOGLETRANSLATE(A416, ""en"", ""hi"")"),"415")</f>
        <v>415</v>
      </c>
      <c r="G416" s="5" t="str">
        <f>IFERROR(__xludf.DUMMYFUNCTION("GOOGLETRANSLATE(B416, ""en"", ""hi"")"),"मुकना मैच के दौरान, यदि खिलाड़ी X कोई अवैध चाल चलता है जिसके कारण खिलाड़ी Y गिर जाता है, तथा खिलाड़ी X भी रिंग से बाहर गिर जाता है, तो उस राउंड के लिए सामान्य नियम क्या है?")</f>
        <v>मुकना मैच के दौरान, यदि खिलाड़ी X कोई अवैध चाल चलता है जिसके कारण खिलाड़ी Y गिर जाता है, तथा खिलाड़ी X भी रिंग से बाहर गिर जाता है, तो उस राउंड के लिए सामान्य नियम क्या है?</v>
      </c>
      <c r="H416" s="5" t="str">
        <f>IFERROR(__xludf.DUMMYFUNCTION("GOOGLETRANSLATE(C416,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16" s="5" t="str">
        <f>IFERROR(__xludf.DUMMYFUNCTION("GOOGLETRANSLATE(D416, ""en"", ""hi"")"),"A) खिलाड़ी Y राउंड जीतता है।")</f>
        <v>A) खिलाड़ी Y राउंड जीतता है।</v>
      </c>
    </row>
    <row r="417" ht="22.5" customHeight="1">
      <c r="A417" s="8">
        <v>416.0</v>
      </c>
      <c r="B417" s="3" t="s">
        <v>13633</v>
      </c>
      <c r="C417" s="3" t="s">
        <v>13531</v>
      </c>
      <c r="D417" s="3" t="s">
        <v>13329</v>
      </c>
      <c r="F417" s="5" t="str">
        <f>IFERROR(__xludf.DUMMYFUNCTION("GOOGLETRANSLATE(A417, ""en"", ""hi"")"),"416")</f>
        <v>416</v>
      </c>
      <c r="G417" s="5" t="str">
        <f>IFERROR(__xludf.DUMMYFUNCTION("GOOGLETRANSLATE(B417, ""en"", ""hi"")"),"मुकना में, यदि खिलाड़ी X और खिलाड़ी Y दोनों एक साथ गिर जाते हैं और कोई भी आगे नहीं बढ़ सकता है, तो राउंड के लिए मानक परिणाम क्या है?")</f>
        <v>मुकना में, यदि खिलाड़ी X और खिलाड़ी Y दोनों एक साथ गिर जाते हैं और कोई भी आगे नहीं बढ़ सकता है, तो राउंड के लिए मानक परिणाम क्या है?</v>
      </c>
      <c r="H417" s="5" t="str">
        <f>IFERROR(__xludf.DUMMYFUNCTION("GOOGLETRANSLATE(C417,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17" s="5" t="str">
        <f>IFERROR(__xludf.DUMMYFUNCTION("GOOGLETRANSLATE(D417, ""en"", ""hi"")"),"ए) राउंड को ड्रा घोषित किया जाता है।")</f>
        <v>ए) राउंड को ड्रा घोषित किया जाता है।</v>
      </c>
    </row>
    <row r="418" ht="22.5" customHeight="1">
      <c r="A418" s="8">
        <v>417.0</v>
      </c>
      <c r="B418" s="3" t="s">
        <v>13656</v>
      </c>
      <c r="C418" s="3" t="s">
        <v>13533</v>
      </c>
      <c r="D418" s="3" t="s">
        <v>13389</v>
      </c>
      <c r="F418" s="5" t="str">
        <f>IFERROR(__xludf.DUMMYFUNCTION("GOOGLETRANSLATE(A418, ""en"", ""hi"")"),"417")</f>
        <v>417</v>
      </c>
      <c r="G418" s="5" t="str">
        <f>IFERROR(__xludf.DUMMYFUNCTION("GOOGLETRANSLATE(B418, ""en"", ""hi"")"),"यदि खिलाड़ी X कोई ऐसी तकनीक अपनाता है जिसके कारण खिलाड़ी Y गिर जाता है, लेकिन खिलाड़ी X भी अपना संतुलन खो देता है और तुरंत बाद गिर जाता है, तो मुकना में राउंड का निर्णय आमतौर पर कैसे किया जाता है?")</f>
        <v>यदि खिलाड़ी X कोई ऐसी तकनीक अपनाता है जिसके कारण खिलाड़ी Y गिर जाता है, लेकिन खिलाड़ी X भी अपना संतुलन खो देता है और तुरंत बाद गिर जाता है, तो मुकना में राउंड का निर्णय आमतौर पर कैसे किया जाता है?</v>
      </c>
      <c r="H418" s="5" t="str">
        <f>IFERROR(__xludf.DUMMYFUNCTION("GOOGLETRANSLATE(C418, ""en"", ""hi"")"),"A) खिलाड़ी Y राउंड जीतता है। , B) खिलाड़ी X राउंड जीतता है। , C) राउंड पुनः खेला जाता है। , D) मैच पुनः शुरू होता है।")</f>
        <v>A) खिलाड़ी Y राउंड जीतता है। , B) खिलाड़ी X राउंड जीतता है। , C) राउंड पुनः खेला जाता है। , D) मैच पुनः शुरू होता है।</v>
      </c>
      <c r="I418" s="5" t="str">
        <f>IFERROR(__xludf.DUMMYFUNCTION("GOOGLETRANSLATE(D418, ""en"", ""hi"")"),"A) खिलाड़ी Y राउंड जीतता है।")</f>
        <v>A) खिलाड़ी Y राउंड जीतता है।</v>
      </c>
    </row>
    <row r="419" ht="22.5" customHeight="1">
      <c r="A419" s="8">
        <v>418.0</v>
      </c>
      <c r="B419" s="3" t="s">
        <v>13665</v>
      </c>
      <c r="C419" s="3" t="s">
        <v>13531</v>
      </c>
      <c r="D419" s="3" t="s">
        <v>13329</v>
      </c>
      <c r="F419" s="5" t="str">
        <f>IFERROR(__xludf.DUMMYFUNCTION("GOOGLETRANSLATE(A419, ""en"", ""hi"")"),"418")</f>
        <v>418</v>
      </c>
      <c r="G419" s="5" t="str">
        <f>IFERROR(__xludf.DUMMYFUNCTION("GOOGLETRANSLATE(B419, ""en"", ""hi"")"),"मुकना मुकाबले के दौरान, यदि खिलाड़ी X और खिलाड़ी Y दोनों एक साथ रिंग के बाहर गिर जाते हैं और कोई भी आगे नहीं खेल सकता, तो आमतौर पर राउंड का समाधान कैसे किया जाता है?")</f>
        <v>मुकना मुकाबले के दौरान, यदि खिलाड़ी X और खिलाड़ी Y दोनों एक साथ रिंग के बाहर गिर जाते हैं और कोई भी आगे नहीं खेल सकता, तो आमतौर पर राउंड का समाधान कैसे किया जाता है?</v>
      </c>
      <c r="H419" s="5" t="str">
        <f>IFERROR(__xludf.DUMMYFUNCTION("GOOGLETRANSLATE(C419, ""en"", ""hi"")"),"ए) राउंड को ड्रा घोषित किया जाता है।, बी) खिलाड़ी एक्स राउंड जीतता है।, सी) खिलाड़ी वाई राउंड जीतता है।, डी) मैच पुनः शुरू होता है।")</f>
        <v>ए) राउंड को ड्रा घोषित किया जाता है।, बी) खिलाड़ी एक्स राउंड जीतता है।, सी) खिलाड़ी वाई राउंड जीतता है।, डी) मैच पुनः शुरू होता है।</v>
      </c>
      <c r="I419" s="5" t="str">
        <f>IFERROR(__xludf.DUMMYFUNCTION("GOOGLETRANSLATE(D419, ""en"", ""hi"")"),"ए) राउंड को ड्रा घोषित किया जाता है।")</f>
        <v>ए) राउंड को ड्रा घोषित किया जाता है।</v>
      </c>
    </row>
    <row r="420" ht="22.5" customHeight="1">
      <c r="A420" s="8">
        <v>419.0</v>
      </c>
      <c r="B420" s="3" t="s">
        <v>13666</v>
      </c>
      <c r="C420" s="3" t="s">
        <v>13613</v>
      </c>
      <c r="D420" s="3" t="s">
        <v>13329</v>
      </c>
      <c r="F420" s="5" t="str">
        <f>IFERROR(__xludf.DUMMYFUNCTION("GOOGLETRANSLATE(A420, ""en"", ""hi"")"),"419")</f>
        <v>419</v>
      </c>
      <c r="G420" s="5" t="str">
        <f>IFERROR(__xludf.DUMMYFUNCTION("GOOGLETRANSLATE(B420, ""en"", ""hi"")"),"मुकना में, यदि खिलाड़ी X कोई अवैध तकनीक का उपयोग करता है जिसके परिणामस्वरूप खिलाड़ी Y गिर जाता है, लेकिन फिर दोनों खिलाड़ी रिंग से बाहर गिर जाते हैं, तो आमतौर पर राउंड का निर्णय कैसे किया जाता है?")</f>
        <v>मुकना में, यदि खिलाड़ी X कोई अवैध तकनीक का उपयोग करता है जिसके परिणामस्वरूप खिलाड़ी Y गिर जाता है, लेकिन फिर दोनों खिलाड़ी रिंग से बाहर गिर जाते हैं, तो आमतौर पर राउंड का निर्णय कैसे किया जाता है?</v>
      </c>
      <c r="H420" s="5" t="str">
        <f>IFERROR(__xludf.DUMMYFUNCTION("GOOGLETRANSLATE(C420, ""en"", ""hi"")"),"ए) राउंड को ड्रा घोषित किया जाता है।, बी) खिलाड़ी एक्स को अयोग्य घोषित किया जाता है।, सी) खिलाड़ी वाई को अयोग्य घोषित किया जाता है।, डी) मैच पुनः शुरू किया जाता है।")</f>
        <v>ए) राउंड को ड्रा घोषित किया जाता है।, बी) खिलाड़ी एक्स को अयोग्य घोषित किया जाता है।, सी) खिलाड़ी वाई को अयोग्य घोषित किया जाता है।, डी) मैच पुनः शुरू किया जाता है।</v>
      </c>
      <c r="I420" s="5" t="str">
        <f>IFERROR(__xludf.DUMMYFUNCTION("GOOGLETRANSLATE(D420, ""en"", ""hi"")"),"ए) राउंड को ड्रा घोषित किया जाता है।")</f>
        <v>ए) राउंड को ड्रा घोषित किया जाता है।</v>
      </c>
    </row>
  </sheetData>
  <dataValidations>
    <dataValidation type="custom" allowBlank="1" showDropDown="1" sqref="A2:A420">
      <formula1>AND(ISNUMBER(A2),(NOT(OR(NOT(ISERROR(DATEVALUE(A2))), AND(ISNUMBER(A2), LEFT(CELL("format", A2))="D")))))</formula1>
    </dataValidation>
  </dataValidations>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3" width="37.63"/>
    <col customWidth="1" min="4" max="4" width="28.88"/>
    <col customWidth="1" min="7" max="8" width="37.63"/>
    <col customWidth="1" min="9" max="9" width="28.13"/>
  </cols>
  <sheetData>
    <row r="1" ht="22.5" customHeight="1">
      <c r="A1" s="1" t="s">
        <v>0</v>
      </c>
      <c r="B1" s="1" t="s">
        <v>1</v>
      </c>
      <c r="C1" s="1" t="s">
        <v>2</v>
      </c>
      <c r="D1" s="1" t="s">
        <v>3</v>
      </c>
      <c r="F1" s="4" t="s">
        <v>4</v>
      </c>
      <c r="G1" s="4" t="s">
        <v>5</v>
      </c>
      <c r="H1" s="4" t="s">
        <v>6</v>
      </c>
      <c r="I1" s="4" t="s">
        <v>7</v>
      </c>
    </row>
    <row r="2" ht="22.5" customHeight="1">
      <c r="A2" s="2">
        <v>1.0</v>
      </c>
      <c r="B2" s="3" t="s">
        <v>13667</v>
      </c>
      <c r="C2" s="3" t="s">
        <v>13668</v>
      </c>
      <c r="D2" s="3" t="s">
        <v>13669</v>
      </c>
      <c r="F2" s="5" t="str">
        <f>IFERROR(__xludf.DUMMYFUNCTION("GOOGLETRANSLATE(A2, ""en"", ""hi"")"),"1")</f>
        <v>1</v>
      </c>
      <c r="G2" s="5" t="str">
        <f>IFERROR(__xludf.DUMMYFUNCTION("GOOGLETRANSLATE(B2, ""en"", ""hi"")"),"निम्नलिखित में से कौन सा कलारीपयट्टू में प्रयुक्त होने वाला प्राथमिक हथियार नहीं है?")</f>
        <v>निम्नलिखित में से कौन सा कलारीपयट्टू में प्रयुक्त होने वाला प्राथमिक हथियार नहीं है?</v>
      </c>
      <c r="H2" s="5" t="str">
        <f>IFERROR(__xludf.DUMMYFUNCTION("GOOGLETRANSLATE(C2, ""en"", ""hi"")"),"A) तलवार, B) भाला, C) गदा, D) बूमरैंग")</f>
        <v>A) तलवार, B) भाला, C) गदा, D) बूमरैंग</v>
      </c>
      <c r="I2" s="5" t="str">
        <f>IFERROR(__xludf.DUMMYFUNCTION("GOOGLETRANSLATE(D2, ""en"", ""hi"")"),"D) बूमरैंग")</f>
        <v>D) बूमरैंग</v>
      </c>
    </row>
    <row r="3" ht="22.5" customHeight="1">
      <c r="A3" s="2">
        <v>2.0</v>
      </c>
      <c r="B3" s="3" t="s">
        <v>13670</v>
      </c>
      <c r="C3" s="3" t="s">
        <v>13671</v>
      </c>
      <c r="D3" s="3" t="s">
        <v>13672</v>
      </c>
      <c r="F3" s="5" t="str">
        <f>IFERROR(__xludf.DUMMYFUNCTION("GOOGLETRANSLATE(A3, ""en"", ""hi"")"),"2")</f>
        <v>2</v>
      </c>
      <c r="G3" s="5" t="str">
        <f>IFERROR(__xludf.DUMMYFUNCTION("GOOGLETRANSLATE(B3, ""en"", ""hi"")"),"कलारीपयट्टू में, उस प्रशिक्षण क्षेत्र का नाम क्या है जहाँ अभ्यासकर्ता प्रशिक्षण लेते हैं?")</f>
        <v>कलारीपयट्टू में, उस प्रशिक्षण क्षेत्र का नाम क्या है जहाँ अभ्यासकर्ता प्रशिक्षण लेते हैं?</v>
      </c>
      <c r="H3" s="5" t="str">
        <f>IFERROR(__xludf.DUMMYFUNCTION("GOOGLETRANSLATE(C3, ""en"", ""hi"")"),"ए) शाला, बी) मंदिर, सी) आश्रम, डी) डोजो")</f>
        <v>ए) शाला, बी) मंदिर, सी) आश्रम, डी) डोजो</v>
      </c>
      <c r="I3" s="5" t="str">
        <f>IFERROR(__xludf.DUMMYFUNCTION("GOOGLETRANSLATE(D3, ""en"", ""hi"")"),"ए) शाला")</f>
        <v>ए) शाला</v>
      </c>
    </row>
    <row r="4" ht="22.5" customHeight="1">
      <c r="A4" s="2">
        <v>3.0</v>
      </c>
      <c r="B4" s="3" t="s">
        <v>13673</v>
      </c>
      <c r="C4" s="3" t="s">
        <v>13674</v>
      </c>
      <c r="D4" s="3" t="s">
        <v>13675</v>
      </c>
      <c r="F4" s="5" t="str">
        <f>IFERROR(__xludf.DUMMYFUNCTION("GOOGLETRANSLATE(A4, ""en"", ""hi"")"),"3")</f>
        <v>3</v>
      </c>
      <c r="G4" s="5" t="str">
        <f>IFERROR(__xludf.DUMMYFUNCTION("GOOGLETRANSLATE(B4, ""en"", ""hi"")"),"इनमें से किस रूप को कलारीपयट्टू में मूल रूप माना जाता है?")</f>
        <v>इनमें से किस रूप को कलारीपयट्टू में मूल रूप माना जाता है?</v>
      </c>
      <c r="H4" s="5" t="str">
        <f>IFERROR(__xludf.DUMMYFUNCTION("GOOGLETRANSLATE(C4, ""en"", ""hi"")"),"ए) चुवडु, बी) वर्मा, सी) उझिचिल, डी) चलन")</f>
        <v>ए) चुवडु, बी) वर्मा, सी) उझिचिल, डी) चलन</v>
      </c>
      <c r="I4" s="5" t="str">
        <f>IFERROR(__xludf.DUMMYFUNCTION("GOOGLETRANSLATE(D4, ""en"", ""hi"")"),"A) चुवाडु")</f>
        <v>A) चुवाडु</v>
      </c>
    </row>
    <row r="5" ht="22.5" customHeight="1">
      <c r="A5" s="2">
        <v>4.0</v>
      </c>
      <c r="B5" s="3" t="s">
        <v>13676</v>
      </c>
      <c r="C5" s="3" t="s">
        <v>13677</v>
      </c>
      <c r="D5" s="3" t="s">
        <v>13678</v>
      </c>
      <c r="F5" s="5" t="str">
        <f>IFERROR(__xludf.DUMMYFUNCTION("GOOGLETRANSLATE(A5, ""en"", ""hi"")"),"4")</f>
        <v>4</v>
      </c>
      <c r="G5" s="5" t="str">
        <f>IFERROR(__xludf.DUMMYFUNCTION("GOOGLETRANSLATE(B5, ""en"", ""hi"")"),"प्रतिद्वंद्वी के महत्वपूर्ण बिंदुओं पर प्रहार करने की पारंपरिक कलारीपयट्टू प्रथा को क्या कहा जाता है?")</f>
        <v>प्रतिद्वंद्वी के महत्वपूर्ण बिंदुओं पर प्रहार करने की पारंपरिक कलारीपयट्टू प्रथा को क्या कहा जाता है?</v>
      </c>
      <c r="H5" s="5" t="str">
        <f>IFERROR(__xludf.DUMMYFUNCTION("GOOGLETRANSLATE(C5, ""en"", ""hi"")"),"ए) वर्मम, बी) कवि, सी) कुट्टू, डी) जिउ")</f>
        <v>ए) वर्मम, बी) कवि, सी) कुट्टू, डी) जिउ</v>
      </c>
      <c r="I5" s="5" t="str">
        <f>IFERROR(__xludf.DUMMYFUNCTION("GOOGLETRANSLATE(D5, ""en"", ""hi"")"),"ए) वर्माम")</f>
        <v>ए) वर्माम</v>
      </c>
    </row>
    <row r="6" ht="22.5" customHeight="1">
      <c r="A6" s="2">
        <v>5.0</v>
      </c>
      <c r="B6" s="3" t="s">
        <v>13679</v>
      </c>
      <c r="C6" s="3" t="s">
        <v>13680</v>
      </c>
      <c r="D6" s="3" t="s">
        <v>13681</v>
      </c>
      <c r="F6" s="5" t="str">
        <f>IFERROR(__xludf.DUMMYFUNCTION("GOOGLETRANSLATE(A6, ""en"", ""hi"")"),"5")</f>
        <v>5</v>
      </c>
      <c r="G6" s="5" t="str">
        <f>IFERROR(__xludf.DUMMYFUNCTION("GOOGLETRANSLATE(B6, ""en"", ""hi"")"),"कलारीपयट्टू में प्रतिद्वंद्वी से नजदीकी सीमा पर भिड़ंत करते समय किस प्रकार के युद्ध पर ध्यान केंद्रित किया जाता है?")</f>
        <v>कलारीपयट्टू में प्रतिद्वंद्वी से नजदीकी सीमा पर भिड़ंत करते समय किस प्रकार के युद्ध पर ध्यान केंद्रित किया जाता है?</v>
      </c>
      <c r="H6" s="5" t="str">
        <f>IFERROR(__xludf.DUMMYFUNCTION("GOOGLETRANSLATE(C6, ""en"", ""hi"")"),"A) ग्रैपलिंग, B) स्ट्राइकिंग, C) थ्रोइंग, D) पैरीइंग")</f>
        <v>A) ग्रैपलिंग, B) स्ट्राइकिंग, C) थ्रोइंग, D) पैरीइंग</v>
      </c>
      <c r="I6" s="5" t="str">
        <f>IFERROR(__xludf.DUMMYFUNCTION("GOOGLETRANSLATE(D6, ""en"", ""hi"")"),"बी) हड़ताली")</f>
        <v>बी) हड़ताली</v>
      </c>
    </row>
    <row r="7" ht="22.5" customHeight="1">
      <c r="A7" s="2">
        <v>6.0</v>
      </c>
      <c r="B7" s="3" t="s">
        <v>13682</v>
      </c>
      <c r="C7" s="3" t="s">
        <v>13683</v>
      </c>
      <c r="D7" s="3" t="s">
        <v>13684</v>
      </c>
      <c r="F7" s="5" t="str">
        <f>IFERROR(__xludf.DUMMYFUNCTION("GOOGLETRANSLATE(A7, ""en"", ""hi"")"),"6")</f>
        <v>6</v>
      </c>
      <c r="G7" s="5" t="str">
        <f>IFERROR(__xludf.DUMMYFUNCTION("GOOGLETRANSLATE(B7, ""en"", ""hi"")"),"कलारीपयट्टू में शरीर की कंडीशनिंग और लचीलेपन के अभ्यास के लिए क्या शब्द इस्तेमाल किया जाता है?")</f>
        <v>कलारीपयट्टू में शरीर की कंडीशनिंग और लचीलेपन के अभ्यास के लिए क्या शब्द इस्तेमाल किया जाता है?</v>
      </c>
      <c r="H7" s="5" t="str">
        <f>IFERROR(__xludf.DUMMYFUNCTION("GOOGLETRANSLATE(C7, ""en"", ""hi"")"),"ए) उझिचिल, बी) तिरुविझा, सी) नाडी, डी) चालन")</f>
        <v>ए) उझिचिल, बी) तिरुविझा, सी) नाडी, डी) चालन</v>
      </c>
      <c r="I7" s="5" t="str">
        <f>IFERROR(__xludf.DUMMYFUNCTION("GOOGLETRANSLATE(D7, ""en"", ""hi"")"),"A) उझिचिल")</f>
        <v>A) उझिचिल</v>
      </c>
    </row>
    <row r="8" ht="22.5" customHeight="1">
      <c r="A8" s="2">
        <v>7.0</v>
      </c>
      <c r="B8" s="3" t="s">
        <v>13685</v>
      </c>
      <c r="C8" s="3" t="s">
        <v>13686</v>
      </c>
      <c r="D8" s="3" t="s">
        <v>13687</v>
      </c>
      <c r="F8" s="5" t="str">
        <f>IFERROR(__xludf.DUMMYFUNCTION("GOOGLETRANSLATE(A8, ""en"", ""hi"")"),"7")</f>
        <v>7</v>
      </c>
      <c r="G8" s="5" t="str">
        <f>IFERROR(__xludf.DUMMYFUNCTION("GOOGLETRANSLATE(B8, ""en"", ""hi"")"),"निम्नलिखित में से कौन सा कलारीपयट्टू का पारंपरिक रूप है जो तलवार से किया जाता है?")</f>
        <v>निम्नलिखित में से कौन सा कलारीपयट्टू का पारंपरिक रूप है जो तलवार से किया जाता है?</v>
      </c>
      <c r="H8" s="5" t="str">
        <f>IFERROR(__xludf.DUMMYFUNCTION("GOOGLETRANSLATE(C8, ""en"", ""hi"")"),"ए) केट्टू, बी) काति, सी) चुवडु, डी) वर्मा")</f>
        <v>ए) केट्टू, बी) काति, सी) चुवडु, डी) वर्मा</v>
      </c>
      <c r="I8" s="5" t="str">
        <f>IFERROR(__xludf.DUMMYFUNCTION("GOOGLETRANSLATE(D8, ""en"", ""hi"")"),"बी) काटी")</f>
        <v>बी) काटी</v>
      </c>
    </row>
    <row r="9" ht="22.5" customHeight="1">
      <c r="A9" s="2">
        <v>8.0</v>
      </c>
      <c r="B9" s="3" t="s">
        <v>13688</v>
      </c>
      <c r="C9" s="3" t="s">
        <v>13689</v>
      </c>
      <c r="D9" s="3" t="s">
        <v>13690</v>
      </c>
      <c r="F9" s="5" t="str">
        <f>IFERROR(__xludf.DUMMYFUNCTION("GOOGLETRANSLATE(A9, ""en"", ""hi"")"),"8")</f>
        <v>8</v>
      </c>
      <c r="G9" s="5" t="str">
        <f>IFERROR(__xludf.DUMMYFUNCTION("GOOGLETRANSLATE(B9, ""en"", ""hi"")"),"कलारीपयट्टू में, आमतौर पर किस हथियार का उपयोग धक्का देने और काटने की तकनीकों का अभ्यास करने के लिए किया जाता है?")</f>
        <v>कलारीपयट्टू में, आमतौर पर किस हथियार का उपयोग धक्का देने और काटने की तकनीकों का अभ्यास करने के लिए किया जाता है?</v>
      </c>
      <c r="H9" s="5" t="str">
        <f>IFERROR(__xludf.DUMMYFUNCTION("GOOGLETRANSLATE(C9, ""en"", ""hi"")"),"A) भाला, B) गदा, C) छड़ी, D) खंजर")</f>
        <v>A) भाला, B) गदा, C) छड़ी, D) खंजर</v>
      </c>
      <c r="I9" s="5" t="str">
        <f>IFERROR(__xludf.DUMMYFUNCTION("GOOGLETRANSLATE(D9, ""en"", ""hi"")"),"ए) भाला")</f>
        <v>ए) भाला</v>
      </c>
    </row>
    <row r="10" ht="22.5" customHeight="1">
      <c r="A10" s="2">
        <v>9.0</v>
      </c>
      <c r="B10" s="3" t="s">
        <v>13691</v>
      </c>
      <c r="C10" s="3" t="s">
        <v>13692</v>
      </c>
      <c r="D10" s="3" t="s">
        <v>13693</v>
      </c>
      <c r="F10" s="5" t="str">
        <f>IFERROR(__xludf.DUMMYFUNCTION("GOOGLETRANSLATE(A10, ""en"", ""hi"")"),"9")</f>
        <v>9</v>
      </c>
      <c r="G10" s="5" t="str">
        <f>IFERROR(__xludf.DUMMYFUNCTION("GOOGLETRANSLATE(B10, ""en"", ""hi"")"),"कलारीपयट्टू प्रशिक्षण में किए जाने वाले अनुष्ठानिक अभ्यासों और अर्पण का उद्देश्य क्या है?")</f>
        <v>कलारीपयट्टू प्रशिक्षण में किए जाने वाले अनुष्ठानिक अभ्यासों और अर्पण का उद्देश्य क्या है?</v>
      </c>
      <c r="H10" s="5" t="str">
        <f>IFERROR(__xludf.DUMMYFUNCTION("GOOGLETRANSLATE(C10, ""en"", ""hi"")"),"A) गुरु का सम्मान करना, B) शक्ति बढ़ाना, C) सहनशक्ति बढ़ाना, D) तकनीक सुधारना")</f>
        <v>A) गुरु का सम्मान करना, B) शक्ति बढ़ाना, C) सहनशक्ति बढ़ाना, D) तकनीक सुधारना</v>
      </c>
      <c r="I10" s="5" t="str">
        <f>IFERROR(__xludf.DUMMYFUNCTION("GOOGLETRANSLATE(D10, ""en"", ""hi"")"),"A) गुरु का सम्मान करना")</f>
        <v>A) गुरु का सम्मान करना</v>
      </c>
    </row>
    <row r="11" ht="22.5" customHeight="1">
      <c r="A11" s="2">
        <v>10.0</v>
      </c>
      <c r="B11" s="3" t="s">
        <v>13694</v>
      </c>
      <c r="C11" s="3" t="s">
        <v>13695</v>
      </c>
      <c r="D11" s="3" t="s">
        <v>13696</v>
      </c>
      <c r="F11" s="5" t="str">
        <f>IFERROR(__xludf.DUMMYFUNCTION("GOOGLETRANSLATE(A11, ""en"", ""hi"")"),"10")</f>
        <v>10</v>
      </c>
      <c r="G11" s="5" t="str">
        <f>IFERROR(__xludf.DUMMYFUNCTION("GOOGLETRANSLATE(B11, ""en"", ""hi"")"),"कलारीपयट्टु में 'चुवडु' शब्द का क्या अर्थ है?")</f>
        <v>कलारीपयट्टु में 'चुवडु' शब्द का क्या अर्थ है?</v>
      </c>
      <c r="H11" s="5" t="str">
        <f>IFERROR(__xludf.DUMMYFUNCTION("GOOGLETRANSLATE(C11, ""en"", ""hi"")"),"A) एक विशिष्ट हथियार, B) अभ्यास का एक रूप, C) एक प्रकार का फुटवर्क, D) एक युद्ध मुद्रा")</f>
        <v>A) एक विशिष्ट हथियार, B) अभ्यास का एक रूप, C) एक प्रकार का फुटवर्क, D) एक युद्ध मुद्रा</v>
      </c>
      <c r="I11" s="5" t="str">
        <f>IFERROR(__xludf.DUMMYFUNCTION("GOOGLETRANSLATE(D11, ""en"", ""hi"")"),"बी) अभ्यास का एक रूप")</f>
        <v>बी) अभ्यास का एक रूप</v>
      </c>
    </row>
    <row r="12" ht="22.5" customHeight="1">
      <c r="A12" s="2">
        <v>11.0</v>
      </c>
      <c r="B12" s="3" t="s">
        <v>13697</v>
      </c>
      <c r="C12" s="3" t="s">
        <v>13698</v>
      </c>
      <c r="D12" s="3" t="s">
        <v>13699</v>
      </c>
      <c r="F12" s="5" t="str">
        <f>IFERROR(__xludf.DUMMYFUNCTION("GOOGLETRANSLATE(A12, ""en"", ""hi"")"),"11")</f>
        <v>11</v>
      </c>
      <c r="G12" s="5" t="str">
        <f>IFERROR(__xludf.DUMMYFUNCTION("GOOGLETRANSLATE(B12, ""en"", ""hi"")"),"कलारीपयट्टू में प्रशिक्षण में 'सिद्धि' का क्या महत्व है?")</f>
        <v>कलारीपयट्टू में प्रशिक्षण में 'सिद्धि' का क्या महत्व है?</v>
      </c>
      <c r="H12" s="5" t="str">
        <f>IFERROR(__xludf.DUMMYFUNCTION("GOOGLETRANSLATE(C12, ""en"", ""hi"")"),"A) तकनीकों में निपुणता, B) अनुष्ठानिक अर्पण, C) हथियारों के साथ प्रशिक्षण, D) शारीरिक कंडीशनिंग")</f>
        <v>A) तकनीकों में निपुणता, B) अनुष्ठानिक अर्पण, C) हथियारों के साथ प्रशिक्षण, D) शारीरिक कंडीशनिंग</v>
      </c>
      <c r="I12" s="5" t="str">
        <f>IFERROR(__xludf.DUMMYFUNCTION("GOOGLETRANSLATE(D12, ""en"", ""hi"")"),"A) तकनीकों में निपुणता")</f>
        <v>A) तकनीकों में निपुणता</v>
      </c>
    </row>
    <row r="13" ht="22.5" customHeight="1">
      <c r="A13" s="2">
        <v>12.0</v>
      </c>
      <c r="B13" s="3" t="s">
        <v>13700</v>
      </c>
      <c r="C13" s="3" t="s">
        <v>13701</v>
      </c>
      <c r="D13" s="3" t="s">
        <v>13702</v>
      </c>
      <c r="F13" s="5" t="str">
        <f>IFERROR(__xludf.DUMMYFUNCTION("GOOGLETRANSLATE(A13, ""en"", ""hi"")"),"12")</f>
        <v>12</v>
      </c>
      <c r="G13" s="5" t="str">
        <f>IFERROR(__xludf.DUMMYFUNCTION("GOOGLETRANSLATE(B13, ""en"", ""hi"")"),"कलारीपयट्टू में कौन सी तकनीक महत्वपूर्ण बिंदुओं पर त्वरित, सटीक गति से हमला करने में शामिल है?")</f>
        <v>कलारीपयट्टू में कौन सी तकनीक महत्वपूर्ण बिंदुओं पर त्वरित, सटीक गति से हमला करने में शामिल है?</v>
      </c>
      <c r="H13" s="5" t="str">
        <f>IFERROR(__xludf.DUMMYFUNCTION("GOOGLETRANSLATE(C13, ""en"", ""hi"")"),"ए) मार्मा, बी) एडवस, सी) वर्मम, डी) उझिचिल")</f>
        <v>ए) मार्मा, बी) एडवस, सी) वर्मम, डी) उझिचिल</v>
      </c>
      <c r="I13" s="5" t="str">
        <f>IFERROR(__xludf.DUMMYFUNCTION("GOOGLETRANSLATE(D13, ""en"", ""hi"")"),"C) वर्माम")</f>
        <v>C) वर्माम</v>
      </c>
    </row>
    <row r="14" ht="22.5" customHeight="1">
      <c r="A14" s="2">
        <v>13.0</v>
      </c>
      <c r="B14" s="3" t="s">
        <v>13703</v>
      </c>
      <c r="C14" s="3" t="s">
        <v>13704</v>
      </c>
      <c r="D14" s="3" t="s">
        <v>13705</v>
      </c>
      <c r="F14" s="5" t="str">
        <f>IFERROR(__xludf.DUMMYFUNCTION("GOOGLETRANSLATE(A14, ""en"", ""hi"")"),"13")</f>
        <v>13</v>
      </c>
      <c r="G14" s="5" t="str">
        <f>IFERROR(__xludf.DUMMYFUNCTION("GOOGLETRANSLATE(B14, ""en"", ""hi"")"),"कलारीपयट्टू में प्रशिक्षण में 'अडावस' का उद्देश्य क्या है?")</f>
        <v>कलारीपयट्टू में प्रशिक्षण में 'अडावस' का उद्देश्य क्या है?</v>
      </c>
      <c r="H14" s="5" t="str">
        <f>IFERROR(__xludf.DUMMYFUNCTION("GOOGLETRANSLATE(C14, ""en"", ""hi"")"),"A) रूपों और तकनीकों का अभ्यास करने के लिए, B) सहनशक्ति में सुधार करने के लिए, C) अनुष्ठान करने के लिए, D) हथियार कौशल सीखने के लिए")</f>
        <v>A) रूपों और तकनीकों का अभ्यास करने के लिए, B) सहनशक्ति में सुधार करने के लिए, C) अनुष्ठान करने के लिए, D) हथियार कौशल सीखने के लिए</v>
      </c>
      <c r="I14" s="5" t="str">
        <f>IFERROR(__xludf.DUMMYFUNCTION("GOOGLETRANSLATE(D14, ""en"", ""hi"")"),"A) रूपों और तकनीकों का अभ्यास करना")</f>
        <v>A) रूपों और तकनीकों का अभ्यास करना</v>
      </c>
    </row>
    <row r="15" ht="22.5" customHeight="1">
      <c r="A15" s="2">
        <v>14.0</v>
      </c>
      <c r="B15" s="3" t="s">
        <v>13706</v>
      </c>
      <c r="C15" s="3" t="s">
        <v>13707</v>
      </c>
      <c r="D15" s="3" t="s">
        <v>13708</v>
      </c>
      <c r="F15" s="5" t="str">
        <f>IFERROR(__xludf.DUMMYFUNCTION("GOOGLETRANSLATE(A15, ""en"", ""hi"")"),"14")</f>
        <v>14</v>
      </c>
      <c r="G15" s="5" t="str">
        <f>IFERROR(__xludf.DUMMYFUNCTION("GOOGLETRANSLATE(B15, ""en"", ""hi"")"),"निम्नलिखित में से किसे कलारीपयट्टू में पारंपरिक हथियार नहीं माना जाता है?")</f>
        <v>निम्नलिखित में से किसे कलारीपयट्टू में पारंपरिक हथियार नहीं माना जाता है?</v>
      </c>
      <c r="H15" s="5" t="str">
        <f>IFERROR(__xludf.DUMMYFUNCTION("GOOGLETRANSLATE(C15, ""en"", ""hi"")"),"A) तलवार, B) ढाल, C) भाला, D) धनुष")</f>
        <v>A) तलवार, B) ढाल, C) भाला, D) धनुष</v>
      </c>
      <c r="I15" s="5" t="str">
        <f>IFERROR(__xludf.DUMMYFUNCTION("GOOGLETRANSLATE(D15, ""en"", ""hi"")"),"D) धनुष")</f>
        <v>D) धनुष</v>
      </c>
    </row>
    <row r="16" ht="22.5" customHeight="1">
      <c r="A16" s="2">
        <v>15.0</v>
      </c>
      <c r="B16" s="3" t="s">
        <v>13709</v>
      </c>
      <c r="C16" s="3" t="s">
        <v>13710</v>
      </c>
      <c r="D16" s="3" t="s">
        <v>13711</v>
      </c>
      <c r="F16" s="5" t="str">
        <f>IFERROR(__xludf.DUMMYFUNCTION("GOOGLETRANSLATE(A16, ""en"", ""hi"")"),"15")</f>
        <v>15</v>
      </c>
      <c r="G16" s="5" t="str">
        <f>IFERROR(__xludf.DUMMYFUNCTION("GOOGLETRANSLATE(B16, ""en"", ""hi"")"),"कलारीपयट्टु में 'कुट्टी' का क्या अर्थ है?")</f>
        <v>कलारीपयट्टु में 'कुट्टी' का क्या अर्थ है?</v>
      </c>
      <c r="H16" s="5" t="str">
        <f>IFERROR(__xludf.DUMMYFUNCTION("GOOGLETRANSLATE(C16, ""en"", ""hi"")"),"A) एक प्रकार का हथियार, B) युद्ध का एक रूप, C) एक छोटी छड़ी, D) एक युद्ध मुद्रा")</f>
        <v>A) एक प्रकार का हथियार, B) युद्ध का एक रूप, C) एक छोटी छड़ी, D) एक युद्ध मुद्रा</v>
      </c>
      <c r="I16" s="5" t="str">
        <f>IFERROR(__xludf.DUMMYFUNCTION("GOOGLETRANSLATE(D16, ""en"", ""hi"")"),"C) एक छोटी छड़ी")</f>
        <v>C) एक छोटी छड़ी</v>
      </c>
    </row>
    <row r="17" ht="22.5" customHeight="1">
      <c r="A17" s="2">
        <v>16.0</v>
      </c>
      <c r="B17" s="3" t="s">
        <v>13712</v>
      </c>
      <c r="C17" s="3" t="s">
        <v>13713</v>
      </c>
      <c r="D17" s="3" t="s">
        <v>13714</v>
      </c>
      <c r="F17" s="5" t="str">
        <f>IFERROR(__xludf.DUMMYFUNCTION("GOOGLETRANSLATE(A17, ""en"", ""hi"")"),"16")</f>
        <v>16</v>
      </c>
      <c r="G17" s="5" t="str">
        <f>IFERROR(__xludf.DUMMYFUNCTION("GOOGLETRANSLATE(B17, ""en"", ""hi"")"),"कलारीपयट्टू में कौन सा हथियार आक्रामक और रक्षात्मक दोनों युद्धाभ्यासों में अपनी प्रभावशीलता के लिए जाना जाता है?")</f>
        <v>कलारीपयट्टू में कौन सा हथियार आक्रामक और रक्षात्मक दोनों युद्धाभ्यासों में अपनी प्रभावशीलता के लिए जाना जाता है?</v>
      </c>
      <c r="H17" s="5" t="str">
        <f>IFERROR(__xludf.DUMMYFUNCTION("GOOGLETRANSLATE(C17, ""en"", ""hi"")"),"A) तलवार, B) गदा, C) भाला, D) खंजर")</f>
        <v>A) तलवार, B) गदा, C) भाला, D) खंजर</v>
      </c>
      <c r="I17" s="5" t="str">
        <f>IFERROR(__xludf.DUMMYFUNCTION("GOOGLETRANSLATE(D17, ""en"", ""hi"")"),"ए) तलवार")</f>
        <v>ए) तलवार</v>
      </c>
    </row>
    <row r="18" ht="22.5" customHeight="1">
      <c r="A18" s="2">
        <v>17.0</v>
      </c>
      <c r="B18" s="3" t="s">
        <v>13715</v>
      </c>
      <c r="C18" s="3" t="s">
        <v>13716</v>
      </c>
      <c r="D18" s="3" t="s">
        <v>13717</v>
      </c>
      <c r="F18" s="5" t="str">
        <f>IFERROR(__xludf.DUMMYFUNCTION("GOOGLETRANSLATE(A18, ""en"", ""hi"")"),"17")</f>
        <v>17</v>
      </c>
      <c r="G18" s="5" t="str">
        <f>IFERROR(__xludf.DUMMYFUNCTION("GOOGLETRANSLATE(B18, ""en"", ""hi"")"),"कलारीपयट्टू में प्रहार और अवरोधन तकनीकों का अभ्यास किस कौशल को विकसित करने के लिए आवश्यक है?")</f>
        <v>कलारीपयट्टू में प्रहार और अवरोधन तकनीकों का अभ्यास किस कौशल को विकसित करने के लिए आवश्यक है?</v>
      </c>
      <c r="H18" s="5" t="str">
        <f>IFERROR(__xludf.DUMMYFUNCTION("GOOGLETRANSLATE(C18, ""en"", ""hi"")"),"A) सजगता, B) शक्ति, C) सहनशक्ति, D) लचीलापन")</f>
        <v>A) सजगता, B) शक्ति, C) सहनशक्ति, D) लचीलापन</v>
      </c>
      <c r="I18" s="5" t="str">
        <f>IFERROR(__xludf.DUMMYFUNCTION("GOOGLETRANSLATE(D18, ""en"", ""hi"")"),"ए) प्रतिवर्त")</f>
        <v>ए) प्रतिवर्त</v>
      </c>
    </row>
    <row r="19" ht="22.5" customHeight="1">
      <c r="A19" s="2">
        <v>18.0</v>
      </c>
      <c r="B19" s="3" t="s">
        <v>13718</v>
      </c>
      <c r="C19" s="3" t="s">
        <v>13719</v>
      </c>
      <c r="D19" s="3" t="s">
        <v>13720</v>
      </c>
      <c r="F19" s="5" t="str">
        <f>IFERROR(__xludf.DUMMYFUNCTION("GOOGLETRANSLATE(A19, ""en"", ""hi"")"),"18")</f>
        <v>18</v>
      </c>
      <c r="G19" s="5" t="str">
        <f>IFERROR(__xludf.DUMMYFUNCTION("GOOGLETRANSLATE(B19, ""en"", ""hi"")"),"संतुलन और चपलता बढ़ाने के लिए कलारीपयट्टू का कौन सा रूप किया जाता है?")</f>
        <v>संतुलन और चपलता बढ़ाने के लिए कलारीपयट्टू का कौन सा रूप किया जाता है?</v>
      </c>
      <c r="H19" s="5" t="str">
        <f>IFERROR(__xludf.DUMMYFUNCTION("GOOGLETRANSLATE(C19, ""en"", ""hi"")"),"ए) वर्मम, बी) चुवडु, सी) वर्मा, डी) एडवस")</f>
        <v>ए) वर्मम, बी) चुवडु, सी) वर्मा, डी) एडवस</v>
      </c>
      <c r="I19" s="5" t="str">
        <f>IFERROR(__xludf.DUMMYFUNCTION("GOOGLETRANSLATE(D19, ""en"", ""hi"")"),"D) एडवस")</f>
        <v>D) एडवस</v>
      </c>
    </row>
    <row r="20" ht="22.5" customHeight="1">
      <c r="A20" s="2">
        <v>19.0</v>
      </c>
      <c r="B20" s="3" t="s">
        <v>13721</v>
      </c>
      <c r="C20" s="3" t="s">
        <v>13722</v>
      </c>
      <c r="D20" s="3" t="s">
        <v>13723</v>
      </c>
      <c r="F20" s="5" t="str">
        <f>IFERROR(__xludf.DUMMYFUNCTION("GOOGLETRANSLATE(A20, ""en"", ""hi"")"),"19")</f>
        <v>19</v>
      </c>
      <c r="G20" s="5" t="str">
        <f>IFERROR(__xludf.DUMMYFUNCTION("GOOGLETRANSLATE(B20, ""en"", ""hi"")"),"कलारीपयट्टू में, 'उझिचिल' मुख्य रूप से किस पर केंद्रित है?")</f>
        <v>कलारीपयट्टू में, 'उझिचिल' मुख्य रूप से किस पर केंद्रित है?</v>
      </c>
      <c r="H20" s="5" t="str">
        <f>IFERROR(__xludf.DUMMYFUNCTION("GOOGLETRANSLATE(C20, ""en"", ""hi"")"),"A) हथियार प्रशिक्षण, B) शरीर की मालिश और कंडीशनिंग, C) युद्ध तकनीक, D) अनुष्ठानिक प्रथाएँ")</f>
        <v>A) हथियार प्रशिक्षण, B) शरीर की मालिश और कंडीशनिंग, C) युद्ध तकनीक, D) अनुष्ठानिक प्रथाएँ</v>
      </c>
      <c r="I20" s="5" t="str">
        <f>IFERROR(__xludf.DUMMYFUNCTION("GOOGLETRANSLATE(D20, ""en"", ""hi"")"),"बी) शरीर की मालिश और कंडीशनिंग")</f>
        <v>बी) शरीर की मालिश और कंडीशनिंग</v>
      </c>
    </row>
    <row r="21" ht="22.5" customHeight="1">
      <c r="A21" s="2">
        <v>20.0</v>
      </c>
      <c r="B21" s="3" t="s">
        <v>13724</v>
      </c>
      <c r="C21" s="3" t="s">
        <v>13725</v>
      </c>
      <c r="D21" s="3" t="s">
        <v>13726</v>
      </c>
      <c r="F21" s="5" t="str">
        <f>IFERROR(__xludf.DUMMYFUNCTION("GOOGLETRANSLATE(A21, ""en"", ""hi"")"),"20")</f>
        <v>20</v>
      </c>
      <c r="G21" s="5" t="str">
        <f>IFERROR(__xludf.DUMMYFUNCTION("GOOGLETRANSLATE(B21, ""en"", ""hi"")"),"निम्नलिखित में से कौन सी कलारीपयट्टू की युद्ध शैली की प्रमुख विशेषता है?")</f>
        <v>निम्नलिखित में से कौन सी कलारीपयट्टू की युद्ध शैली की प्रमुख विशेषता है?</v>
      </c>
      <c r="H21" s="5" t="str">
        <f>IFERROR(__xludf.DUMMYFUNCTION("GOOGLETRANSLATE(C21, ""en"", ""hi"")"),"A) रैखिक प्रहार, B) वृत्ताकार गतियाँ, C) ऊँची कूद, D) ज़मीनी तकनीकें")</f>
        <v>A) रैखिक प्रहार, B) वृत्ताकार गतियाँ, C) ऊँची कूद, D) ज़मीनी तकनीकें</v>
      </c>
      <c r="I21" s="5" t="str">
        <f>IFERROR(__xludf.DUMMYFUNCTION("GOOGLETRANSLATE(D21, ""en"", ""hi"")"),"बी) वृत्ताकार गतियाँ")</f>
        <v>बी) वृत्ताकार गतियाँ</v>
      </c>
    </row>
    <row r="22" ht="22.5" customHeight="1">
      <c r="A22" s="2">
        <v>21.0</v>
      </c>
      <c r="B22" s="3" t="s">
        <v>13727</v>
      </c>
      <c r="C22" s="3" t="s">
        <v>13728</v>
      </c>
      <c r="D22" s="3" t="s">
        <v>13729</v>
      </c>
      <c r="F22" s="5" t="str">
        <f>IFERROR(__xludf.DUMMYFUNCTION("GOOGLETRANSLATE(A22, ""en"", ""hi"")"),"21")</f>
        <v>21</v>
      </c>
      <c r="G22" s="5" t="str">
        <f>IFERROR(__xludf.DUMMYFUNCTION("GOOGLETRANSLATE(B22, ""en"", ""hi"")"),"कलारीपयट्टू में 'चलन' का क्या अर्थ है?")</f>
        <v>कलारीपयट्टू में 'चलन' का क्या अर्थ है?</v>
      </c>
      <c r="H22" s="5" t="str">
        <f>IFERROR(__xludf.DUMMYFUNCTION("GOOGLETRANSLATE(C22, ""en"", ""hi"")"),"A) फुटवर्क का एक रूप, B) प्रहार का एक प्रकार, C) एक हथियार तकनीक, D) एक युद्ध शैली")</f>
        <v>A) फुटवर्क का एक रूप, B) प्रहार का एक प्रकार, C) एक हथियार तकनीक, D) एक युद्ध शैली</v>
      </c>
      <c r="I22" s="5" t="str">
        <f>IFERROR(__xludf.DUMMYFUNCTION("GOOGLETRANSLATE(D22, ""en"", ""hi"")"),"A) फुटवर्क का एक रूप")</f>
        <v>A) फुटवर्क का एक रूप</v>
      </c>
    </row>
    <row r="23" ht="22.5" customHeight="1">
      <c r="A23" s="2">
        <v>22.0</v>
      </c>
      <c r="B23" s="3" t="s">
        <v>13730</v>
      </c>
      <c r="C23" s="3" t="s">
        <v>13731</v>
      </c>
      <c r="D23" s="3" t="s">
        <v>13732</v>
      </c>
      <c r="F23" s="5" t="str">
        <f>IFERROR(__xludf.DUMMYFUNCTION("GOOGLETRANSLATE(A23, ""en"", ""hi"")"),"22")</f>
        <v>22</v>
      </c>
      <c r="G23" s="5" t="str">
        <f>IFERROR(__xludf.DUMMYFUNCTION("GOOGLETRANSLATE(B23, ""en"", ""hi"")"),"कलारीपयट्टू अभ्यास में 'नाड़ी' की क्या भूमिका है?")</f>
        <v>कलारीपयट्टू अभ्यास में 'नाड़ी' की क्या भूमिका है?</v>
      </c>
      <c r="H23" s="5" t="str">
        <f>IFERROR(__xludf.DUMMYFUNCTION("GOOGLETRANSLATE(C23, ""en"", ""hi"")"),"A) यह एक प्रकार का हथियार है, B) यह ऊर्जा चैनलों को संदर्भित करता है, C) यह एक लड़ाकू रुख है, D) यह एक प्रशिक्षण पद्धति को दर्शाता है")</f>
        <v>A) यह एक प्रकार का हथियार है, B) यह ऊर्जा चैनलों को संदर्भित करता है, C) यह एक लड़ाकू रुख है, D) यह एक प्रशिक्षण पद्धति को दर्शाता है</v>
      </c>
      <c r="I23" s="5" t="str">
        <f>IFERROR(__xludf.DUMMYFUNCTION("GOOGLETRANSLATE(D23, ""en"", ""hi"")"),"B) यह ऊर्जा चैनलों को संदर्भित करता है")</f>
        <v>B) यह ऊर्जा चैनलों को संदर्भित करता है</v>
      </c>
    </row>
    <row r="24" ht="22.5" customHeight="1">
      <c r="A24" s="2">
        <v>23.0</v>
      </c>
      <c r="B24" s="3" t="s">
        <v>13733</v>
      </c>
      <c r="C24" s="3" t="s">
        <v>13734</v>
      </c>
      <c r="D24" s="3" t="s">
        <v>13675</v>
      </c>
      <c r="F24" s="5" t="str">
        <f>IFERROR(__xludf.DUMMYFUNCTION("GOOGLETRANSLATE(A24, ""en"", ""hi"")"),"23")</f>
        <v>23</v>
      </c>
      <c r="G24" s="5" t="str">
        <f>IFERROR(__xludf.DUMMYFUNCTION("GOOGLETRANSLATE(B24, ""en"", ""hi"")"),"कौन सी कलारीपयट्टू तकनीक मुख्य रूप से बचावात्मक गतिविधियों और जवाबी हमलों के लिए उपयोग की जाती है?")</f>
        <v>कौन सी कलारीपयट्टू तकनीक मुख्य रूप से बचावात्मक गतिविधियों और जवाबी हमलों के लिए उपयोग की जाती है?</v>
      </c>
      <c r="H24" s="5" t="str">
        <f>IFERROR(__xludf.DUMMYFUNCTION("GOOGLETRANSLATE(C24, ""en"", ""hi"")"),"ए) चुवाडु, बी) मार्मा, सी) काति, डी) वर्मम")</f>
        <v>ए) चुवाडु, बी) मार्मा, सी) काति, डी) वर्मम</v>
      </c>
      <c r="I24" s="5" t="str">
        <f>IFERROR(__xludf.DUMMYFUNCTION("GOOGLETRANSLATE(D24, ""en"", ""hi"")"),"A) चुवाडु")</f>
        <v>A) चुवाडु</v>
      </c>
    </row>
    <row r="25" ht="22.5" customHeight="1">
      <c r="A25" s="2">
        <v>24.0</v>
      </c>
      <c r="B25" s="3" t="s">
        <v>13735</v>
      </c>
      <c r="C25" s="3" t="s">
        <v>13736</v>
      </c>
      <c r="D25" s="3" t="s">
        <v>13737</v>
      </c>
      <c r="F25" s="5" t="str">
        <f>IFERROR(__xludf.DUMMYFUNCTION("GOOGLETRANSLATE(A25, ""en"", ""hi"")"),"24")</f>
        <v>24</v>
      </c>
      <c r="G25" s="5" t="str">
        <f>IFERROR(__xludf.DUMMYFUNCTION("GOOGLETRANSLATE(B25, ""en"", ""hi"")"),"कलारीपयट्टू में 'वर्मम' का अभ्यास करने का मुख्य उद्देश्य क्या है?")</f>
        <v>कलारीपयट्टू में 'वर्मम' का अभ्यास करने का मुख्य उद्देश्य क्या है?</v>
      </c>
      <c r="H25" s="5" t="str">
        <f>IFERROR(__xludf.DUMMYFUNCTION("GOOGLETRANSLATE(C25, ""en"", ""hi"")"),"A) प्रहार की सटीकता में सुधार करने के लिए, B) महत्वपूर्ण बिंदुओं पर हमला करने के लिए, C) लचीलापन बढ़ाने के लिए, D) अनुष्ठान करने के लिए")</f>
        <v>A) प्रहार की सटीकता में सुधार करने के लिए, B) महत्वपूर्ण बिंदुओं पर हमला करने के लिए, C) लचीलापन बढ़ाने के लिए, D) अनुष्ठान करने के लिए</v>
      </c>
      <c r="I25" s="5" t="str">
        <f>IFERROR(__xludf.DUMMYFUNCTION("GOOGLETRANSLATE(D25, ""en"", ""hi"")"),"बी) महत्वपूर्ण बिंदुओं पर हमला करने के लिए")</f>
        <v>बी) महत्वपूर्ण बिंदुओं पर हमला करने के लिए</v>
      </c>
    </row>
    <row r="26" ht="22.5" customHeight="1">
      <c r="A26" s="2">
        <v>25.0</v>
      </c>
      <c r="B26" s="3" t="s">
        <v>13738</v>
      </c>
      <c r="C26" s="3" t="s">
        <v>13739</v>
      </c>
      <c r="D26" s="3" t="s">
        <v>13740</v>
      </c>
      <c r="F26" s="5" t="str">
        <f>IFERROR(__xludf.DUMMYFUNCTION("GOOGLETRANSLATE(A26, ""en"", ""hi"")"),"25")</f>
        <v>25</v>
      </c>
      <c r="G26" s="5" t="str">
        <f>IFERROR(__xludf.DUMMYFUNCTION("GOOGLETRANSLATE(B26, ""en"", ""hi"")"),"कलारीपयट्टू का कौन सा रूप तीव्र गति से किक और प्रहार के प्रयोग पर जोर देता है?")</f>
        <v>कलारीपयट्टू का कौन सा रूप तीव्र गति से किक और प्रहार के प्रयोग पर जोर देता है?</v>
      </c>
      <c r="H26" s="5" t="str">
        <f>IFERROR(__xludf.DUMMYFUNCTION("GOOGLETRANSLATE(C26, ""en"", ""hi"")"),"ए) एडवस, बी) चुवाडु, सी) उझिचिल, डी) केट्टू")</f>
        <v>ए) एडवस, बी) चुवाडु, सी) उझिचिल, डी) केट्टू</v>
      </c>
      <c r="I26" s="5" t="str">
        <f>IFERROR(__xludf.DUMMYFUNCTION("GOOGLETRANSLATE(D26, ""en"", ""hi"")"),"ए) एडवस")</f>
        <v>ए) एडवस</v>
      </c>
    </row>
    <row r="27" ht="22.5" customHeight="1">
      <c r="A27" s="2">
        <v>26.0</v>
      </c>
      <c r="B27" s="3" t="s">
        <v>13741</v>
      </c>
      <c r="C27" s="3" t="s">
        <v>13742</v>
      </c>
      <c r="D27" s="3" t="s">
        <v>13743</v>
      </c>
      <c r="F27" s="5" t="str">
        <f>IFERROR(__xludf.DUMMYFUNCTION("GOOGLETRANSLATE(A27, ""en"", ""hi"")"),"26")</f>
        <v>26</v>
      </c>
      <c r="G27" s="5" t="str">
        <f>IFERROR(__xludf.DUMMYFUNCTION("GOOGLETRANSLATE(B27, ""en"", ""hi"")"),"कलारीपयट्टु में, 'चुवडु' आमतौर पर किसके लिए प्रयोग किया जाता है?")</f>
        <v>कलारीपयट्टु में, 'चुवडु' आमतौर पर किसके लिए प्रयोग किया जाता है?</v>
      </c>
      <c r="H27" s="5" t="str">
        <f>IFERROR(__xludf.DUMMYFUNCTION("GOOGLETRANSLATE(C27, ""en"", ""hi"")"),"A) हथियार तकनीक का अभ्यास करना, B) फुटवर्क कौशल विकसित करना, C) शरीर की कंडीशनिंग करना, D) अनुष्ठानिक प्रथाओं में संलग्न होना")</f>
        <v>A) हथियार तकनीक का अभ्यास करना, B) फुटवर्क कौशल विकसित करना, C) शरीर की कंडीशनिंग करना, D) अनुष्ठानिक प्रथाओं में संलग्न होना</v>
      </c>
      <c r="I27" s="5" t="str">
        <f>IFERROR(__xludf.DUMMYFUNCTION("GOOGLETRANSLATE(D27, ""en"", ""hi"")"),"बी) फुटवर्क कौशल विकसित करने के लिए")</f>
        <v>बी) फुटवर्क कौशल विकसित करने के लिए</v>
      </c>
    </row>
    <row r="28" ht="22.5" customHeight="1">
      <c r="A28" s="2">
        <v>27.0</v>
      </c>
      <c r="B28" s="3" t="s">
        <v>13744</v>
      </c>
      <c r="C28" s="3" t="s">
        <v>13745</v>
      </c>
      <c r="D28" s="3" t="s">
        <v>13746</v>
      </c>
      <c r="F28" s="5" t="str">
        <f>IFERROR(__xludf.DUMMYFUNCTION("GOOGLETRANSLATE(A28, ""en"", ""hi"")"),"27")</f>
        <v>27</v>
      </c>
      <c r="G28" s="5" t="str">
        <f>IFERROR(__xludf.DUMMYFUNCTION("GOOGLETRANSLATE(B28, ""en"", ""hi"")"),"निम्नलिखित में से कौन सा कलारीपयट्टू एक लंबी छड़ी के साथ किया जाने वाला पारंपरिक कलारीपयट्टू रूप है?")</f>
        <v>निम्नलिखित में से कौन सा कलारीपयट्टू एक लंबी छड़ी के साथ किया जाने वाला पारंपरिक कलारीपयट्टू रूप है?</v>
      </c>
      <c r="H28" s="5" t="str">
        <f>IFERROR(__xludf.DUMMYFUNCTION("GOOGLETRANSLATE(C28, ""en"", ""hi"")"),"ए) गदा, बी) भाला, सी) कटि, डी) केट्टू")</f>
        <v>ए) गदा, बी) भाला, सी) कटि, डी) केट्टू</v>
      </c>
      <c r="I28" s="5" t="str">
        <f>IFERROR(__xludf.DUMMYFUNCTION("GOOGLETRANSLATE(D28, ""en"", ""hi"")"),"D) केट्टू")</f>
        <v>D) केट्टू</v>
      </c>
    </row>
    <row r="29" ht="22.5" customHeight="1">
      <c r="A29" s="2">
        <v>28.0</v>
      </c>
      <c r="B29" s="3" t="s">
        <v>13747</v>
      </c>
      <c r="C29" s="3" t="s">
        <v>13748</v>
      </c>
      <c r="D29" s="3" t="s">
        <v>13749</v>
      </c>
      <c r="F29" s="5" t="str">
        <f>IFERROR(__xludf.DUMMYFUNCTION("GOOGLETRANSLATE(A29, ""en"", ""hi"")"),"28")</f>
        <v>28</v>
      </c>
      <c r="G29" s="5" t="str">
        <f>IFERROR(__xludf.DUMMYFUNCTION("GOOGLETRANSLATE(B29, ""en"", ""hi"")"),"कलारीपयट्टू में 'अडावस' प्रशिक्षण से क्या सुधार करने में मदद मिलती है?")</f>
        <v>कलारीपयट्टू में 'अडावस' प्रशिक्षण से क्या सुधार करने में मदद मिलती है?</v>
      </c>
      <c r="H29" s="5" t="str">
        <f>IFERROR(__xludf.DUMMYFUNCTION("GOOGLETRANSLATE(C29, ""en"", ""hi"")"),"A) हथियार संचालन, B) युद्ध रणनीति, C) तकनीक निष्पादन, D) शारीरिक शक्ति")</f>
        <v>A) हथियार संचालन, B) युद्ध रणनीति, C) तकनीक निष्पादन, D) शारीरिक शक्ति</v>
      </c>
      <c r="I29" s="5" t="str">
        <f>IFERROR(__xludf.DUMMYFUNCTION("GOOGLETRANSLATE(D29, ""en"", ""hi"")"),"C) तकनीक निष्पादन")</f>
        <v>C) तकनीक निष्पादन</v>
      </c>
    </row>
    <row r="30" ht="22.5" customHeight="1">
      <c r="A30" s="2">
        <v>29.0</v>
      </c>
      <c r="B30" s="3" t="s">
        <v>13750</v>
      </c>
      <c r="C30" s="3" t="s">
        <v>13751</v>
      </c>
      <c r="D30" s="3" t="s">
        <v>13752</v>
      </c>
      <c r="F30" s="5" t="str">
        <f>IFERROR(__xludf.DUMMYFUNCTION("GOOGLETRANSLATE(A30, ""en"", ""hi"")"),"29")</f>
        <v>29</v>
      </c>
      <c r="G30" s="5" t="str">
        <f>IFERROR(__xludf.DUMMYFUNCTION("GOOGLETRANSLATE(B30, ""en"", ""hi"")"),"कलारीपयट्टू में 'उझिचिल' प्रथा का मुख्य फोकस क्या है?")</f>
        <v>कलारीपयट्टू में 'उझिचिल' प्रथा का मुख्य फोकस क्या है?</v>
      </c>
      <c r="H30" s="5" t="str">
        <f>IFERROR(__xludf.DUMMYFUNCTION("GOOGLETRANSLATE(C30, ""en"", ""hi"")"),"ए) हथियार प्रशिक्षण, बी) रिफ्लेक्स वृद्धि, सी) शरीर की मालिश और कंडीशनिंग, डी) युद्ध कौशल")</f>
        <v>ए) हथियार प्रशिक्षण, बी) रिफ्लेक्स वृद्धि, सी) शरीर की मालिश और कंडीशनिंग, डी) युद्ध कौशल</v>
      </c>
      <c r="I30" s="5" t="str">
        <f>IFERROR(__xludf.DUMMYFUNCTION("GOOGLETRANSLATE(D30, ""en"", ""hi"")"),"सी) शरीर की मालिश और कंडीशनिंग")</f>
        <v>सी) शरीर की मालिश और कंडीशनिंग</v>
      </c>
    </row>
    <row r="31" ht="22.5" customHeight="1">
      <c r="A31" s="2">
        <v>30.0</v>
      </c>
      <c r="B31" s="3" t="s">
        <v>13753</v>
      </c>
      <c r="C31" s="3" t="s">
        <v>13713</v>
      </c>
      <c r="D31" s="3" t="s">
        <v>13714</v>
      </c>
      <c r="F31" s="5" t="str">
        <f>IFERROR(__xludf.DUMMYFUNCTION("GOOGLETRANSLATE(A31, ""en"", ""hi"")"),"30")</f>
        <v>30</v>
      </c>
      <c r="G31" s="5" t="str">
        <f>IFERROR(__xludf.DUMMYFUNCTION("GOOGLETRANSLATE(B31, ""en"", ""hi"")"),"कौन सा कलारीपयट्टू हथियार वार करने और धकेलने दोनों तकनीकों के लिए जाना जाता है?")</f>
        <v>कौन सा कलारीपयट्टू हथियार वार करने और धकेलने दोनों तकनीकों के लिए जाना जाता है?</v>
      </c>
      <c r="H31" s="5" t="str">
        <f>IFERROR(__xludf.DUMMYFUNCTION("GOOGLETRANSLATE(C31, ""en"", ""hi"")"),"A) तलवार, B) गदा, C) भाला, D) खंजर")</f>
        <v>A) तलवार, B) गदा, C) भाला, D) खंजर</v>
      </c>
      <c r="I31" s="5" t="str">
        <f>IFERROR(__xludf.DUMMYFUNCTION("GOOGLETRANSLATE(D31, ""en"", ""hi"")"),"ए) तलवार")</f>
        <v>ए) तलवार</v>
      </c>
    </row>
    <row r="32" ht="22.5" customHeight="1">
      <c r="A32" s="2">
        <v>31.0</v>
      </c>
      <c r="B32" s="3" t="s">
        <v>13754</v>
      </c>
      <c r="C32" s="3" t="s">
        <v>13755</v>
      </c>
      <c r="D32" s="3" t="s">
        <v>13756</v>
      </c>
      <c r="F32" s="5" t="str">
        <f>IFERROR(__xludf.DUMMYFUNCTION("GOOGLETRANSLATE(A32, ""en"", ""hi"")"),"31")</f>
        <v>31</v>
      </c>
      <c r="G32" s="5" t="str">
        <f>IFERROR(__xludf.DUMMYFUNCTION("GOOGLETRANSLATE(B32, ""en"", ""hi"")"),"कलारीपयट्टू में 'वरमम' शब्द का क्या अर्थ है?")</f>
        <v>कलारीपयट्टू में 'वरमम' शब्द का क्या अर्थ है?</v>
      </c>
      <c r="H32" s="5" t="str">
        <f>IFERROR(__xludf.DUMMYFUNCTION("GOOGLETRANSLATE(C32, ""en"", ""hi"")"),"ए) शारीरिक कंडीशनिंग, बी) लड़ाकू रुख, सी) महत्वपूर्ण बिंदु हमले, डी) हथियार तकनीक")</f>
        <v>ए) शारीरिक कंडीशनिंग, बी) लड़ाकू रुख, सी) महत्वपूर्ण बिंदु हमले, डी) हथियार तकनीक</v>
      </c>
      <c r="I32" s="5" t="str">
        <f>IFERROR(__xludf.DUMMYFUNCTION("GOOGLETRANSLATE(D32, ""en"", ""hi"")"),"C) महत्वपूर्ण बिंदु पर हमले")</f>
        <v>C) महत्वपूर्ण बिंदु पर हमले</v>
      </c>
    </row>
    <row r="33" ht="22.5" customHeight="1">
      <c r="A33" s="2">
        <v>32.0</v>
      </c>
      <c r="B33" s="3" t="s">
        <v>13757</v>
      </c>
      <c r="C33" s="3" t="s">
        <v>13758</v>
      </c>
      <c r="D33" s="3" t="s">
        <v>13759</v>
      </c>
      <c r="F33" s="5" t="str">
        <f>IFERROR(__xludf.DUMMYFUNCTION("GOOGLETRANSLATE(A33, ""en"", ""hi"")"),"32")</f>
        <v>32</v>
      </c>
      <c r="G33" s="5" t="str">
        <f>IFERROR(__xludf.DUMMYFUNCTION("GOOGLETRANSLATE(B33, ""en"", ""hi"")"),"कलारीपयट्टू प्रशिक्षण में 'कवि' का उद्देश्य क्या है?")</f>
        <v>कलारीपयट्टू प्रशिक्षण में 'कवि' का उद्देश्य क्या है?</v>
      </c>
      <c r="H33" s="5" t="str">
        <f>IFERROR(__xludf.DUMMYFUNCTION("GOOGLETRANSLATE(C33, ""en"", ""hi"")"),"A) शस्त्र कौशल बढ़ाने के लिए, B) प्रहार तकनीक का अभ्यास करने के लिए, C) अनुष्ठान करने के लिए, D) शरीर के लचीलेपन में सुधार करने के लिए")</f>
        <v>A) शस्त्र कौशल बढ़ाने के लिए, B) प्रहार तकनीक का अभ्यास करने के लिए, C) अनुष्ठान करने के लिए, D) शरीर के लचीलेपन में सुधार करने के लिए</v>
      </c>
      <c r="I33" s="5" t="str">
        <f>IFERROR(__xludf.DUMMYFUNCTION("GOOGLETRANSLATE(D33, ""en"", ""hi"")"),"बी) प्रहार तकनीकों का अभ्यास करने के लिए")</f>
        <v>बी) प्रहार तकनीकों का अभ्यास करने के लिए</v>
      </c>
    </row>
    <row r="34" ht="22.5" customHeight="1">
      <c r="A34" s="2">
        <v>33.0</v>
      </c>
      <c r="B34" s="3" t="s">
        <v>13760</v>
      </c>
      <c r="C34" s="3" t="s">
        <v>13761</v>
      </c>
      <c r="D34" s="3" t="s">
        <v>13675</v>
      </c>
      <c r="F34" s="5" t="str">
        <f>IFERROR(__xludf.DUMMYFUNCTION("GOOGLETRANSLATE(A34, ""en"", ""hi"")"),"33")</f>
        <v>33</v>
      </c>
      <c r="G34" s="5" t="str">
        <f>IFERROR(__xludf.DUMMYFUNCTION("GOOGLETRANSLATE(B34, ""en"", ""hi"")"),"निम्नलिखित में से कौन सी कलारीपयट्टू तकनीक अपनी रक्षात्मक और जवाबी हमला करने की रणनीतियों के लिए जानी जाती है?")</f>
        <v>निम्नलिखित में से कौन सी कलारीपयट्टू तकनीक अपनी रक्षात्मक और जवाबी हमला करने की रणनीतियों के लिए जानी जाती है?</v>
      </c>
      <c r="H34" s="5" t="str">
        <f>IFERROR(__xludf.DUMMYFUNCTION("GOOGLETRANSLATE(C34, ""en"", ""hi"")"),"ए) चुवाडु, बी) एडवस, सी) केट्टू, डी) उझिचिल")</f>
        <v>ए) चुवाडु, बी) एडवस, सी) केट्टू, डी) उझिचिल</v>
      </c>
      <c r="I34" s="5" t="str">
        <f>IFERROR(__xludf.DUMMYFUNCTION("GOOGLETRANSLATE(D34, ""en"", ""hi"")"),"A) चुवाडु")</f>
        <v>A) चुवाडु</v>
      </c>
    </row>
    <row r="35" ht="22.5" customHeight="1">
      <c r="A35" s="2">
        <v>34.0</v>
      </c>
      <c r="B35" s="3" t="s">
        <v>13762</v>
      </c>
      <c r="C35" s="3" t="s">
        <v>13763</v>
      </c>
      <c r="D35" s="3" t="s">
        <v>13764</v>
      </c>
      <c r="F35" s="5" t="str">
        <f>IFERROR(__xludf.DUMMYFUNCTION("GOOGLETRANSLATE(A35, ""en"", ""hi"")"),"34")</f>
        <v>34</v>
      </c>
      <c r="G35" s="5" t="str">
        <f>IFERROR(__xludf.DUMMYFUNCTION("GOOGLETRANSLATE(B35, ""en"", ""hi"")"),"कलारीपयट्टू में 'नदी' किससे संबंधित है?")</f>
        <v>कलारीपयट्टू में 'नदी' किससे संबंधित है?</v>
      </c>
      <c r="H35" s="5" t="str">
        <f>IFERROR(__xludf.DUMMYFUNCTION("GOOGLETRANSLATE(C35, ""en"", ""hi"")"),"A) युद्ध तकनीक, B) ऊर्जा चैनल, C) हथियार संचालन, D) शारीरिक कंडीशनिंग")</f>
        <v>A) युद्ध तकनीक, B) ऊर्जा चैनल, C) हथियार संचालन, D) शारीरिक कंडीशनिंग</v>
      </c>
      <c r="I35" s="5" t="str">
        <f>IFERROR(__xludf.DUMMYFUNCTION("GOOGLETRANSLATE(D35, ""en"", ""hi"")"),"बी) ऊर्जा चैनल")</f>
        <v>बी) ऊर्जा चैनल</v>
      </c>
    </row>
    <row r="36" ht="22.5" customHeight="1">
      <c r="A36" s="2">
        <v>35.0</v>
      </c>
      <c r="B36" s="3" t="s">
        <v>13765</v>
      </c>
      <c r="C36" s="3" t="s">
        <v>13766</v>
      </c>
      <c r="D36" s="3" t="s">
        <v>13767</v>
      </c>
      <c r="F36" s="5" t="str">
        <f>IFERROR(__xludf.DUMMYFUNCTION("GOOGLETRANSLATE(A36, ""en"", ""hi"")"),"35")</f>
        <v>35</v>
      </c>
      <c r="G36" s="5" t="str">
        <f>IFERROR(__xludf.DUMMYFUNCTION("GOOGLETRANSLATE(B36, ""en"", ""hi"")"),"कलारीपयट्टू में कौन सा रूप आमतौर पर तलवार के साथ किया जाता है और काटने की तकनीक पर केंद्रित होता है?")</f>
        <v>कलारीपयट्टू में कौन सा रूप आमतौर पर तलवार के साथ किया जाता है और काटने की तकनीक पर केंद्रित होता है?</v>
      </c>
      <c r="H36" s="5" t="str">
        <f>IFERROR(__xludf.DUMMYFUNCTION("GOOGLETRANSLATE(C36, ""en"", ""hi"")"),"ए) काति, बी) मार्मा, सी) केट्टू, डी) एडवस")</f>
        <v>ए) काति, बी) मार्मा, सी) केट्टू, डी) एडवस</v>
      </c>
      <c r="I36" s="5" t="str">
        <f>IFERROR(__xludf.DUMMYFUNCTION("GOOGLETRANSLATE(D36, ""en"", ""hi"")"),"A) काटी")</f>
        <v>A) काटी</v>
      </c>
    </row>
    <row r="37" ht="22.5" customHeight="1">
      <c r="A37" s="2">
        <v>36.0</v>
      </c>
      <c r="B37" s="3" t="s">
        <v>13768</v>
      </c>
      <c r="C37" s="3" t="s">
        <v>13769</v>
      </c>
      <c r="D37" s="3" t="s">
        <v>13770</v>
      </c>
      <c r="F37" s="5" t="str">
        <f>IFERROR(__xludf.DUMMYFUNCTION("GOOGLETRANSLATE(A37, ""en"", ""hi"")"),"36")</f>
        <v>36</v>
      </c>
      <c r="G37" s="5" t="str">
        <f>IFERROR(__xludf.DUMMYFUNCTION("GOOGLETRANSLATE(B37, ""en"", ""hi"")"),"कलारीपयट्टू में 'अदवस' का अभ्यास करने का मुख्य लक्ष्य क्या है?")</f>
        <v>कलारीपयट्टू में 'अदवस' का अभ्यास करने का मुख्य लक्ष्य क्या है?</v>
      </c>
      <c r="H37" s="5" t="str">
        <f>IFERROR(__xludf.DUMMYFUNCTION("GOOGLETRANSLATE(C37, ""en"", ""hi"")"),"A) शारीरिक शक्ति बढ़ाने के लिए, B) चपलता में सुधार करने के लिए, C) सटीक तकनीक विकसित करने के लिए, D) अनुष्ठान करने के लिए")</f>
        <v>A) शारीरिक शक्ति बढ़ाने के लिए, B) चपलता में सुधार करने के लिए, C) सटीक तकनीक विकसित करने के लिए, D) अनुष्ठान करने के लिए</v>
      </c>
      <c r="I37" s="5" t="str">
        <f>IFERROR(__xludf.DUMMYFUNCTION("GOOGLETRANSLATE(D37, ""en"", ""hi"")"),"C) सटीक तकनीक विकसित करना")</f>
        <v>C) सटीक तकनीक विकसित करना</v>
      </c>
    </row>
    <row r="38" ht="22.5" customHeight="1">
      <c r="A38" s="2">
        <v>37.0</v>
      </c>
      <c r="B38" s="3" t="s">
        <v>13771</v>
      </c>
      <c r="C38" s="3" t="s">
        <v>13713</v>
      </c>
      <c r="D38" s="3" t="s">
        <v>13772</v>
      </c>
      <c r="F38" s="5" t="str">
        <f>IFERROR(__xludf.DUMMYFUNCTION("GOOGLETRANSLATE(A38, ""en"", ""hi"")"),"37")</f>
        <v>37</v>
      </c>
      <c r="G38" s="5" t="str">
        <f>IFERROR(__xludf.DUMMYFUNCTION("GOOGLETRANSLATE(B38, ""en"", ""hi"")"),"कौन सा कलारीपयट्टू हथियार अपने भारी, कुंद बल के लिए जाना जाता है?")</f>
        <v>कौन सा कलारीपयट्टू हथियार अपने भारी, कुंद बल के लिए जाना जाता है?</v>
      </c>
      <c r="H38" s="5" t="str">
        <f>IFERROR(__xludf.DUMMYFUNCTION("GOOGLETRANSLATE(C38, ""en"", ""hi"")"),"A) तलवार, B) गदा, C) भाला, D) खंजर")</f>
        <v>A) तलवार, B) गदा, C) भाला, D) खंजर</v>
      </c>
      <c r="I38" s="5" t="str">
        <f>IFERROR(__xludf.DUMMYFUNCTION("GOOGLETRANSLATE(D38, ""en"", ""hi"")"),"बी) गदा")</f>
        <v>बी) गदा</v>
      </c>
    </row>
    <row r="39" ht="22.5" customHeight="1">
      <c r="A39" s="2">
        <v>38.0</v>
      </c>
      <c r="B39" s="3" t="s">
        <v>13773</v>
      </c>
      <c r="C39" s="3" t="s">
        <v>13774</v>
      </c>
      <c r="D39" s="3" t="s">
        <v>13775</v>
      </c>
      <c r="F39" s="5" t="str">
        <f>IFERROR(__xludf.DUMMYFUNCTION("GOOGLETRANSLATE(A39, ""en"", ""hi"")"),"38")</f>
        <v>38</v>
      </c>
      <c r="G39" s="5" t="str">
        <f>IFERROR(__xludf.DUMMYFUNCTION("GOOGLETRANSLATE(B39, ""en"", ""hi"")"),"कलारीपयट्टु में, 'चुवडु' मुख्य रूप से किस पर केंद्रित है?")</f>
        <v>कलारीपयट्टु में, 'चुवडु' मुख्य रूप से किस पर केंद्रित है?</v>
      </c>
      <c r="H39" s="5" t="str">
        <f>IFERROR(__xludf.DUMMYFUNCTION("GOOGLETRANSLATE(C39, ""en"", ""hi"")"),"A) शरीर का लचीलापन, B) हथियार तकनीक, C) युद्ध की मुद्राएँ, D) पैरों का काम")</f>
        <v>A) शरीर का लचीलापन, B) हथियार तकनीक, C) युद्ध की मुद्राएँ, D) पैरों का काम</v>
      </c>
      <c r="I39" s="5" t="str">
        <f>IFERROR(__xludf.DUMMYFUNCTION("GOOGLETRANSLATE(D39, ""en"", ""hi"")"),"डी) फुटवर्क")</f>
        <v>डी) फुटवर्क</v>
      </c>
    </row>
    <row r="40" ht="22.5" customHeight="1">
      <c r="A40" s="2">
        <v>39.0</v>
      </c>
      <c r="B40" s="3" t="s">
        <v>13776</v>
      </c>
      <c r="C40" s="3" t="s">
        <v>13777</v>
      </c>
      <c r="D40" s="3" t="s">
        <v>13778</v>
      </c>
      <c r="F40" s="5" t="str">
        <f>IFERROR(__xludf.DUMMYFUNCTION("GOOGLETRANSLATE(A40, ""en"", ""hi"")"),"39")</f>
        <v>39</v>
      </c>
      <c r="G40" s="5" t="str">
        <f>IFERROR(__xludf.DUMMYFUNCTION("GOOGLETRANSLATE(B40, ""en"", ""hi"")"),"कलारीपयट्टू प्रशिक्षण में 'उझिचिल' का उपयोग किस लिए किया जाता है?")</f>
        <v>कलारीपयट्टू प्रशिक्षण में 'उझिचिल' का उपयोग किस लिए किया जाता है?</v>
      </c>
      <c r="H40" s="5" t="str">
        <f>IFERROR(__xludf.DUMMYFUNCTION("GOOGLETRANSLATE(C40, ""en"", ""hi"")"),"A) शारीरिक कंडीशनिंग, B) हथियार संचालन, C) युद्ध तकनीक, D) अनुष्ठानिक प्रथाएँ")</f>
        <v>A) शारीरिक कंडीशनिंग, B) हथियार संचालन, C) युद्ध तकनीक, D) अनुष्ठानिक प्रथाएँ</v>
      </c>
      <c r="I40" s="5" t="str">
        <f>IFERROR(__xludf.DUMMYFUNCTION("GOOGLETRANSLATE(D40, ""en"", ""hi"")"),"A) शरीर की कंडीशनिंग")</f>
        <v>A) शरीर की कंडीशनिंग</v>
      </c>
    </row>
    <row r="41" ht="22.5" customHeight="1">
      <c r="A41" s="2">
        <v>40.0</v>
      </c>
      <c r="B41" s="3" t="s">
        <v>13779</v>
      </c>
      <c r="C41" s="3" t="s">
        <v>13780</v>
      </c>
      <c r="D41" s="3" t="s">
        <v>13781</v>
      </c>
      <c r="F41" s="5" t="str">
        <f>IFERROR(__xludf.DUMMYFUNCTION("GOOGLETRANSLATE(A41, ""en"", ""hi"")"),"40")</f>
        <v>40</v>
      </c>
      <c r="G41" s="5" t="str">
        <f>IFERROR(__xludf.DUMMYFUNCTION("GOOGLETRANSLATE(B41, ""en"", ""hi"")"),"कलारीपयट्टू में कौन सी तकनीक त्वरित गति और सटीक हमले शामिल करती है?")</f>
        <v>कलारीपयट्टू में कौन सी तकनीक त्वरित गति और सटीक हमले शामिल करती है?</v>
      </c>
      <c r="H41" s="5" t="str">
        <f>IFERROR(__xludf.DUMMYFUNCTION("GOOGLETRANSLATE(C41, ""en"", ""hi"")"),"ए) एडवस, बी) वर्मम, सी) चुवाडु, डी) उझिचिल")</f>
        <v>ए) एडवस, बी) वर्मम, सी) चुवाडु, डी) उझिचिल</v>
      </c>
      <c r="I41" s="5" t="str">
        <f>IFERROR(__xludf.DUMMYFUNCTION("GOOGLETRANSLATE(D41, ""en"", ""hi"")"),"बी) वर्माम")</f>
        <v>बी) वर्माम</v>
      </c>
    </row>
    <row r="42" ht="22.5" customHeight="1">
      <c r="A42" s="2">
        <v>41.0</v>
      </c>
      <c r="B42" s="3" t="s">
        <v>13782</v>
      </c>
      <c r="C42" s="3" t="s">
        <v>13783</v>
      </c>
      <c r="D42" s="3" t="s">
        <v>13784</v>
      </c>
      <c r="F42" s="5" t="str">
        <f>IFERROR(__xludf.DUMMYFUNCTION("GOOGLETRANSLATE(A42, ""en"", ""hi"")"),"41")</f>
        <v>41</v>
      </c>
      <c r="G42" s="5" t="str">
        <f>IFERROR(__xludf.DUMMYFUNCTION("GOOGLETRANSLATE(B42, ""en"", ""hi"")"),"कलारीपयट्टू में 'मर्म' अभ्यास का उद्देश्य क्या सुधारना है?")</f>
        <v>कलारीपयट्टू में 'मर्म' अभ्यास का उद्देश्य क्या सुधारना है?</v>
      </c>
      <c r="H42" s="5" t="str">
        <f>IFERROR(__xludf.DUMMYFUNCTION("GOOGLETRANSLATE(C42, ""en"", ""hi"")"),"A) हथियार चलाने का कौशल, B) प्रहार तकनीक, C) महत्वपूर्ण बिंदुओं का ज्ञान, D) लचीलापन")</f>
        <v>A) हथियार चलाने का कौशल, B) प्रहार तकनीक, C) महत्वपूर्ण बिंदुओं का ज्ञान, D) लचीलापन</v>
      </c>
      <c r="I42" s="5" t="str">
        <f>IFERROR(__xludf.DUMMYFUNCTION("GOOGLETRANSLATE(D42, ""en"", ""hi"")"),"C) महत्वपूर्ण बिंदुओं का ज्ञान")</f>
        <v>C) महत्वपूर्ण बिंदुओं का ज्ञान</v>
      </c>
    </row>
    <row r="43" ht="22.5" customHeight="1">
      <c r="A43" s="2">
        <v>42.0</v>
      </c>
      <c r="B43" s="3" t="s">
        <v>13785</v>
      </c>
      <c r="C43" s="3" t="s">
        <v>13786</v>
      </c>
      <c r="D43" s="3" t="s">
        <v>13787</v>
      </c>
      <c r="F43" s="5" t="str">
        <f>IFERROR(__xludf.DUMMYFUNCTION("GOOGLETRANSLATE(A43, ""en"", ""hi"")"),"42")</f>
        <v>42</v>
      </c>
      <c r="G43" s="5" t="str">
        <f>IFERROR(__xludf.DUMMYFUNCTION("GOOGLETRANSLATE(B43, ""en"", ""hi"")"),"कौन सा कलारीपयट्टू रूप हमलों से बचने और जवाबी हमले करने की क्षमता बढ़ाने पर केंद्रित है?")</f>
        <v>कौन सा कलारीपयट्टू रूप हमलों से बचने और जवाबी हमले करने की क्षमता बढ़ाने पर केंद्रित है?</v>
      </c>
      <c r="H43" s="5" t="str">
        <f>IFERROR(__xludf.DUMMYFUNCTION("GOOGLETRANSLATE(C43, ""en"", ""hi"")"),"ए) एडवस, बी) चुवडु, सी) वर्मा, डी) केट्टू")</f>
        <v>ए) एडवस, बी) चुवडु, सी) वर्मा, डी) केट्टू</v>
      </c>
      <c r="I43" s="5" t="str">
        <f>IFERROR(__xludf.DUMMYFUNCTION("GOOGLETRANSLATE(D43, ""en"", ""hi"")"),"बी) चुवाडु")</f>
        <v>बी) चुवाडु</v>
      </c>
    </row>
    <row r="44" ht="22.5" customHeight="1">
      <c r="A44" s="2">
        <v>43.0</v>
      </c>
      <c r="B44" s="3" t="s">
        <v>13788</v>
      </c>
      <c r="C44" s="3" t="s">
        <v>13789</v>
      </c>
      <c r="D44" s="3" t="s">
        <v>13790</v>
      </c>
      <c r="F44" s="5" t="str">
        <f>IFERROR(__xludf.DUMMYFUNCTION("GOOGLETRANSLATE(A44, ""en"", ""hi"")"),"43")</f>
        <v>43</v>
      </c>
      <c r="G44" s="5" t="str">
        <f>IFERROR(__xludf.DUMMYFUNCTION("GOOGLETRANSLATE(B44, ""en"", ""hi"")"),"कलारीपयट्टु में 'नदी' क्या है?")</f>
        <v>कलारीपयट्टु में 'नदी' क्या है?</v>
      </c>
      <c r="H44" s="5" t="str">
        <f>IFERROR(__xludf.DUMMYFUNCTION("GOOGLETRANSLATE(C44, ""en"", ""hi"")"),"A) एक प्रकार का हथियार, B) एक तकनीक, C) एक ऊर्जा चैनल, D) एक प्रकार का फुटवर्क")</f>
        <v>A) एक प्रकार का हथियार, B) एक तकनीक, C) एक ऊर्जा चैनल, D) एक प्रकार का फुटवर्क</v>
      </c>
      <c r="I44" s="5" t="str">
        <f>IFERROR(__xludf.DUMMYFUNCTION("GOOGLETRANSLATE(D44, ""en"", ""hi"")"),"C) एक ऊर्जा चैनल")</f>
        <v>C) एक ऊर्जा चैनल</v>
      </c>
    </row>
    <row r="45" ht="22.5" customHeight="1">
      <c r="A45" s="2">
        <v>44.0</v>
      </c>
      <c r="B45" s="3" t="s">
        <v>13791</v>
      </c>
      <c r="C45" s="3" t="s">
        <v>13792</v>
      </c>
      <c r="D45" s="3" t="s">
        <v>13793</v>
      </c>
      <c r="F45" s="5" t="str">
        <f>IFERROR(__xludf.DUMMYFUNCTION("GOOGLETRANSLATE(A45, ""en"", ""hi"")"),"44")</f>
        <v>44</v>
      </c>
      <c r="G45" s="5" t="str">
        <f>IFERROR(__xludf.DUMMYFUNCTION("GOOGLETRANSLATE(B45, ""en"", ""hi"")"),"कलारीपयट्टू में, काटने और धकेलने की तकनीक के प्रशिक्षण के लिए किस हथियार का उपयोग किया जाता है?")</f>
        <v>कलारीपयट्टू में, काटने और धकेलने की तकनीक के प्रशिक्षण के लिए किस हथियार का उपयोग किया जाता है?</v>
      </c>
      <c r="H45" s="5" t="str">
        <f>IFERROR(__xludf.DUMMYFUNCTION("GOOGLETRANSLATE(C45, ""en"", ""hi"")"),"A) भाला, B) गदा, C) तलवार, D) खंजर")</f>
        <v>A) भाला, B) गदा, C) तलवार, D) खंजर</v>
      </c>
      <c r="I45" s="5" t="str">
        <f>IFERROR(__xludf.DUMMYFUNCTION("GOOGLETRANSLATE(D45, ""en"", ""hi"")"),"सी) तलवार")</f>
        <v>सी) तलवार</v>
      </c>
    </row>
    <row r="46" ht="22.5" customHeight="1">
      <c r="A46" s="2">
        <v>45.0</v>
      </c>
      <c r="B46" s="3" t="s">
        <v>13794</v>
      </c>
      <c r="C46" s="3" t="s">
        <v>13795</v>
      </c>
      <c r="D46" s="3" t="s">
        <v>13796</v>
      </c>
      <c r="F46" s="5" t="str">
        <f>IFERROR(__xludf.DUMMYFUNCTION("GOOGLETRANSLATE(A46, ""en"", ""hi"")"),"45")</f>
        <v>45</v>
      </c>
      <c r="G46" s="5" t="str">
        <f>IFERROR(__xludf.DUMMYFUNCTION("GOOGLETRANSLATE(B46, ""en"", ""hi"")"),"कलारीपयट्टू में 'कवि' शब्द का क्या अर्थ है?")</f>
        <v>कलारीपयट्टू में 'कवि' शब्द का क्या अर्थ है?</v>
      </c>
      <c r="H46" s="5" t="str">
        <f>IFERROR(__xludf.DUMMYFUNCTION("GOOGLETRANSLATE(C46, ""en"", ""hi"")"),"A) एक प्रकार का हथियार, B) एक युद्ध मुद्रा, C) एक प्रहार तकनीक, D) एक प्रशिक्षण रूप")</f>
        <v>A) एक प्रकार का हथियार, B) एक युद्ध मुद्रा, C) एक प्रहार तकनीक, D) एक प्रशिक्षण रूप</v>
      </c>
      <c r="I46" s="5" t="str">
        <f>IFERROR(__xludf.DUMMYFUNCTION("GOOGLETRANSLATE(D46, ""en"", ""hi"")"),"C) एक प्रहार तकनीक")</f>
        <v>C) एक प्रहार तकनीक</v>
      </c>
    </row>
    <row r="47" ht="22.5" customHeight="1">
      <c r="A47" s="2">
        <v>46.0</v>
      </c>
      <c r="B47" s="3" t="s">
        <v>13797</v>
      </c>
      <c r="C47" s="3" t="s">
        <v>13798</v>
      </c>
      <c r="D47" s="3" t="s">
        <v>13740</v>
      </c>
      <c r="F47" s="5" t="str">
        <f>IFERROR(__xludf.DUMMYFUNCTION("GOOGLETRANSLATE(A47, ""en"", ""hi"")"),"46")</f>
        <v>46</v>
      </c>
      <c r="G47" s="5" t="str">
        <f>IFERROR(__xludf.DUMMYFUNCTION("GOOGLETRANSLATE(B47, ""en"", ""hi"")"),"कलारीपयट्टू का कौन सा रूप चपलता और प्रतिक्रिया समय में सुधार करने के लिए डिज़ाइन किया गया है?")</f>
        <v>कलारीपयट्टू का कौन सा रूप चपलता और प्रतिक्रिया समय में सुधार करने के लिए डिज़ाइन किया गया है?</v>
      </c>
      <c r="H47" s="5" t="str">
        <f>IFERROR(__xludf.DUMMYFUNCTION("GOOGLETRANSLATE(C47, ""en"", ""hi"")"),"ए) एडवस, बी) वर्मा, सी) चुवाडु, डी) उझिचिल")</f>
        <v>ए) एडवस, बी) वर्मा, सी) चुवाडु, डी) उझिचिल</v>
      </c>
      <c r="I47" s="5" t="str">
        <f>IFERROR(__xludf.DUMMYFUNCTION("GOOGLETRANSLATE(D47, ""en"", ""hi"")"),"ए) एडवस")</f>
        <v>ए) एडवस</v>
      </c>
    </row>
    <row r="48" ht="22.5" customHeight="1">
      <c r="A48" s="2">
        <v>47.0</v>
      </c>
      <c r="B48" s="3" t="s">
        <v>13799</v>
      </c>
      <c r="C48" s="3" t="s">
        <v>13800</v>
      </c>
      <c r="D48" s="3" t="s">
        <v>13801</v>
      </c>
      <c r="F48" s="5" t="str">
        <f>IFERROR(__xludf.DUMMYFUNCTION("GOOGLETRANSLATE(A48, ""en"", ""hi"")"),"47")</f>
        <v>47</v>
      </c>
      <c r="G48" s="5" t="str">
        <f>IFERROR(__xludf.DUMMYFUNCTION("GOOGLETRANSLATE(B48, ""en"", ""hi"")"),"कलारीपयट्टु में, 'मर्म' विशेष रूप से क्या संदर्भित करता है?")</f>
        <v>कलारीपयट्टु में, 'मर्म' विशेष रूप से क्या संदर्भित करता है?</v>
      </c>
      <c r="H48" s="5" t="str">
        <f>IFERROR(__xludf.DUMMYFUNCTION("GOOGLETRANSLATE(C48, ""en"", ""hi"")"),"A) एक युद्ध मुद्रा, B) एक प्रकार का हथियार, C) महत्वपूर्ण बिंदु प्रहार, D) एक फुटवर्क रूप")</f>
        <v>A) एक युद्ध मुद्रा, B) एक प्रकार का हथियार, C) महत्वपूर्ण बिंदु प्रहार, D) एक फुटवर्क रूप</v>
      </c>
      <c r="I48" s="5" t="str">
        <f>IFERROR(__xludf.DUMMYFUNCTION("GOOGLETRANSLATE(D48, ""en"", ""hi"")"),"C) महत्वपूर्ण बिंदु पर प्रहार")</f>
        <v>C) महत्वपूर्ण बिंदु पर प्रहार</v>
      </c>
    </row>
    <row r="49" ht="22.5" customHeight="1">
      <c r="A49" s="2">
        <v>48.0</v>
      </c>
      <c r="B49" s="3" t="s">
        <v>13802</v>
      </c>
      <c r="C49" s="3" t="s">
        <v>13803</v>
      </c>
      <c r="D49" s="3" t="s">
        <v>13804</v>
      </c>
      <c r="F49" s="5" t="str">
        <f>IFERROR(__xludf.DUMMYFUNCTION("GOOGLETRANSLATE(A49, ""en"", ""hi"")"),"48")</f>
        <v>48</v>
      </c>
      <c r="G49" s="5" t="str">
        <f>IFERROR(__xludf.DUMMYFUNCTION("GOOGLETRANSLATE(B49, ""en"", ""hi"")"),"निम्नलिखित में से कौन सी कलारीपयट्टू की युद्ध शैली की प्रमुख विशेषता है?")</f>
        <v>निम्नलिखित में से कौन सी कलारीपयट्टू की युद्ध शैली की प्रमुख विशेषता है?</v>
      </c>
      <c r="H49" s="5" t="str">
        <f>IFERROR(__xludf.DUMMYFUNCTION("GOOGLETRANSLATE(C49, ""en"", ""hi"")"),"ए) रैखिक गति, बी) वृत्ताकार और प्रवाहपूर्ण गति, सी) ऊंची कूद और हवाई तकनीक, डी) जमीन आधारित तकनीक")</f>
        <v>ए) रैखिक गति, बी) वृत्ताकार और प्रवाहपूर्ण गति, सी) ऊंची कूद और हवाई तकनीक, डी) जमीन आधारित तकनीक</v>
      </c>
      <c r="I49" s="5" t="str">
        <f>IFERROR(__xludf.DUMMYFUNCTION("GOOGLETRANSLATE(D49, ""en"", ""hi"")"),"बी) वृत्ताकार और प्रवाहमय गतियाँ")</f>
        <v>बी) वृत्ताकार और प्रवाहमय गतियाँ</v>
      </c>
    </row>
    <row r="50" ht="22.5" customHeight="1">
      <c r="A50" s="2">
        <v>49.0</v>
      </c>
      <c r="B50" s="3" t="s">
        <v>13805</v>
      </c>
      <c r="C50" s="3" t="s">
        <v>13806</v>
      </c>
      <c r="D50" s="3" t="s">
        <v>13807</v>
      </c>
      <c r="F50" s="5" t="str">
        <f>IFERROR(__xludf.DUMMYFUNCTION("GOOGLETRANSLATE(A50, ""en"", ""hi"")"),"49")</f>
        <v>49</v>
      </c>
      <c r="G50" s="5" t="str">
        <f>IFERROR(__xludf.DUMMYFUNCTION("GOOGLETRANSLATE(B50, ""en"", ""hi"")"),"कलारीपयट्टू में, 'उझिचिल' अभ्यास का प्राथमिक उद्देश्य क्या है?")</f>
        <v>कलारीपयट्टू में, 'उझिचिल' अभ्यास का प्राथमिक उद्देश्य क्या है?</v>
      </c>
      <c r="H50" s="5" t="str">
        <f>IFERROR(__xludf.DUMMYFUNCTION("GOOGLETRANSLATE(C50, ""en"", ""hi"")"),"A) शारीरिक शक्ति का निर्माण करना, B) शस्त्र कौशल को बढ़ाना, C) शरीर की कंडीशनिंग में सुधार करना, D) अनुष्ठान करना")</f>
        <v>A) शारीरिक शक्ति का निर्माण करना, B) शस्त्र कौशल को बढ़ाना, C) शरीर की कंडीशनिंग में सुधार करना, D) अनुष्ठान करना</v>
      </c>
      <c r="I50" s="5" t="str">
        <f>IFERROR(__xludf.DUMMYFUNCTION("GOOGLETRANSLATE(D50, ""en"", ""hi"")"),"C) शरीर की कंडीशनिंग में सुधार करने के लिए")</f>
        <v>C) शरीर की कंडीशनिंग में सुधार करने के लिए</v>
      </c>
    </row>
    <row r="51" ht="22.5" customHeight="1">
      <c r="A51" s="2">
        <v>50.0</v>
      </c>
      <c r="B51" s="3" t="s">
        <v>13808</v>
      </c>
      <c r="C51" s="3" t="s">
        <v>13809</v>
      </c>
      <c r="D51" s="3" t="s">
        <v>13781</v>
      </c>
      <c r="F51" s="5" t="str">
        <f>IFERROR(__xludf.DUMMYFUNCTION("GOOGLETRANSLATE(A51, ""en"", ""hi"")"),"50")</f>
        <v>50</v>
      </c>
      <c r="G51" s="5" t="str">
        <f>IFERROR(__xludf.DUMMYFUNCTION("GOOGLETRANSLATE(B51, ""en"", ""hi"")"),"कौन सी कलारीपयट्टू तकनीक प्रहार की गति और सटीकता में सुधार लाने पर केंद्रित है?")</f>
        <v>कौन सी कलारीपयट्टू तकनीक प्रहार की गति और सटीकता में सुधार लाने पर केंद्रित है?</v>
      </c>
      <c r="H51" s="5" t="str">
        <f>IFERROR(__xludf.DUMMYFUNCTION("GOOGLETRANSLATE(C51, ""en"", ""hi"")"),"ए) चुवडु, बी) वर्मम, सी) एडवस, डी) उझिचिल")</f>
        <v>ए) चुवडु, बी) वर्मम, सी) एडवस, डी) उझिचिल</v>
      </c>
      <c r="I51" s="5" t="str">
        <f>IFERROR(__xludf.DUMMYFUNCTION("GOOGLETRANSLATE(D51, ""en"", ""hi"")"),"बी) वर्माम")</f>
        <v>बी) वर्माम</v>
      </c>
    </row>
    <row r="52" ht="22.5" customHeight="1">
      <c r="A52" s="2">
        <v>51.0</v>
      </c>
      <c r="B52" s="3" t="s">
        <v>13810</v>
      </c>
      <c r="C52" s="3" t="s">
        <v>13811</v>
      </c>
      <c r="D52" s="3" t="s">
        <v>13812</v>
      </c>
      <c r="F52" s="5" t="str">
        <f>IFERROR(__xludf.DUMMYFUNCTION("GOOGLETRANSLATE(A52, ""en"", ""hi"")"),"51")</f>
        <v>51</v>
      </c>
      <c r="G52" s="5" t="str">
        <f>IFERROR(__xludf.DUMMYFUNCTION("GOOGLETRANSLATE(B52, ""en"", ""hi"")"),"कलारीपयट्टू में 'केट्टू' की क्या भूमिका है?")</f>
        <v>कलारीपयट्टू में 'केट्टू' की क्या भूमिका है?</v>
      </c>
      <c r="H52" s="5" t="str">
        <f>IFERROR(__xludf.DUMMYFUNCTION("GOOGLETRANSLATE(C52, ""en"", ""hi"")"),"A) प्रहार करने के लिए एक हथियार, B) शरीर की कंडीशनिंग का एक रूप, C) एक युद्ध तकनीक, D) एक प्रकार का हथियार प्रशिक्षण")</f>
        <v>A) प्रहार करने के लिए एक हथियार, B) शरीर की कंडीशनिंग का एक रूप, C) एक युद्ध तकनीक, D) एक प्रकार का हथियार प्रशिक्षण</v>
      </c>
      <c r="I52" s="5" t="str">
        <f>IFERROR(__xludf.DUMMYFUNCTION("GOOGLETRANSLATE(D52, ""en"", ""hi"")"),"A) प्रहार करने का एक हथियार")</f>
        <v>A) प्रहार करने का एक हथियार</v>
      </c>
    </row>
    <row r="53" ht="22.5" customHeight="1">
      <c r="A53" s="2">
        <v>52.0</v>
      </c>
      <c r="B53" s="3" t="s">
        <v>13813</v>
      </c>
      <c r="C53" s="3" t="s">
        <v>13814</v>
      </c>
      <c r="D53" s="3" t="s">
        <v>13787</v>
      </c>
      <c r="F53" s="5" t="str">
        <f>IFERROR(__xludf.DUMMYFUNCTION("GOOGLETRANSLATE(A53, ""en"", ""hi"")"),"52")</f>
        <v>52</v>
      </c>
      <c r="G53" s="5" t="str">
        <f>IFERROR(__xludf.DUMMYFUNCTION("GOOGLETRANSLATE(B53, ""en"", ""hi"")"),"कलारीपयट्टू के किस रूप में प्रहार के लिए दोनों हाथों और पैरों के उपयोग पर जोर दिया जाता है?")</f>
        <v>कलारीपयट्टू के किस रूप में प्रहार के लिए दोनों हाथों और पैरों के उपयोग पर जोर दिया जाता है?</v>
      </c>
      <c r="H53" s="5" t="str">
        <f>IFERROR(__xludf.DUMMYFUNCTION("GOOGLETRANSLATE(C53, ""en"", ""hi"")"),"ए) एडवस, बी) चुवाडु, सी) वर्मा, डी) उझिचिल")</f>
        <v>ए) एडवस, बी) चुवाडु, सी) वर्मा, डी) उझिचिल</v>
      </c>
      <c r="I53" s="5" t="str">
        <f>IFERROR(__xludf.DUMMYFUNCTION("GOOGLETRANSLATE(D53, ""en"", ""hi"")"),"बी) चुवाडु")</f>
        <v>बी) चुवाडु</v>
      </c>
    </row>
    <row r="54" ht="22.5" customHeight="1">
      <c r="A54" s="2">
        <v>53.0</v>
      </c>
      <c r="B54" s="3" t="s">
        <v>13815</v>
      </c>
      <c r="C54" s="3" t="s">
        <v>13816</v>
      </c>
      <c r="D54" s="3" t="s">
        <v>13817</v>
      </c>
      <c r="F54" s="5" t="str">
        <f>IFERROR(__xludf.DUMMYFUNCTION("GOOGLETRANSLATE(A54, ""en"", ""hi"")"),"53")</f>
        <v>53</v>
      </c>
      <c r="G54" s="5" t="str">
        <f>IFERROR(__xludf.DUMMYFUNCTION("GOOGLETRANSLATE(B54, ""en"", ""hi"")"),"कलारीपयट्टू में 'वर्मा' अभ्यास का प्राथमिक केंद्र क्या है?")</f>
        <v>कलारीपयट्टू में 'वर्मा' अभ्यास का प्राथमिक केंद्र क्या है?</v>
      </c>
      <c r="H54" s="5" t="str">
        <f>IFERROR(__xludf.DUMMYFUNCTION("GOOGLETRANSLATE(C54, ""en"", ""hi"")"),"ए) हथियार तकनीक, बी) महत्वपूर्ण बिंदु हमले, सी) शरीर का लचीलापन, डी) युद्ध की मुद्रा")</f>
        <v>ए) हथियार तकनीक, बी) महत्वपूर्ण बिंदु हमले, सी) शरीर का लचीलापन, डी) युद्ध की मुद्रा</v>
      </c>
      <c r="I54" s="5" t="str">
        <f>IFERROR(__xludf.DUMMYFUNCTION("GOOGLETRANSLATE(D54, ""en"", ""hi"")"),"बी) महत्वपूर्ण बिंदु हमले")</f>
        <v>बी) महत्वपूर्ण बिंदु हमले</v>
      </c>
    </row>
    <row r="55" ht="22.5" customHeight="1">
      <c r="A55" s="2">
        <v>54.0</v>
      </c>
      <c r="B55" s="3" t="s">
        <v>13818</v>
      </c>
      <c r="C55" s="3" t="s">
        <v>13819</v>
      </c>
      <c r="D55" s="3" t="s">
        <v>13740</v>
      </c>
      <c r="F55" s="5" t="str">
        <f>IFERROR(__xludf.DUMMYFUNCTION("GOOGLETRANSLATE(A55, ""en"", ""hi"")"),"54")</f>
        <v>54</v>
      </c>
      <c r="G55" s="5" t="str">
        <f>IFERROR(__xludf.DUMMYFUNCTION("GOOGLETRANSLATE(B55, ""en"", ""hi"")"),"कलारीपयट्टू में गति और चपलता विकसित करने के लिए किस शैली का उपयोग किया जाता है?")</f>
        <v>कलारीपयट्टू में गति और चपलता विकसित करने के लिए किस शैली का उपयोग किया जाता है?</v>
      </c>
      <c r="H55" s="5" t="str">
        <f>IFERROR(__xludf.DUMMYFUNCTION("GOOGLETRANSLATE(C55, ""en"", ""hi"")"),"ए) एडवस, बी) मार्मा, सी) चुवडु, डी) केट्टू")</f>
        <v>ए) एडवस, बी) मार्मा, सी) चुवडु, डी) केट्टू</v>
      </c>
      <c r="I55" s="5" t="str">
        <f>IFERROR(__xludf.DUMMYFUNCTION("GOOGLETRANSLATE(D55, ""en"", ""hi"")"),"ए) एडवस")</f>
        <v>ए) एडवस</v>
      </c>
    </row>
    <row r="56" ht="22.5" customHeight="1">
      <c r="A56" s="2">
        <v>55.0</v>
      </c>
      <c r="B56" s="3" t="s">
        <v>13820</v>
      </c>
      <c r="C56" s="3" t="s">
        <v>13821</v>
      </c>
      <c r="D56" s="3" t="s">
        <v>13822</v>
      </c>
      <c r="F56" s="5" t="str">
        <f>IFERROR(__xludf.DUMMYFUNCTION("GOOGLETRANSLATE(A56, ""en"", ""hi"")"),"55")</f>
        <v>55</v>
      </c>
      <c r="G56" s="5" t="str">
        <f>IFERROR(__xludf.DUMMYFUNCTION("GOOGLETRANSLATE(B56, ""en"", ""hi"")"),"कलारीपयट्टु में 'चुवडु' मुख्य रूप से क्या संदर्भित करता है?")</f>
        <v>कलारीपयट्टु में 'चुवडु' मुख्य रूप से क्या संदर्भित करता है?</v>
      </c>
      <c r="H56" s="5" t="str">
        <f>IFERROR(__xludf.DUMMYFUNCTION("GOOGLETRANSLATE(C56, ""en"", ""hi"")"),"A) एक प्रकार का हथियार, B) एक युद्ध मुद्रा, C) एक प्रकार का फुटवर्क, D) एक प्रशिक्षण तकनीक")</f>
        <v>A) एक प्रकार का हथियार, B) एक युद्ध मुद्रा, C) एक प्रकार का फुटवर्क, D) एक प्रशिक्षण तकनीक</v>
      </c>
      <c r="I56" s="5" t="str">
        <f>IFERROR(__xludf.DUMMYFUNCTION("GOOGLETRANSLATE(D56, ""en"", ""hi"")"),"C) फुटवर्क का एक रूप")</f>
        <v>C) फुटवर्क का एक रूप</v>
      </c>
    </row>
    <row r="57" ht="22.5" customHeight="1">
      <c r="A57" s="2">
        <v>56.0</v>
      </c>
      <c r="B57" s="3" t="s">
        <v>13823</v>
      </c>
      <c r="C57" s="3" t="s">
        <v>13824</v>
      </c>
      <c r="D57" s="3" t="s">
        <v>13714</v>
      </c>
      <c r="F57" s="5" t="str">
        <f>IFERROR(__xludf.DUMMYFUNCTION("GOOGLETRANSLATE(A57, ""en"", ""hi"")"),"56")</f>
        <v>56</v>
      </c>
      <c r="G57" s="5" t="str">
        <f>IFERROR(__xludf.DUMMYFUNCTION("GOOGLETRANSLATE(B57, ""en"", ""hi"")"),"कौन सा कलारीपयट्टू हथियार आक्रामक और रक्षात्मक दोनों तकनीकों में उपयोग के लिए जाना जाता है?")</f>
        <v>कौन सा कलारीपयट्टू हथियार आक्रामक और रक्षात्मक दोनों तकनीकों में उपयोग के लिए जाना जाता है?</v>
      </c>
      <c r="H57" s="5" t="str">
        <f>IFERROR(__xludf.DUMMYFUNCTION("GOOGLETRANSLATE(C57, ""en"", ""hi"")"),"A) तलवार, B) भाला, C) गदा, D) खंजर")</f>
        <v>A) तलवार, B) भाला, C) गदा, D) खंजर</v>
      </c>
      <c r="I57" s="5" t="str">
        <f>IFERROR(__xludf.DUMMYFUNCTION("GOOGLETRANSLATE(D57, ""en"", ""hi"")"),"ए) तलवार")</f>
        <v>ए) तलवार</v>
      </c>
    </row>
    <row r="58" ht="22.5" customHeight="1">
      <c r="A58" s="2">
        <v>57.0</v>
      </c>
      <c r="B58" s="3" t="s">
        <v>13825</v>
      </c>
      <c r="C58" s="3" t="s">
        <v>13826</v>
      </c>
      <c r="D58" s="3" t="s">
        <v>13827</v>
      </c>
      <c r="F58" s="5" t="str">
        <f>IFERROR(__xludf.DUMMYFUNCTION("GOOGLETRANSLATE(A58, ""en"", ""hi"")"),"57")</f>
        <v>57</v>
      </c>
      <c r="G58" s="5" t="str">
        <f>IFERROR(__xludf.DUMMYFUNCTION("GOOGLETRANSLATE(B58, ""en"", ""hi"")"),"कलारीपयट्टू में 'वरम' का प्रयोग किसको लक्ष्य करने के लिए किया जाता है?")</f>
        <v>कलारीपयट्टू में 'वरम' का प्रयोग किसको लक्ष्य करने के लिए किया जाता है?</v>
      </c>
      <c r="H58" s="5" t="str">
        <f>IFERROR(__xludf.DUMMYFUNCTION("GOOGLETRANSLATE(C58, ""en"", ""hi"")"),"A) शरीर पर महत्वपूर्ण बिंदु, B) प्रतिद्वंद्वी का हथियार, C) जमीनी तकनीक, D) युद्ध की मुद्राएँ")</f>
        <v>A) शरीर पर महत्वपूर्ण बिंदु, B) प्रतिद्वंद्वी का हथियार, C) जमीनी तकनीक, D) युद्ध की मुद्राएँ</v>
      </c>
      <c r="I58" s="5" t="str">
        <f>IFERROR(__xludf.DUMMYFUNCTION("GOOGLETRANSLATE(D58, ""en"", ""hi"")"),"A) शरीर पर महत्वपूर्ण बिंदु")</f>
        <v>A) शरीर पर महत्वपूर्ण बिंदु</v>
      </c>
    </row>
    <row r="59" ht="22.5" customHeight="1">
      <c r="A59" s="2">
        <v>58.0</v>
      </c>
      <c r="B59" s="3" t="s">
        <v>13828</v>
      </c>
      <c r="C59" s="3" t="s">
        <v>13829</v>
      </c>
      <c r="D59" s="3" t="s">
        <v>13778</v>
      </c>
      <c r="F59" s="5" t="str">
        <f>IFERROR(__xludf.DUMMYFUNCTION("GOOGLETRANSLATE(A59, ""en"", ""hi"")"),"58")</f>
        <v>58</v>
      </c>
      <c r="G59" s="5" t="str">
        <f>IFERROR(__xludf.DUMMYFUNCTION("GOOGLETRANSLATE(B59, ""en"", ""hi"")"),"कलारीपयट्टू प्रशिक्षण में 'उझिचिल' का फोकस किस पर है?")</f>
        <v>कलारीपयट्टू प्रशिक्षण में 'उझिचिल' का फोकस किस पर है?</v>
      </c>
      <c r="H59" s="5" t="str">
        <f>IFERROR(__xludf.DUMMYFUNCTION("GOOGLETRANSLATE(C59, ""en"", ""hi"")"),"A) शारीरिक कंडीशनिंग, B) हथियार तकनीक, C) युद्ध रणनीति, D) अनुष्ठानिक प्रथाएँ")</f>
        <v>A) शारीरिक कंडीशनिंग, B) हथियार तकनीक, C) युद्ध रणनीति, D) अनुष्ठानिक प्रथाएँ</v>
      </c>
      <c r="I59" s="5" t="str">
        <f>IFERROR(__xludf.DUMMYFUNCTION("GOOGLETRANSLATE(D59, ""en"", ""hi"")"),"A) शरीर की कंडीशनिंग")</f>
        <v>A) शरीर की कंडीशनिंग</v>
      </c>
    </row>
    <row r="60" ht="22.5" customHeight="1">
      <c r="A60" s="2">
        <v>59.0</v>
      </c>
      <c r="B60" s="3" t="s">
        <v>13830</v>
      </c>
      <c r="C60" s="3" t="s">
        <v>13780</v>
      </c>
      <c r="D60" s="3" t="s">
        <v>13781</v>
      </c>
      <c r="F60" s="5" t="str">
        <f>IFERROR(__xludf.DUMMYFUNCTION("GOOGLETRANSLATE(A60, ""en"", ""hi"")"),"59")</f>
        <v>59</v>
      </c>
      <c r="G60" s="5" t="str">
        <f>IFERROR(__xludf.DUMMYFUNCTION("GOOGLETRANSLATE(B60, ""en"", ""hi"")"),"कौन सा कलारीपयट्टू रूप त्वरित और सटीक हमलों में सुधार के लिए डिज़ाइन किया गया है?")</f>
        <v>कौन सा कलारीपयट्टू रूप त्वरित और सटीक हमलों में सुधार के लिए डिज़ाइन किया गया है?</v>
      </c>
      <c r="H60" s="5" t="str">
        <f>IFERROR(__xludf.DUMMYFUNCTION("GOOGLETRANSLATE(C60, ""en"", ""hi"")"),"ए) एडवस, बी) वर्मम, सी) चुवाडु, डी) उझिचिल")</f>
        <v>ए) एडवस, बी) वर्मम, सी) चुवाडु, डी) उझिचिल</v>
      </c>
      <c r="I60" s="5" t="str">
        <f>IFERROR(__xludf.DUMMYFUNCTION("GOOGLETRANSLATE(D60, ""en"", ""hi"")"),"बी) वर्माम")</f>
        <v>बी) वर्माम</v>
      </c>
    </row>
    <row r="61" ht="22.5" customHeight="1">
      <c r="A61" s="2">
        <v>60.0</v>
      </c>
      <c r="B61" s="3" t="s">
        <v>13831</v>
      </c>
      <c r="C61" s="3" t="s">
        <v>13832</v>
      </c>
      <c r="D61" s="3" t="s">
        <v>13796</v>
      </c>
      <c r="F61" s="5" t="str">
        <f>IFERROR(__xludf.DUMMYFUNCTION("GOOGLETRANSLATE(A61, ""en"", ""hi"")"),"60")</f>
        <v>60</v>
      </c>
      <c r="G61" s="5" t="str">
        <f>IFERROR(__xludf.DUMMYFUNCTION("GOOGLETRANSLATE(B61, ""en"", ""hi"")"),"कलारीपयट्टू के संदर्भ में 'कवि' शब्द का क्या अर्थ है?")</f>
        <v>कलारीपयट्टू के संदर्भ में 'कवि' शब्द का क्या अर्थ है?</v>
      </c>
      <c r="H61" s="5" t="str">
        <f>IFERROR(__xludf.DUMMYFUNCTION("GOOGLETRANSLATE(C61, ""en"", ""hi"")"),"A) एक युद्ध मुद्रा, B) एक प्रकार का हथियार, C) एक प्रहार तकनीक, D) एक प्रशिक्षण रूप")</f>
        <v>A) एक युद्ध मुद्रा, B) एक प्रकार का हथियार, C) एक प्रहार तकनीक, D) एक प्रशिक्षण रूप</v>
      </c>
      <c r="I61" s="5" t="str">
        <f>IFERROR(__xludf.DUMMYFUNCTION("GOOGLETRANSLATE(D61, ""en"", ""hi"")"),"C) एक प्रहार तकनीक")</f>
        <v>C) एक प्रहार तकनीक</v>
      </c>
    </row>
    <row r="62" ht="22.5" customHeight="1">
      <c r="A62" s="2">
        <v>61.0</v>
      </c>
      <c r="B62" s="3" t="s">
        <v>13833</v>
      </c>
      <c r="C62" s="3" t="s">
        <v>13819</v>
      </c>
      <c r="D62" s="3" t="s">
        <v>13740</v>
      </c>
      <c r="F62" s="5" t="str">
        <f>IFERROR(__xludf.DUMMYFUNCTION("GOOGLETRANSLATE(A62, ""en"", ""hi"")"),"61")</f>
        <v>61</v>
      </c>
      <c r="G62" s="5" t="str">
        <f>IFERROR(__xludf.DUMMYFUNCTION("GOOGLETRANSLATE(B62, ""en"", ""hi"")"),"कलारीपयट्टू में कौन सा रूप गतिविधियों में चपलता और सटीकता विकसित करने में मदद करता है?")</f>
        <v>कलारीपयट्टू में कौन सा रूप गतिविधियों में चपलता और सटीकता विकसित करने में मदद करता है?</v>
      </c>
      <c r="H62" s="5" t="str">
        <f>IFERROR(__xludf.DUMMYFUNCTION("GOOGLETRANSLATE(C62, ""en"", ""hi"")"),"ए) एडवस, बी) मार्मा, सी) चुवडु, डी) केट्टू")</f>
        <v>ए) एडवस, बी) मार्मा, सी) चुवडु, डी) केट्टू</v>
      </c>
      <c r="I62" s="5" t="str">
        <f>IFERROR(__xludf.DUMMYFUNCTION("GOOGLETRANSLATE(D62, ""en"", ""hi"")"),"ए) एडवस")</f>
        <v>ए) एडवस</v>
      </c>
    </row>
    <row r="63" ht="22.5" customHeight="1">
      <c r="A63" s="2">
        <v>62.0</v>
      </c>
      <c r="B63" s="3" t="s">
        <v>13834</v>
      </c>
      <c r="C63" s="3" t="s">
        <v>13835</v>
      </c>
      <c r="D63" s="3" t="s">
        <v>13836</v>
      </c>
      <c r="F63" s="5" t="str">
        <f>IFERROR(__xludf.DUMMYFUNCTION("GOOGLETRANSLATE(A63, ""en"", ""hi"")"),"62")</f>
        <v>62</v>
      </c>
      <c r="G63" s="5" t="str">
        <f>IFERROR(__xludf.DUMMYFUNCTION("GOOGLETRANSLATE(B63, ""en"", ""hi"")"),"कलारीपयट्टू में 'मर्म' का अभ्यास करने का प्राथमिक उद्देश्य क्या है?")</f>
        <v>कलारीपयट्टू में 'मर्म' का अभ्यास करने का प्राथमिक उद्देश्य क्या है?</v>
      </c>
      <c r="H63" s="5" t="str">
        <f>IFERROR(__xludf.DUMMYFUNCTION("GOOGLETRANSLATE(C63, ""en"", ""hi"")"),"A) हथियार कौशल में सुधार करने के लिए, B) महत्वपूर्ण बिंदु पर प्रहार सीखने के लिए, C) शारीरिक शक्ति बढ़ाने के लिए, D) फुटवर्क तकनीक विकसित करने के लिए")</f>
        <v>A) हथियार कौशल में सुधार करने के लिए, B) महत्वपूर्ण बिंदु पर प्रहार सीखने के लिए, C) शारीरिक शक्ति बढ़ाने के लिए, D) फुटवर्क तकनीक विकसित करने के लिए</v>
      </c>
      <c r="I63" s="5" t="str">
        <f>IFERROR(__xludf.DUMMYFUNCTION("GOOGLETRANSLATE(D63, ""en"", ""hi"")"),"बी) महत्वपूर्ण बिंदुओं पर प्रहार सीखने के लिए")</f>
        <v>बी) महत्वपूर्ण बिंदुओं पर प्रहार सीखने के लिए</v>
      </c>
    </row>
    <row r="64" ht="22.5" customHeight="1">
      <c r="A64" s="2">
        <v>63.0</v>
      </c>
      <c r="B64" s="3" t="s">
        <v>13837</v>
      </c>
      <c r="C64" s="3" t="s">
        <v>13838</v>
      </c>
      <c r="D64" s="3" t="s">
        <v>13675</v>
      </c>
      <c r="F64" s="5" t="str">
        <f>IFERROR(__xludf.DUMMYFUNCTION("GOOGLETRANSLATE(A64, ""en"", ""hi"")"),"63")</f>
        <v>63</v>
      </c>
      <c r="G64" s="5" t="str">
        <f>IFERROR(__xludf.DUMMYFUNCTION("GOOGLETRANSLATE(B64, ""en"", ""hi"")"),"कौन सी कलारीपयट्टू तकनीक रक्षात्मक और बचाव कौशल को बढ़ाने के लिए जानी जाती है?")</f>
        <v>कौन सी कलारीपयट्टू तकनीक रक्षात्मक और बचाव कौशल को बढ़ाने के लिए जानी जाती है?</v>
      </c>
      <c r="H64" s="5" t="str">
        <f>IFERROR(__xludf.DUMMYFUNCTION("GOOGLETRANSLATE(C64, ""en"", ""hi"")"),"ए) चुवडु, बी) उझिचिल, सी) वर्मा, डी) केट्टू")</f>
        <v>ए) चुवडु, बी) उझिचिल, सी) वर्मा, डी) केट्टू</v>
      </c>
      <c r="I64" s="5" t="str">
        <f>IFERROR(__xludf.DUMMYFUNCTION("GOOGLETRANSLATE(D64, ""en"", ""hi"")"),"A) चुवाडु")</f>
        <v>A) चुवाडु</v>
      </c>
    </row>
    <row r="65" ht="22.5" customHeight="1">
      <c r="A65" s="2">
        <v>64.0</v>
      </c>
      <c r="B65" s="3" t="s">
        <v>13839</v>
      </c>
      <c r="C65" s="3" t="s">
        <v>13840</v>
      </c>
      <c r="D65" s="3" t="s">
        <v>13790</v>
      </c>
      <c r="F65" s="5" t="str">
        <f>IFERROR(__xludf.DUMMYFUNCTION("GOOGLETRANSLATE(A65, ""en"", ""hi"")"),"64")</f>
        <v>64</v>
      </c>
      <c r="G65" s="5" t="str">
        <f>IFERROR(__xludf.DUMMYFUNCTION("GOOGLETRANSLATE(B65, ""en"", ""hi"")"),"कलारीपयट्टू में 'नदी' का प्रयोग किस लिए किया जाता है?")</f>
        <v>कलारीपयट्टू में 'नदी' का प्रयोग किस लिए किया जाता है?</v>
      </c>
      <c r="H65" s="5" t="str">
        <f>IFERROR(__xludf.DUMMYFUNCTION("GOOGLETRANSLATE(C65, ""en"", ""hi"")"),"A) एक हथियार, B) एक युद्ध तकनीक, C) एक ऊर्जा चैनल, D) एक प्रकार का फुटवर्क")</f>
        <v>A) एक हथियार, B) एक युद्ध तकनीक, C) एक ऊर्जा चैनल, D) एक प्रकार का फुटवर्क</v>
      </c>
      <c r="I65" s="5" t="str">
        <f>IFERROR(__xludf.DUMMYFUNCTION("GOOGLETRANSLATE(D65, ""en"", ""hi"")"),"C) एक ऊर्जा चैनल")</f>
        <v>C) एक ऊर्जा चैनल</v>
      </c>
    </row>
    <row r="66" ht="22.5" customHeight="1">
      <c r="A66" s="2">
        <v>65.0</v>
      </c>
      <c r="B66" s="3" t="s">
        <v>13841</v>
      </c>
      <c r="C66" s="3" t="s">
        <v>13842</v>
      </c>
      <c r="D66" s="3" t="s">
        <v>13843</v>
      </c>
      <c r="F66" s="5" t="str">
        <f>IFERROR(__xludf.DUMMYFUNCTION("GOOGLETRANSLATE(A66, ""en"", ""hi"")"),"65")</f>
        <v>65</v>
      </c>
      <c r="G66" s="5" t="str">
        <f>IFERROR(__xludf.DUMMYFUNCTION("GOOGLETRANSLATE(B66, ""en"", ""hi"")"),"कलारीपयट्टू प्रशिक्षण में 'चुवडु' की क्या भूमिका है?")</f>
        <v>कलारीपयट्टू प्रशिक्षण में 'चुवडु' की क्या भूमिका है?</v>
      </c>
      <c r="H66" s="5" t="str">
        <f>IFERROR(__xludf.DUMMYFUNCTION("GOOGLETRANSLATE(C66, ""en"", ""hi"")"),"A) फुटवर्क कौशल में सुधार करने के लिए, B) हथियार तकनीकों को बढ़ाने के लिए, C) शरीर की कंडीशनिंग का अभ्यास करने के लिए, D) अनुष्ठान करने के लिए")</f>
        <v>A) फुटवर्क कौशल में सुधार करने के लिए, B) हथियार तकनीकों को बढ़ाने के लिए, C) शरीर की कंडीशनिंग का अभ्यास करने के लिए, D) अनुष्ठान करने के लिए</v>
      </c>
      <c r="I66" s="5" t="str">
        <f>IFERROR(__xludf.DUMMYFUNCTION("GOOGLETRANSLATE(D66, ""en"", ""hi"")"),"A) फुटवर्क कौशल में सुधार करने के लिए")</f>
        <v>A) फुटवर्क कौशल में सुधार करने के लिए</v>
      </c>
    </row>
    <row r="67" ht="22.5" customHeight="1">
      <c r="A67" s="2">
        <v>66.0</v>
      </c>
      <c r="B67" s="3" t="s">
        <v>13844</v>
      </c>
      <c r="C67" s="3" t="s">
        <v>13845</v>
      </c>
      <c r="D67" s="3" t="s">
        <v>13846</v>
      </c>
      <c r="F67" s="5" t="str">
        <f>IFERROR(__xludf.DUMMYFUNCTION("GOOGLETRANSLATE(A67, ""en"", ""hi"")"),"66")</f>
        <v>66</v>
      </c>
      <c r="G67" s="5" t="str">
        <f>IFERROR(__xludf.DUMMYFUNCTION("GOOGLETRANSLATE(B67, ""en"", ""hi"")"),"कलारीपयट्टू का कौन सा रूप लंबी छड़ी के उपयोग पर केंद्रित है?")</f>
        <v>कलारीपयट्टू का कौन सा रूप लंबी छड़ी के उपयोग पर केंद्रित है?</v>
      </c>
      <c r="H67" s="5" t="str">
        <f>IFERROR(__xludf.DUMMYFUNCTION("GOOGLETRANSLATE(C67, ""en"", ""hi"")"),"ए) केट्टू, बी) मार्मा, सी) चुवडु, डी) वर्मा")</f>
        <v>ए) केट्टू, बी) मार्मा, सी) चुवडु, डी) वर्मा</v>
      </c>
      <c r="I67" s="5" t="str">
        <f>IFERROR(__xludf.DUMMYFUNCTION("GOOGLETRANSLATE(D67, ""en"", ""hi"")"),"A) केट्टू")</f>
        <v>A) केट्टू</v>
      </c>
    </row>
    <row r="68" ht="22.5" customHeight="1">
      <c r="A68" s="2">
        <v>67.0</v>
      </c>
      <c r="B68" s="3" t="s">
        <v>13847</v>
      </c>
      <c r="C68" s="3" t="s">
        <v>13848</v>
      </c>
      <c r="D68" s="3" t="s">
        <v>13849</v>
      </c>
      <c r="F68" s="5" t="str">
        <f>IFERROR(__xludf.DUMMYFUNCTION("GOOGLETRANSLATE(A68, ""en"", ""hi"")"),"67")</f>
        <v>67</v>
      </c>
      <c r="G68" s="5" t="str">
        <f>IFERROR(__xludf.DUMMYFUNCTION("GOOGLETRANSLATE(B68, ""en"", ""hi"")"),"कलारीपयट्टू में 'अडावस' प्रशिक्षण मुख्य रूप से क्या बढ़ाता है?")</f>
        <v>कलारीपयट्टू में 'अडावस' प्रशिक्षण मुख्य रूप से क्या बढ़ाता है?</v>
      </c>
      <c r="H68" s="5" t="str">
        <f>IFERROR(__xludf.DUMMYFUNCTION("GOOGLETRANSLATE(C68, ""en"", ""hi"")"),"A) युद्ध रणनीति, B) सटीकता और तकनीक, C) शारीरिक शक्ति, D) हथियार संचालन")</f>
        <v>A) युद्ध रणनीति, B) सटीकता और तकनीक, C) शारीरिक शक्ति, D) हथियार संचालन</v>
      </c>
      <c r="I68" s="5" t="str">
        <f>IFERROR(__xludf.DUMMYFUNCTION("GOOGLETRANSLATE(D68, ""en"", ""hi"")"),"बी) परिशुद्धता और तकनीक")</f>
        <v>बी) परिशुद्धता और तकनीक</v>
      </c>
    </row>
    <row r="69" ht="22.5" customHeight="1">
      <c r="A69" s="2">
        <v>68.0</v>
      </c>
      <c r="B69" s="3" t="s">
        <v>13850</v>
      </c>
      <c r="C69" s="3" t="s">
        <v>13851</v>
      </c>
      <c r="D69" s="3" t="s">
        <v>13801</v>
      </c>
      <c r="F69" s="5" t="str">
        <f>IFERROR(__xludf.DUMMYFUNCTION("GOOGLETRANSLATE(A69, ""en"", ""hi"")"),"68")</f>
        <v>68</v>
      </c>
      <c r="G69" s="5" t="str">
        <f>IFERROR(__xludf.DUMMYFUNCTION("GOOGLETRANSLATE(B69, ""en"", ""hi"")"),"कलारीपयट्टू में 'वर्मम' का अभ्यास करने का मुख्य केंद्र क्या है?")</f>
        <v>कलारीपयट्टू में 'वर्मम' का अभ्यास करने का मुख्य केंद्र क्या है?</v>
      </c>
      <c r="H69" s="5" t="str">
        <f>IFERROR(__xludf.DUMMYFUNCTION("GOOGLETRANSLATE(C69, ""en"", ""hi"")"),"ए) शारीरिक कंडीशनिंग, बी) युद्ध के रुख, सी) महत्वपूर्ण बिंदु हमले, डी) हथियार कौशल")</f>
        <v>ए) शारीरिक कंडीशनिंग, बी) युद्ध के रुख, सी) महत्वपूर्ण बिंदु हमले, डी) हथियार कौशल</v>
      </c>
      <c r="I69" s="5" t="str">
        <f>IFERROR(__xludf.DUMMYFUNCTION("GOOGLETRANSLATE(D69, ""en"", ""hi"")"),"C) महत्वपूर्ण बिंदु पर प्रहार")</f>
        <v>C) महत्वपूर्ण बिंदु पर प्रहार</v>
      </c>
    </row>
    <row r="70" ht="22.5" customHeight="1">
      <c r="A70" s="2">
        <v>69.0</v>
      </c>
      <c r="B70" s="3" t="s">
        <v>13852</v>
      </c>
      <c r="C70" s="3" t="s">
        <v>13853</v>
      </c>
      <c r="D70" s="3" t="s">
        <v>13781</v>
      </c>
      <c r="F70" s="5" t="str">
        <f>IFERROR(__xludf.DUMMYFUNCTION("GOOGLETRANSLATE(A70, ""en"", ""hi"")"),"69")</f>
        <v>69</v>
      </c>
      <c r="G70" s="5" t="str">
        <f>IFERROR(__xludf.DUMMYFUNCTION("GOOGLETRANSLATE(B70, ""en"", ""hi"")"),"कौन सी कलारीपयट्टू तकनीक में गोलाकार गति और तीव्र हमले शामिल हैं?")</f>
        <v>कौन सी कलारीपयट्टू तकनीक में गोलाकार गति और तीव्र हमले शामिल हैं?</v>
      </c>
      <c r="H70" s="5" t="str">
        <f>IFERROR(__xludf.DUMMYFUNCTION("GOOGLETRANSLATE(C70, ""en"", ""hi"")"),"ए) एडवस, बी) वर्मम, सी) चुवडु, डी) केट्टू")</f>
        <v>ए) एडवस, बी) वर्मम, सी) चुवडु, डी) केट्टू</v>
      </c>
      <c r="I70" s="5" t="str">
        <f>IFERROR(__xludf.DUMMYFUNCTION("GOOGLETRANSLATE(D70, ""en"", ""hi"")"),"बी) वर्माम")</f>
        <v>बी) वर्माम</v>
      </c>
    </row>
    <row r="71" ht="22.5" customHeight="1">
      <c r="A71" s="2">
        <v>70.0</v>
      </c>
      <c r="B71" s="3" t="s">
        <v>13854</v>
      </c>
      <c r="C71" s="3" t="s">
        <v>13855</v>
      </c>
      <c r="D71" s="3" t="s">
        <v>13856</v>
      </c>
      <c r="F71" s="5" t="str">
        <f>IFERROR(__xludf.DUMMYFUNCTION("GOOGLETRANSLATE(A71, ""en"", ""hi"")"),"70")</f>
        <v>70</v>
      </c>
      <c r="G71" s="5" t="str">
        <f>IFERROR(__xludf.DUMMYFUNCTION("GOOGLETRANSLATE(B71, ""en"", ""hi"")"),"कलारीपयट्टू में 'कवि' प्रशिक्षण का केन्द्र बिन्दु क्या है?")</f>
        <v>कलारीपयट्टू में 'कवि' प्रशिक्षण का केन्द्र बिन्दु क्या है?</v>
      </c>
      <c r="H71" s="5" t="str">
        <f>IFERROR(__xludf.DUMMYFUNCTION("GOOGLETRANSLATE(C71, ""en"", ""hi"")"),"A) युद्ध तकनीक, B) हथियार कौशल, C) सटीक प्रहार, D) शारीरिक अनुकूलन")</f>
        <v>A) युद्ध तकनीक, B) हथियार कौशल, C) सटीक प्रहार, D) शारीरिक अनुकूलन</v>
      </c>
      <c r="I71" s="5" t="str">
        <f>IFERROR(__xludf.DUMMYFUNCTION("GOOGLETRANSLATE(D71, ""en"", ""hi"")"),"C) सटीक प्रहार")</f>
        <v>C) सटीक प्रहार</v>
      </c>
    </row>
    <row r="72" ht="22.5" customHeight="1">
      <c r="A72" s="2">
        <v>71.0</v>
      </c>
      <c r="B72" s="3" t="s">
        <v>13857</v>
      </c>
      <c r="C72" s="3" t="s">
        <v>13858</v>
      </c>
      <c r="D72" s="3" t="s">
        <v>13859</v>
      </c>
      <c r="F72" s="5" t="str">
        <f>IFERROR(__xludf.DUMMYFUNCTION("GOOGLETRANSLATE(A72, ""en"", ""hi"")"),"71")</f>
        <v>71</v>
      </c>
      <c r="G72" s="5" t="str">
        <f>IFERROR(__xludf.DUMMYFUNCTION("GOOGLETRANSLATE(B72, ""en"", ""hi"")"),"कलारीपयट्टु में 'चुवडु' अभ्यास का प्राथमिक उद्देश्य क्या है?")</f>
        <v>कलारीपयट्टु में 'चुवडु' अभ्यास का प्राथमिक उद्देश्य क्या है?</v>
      </c>
      <c r="H72" s="5" t="str">
        <f>IFERROR(__xludf.DUMMYFUNCTION("GOOGLETRANSLATE(C72, ""en"", ""hi"")"),"A) युद्ध की मुद्रा में सुधार करने के लिए, B) हथियार संचालन को बढ़ाने के लिए, C) फुटवर्क कौशल विकसित करने के लिए, D) अनुष्ठान करने के लिए")</f>
        <v>A) युद्ध की मुद्रा में सुधार करने के लिए, B) हथियार संचालन को बढ़ाने के लिए, C) फुटवर्क कौशल विकसित करने के लिए, D) अनुष्ठान करने के लिए</v>
      </c>
      <c r="I72" s="5" t="str">
        <f>IFERROR(__xludf.DUMMYFUNCTION("GOOGLETRANSLATE(D72, ""en"", ""hi"")"),"C) फुटवर्क कौशल विकसित करने के लिए")</f>
        <v>C) फुटवर्क कौशल विकसित करने के लिए</v>
      </c>
    </row>
    <row r="73" ht="22.5" customHeight="1">
      <c r="A73" s="2">
        <v>72.0</v>
      </c>
      <c r="B73" s="3" t="s">
        <v>13860</v>
      </c>
      <c r="C73" s="3" t="s">
        <v>13713</v>
      </c>
      <c r="D73" s="3" t="s">
        <v>13772</v>
      </c>
      <c r="F73" s="5" t="str">
        <f>IFERROR(__xludf.DUMMYFUNCTION("GOOGLETRANSLATE(A73, ""en"", ""hi"")"),"72")</f>
        <v>72</v>
      </c>
      <c r="G73" s="5" t="str">
        <f>IFERROR(__xludf.DUMMYFUNCTION("GOOGLETRANSLATE(B73, ""en"", ""hi"")"),"कौन सा कलारीपयट्टू हथियार अपने भारी, कुंद बल के कारण आक्रमण करने के लिए जाना जाता है?")</f>
        <v>कौन सा कलारीपयट्टू हथियार अपने भारी, कुंद बल के कारण आक्रमण करने के लिए जाना जाता है?</v>
      </c>
      <c r="H73" s="5" t="str">
        <f>IFERROR(__xludf.DUMMYFUNCTION("GOOGLETRANSLATE(C73, ""en"", ""hi"")"),"A) तलवार, B) गदा, C) भाला, D) खंजर")</f>
        <v>A) तलवार, B) गदा, C) भाला, D) खंजर</v>
      </c>
      <c r="I73" s="5" t="str">
        <f>IFERROR(__xludf.DUMMYFUNCTION("GOOGLETRANSLATE(D73, ""en"", ""hi"")"),"बी) गदा")</f>
        <v>बी) गदा</v>
      </c>
    </row>
    <row r="74" ht="22.5" customHeight="1">
      <c r="A74" s="2">
        <v>73.0</v>
      </c>
      <c r="B74" s="3" t="s">
        <v>13861</v>
      </c>
      <c r="C74" s="3" t="s">
        <v>13862</v>
      </c>
      <c r="D74" s="3" t="s">
        <v>13863</v>
      </c>
      <c r="F74" s="5" t="str">
        <f>IFERROR(__xludf.DUMMYFUNCTION("GOOGLETRANSLATE(A74, ""en"", ""hi"")"),"73")</f>
        <v>73</v>
      </c>
      <c r="G74" s="5" t="str">
        <f>IFERROR(__xludf.DUMMYFUNCTION("GOOGLETRANSLATE(B74, ""en"", ""hi"")"),"कलारीपयट्टू में, 'उझिचिल' शब्द का तात्पर्य क्या है?")</f>
        <v>कलारीपयट्टू में, 'उझिचिल' शब्द का तात्पर्य क्या है?</v>
      </c>
      <c r="H74" s="5" t="str">
        <f>IFERROR(__xludf.DUMMYFUNCTION("GOOGLETRANSLATE(C74, ""en"", ""hi"")"),"A) शरीर की मालिश और कंडीशनिंग, B) हथियार प्रशिक्षण, C) युद्ध के रूप, D) अनुष्ठानिक प्रथाएँ")</f>
        <v>A) शरीर की मालिश और कंडीशनिंग, B) हथियार प्रशिक्षण, C) युद्ध के रूप, D) अनुष्ठानिक प्रथाएँ</v>
      </c>
      <c r="I74" s="5" t="str">
        <f>IFERROR(__xludf.DUMMYFUNCTION("GOOGLETRANSLATE(D74, ""en"", ""hi"")"),"ए) शरीर की मालिश और कंडीशनिंग")</f>
        <v>ए) शरीर की मालिश और कंडीशनिंग</v>
      </c>
    </row>
    <row r="75" ht="22.5" customHeight="1">
      <c r="A75" s="2">
        <v>74.0</v>
      </c>
      <c r="B75" s="3" t="s">
        <v>13864</v>
      </c>
      <c r="C75" s="3" t="s">
        <v>13865</v>
      </c>
      <c r="D75" s="3" t="s">
        <v>13740</v>
      </c>
      <c r="F75" s="5" t="str">
        <f>IFERROR(__xludf.DUMMYFUNCTION("GOOGLETRANSLATE(A75, ""en"", ""hi"")"),"74")</f>
        <v>74</v>
      </c>
      <c r="G75" s="5" t="str">
        <f>IFERROR(__xludf.DUMMYFUNCTION("GOOGLETRANSLATE(B75, ""en"", ""hi"")"),"चपलता और सजगता में सुधार के लिए कलारीपयट्टू के किस रूप का उपयोग किया जाता है?")</f>
        <v>चपलता और सजगता में सुधार के लिए कलारीपयट्टू के किस रूप का उपयोग किया जाता है?</v>
      </c>
      <c r="H75" s="5" t="str">
        <f>IFERROR(__xludf.DUMMYFUNCTION("GOOGLETRANSLATE(C75, ""en"", ""hi"")"),"ए) एडवस, बी) मार्मा, सी) चुवाडु, डी) उझिचिल")</f>
        <v>ए) एडवस, बी) मार्मा, सी) चुवाडु, डी) उझिचिल</v>
      </c>
      <c r="I75" s="5" t="str">
        <f>IFERROR(__xludf.DUMMYFUNCTION("GOOGLETRANSLATE(D75, ""en"", ""hi"")"),"ए) एडवस")</f>
        <v>ए) एडवस</v>
      </c>
    </row>
    <row r="76" ht="22.5" customHeight="1">
      <c r="A76" s="2">
        <v>75.0</v>
      </c>
      <c r="B76" s="3" t="s">
        <v>13866</v>
      </c>
      <c r="C76" s="3" t="s">
        <v>13867</v>
      </c>
      <c r="D76" s="3" t="s">
        <v>13868</v>
      </c>
      <c r="F76" s="5" t="str">
        <f>IFERROR(__xludf.DUMMYFUNCTION("GOOGLETRANSLATE(A76, ""en"", ""hi"")"),"75")</f>
        <v>75</v>
      </c>
      <c r="G76" s="5" t="str">
        <f>IFERROR(__xludf.DUMMYFUNCTION("GOOGLETRANSLATE(B76, ""en"", ""hi"")"),"कलारीपयट्टू में 'मर्म' तकनीक का अभ्यास करने का मुख्य उद्देश्य क्या है?")</f>
        <v>कलारीपयट्टू में 'मर्म' तकनीक का अभ्यास करने का मुख्य उद्देश्य क्या है?</v>
      </c>
      <c r="H76" s="5" t="str">
        <f>IFERROR(__xludf.DUMMYFUNCTION("GOOGLETRANSLATE(C76, ""en"", ""hi"")"),"A) प्रहार तकनीक सीखने के लिए, B) शरीर की कंडीशनिंग बढ़ाने के लिए, C) महत्वपूर्ण बिंदुओं को निशाना बनाने के लिए, D) हथियार चलाने का अभ्यास करने के लिए")</f>
        <v>A) प्रहार तकनीक सीखने के लिए, B) शरीर की कंडीशनिंग बढ़ाने के लिए, C) महत्वपूर्ण बिंदुओं को निशाना बनाने के लिए, D) हथियार चलाने का अभ्यास करने के लिए</v>
      </c>
      <c r="I76" s="5" t="str">
        <f>IFERROR(__xludf.DUMMYFUNCTION("GOOGLETRANSLATE(D76, ""en"", ""hi"")"),"C) महत्वपूर्ण बिंदुओं को लक्षित करने के लिए")</f>
        <v>C) महत्वपूर्ण बिंदुओं को लक्षित करने के लिए</v>
      </c>
    </row>
    <row r="77" ht="22.5" customHeight="1">
      <c r="A77" s="2">
        <v>76.0</v>
      </c>
      <c r="B77" s="3" t="s">
        <v>13869</v>
      </c>
      <c r="C77" s="3" t="s">
        <v>13838</v>
      </c>
      <c r="D77" s="3" t="s">
        <v>13675</v>
      </c>
      <c r="F77" s="5" t="str">
        <f>IFERROR(__xludf.DUMMYFUNCTION("GOOGLETRANSLATE(A77, ""en"", ""hi"")"),"76")</f>
        <v>76</v>
      </c>
      <c r="G77" s="5" t="str">
        <f>IFERROR(__xludf.DUMMYFUNCTION("GOOGLETRANSLATE(B77, ""en"", ""hi"")"),"कौन सा कलारीपयट्टू अभ्यास रक्षात्मक और बचावात्मक तकनीकों को विकसित करने पर केंद्रित है?")</f>
        <v>कौन सा कलारीपयट्टू अभ्यास रक्षात्मक और बचावात्मक तकनीकों को विकसित करने पर केंद्रित है?</v>
      </c>
      <c r="H77" s="5" t="str">
        <f>IFERROR(__xludf.DUMMYFUNCTION("GOOGLETRANSLATE(C77, ""en"", ""hi"")"),"ए) चुवडु, बी) उझिचिल, सी) वर्मा, डी) केट्टू")</f>
        <v>ए) चुवडु, बी) उझिचिल, सी) वर्मा, डी) केट्टू</v>
      </c>
      <c r="I77" s="5" t="str">
        <f>IFERROR(__xludf.DUMMYFUNCTION("GOOGLETRANSLATE(D77, ""en"", ""hi"")"),"A) चुवाडु")</f>
        <v>A) चुवाडु</v>
      </c>
    </row>
    <row r="78" ht="22.5" customHeight="1">
      <c r="A78" s="2">
        <v>77.0</v>
      </c>
      <c r="B78" s="3" t="s">
        <v>13870</v>
      </c>
      <c r="C78" s="3" t="s">
        <v>13871</v>
      </c>
      <c r="D78" s="3" t="s">
        <v>13872</v>
      </c>
      <c r="F78" s="5" t="str">
        <f>IFERROR(__xludf.DUMMYFUNCTION("GOOGLETRANSLATE(A78, ""en"", ""hi"")"),"77")</f>
        <v>77</v>
      </c>
      <c r="G78" s="5" t="str">
        <f>IFERROR(__xludf.DUMMYFUNCTION("GOOGLETRANSLATE(B78, ""en"", ""hi"")"),"कलारीपयट्टू में 'नदी' का क्या अर्थ है?")</f>
        <v>कलारीपयट्टू में 'नदी' का क्या अर्थ है?</v>
      </c>
      <c r="H78" s="5" t="str">
        <f>IFERROR(__xludf.DUMMYFUNCTION("GOOGLETRANSLATE(C78, ""en"", ""hi"")"),"A) युद्ध मुद्रा, B) ऊर्जा चैनल, C) हथियार तकनीक, D) शारीरिक कंडीशनिंग")</f>
        <v>A) युद्ध मुद्रा, B) ऊर्जा चैनल, C) हथियार तकनीक, D) शारीरिक कंडीशनिंग</v>
      </c>
      <c r="I78" s="5" t="str">
        <f>IFERROR(__xludf.DUMMYFUNCTION("GOOGLETRANSLATE(D78, ""en"", ""hi"")"),"बी) ऊर्जा चैनल")</f>
        <v>बी) ऊर्जा चैनल</v>
      </c>
    </row>
    <row r="79" ht="22.5" customHeight="1">
      <c r="A79" s="2">
        <v>78.0</v>
      </c>
      <c r="B79" s="3" t="s">
        <v>13873</v>
      </c>
      <c r="C79" s="3" t="s">
        <v>13874</v>
      </c>
      <c r="D79" s="3" t="s">
        <v>13875</v>
      </c>
      <c r="F79" s="5" t="str">
        <f>IFERROR(__xludf.DUMMYFUNCTION("GOOGLETRANSLATE(A79, ""en"", ""hi"")"),"78")</f>
        <v>78</v>
      </c>
      <c r="G79" s="5" t="str">
        <f>IFERROR(__xludf.DUMMYFUNCTION("GOOGLETRANSLATE(B79, ""en"", ""hi"")"),"कलारीपयट्टु में 'चुवडु' का प्रयोग किस चीज़ के अभ्यास के लिए किया जाता है?")</f>
        <v>कलारीपयट्टु में 'चुवडु' का प्रयोग किस चीज़ के अभ्यास के लिए किया जाता है?</v>
      </c>
      <c r="H79" s="5" t="str">
        <f>IFERROR(__xludf.DUMMYFUNCTION("GOOGLETRANSLATE(C79, ""en"", ""hi"")"),"ए) फुटवर्क, बी) बॉडी कंडीशनिंग, सी) हथियार संचालन, डी) लड़ाकू रूप")</f>
        <v>ए) फुटवर्क, बी) बॉडी कंडीशनिंग, सी) हथियार संचालन, डी) लड़ाकू रूप</v>
      </c>
      <c r="I79" s="5" t="str">
        <f>IFERROR(__xludf.DUMMYFUNCTION("GOOGLETRANSLATE(D79, ""en"", ""hi"")"),"ए) फुटवर्क")</f>
        <v>ए) फुटवर्क</v>
      </c>
    </row>
    <row r="80" ht="22.5" customHeight="1">
      <c r="A80" s="2">
        <v>79.0</v>
      </c>
      <c r="B80" s="3" t="s">
        <v>13876</v>
      </c>
      <c r="C80" s="3" t="s">
        <v>13877</v>
      </c>
      <c r="D80" s="3" t="s">
        <v>13846</v>
      </c>
      <c r="F80" s="5" t="str">
        <f>IFERROR(__xludf.DUMMYFUNCTION("GOOGLETRANSLATE(A80, ""en"", ""hi"")"),"79")</f>
        <v>79</v>
      </c>
      <c r="G80" s="5" t="str">
        <f>IFERROR(__xludf.DUMMYFUNCTION("GOOGLETRANSLATE(B80, ""en"", ""hi"")"),"कलारीपयट्टू के किस रूप में अभ्यास के लिए लंबी छड़ी का उपयोग किया जाता है?")</f>
        <v>कलारीपयट्टू के किस रूप में अभ्यास के लिए लंबी छड़ी का उपयोग किया जाता है?</v>
      </c>
      <c r="H80" s="5" t="str">
        <f>IFERROR(__xludf.DUMMYFUNCTION("GOOGLETRANSLATE(C80, ""en"", ""hi"")"),"ए) केट्टू, बी) चुवडु, सी) वर्मा, डी) एडवस")</f>
        <v>ए) केट्टू, बी) चुवडु, सी) वर्मा, डी) एडवस</v>
      </c>
      <c r="I80" s="5" t="str">
        <f>IFERROR(__xludf.DUMMYFUNCTION("GOOGLETRANSLATE(D80, ""en"", ""hi"")"),"A) केट्टू")</f>
        <v>A) केट्टू</v>
      </c>
    </row>
    <row r="81" ht="22.5" customHeight="1">
      <c r="A81" s="2">
        <v>80.0</v>
      </c>
      <c r="B81" s="3" t="s">
        <v>13878</v>
      </c>
      <c r="C81" s="3" t="s">
        <v>13879</v>
      </c>
      <c r="D81" s="3" t="s">
        <v>13880</v>
      </c>
      <c r="F81" s="5" t="str">
        <f>IFERROR(__xludf.DUMMYFUNCTION("GOOGLETRANSLATE(A81, ""en"", ""hi"")"),"80")</f>
        <v>80</v>
      </c>
      <c r="G81" s="5" t="str">
        <f>IFERROR(__xludf.DUMMYFUNCTION("GOOGLETRANSLATE(B81, ""en"", ""hi"")"),"कलारीपयट्टू में 'अडावस' प्रशिक्षण किस पर केंद्रित है?")</f>
        <v>कलारीपयट्टू में 'अडावस' प्रशिक्षण किस पर केंद्रित है?</v>
      </c>
      <c r="H81" s="5" t="str">
        <f>IFERROR(__xludf.DUMMYFUNCTION("GOOGLETRANSLATE(C81, ""en"", ""hi"")"),"A) हथियार तकनीक, B) युद्ध के रूप, C) तकनीक की सटीकता, D) शारीरिक शक्ति")</f>
        <v>A) हथियार तकनीक, B) युद्ध के रूप, C) तकनीक की सटीकता, D) शारीरिक शक्ति</v>
      </c>
      <c r="I81" s="5" t="str">
        <f>IFERROR(__xludf.DUMMYFUNCTION("GOOGLETRANSLATE(D81, ""en"", ""hi"")"),"C) तकनीक परिशुद्धता")</f>
        <v>C) तकनीक परिशुद्धता</v>
      </c>
    </row>
    <row r="82" ht="22.5" customHeight="1">
      <c r="A82" s="2">
        <v>81.0</v>
      </c>
      <c r="B82" s="3" t="s">
        <v>13881</v>
      </c>
      <c r="C82" s="3" t="s">
        <v>13809</v>
      </c>
      <c r="D82" s="3" t="s">
        <v>13781</v>
      </c>
      <c r="F82" s="5" t="str">
        <f>IFERROR(__xludf.DUMMYFUNCTION("GOOGLETRANSLATE(A82, ""en"", ""hi"")"),"81")</f>
        <v>81</v>
      </c>
      <c r="G82" s="5" t="str">
        <f>IFERROR(__xludf.DUMMYFUNCTION("GOOGLETRANSLATE(B82, ""en"", ""hi"")"),"कलारीपयट्टू का कौन सा रूप प्रहार की गति और सटीकता को बढ़ाने में मदद करता है?")</f>
        <v>कलारीपयट्टू का कौन सा रूप प्रहार की गति और सटीकता को बढ़ाने में मदद करता है?</v>
      </c>
      <c r="H82" s="5" t="str">
        <f>IFERROR(__xludf.DUMMYFUNCTION("GOOGLETRANSLATE(C82, ""en"", ""hi"")"),"ए) चुवडु, बी) वर्मम, सी) एडवस, डी) उझिचिल")</f>
        <v>ए) चुवडु, बी) वर्मम, सी) एडवस, डी) उझिचिल</v>
      </c>
      <c r="I82" s="5" t="str">
        <f>IFERROR(__xludf.DUMMYFUNCTION("GOOGLETRANSLATE(D82, ""en"", ""hi"")"),"बी) वर्माम")</f>
        <v>बी) वर्माम</v>
      </c>
    </row>
    <row r="83" ht="22.5" customHeight="1">
      <c r="A83" s="2">
        <v>82.0</v>
      </c>
      <c r="B83" s="3" t="s">
        <v>13882</v>
      </c>
      <c r="C83" s="3" t="s">
        <v>13883</v>
      </c>
      <c r="D83" s="3" t="s">
        <v>13884</v>
      </c>
      <c r="F83" s="5" t="str">
        <f>IFERROR(__xludf.DUMMYFUNCTION("GOOGLETRANSLATE(A83, ""en"", ""hi"")"),"82")</f>
        <v>82</v>
      </c>
      <c r="G83" s="5" t="str">
        <f>IFERROR(__xludf.DUMMYFUNCTION("GOOGLETRANSLATE(B83, ""en"", ""hi"")"),"कलारीपयट्टू में 'कवि' का प्रयोग किसके लिए किया जाता है?")</f>
        <v>कलारीपयट्टू में 'कवि' का प्रयोग किसके लिए किया जाता है?</v>
      </c>
      <c r="H83" s="5" t="str">
        <f>IFERROR(__xludf.DUMMYFUNCTION("GOOGLETRANSLATE(C83, ""en"", ""hi"")"),"A) हथियार संचालन, B) प्रहार की सटीकता, C) युद्ध की मुद्रा, D) शारीरिक अनुकूलन")</f>
        <v>A) हथियार संचालन, B) प्रहार की सटीकता, C) युद्ध की मुद्रा, D) शारीरिक अनुकूलन</v>
      </c>
      <c r="I83" s="5" t="str">
        <f>IFERROR(__xludf.DUMMYFUNCTION("GOOGLETRANSLATE(D83, ""en"", ""hi"")"),"बी) सटीक प्रहार")</f>
        <v>बी) सटीक प्रहार</v>
      </c>
    </row>
    <row r="84" ht="22.5" customHeight="1">
      <c r="A84" s="2">
        <v>83.0</v>
      </c>
      <c r="B84" s="3" t="s">
        <v>13885</v>
      </c>
      <c r="C84" s="3" t="s">
        <v>13886</v>
      </c>
      <c r="D84" s="3" t="s">
        <v>13740</v>
      </c>
      <c r="F84" s="5" t="str">
        <f>IFERROR(__xludf.DUMMYFUNCTION("GOOGLETRANSLATE(A84, ""en"", ""hi"")"),"83")</f>
        <v>83</v>
      </c>
      <c r="G84" s="5" t="str">
        <f>IFERROR(__xludf.DUMMYFUNCTION("GOOGLETRANSLATE(B84, ""en"", ""hi"")"),"कलारीपयट्टू के किस रूप का उपयोग सजगता और चपलता में सुधार के लिए किया जाता है?")</f>
        <v>कलारीपयट्टू के किस रूप का उपयोग सजगता और चपलता में सुधार के लिए किया जाता है?</v>
      </c>
      <c r="H84" s="5" t="str">
        <f>IFERROR(__xludf.DUMMYFUNCTION("GOOGLETRANSLATE(C84, ""en"", ""hi"")"),"ए) एडवस, बी) वर्मा, सी) चुवाडु, डी) केट्टू")</f>
        <v>ए) एडवस, बी) वर्मा, सी) चुवाडु, डी) केट्टू</v>
      </c>
      <c r="I84" s="5" t="str">
        <f>IFERROR(__xludf.DUMMYFUNCTION("GOOGLETRANSLATE(D84, ""en"", ""hi"")"),"ए) एडवस")</f>
        <v>ए) एडवस</v>
      </c>
    </row>
    <row r="85" ht="22.5" customHeight="1">
      <c r="A85" s="2">
        <v>84.0</v>
      </c>
      <c r="B85" s="3" t="s">
        <v>13887</v>
      </c>
      <c r="C85" s="3" t="s">
        <v>13888</v>
      </c>
      <c r="D85" s="3" t="s">
        <v>13889</v>
      </c>
      <c r="F85" s="5" t="str">
        <f>IFERROR(__xludf.DUMMYFUNCTION("GOOGLETRANSLATE(A85, ""en"", ""hi"")"),"84")</f>
        <v>84</v>
      </c>
      <c r="G85" s="5" t="str">
        <f>IFERROR(__xludf.DUMMYFUNCTION("GOOGLETRANSLATE(B85, ""en"", ""hi"")"),"कलारीपयट्टू प्रशिक्षण में 'मर्म' का मुख्य लक्ष्य क्या है?")</f>
        <v>कलारीपयट्टू प्रशिक्षण में 'मर्म' का मुख्य लक्ष्य क्या है?</v>
      </c>
      <c r="H85" s="5" t="str">
        <f>IFERROR(__xludf.DUMMYFUNCTION("GOOGLETRANSLATE(C85, ""en"", ""hi"")"),"A) युद्ध की मुद्रा में सुधार करने के लिए, B) महत्वपूर्ण बिंदुओं को निशाना बनाने के लिए, C) हथियार कौशल को बढ़ाने के लिए, D) फुटवर्क का अभ्यास करने के लिए")</f>
        <v>A) युद्ध की मुद्रा में सुधार करने के लिए, B) महत्वपूर्ण बिंदुओं को निशाना बनाने के लिए, C) हथियार कौशल को बढ़ाने के लिए, D) फुटवर्क का अभ्यास करने के लिए</v>
      </c>
      <c r="I85" s="5" t="str">
        <f>IFERROR(__xludf.DUMMYFUNCTION("GOOGLETRANSLATE(D85, ""en"", ""hi"")"),"बी) महत्वपूर्ण बिंदुओं को लक्षित करने के लिए")</f>
        <v>बी) महत्वपूर्ण बिंदुओं को लक्षित करने के लिए</v>
      </c>
    </row>
    <row r="86" ht="22.5" customHeight="1">
      <c r="A86" s="2">
        <v>85.0</v>
      </c>
      <c r="B86" s="3" t="s">
        <v>13890</v>
      </c>
      <c r="C86" s="3" t="s">
        <v>13891</v>
      </c>
      <c r="D86" s="3" t="s">
        <v>13778</v>
      </c>
      <c r="F86" s="5" t="str">
        <f>IFERROR(__xludf.DUMMYFUNCTION("GOOGLETRANSLATE(A86, ""en"", ""hi"")"),"85")</f>
        <v>85</v>
      </c>
      <c r="G86" s="5" t="str">
        <f>IFERROR(__xludf.DUMMYFUNCTION("GOOGLETRANSLATE(B86, ""en"", ""hi"")"),"कलारीपयट्टू में, 'उझिचिल' अभ्यास का फोकस क्या है?")</f>
        <v>कलारीपयट्टू में, 'उझिचिल' अभ्यास का फोकस क्या है?</v>
      </c>
      <c r="H86" s="5" t="str">
        <f>IFERROR(__xludf.DUMMYFUNCTION("GOOGLETRANSLATE(C86, ""en"", ""hi"")"),"A) शारीरिक कंडीशनिंग, B) हथियार कौशल, C) युद्ध तकनीक, D) अनुष्ठानिक प्रथाएँ")</f>
        <v>A) शारीरिक कंडीशनिंग, B) हथियार कौशल, C) युद्ध तकनीक, D) अनुष्ठानिक प्रथाएँ</v>
      </c>
      <c r="I86" s="5" t="str">
        <f>IFERROR(__xludf.DUMMYFUNCTION("GOOGLETRANSLATE(D86, ""en"", ""hi"")"),"A) शरीर की कंडीशनिंग")</f>
        <v>A) शरीर की कंडीशनिंग</v>
      </c>
    </row>
    <row r="87" ht="22.5" customHeight="1">
      <c r="A87" s="2">
        <v>86.0</v>
      </c>
      <c r="B87" s="3" t="s">
        <v>13892</v>
      </c>
      <c r="C87" s="3" t="s">
        <v>13853</v>
      </c>
      <c r="D87" s="3" t="s">
        <v>13781</v>
      </c>
      <c r="F87" s="5" t="str">
        <f>IFERROR(__xludf.DUMMYFUNCTION("GOOGLETRANSLATE(A87, ""en"", ""hi"")"),"86")</f>
        <v>86</v>
      </c>
      <c r="G87" s="5" t="str">
        <f>IFERROR(__xludf.DUMMYFUNCTION("GOOGLETRANSLATE(B87, ""en"", ""hi"")"),"कौन सी कलारीपयट्टू तकनीक वृत्ताकार और प्रवाहमय गति पर जोर देती है?")</f>
        <v>कौन सी कलारीपयट्टू तकनीक वृत्ताकार और प्रवाहमय गति पर जोर देती है?</v>
      </c>
      <c r="H87" s="5" t="str">
        <f>IFERROR(__xludf.DUMMYFUNCTION("GOOGLETRANSLATE(C87, ""en"", ""hi"")"),"ए) एडवस, बी) वर्मम, सी) चुवडु, डी) केट्टू")</f>
        <v>ए) एडवस, बी) वर्मम, सी) चुवडु, डी) केट्टू</v>
      </c>
      <c r="I87" s="5" t="str">
        <f>IFERROR(__xludf.DUMMYFUNCTION("GOOGLETRANSLATE(D87, ""en"", ""hi"")"),"बी) वर्माम")</f>
        <v>बी) वर्माम</v>
      </c>
    </row>
    <row r="88" ht="22.5" customHeight="1">
      <c r="A88" s="2">
        <v>87.0</v>
      </c>
      <c r="B88" s="3" t="s">
        <v>13893</v>
      </c>
      <c r="C88" s="3" t="s">
        <v>13894</v>
      </c>
      <c r="D88" s="3" t="s">
        <v>13895</v>
      </c>
      <c r="F88" s="5" t="str">
        <f>IFERROR(__xludf.DUMMYFUNCTION("GOOGLETRANSLATE(A88, ""en"", ""hi"")"),"87")</f>
        <v>87</v>
      </c>
      <c r="G88" s="5" t="str">
        <f>IFERROR(__xludf.DUMMYFUNCTION("GOOGLETRANSLATE(B88, ""en"", ""hi"")"),"कलारीपयट्टू प्रशिक्षण में 'कवि' की क्या भूमिका है?")</f>
        <v>कलारीपयट्टू प्रशिक्षण में 'कवि' की क्या भूमिका है?</v>
      </c>
      <c r="H88" s="5" t="str">
        <f>IFERROR(__xludf.DUMMYFUNCTION("GOOGLETRANSLATE(C88, ""en"", ""hi"")"),"A) प्रहार तकनीकों का अभ्यास करना, B) फुटवर्क कौशल विकसित करना, C) शरीर का लचीलापन सुधारना, D) अनुष्ठान करना")</f>
        <v>A) प्रहार तकनीकों का अभ्यास करना, B) फुटवर्क कौशल विकसित करना, C) शरीर का लचीलापन सुधारना, D) अनुष्ठान करना</v>
      </c>
      <c r="I88" s="5" t="str">
        <f>IFERROR(__xludf.DUMMYFUNCTION("GOOGLETRANSLATE(D88, ""en"", ""hi"")"),"A) प्रहार तकनीकों का अभ्यास करना")</f>
        <v>A) प्रहार तकनीकों का अभ्यास करना</v>
      </c>
    </row>
    <row r="89" ht="22.5" customHeight="1">
      <c r="A89" s="2">
        <v>88.0</v>
      </c>
      <c r="B89" s="3" t="s">
        <v>13896</v>
      </c>
      <c r="C89" s="3" t="s">
        <v>13814</v>
      </c>
      <c r="D89" s="3" t="s">
        <v>13787</v>
      </c>
      <c r="F89" s="5" t="str">
        <f>IFERROR(__xludf.DUMMYFUNCTION("GOOGLETRANSLATE(A89, ""en"", ""hi"")"),"88")</f>
        <v>88</v>
      </c>
      <c r="G89" s="5" t="str">
        <f>IFERROR(__xludf.DUMMYFUNCTION("GOOGLETRANSLATE(B89, ""en"", ""hi"")"),"पैरों की गति और चपलता बढ़ाने के लिए किस कलारीपयट्टू रूप का उपयोग किया जाता है?")</f>
        <v>पैरों की गति और चपलता बढ़ाने के लिए किस कलारीपयट्टू रूप का उपयोग किया जाता है?</v>
      </c>
      <c r="H89" s="5" t="str">
        <f>IFERROR(__xludf.DUMMYFUNCTION("GOOGLETRANSLATE(C89, ""en"", ""hi"")"),"ए) एडवस, बी) चुवाडु, सी) वर्मा, डी) उझिचिल")</f>
        <v>ए) एडवस, बी) चुवाडु, सी) वर्मा, डी) उझिचिल</v>
      </c>
      <c r="I89" s="5" t="str">
        <f>IFERROR(__xludf.DUMMYFUNCTION("GOOGLETRANSLATE(D89, ""en"", ""hi"")"),"बी) चुवाडु")</f>
        <v>बी) चुवाडु</v>
      </c>
    </row>
    <row r="90" ht="22.5" customHeight="1">
      <c r="A90" s="2">
        <v>89.0</v>
      </c>
      <c r="B90" s="3" t="s">
        <v>13897</v>
      </c>
      <c r="C90" s="3" t="s">
        <v>13898</v>
      </c>
      <c r="D90" s="3" t="s">
        <v>13899</v>
      </c>
      <c r="F90" s="5" t="str">
        <f>IFERROR(__xludf.DUMMYFUNCTION("GOOGLETRANSLATE(A90, ""en"", ""hi"")"),"89")</f>
        <v>89</v>
      </c>
      <c r="G90" s="5" t="str">
        <f>IFERROR(__xludf.DUMMYFUNCTION("GOOGLETRANSLATE(B90, ""en"", ""hi"")"),"कलारीपयट्टु में 'मर्म' शब्द किसको संदर्भित करता है?")</f>
        <v>कलारीपयट्टु में 'मर्म' शब्द किसको संदर्भित करता है?</v>
      </c>
      <c r="H90" s="5" t="str">
        <f>IFERROR(__xludf.DUMMYFUNCTION("GOOGLETRANSLATE(C90, ""en"", ""hi"")"),"ए) शारीरिक कंडीशनिंग, बी) महत्वपूर्ण बिंदु हमले, सी) हथियार तकनीक, डी) युद्ध रुख")</f>
        <v>ए) शारीरिक कंडीशनिंग, बी) महत्वपूर्ण बिंदु हमले, सी) हथियार तकनीक, डी) युद्ध रुख</v>
      </c>
      <c r="I90" s="5" t="str">
        <f>IFERROR(__xludf.DUMMYFUNCTION("GOOGLETRANSLATE(D90, ""en"", ""hi"")"),"बी) महत्वपूर्ण बिंदु पर प्रहार")</f>
        <v>बी) महत्वपूर्ण बिंदु पर प्रहार</v>
      </c>
    </row>
    <row r="91" ht="22.5" customHeight="1">
      <c r="A91" s="2">
        <v>90.0</v>
      </c>
      <c r="B91" s="3" t="s">
        <v>13900</v>
      </c>
      <c r="C91" s="3" t="s">
        <v>13901</v>
      </c>
      <c r="D91" s="3" t="s">
        <v>13902</v>
      </c>
      <c r="F91" s="5" t="str">
        <f>IFERROR(__xludf.DUMMYFUNCTION("GOOGLETRANSLATE(A91, ""en"", ""hi"")"),"90")</f>
        <v>90</v>
      </c>
      <c r="G91" s="5" t="str">
        <f>IFERROR(__xludf.DUMMYFUNCTION("GOOGLETRANSLATE(B91, ""en"", ""hi"")"),"कलारीपयट्टू में 'अडावस' अभ्यास का प्राथमिक केंद्र क्या है?")</f>
        <v>कलारीपयट्टू में 'अडावस' अभ्यास का प्राथमिक केंद्र क्या है?</v>
      </c>
      <c r="H91" s="5" t="str">
        <f>IFERROR(__xludf.DUMMYFUNCTION("GOOGLETRANSLATE(C91, ""en"", ""hi"")"),"A) युद्ध की मुद्राएँ, B) तकनीक निष्पादन, C) शारीरिक शक्ति, D) हथियार संचालन")</f>
        <v>A) युद्ध की मुद्राएँ, B) तकनीक निष्पादन, C) शारीरिक शक्ति, D) हथियार संचालन</v>
      </c>
      <c r="I91" s="5" t="str">
        <f>IFERROR(__xludf.DUMMYFUNCTION("GOOGLETRANSLATE(D91, ""en"", ""hi"")"),"बी) तकनीक निष्पादन")</f>
        <v>बी) तकनीक निष्पादन</v>
      </c>
    </row>
    <row r="92" ht="22.5" customHeight="1">
      <c r="A92" s="2">
        <v>91.0</v>
      </c>
      <c r="B92" s="3" t="s">
        <v>13903</v>
      </c>
      <c r="C92" s="3" t="s">
        <v>13713</v>
      </c>
      <c r="D92" s="3" t="s">
        <v>13714</v>
      </c>
      <c r="F92" s="5" t="str">
        <f>IFERROR(__xludf.DUMMYFUNCTION("GOOGLETRANSLATE(A92, ""en"", ""hi"")"),"91")</f>
        <v>91</v>
      </c>
      <c r="G92" s="5" t="str">
        <f>IFERROR(__xludf.DUMMYFUNCTION("GOOGLETRANSLATE(B92, ""en"", ""hi"")"),"कौन सा कलारीपयट्टू हथियार वार करने और प्रहार करने दोनों में अपनी प्रभावशीलता के लिए जाना जाता है?")</f>
        <v>कौन सा कलारीपयट्टू हथियार वार करने और प्रहार करने दोनों में अपनी प्रभावशीलता के लिए जाना जाता है?</v>
      </c>
      <c r="H92" s="5" t="str">
        <f>IFERROR(__xludf.DUMMYFUNCTION("GOOGLETRANSLATE(C92, ""en"", ""hi"")"),"A) तलवार, B) गदा, C) भाला, D) खंजर")</f>
        <v>A) तलवार, B) गदा, C) भाला, D) खंजर</v>
      </c>
      <c r="I92" s="5" t="str">
        <f>IFERROR(__xludf.DUMMYFUNCTION("GOOGLETRANSLATE(D92, ""en"", ""hi"")"),"ए) तलवार")</f>
        <v>ए) तलवार</v>
      </c>
    </row>
    <row r="93" ht="22.5" customHeight="1">
      <c r="A93" s="2">
        <v>92.0</v>
      </c>
      <c r="B93" s="3" t="s">
        <v>13904</v>
      </c>
      <c r="C93" s="3" t="s">
        <v>13905</v>
      </c>
      <c r="D93" s="3" t="s">
        <v>13775</v>
      </c>
      <c r="F93" s="5" t="str">
        <f>IFERROR(__xludf.DUMMYFUNCTION("GOOGLETRANSLATE(A93, ""en"", ""hi"")"),"92")</f>
        <v>92</v>
      </c>
      <c r="G93" s="5" t="str">
        <f>IFERROR(__xludf.DUMMYFUNCTION("GOOGLETRANSLATE(B93, ""en"", ""hi"")"),"कलारीपयट्टु में, 'चुवडु' किस पर केंद्रित है?")</f>
        <v>कलारीपयट्टु में, 'चुवडु' किस पर केंद्रित है?</v>
      </c>
      <c r="H93" s="5" t="str">
        <f>IFERROR(__xludf.DUMMYFUNCTION("GOOGLETRANSLATE(C93, ""en"", ""hi"")"),"ए) हथियार तकनीक, बी) शरीर की कंडीशनिंग, सी) युद्ध की मुद्राएँ, डी) फुटवर्क")</f>
        <v>ए) हथियार तकनीक, बी) शरीर की कंडीशनिंग, सी) युद्ध की मुद्राएँ, डी) फुटवर्क</v>
      </c>
      <c r="I93" s="5" t="str">
        <f>IFERROR(__xludf.DUMMYFUNCTION("GOOGLETRANSLATE(D93, ""en"", ""hi"")"),"डी) फुटवर्क")</f>
        <v>डी) फुटवर्क</v>
      </c>
    </row>
    <row r="94" ht="22.5" customHeight="1">
      <c r="A94" s="2">
        <v>93.0</v>
      </c>
      <c r="B94" s="3" t="s">
        <v>13906</v>
      </c>
      <c r="C94" s="3" t="s">
        <v>13798</v>
      </c>
      <c r="D94" s="3" t="s">
        <v>13740</v>
      </c>
      <c r="F94" s="5" t="str">
        <f>IFERROR(__xludf.DUMMYFUNCTION("GOOGLETRANSLATE(A94, ""en"", ""hi"")"),"93")</f>
        <v>93</v>
      </c>
      <c r="G94" s="5" t="str">
        <f>IFERROR(__xludf.DUMMYFUNCTION("GOOGLETRANSLATE(B94, ""en"", ""hi"")"),"चपलता और गति में सुधार के लिए किस कलारीपयट्टू का उपयोग किया जाता है?")</f>
        <v>चपलता और गति में सुधार के लिए किस कलारीपयट्टू का उपयोग किया जाता है?</v>
      </c>
      <c r="H94" s="5" t="str">
        <f>IFERROR(__xludf.DUMMYFUNCTION("GOOGLETRANSLATE(C94, ""en"", ""hi"")"),"ए) एडवस, बी) वर्मा, सी) चुवाडु, डी) उझिचिल")</f>
        <v>ए) एडवस, बी) वर्मा, सी) चुवाडु, डी) उझिचिल</v>
      </c>
      <c r="I94" s="5" t="str">
        <f>IFERROR(__xludf.DUMMYFUNCTION("GOOGLETRANSLATE(D94, ""en"", ""hi"")"),"ए) एडवस")</f>
        <v>ए) एडवस</v>
      </c>
    </row>
    <row r="95" ht="22.5" customHeight="1">
      <c r="A95" s="2">
        <v>94.0</v>
      </c>
      <c r="B95" s="3" t="s">
        <v>13907</v>
      </c>
      <c r="C95" s="3" t="s">
        <v>13908</v>
      </c>
      <c r="D95" s="3" t="s">
        <v>13863</v>
      </c>
      <c r="F95" s="5" t="str">
        <f>IFERROR(__xludf.DUMMYFUNCTION("GOOGLETRANSLATE(A95, ""en"", ""hi"")"),"94")</f>
        <v>94</v>
      </c>
      <c r="G95" s="5" t="str">
        <f>IFERROR(__xludf.DUMMYFUNCTION("GOOGLETRANSLATE(B95, ""en"", ""hi"")"),"कलारीपयट्टू में 'उझिचिल' में मुख्य रूप से क्या शामिल है?")</f>
        <v>कलारीपयट्टू में 'उझिचिल' में मुख्य रूप से क्या शामिल है?</v>
      </c>
      <c r="H95" s="5" t="str">
        <f>IFERROR(__xludf.DUMMYFUNCTION("GOOGLETRANSLATE(C95, ""en"", ""hi"")"),"A) शरीर की मालिश और कंडीशनिंग, B) युद्ध तकनीक, C) हथियार प्रशिक्षण, D) अनुष्ठानिक प्रथाएँ")</f>
        <v>A) शरीर की मालिश और कंडीशनिंग, B) युद्ध तकनीक, C) हथियार प्रशिक्षण, D) अनुष्ठानिक प्रथाएँ</v>
      </c>
      <c r="I95" s="5" t="str">
        <f>IFERROR(__xludf.DUMMYFUNCTION("GOOGLETRANSLATE(D95, ""en"", ""hi"")"),"ए) शरीर की मालिश और कंडीशनिंग")</f>
        <v>ए) शरीर की मालिश और कंडीशनिंग</v>
      </c>
    </row>
    <row r="96" ht="22.5" customHeight="1">
      <c r="A96" s="2">
        <v>95.0</v>
      </c>
      <c r="B96" s="3" t="s">
        <v>13909</v>
      </c>
      <c r="C96" s="3" t="s">
        <v>13910</v>
      </c>
      <c r="D96" s="3" t="s">
        <v>13678</v>
      </c>
      <c r="F96" s="5" t="str">
        <f>IFERROR(__xludf.DUMMYFUNCTION("GOOGLETRANSLATE(A96, ""en"", ""hi"")"),"95")</f>
        <v>95</v>
      </c>
      <c r="G96" s="5" t="str">
        <f>IFERROR(__xludf.DUMMYFUNCTION("GOOGLETRANSLATE(B96, ""en"", ""hi"")"),"कलारीपयट्टू में कौन सी तकनीक महत्वपूर्ण बिंदु प्रहार से संबंधित है?")</f>
        <v>कलारीपयट्टू में कौन सी तकनीक महत्वपूर्ण बिंदु प्रहार से संबंधित है?</v>
      </c>
      <c r="H96" s="5" t="str">
        <f>IFERROR(__xludf.DUMMYFUNCTION("GOOGLETRANSLATE(C96, ""en"", ""hi"")"),"ए) वर्मम, बी) एडवस, सी) केट्टू, डी) चुवडु")</f>
        <v>ए) वर्मम, बी) एडवस, सी) केट्टू, डी) चुवडु</v>
      </c>
      <c r="I96" s="5" t="str">
        <f>IFERROR(__xludf.DUMMYFUNCTION("GOOGLETRANSLATE(D96, ""en"", ""hi"")"),"ए) वर्माम")</f>
        <v>ए) वर्माम</v>
      </c>
    </row>
    <row r="97" ht="22.5" customHeight="1">
      <c r="A97" s="2">
        <v>96.0</v>
      </c>
      <c r="B97" s="3" t="s">
        <v>13911</v>
      </c>
      <c r="C97" s="3" t="s">
        <v>13912</v>
      </c>
      <c r="D97" s="3" t="s">
        <v>13913</v>
      </c>
      <c r="F97" s="5" t="str">
        <f>IFERROR(__xludf.DUMMYFUNCTION("GOOGLETRANSLATE(A97, ""en"", ""hi"")"),"96")</f>
        <v>96</v>
      </c>
      <c r="G97" s="5" t="str">
        <f>IFERROR(__xludf.DUMMYFUNCTION("GOOGLETRANSLATE(B97, ""en"", ""hi"")"),"कलारीपयट्टू के अभ्यास मैच में, आप देखते हैं कि आपका प्रतिद्वंद्वी हमलों से बचने के लिए अपने पैरों पर बहुत ज़्यादा निर्भर है। इसका मुकाबला करने के लिए आपको किस तकनीक पर ध्यान देना चाहिए?")</f>
        <v>कलारीपयट्टू के अभ्यास मैच में, आप देखते हैं कि आपका प्रतिद्वंद्वी हमलों से बचने के लिए अपने पैरों पर बहुत ज़्यादा निर्भर है। इसका मुकाबला करने के लिए आपको किस तकनीक पर ध्यान देना चाहिए?</v>
      </c>
      <c r="H97" s="5" t="str">
        <f>IFERROR(__xludf.DUMMYFUNCTION("GOOGLETRANSLATE(C97, ""en"", ""hi"")"),"ए) वर्मम, बी) एडवस, सी) चुवडु, डी) केट्टू")</f>
        <v>ए) वर्मम, बी) एडवस, सी) चुवडु, डी) केट्टू</v>
      </c>
      <c r="I97" s="5" t="str">
        <f>IFERROR(__xludf.DUMMYFUNCTION("GOOGLETRANSLATE(D97, ""en"", ""hi"")"),"C) चुवाडु")</f>
        <v>C) चुवाडु</v>
      </c>
    </row>
    <row r="98" ht="22.5" customHeight="1">
      <c r="A98" s="2">
        <v>97.0</v>
      </c>
      <c r="B98" s="3" t="s">
        <v>13914</v>
      </c>
      <c r="C98" s="3" t="s">
        <v>13915</v>
      </c>
      <c r="D98" s="3" t="s">
        <v>13916</v>
      </c>
      <c r="F98" s="5" t="str">
        <f>IFERROR(__xludf.DUMMYFUNCTION("GOOGLETRANSLATE(A98, ""en"", ""hi"")"),"97")</f>
        <v>97</v>
      </c>
      <c r="G98" s="5" t="str">
        <f>IFERROR(__xludf.DUMMYFUNCTION("GOOGLETRANSLATE(B98, ""en"", ""hi"")"),"कलारीपयट्टू प्रदर्शन के दौरान, आप देखते हैं कि अभ्यासकर्ता विभिन्न तकनीकों का प्रदर्शन करने के लिए एक लंबी छड़ी का उपयोग कर रहा है। वे संभवतः किस प्रकार का अभ्यास कर रहे हैं?")</f>
        <v>कलारीपयट्टू प्रदर्शन के दौरान, आप देखते हैं कि अभ्यासकर्ता विभिन्न तकनीकों का प्रदर्शन करने के लिए एक लंबी छड़ी का उपयोग कर रहा है। वे संभवतः किस प्रकार का अभ्यास कर रहे हैं?</v>
      </c>
      <c r="H98" s="5" t="str">
        <f>IFERROR(__xludf.DUMMYFUNCTION("GOOGLETRANSLATE(C98, ""en"", ""hi"")"),"ए) एडवस, बी) केट्टू, सी) मार्मा, डी) वर्मा")</f>
        <v>ए) एडवस, बी) केट्टू, सी) मार्मा, डी) वर्मा</v>
      </c>
      <c r="I98" s="5" t="str">
        <f>IFERROR(__xludf.DUMMYFUNCTION("GOOGLETRANSLATE(D98, ""en"", ""hi"")"),"बी) केट्टू")</f>
        <v>बी) केट्टू</v>
      </c>
    </row>
    <row r="99" ht="22.5" customHeight="1">
      <c r="A99" s="2">
        <v>98.0</v>
      </c>
      <c r="B99" s="3" t="s">
        <v>13917</v>
      </c>
      <c r="C99" s="3" t="s">
        <v>13918</v>
      </c>
      <c r="D99" s="3" t="s">
        <v>13678</v>
      </c>
      <c r="F99" s="5" t="str">
        <f>IFERROR(__xludf.DUMMYFUNCTION("GOOGLETRANSLATE(A99, ""en"", ""hi"")"),"98")</f>
        <v>98</v>
      </c>
      <c r="G99" s="5" t="str">
        <f>IFERROR(__xludf.DUMMYFUNCTION("GOOGLETRANSLATE(B99, ""en"", ""hi"")"),"कलारीपयट्टू कक्षा में, प्रशिक्षक महत्वपूर्ण बिंदुओं पर सटीक प्रहार के महत्व पर ज़ोर देते हैं। प्रशिक्षक किस तकनीक पर ध्यान केंद्रित कर रहे हैं?")</f>
        <v>कलारीपयट्टू कक्षा में, प्रशिक्षक महत्वपूर्ण बिंदुओं पर सटीक प्रहार के महत्व पर ज़ोर देते हैं। प्रशिक्षक किस तकनीक पर ध्यान केंद्रित कर रहे हैं?</v>
      </c>
      <c r="H99" s="5" t="str">
        <f>IFERROR(__xludf.DUMMYFUNCTION("GOOGLETRANSLATE(C99, ""en"", ""hi"")"),"ए) वर्मम, बी) चुवडु, सी) उझिचिल, डी) कवि")</f>
        <v>ए) वर्मम, बी) चुवडु, सी) उझिचिल, डी) कवि</v>
      </c>
      <c r="I99" s="5" t="str">
        <f>IFERROR(__xludf.DUMMYFUNCTION("GOOGLETRANSLATE(D99, ""en"", ""hi"")"),"ए) वर्माम")</f>
        <v>ए) वर्माम</v>
      </c>
    </row>
    <row r="100" ht="22.5" customHeight="1">
      <c r="A100" s="2">
        <v>99.0</v>
      </c>
      <c r="B100" s="3" t="s">
        <v>13919</v>
      </c>
      <c r="C100" s="3" t="s">
        <v>13920</v>
      </c>
      <c r="D100" s="3" t="s">
        <v>13921</v>
      </c>
      <c r="F100" s="5" t="str">
        <f>IFERROR(__xludf.DUMMYFUNCTION("GOOGLETRANSLATE(A100, ""en"", ""hi"")"),"99")</f>
        <v>99</v>
      </c>
      <c r="G100" s="5" t="str">
        <f>IFERROR(__xludf.DUMMYFUNCTION("GOOGLETRANSLATE(B100, ""en"", ""hi"")"),"एक अभ्यासकर्ता अपने शरीर के लचीलेपन और कंडीशनिंग में सुधार लाने पर काम कर रहा है। उसे किस कलारीपयट्टू अभ्यास पर ध्यान केंद्रित करना चाहिए?")</f>
        <v>एक अभ्यासकर्ता अपने शरीर के लचीलेपन और कंडीशनिंग में सुधार लाने पर काम कर रहा है। उसे किस कलारीपयट्टू अभ्यास पर ध्यान केंद्रित करना चाहिए?</v>
      </c>
      <c r="H100" s="5" t="str">
        <f>IFERROR(__xludf.DUMMYFUNCTION("GOOGLETRANSLATE(C100, ""en"", ""hi"")"),"ए) एडवस, बी) उझिचिल, सी) मार्मा, डी) केट्टू")</f>
        <v>ए) एडवस, बी) उझिचिल, सी) मार्मा, डी) केट्टू</v>
      </c>
      <c r="I100" s="5" t="str">
        <f>IFERROR(__xludf.DUMMYFUNCTION("GOOGLETRANSLATE(D100, ""en"", ""hi"")"),"बी) उझिचिल")</f>
        <v>बी) उझिचिल</v>
      </c>
    </row>
    <row r="101" ht="22.5" customHeight="1">
      <c r="A101" s="2">
        <v>100.0</v>
      </c>
      <c r="B101" s="3" t="s">
        <v>13922</v>
      </c>
      <c r="C101" s="3" t="s">
        <v>13923</v>
      </c>
      <c r="D101" s="3" t="s">
        <v>13924</v>
      </c>
      <c r="F101" s="5" t="str">
        <f>IFERROR(__xludf.DUMMYFUNCTION("GOOGLETRANSLATE(A101, ""en"", ""hi"")"),"100")</f>
        <v>100</v>
      </c>
      <c r="G101" s="5" t="str">
        <f>IFERROR(__xludf.DUMMYFUNCTION("GOOGLETRANSLATE(B101, ""en"", ""hi"")"),"आप एक कलारीपयट्टू साधक को गोलाकार और प्रवाहमयी गतियाँ करते हुए देख रहे हैं। वे संभवतः किस प्रकार की गति का प्रदर्शन कर रहे हैं?")</f>
        <v>आप एक कलारीपयट्टू साधक को गोलाकार और प्रवाहमयी गतियाँ करते हुए देख रहे हैं। वे संभवतः किस प्रकार की गति का प्रदर्शन कर रहे हैं?</v>
      </c>
      <c r="H101" s="5" t="str">
        <f>IFERROR(__xludf.DUMMYFUNCTION("GOOGLETRANSLATE(C101, ""en"", ""hi"")"),"ए) चुवाडु, बी) वर्मा, सी) एडवस, डी) केटी")</f>
        <v>ए) चुवाडु, बी) वर्मा, सी) एडवस, डी) केटी</v>
      </c>
      <c r="I101" s="5" t="str">
        <f>IFERROR(__xludf.DUMMYFUNCTION("GOOGLETRANSLATE(D101, ""en"", ""hi"")"),"बी) वर्मा")</f>
        <v>बी) वर्मा</v>
      </c>
    </row>
    <row r="102" ht="22.5" customHeight="1">
      <c r="A102" s="2">
        <v>101.0</v>
      </c>
      <c r="B102" s="3" t="s">
        <v>13925</v>
      </c>
      <c r="C102" s="3" t="s">
        <v>13926</v>
      </c>
      <c r="D102" s="3" t="s">
        <v>13787</v>
      </c>
      <c r="F102" s="5" t="str">
        <f>IFERROR(__xludf.DUMMYFUNCTION("GOOGLETRANSLATE(A102, ""en"", ""hi"")"),"101")</f>
        <v>101</v>
      </c>
      <c r="G102" s="5" t="str">
        <f>IFERROR(__xludf.DUMMYFUNCTION("GOOGLETRANSLATE(B102, ""en"", ""hi"")"),"एक प्रशिक्षण सत्र में, एक छात्र हमलों से बचने और उनका जवाब देने की अपनी क्षमता बढ़ाने पर काम कर रहा है। उन्हें किस तकनीक पर ध्यान केंद्रित करना चाहिए?")</f>
        <v>एक प्रशिक्षण सत्र में, एक छात्र हमलों से बचने और उनका जवाब देने की अपनी क्षमता बढ़ाने पर काम कर रहा है। उन्हें किस तकनीक पर ध्यान केंद्रित करना चाहिए?</v>
      </c>
      <c r="H102" s="5" t="str">
        <f>IFERROR(__xludf.DUMMYFUNCTION("GOOGLETRANSLATE(C102, ""en"", ""hi"")"),"ए) कवि, बी) चुवडु, सी) मार्मा, डी) एडवस")</f>
        <v>ए) कवि, बी) चुवडु, सी) मार्मा, डी) एडवस</v>
      </c>
      <c r="I102" s="5" t="str">
        <f>IFERROR(__xludf.DUMMYFUNCTION("GOOGLETRANSLATE(D102, ""en"", ""hi"")"),"बी) चुवाडु")</f>
        <v>बी) चुवाडु</v>
      </c>
    </row>
    <row r="103" ht="22.5" customHeight="1">
      <c r="A103" s="2">
        <v>102.0</v>
      </c>
      <c r="B103" s="3" t="s">
        <v>13927</v>
      </c>
      <c r="C103" s="3" t="s">
        <v>13824</v>
      </c>
      <c r="D103" s="3" t="s">
        <v>13928</v>
      </c>
      <c r="F103" s="5" t="str">
        <f>IFERROR(__xludf.DUMMYFUNCTION("GOOGLETRANSLATE(A103, ""en"", ""hi"")"),"102")</f>
        <v>102</v>
      </c>
      <c r="G103" s="5" t="str">
        <f>IFERROR(__xludf.DUMMYFUNCTION("GOOGLETRANSLATE(B103, ""en"", ""hi"")"),"एक कलारीपयट्टू साधक एक भारी, कुंद हथियार चलाना सीख रहा है। वे संभवतः किस हथियार का प्रशिक्षण ले रहे हैं?")</f>
        <v>एक कलारीपयट्टू साधक एक भारी, कुंद हथियार चलाना सीख रहा है। वे संभवतः किस हथियार का प्रशिक्षण ले रहे हैं?</v>
      </c>
      <c r="H103" s="5" t="str">
        <f>IFERROR(__xludf.DUMMYFUNCTION("GOOGLETRANSLATE(C103, ""en"", ""hi"")"),"A) तलवार, B) भाला, C) गदा, D) खंजर")</f>
        <v>A) तलवार, B) भाला, C) गदा, D) खंजर</v>
      </c>
      <c r="I103" s="5" t="str">
        <f>IFERROR(__xludf.DUMMYFUNCTION("GOOGLETRANSLATE(D103, ""en"", ""hi"")"),"C) गदा")</f>
        <v>C) गदा</v>
      </c>
    </row>
    <row r="104" ht="22.5" customHeight="1">
      <c r="A104" s="2">
        <v>103.0</v>
      </c>
      <c r="B104" s="3" t="s">
        <v>13929</v>
      </c>
      <c r="C104" s="3" t="s">
        <v>13910</v>
      </c>
      <c r="D104" s="3" t="s">
        <v>13678</v>
      </c>
      <c r="F104" s="5" t="str">
        <f>IFERROR(__xludf.DUMMYFUNCTION("GOOGLETRANSLATE(A104, ""en"", ""hi"")"),"103")</f>
        <v>103</v>
      </c>
      <c r="G104" s="5" t="str">
        <f>IFERROR(__xludf.DUMMYFUNCTION("GOOGLETRANSLATE(B104, ""en"", ""hi"")"),"कलारीपयट्टू कक्षा के दौरान, आपको तेज़ गति से प्रहार करने वाली तकनीकों पर ध्यान केंद्रित करना सिखाया जाता है। आपको किस शैली पर ध्यान केंद्रित करना चाहिए?")</f>
        <v>कलारीपयट्टू कक्षा के दौरान, आपको तेज़ गति से प्रहार करने वाली तकनीकों पर ध्यान केंद्रित करना सिखाया जाता है। आपको किस शैली पर ध्यान केंद्रित करना चाहिए?</v>
      </c>
      <c r="H104" s="5" t="str">
        <f>IFERROR(__xludf.DUMMYFUNCTION("GOOGLETRANSLATE(C104, ""en"", ""hi"")"),"ए) वर्मम, बी) एडवस, सी) केट्टू, डी) चुवडु")</f>
        <v>ए) वर्मम, बी) एडवस, सी) केट्टू, डी) चुवडु</v>
      </c>
      <c r="I104" s="5" t="str">
        <f>IFERROR(__xludf.DUMMYFUNCTION("GOOGLETRANSLATE(D104, ""en"", ""hi"")"),"ए) वर्माम")</f>
        <v>ए) वर्माम</v>
      </c>
    </row>
    <row r="105" ht="22.5" customHeight="1">
      <c r="A105" s="2">
        <v>104.0</v>
      </c>
      <c r="B105" s="3" t="s">
        <v>13930</v>
      </c>
      <c r="C105" s="3" t="s">
        <v>13931</v>
      </c>
      <c r="D105" s="3" t="s">
        <v>13932</v>
      </c>
      <c r="F105" s="5" t="str">
        <f>IFERROR(__xludf.DUMMYFUNCTION("GOOGLETRANSLATE(A105, ""en"", ""hi"")"),"104")</f>
        <v>104</v>
      </c>
      <c r="G105" s="5" t="str">
        <f>IFERROR(__xludf.DUMMYFUNCTION("GOOGLETRANSLATE(B105, ""en"", ""hi"")"),"आप कलारीपयट्टू का अभ्यास कर रहे हैं और आपको महत्वपूर्ण बिंदुओं पर निशाना लगाने में अपने कौशल को निखारने की ज़रूरत है। आपको किस अभ्यास पर ध्यान केंद्रित करना चाहिए?")</f>
        <v>आप कलारीपयट्टू का अभ्यास कर रहे हैं और आपको महत्वपूर्ण बिंदुओं पर निशाना लगाने में अपने कौशल को निखारने की ज़रूरत है। आपको किस अभ्यास पर ध्यान केंद्रित करना चाहिए?</v>
      </c>
      <c r="H105" s="5" t="str">
        <f>IFERROR(__xludf.DUMMYFUNCTION("GOOGLETRANSLATE(C105, ""en"", ""hi"")"),"ए) मार्मा, बी) एडवस, सी) कवि, डी) उझिचिल")</f>
        <v>ए) मार्मा, बी) एडवस, सी) कवि, डी) उझिचिल</v>
      </c>
      <c r="I105" s="5" t="str">
        <f>IFERROR(__xludf.DUMMYFUNCTION("GOOGLETRANSLATE(D105, ""en"", ""hi"")"),"A) मर्म")</f>
        <v>A) मर्म</v>
      </c>
    </row>
    <row r="106" ht="22.5" customHeight="1">
      <c r="A106" s="2">
        <v>105.0</v>
      </c>
      <c r="B106" s="3" t="s">
        <v>13933</v>
      </c>
      <c r="C106" s="3" t="s">
        <v>13923</v>
      </c>
      <c r="D106" s="3" t="s">
        <v>13924</v>
      </c>
      <c r="F106" s="5" t="str">
        <f>IFERROR(__xludf.DUMMYFUNCTION("GOOGLETRANSLATE(A106, ""en"", ""hi"")"),"105")</f>
        <v>105</v>
      </c>
      <c r="G106" s="5" t="str">
        <f>IFERROR(__xludf.DUMMYFUNCTION("GOOGLETRANSLATE(B106, ""en"", ""hi"")"),"कलारीपयट्टू प्रशिक्षण सत्र में, त्वरित और सटीक प्रहार सीखने पर ध्यान केंद्रित किया जाता है। किस तकनीक का अभ्यास किया जा रहा है?")</f>
        <v>कलारीपयट्टू प्रशिक्षण सत्र में, त्वरित और सटीक प्रहार सीखने पर ध्यान केंद्रित किया जाता है। किस तकनीक का अभ्यास किया जा रहा है?</v>
      </c>
      <c r="H106" s="5" t="str">
        <f>IFERROR(__xludf.DUMMYFUNCTION("GOOGLETRANSLATE(C106, ""en"", ""hi"")"),"ए) चुवाडु, बी) वर्मा, सी) एडवस, डी) केटी")</f>
        <v>ए) चुवाडु, बी) वर्मा, सी) एडवस, डी) केटी</v>
      </c>
      <c r="I106" s="5" t="str">
        <f>IFERROR(__xludf.DUMMYFUNCTION("GOOGLETRANSLATE(D106, ""en"", ""hi"")"),"बी) वर्मा")</f>
        <v>बी) वर्मा</v>
      </c>
    </row>
    <row r="107" ht="22.5" customHeight="1">
      <c r="A107" s="2">
        <v>106.0</v>
      </c>
      <c r="B107" s="3" t="s">
        <v>13934</v>
      </c>
      <c r="C107" s="3" t="s">
        <v>13713</v>
      </c>
      <c r="D107" s="3" t="s">
        <v>13935</v>
      </c>
      <c r="F107" s="5" t="str">
        <f>IFERROR(__xludf.DUMMYFUNCTION("GOOGLETRANSLATE(A107, ""en"", ""hi"")"),"106")</f>
        <v>106</v>
      </c>
      <c r="G107" s="5" t="str">
        <f>IFERROR(__xludf.DUMMYFUNCTION("GOOGLETRANSLATE(B107, ""en"", ""hi"")"),"कलारीपयट्टू प्रदर्शन के दौरान, आप एक अभ्यासकर्ता को आक्रामक और रक्षात्मक दोनों तकनीकों के लिए खंजर का इस्तेमाल करते हुए देखते हैं। वे किस हथियार का इस्तेमाल कर रहे हैं?")</f>
        <v>कलारीपयट्टू प्रदर्शन के दौरान, आप एक अभ्यासकर्ता को आक्रामक और रक्षात्मक दोनों तकनीकों के लिए खंजर का इस्तेमाल करते हुए देखते हैं। वे किस हथियार का इस्तेमाल कर रहे हैं?</v>
      </c>
      <c r="H107" s="5" t="str">
        <f>IFERROR(__xludf.DUMMYFUNCTION("GOOGLETRANSLATE(C107, ""en"", ""hi"")"),"A) तलवार, B) गदा, C) भाला, D) खंजर")</f>
        <v>A) तलवार, B) गदा, C) भाला, D) खंजर</v>
      </c>
      <c r="I107" s="5" t="str">
        <f>IFERROR(__xludf.DUMMYFUNCTION("GOOGLETRANSLATE(D107, ""en"", ""hi"")"),"D) खंजर")</f>
        <v>D) खंजर</v>
      </c>
    </row>
    <row r="108" ht="22.5" customHeight="1">
      <c r="A108" s="2">
        <v>107.0</v>
      </c>
      <c r="B108" s="3" t="s">
        <v>13936</v>
      </c>
      <c r="C108" s="3" t="s">
        <v>13798</v>
      </c>
      <c r="D108" s="3" t="s">
        <v>13740</v>
      </c>
      <c r="F108" s="5" t="str">
        <f>IFERROR(__xludf.DUMMYFUNCTION("GOOGLETRANSLATE(A108, ""en"", ""hi"")"),"107")</f>
        <v>107</v>
      </c>
      <c r="G108" s="5" t="str">
        <f>IFERROR(__xludf.DUMMYFUNCTION("GOOGLETRANSLATE(B108, ""en"", ""hi"")"),"एक अभ्यासकर्ता अपनी चपलता और प्रतिक्रिया समय में सुधार लाने पर ध्यान केंद्रित कर रहा है। इस लक्ष्य के लिए कौन सा कलारीपयट्टू अभ्यास सबसे उपयुक्त है?")</f>
        <v>एक अभ्यासकर्ता अपनी चपलता और प्रतिक्रिया समय में सुधार लाने पर ध्यान केंद्रित कर रहा है। इस लक्ष्य के लिए कौन सा कलारीपयट्टू अभ्यास सबसे उपयुक्त है?</v>
      </c>
      <c r="H108" s="5" t="str">
        <f>IFERROR(__xludf.DUMMYFUNCTION("GOOGLETRANSLATE(C108, ""en"", ""hi"")"),"ए) एडवस, बी) वर्मा, सी) चुवाडु, डी) उझिचिल")</f>
        <v>ए) एडवस, बी) वर्मा, सी) चुवाडु, डी) उझिचिल</v>
      </c>
      <c r="I108" s="5" t="str">
        <f>IFERROR(__xludf.DUMMYFUNCTION("GOOGLETRANSLATE(D108, ""en"", ""hi"")"),"ए) एडवस")</f>
        <v>ए) एडवस</v>
      </c>
    </row>
    <row r="109" ht="22.5" customHeight="1">
      <c r="A109" s="2">
        <v>108.0</v>
      </c>
      <c r="B109" s="3" t="s">
        <v>13937</v>
      </c>
      <c r="C109" s="3" t="s">
        <v>13938</v>
      </c>
      <c r="D109" s="3" t="s">
        <v>13787</v>
      </c>
      <c r="F109" s="5" t="str">
        <f>IFERROR(__xludf.DUMMYFUNCTION("GOOGLETRANSLATE(A109, ""en"", ""hi"")"),"108")</f>
        <v>108</v>
      </c>
      <c r="G109" s="5" t="str">
        <f>IFERROR(__xludf.DUMMYFUNCTION("GOOGLETRANSLATE(B109, ""en"", ""hi"")"),"कलारीपयट्टू प्रशिक्षण सत्र में, आपको फुटवर्क तकनीकों का अभ्यास करने के लिए कहा जाता है। आपको किस प्रकार पर ध्यान केंद्रित करना चाहिए?")</f>
        <v>कलारीपयट्टू प्रशिक्षण सत्र में, आपको फुटवर्क तकनीकों का अभ्यास करने के लिए कहा जाता है। आपको किस प्रकार पर ध्यान केंद्रित करना चाहिए?</v>
      </c>
      <c r="H109" s="5" t="str">
        <f>IFERROR(__xludf.DUMMYFUNCTION("GOOGLETRANSLATE(C109, ""en"", ""hi"")"),"ए) एडवस, बी) चुवाडु, सी) मार्मा, डी) उझिचिल")</f>
        <v>ए) एडवस, बी) चुवाडु, सी) मार्मा, डी) उझिचिल</v>
      </c>
      <c r="I109" s="5" t="str">
        <f>IFERROR(__xludf.DUMMYFUNCTION("GOOGLETRANSLATE(D109, ""en"", ""hi"")"),"बी) चुवाडु")</f>
        <v>बी) चुवाडु</v>
      </c>
    </row>
    <row r="110" ht="22.5" customHeight="1">
      <c r="A110" s="2">
        <v>109.0</v>
      </c>
      <c r="B110" s="3" t="s">
        <v>13939</v>
      </c>
      <c r="C110" s="3" t="s">
        <v>13940</v>
      </c>
      <c r="D110" s="3" t="s">
        <v>13941</v>
      </c>
      <c r="F110" s="5" t="str">
        <f>IFERROR(__xludf.DUMMYFUNCTION("GOOGLETRANSLATE(A110, ""en"", ""hi"")"),"109")</f>
        <v>109</v>
      </c>
      <c r="G110" s="5" t="str">
        <f>IFERROR(__xludf.DUMMYFUNCTION("GOOGLETRANSLATE(B110, ""en"", ""hi"")"),"कलारीपयट्टू कक्षा के दौरान, प्रशिक्षक तलवार से काटने की तकनीक का प्रदर्शन कर रहे हैं। वे संभवतः कौन-सी कलारीपयट्टू शैली सिखा रहे हैं?")</f>
        <v>कलारीपयट्टू कक्षा के दौरान, प्रशिक्षक तलवार से काटने की तकनीक का प्रदर्शन कर रहे हैं। वे संभवतः कौन-सी कलारीपयट्टू शैली सिखा रहे हैं?</v>
      </c>
      <c r="H110" s="5" t="str">
        <f>IFERROR(__xludf.DUMMYFUNCTION("GOOGLETRANSLATE(C110, ""en"", ""hi"")"),"ए) मार्मा, बी) केटी, सी) एडवस, डी) काटी")</f>
        <v>ए) मार्मा, बी) केटी, सी) एडवस, डी) काटी</v>
      </c>
      <c r="I110" s="5" t="str">
        <f>IFERROR(__xludf.DUMMYFUNCTION("GOOGLETRANSLATE(D110, ""en"", ""hi"")"),"D) काटी")</f>
        <v>D) काटी</v>
      </c>
    </row>
    <row r="111" ht="22.5" customHeight="1">
      <c r="A111" s="2">
        <v>110.0</v>
      </c>
      <c r="B111" s="3" t="s">
        <v>13942</v>
      </c>
      <c r="C111" s="3" t="s">
        <v>13943</v>
      </c>
      <c r="D111" s="3" t="s">
        <v>13921</v>
      </c>
      <c r="F111" s="5" t="str">
        <f>IFERROR(__xludf.DUMMYFUNCTION("GOOGLETRANSLATE(A111, ""en"", ""hi"")"),"110")</f>
        <v>110</v>
      </c>
      <c r="G111" s="5" t="str">
        <f>IFERROR(__xludf.DUMMYFUNCTION("GOOGLETRANSLATE(B111, ""en"", ""hi"")"),"आपने देखा होगा कि एक कलारीपयट्टू अभ्यासी अपने प्रशिक्षण के एक भाग के रूप में शरीर की मालिश और कंडीशनिंग पर ध्यान केंद्रित कर रहा है। वे किस अभ्यास में लगे हुए हैं?")</f>
        <v>आपने देखा होगा कि एक कलारीपयट्टू अभ्यासी अपने प्रशिक्षण के एक भाग के रूप में शरीर की मालिश और कंडीशनिंग पर ध्यान केंद्रित कर रहा है। वे किस अभ्यास में लगे हुए हैं?</v>
      </c>
      <c r="H111" s="5" t="str">
        <f>IFERROR(__xludf.DUMMYFUNCTION("GOOGLETRANSLATE(C111, ""en"", ""hi"")"),"ए) एडवस, बी) उझिचिल, सी) चुवाडु, डी) वर्मम")</f>
        <v>ए) एडवस, बी) उझिचिल, सी) चुवाडु, डी) वर्मम</v>
      </c>
      <c r="I111" s="5" t="str">
        <f>IFERROR(__xludf.DUMMYFUNCTION("GOOGLETRANSLATE(D111, ""en"", ""hi"")"),"बी) उझिचिल")</f>
        <v>बी) उझिचिल</v>
      </c>
    </row>
    <row r="112" ht="22.5" customHeight="1">
      <c r="A112" s="2">
        <v>111.0</v>
      </c>
      <c r="B112" s="3" t="s">
        <v>13944</v>
      </c>
      <c r="C112" s="3" t="s">
        <v>13945</v>
      </c>
      <c r="D112" s="3" t="s">
        <v>13916</v>
      </c>
      <c r="F112" s="5" t="str">
        <f>IFERROR(__xludf.DUMMYFUNCTION("GOOGLETRANSLATE(A112, ""en"", ""hi"")"),"111")</f>
        <v>111</v>
      </c>
      <c r="G112" s="5" t="str">
        <f>IFERROR(__xludf.DUMMYFUNCTION("GOOGLETRANSLATE(B112, ""en"", ""hi"")"),"एक कलारीपयट्टू साधक लंबी छड़ी से प्रहार करना सीख रहा है। इस तकनीक को क्या कहते हैं?")</f>
        <v>एक कलारीपयट्टू साधक लंबी छड़ी से प्रहार करना सीख रहा है। इस तकनीक को क्या कहते हैं?</v>
      </c>
      <c r="H112" s="5" t="str">
        <f>IFERROR(__xludf.DUMMYFUNCTION("GOOGLETRANSLATE(C112, ""en"", ""hi"")"),"ए) मार्मा, बी) केट्टू, सी) वर्मा, डी) चुवडु")</f>
        <v>ए) मार्मा, बी) केट्टू, सी) वर्मा, डी) चुवडु</v>
      </c>
      <c r="I112" s="5" t="str">
        <f>IFERROR(__xludf.DUMMYFUNCTION("GOOGLETRANSLATE(D112, ""en"", ""hi"")"),"बी) केट्टू")</f>
        <v>बी) केट्टू</v>
      </c>
    </row>
    <row r="113" ht="22.5" customHeight="1">
      <c r="A113" s="2">
        <v>112.0</v>
      </c>
      <c r="B113" s="3" t="s">
        <v>13946</v>
      </c>
      <c r="C113" s="3" t="s">
        <v>13947</v>
      </c>
      <c r="D113" s="3" t="s">
        <v>13948</v>
      </c>
      <c r="F113" s="5" t="str">
        <f>IFERROR(__xludf.DUMMYFUNCTION("GOOGLETRANSLATE(A113, ""en"", ""hi"")"),"112")</f>
        <v>112</v>
      </c>
      <c r="G113" s="5" t="str">
        <f>IFERROR(__xludf.DUMMYFUNCTION("GOOGLETRANSLATE(B113, ""en"", ""hi"")"),"कलारीपयट्टू में, आपको सटीकता और गति विकसित करने पर ध्यान केंद्रित करने का निर्देश दिया जाता है। आपको किस तकनीक का अभ्यास करना चाहिए?")</f>
        <v>कलारीपयट्टू में, आपको सटीकता और गति विकसित करने पर ध्यान केंद्रित करने का निर्देश दिया जाता है। आपको किस तकनीक का अभ्यास करना चाहिए?</v>
      </c>
      <c r="H113" s="5" t="str">
        <f>IFERROR(__xludf.DUMMYFUNCTION("GOOGLETRANSLATE(C113, ""en"", ""hi"")"),"ए) एडवस, बी) कवि, सी) वर्मा, डी) उझिचिल")</f>
        <v>ए) एडवस, बी) कवि, सी) वर्मा, डी) उझिचिल</v>
      </c>
      <c r="I113" s="5" t="str">
        <f>IFERROR(__xludf.DUMMYFUNCTION("GOOGLETRANSLATE(D113, ""en"", ""hi"")"),"C) वर्मा")</f>
        <v>C) वर्मा</v>
      </c>
    </row>
    <row r="114" ht="22.5" customHeight="1">
      <c r="A114" s="2">
        <v>113.0</v>
      </c>
      <c r="B114" s="3" t="s">
        <v>13949</v>
      </c>
      <c r="C114" s="3" t="s">
        <v>13950</v>
      </c>
      <c r="D114" s="3" t="s">
        <v>13932</v>
      </c>
      <c r="F114" s="5" t="str">
        <f>IFERROR(__xludf.DUMMYFUNCTION("GOOGLETRANSLATE(A114, ""en"", ""hi"")"),"113")</f>
        <v>113</v>
      </c>
      <c r="G114" s="5" t="str">
        <f>IFERROR(__xludf.DUMMYFUNCTION("GOOGLETRANSLATE(B114, ""en"", ""hi"")"),"कलारीपयट्टू कक्षा के दौरान, आप प्रतिद्वंद्वी के महत्वपूर्ण बिंदुओं पर अपने प्रहारों को बेहतर बनाने पर ध्यान केंद्रित करते हैं। आप किस तकनीक का अभ्यास कर रहे हैं?")</f>
        <v>कलारीपयट्टू कक्षा के दौरान, आप प्रतिद्वंद्वी के महत्वपूर्ण बिंदुओं पर अपने प्रहारों को बेहतर बनाने पर ध्यान केंद्रित करते हैं। आप किस तकनीक का अभ्यास कर रहे हैं?</v>
      </c>
      <c r="H114" s="5" t="str">
        <f>IFERROR(__xludf.DUMMYFUNCTION("GOOGLETRANSLATE(C114, ""en"", ""hi"")"),"ए) मार्मा, बी) चुवाडु, सी) उझिचिल, डी) एडवस")</f>
        <v>ए) मार्मा, बी) चुवाडु, सी) उझिचिल, डी) एडवस</v>
      </c>
      <c r="I114" s="5" t="str">
        <f>IFERROR(__xludf.DUMMYFUNCTION("GOOGLETRANSLATE(D114, ""en"", ""hi"")"),"A) मर्म")</f>
        <v>A) मर्म</v>
      </c>
    </row>
    <row r="115" ht="22.5" customHeight="1">
      <c r="A115" s="2">
        <v>114.0</v>
      </c>
      <c r="B115" s="3" t="s">
        <v>13951</v>
      </c>
      <c r="C115" s="3" t="s">
        <v>13713</v>
      </c>
      <c r="D115" s="3" t="s">
        <v>13714</v>
      </c>
      <c r="F115" s="5" t="str">
        <f>IFERROR(__xludf.DUMMYFUNCTION("GOOGLETRANSLATE(A115, ""en"", ""hi"")"),"114")</f>
        <v>114</v>
      </c>
      <c r="G115" s="5" t="str">
        <f>IFERROR(__xludf.DUMMYFUNCTION("GOOGLETRANSLATE(B115, ""en"", ""hi"")"),"आप एक ऐसा हथियार चलाना सीख रहे हैं जो वार करने और छुरा मारने, दोनों में कारगर है। आप कौन सा हथियार इस्तेमाल कर रहे हैं?")</f>
        <v>आप एक ऐसा हथियार चलाना सीख रहे हैं जो वार करने और छुरा मारने, दोनों में कारगर है। आप कौन सा हथियार इस्तेमाल कर रहे हैं?</v>
      </c>
      <c r="H115" s="5" t="str">
        <f>IFERROR(__xludf.DUMMYFUNCTION("GOOGLETRANSLATE(C115, ""en"", ""hi"")"),"A) तलवार, B) गदा, C) भाला, D) खंजर")</f>
        <v>A) तलवार, B) गदा, C) भाला, D) खंजर</v>
      </c>
      <c r="I115" s="5" t="str">
        <f>IFERROR(__xludf.DUMMYFUNCTION("GOOGLETRANSLATE(D115, ""en"", ""hi"")"),"ए) तलवार")</f>
        <v>ए) तलवार</v>
      </c>
    </row>
    <row r="116" ht="22.5" customHeight="1">
      <c r="A116" s="2">
        <v>115.0</v>
      </c>
      <c r="B116" s="3" t="s">
        <v>13952</v>
      </c>
      <c r="C116" s="3" t="s">
        <v>13953</v>
      </c>
      <c r="D116" s="3" t="s">
        <v>13787</v>
      </c>
      <c r="F116" s="5" t="str">
        <f>IFERROR(__xludf.DUMMYFUNCTION("GOOGLETRANSLATE(A116, ""en"", ""hi"")"),"115")</f>
        <v>115</v>
      </c>
      <c r="G116" s="5" t="str">
        <f>IFERROR(__xludf.DUMMYFUNCTION("GOOGLETRANSLATE(B116, ""en"", ""hi"")"),"कलारीपयट्टू में, आपको तेज़ और प्रभावी फुटवर्क करने की अपनी क्षमता विकसित करनी होती है। कौन सा अभ्यास सबसे उपयुक्त है?")</f>
        <v>कलारीपयट्टू में, आपको तेज़ और प्रभावी फुटवर्क करने की अपनी क्षमता विकसित करनी होती है। कौन सा अभ्यास सबसे उपयुक्त है?</v>
      </c>
      <c r="H116" s="5" t="str">
        <f>IFERROR(__xludf.DUMMYFUNCTION("GOOGLETRANSLATE(C116, ""en"", ""hi"")"),"ए) एडवस, बी) चुवाडु, सी) उझिचिल, डी) मार्मा")</f>
        <v>ए) एडवस, बी) चुवाडु, सी) उझिचिल, डी) मार्मा</v>
      </c>
      <c r="I116" s="5" t="str">
        <f>IFERROR(__xludf.DUMMYFUNCTION("GOOGLETRANSLATE(D116, ""en"", ""hi"")"),"बी) चुवाडु")</f>
        <v>बी) चुवाडु</v>
      </c>
    </row>
    <row r="117" ht="22.5" customHeight="1">
      <c r="A117" s="2">
        <v>116.0</v>
      </c>
      <c r="B117" s="3" t="s">
        <v>13954</v>
      </c>
      <c r="C117" s="3" t="s">
        <v>13955</v>
      </c>
      <c r="D117" s="3" t="s">
        <v>13913</v>
      </c>
      <c r="F117" s="5" t="str">
        <f>IFERROR(__xludf.DUMMYFUNCTION("GOOGLETRANSLATE(A117, ""en"", ""hi"")"),"116")</f>
        <v>116</v>
      </c>
      <c r="G117" s="5" t="str">
        <f>IFERROR(__xludf.DUMMYFUNCTION("GOOGLETRANSLATE(B117, ""en"", ""hi"")"),"एक अभ्यासकर्ता रक्षात्मक और बचावात्मक युद्धाभ्यासों में निपुणता हासिल करने पर केंद्रित होता है। उन्हें किस कलारीपयट्टू अभ्यास पर ध्यान केंद्रित करना चाहिए?")</f>
        <v>एक अभ्यासकर्ता रक्षात्मक और बचावात्मक युद्धाभ्यासों में निपुणता हासिल करने पर केंद्रित होता है। उन्हें किस कलारीपयट्टू अभ्यास पर ध्यान केंद्रित करना चाहिए?</v>
      </c>
      <c r="H117" s="5" t="str">
        <f>IFERROR(__xludf.DUMMYFUNCTION("GOOGLETRANSLATE(C117, ""en"", ""hi"")"),"ए) एडवस, बी) उझिचिल, सी) चुवाडु, डी) वर्मा")</f>
        <v>ए) एडवस, बी) उझिचिल, सी) चुवाडु, डी) वर्मा</v>
      </c>
      <c r="I117" s="5" t="str">
        <f>IFERROR(__xludf.DUMMYFUNCTION("GOOGLETRANSLATE(D117, ""en"", ""hi"")"),"C) चुवाडु")</f>
        <v>C) चुवाडु</v>
      </c>
    </row>
    <row r="118" ht="22.5" customHeight="1">
      <c r="A118" s="2">
        <v>117.0</v>
      </c>
      <c r="B118" s="3" t="s">
        <v>13956</v>
      </c>
      <c r="C118" s="3" t="s">
        <v>13957</v>
      </c>
      <c r="D118" s="3" t="s">
        <v>13684</v>
      </c>
      <c r="F118" s="5" t="str">
        <f>IFERROR(__xludf.DUMMYFUNCTION("GOOGLETRANSLATE(A118, ""en"", ""hi"")"),"117")</f>
        <v>117</v>
      </c>
      <c r="G118" s="5" t="str">
        <f>IFERROR(__xludf.DUMMYFUNCTION("GOOGLETRANSLATE(B118, ""en"", ""hi"")"),"कलारीपयट्टू प्रशिक्षण सत्र में, आप शरीर की कंडीशनिंग और ताकत पर काम कर रहे होते हैं। इसमें किस तरह का अभ्यास शामिल हो सकता है?")</f>
        <v>कलारीपयट्टू प्रशिक्षण सत्र में, आप शरीर की कंडीशनिंग और ताकत पर काम कर रहे होते हैं। इसमें किस तरह का अभ्यास शामिल हो सकता है?</v>
      </c>
      <c r="H118" s="5" t="str">
        <f>IFERROR(__xludf.DUMMYFUNCTION("GOOGLETRANSLATE(C118, ""en"", ""hi"")"),"ए) उझिचिल, बी) एडवस, सी) मार्मा, डी) केटी")</f>
        <v>ए) उझिचिल, बी) एडवस, सी) मार्मा, डी) केटी</v>
      </c>
      <c r="I118" s="5" t="str">
        <f>IFERROR(__xludf.DUMMYFUNCTION("GOOGLETRANSLATE(D118, ""en"", ""hi"")"),"A) उझिचिल")</f>
        <v>A) उझिचिल</v>
      </c>
    </row>
    <row r="119" ht="22.5" customHeight="1">
      <c r="A119" s="2">
        <v>118.0</v>
      </c>
      <c r="B119" s="3" t="s">
        <v>13958</v>
      </c>
      <c r="C119" s="3" t="s">
        <v>13959</v>
      </c>
      <c r="D119" s="3" t="s">
        <v>13960</v>
      </c>
      <c r="F119" s="5" t="str">
        <f>IFERROR(__xludf.DUMMYFUNCTION("GOOGLETRANSLATE(A119, ""en"", ""hi"")"),"118")</f>
        <v>118</v>
      </c>
      <c r="G119" s="5" t="str">
        <f>IFERROR(__xludf.DUMMYFUNCTION("GOOGLETRANSLATE(B119, ""en"", ""hi"")"),"कलारीपयट्टू कक्षा में, गोलाकार और प्रवाहमय गतियों वाली तकनीकों पर ध्यान केंद्रित किया जाता है। आप कौन सी तकनीक सीख रहे हैं?")</f>
        <v>कलारीपयट्टू कक्षा में, गोलाकार और प्रवाहमय गतियों वाली तकनीकों पर ध्यान केंद्रित किया जाता है। आप कौन सी तकनीक सीख रहे हैं?</v>
      </c>
      <c r="H119" s="5" t="str">
        <f>IFERROR(__xludf.DUMMYFUNCTION("GOOGLETRANSLATE(C119, ""en"", ""hi"")"),"ए) वर्मा, बी) चुवाडु, सी) एडवस, डी) केटी")</f>
        <v>ए) वर्मा, बी) चुवाडु, सी) एडवस, डी) केटी</v>
      </c>
      <c r="I119" s="5" t="str">
        <f>IFERROR(__xludf.DUMMYFUNCTION("GOOGLETRANSLATE(D119, ""en"", ""hi"")"),"ए) वर्मा")</f>
        <v>ए) वर्मा</v>
      </c>
    </row>
    <row r="120" ht="22.5" customHeight="1">
      <c r="A120" s="2">
        <v>119.0</v>
      </c>
      <c r="B120" s="3" t="s">
        <v>13961</v>
      </c>
      <c r="C120" s="3" t="s">
        <v>13962</v>
      </c>
      <c r="D120" s="3" t="s">
        <v>13781</v>
      </c>
      <c r="F120" s="5" t="str">
        <f>IFERROR(__xludf.DUMMYFUNCTION("GOOGLETRANSLATE(A120, ""en"", ""hi"")"),"119")</f>
        <v>119</v>
      </c>
      <c r="G120" s="5" t="str">
        <f>IFERROR(__xludf.DUMMYFUNCTION("GOOGLETRANSLATE(B120, ""en"", ""hi"")"),"आप एक कलारीपयट्टू अभ्यासी को शरीर के विशिष्ट बिंदुओं पर सटीक प्रहार करते हुए देखते हैं। वे किस तकनीक का अभ्यास कर रहे हैं?")</f>
        <v>आप एक कलारीपयट्टू अभ्यासी को शरीर के विशिष्ट बिंदुओं पर सटीक प्रहार करते हुए देखते हैं। वे किस तकनीक का अभ्यास कर रहे हैं?</v>
      </c>
      <c r="H120" s="5" t="str">
        <f>IFERROR(__xludf.DUMMYFUNCTION("GOOGLETRANSLATE(C120, ""en"", ""hi"")"),"ए) मार्मा, बी) वर्मम, सी) चुवडु, डी) उझिचिल")</f>
        <v>ए) मार्मा, बी) वर्मम, सी) चुवडु, डी) उझिचिल</v>
      </c>
      <c r="I120" s="5" t="str">
        <f>IFERROR(__xludf.DUMMYFUNCTION("GOOGLETRANSLATE(D120, ""en"", ""hi"")"),"बी) वर्माम")</f>
        <v>बी) वर्माम</v>
      </c>
    </row>
    <row r="121" ht="22.5" customHeight="1">
      <c r="A121" s="2">
        <v>120.0</v>
      </c>
      <c r="B121" s="3" t="s">
        <v>13963</v>
      </c>
      <c r="C121" s="3" t="s">
        <v>13713</v>
      </c>
      <c r="D121" s="3" t="s">
        <v>13772</v>
      </c>
      <c r="F121" s="5" t="str">
        <f>IFERROR(__xludf.DUMMYFUNCTION("GOOGLETRANSLATE(A121, ""en"", ""hi"")"),"120")</f>
        <v>120</v>
      </c>
      <c r="G121" s="5" t="str">
        <f>IFERROR(__xludf.DUMMYFUNCTION("GOOGLETRANSLATE(B121, ""en"", ""hi"")"),"एक कलारीपयट्टू अभ्यासी एक ऐसे हथियार से प्रशिक्षण ले रहा है जो भारी और कुंद प्रहार पर ज़ोर देता है। वे कौन सा हथियार इस्तेमाल कर रहे हैं?")</f>
        <v>एक कलारीपयट्टू अभ्यासी एक ऐसे हथियार से प्रशिक्षण ले रहा है जो भारी और कुंद प्रहार पर ज़ोर देता है। वे कौन सा हथियार इस्तेमाल कर रहे हैं?</v>
      </c>
      <c r="H121" s="5" t="str">
        <f>IFERROR(__xludf.DUMMYFUNCTION("GOOGLETRANSLATE(C121, ""en"", ""hi"")"),"A) तलवार, B) गदा, C) भाला, D) खंजर")</f>
        <v>A) तलवार, B) गदा, C) भाला, D) खंजर</v>
      </c>
      <c r="I121" s="5" t="str">
        <f>IFERROR(__xludf.DUMMYFUNCTION("GOOGLETRANSLATE(D121, ""en"", ""hi"")"),"बी) गदा")</f>
        <v>बी) गदा</v>
      </c>
    </row>
    <row r="122" ht="22.5" customHeight="1">
      <c r="A122" s="2">
        <v>121.0</v>
      </c>
      <c r="B122" s="3" t="s">
        <v>13964</v>
      </c>
      <c r="C122" s="3" t="s">
        <v>13965</v>
      </c>
      <c r="D122" s="3" t="s">
        <v>13684</v>
      </c>
      <c r="F122" s="5" t="str">
        <f>IFERROR(__xludf.DUMMYFUNCTION("GOOGLETRANSLATE(A122, ""en"", ""hi"")"),"121")</f>
        <v>121</v>
      </c>
      <c r="G122" s="5" t="str">
        <f>IFERROR(__xludf.DUMMYFUNCTION("GOOGLETRANSLATE(B122, ""en"", ""hi"")"),"कलारीपयट्टू में, आपको एक ऐसे रूप का अभ्यास करने के लिए कहा जाता है जो शरीर के लचीलेपन और कंडीशनिंग पर ज़ोर देता है। आपको किस अभ्यास पर ध्यान केंद्रित करना चाहिए?")</f>
        <v>कलारीपयट्टू में, आपको एक ऐसे रूप का अभ्यास करने के लिए कहा जाता है जो शरीर के लचीलेपन और कंडीशनिंग पर ज़ोर देता है। आपको किस अभ्यास पर ध्यान केंद्रित करना चाहिए?</v>
      </c>
      <c r="H122" s="5" t="str">
        <f>IFERROR(__xludf.DUMMYFUNCTION("GOOGLETRANSLATE(C122, ""en"", ""hi"")"),"ए) उझिचिल, बी) एडवस, सी) मार्मा, डी) चुवाडु")</f>
        <v>ए) उझिचिल, बी) एडवस, सी) मार्मा, डी) चुवाडु</v>
      </c>
      <c r="I122" s="5" t="str">
        <f>IFERROR(__xludf.DUMMYFUNCTION("GOOGLETRANSLATE(D122, ""en"", ""hi"")"),"A) उझिचिल")</f>
        <v>A) उझिचिल</v>
      </c>
    </row>
    <row r="123" ht="22.5" customHeight="1">
      <c r="A123" s="2">
        <v>122.0</v>
      </c>
      <c r="B123" s="3" t="s">
        <v>13966</v>
      </c>
      <c r="C123" s="3" t="s">
        <v>13923</v>
      </c>
      <c r="D123" s="3" t="s">
        <v>13924</v>
      </c>
      <c r="F123" s="5" t="str">
        <f>IFERROR(__xludf.DUMMYFUNCTION("GOOGLETRANSLATE(A123, ""en"", ""hi"")"),"122")</f>
        <v>122</v>
      </c>
      <c r="G123" s="5" t="str">
        <f>IFERROR(__xludf.DUMMYFUNCTION("GOOGLETRANSLATE(B123, ""en"", ""hi"")"),"कलारीपयट्टू के प्रदर्शन के दौरान, आप ऐसी तकनीकें देखते हैं जिनमें तेज़ और सटीक प्रहार शामिल होते हैं। वे संभवतः किस प्रकार का प्रदर्शन कर रहे हैं?")</f>
        <v>कलारीपयट्टू के प्रदर्शन के दौरान, आप ऐसी तकनीकें देखते हैं जिनमें तेज़ और सटीक प्रहार शामिल होते हैं। वे संभवतः किस प्रकार का प्रदर्शन कर रहे हैं?</v>
      </c>
      <c r="H123" s="5" t="str">
        <f>IFERROR(__xludf.DUMMYFUNCTION("GOOGLETRANSLATE(C123, ""en"", ""hi"")"),"ए) चुवाडु, बी) वर्मा, सी) एडवस, डी) केटी")</f>
        <v>ए) चुवाडु, बी) वर्मा, सी) एडवस, डी) केटी</v>
      </c>
      <c r="I123" s="5" t="str">
        <f>IFERROR(__xludf.DUMMYFUNCTION("GOOGLETRANSLATE(D123, ""en"", ""hi"")"),"बी) वर्मा")</f>
        <v>बी) वर्मा</v>
      </c>
    </row>
    <row r="124" ht="22.5" customHeight="1">
      <c r="A124" s="2">
        <v>123.0</v>
      </c>
      <c r="B124" s="3" t="s">
        <v>13967</v>
      </c>
      <c r="C124" s="3" t="s">
        <v>13968</v>
      </c>
      <c r="D124" s="3" t="s">
        <v>13846</v>
      </c>
      <c r="F124" s="5" t="str">
        <f>IFERROR(__xludf.DUMMYFUNCTION("GOOGLETRANSLATE(A124, ""en"", ""hi"")"),"123")</f>
        <v>123</v>
      </c>
      <c r="G124" s="5" t="str">
        <f>IFERROR(__xludf.DUMMYFUNCTION("GOOGLETRANSLATE(B124, ""en"", ""hi"")"),"कलारीपयट्टू प्रशिक्षण सत्र में, आप विभिन्न तकनीकों के लिए एक लंबी छड़ी के उपयोग पर ध्यान केंद्रित कर रहे हैं। यह किस रूप से संबंधित है?")</f>
        <v>कलारीपयट्टू प्रशिक्षण सत्र में, आप विभिन्न तकनीकों के लिए एक लंबी छड़ी के उपयोग पर ध्यान केंद्रित कर रहे हैं। यह किस रूप से संबंधित है?</v>
      </c>
      <c r="H124" s="5" t="str">
        <f>IFERROR(__xludf.DUMMYFUNCTION("GOOGLETRANSLATE(C124, ""en"", ""hi"")"),"ए) केट्टू, बी) मार्मा, सी) वर्मा, डी) एडवस")</f>
        <v>ए) केट्टू, बी) मार्मा, सी) वर्मा, डी) एडवस</v>
      </c>
      <c r="I124" s="5" t="str">
        <f>IFERROR(__xludf.DUMMYFUNCTION("GOOGLETRANSLATE(D124, ""en"", ""hi"")"),"A) केट्टू")</f>
        <v>A) केट्टू</v>
      </c>
    </row>
    <row r="125" ht="22.5" customHeight="1">
      <c r="A125" s="2">
        <v>124.0</v>
      </c>
      <c r="B125" s="3" t="s">
        <v>13969</v>
      </c>
      <c r="C125" s="3" t="s">
        <v>13814</v>
      </c>
      <c r="D125" s="3" t="s">
        <v>13787</v>
      </c>
      <c r="F125" s="5" t="str">
        <f>IFERROR(__xludf.DUMMYFUNCTION("GOOGLETRANSLATE(A125, ""en"", ""hi"")"),"124")</f>
        <v>124</v>
      </c>
      <c r="G125" s="5" t="str">
        <f>IFERROR(__xludf.DUMMYFUNCTION("GOOGLETRANSLATE(B125, ""en"", ""hi"")"),"आप कलारीपयट्टू में हमलों से बचने के लिए अपने फुटवर्क को बेहतर बनाना सीख रहे हैं। आपको किस अभ्यास पर ध्यान केंद्रित करना चाहिए?")</f>
        <v>आप कलारीपयट्टू में हमलों से बचने के लिए अपने फुटवर्क को बेहतर बनाना सीख रहे हैं। आपको किस अभ्यास पर ध्यान केंद्रित करना चाहिए?</v>
      </c>
      <c r="H125" s="5" t="str">
        <f>IFERROR(__xludf.DUMMYFUNCTION("GOOGLETRANSLATE(C125, ""en"", ""hi"")"),"ए) एडवस, बी) चुवाडु, सी) वर्मा, डी) उझिचिल")</f>
        <v>ए) एडवस, बी) चुवाडु, सी) वर्मा, डी) उझिचिल</v>
      </c>
      <c r="I125" s="5" t="str">
        <f>IFERROR(__xludf.DUMMYFUNCTION("GOOGLETRANSLATE(D125, ""en"", ""hi"")"),"बी) चुवाडु")</f>
        <v>बी) चुवाडु</v>
      </c>
    </row>
    <row r="126" ht="22.5" customHeight="1">
      <c r="A126" s="2">
        <v>125.0</v>
      </c>
      <c r="B126" s="3" t="s">
        <v>13970</v>
      </c>
      <c r="C126" s="3" t="s">
        <v>13971</v>
      </c>
      <c r="D126" s="3" t="s">
        <v>13972</v>
      </c>
      <c r="F126" s="5" t="str">
        <f>IFERROR(__xludf.DUMMYFUNCTION("GOOGLETRANSLATE(A126, ""en"", ""hi"")"),"125")</f>
        <v>125</v>
      </c>
      <c r="G126" s="5" t="str">
        <f>IFERROR(__xludf.DUMMYFUNCTION("GOOGLETRANSLATE(B126, ""en"", ""hi"")"),"कलारीपयट्टू कक्षा में, आपको ऐसी तकनीकों पर काम करना होगा जो प्रहार की सटीकता को बढ़ाएँ। आपको किस अभ्यास पर ध्यान केंद्रित करना चाहिए?")</f>
        <v>कलारीपयट्टू कक्षा में, आपको ऐसी तकनीकों पर काम करना होगा जो प्रहार की सटीकता को बढ़ाएँ। आपको किस अभ्यास पर ध्यान केंद्रित करना चाहिए?</v>
      </c>
      <c r="H126" s="5" t="str">
        <f>IFERROR(__xludf.DUMMYFUNCTION("GOOGLETRANSLATE(C126, ""en"", ""hi"")"),"ए) एडवस, बी) कवि, सी) उझिचिल, डी) वर्मा")</f>
        <v>ए) एडवस, बी) कवि, सी) उझिचिल, डी) वर्मा</v>
      </c>
      <c r="I126" s="5" t="str">
        <f>IFERROR(__xludf.DUMMYFUNCTION("GOOGLETRANSLATE(D126, ""en"", ""hi"")"),"D) वर्मा")</f>
        <v>D) वर्मा</v>
      </c>
    </row>
    <row r="127" ht="22.5" customHeight="1">
      <c r="A127" s="2">
        <v>126.0</v>
      </c>
      <c r="B127" s="3" t="s">
        <v>13973</v>
      </c>
      <c r="C127" s="3" t="s">
        <v>13974</v>
      </c>
      <c r="D127" s="3" t="s">
        <v>13932</v>
      </c>
      <c r="F127" s="5" t="str">
        <f>IFERROR(__xludf.DUMMYFUNCTION("GOOGLETRANSLATE(A127, ""en"", ""hi"")"),"126")</f>
        <v>126</v>
      </c>
      <c r="G127" s="5" t="str">
        <f>IFERROR(__xludf.DUMMYFUNCTION("GOOGLETRANSLATE(B127, ""en"", ""hi"")"),"आप कलारीपयट्टू तकनीक का अभ्यास कर रहे हैं जिसमें प्रतिद्वंद्वी के शरीर के महत्वपूर्ण बिंदुओं को निशाना बनाया जाता है। इस तकनीक को क्या कहते हैं?")</f>
        <v>आप कलारीपयट्टू तकनीक का अभ्यास कर रहे हैं जिसमें प्रतिद्वंद्वी के शरीर के महत्वपूर्ण बिंदुओं को निशाना बनाया जाता है। इस तकनीक को क्या कहते हैं?</v>
      </c>
      <c r="H127" s="5" t="str">
        <f>IFERROR(__xludf.DUMMYFUNCTION("GOOGLETRANSLATE(C127, ""en"", ""hi"")"),"ए) मार्मा, बी) एडवस, सी) केटी, डी) उझिचिल")</f>
        <v>ए) मार्मा, बी) एडवस, सी) केटी, डी) उझिचिल</v>
      </c>
      <c r="I127" s="5" t="str">
        <f>IFERROR(__xludf.DUMMYFUNCTION("GOOGLETRANSLATE(D127, ""en"", ""hi"")"),"A) मर्म")</f>
        <v>A) मर्म</v>
      </c>
    </row>
    <row r="128" ht="22.5" customHeight="1">
      <c r="A128" s="2">
        <v>127.0</v>
      </c>
      <c r="B128" s="3" t="s">
        <v>13975</v>
      </c>
      <c r="C128" s="3" t="s">
        <v>13824</v>
      </c>
      <c r="D128" s="3" t="s">
        <v>13935</v>
      </c>
      <c r="F128" s="5" t="str">
        <f>IFERROR(__xludf.DUMMYFUNCTION("GOOGLETRANSLATE(A128, ""en"", ""hi"")"),"127")</f>
        <v>127</v>
      </c>
      <c r="G128" s="5" t="str">
        <f>IFERROR(__xludf.DUMMYFUNCTION("GOOGLETRANSLATE(B128, ""en"", ""hi"")"),"कलारीपयट्टू के दौरान, आप आक्रामक और रक्षात्मक, दोनों ही तरह के हथियारों का इस्तेमाल देखते हैं। यह हथियार कौन सा हो सकता है?")</f>
        <v>कलारीपयट्टू के दौरान, आप आक्रामक और रक्षात्मक, दोनों ही तरह के हथियारों का इस्तेमाल देखते हैं। यह हथियार कौन सा हो सकता है?</v>
      </c>
      <c r="H128" s="5" t="str">
        <f>IFERROR(__xludf.DUMMYFUNCTION("GOOGLETRANSLATE(C128, ""en"", ""hi"")"),"A) तलवार, B) भाला, C) गदा, D) खंजर")</f>
        <v>A) तलवार, B) भाला, C) गदा, D) खंजर</v>
      </c>
      <c r="I128" s="5" t="str">
        <f>IFERROR(__xludf.DUMMYFUNCTION("GOOGLETRANSLATE(D128, ""en"", ""hi"")"),"D) खंजर")</f>
        <v>D) खंजर</v>
      </c>
    </row>
    <row r="129" ht="22.5" customHeight="1">
      <c r="A129" s="2">
        <v>128.0</v>
      </c>
      <c r="B129" s="3" t="s">
        <v>13976</v>
      </c>
      <c r="C129" s="3" t="s">
        <v>13938</v>
      </c>
      <c r="D129" s="3" t="s">
        <v>13787</v>
      </c>
      <c r="F129" s="5" t="str">
        <f>IFERROR(__xludf.DUMMYFUNCTION("GOOGLETRANSLATE(A129, ""en"", ""hi"")"),"128")</f>
        <v>128</v>
      </c>
      <c r="G129" s="5" t="str">
        <f>IFERROR(__xludf.DUMMYFUNCTION("GOOGLETRANSLATE(B129, ""en"", ""hi"")"),"कलारीपयट्टू में कौन सी तकनीक सटीक और तीव्र फुटवर्क विकसित करने पर केंद्रित है?")</f>
        <v>कलारीपयट्टू में कौन सी तकनीक सटीक और तीव्र फुटवर्क विकसित करने पर केंद्रित है?</v>
      </c>
      <c r="H129" s="5" t="str">
        <f>IFERROR(__xludf.DUMMYFUNCTION("GOOGLETRANSLATE(C129, ""en"", ""hi"")"),"ए) एडवस, बी) चुवाडु, सी) मार्मा, डी) उझिचिल")</f>
        <v>ए) एडवस, बी) चुवाडु, सी) मार्मा, डी) उझिचिल</v>
      </c>
      <c r="I129" s="5" t="str">
        <f>IFERROR(__xludf.DUMMYFUNCTION("GOOGLETRANSLATE(D129, ""en"", ""hi"")"),"बी) चुवाडु")</f>
        <v>बी) चुवाडु</v>
      </c>
    </row>
    <row r="130" ht="22.5" customHeight="1">
      <c r="A130" s="2">
        <v>129.0</v>
      </c>
      <c r="B130" s="3" t="s">
        <v>13977</v>
      </c>
      <c r="C130" s="3" t="s">
        <v>13978</v>
      </c>
      <c r="D130" s="3" t="s">
        <v>13678</v>
      </c>
      <c r="F130" s="5" t="str">
        <f>IFERROR(__xludf.DUMMYFUNCTION("GOOGLETRANSLATE(A130, ""en"", ""hi"")"),"129")</f>
        <v>129</v>
      </c>
      <c r="G130" s="5" t="str">
        <f>IFERROR(__xludf.DUMMYFUNCTION("GOOGLETRANSLATE(B130, ""en"", ""hi"")"),"आप सटीकता पर ध्यान केंद्रित करते हुए प्रहार तकनीकें सीख रहे हैं। यह किस कलारीपयट्टू अभ्यास से संबंधित है?")</f>
        <v>आप सटीकता पर ध्यान केंद्रित करते हुए प्रहार तकनीकें सीख रहे हैं। यह किस कलारीपयट्टू अभ्यास से संबंधित है?</v>
      </c>
      <c r="H130" s="5" t="str">
        <f>IFERROR(__xludf.DUMMYFUNCTION("GOOGLETRANSLATE(C130, ""en"", ""hi"")"),"ए) वर्मम, बी) एडवस, सी) चुवाडु, डी) उझिचिल")</f>
        <v>ए) वर्मम, बी) एडवस, सी) चुवाडु, डी) उझिचिल</v>
      </c>
      <c r="I130" s="5" t="str">
        <f>IFERROR(__xludf.DUMMYFUNCTION("GOOGLETRANSLATE(D130, ""en"", ""hi"")"),"ए) वर्माम")</f>
        <v>ए) वर्माम</v>
      </c>
    </row>
    <row r="131" ht="22.5" customHeight="1">
      <c r="A131" s="2">
        <v>130.0</v>
      </c>
      <c r="B131" s="3" t="s">
        <v>13979</v>
      </c>
      <c r="C131" s="3" t="s">
        <v>13713</v>
      </c>
      <c r="D131" s="3" t="s">
        <v>13772</v>
      </c>
      <c r="F131" s="5" t="str">
        <f>IFERROR(__xludf.DUMMYFUNCTION("GOOGLETRANSLATE(A131, ""en"", ""hi"")"),"130")</f>
        <v>130</v>
      </c>
      <c r="G131" s="5" t="str">
        <f>IFERROR(__xludf.DUMMYFUNCTION("GOOGLETRANSLATE(B131, ""en"", ""hi"")"),"एक कलारीपयट्टू अभ्यासी शक्तिशाली आक्रमणों के लिए एक भारी हथियार के प्रयोग पर ध्यान केंद्रित कर रहा है। वे संभवतः किस हथियार से प्रशिक्षण ले रहे हैं?")</f>
        <v>एक कलारीपयट्टू अभ्यासी शक्तिशाली आक्रमणों के लिए एक भारी हथियार के प्रयोग पर ध्यान केंद्रित कर रहा है। वे संभवतः किस हथियार से प्रशिक्षण ले रहे हैं?</v>
      </c>
      <c r="H131" s="5" t="str">
        <f>IFERROR(__xludf.DUMMYFUNCTION("GOOGLETRANSLATE(C131, ""en"", ""hi"")"),"A) तलवार, B) गदा, C) भाला, D) खंजर")</f>
        <v>A) तलवार, B) गदा, C) भाला, D) खंजर</v>
      </c>
      <c r="I131" s="5" t="str">
        <f>IFERROR(__xludf.DUMMYFUNCTION("GOOGLETRANSLATE(D131, ""en"", ""hi"")"),"बी) गदा")</f>
        <v>बी) गदा</v>
      </c>
    </row>
    <row r="132" ht="22.5" customHeight="1">
      <c r="A132" s="2">
        <v>131.0</v>
      </c>
      <c r="B132" s="3" t="s">
        <v>13980</v>
      </c>
      <c r="C132" s="3" t="s">
        <v>13981</v>
      </c>
      <c r="D132" s="3" t="s">
        <v>13675</v>
      </c>
      <c r="F132" s="5" t="str">
        <f>IFERROR(__xludf.DUMMYFUNCTION("GOOGLETRANSLATE(A132, ""en"", ""hi"")"),"131")</f>
        <v>131</v>
      </c>
      <c r="G132" s="5" t="str">
        <f>IFERROR(__xludf.DUMMYFUNCTION("GOOGLETRANSLATE(B132, ""en"", ""hi"")"),"कलारीपयट्टू प्रशिक्षण कक्षा में, हमलों से प्रभावी ढंग से बचने के लिए आपको अपने पैरों की गति बढ़ानी होगी। आपको किस तकनीक पर ध्यान केंद्रित करना चाहिए?")</f>
        <v>कलारीपयट्टू प्रशिक्षण कक्षा में, हमलों से प्रभावी ढंग से बचने के लिए आपको अपने पैरों की गति बढ़ानी होगी। आपको किस तकनीक पर ध्यान केंद्रित करना चाहिए?</v>
      </c>
      <c r="H132" s="5" t="str">
        <f>IFERROR(__xludf.DUMMYFUNCTION("GOOGLETRANSLATE(C132, ""en"", ""hi"")"),"ए) चुवडु, बी) वर्मा, सी) मार्मा, डी) एडवस")</f>
        <v>ए) चुवडु, बी) वर्मा, सी) मार्मा, डी) एडवस</v>
      </c>
      <c r="I132" s="5" t="str">
        <f>IFERROR(__xludf.DUMMYFUNCTION("GOOGLETRANSLATE(D132, ""en"", ""hi"")"),"A) चुवाडु")</f>
        <v>A) चुवाडु</v>
      </c>
    </row>
    <row r="133" ht="22.5" customHeight="1">
      <c r="A133" s="2">
        <v>132.0</v>
      </c>
      <c r="B133" s="3" t="s">
        <v>13982</v>
      </c>
      <c r="C133" s="3" t="s">
        <v>13983</v>
      </c>
      <c r="D133" s="3" t="s">
        <v>13781</v>
      </c>
      <c r="F133" s="5" t="str">
        <f>IFERROR(__xludf.DUMMYFUNCTION("GOOGLETRANSLATE(A133, ""en"", ""hi"")"),"132")</f>
        <v>132</v>
      </c>
      <c r="G133" s="5" t="str">
        <f>IFERROR(__xludf.DUMMYFUNCTION("GOOGLETRANSLATE(B133, ""en"", ""hi"")"),"कलारीपयट्टू कक्षा के दौरान, आपको प्रतिद्वंद्वी के शरीर के विशिष्ट बिंदुओं पर निशाना लगाने की अपनी क्षमता में सुधार करने का निर्देश दिया जाता है। आप किस अभ्यास में लगे रहते हैं?")</f>
        <v>कलारीपयट्टू कक्षा के दौरान, आपको प्रतिद्वंद्वी के शरीर के विशिष्ट बिंदुओं पर निशाना लगाने की अपनी क्षमता में सुधार करने का निर्देश दिया जाता है। आप किस अभ्यास में लगे रहते हैं?</v>
      </c>
      <c r="H133" s="5" t="str">
        <f>IFERROR(__xludf.DUMMYFUNCTION("GOOGLETRANSLATE(C133, ""en"", ""hi"")"),"ए) मार्मा, बी) वर्मम, सी) केट्टू, डी) उझिचिल")</f>
        <v>ए) मार्मा, बी) वर्मम, सी) केट्टू, डी) उझिचिल</v>
      </c>
      <c r="I133" s="5" t="str">
        <f>IFERROR(__xludf.DUMMYFUNCTION("GOOGLETRANSLATE(D133, ""en"", ""hi"")"),"बी) वर्माम")</f>
        <v>बी) वर्माम</v>
      </c>
    </row>
    <row r="134" ht="22.5" customHeight="1">
      <c r="A134" s="2">
        <v>133.0</v>
      </c>
      <c r="B134" s="3" t="s">
        <v>13984</v>
      </c>
      <c r="C134" s="3" t="s">
        <v>13713</v>
      </c>
      <c r="D134" s="3" t="s">
        <v>13772</v>
      </c>
      <c r="F134" s="5" t="str">
        <f>IFERROR(__xludf.DUMMYFUNCTION("GOOGLETRANSLATE(A134, ""en"", ""hi"")"),"133")</f>
        <v>133</v>
      </c>
      <c r="G134" s="5" t="str">
        <f>IFERROR(__xludf.DUMMYFUNCTION("GOOGLETRANSLATE(B134, ""en"", ""hi"")"),"आप एक अभ्यासी को भारी, कुंद बल वाली तकनीकों का प्रयोग करते हुए देख रहे हैं। वे संभवतः किस हथियार का प्रयोग कर रहे हैं?")</f>
        <v>आप एक अभ्यासी को भारी, कुंद बल वाली तकनीकों का प्रयोग करते हुए देख रहे हैं। वे संभवतः किस हथियार का प्रयोग कर रहे हैं?</v>
      </c>
      <c r="H134" s="5" t="str">
        <f>IFERROR(__xludf.DUMMYFUNCTION("GOOGLETRANSLATE(C134, ""en"", ""hi"")"),"A) तलवार, B) गदा, C) भाला, D) खंजर")</f>
        <v>A) तलवार, B) गदा, C) भाला, D) खंजर</v>
      </c>
      <c r="I134" s="5" t="str">
        <f>IFERROR(__xludf.DUMMYFUNCTION("GOOGLETRANSLATE(D134, ""en"", ""hi"")"),"बी) गदा")</f>
        <v>बी) गदा</v>
      </c>
    </row>
    <row r="135" ht="22.5" customHeight="1">
      <c r="A135" s="2">
        <v>134.0</v>
      </c>
      <c r="B135" s="3" t="s">
        <v>13985</v>
      </c>
      <c r="C135" s="3" t="s">
        <v>13965</v>
      </c>
      <c r="D135" s="3" t="s">
        <v>13684</v>
      </c>
      <c r="F135" s="5" t="str">
        <f>IFERROR(__xludf.DUMMYFUNCTION("GOOGLETRANSLATE(A135, ""en"", ""hi"")"),"134")</f>
        <v>134</v>
      </c>
      <c r="G135" s="5" t="str">
        <f>IFERROR(__xludf.DUMMYFUNCTION("GOOGLETRANSLATE(B135, ""en"", ""hi"")"),"कलारीपयट्टू में, कौन सा अभ्यास लचीलेपन और समग्र शरीर की कंडीशनिंग को बढ़ाने पर केंद्रित है?")</f>
        <v>कलारीपयट्टू में, कौन सा अभ्यास लचीलेपन और समग्र शरीर की कंडीशनिंग को बढ़ाने पर केंद्रित है?</v>
      </c>
      <c r="H135" s="5" t="str">
        <f>IFERROR(__xludf.DUMMYFUNCTION("GOOGLETRANSLATE(C135, ""en"", ""hi"")"),"ए) उझिचिल, बी) एडवस, सी) मार्मा, डी) चुवाडु")</f>
        <v>ए) उझिचिल, बी) एडवस, सी) मार्मा, डी) चुवाडु</v>
      </c>
      <c r="I135" s="5" t="str">
        <f>IFERROR(__xludf.DUMMYFUNCTION("GOOGLETRANSLATE(D135, ""en"", ""hi"")"),"A) उझिचिल")</f>
        <v>A) उझिचिल</v>
      </c>
    </row>
    <row r="136" ht="22.5" customHeight="1">
      <c r="A136" s="2">
        <v>135.0</v>
      </c>
      <c r="B136" s="3" t="s">
        <v>13986</v>
      </c>
      <c r="C136" s="3" t="s">
        <v>13959</v>
      </c>
      <c r="D136" s="3" t="s">
        <v>13960</v>
      </c>
      <c r="F136" s="5" t="str">
        <f>IFERROR(__xludf.DUMMYFUNCTION("GOOGLETRANSLATE(A136, ""en"", ""hi"")"),"135")</f>
        <v>135</v>
      </c>
      <c r="G136" s="5" t="str">
        <f>IFERROR(__xludf.DUMMYFUNCTION("GOOGLETRANSLATE(B136, ""en"", ""hi"")"),"एक अभ्यासकर्ता ऐसी तकनीकों पर काम कर रहा है जिनमें त्वरित और सटीक गतियाँ शामिल हैं। वे संभवतः किस प्रकार का अभ्यास कर रहे हैं?")</f>
        <v>एक अभ्यासकर्ता ऐसी तकनीकों पर काम कर रहा है जिनमें त्वरित और सटीक गतियाँ शामिल हैं। वे संभवतः किस प्रकार का अभ्यास कर रहे हैं?</v>
      </c>
      <c r="H136" s="5" t="str">
        <f>IFERROR(__xludf.DUMMYFUNCTION("GOOGLETRANSLATE(C136, ""en"", ""hi"")"),"ए) वर्मा, बी) चुवाडु, सी) एडवस, डी) केटी")</f>
        <v>ए) वर्मा, बी) चुवाडु, सी) एडवस, डी) केटी</v>
      </c>
      <c r="I136" s="5" t="str">
        <f>IFERROR(__xludf.DUMMYFUNCTION("GOOGLETRANSLATE(D136, ""en"", ""hi"")"),"ए) वर्मा")</f>
        <v>ए) वर्मा</v>
      </c>
    </row>
    <row r="137" ht="22.5" customHeight="1">
      <c r="A137" s="2">
        <v>136.0</v>
      </c>
      <c r="B137" s="3" t="s">
        <v>13987</v>
      </c>
      <c r="C137" s="3" t="s">
        <v>13988</v>
      </c>
      <c r="D137" s="3" t="s">
        <v>13846</v>
      </c>
      <c r="F137" s="5" t="str">
        <f>IFERROR(__xludf.DUMMYFUNCTION("GOOGLETRANSLATE(A137, ""en"", ""hi"")"),"136")</f>
        <v>136</v>
      </c>
      <c r="G137" s="5" t="str">
        <f>IFERROR(__xludf.DUMMYFUNCTION("GOOGLETRANSLATE(B137, ""en"", ""hi"")"),"कलारीपयट्टू सत्र के दौरान, आपको एक लंबी छड़ी से प्रहार करने की तकनीक पर ध्यान केंद्रित करने के लिए कहा जाता है। आपको किस प्रकार पर ध्यान केंद्रित करना चाहिए?")</f>
        <v>कलारीपयट्टू सत्र के दौरान, आपको एक लंबी छड़ी से प्रहार करने की तकनीक पर ध्यान केंद्रित करने के लिए कहा जाता है। आपको किस प्रकार पर ध्यान केंद्रित करना चाहिए?</v>
      </c>
      <c r="H137" s="5" t="str">
        <f>IFERROR(__xludf.DUMMYFUNCTION("GOOGLETRANSLATE(C137, ""en"", ""hi"")"),"ए) केट्टू, बी) मार्मा, सी) उझिचिल, डी) एडवस")</f>
        <v>ए) केट्टू, बी) मार्मा, सी) उझिचिल, डी) एडवस</v>
      </c>
      <c r="I137" s="5" t="str">
        <f>IFERROR(__xludf.DUMMYFUNCTION("GOOGLETRANSLATE(D137, ""en"", ""hi"")"),"A) केट्टू")</f>
        <v>A) केट्टू</v>
      </c>
    </row>
    <row r="138" ht="22.5" customHeight="1">
      <c r="A138" s="2">
        <v>137.0</v>
      </c>
      <c r="B138" s="3" t="s">
        <v>13989</v>
      </c>
      <c r="C138" s="3" t="s">
        <v>13990</v>
      </c>
      <c r="D138" s="3" t="s">
        <v>13675</v>
      </c>
      <c r="F138" s="5" t="str">
        <f>IFERROR(__xludf.DUMMYFUNCTION("GOOGLETRANSLATE(A138, ""en"", ""hi"")"),"137")</f>
        <v>137</v>
      </c>
      <c r="G138" s="5" t="str">
        <f>IFERROR(__xludf.DUMMYFUNCTION("GOOGLETRANSLATE(B138, ""en"", ""hi"")"),"आप हमलों से बचने और उनका जवाब देने की अपनी क्षमता में सुधार करने की तकनीकें सीख रहे हैं। इसके लिए कौन सा कलारीपयट्टू अभ्यास प्रासंगिक है?")</f>
        <v>आप हमलों से बचने और उनका जवाब देने की अपनी क्षमता में सुधार करने की तकनीकें सीख रहे हैं। इसके लिए कौन सा कलारीपयट्टू अभ्यास प्रासंगिक है?</v>
      </c>
      <c r="H138" s="5" t="str">
        <f>IFERROR(__xludf.DUMMYFUNCTION("GOOGLETRANSLATE(C138, ""en"", ""hi"")"),"ए) चुवडु, बी) वर्मा, सी) एडवस, डी) मार्मा")</f>
        <v>ए) चुवडु, बी) वर्मा, सी) एडवस, डी) मार्मा</v>
      </c>
      <c r="I138" s="5" t="str">
        <f>IFERROR(__xludf.DUMMYFUNCTION("GOOGLETRANSLATE(D138, ""en"", ""hi"")"),"A) चुवाडु")</f>
        <v>A) चुवाडु</v>
      </c>
    </row>
    <row r="139" ht="22.5" customHeight="1">
      <c r="A139" s="2">
        <v>138.0</v>
      </c>
      <c r="B139" s="3" t="s">
        <v>13991</v>
      </c>
      <c r="C139" s="3" t="s">
        <v>13992</v>
      </c>
      <c r="D139" s="3" t="s">
        <v>13993</v>
      </c>
      <c r="F139" s="5" t="str">
        <f>IFERROR(__xludf.DUMMYFUNCTION("GOOGLETRANSLATE(A139, ""en"", ""hi"")"),"138")</f>
        <v>138</v>
      </c>
      <c r="G139" s="5" t="str">
        <f>IFERROR(__xludf.DUMMYFUNCTION("GOOGLETRANSLATE(B139, ""en"", ""hi"")"),"कलारीपयट्टू में, किस अभ्यास में महत्वपूर्ण बिंदुओं पर सटीक प्रहार पर ध्यान केंद्रित किया जाता है?")</f>
        <v>कलारीपयट्टू में, किस अभ्यास में महत्वपूर्ण बिंदुओं पर सटीक प्रहार पर ध्यान केंद्रित किया जाता है?</v>
      </c>
      <c r="H139" s="5" t="str">
        <f>IFERROR(__xludf.DUMMYFUNCTION("GOOGLETRANSLATE(C139, ""en"", ""hi"")"),"ए) वर्मम, बी) मार्मा, सी) उझिचिल, डी) एडवस")</f>
        <v>ए) वर्मम, बी) मार्मा, सी) उझिचिल, डी) एडवस</v>
      </c>
      <c r="I139" s="5" t="str">
        <f>IFERROR(__xludf.DUMMYFUNCTION("GOOGLETRANSLATE(D139, ""en"", ""hi"")"),"बी) मर्म")</f>
        <v>बी) मर्म</v>
      </c>
    </row>
    <row r="140" ht="22.5" customHeight="1">
      <c r="A140" s="2">
        <v>139.0</v>
      </c>
      <c r="B140" s="3" t="s">
        <v>13994</v>
      </c>
      <c r="C140" s="3" t="s">
        <v>13713</v>
      </c>
      <c r="D140" s="3" t="s">
        <v>13714</v>
      </c>
      <c r="F140" s="5" t="str">
        <f>IFERROR(__xludf.DUMMYFUNCTION("GOOGLETRANSLATE(A140, ""en"", ""hi"")"),"139")</f>
        <v>139</v>
      </c>
      <c r="G140" s="5" t="str">
        <f>IFERROR(__xludf.DUMMYFUNCTION("GOOGLETRANSLATE(B140, ""en"", ""hi"")"),"एक अभ्यासकर्ता एक ऐसे हथियार से प्रशिक्षण ले रहा है जिसका इस्तेमाल काटने और धकेलने, दोनों तकनीकों के लिए किया जाता है। वे कौन सा हथियार इस्तेमाल कर रहे हैं?")</f>
        <v>एक अभ्यासकर्ता एक ऐसे हथियार से प्रशिक्षण ले रहा है जिसका इस्तेमाल काटने और धकेलने, दोनों तकनीकों के लिए किया जाता है। वे कौन सा हथियार इस्तेमाल कर रहे हैं?</v>
      </c>
      <c r="H140" s="5" t="str">
        <f>IFERROR(__xludf.DUMMYFUNCTION("GOOGLETRANSLATE(C140, ""en"", ""hi"")"),"A) तलवार, B) गदा, C) भाला, D) खंजर")</f>
        <v>A) तलवार, B) गदा, C) भाला, D) खंजर</v>
      </c>
      <c r="I140" s="5" t="str">
        <f>IFERROR(__xludf.DUMMYFUNCTION("GOOGLETRANSLATE(D140, ""en"", ""hi"")"),"ए) तलवार")</f>
        <v>ए) तलवार</v>
      </c>
    </row>
    <row r="141" ht="22.5" customHeight="1">
      <c r="A141" s="2">
        <v>140.0</v>
      </c>
      <c r="B141" s="3" t="s">
        <v>13995</v>
      </c>
      <c r="C141" s="3" t="s">
        <v>13965</v>
      </c>
      <c r="D141" s="3" t="s">
        <v>13684</v>
      </c>
      <c r="F141" s="5" t="str">
        <f>IFERROR(__xludf.DUMMYFUNCTION("GOOGLETRANSLATE(A141, ""en"", ""hi"")"),"140")</f>
        <v>140</v>
      </c>
      <c r="G141" s="5" t="str">
        <f>IFERROR(__xludf.DUMMYFUNCTION("GOOGLETRANSLATE(B141, ""en"", ""hi"")"),"कलारीपयट्टू कक्षा में, आप शरीर की कंडीशनिंग और लचीलेपन पर ध्यान केंद्रित करते हैं। कौन सा अभ्यास सबसे अधिक प्रासंगिक है?")</f>
        <v>कलारीपयट्टू कक्षा में, आप शरीर की कंडीशनिंग और लचीलेपन पर ध्यान केंद्रित करते हैं। कौन सा अभ्यास सबसे अधिक प्रासंगिक है?</v>
      </c>
      <c r="H141" s="5" t="str">
        <f>IFERROR(__xludf.DUMMYFUNCTION("GOOGLETRANSLATE(C141, ""en"", ""hi"")"),"ए) उझिचिल, बी) एडवस, सी) मार्मा, डी) चुवाडु")</f>
        <v>ए) उझिचिल, बी) एडवस, सी) मार्मा, डी) चुवाडु</v>
      </c>
      <c r="I141" s="5" t="str">
        <f>IFERROR(__xludf.DUMMYFUNCTION("GOOGLETRANSLATE(D141, ""en"", ""hi"")"),"A) उझिचिल")</f>
        <v>A) उझिचिल</v>
      </c>
    </row>
    <row r="142" ht="22.5" customHeight="1">
      <c r="A142" s="2">
        <v>141.0</v>
      </c>
      <c r="B142" s="3" t="s">
        <v>13996</v>
      </c>
      <c r="C142" s="3" t="s">
        <v>13997</v>
      </c>
      <c r="D142" s="3" t="s">
        <v>13960</v>
      </c>
      <c r="F142" s="5" t="str">
        <f>IFERROR(__xludf.DUMMYFUNCTION("GOOGLETRANSLATE(A142, ""en"", ""hi"")"),"141")</f>
        <v>141</v>
      </c>
      <c r="G142" s="5" t="str">
        <f>IFERROR(__xludf.DUMMYFUNCTION("GOOGLETRANSLATE(B142, ""en"", ""hi"")"),"कलारीपयट्टू के प्रदर्शन के दौरान, आपने गोलाकार गतियों वाली तकनीकों का प्रयोग देखा होगा। किस रूप का प्रदर्शन किया जा रहा है?")</f>
        <v>कलारीपयट्टू के प्रदर्शन के दौरान, आपने गोलाकार गतियों वाली तकनीकों का प्रयोग देखा होगा। किस रूप का प्रदर्शन किया जा रहा है?</v>
      </c>
      <c r="H142" s="5" t="str">
        <f>IFERROR(__xludf.DUMMYFUNCTION("GOOGLETRANSLATE(C142, ""en"", ""hi"")"),"ए) वर्मा, बी) एडवस, सी) चुवाडु, डी) केटी")</f>
        <v>ए) वर्मा, बी) एडवस, सी) चुवाडु, डी) केटी</v>
      </c>
      <c r="I142" s="5" t="str">
        <f>IFERROR(__xludf.DUMMYFUNCTION("GOOGLETRANSLATE(D142, ""en"", ""hi"")"),"ए) वर्मा")</f>
        <v>ए) वर्मा</v>
      </c>
    </row>
    <row r="143" ht="22.5" customHeight="1">
      <c r="A143" s="2">
        <v>142.0</v>
      </c>
      <c r="B143" s="3" t="s">
        <v>13998</v>
      </c>
      <c r="C143" s="3" t="s">
        <v>13999</v>
      </c>
      <c r="D143" s="3" t="s">
        <v>13678</v>
      </c>
      <c r="F143" s="5" t="str">
        <f>IFERROR(__xludf.DUMMYFUNCTION("GOOGLETRANSLATE(A143, ""en"", ""hi"")"),"142")</f>
        <v>142</v>
      </c>
      <c r="G143" s="5" t="str">
        <f>IFERROR(__xludf.DUMMYFUNCTION("GOOGLETRANSLATE(B143, ""en"", ""hi"")"),"आप एक कलारीपयट्टू अभ्यासी को सटीक और त्वरित प्रहारों पर ध्यान केंद्रित करते हुए देख रहे हैं। उन्हें किस अभ्यास पर ध्यान केंद्रित करना चाहिए?")</f>
        <v>आप एक कलारीपयट्टू अभ्यासी को सटीक और त्वरित प्रहारों पर ध्यान केंद्रित करते हुए देख रहे हैं। उन्हें किस अभ्यास पर ध्यान केंद्रित करना चाहिए?</v>
      </c>
      <c r="H143" s="5" t="str">
        <f>IFERROR(__xludf.DUMMYFUNCTION("GOOGLETRANSLATE(C143, ""en"", ""hi"")"),"ए) वर्मम, बी) चुवडु, सी) उझिचिल, डी) एडवस")</f>
        <v>ए) वर्मम, बी) चुवडु, सी) उझिचिल, डी) एडवस</v>
      </c>
      <c r="I143" s="5" t="str">
        <f>IFERROR(__xludf.DUMMYFUNCTION("GOOGLETRANSLATE(D143, ""en"", ""hi"")"),"ए) वर्माम")</f>
        <v>ए) वर्माम</v>
      </c>
    </row>
    <row r="144" ht="22.5" customHeight="1">
      <c r="A144" s="2">
        <v>143.0</v>
      </c>
      <c r="B144" s="3" t="s">
        <v>14000</v>
      </c>
      <c r="C144" s="3" t="s">
        <v>14001</v>
      </c>
      <c r="D144" s="3" t="s">
        <v>14002</v>
      </c>
      <c r="F144" s="5" t="str">
        <f>IFERROR(__xludf.DUMMYFUNCTION("GOOGLETRANSLATE(A144, ""en"", ""hi"")"),"143")</f>
        <v>143</v>
      </c>
      <c r="G144" s="5" t="str">
        <f>IFERROR(__xludf.DUMMYFUNCTION("GOOGLETRANSLATE(B144, ""en"", ""hi"")"),"कलारीपयट्टू में, कौन सी तकनीक शक्तिशाली, कुंद हमलों के लिए हथियार के उपयोग से जुड़ी है?")</f>
        <v>कलारीपयट्टू में, कौन सी तकनीक शक्तिशाली, कुंद हमलों के लिए हथियार के उपयोग से जुड़ी है?</v>
      </c>
      <c r="H144" s="5" t="str">
        <f>IFERROR(__xludf.DUMMYFUNCTION("GOOGLETRANSLATE(C144, ""en"", ""hi"")"),"A) गदा, B) तलवार, C) भाला, D) खंजर")</f>
        <v>A) गदा, B) तलवार, C) भाला, D) खंजर</v>
      </c>
      <c r="I144" s="5" t="str">
        <f>IFERROR(__xludf.DUMMYFUNCTION("GOOGLETRANSLATE(D144, ""en"", ""hi"")"),"ए) गदा")</f>
        <v>ए) गदा</v>
      </c>
    </row>
    <row r="145" ht="22.5" customHeight="1">
      <c r="A145" s="2">
        <v>144.0</v>
      </c>
      <c r="B145" s="3" t="s">
        <v>14003</v>
      </c>
      <c r="C145" s="3" t="s">
        <v>13981</v>
      </c>
      <c r="D145" s="3" t="s">
        <v>13675</v>
      </c>
      <c r="F145" s="5" t="str">
        <f>IFERROR(__xludf.DUMMYFUNCTION("GOOGLETRANSLATE(A145, ""en"", ""hi"")"),"144")</f>
        <v>144</v>
      </c>
      <c r="G145" s="5" t="str">
        <f>IFERROR(__xludf.DUMMYFUNCTION("GOOGLETRANSLATE(B145, ""en"", ""hi"")"),"आप कलारीपयट्टू का अभ्यास कर रहे हैं और हमलों से बचने के लिए आपको अपने पैरों की गति बढ़ाने की ज़रूरत है। यह किस अभ्यास से संबंधित है?")</f>
        <v>आप कलारीपयट्टू का अभ्यास कर रहे हैं और हमलों से बचने के लिए आपको अपने पैरों की गति बढ़ाने की ज़रूरत है। यह किस अभ्यास से संबंधित है?</v>
      </c>
      <c r="H145" s="5" t="str">
        <f>IFERROR(__xludf.DUMMYFUNCTION("GOOGLETRANSLATE(C145, ""en"", ""hi"")"),"ए) चुवडु, बी) वर्मा, सी) मार्मा, डी) एडवस")</f>
        <v>ए) चुवडु, बी) वर्मा, सी) मार्मा, डी) एडवस</v>
      </c>
      <c r="I145" s="5" t="str">
        <f>IFERROR(__xludf.DUMMYFUNCTION("GOOGLETRANSLATE(D145, ""en"", ""hi"")"),"A) चुवाडु")</f>
        <v>A) चुवाडु</v>
      </c>
    </row>
    <row r="146" ht="22.5" customHeight="1">
      <c r="A146" s="2">
        <v>145.0</v>
      </c>
      <c r="B146" s="3" t="s">
        <v>14004</v>
      </c>
      <c r="C146" s="3" t="s">
        <v>14005</v>
      </c>
      <c r="D146" s="3" t="s">
        <v>13932</v>
      </c>
      <c r="F146" s="5" t="str">
        <f>IFERROR(__xludf.DUMMYFUNCTION("GOOGLETRANSLATE(A146, ""en"", ""hi"")"),"145")</f>
        <v>145</v>
      </c>
      <c r="G146" s="5" t="str">
        <f>IFERROR(__xludf.DUMMYFUNCTION("GOOGLETRANSLATE(B146, ""en"", ""hi"")"),"कलारीपयट्टू कक्षा में, आप उन तकनीकों पर ध्यान केंद्रित करते हैं जिनमें शरीर के विशिष्ट बिंदुओं पर सटीक प्रहार शामिल होते हैं। आपको किस अभ्यास पर ध्यान केंद्रित करना चाहिए?")</f>
        <v>कलारीपयट्टू कक्षा में, आप उन तकनीकों पर ध्यान केंद्रित करते हैं जिनमें शरीर के विशिष्ट बिंदुओं पर सटीक प्रहार शामिल होते हैं। आपको किस अभ्यास पर ध्यान केंद्रित करना चाहिए?</v>
      </c>
      <c r="H146" s="5" t="str">
        <f>IFERROR(__xludf.DUMMYFUNCTION("GOOGLETRANSLATE(C146, ""en"", ""hi"")"),"ए) मार्मा, बी) एडवस, सी) वर्मा, डी) उझिचिल")</f>
        <v>ए) मार्मा, बी) एडवस, सी) वर्मा, डी) उझिचिल</v>
      </c>
      <c r="I146" s="5" t="str">
        <f>IFERROR(__xludf.DUMMYFUNCTION("GOOGLETRANSLATE(D146, ""en"", ""hi"")"),"A) मर्म")</f>
        <v>A) मर्म</v>
      </c>
    </row>
    <row r="147" ht="22.5" customHeight="1">
      <c r="A147" s="2">
        <v>146.0</v>
      </c>
      <c r="B147" s="3" t="s">
        <v>14006</v>
      </c>
      <c r="C147" s="3" t="s">
        <v>13713</v>
      </c>
      <c r="D147" s="3" t="s">
        <v>13714</v>
      </c>
      <c r="F147" s="5" t="str">
        <f>IFERROR(__xludf.DUMMYFUNCTION("GOOGLETRANSLATE(A147, ""en"", ""hi"")"),"146")</f>
        <v>146</v>
      </c>
      <c r="G147" s="5" t="str">
        <f>IFERROR(__xludf.DUMMYFUNCTION("GOOGLETRANSLATE(B147, ""en"", ""hi"")"),"कलारीपयट्टू सत्र के दौरान, आप एक ऐसे हथियार से प्रशिक्षण ले रहे हैं जो वार और प्रहार, दोनों में अपनी प्रभावशीलता के लिए जाना जाता है। आप कौन सा हथियार इस्तेमाल कर रहे हैं?")</f>
        <v>कलारीपयट्टू सत्र के दौरान, आप एक ऐसे हथियार से प्रशिक्षण ले रहे हैं जो वार और प्रहार, दोनों में अपनी प्रभावशीलता के लिए जाना जाता है। आप कौन सा हथियार इस्तेमाल कर रहे हैं?</v>
      </c>
      <c r="H147" s="5" t="str">
        <f>IFERROR(__xludf.DUMMYFUNCTION("GOOGLETRANSLATE(C147, ""en"", ""hi"")"),"A) तलवार, B) गदा, C) भाला, D) खंजर")</f>
        <v>A) तलवार, B) गदा, C) भाला, D) खंजर</v>
      </c>
      <c r="I147" s="5" t="str">
        <f>IFERROR(__xludf.DUMMYFUNCTION("GOOGLETRANSLATE(D147, ""en"", ""hi"")"),"ए) तलवार")</f>
        <v>ए) तलवार</v>
      </c>
    </row>
    <row r="148" ht="22.5" customHeight="1">
      <c r="A148" s="2">
        <v>147.0</v>
      </c>
      <c r="B148" s="3" t="s">
        <v>14007</v>
      </c>
      <c r="C148" s="3" t="s">
        <v>14008</v>
      </c>
      <c r="D148" s="3" t="s">
        <v>13684</v>
      </c>
      <c r="F148" s="5" t="str">
        <f>IFERROR(__xludf.DUMMYFUNCTION("GOOGLETRANSLATE(A148, ""en"", ""hi"")"),"147")</f>
        <v>147</v>
      </c>
      <c r="G148" s="5" t="str">
        <f>IFERROR(__xludf.DUMMYFUNCTION("GOOGLETRANSLATE(B148, ""en"", ""hi"")"),"कलारीपयट्टू में, आपको एक ऐसे अभ्यास का निर्देश दिया जाता है जो शरीर की कंडीशनिंग और लचीलेपन को बढ़ाता है। आपको किस अभ्यास पर ध्यान केंद्रित करना चाहिए?")</f>
        <v>कलारीपयट्टू में, आपको एक ऐसे अभ्यास का निर्देश दिया जाता है जो शरीर की कंडीशनिंग और लचीलेपन को बढ़ाता है। आपको किस अभ्यास पर ध्यान केंद्रित करना चाहिए?</v>
      </c>
      <c r="H148" s="5" t="str">
        <f>IFERROR(__xludf.DUMMYFUNCTION("GOOGLETRANSLATE(C148, ""en"", ""hi"")"),"ए) उझिचिल, बी) चुवाडु, सी) मार्मा, डी) एडवस")</f>
        <v>ए) उझिचिल, बी) चुवाडु, सी) मार्मा, डी) एडवस</v>
      </c>
      <c r="I148" s="5" t="str">
        <f>IFERROR(__xludf.DUMMYFUNCTION("GOOGLETRANSLATE(D148, ""en"", ""hi"")"),"A) उझिचिल")</f>
        <v>A) उझिचिल</v>
      </c>
    </row>
    <row r="149" ht="22.5" customHeight="1">
      <c r="A149" s="2">
        <v>148.0</v>
      </c>
      <c r="B149" s="3" t="s">
        <v>14009</v>
      </c>
      <c r="C149" s="3" t="s">
        <v>13997</v>
      </c>
      <c r="D149" s="3" t="s">
        <v>13960</v>
      </c>
      <c r="F149" s="5" t="str">
        <f>IFERROR(__xludf.DUMMYFUNCTION("GOOGLETRANSLATE(A149, ""en"", ""hi"")"),"148")</f>
        <v>148</v>
      </c>
      <c r="G149" s="5" t="str">
        <f>IFERROR(__xludf.DUMMYFUNCTION("GOOGLETRANSLATE(B149, ""en"", ""hi"")"),"एक कलारीपयट्टू अभ्यासी उन तकनीकों पर ध्यान केंद्रित करता है जिनमें तीव्र और सटीक गतियाँ शामिल होती हैं। वे संभवतः किस तकनीक का अभ्यास कर रहे हैं?")</f>
        <v>एक कलारीपयट्टू अभ्यासी उन तकनीकों पर ध्यान केंद्रित करता है जिनमें तीव्र और सटीक गतियाँ शामिल होती हैं। वे संभवतः किस तकनीक का अभ्यास कर रहे हैं?</v>
      </c>
      <c r="H149" s="5" t="str">
        <f>IFERROR(__xludf.DUMMYFUNCTION("GOOGLETRANSLATE(C149, ""en"", ""hi"")"),"ए) वर्मा, बी) एडवस, सी) चुवाडु, डी) केटी")</f>
        <v>ए) वर्मा, बी) एडवस, सी) चुवाडु, डी) केटी</v>
      </c>
      <c r="I149" s="5" t="str">
        <f>IFERROR(__xludf.DUMMYFUNCTION("GOOGLETRANSLATE(D149, ""en"", ""hi"")"),"ए) वर्मा")</f>
        <v>ए) वर्मा</v>
      </c>
    </row>
    <row r="150" ht="22.5" customHeight="1">
      <c r="A150" s="2">
        <v>149.0</v>
      </c>
      <c r="B150" s="3" t="s">
        <v>14010</v>
      </c>
      <c r="C150" s="3" t="s">
        <v>14011</v>
      </c>
      <c r="D150" s="3" t="s">
        <v>13675</v>
      </c>
      <c r="F150" s="5" t="str">
        <f>IFERROR(__xludf.DUMMYFUNCTION("GOOGLETRANSLATE(A150, ""en"", ""hi"")"),"149")</f>
        <v>149</v>
      </c>
      <c r="G150" s="5" t="str">
        <f>IFERROR(__xludf.DUMMYFUNCTION("GOOGLETRANSLATE(B150, ""en"", ""hi"")"),"कलारीपयट्टू कक्षा के दौरान, आपको हमलों से बचने और प्रभावी ढंग से उनका मुकाबला करने की अपनी क्षमता पर काम करने के लिए कहा जाता है। कौन सी तकनीक सबसे अधिक प्रासंगिक है?")</f>
        <v>कलारीपयट्टू कक्षा के दौरान, आपको हमलों से बचने और प्रभावी ढंग से उनका मुकाबला करने की अपनी क्षमता पर काम करने के लिए कहा जाता है। कौन सी तकनीक सबसे अधिक प्रासंगिक है?</v>
      </c>
      <c r="H150" s="5" t="str">
        <f>IFERROR(__xludf.DUMMYFUNCTION("GOOGLETRANSLATE(C150, ""en"", ""hi"")"),"ए) चुवाडु, बी) उझिचिल, सी) मार्मा, डी) एडवस")</f>
        <v>ए) चुवाडु, बी) उझिचिल, सी) मार्मा, डी) एडवस</v>
      </c>
      <c r="I150" s="5" t="str">
        <f>IFERROR(__xludf.DUMMYFUNCTION("GOOGLETRANSLATE(D150, ""en"", ""hi"")"),"A) चुवाडु")</f>
        <v>A) चुवाडु</v>
      </c>
    </row>
    <row r="151" ht="22.5" customHeight="1">
      <c r="A151" s="2">
        <v>150.0</v>
      </c>
      <c r="B151" s="3" t="s">
        <v>14012</v>
      </c>
      <c r="C151" s="3" t="s">
        <v>14013</v>
      </c>
      <c r="D151" s="3" t="s">
        <v>13781</v>
      </c>
      <c r="F151" s="5" t="str">
        <f>IFERROR(__xludf.DUMMYFUNCTION("GOOGLETRANSLATE(A151, ""en"", ""hi"")"),"150")</f>
        <v>150</v>
      </c>
      <c r="G151" s="5" t="str">
        <f>IFERROR(__xludf.DUMMYFUNCTION("GOOGLETRANSLATE(B151, ""en"", ""hi"")"),"कलारीपयट्टू में कौन सी प्रथा महत्वपूर्ण बिंदुओं पर सटीक प्रहार पर केंद्रित है?")</f>
        <v>कलारीपयट्टू में कौन सी प्रथा महत्वपूर्ण बिंदुओं पर सटीक प्रहार पर केंद्रित है?</v>
      </c>
      <c r="H151" s="5" t="str">
        <f>IFERROR(__xludf.DUMMYFUNCTION("GOOGLETRANSLATE(C151, ""en"", ""hi"")"),"ए) मार्मा, बी) वर्मम, सी) एडवस, डी) उझिचिल")</f>
        <v>ए) मार्मा, बी) वर्मम, सी) एडवस, डी) उझिचिल</v>
      </c>
      <c r="I151" s="5" t="str">
        <f>IFERROR(__xludf.DUMMYFUNCTION("GOOGLETRANSLATE(D151, ""en"", ""hi"")"),"बी) वर्माम")</f>
        <v>बी) वर्माम</v>
      </c>
    </row>
    <row r="152" ht="22.5" customHeight="1">
      <c r="A152" s="2">
        <v>151.0</v>
      </c>
      <c r="B152" s="3" t="s">
        <v>14014</v>
      </c>
      <c r="C152" s="3" t="s">
        <v>13713</v>
      </c>
      <c r="D152" s="3" t="s">
        <v>13772</v>
      </c>
      <c r="F152" s="5" t="str">
        <f>IFERROR(__xludf.DUMMYFUNCTION("GOOGLETRANSLATE(A152, ""en"", ""hi"")"),"151")</f>
        <v>151</v>
      </c>
      <c r="G152" s="5" t="str">
        <f>IFERROR(__xludf.DUMMYFUNCTION("GOOGLETRANSLATE(B152, ""en"", ""hi"")"),"एक अभ्यासकर्ता एक भारी हथियार से प्रशिक्षण ले रहा है जिसका इस्तेमाल कुंद बल वाले हमलों के लिए किया जाता है। वे कौन सा हथियार इस्तेमाल कर रहे हैं?")</f>
        <v>एक अभ्यासकर्ता एक भारी हथियार से प्रशिक्षण ले रहा है जिसका इस्तेमाल कुंद बल वाले हमलों के लिए किया जाता है। वे कौन सा हथियार इस्तेमाल कर रहे हैं?</v>
      </c>
      <c r="H152" s="5" t="str">
        <f>IFERROR(__xludf.DUMMYFUNCTION("GOOGLETRANSLATE(C152, ""en"", ""hi"")"),"A) तलवार, B) गदा, C) भाला, D) खंजर")</f>
        <v>A) तलवार, B) गदा, C) भाला, D) खंजर</v>
      </c>
      <c r="I152" s="5" t="str">
        <f>IFERROR(__xludf.DUMMYFUNCTION("GOOGLETRANSLATE(D152, ""en"", ""hi"")"),"बी) गदा")</f>
        <v>बी) गदा</v>
      </c>
    </row>
    <row r="153" ht="22.5" customHeight="1">
      <c r="A153" s="2">
        <v>152.0</v>
      </c>
      <c r="B153" s="3" t="s">
        <v>14015</v>
      </c>
      <c r="C153" s="3" t="s">
        <v>14016</v>
      </c>
      <c r="D153" s="3" t="s">
        <v>13684</v>
      </c>
      <c r="F153" s="5" t="str">
        <f>IFERROR(__xludf.DUMMYFUNCTION("GOOGLETRANSLATE(A153, ""en"", ""hi"")"),"152")</f>
        <v>152</v>
      </c>
      <c r="G153" s="5" t="str">
        <f>IFERROR(__xludf.DUMMYFUNCTION("GOOGLETRANSLATE(B153, ""en"", ""hi"")"),"कलारीपयट्टू कक्षा में, आप शरीर के लचीलेपन और कंडीशनिंग पर ध्यान केंद्रित करते हैं। आपको किस अभ्यास पर ध्यान केंद्रित करना चाहिए?")</f>
        <v>कलारीपयट्टू कक्षा में, आप शरीर के लचीलेपन और कंडीशनिंग पर ध्यान केंद्रित करते हैं। आपको किस अभ्यास पर ध्यान केंद्रित करना चाहिए?</v>
      </c>
      <c r="H153" s="5" t="str">
        <f>IFERROR(__xludf.DUMMYFUNCTION("GOOGLETRANSLATE(C153, ""en"", ""hi"")"),"ए) उझिचिल, बी) एडवस, सी) वर्मा, डी) चुवाडु")</f>
        <v>ए) उझिचिल, बी) एडवस, सी) वर्मा, डी) चुवाडु</v>
      </c>
      <c r="I153" s="5" t="str">
        <f>IFERROR(__xludf.DUMMYFUNCTION("GOOGLETRANSLATE(D153, ""en"", ""hi"")"),"A) उझिचिल")</f>
        <v>A) उझिचिल</v>
      </c>
    </row>
    <row r="154" ht="22.5" customHeight="1">
      <c r="A154" s="2">
        <v>153.0</v>
      </c>
      <c r="B154" s="3" t="s">
        <v>14017</v>
      </c>
      <c r="C154" s="3" t="s">
        <v>13997</v>
      </c>
      <c r="D154" s="3" t="s">
        <v>13960</v>
      </c>
      <c r="F154" s="5" t="str">
        <f>IFERROR(__xludf.DUMMYFUNCTION("GOOGLETRANSLATE(A154, ""en"", ""hi"")"),"153")</f>
        <v>153</v>
      </c>
      <c r="G154" s="5" t="str">
        <f>IFERROR(__xludf.DUMMYFUNCTION("GOOGLETRANSLATE(B154, ""en"", ""hi"")"),"कलारीपयट्टू सत्र के दौरान, आप ऐसी तकनीकों का अवलोकन करते हैं जिनमें तीव्र प्रहार और सटीक गतियाँ शामिल होती हैं। यह किस प्रकार की हो सकती है?")</f>
        <v>कलारीपयट्टू सत्र के दौरान, आप ऐसी तकनीकों का अवलोकन करते हैं जिनमें तीव्र प्रहार और सटीक गतियाँ शामिल होती हैं। यह किस प्रकार की हो सकती है?</v>
      </c>
      <c r="H154" s="5" t="str">
        <f>IFERROR(__xludf.DUMMYFUNCTION("GOOGLETRANSLATE(C154, ""en"", ""hi"")"),"ए) वर्मा, बी) एडवस, सी) चुवाडु, डी) केटी")</f>
        <v>ए) वर्मा, बी) एडवस, सी) चुवाडु, डी) केटी</v>
      </c>
      <c r="I154" s="5" t="str">
        <f>IFERROR(__xludf.DUMMYFUNCTION("GOOGLETRANSLATE(D154, ""en"", ""hi"")"),"ए) वर्मा")</f>
        <v>ए) वर्मा</v>
      </c>
    </row>
    <row r="155" ht="22.5" customHeight="1">
      <c r="A155" s="2">
        <v>154.0</v>
      </c>
      <c r="B155" s="3" t="s">
        <v>14018</v>
      </c>
      <c r="C155" s="3" t="s">
        <v>14019</v>
      </c>
      <c r="D155" s="3" t="s">
        <v>13846</v>
      </c>
      <c r="F155" s="5" t="str">
        <f>IFERROR(__xludf.DUMMYFUNCTION("GOOGLETRANSLATE(A155, ""en"", ""hi"")"),"154")</f>
        <v>154</v>
      </c>
      <c r="G155" s="5" t="str">
        <f>IFERROR(__xludf.DUMMYFUNCTION("GOOGLETRANSLATE(B155, ""en"", ""hi"")"),"आप विभिन्न प्रहार तकनीकों के लिए एक लंबी छड़ी का उपयोग करना सीख रहे हैं। यह अभ्यास कलारीपयट्टू के किस रूप से संबंधित है?")</f>
        <v>आप विभिन्न प्रहार तकनीकों के लिए एक लंबी छड़ी का उपयोग करना सीख रहे हैं। यह अभ्यास कलारीपयट्टू के किस रूप से संबंधित है?</v>
      </c>
      <c r="H155" s="5" t="str">
        <f>IFERROR(__xludf.DUMMYFUNCTION("GOOGLETRANSLATE(C155, ""en"", ""hi"")"),"ए) केट्टू, बी) चुवडु, सी) मार्मा, डी) उझिचिल")</f>
        <v>ए) केट्टू, बी) चुवडु, सी) मार्मा, डी) उझिचिल</v>
      </c>
      <c r="I155" s="5" t="str">
        <f>IFERROR(__xludf.DUMMYFUNCTION("GOOGLETRANSLATE(D155, ""en"", ""hi"")"),"A) केट्टू")</f>
        <v>A) केट्टू</v>
      </c>
    </row>
    <row r="156" ht="22.5" customHeight="1">
      <c r="A156" s="2">
        <v>155.0</v>
      </c>
      <c r="B156" s="3" t="s">
        <v>14020</v>
      </c>
      <c r="C156" s="3" t="s">
        <v>13981</v>
      </c>
      <c r="D156" s="3" t="s">
        <v>13675</v>
      </c>
      <c r="F156" s="5" t="str">
        <f>IFERROR(__xludf.DUMMYFUNCTION("GOOGLETRANSLATE(A156, ""en"", ""hi"")"),"155")</f>
        <v>155</v>
      </c>
      <c r="G156" s="5" t="str">
        <f>IFERROR(__xludf.DUMMYFUNCTION("GOOGLETRANSLATE(B156, ""en"", ""hi"")"),"कलारीपयट्टू में, आपको हमलों से बचने और उनका प्रभावी ढंग से मुकाबला करने की क्षमता विकसित करनी होती है। आपको किस अभ्यास पर ध्यान केंद्रित करना चाहिए?")</f>
        <v>कलारीपयट्टू में, आपको हमलों से बचने और उनका प्रभावी ढंग से मुकाबला करने की क्षमता विकसित करनी होती है। आपको किस अभ्यास पर ध्यान केंद्रित करना चाहिए?</v>
      </c>
      <c r="H156" s="5" t="str">
        <f>IFERROR(__xludf.DUMMYFUNCTION("GOOGLETRANSLATE(C156, ""en"", ""hi"")"),"ए) चुवडु, बी) वर्मा, सी) मार्मा, डी) एडवस")</f>
        <v>ए) चुवडु, बी) वर्मा, सी) मार्मा, डी) एडवस</v>
      </c>
      <c r="I156" s="5" t="str">
        <f>IFERROR(__xludf.DUMMYFUNCTION("GOOGLETRANSLATE(D156, ""en"", ""hi"")"),"A) चुवाडु")</f>
        <v>A) चुवाडु</v>
      </c>
    </row>
    <row r="157" ht="22.5" customHeight="1">
      <c r="A157" s="2">
        <v>156.0</v>
      </c>
      <c r="B157" s="3" t="s">
        <v>14021</v>
      </c>
      <c r="C157" s="3" t="s">
        <v>14013</v>
      </c>
      <c r="D157" s="3" t="s">
        <v>13781</v>
      </c>
      <c r="F157" s="5" t="str">
        <f>IFERROR(__xludf.DUMMYFUNCTION("GOOGLETRANSLATE(A157, ""en"", ""hi"")"),"156")</f>
        <v>156</v>
      </c>
      <c r="G157" s="5" t="str">
        <f>IFERROR(__xludf.DUMMYFUNCTION("GOOGLETRANSLATE(B157, ""en"", ""hi"")"),"एक कलारीपयट्टू साधक प्रतिद्वंद्वी के शरीर के महत्वपूर्ण बिंदुओं पर सटीक प्रहार करने पर ध्यान केंद्रित करता है। वे किस तकनीक का उपयोग कर रहे हैं?")</f>
        <v>एक कलारीपयट्टू साधक प्रतिद्वंद्वी के शरीर के महत्वपूर्ण बिंदुओं पर सटीक प्रहार करने पर ध्यान केंद्रित करता है। वे किस तकनीक का उपयोग कर रहे हैं?</v>
      </c>
      <c r="H157" s="5" t="str">
        <f>IFERROR(__xludf.DUMMYFUNCTION("GOOGLETRANSLATE(C157, ""en"", ""hi"")"),"ए) मार्मा, बी) वर्मम, सी) एडवस, डी) उझिचिल")</f>
        <v>ए) मार्मा, बी) वर्मम, सी) एडवस, डी) उझिचिल</v>
      </c>
      <c r="I157" s="5" t="str">
        <f>IFERROR(__xludf.DUMMYFUNCTION("GOOGLETRANSLATE(D157, ""en"", ""hi"")"),"बी) वर्माम")</f>
        <v>बी) वर्माम</v>
      </c>
    </row>
    <row r="158" ht="22.5" customHeight="1">
      <c r="A158" s="2">
        <v>157.0</v>
      </c>
      <c r="B158" s="3" t="s">
        <v>14022</v>
      </c>
      <c r="C158" s="3" t="s">
        <v>13713</v>
      </c>
      <c r="D158" s="3" t="s">
        <v>13714</v>
      </c>
      <c r="F158" s="5" t="str">
        <f>IFERROR(__xludf.DUMMYFUNCTION("GOOGLETRANSLATE(A158, ""en"", ""hi"")"),"157")</f>
        <v>157</v>
      </c>
      <c r="G158" s="5" t="str">
        <f>IFERROR(__xludf.DUMMYFUNCTION("GOOGLETRANSLATE(B158, ""en"", ""hi"")"),"कलारीपयट्टू के प्रदर्शन के दौरान, आप काटने और धकेलने, दोनों ही तकनीकों के लिए एक हथियार का इस्तेमाल देखते हैं। किस हथियार का इस्तेमाल किया जा रहा है?")</f>
        <v>कलारीपयट्टू के प्रदर्शन के दौरान, आप काटने और धकेलने, दोनों ही तकनीकों के लिए एक हथियार का इस्तेमाल देखते हैं। किस हथियार का इस्तेमाल किया जा रहा है?</v>
      </c>
      <c r="H158" s="5" t="str">
        <f>IFERROR(__xludf.DUMMYFUNCTION("GOOGLETRANSLATE(C158, ""en"", ""hi"")"),"A) तलवार, B) गदा, C) भाला, D) खंजर")</f>
        <v>A) तलवार, B) गदा, C) भाला, D) खंजर</v>
      </c>
      <c r="I158" s="5" t="str">
        <f>IFERROR(__xludf.DUMMYFUNCTION("GOOGLETRANSLATE(D158, ""en"", ""hi"")"),"ए) तलवार")</f>
        <v>ए) तलवार</v>
      </c>
    </row>
    <row r="159" ht="22.5" customHeight="1">
      <c r="A159" s="2">
        <v>158.0</v>
      </c>
      <c r="B159" s="3" t="s">
        <v>14023</v>
      </c>
      <c r="C159" s="3" t="s">
        <v>13965</v>
      </c>
      <c r="D159" s="3" t="s">
        <v>13684</v>
      </c>
      <c r="F159" s="5" t="str">
        <f>IFERROR(__xludf.DUMMYFUNCTION("GOOGLETRANSLATE(A159, ""en"", ""hi"")"),"158")</f>
        <v>158</v>
      </c>
      <c r="G159" s="5" t="str">
        <f>IFERROR(__xludf.DUMMYFUNCTION("GOOGLETRANSLATE(B159, ""en"", ""hi"")"),"कलारीपयट्टू में, कौन सी प्रथा चपलता और समग्र शरीर की कंडीशनिंग बढ़ाने पर केंद्रित है?")</f>
        <v>कलारीपयट्टू में, कौन सी प्रथा चपलता और समग्र शरीर की कंडीशनिंग बढ़ाने पर केंद्रित है?</v>
      </c>
      <c r="H159" s="5" t="str">
        <f>IFERROR(__xludf.DUMMYFUNCTION("GOOGLETRANSLATE(C159, ""en"", ""hi"")"),"ए) उझिचिल, बी) एडवस, सी) मार्मा, डी) चुवाडु")</f>
        <v>ए) उझिचिल, बी) एडवस, सी) मार्मा, डी) चुवाडु</v>
      </c>
      <c r="I159" s="5" t="str">
        <f>IFERROR(__xludf.DUMMYFUNCTION("GOOGLETRANSLATE(D159, ""en"", ""hi"")"),"A) उझिचिल")</f>
        <v>A) उझिचिल</v>
      </c>
    </row>
    <row r="160" ht="22.5" customHeight="1">
      <c r="A160" s="2">
        <v>159.0</v>
      </c>
      <c r="B160" s="3" t="s">
        <v>14024</v>
      </c>
      <c r="C160" s="3" t="s">
        <v>13997</v>
      </c>
      <c r="D160" s="3" t="s">
        <v>13960</v>
      </c>
      <c r="F160" s="5" t="str">
        <f>IFERROR(__xludf.DUMMYFUNCTION("GOOGLETRANSLATE(A160, ""en"", ""hi"")"),"159")</f>
        <v>159</v>
      </c>
      <c r="G160" s="5" t="str">
        <f>IFERROR(__xludf.DUMMYFUNCTION("GOOGLETRANSLATE(B160, ""en"", ""hi"")"),"एक अभ्यासी ऐसी तकनीकों में निपुणता प्राप्त कर रहा है जिनमें वृत्ताकार और प्रवाहमय गतियाँ शामिल हैं। वे किस प्रकार का अभ्यास कर रहे हैं?")</f>
        <v>एक अभ्यासी ऐसी तकनीकों में निपुणता प्राप्त कर रहा है जिनमें वृत्ताकार और प्रवाहमय गतियाँ शामिल हैं। वे किस प्रकार का अभ्यास कर रहे हैं?</v>
      </c>
      <c r="H160" s="5" t="str">
        <f>IFERROR(__xludf.DUMMYFUNCTION("GOOGLETRANSLATE(C160, ""en"", ""hi"")"),"ए) वर्मा, बी) एडवस, सी) चुवाडु, डी) केटी")</f>
        <v>ए) वर्मा, बी) एडवस, सी) चुवाडु, डी) केटी</v>
      </c>
      <c r="I160" s="5" t="str">
        <f>IFERROR(__xludf.DUMMYFUNCTION("GOOGLETRANSLATE(D160, ""en"", ""hi"")"),"ए) वर्मा")</f>
        <v>ए) वर्मा</v>
      </c>
    </row>
    <row r="161" ht="22.5" customHeight="1">
      <c r="A161" s="2">
        <v>160.0</v>
      </c>
      <c r="B161" s="3" t="s">
        <v>14025</v>
      </c>
      <c r="C161" s="3" t="s">
        <v>13999</v>
      </c>
      <c r="D161" s="3" t="s">
        <v>13678</v>
      </c>
      <c r="F161" s="5" t="str">
        <f>IFERROR(__xludf.DUMMYFUNCTION("GOOGLETRANSLATE(A161, ""en"", ""hi"")"),"160")</f>
        <v>160</v>
      </c>
      <c r="G161" s="5" t="str">
        <f>IFERROR(__xludf.DUMMYFUNCTION("GOOGLETRANSLATE(B161, ""en"", ""hi"")"),"आप कलारीपयट्टू का अभ्यास तीव्र और सटीक प्रहारों पर केंद्रित करके कर रहे हैं। यह किस अभ्यास से संबंधित है?")</f>
        <v>आप कलारीपयट्टू का अभ्यास तीव्र और सटीक प्रहारों पर केंद्रित करके कर रहे हैं। यह किस अभ्यास से संबंधित है?</v>
      </c>
      <c r="H161" s="5" t="str">
        <f>IFERROR(__xludf.DUMMYFUNCTION("GOOGLETRANSLATE(C161, ""en"", ""hi"")"),"ए) वर्मम, बी) चुवडु, सी) उझिचिल, डी) एडवस")</f>
        <v>ए) वर्मम, बी) चुवडु, सी) उझिचिल, डी) एडवस</v>
      </c>
      <c r="I161" s="5" t="str">
        <f>IFERROR(__xludf.DUMMYFUNCTION("GOOGLETRANSLATE(D161, ""en"", ""hi"")"),"ए) वर्माम")</f>
        <v>ए) वर्माम</v>
      </c>
    </row>
    <row r="162" ht="22.5" customHeight="1">
      <c r="A162" s="2">
        <v>161.0</v>
      </c>
      <c r="B162" s="3" t="s">
        <v>14026</v>
      </c>
      <c r="C162" s="3" t="s">
        <v>13713</v>
      </c>
      <c r="D162" s="3" t="s">
        <v>13772</v>
      </c>
      <c r="F162" s="5" t="str">
        <f>IFERROR(__xludf.DUMMYFUNCTION("GOOGLETRANSLATE(A162, ""en"", ""hi"")"),"161")</f>
        <v>161</v>
      </c>
      <c r="G162" s="5" t="str">
        <f>IFERROR(__xludf.DUMMYFUNCTION("GOOGLETRANSLATE(B162, ""en"", ""hi"")"),"कलारीपयट्टू कक्षा में, आपको एक ऐसे हथियार का इस्तेमाल करने को कहा जाता है जो कुंद बल के हमलों में अपनी प्रभावशीलता के लिए जाना जाता है। आप कौन सा हथियार इस्तेमाल कर रहे हैं?")</f>
        <v>कलारीपयट्टू कक्षा में, आपको एक ऐसे हथियार का इस्तेमाल करने को कहा जाता है जो कुंद बल के हमलों में अपनी प्रभावशीलता के लिए जाना जाता है। आप कौन सा हथियार इस्तेमाल कर रहे हैं?</v>
      </c>
      <c r="H162" s="5" t="str">
        <f>IFERROR(__xludf.DUMMYFUNCTION("GOOGLETRANSLATE(C162, ""en"", ""hi"")"),"A) तलवार, B) गदा, C) भाला, D) खंजर")</f>
        <v>A) तलवार, B) गदा, C) भाला, D) खंजर</v>
      </c>
      <c r="I162" s="5" t="str">
        <f>IFERROR(__xludf.DUMMYFUNCTION("GOOGLETRANSLATE(D162, ""en"", ""hi"")"),"बी) गदा")</f>
        <v>बी) गदा</v>
      </c>
    </row>
    <row r="163" ht="22.5" customHeight="1">
      <c r="A163" s="2">
        <v>162.0</v>
      </c>
      <c r="B163" s="3" t="s">
        <v>14027</v>
      </c>
      <c r="C163" s="3" t="s">
        <v>13981</v>
      </c>
      <c r="D163" s="3" t="s">
        <v>13675</v>
      </c>
      <c r="F163" s="5" t="str">
        <f>IFERROR(__xludf.DUMMYFUNCTION("GOOGLETRANSLATE(A163, ""en"", ""hi"")"),"162")</f>
        <v>162</v>
      </c>
      <c r="G163" s="5" t="str">
        <f>IFERROR(__xludf.DUMMYFUNCTION("GOOGLETRANSLATE(B163, ""en"", ""hi"")"),"कलारीपयट्टू प्रशिक्षण के दौरान, कौन सी तकनीक प्रभावी ढंग से हमलों से बचने और जवाबी हमले के लिए फुटवर्क में सुधार पर केंद्रित है?")</f>
        <v>कलारीपयट्टू प्रशिक्षण के दौरान, कौन सी तकनीक प्रभावी ढंग से हमलों से बचने और जवाबी हमले के लिए फुटवर्क में सुधार पर केंद्रित है?</v>
      </c>
      <c r="H163" s="5" t="str">
        <f>IFERROR(__xludf.DUMMYFUNCTION("GOOGLETRANSLATE(C163, ""en"", ""hi"")"),"ए) चुवडु, बी) वर्मा, सी) मार्मा, डी) एडवस")</f>
        <v>ए) चुवडु, बी) वर्मा, सी) मार्मा, डी) एडवस</v>
      </c>
      <c r="I163" s="5" t="str">
        <f>IFERROR(__xludf.DUMMYFUNCTION("GOOGLETRANSLATE(D163, ""en"", ""hi"")"),"A) चुवाडु")</f>
        <v>A) चुवाडु</v>
      </c>
    </row>
    <row r="164" ht="22.5" customHeight="1">
      <c r="A164" s="2">
        <v>163.0</v>
      </c>
      <c r="B164" s="3" t="s">
        <v>14028</v>
      </c>
      <c r="C164" s="3" t="s">
        <v>14013</v>
      </c>
      <c r="D164" s="3" t="s">
        <v>13781</v>
      </c>
      <c r="F164" s="5" t="str">
        <f>IFERROR(__xludf.DUMMYFUNCTION("GOOGLETRANSLATE(A164, ""en"", ""hi"")"),"163")</f>
        <v>163</v>
      </c>
      <c r="G164" s="5" t="str">
        <f>IFERROR(__xludf.DUMMYFUNCTION("GOOGLETRANSLATE(B164, ""en"", ""hi"")"),"कलारीपयट्टू में, किस अभ्यास में प्रतिद्वंद्वी के शरीर पर विशिष्ट बिंदुओं पर सटीक प्रहार पर जोर दिया जाता है?")</f>
        <v>कलारीपयट्टू में, किस अभ्यास में प्रतिद्वंद्वी के शरीर पर विशिष्ट बिंदुओं पर सटीक प्रहार पर जोर दिया जाता है?</v>
      </c>
      <c r="H164" s="5" t="str">
        <f>IFERROR(__xludf.DUMMYFUNCTION("GOOGLETRANSLATE(C164, ""en"", ""hi"")"),"ए) मार्मा, बी) वर्मम, सी) एडवस, डी) उझिचिल")</f>
        <v>ए) मार्मा, बी) वर्मम, सी) एडवस, डी) उझिचिल</v>
      </c>
      <c r="I164" s="5" t="str">
        <f>IFERROR(__xludf.DUMMYFUNCTION("GOOGLETRANSLATE(D164, ""en"", ""hi"")"),"बी) वर्माम")</f>
        <v>बी) वर्माम</v>
      </c>
    </row>
    <row r="165" ht="22.5" customHeight="1">
      <c r="A165" s="2">
        <v>164.0</v>
      </c>
      <c r="B165" s="3" t="s">
        <v>14029</v>
      </c>
      <c r="C165" s="3" t="s">
        <v>13713</v>
      </c>
      <c r="D165" s="3" t="s">
        <v>13714</v>
      </c>
      <c r="F165" s="5" t="str">
        <f>IFERROR(__xludf.DUMMYFUNCTION("GOOGLETRANSLATE(A165, ""en"", ""hi"")"),"164")</f>
        <v>164</v>
      </c>
      <c r="G165" s="5" t="str">
        <f>IFERROR(__xludf.DUMMYFUNCTION("GOOGLETRANSLATE(B165, ""en"", ""hi"")"),"एक कलारीपयट्टू अभ्यासी एक ऐसे हथियार से प्रशिक्षण ले रहा है जो काटने और धकेलने, दोनों में कारगर है। वे कौन सा हथियार इस्तेमाल कर रहे हैं?")</f>
        <v>एक कलारीपयट्टू अभ्यासी एक ऐसे हथियार से प्रशिक्षण ले रहा है जो काटने और धकेलने, दोनों में कारगर है। वे कौन सा हथियार इस्तेमाल कर रहे हैं?</v>
      </c>
      <c r="H165" s="5" t="str">
        <f>IFERROR(__xludf.DUMMYFUNCTION("GOOGLETRANSLATE(C165, ""en"", ""hi"")"),"A) तलवार, B) गदा, C) भाला, D) खंजर")</f>
        <v>A) तलवार, B) गदा, C) भाला, D) खंजर</v>
      </c>
      <c r="I165" s="5" t="str">
        <f>IFERROR(__xludf.DUMMYFUNCTION("GOOGLETRANSLATE(D165, ""en"", ""hi"")"),"ए) तलवार")</f>
        <v>ए) तलवार</v>
      </c>
    </row>
    <row r="166" ht="22.5" customHeight="1">
      <c r="A166" s="2">
        <v>165.0</v>
      </c>
      <c r="B166" s="3" t="s">
        <v>14030</v>
      </c>
      <c r="C166" s="3" t="s">
        <v>14016</v>
      </c>
      <c r="D166" s="3" t="s">
        <v>13684</v>
      </c>
      <c r="F166" s="5" t="str">
        <f>IFERROR(__xludf.DUMMYFUNCTION("GOOGLETRANSLATE(A166, ""en"", ""hi"")"),"165")</f>
        <v>165</v>
      </c>
      <c r="G166" s="5" t="str">
        <f>IFERROR(__xludf.DUMMYFUNCTION("GOOGLETRANSLATE(B166, ""en"", ""hi"")"),"कलारीपयट्टू में, आपको शरीर के लचीलेपन और समग्र कंडीशनिंग को बढ़ाने पर ध्यान केंद्रित करना चाहिए। आपको किस अभ्यास को प्राथमिकता देनी चाहिए?")</f>
        <v>कलारीपयट्टू में, आपको शरीर के लचीलेपन और समग्र कंडीशनिंग को बढ़ाने पर ध्यान केंद्रित करना चाहिए। आपको किस अभ्यास को प्राथमिकता देनी चाहिए?</v>
      </c>
      <c r="H166" s="5" t="str">
        <f>IFERROR(__xludf.DUMMYFUNCTION("GOOGLETRANSLATE(C166, ""en"", ""hi"")"),"ए) उझिचिल, बी) एडवस, सी) वर्मा, डी) चुवाडु")</f>
        <v>ए) उझिचिल, बी) एडवस, सी) वर्मा, डी) चुवाडु</v>
      </c>
      <c r="I166" s="5" t="str">
        <f>IFERROR(__xludf.DUMMYFUNCTION("GOOGLETRANSLATE(D166, ""en"", ""hi"")"),"A) उझिचिल")</f>
        <v>A) उझिचिल</v>
      </c>
    </row>
    <row r="167" ht="22.5" customHeight="1">
      <c r="A167" s="2">
        <v>166.0</v>
      </c>
      <c r="B167" s="3" t="s">
        <v>14031</v>
      </c>
      <c r="C167" s="3" t="s">
        <v>13959</v>
      </c>
      <c r="D167" s="3" t="s">
        <v>13960</v>
      </c>
      <c r="F167" s="5" t="str">
        <f>IFERROR(__xludf.DUMMYFUNCTION("GOOGLETRANSLATE(A167, ""en"", ""hi"")"),"166")</f>
        <v>166</v>
      </c>
      <c r="G167" s="5" t="str">
        <f>IFERROR(__xludf.DUMMYFUNCTION("GOOGLETRANSLATE(B167, ""en"", ""hi"")"),"कलारीपयट्टू कक्षा के दौरान, आप ऐसी तकनीकों पर काम कर रहे हैं जिनमें गोलाकार और प्रवाहमय गतियाँ शामिल हैं। आप किस प्रकार का अभ्यास कर रहे हैं?")</f>
        <v>कलारीपयट्टू कक्षा के दौरान, आप ऐसी तकनीकों पर काम कर रहे हैं जिनमें गोलाकार और प्रवाहमय गतियाँ शामिल हैं। आप किस प्रकार का अभ्यास कर रहे हैं?</v>
      </c>
      <c r="H167" s="5" t="str">
        <f>IFERROR(__xludf.DUMMYFUNCTION("GOOGLETRANSLATE(C167, ""en"", ""hi"")"),"ए) वर्मा, बी) चुवाडु, सी) एडवस, डी) केटी")</f>
        <v>ए) वर्मा, बी) चुवाडु, सी) एडवस, डी) केटी</v>
      </c>
      <c r="I167" s="5" t="str">
        <f>IFERROR(__xludf.DUMMYFUNCTION("GOOGLETRANSLATE(D167, ""en"", ""hi"")"),"ए) वर्मा")</f>
        <v>ए) वर्मा</v>
      </c>
    </row>
    <row r="168" ht="22.5" customHeight="1">
      <c r="A168" s="2">
        <v>167.0</v>
      </c>
      <c r="B168" s="3" t="s">
        <v>14032</v>
      </c>
      <c r="C168" s="3" t="s">
        <v>13978</v>
      </c>
      <c r="D168" s="3" t="s">
        <v>13678</v>
      </c>
      <c r="F168" s="5" t="str">
        <f>IFERROR(__xludf.DUMMYFUNCTION("GOOGLETRANSLATE(A168, ""en"", ""hi"")"),"167")</f>
        <v>167</v>
      </c>
      <c r="G168" s="5" t="str">
        <f>IFERROR(__xludf.DUMMYFUNCTION("GOOGLETRANSLATE(B168, ""en"", ""hi"")"),"आप तीव्र और सटीक प्रहारों पर ध्यान केंद्रित करते हुए कलारीपयट्टू का अभ्यास कर रहे हैं। यह किस अभ्यास से संबंधित है?")</f>
        <v>आप तीव्र और सटीक प्रहारों पर ध्यान केंद्रित करते हुए कलारीपयट्टू का अभ्यास कर रहे हैं। यह किस अभ्यास से संबंधित है?</v>
      </c>
      <c r="H168" s="5" t="str">
        <f>IFERROR(__xludf.DUMMYFUNCTION("GOOGLETRANSLATE(C168, ""en"", ""hi"")"),"ए) वर्मम, बी) एडवस, सी) चुवाडु, डी) उझिचिल")</f>
        <v>ए) वर्मम, बी) एडवस, सी) चुवाडु, डी) उझिचिल</v>
      </c>
      <c r="I168" s="5" t="str">
        <f>IFERROR(__xludf.DUMMYFUNCTION("GOOGLETRANSLATE(D168, ""en"", ""hi"")"),"ए) वर्माम")</f>
        <v>ए) वर्माम</v>
      </c>
    </row>
    <row r="169" ht="22.5" customHeight="1">
      <c r="A169" s="2">
        <v>168.0</v>
      </c>
      <c r="B169" s="3" t="s">
        <v>14033</v>
      </c>
      <c r="C169" s="3" t="s">
        <v>13713</v>
      </c>
      <c r="D169" s="3" t="s">
        <v>13772</v>
      </c>
      <c r="F169" s="5" t="str">
        <f>IFERROR(__xludf.DUMMYFUNCTION("GOOGLETRANSLATE(A169, ""en"", ""hi"")"),"168")</f>
        <v>168</v>
      </c>
      <c r="G169" s="5" t="str">
        <f>IFERROR(__xludf.DUMMYFUNCTION("GOOGLETRANSLATE(B169, ""en"", ""hi"")"),"कलारीपयट्टू सत्र में, आपको एक ऐसे हथियार का इस्तेमाल करने को कहा जाता है जो भारी और कुंद प्रहार पर ज़ोर देता है। आप कौन सा हथियार इस्तेमाल कर रहे हैं?")</f>
        <v>कलारीपयट्टू सत्र में, आपको एक ऐसे हथियार का इस्तेमाल करने को कहा जाता है जो भारी और कुंद प्रहार पर ज़ोर देता है। आप कौन सा हथियार इस्तेमाल कर रहे हैं?</v>
      </c>
      <c r="H169" s="5" t="str">
        <f>IFERROR(__xludf.DUMMYFUNCTION("GOOGLETRANSLATE(C169, ""en"", ""hi"")"),"A) तलवार, B) गदा, C) भाला, D) खंजर")</f>
        <v>A) तलवार, B) गदा, C) भाला, D) खंजर</v>
      </c>
      <c r="I169" s="5" t="str">
        <f>IFERROR(__xludf.DUMMYFUNCTION("GOOGLETRANSLATE(D169, ""en"", ""hi"")"),"बी) गदा")</f>
        <v>बी) गदा</v>
      </c>
    </row>
    <row r="170" ht="22.5" customHeight="1">
      <c r="A170" s="2">
        <v>169.0</v>
      </c>
      <c r="B170" s="3" t="s">
        <v>14034</v>
      </c>
      <c r="C170" s="3" t="s">
        <v>13981</v>
      </c>
      <c r="D170" s="3" t="s">
        <v>13675</v>
      </c>
      <c r="F170" s="5" t="str">
        <f>IFERROR(__xludf.DUMMYFUNCTION("GOOGLETRANSLATE(A170, ""en"", ""hi"")"),"169")</f>
        <v>169</v>
      </c>
      <c r="G170" s="5" t="str">
        <f>IFERROR(__xludf.DUMMYFUNCTION("GOOGLETRANSLATE(B170, ""en"", ""hi"")"),"कलारीपयट्टू में, कौन सा अभ्यास प्रभावी बचाव और प्रतिकार के लिए फुटवर्क को बढ़ाने पर केंद्रित है?")</f>
        <v>कलारीपयट्टू में, कौन सा अभ्यास प्रभावी बचाव और प्रतिकार के लिए फुटवर्क को बढ़ाने पर केंद्रित है?</v>
      </c>
      <c r="H170" s="5" t="str">
        <f>IFERROR(__xludf.DUMMYFUNCTION("GOOGLETRANSLATE(C170, ""en"", ""hi"")"),"ए) चुवडु, बी) वर्मा, सी) मार्मा, डी) एडवस")</f>
        <v>ए) चुवडु, बी) वर्मा, सी) मार्मा, डी) एडवस</v>
      </c>
      <c r="I170" s="5" t="str">
        <f>IFERROR(__xludf.DUMMYFUNCTION("GOOGLETRANSLATE(D170, ""en"", ""hi"")"),"A) चुवाडु")</f>
        <v>A) चुवाडु</v>
      </c>
    </row>
    <row r="171" ht="22.5" customHeight="1">
      <c r="A171" s="2">
        <v>170.0</v>
      </c>
      <c r="B171" s="3" t="s">
        <v>14035</v>
      </c>
      <c r="C171" s="3" t="s">
        <v>14013</v>
      </c>
      <c r="D171" s="3" t="s">
        <v>13781</v>
      </c>
      <c r="F171" s="5" t="str">
        <f>IFERROR(__xludf.DUMMYFUNCTION("GOOGLETRANSLATE(A171, ""en"", ""hi"")"),"170")</f>
        <v>170</v>
      </c>
      <c r="G171" s="5" t="str">
        <f>IFERROR(__xludf.DUMMYFUNCTION("GOOGLETRANSLATE(B171, ""en"", ""hi"")"),"कलारीपयट्टू का अभ्यासी प्रतिद्वंद्वी के शरीर के महत्वपूर्ण बिंदुओं पर सटीक प्रहार करने पर केंद्रित होता है। उन्हें किस तकनीक का अभ्यास करना चाहिए?")</f>
        <v>कलारीपयट्टू का अभ्यासी प्रतिद्वंद्वी के शरीर के महत्वपूर्ण बिंदुओं पर सटीक प्रहार करने पर केंद्रित होता है। उन्हें किस तकनीक का अभ्यास करना चाहिए?</v>
      </c>
      <c r="H171" s="5" t="str">
        <f>IFERROR(__xludf.DUMMYFUNCTION("GOOGLETRANSLATE(C171, ""en"", ""hi"")"),"ए) मार्मा, बी) वर्मम, सी) एडवस, डी) उझिचिल")</f>
        <v>ए) मार्मा, बी) वर्मम, सी) एडवस, डी) उझिचिल</v>
      </c>
      <c r="I171" s="5" t="str">
        <f>IFERROR(__xludf.DUMMYFUNCTION("GOOGLETRANSLATE(D171, ""en"", ""hi"")"),"बी) वर्माम")</f>
        <v>बी) वर्माम</v>
      </c>
    </row>
    <row r="172" ht="22.5" customHeight="1">
      <c r="A172" s="2">
        <v>171.0</v>
      </c>
      <c r="B172" s="3" t="s">
        <v>14036</v>
      </c>
      <c r="C172" s="3" t="s">
        <v>13713</v>
      </c>
      <c r="D172" s="3" t="s">
        <v>13714</v>
      </c>
      <c r="F172" s="5" t="str">
        <f>IFERROR(__xludf.DUMMYFUNCTION("GOOGLETRANSLATE(A172, ""en"", ""hi"")"),"171")</f>
        <v>171</v>
      </c>
      <c r="G172" s="5" t="str">
        <f>IFERROR(__xludf.DUMMYFUNCTION("GOOGLETRANSLATE(B172, ""en"", ""hi"")"),"कलारीपयट्टू की कक्षा में, आप एक ऐसा हथियार देखते हैं जिसका इस्तेमाल काटने और धकेलने, दोनों के लिए किया जाता है। यह कौन सा हथियार है?")</f>
        <v>कलारीपयट्टू की कक्षा में, आप एक ऐसा हथियार देखते हैं जिसका इस्तेमाल काटने और धकेलने, दोनों के लिए किया जाता है। यह कौन सा हथियार है?</v>
      </c>
      <c r="H172" s="5" t="str">
        <f>IFERROR(__xludf.DUMMYFUNCTION("GOOGLETRANSLATE(C172, ""en"", ""hi"")"),"A) तलवार, B) गदा, C) भाला, D) खंजर")</f>
        <v>A) तलवार, B) गदा, C) भाला, D) खंजर</v>
      </c>
      <c r="I172" s="5" t="str">
        <f>IFERROR(__xludf.DUMMYFUNCTION("GOOGLETRANSLATE(D172, ""en"", ""hi"")"),"ए) तलवार")</f>
        <v>ए) तलवार</v>
      </c>
    </row>
    <row r="173" ht="22.5" customHeight="1">
      <c r="A173" s="2">
        <v>172.0</v>
      </c>
      <c r="B173" s="3" t="s">
        <v>14037</v>
      </c>
      <c r="C173" s="3" t="s">
        <v>13965</v>
      </c>
      <c r="D173" s="3" t="s">
        <v>13684</v>
      </c>
      <c r="F173" s="5" t="str">
        <f>IFERROR(__xludf.DUMMYFUNCTION("GOOGLETRANSLATE(A173, ""en"", ""hi"")"),"172")</f>
        <v>172</v>
      </c>
      <c r="G173" s="5" t="str">
        <f>IFERROR(__xludf.DUMMYFUNCTION("GOOGLETRANSLATE(B173, ""en"", ""hi"")"),"कलारीपयट्टू में कौन सी प्रथा शरीर की कंडीशनिंग और लचीलेपन से जुड़ी है?")</f>
        <v>कलारीपयट्टू में कौन सी प्रथा शरीर की कंडीशनिंग और लचीलेपन से जुड़ी है?</v>
      </c>
      <c r="H173" s="5" t="str">
        <f>IFERROR(__xludf.DUMMYFUNCTION("GOOGLETRANSLATE(C173, ""en"", ""hi"")"),"ए) उझिचिल, बी) एडवस, सी) मार्मा, डी) चुवाडु")</f>
        <v>ए) उझिचिल, बी) एडवस, सी) मार्मा, डी) चुवाडु</v>
      </c>
      <c r="I173" s="5" t="str">
        <f>IFERROR(__xludf.DUMMYFUNCTION("GOOGLETRANSLATE(D173, ""en"", ""hi"")"),"A) उझिचिल")</f>
        <v>A) उझिचिल</v>
      </c>
    </row>
    <row r="174" ht="22.5" customHeight="1">
      <c r="A174" s="2">
        <v>173.0</v>
      </c>
      <c r="B174" s="3" t="s">
        <v>14038</v>
      </c>
      <c r="C174" s="3" t="s">
        <v>13997</v>
      </c>
      <c r="D174" s="3" t="s">
        <v>13960</v>
      </c>
      <c r="F174" s="5" t="str">
        <f>IFERROR(__xludf.DUMMYFUNCTION("GOOGLETRANSLATE(A174, ""en"", ""hi"")"),"173")</f>
        <v>173</v>
      </c>
      <c r="G174" s="5" t="str">
        <f>IFERROR(__xludf.DUMMYFUNCTION("GOOGLETRANSLATE(B174, ""en"", ""hi"")"),"एक अभ्यासी गोलाकार और प्रवाहमय गतियों पर काम कर रहा है। वे कलारीपयट्टू में किस प्रकार का अभ्यास कर रहे हैं?")</f>
        <v>एक अभ्यासी गोलाकार और प्रवाहमय गतियों पर काम कर रहा है। वे कलारीपयट्टू में किस प्रकार का अभ्यास कर रहे हैं?</v>
      </c>
      <c r="H174" s="5" t="str">
        <f>IFERROR(__xludf.DUMMYFUNCTION("GOOGLETRANSLATE(C174, ""en"", ""hi"")"),"ए) वर्मा, बी) एडवस, सी) चुवाडु, डी) केटी")</f>
        <v>ए) वर्मा, बी) एडवस, सी) चुवाडु, डी) केटी</v>
      </c>
      <c r="I174" s="5" t="str">
        <f>IFERROR(__xludf.DUMMYFUNCTION("GOOGLETRANSLATE(D174, ""en"", ""hi"")"),"ए) वर्मा")</f>
        <v>ए) वर्मा</v>
      </c>
    </row>
    <row r="175" ht="22.5" customHeight="1">
      <c r="A175" s="2">
        <v>174.0</v>
      </c>
      <c r="B175" s="3" t="s">
        <v>14039</v>
      </c>
      <c r="C175" s="3" t="s">
        <v>13999</v>
      </c>
      <c r="D175" s="3" t="s">
        <v>13678</v>
      </c>
      <c r="F175" s="5" t="str">
        <f>IFERROR(__xludf.DUMMYFUNCTION("GOOGLETRANSLATE(A175, ""en"", ""hi"")"),"174")</f>
        <v>174</v>
      </c>
      <c r="G175" s="5" t="str">
        <f>IFERROR(__xludf.DUMMYFUNCTION("GOOGLETRANSLATE(B175, ""en"", ""hi"")"),"आप कलारीपयट्टू में तेज़ और सटीक प्रहार करना सीख रहे हैं। आपको किस अभ्यास पर ध्यान केंद्रित करना चाहिए?")</f>
        <v>आप कलारीपयट्टू में तेज़ और सटीक प्रहार करना सीख रहे हैं। आपको किस अभ्यास पर ध्यान केंद्रित करना चाहिए?</v>
      </c>
      <c r="H175" s="5" t="str">
        <f>IFERROR(__xludf.DUMMYFUNCTION("GOOGLETRANSLATE(C175, ""en"", ""hi"")"),"ए) वर्मम, बी) चुवडु, सी) उझिचिल, डी) एडवस")</f>
        <v>ए) वर्मम, बी) चुवडु, सी) उझिचिल, डी) एडवस</v>
      </c>
      <c r="I175" s="5" t="str">
        <f>IFERROR(__xludf.DUMMYFUNCTION("GOOGLETRANSLATE(D175, ""en"", ""hi"")"),"ए) वर्माम")</f>
        <v>ए) वर्माम</v>
      </c>
    </row>
    <row r="176" ht="22.5" customHeight="1">
      <c r="A176" s="2">
        <v>175.0</v>
      </c>
      <c r="B176" s="3" t="s">
        <v>14040</v>
      </c>
      <c r="C176" s="3" t="s">
        <v>13713</v>
      </c>
      <c r="D176" s="3" t="s">
        <v>13772</v>
      </c>
      <c r="F176" s="5" t="str">
        <f>IFERROR(__xludf.DUMMYFUNCTION("GOOGLETRANSLATE(A176, ""en"", ""hi"")"),"175")</f>
        <v>175</v>
      </c>
      <c r="G176" s="5" t="str">
        <f>IFERROR(__xludf.DUMMYFUNCTION("GOOGLETRANSLATE(B176, ""en"", ""hi"")"),"कलारीपयट्टू में आपको भारी, कुंद हथियार से वार करने की तकनीक का अभ्यास करना होता है। आप कौन सा हथियार इस्तेमाल कर रहे हैं?")</f>
        <v>कलारीपयट्टू में आपको भारी, कुंद हथियार से वार करने की तकनीक का अभ्यास करना होता है। आप कौन सा हथियार इस्तेमाल कर रहे हैं?</v>
      </c>
      <c r="H176" s="5" t="str">
        <f>IFERROR(__xludf.DUMMYFUNCTION("GOOGLETRANSLATE(C176, ""en"", ""hi"")"),"A) तलवार, B) गदा, C) भाला, D) खंजर")</f>
        <v>A) तलवार, B) गदा, C) भाला, D) खंजर</v>
      </c>
      <c r="I176" s="5" t="str">
        <f>IFERROR(__xludf.DUMMYFUNCTION("GOOGLETRANSLATE(D176, ""en"", ""hi"")"),"बी) गदा")</f>
        <v>बी) गदा</v>
      </c>
    </row>
    <row r="177" ht="22.5" customHeight="1">
      <c r="A177" s="2">
        <v>176.0</v>
      </c>
      <c r="B177" s="3" t="s">
        <v>14041</v>
      </c>
      <c r="C177" s="3" t="s">
        <v>13981</v>
      </c>
      <c r="D177" s="3" t="s">
        <v>13675</v>
      </c>
      <c r="F177" s="5" t="str">
        <f>IFERROR(__xludf.DUMMYFUNCTION("GOOGLETRANSLATE(A177, ""en"", ""hi"")"),"176")</f>
        <v>176</v>
      </c>
      <c r="G177" s="5" t="str">
        <f>IFERROR(__xludf.DUMMYFUNCTION("GOOGLETRANSLATE(B177, ""en"", ""hi"")"),"कलारीपयट्टू कक्षा के दौरान, आपको प्रभावी ढंग से बचने और जवाबी कार्रवाई के लिए अपने पैरों की गति बढ़ाने के लिए कहा जाता है। आपको किस तकनीक पर ध्यान केंद्रित करना चाहिए?")</f>
        <v>कलारीपयट्टू कक्षा के दौरान, आपको प्रभावी ढंग से बचने और जवाबी कार्रवाई के लिए अपने पैरों की गति बढ़ाने के लिए कहा जाता है। आपको किस तकनीक पर ध्यान केंद्रित करना चाहिए?</v>
      </c>
      <c r="H177" s="5" t="str">
        <f>IFERROR(__xludf.DUMMYFUNCTION("GOOGLETRANSLATE(C177, ""en"", ""hi"")"),"ए) चुवडु, बी) वर्मा, सी) मार्मा, डी) एडवस")</f>
        <v>ए) चुवडु, बी) वर्मा, सी) मार्मा, डी) एडवस</v>
      </c>
      <c r="I177" s="5" t="str">
        <f>IFERROR(__xludf.DUMMYFUNCTION("GOOGLETRANSLATE(D177, ""en"", ""hi"")"),"A) चुवाडु")</f>
        <v>A) चुवाडु</v>
      </c>
    </row>
    <row r="178" ht="22.5" customHeight="1">
      <c r="A178" s="2">
        <v>177.0</v>
      </c>
      <c r="B178" s="3" t="s">
        <v>14042</v>
      </c>
      <c r="C178" s="3" t="s">
        <v>14013</v>
      </c>
      <c r="D178" s="3" t="s">
        <v>13781</v>
      </c>
      <c r="F178" s="5" t="str">
        <f>IFERROR(__xludf.DUMMYFUNCTION("GOOGLETRANSLATE(A178, ""en"", ""hi"")"),"177")</f>
        <v>177</v>
      </c>
      <c r="G178" s="5" t="str">
        <f>IFERROR(__xludf.DUMMYFUNCTION("GOOGLETRANSLATE(B178, ""en"", ""hi"")"),"कलारीपयट्टू में, किस अभ्यास में प्रतिद्वंद्वी के शरीर पर विशिष्ट बिंदुओं पर सटीक प्रहार किया जाता है?")</f>
        <v>कलारीपयट्टू में, किस अभ्यास में प्रतिद्वंद्वी के शरीर पर विशिष्ट बिंदुओं पर सटीक प्रहार किया जाता है?</v>
      </c>
      <c r="H178" s="5" t="str">
        <f>IFERROR(__xludf.DUMMYFUNCTION("GOOGLETRANSLATE(C178, ""en"", ""hi"")"),"ए) मार्मा, बी) वर्मम, सी) एडवस, डी) उझिचिल")</f>
        <v>ए) मार्मा, बी) वर्मम, सी) एडवस, डी) उझिचिल</v>
      </c>
      <c r="I178" s="5" t="str">
        <f>IFERROR(__xludf.DUMMYFUNCTION("GOOGLETRANSLATE(D178, ""en"", ""hi"")"),"बी) वर्माम")</f>
        <v>बी) वर्माम</v>
      </c>
    </row>
    <row r="179" ht="22.5" customHeight="1">
      <c r="A179" s="2">
        <v>178.0</v>
      </c>
      <c r="B179" s="3" t="s">
        <v>14043</v>
      </c>
      <c r="C179" s="3" t="s">
        <v>13713</v>
      </c>
      <c r="D179" s="3" t="s">
        <v>13714</v>
      </c>
      <c r="F179" s="5" t="str">
        <f>IFERROR(__xludf.DUMMYFUNCTION("GOOGLETRANSLATE(A179, ""en"", ""hi"")"),"178")</f>
        <v>178</v>
      </c>
      <c r="G179" s="5" t="str">
        <f>IFERROR(__xludf.DUMMYFUNCTION("GOOGLETRANSLATE(B179, ""en"", ""hi"")"),"आप एक ऐसे हथियार का इस्तेमाल कर रहे हैं जो कलारीपयट्टू में काटने और धकेलने, दोनों ही तकनीकों के लिए कारगर है। आप कौन सा हथियार इस्तेमाल कर रहे हैं?")</f>
        <v>आप एक ऐसे हथियार का इस्तेमाल कर रहे हैं जो कलारीपयट्टू में काटने और धकेलने, दोनों ही तकनीकों के लिए कारगर है। आप कौन सा हथियार इस्तेमाल कर रहे हैं?</v>
      </c>
      <c r="H179" s="5" t="str">
        <f>IFERROR(__xludf.DUMMYFUNCTION("GOOGLETRANSLATE(C179, ""en"", ""hi"")"),"A) तलवार, B) गदा, C) भाला, D) खंजर")</f>
        <v>A) तलवार, B) गदा, C) भाला, D) खंजर</v>
      </c>
      <c r="I179" s="5" t="str">
        <f>IFERROR(__xludf.DUMMYFUNCTION("GOOGLETRANSLATE(D179, ""en"", ""hi"")"),"ए) तलवार")</f>
        <v>ए) तलवार</v>
      </c>
    </row>
    <row r="180" ht="22.5" customHeight="1">
      <c r="A180" s="2">
        <v>179.0</v>
      </c>
      <c r="B180" s="3" t="s">
        <v>14044</v>
      </c>
      <c r="C180" s="3" t="s">
        <v>14016</v>
      </c>
      <c r="D180" s="3" t="s">
        <v>13684</v>
      </c>
      <c r="F180" s="5" t="str">
        <f>IFERROR(__xludf.DUMMYFUNCTION("GOOGLETRANSLATE(A180, ""en"", ""hi"")"),"179")</f>
        <v>179</v>
      </c>
      <c r="G180" s="5" t="str">
        <f>IFERROR(__xludf.DUMMYFUNCTION("GOOGLETRANSLATE(B180, ""en"", ""hi"")"),"कलारीपयट्टू में, शरीर के लचीलेपन और कंडीशनिंग को बढ़ाने के लिए आपको किस अभ्यास को प्राथमिकता देनी चाहिए?")</f>
        <v>कलारीपयट्टू में, शरीर के लचीलेपन और कंडीशनिंग को बढ़ाने के लिए आपको किस अभ्यास को प्राथमिकता देनी चाहिए?</v>
      </c>
      <c r="H180" s="5" t="str">
        <f>IFERROR(__xludf.DUMMYFUNCTION("GOOGLETRANSLATE(C180, ""en"", ""hi"")"),"ए) उझिचिल, बी) एडवस, सी) वर्मा, डी) चुवाडु")</f>
        <v>ए) उझिचिल, बी) एडवस, सी) वर्मा, डी) चुवाडु</v>
      </c>
      <c r="I180" s="5" t="str">
        <f>IFERROR(__xludf.DUMMYFUNCTION("GOOGLETRANSLATE(D180, ""en"", ""hi"")"),"A) उझिचिल")</f>
        <v>A) उझिचिल</v>
      </c>
    </row>
    <row r="181" ht="22.5" customHeight="1">
      <c r="A181" s="2">
        <v>180.0</v>
      </c>
      <c r="B181" s="3" t="s">
        <v>14045</v>
      </c>
      <c r="C181" s="3" t="s">
        <v>13997</v>
      </c>
      <c r="D181" s="3" t="s">
        <v>13960</v>
      </c>
      <c r="F181" s="5" t="str">
        <f>IFERROR(__xludf.DUMMYFUNCTION("GOOGLETRANSLATE(A181, ""en"", ""hi"")"),"180")</f>
        <v>180</v>
      </c>
      <c r="G181" s="5" t="str">
        <f>IFERROR(__xludf.DUMMYFUNCTION("GOOGLETRANSLATE(B181, ""en"", ""hi"")"),"कलारीपयट्टू प्रशिक्षण सत्र के दौरान, आप गोलाकार गतियों वाली तकनीकों पर ध्यान केंद्रित करते हैं। आप किस प्रकार का अभ्यास कर रहे हैं?")</f>
        <v>कलारीपयट्टू प्रशिक्षण सत्र के दौरान, आप गोलाकार गतियों वाली तकनीकों पर ध्यान केंद्रित करते हैं। आप किस प्रकार का अभ्यास कर रहे हैं?</v>
      </c>
      <c r="H181" s="5" t="str">
        <f>IFERROR(__xludf.DUMMYFUNCTION("GOOGLETRANSLATE(C181, ""en"", ""hi"")"),"ए) वर्मा, बी) एडवस, सी) चुवाडु, डी) केटी")</f>
        <v>ए) वर्मा, बी) एडवस, सी) चुवाडु, डी) केटी</v>
      </c>
      <c r="I181" s="5" t="str">
        <f>IFERROR(__xludf.DUMMYFUNCTION("GOOGLETRANSLATE(D181, ""en"", ""hi"")"),"ए) वर्मा")</f>
        <v>ए) वर्मा</v>
      </c>
    </row>
    <row r="182" ht="22.5" customHeight="1">
      <c r="A182" s="2">
        <v>181.0</v>
      </c>
      <c r="B182" s="3" t="s">
        <v>14046</v>
      </c>
      <c r="C182" s="3" t="s">
        <v>13999</v>
      </c>
      <c r="D182" s="3" t="s">
        <v>13678</v>
      </c>
      <c r="F182" s="5" t="str">
        <f>IFERROR(__xludf.DUMMYFUNCTION("GOOGLETRANSLATE(A182, ""en"", ""hi"")"),"181")</f>
        <v>181</v>
      </c>
      <c r="G182" s="5" t="str">
        <f>IFERROR(__xludf.DUMMYFUNCTION("GOOGLETRANSLATE(B182, ""en"", ""hi"")"),"आप तीव्र और सटीक प्रहारों पर केंद्रित कलारीपयट्टू तकनीक सीख रहे हैं। कौन सा अभ्यास सबसे अधिक प्रासंगिक है?")</f>
        <v>आप तीव्र और सटीक प्रहारों पर केंद्रित कलारीपयट्टू तकनीक सीख रहे हैं। कौन सा अभ्यास सबसे अधिक प्रासंगिक है?</v>
      </c>
      <c r="H182" s="5" t="str">
        <f>IFERROR(__xludf.DUMMYFUNCTION("GOOGLETRANSLATE(C182, ""en"", ""hi"")"),"ए) वर्मम, बी) चुवडु, सी) उझिचिल, डी) एडवस")</f>
        <v>ए) वर्मम, बी) चुवडु, सी) उझिचिल, डी) एडवस</v>
      </c>
      <c r="I182" s="5" t="str">
        <f>IFERROR(__xludf.DUMMYFUNCTION("GOOGLETRANSLATE(D182, ""en"", ""hi"")"),"ए) वर्माम")</f>
        <v>ए) वर्माम</v>
      </c>
    </row>
    <row r="183" ht="22.5" customHeight="1">
      <c r="A183" s="2">
        <v>182.0</v>
      </c>
      <c r="B183" s="3" t="s">
        <v>14047</v>
      </c>
      <c r="C183" s="3" t="s">
        <v>13713</v>
      </c>
      <c r="D183" s="3" t="s">
        <v>13772</v>
      </c>
      <c r="F183" s="5" t="str">
        <f>IFERROR(__xludf.DUMMYFUNCTION("GOOGLETRANSLATE(A183, ""en"", ""hi"")"),"182")</f>
        <v>182</v>
      </c>
      <c r="G183" s="5" t="str">
        <f>IFERROR(__xludf.DUMMYFUNCTION("GOOGLETRANSLATE(B183, ""en"", ""hi"")"),"कलारीपयट्टू कक्षा में, आप एक ऐसे हथियार का इस्तेमाल करते हैं जिसमें भारी, कुंद बल का इस्तेमाल होता है। आप कौन सा हथियार इस्तेमाल कर रहे हैं?")</f>
        <v>कलारीपयट्टू कक्षा में, आप एक ऐसे हथियार का इस्तेमाल करते हैं जिसमें भारी, कुंद बल का इस्तेमाल होता है। आप कौन सा हथियार इस्तेमाल कर रहे हैं?</v>
      </c>
      <c r="H183" s="5" t="str">
        <f>IFERROR(__xludf.DUMMYFUNCTION("GOOGLETRANSLATE(C183, ""en"", ""hi"")"),"A) तलवार, B) गदा, C) भाला, D) खंजर")</f>
        <v>A) तलवार, B) गदा, C) भाला, D) खंजर</v>
      </c>
      <c r="I183" s="5" t="str">
        <f>IFERROR(__xludf.DUMMYFUNCTION("GOOGLETRANSLATE(D183, ""en"", ""hi"")"),"बी) गदा")</f>
        <v>बी) गदा</v>
      </c>
    </row>
    <row r="184" ht="22.5" customHeight="1">
      <c r="A184" s="2">
        <v>183.0</v>
      </c>
      <c r="B184" s="3" t="s">
        <v>14048</v>
      </c>
      <c r="C184" s="3" t="s">
        <v>14049</v>
      </c>
      <c r="D184" s="3" t="s">
        <v>14050</v>
      </c>
      <c r="F184" s="5" t="str">
        <f>IFERROR(__xludf.DUMMYFUNCTION("GOOGLETRANSLATE(A184, ""en"", ""hi"")"),"183")</f>
        <v>183</v>
      </c>
      <c r="G184" s="5" t="str">
        <f>IFERROR(__xludf.DUMMYFUNCTION("GOOGLETRANSLATE(B184, ""en"", ""hi"")"),"कलारीपयट्टू में, युद्ध के दौरान अभ्यासकर्ता के संतुलन और समन्वय को बेहतर बनाने के लिए किस तकनीक का उपयोग किया जाता है?")</f>
        <v>कलारीपयट्टू में, युद्ध के दौरान अभ्यासकर्ता के संतुलन और समन्वय को बेहतर बनाने के लिए किस तकनीक का उपयोग किया जाता है?</v>
      </c>
      <c r="H184" s="5" t="str">
        <f>IFERROR(__xludf.DUMMYFUNCTION("GOOGLETRANSLATE(C184, ""en"", ""hi"")"),"ए) चुवाडु, बी) एडवस, सी) वर्मा, डी) उझिचिल")</f>
        <v>ए) चुवाडु, बी) एडवस, सी) वर्मा, डी) उझिचिल</v>
      </c>
      <c r="I184" s="5" t="str">
        <f>IFERROR(__xludf.DUMMYFUNCTION("GOOGLETRANSLATE(D184, ""en"", ""hi"")"),"बी) एडवस")</f>
        <v>बी) एडवस</v>
      </c>
    </row>
    <row r="185" ht="22.5" customHeight="1">
      <c r="A185" s="2">
        <v>184.0</v>
      </c>
      <c r="B185" s="3" t="s">
        <v>14051</v>
      </c>
      <c r="C185" s="3" t="s">
        <v>14052</v>
      </c>
      <c r="D185" s="3" t="s">
        <v>14053</v>
      </c>
      <c r="F185" s="5" t="str">
        <f>IFERROR(__xludf.DUMMYFUNCTION("GOOGLETRANSLATE(A185, ""en"", ""hi"")"),"184")</f>
        <v>184</v>
      </c>
      <c r="G185" s="5" t="str">
        <f>IFERROR(__xludf.DUMMYFUNCTION("GOOGLETRANSLATE(B185, ""en"", ""hi"")"),"कलारीपयट्टू अभ्यास सत्र के दौरान, कौन सा अभ्यास चपलता और त्वरित सजगता को बढ़ाने पर केंद्रित है?")</f>
        <v>कलारीपयट्टू अभ्यास सत्र के दौरान, कौन सा अभ्यास चपलता और त्वरित सजगता को बढ़ाने पर केंद्रित है?</v>
      </c>
      <c r="H185" s="5" t="str">
        <f>IFERROR(__xludf.DUMMYFUNCTION("GOOGLETRANSLATE(C185, ""en"", ""hi"")"),"ए) उझिचिल, बी) मार्मा, सी) एडवस, डी) चुवाडु")</f>
        <v>ए) उझिचिल, बी) मार्मा, सी) एडवस, डी) चुवाडु</v>
      </c>
      <c r="I185" s="5" t="str">
        <f>IFERROR(__xludf.DUMMYFUNCTION("GOOGLETRANSLATE(D185, ""en"", ""hi"")"),"D) चुवाडु")</f>
        <v>D) चुवाडु</v>
      </c>
    </row>
    <row r="186" ht="22.5" customHeight="1">
      <c r="A186" s="2">
        <v>185.0</v>
      </c>
      <c r="B186" s="3" t="s">
        <v>14054</v>
      </c>
      <c r="C186" s="3" t="s">
        <v>14055</v>
      </c>
      <c r="D186" s="3" t="s">
        <v>14056</v>
      </c>
      <c r="F186" s="5" t="str">
        <f>IFERROR(__xludf.DUMMYFUNCTION("GOOGLETRANSLATE(A186, ""en"", ""hi"")"),"185")</f>
        <v>185</v>
      </c>
      <c r="G186" s="5" t="str">
        <f>IFERROR(__xludf.DUMMYFUNCTION("GOOGLETRANSLATE(B186, ""en"", ""hi"")"),"यदि कोई कलारीपयट्टू अभ्यासी छड़ी से प्रशिक्षण ले रहा है और सटीकता से प्रहार करना सीख रहा है, तो संभवतः वह किस प्रकार का अभ्यास कर रहा है?")</f>
        <v>यदि कोई कलारीपयट्टू अभ्यासी छड़ी से प्रशिक्षण ले रहा है और सटीकता से प्रहार करना सीख रहा है, तो संभवतः वह किस प्रकार का अभ्यास कर रहा है?</v>
      </c>
      <c r="H186" s="5" t="str">
        <f>IFERROR(__xludf.DUMMYFUNCTION("GOOGLETRANSLATE(C186, ""en"", ""hi"")"),"ए) केटी, बी) मार्मा, सी) उझिचिल, डी) एडवस")</f>
        <v>ए) केटी, बी) मार्मा, सी) उझिचिल, डी) एडवस</v>
      </c>
      <c r="I186" s="5" t="str">
        <f>IFERROR(__xludf.DUMMYFUNCTION("GOOGLETRANSLATE(D186, ""en"", ""hi"")"),"ए) केट्टी")</f>
        <v>ए) केट्टी</v>
      </c>
    </row>
    <row r="187" ht="22.5" customHeight="1">
      <c r="A187" s="2">
        <v>186.0</v>
      </c>
      <c r="B187" s="3" t="s">
        <v>14057</v>
      </c>
      <c r="C187" s="3" t="s">
        <v>14058</v>
      </c>
      <c r="D187" s="3" t="s">
        <v>13684</v>
      </c>
      <c r="F187" s="5" t="str">
        <f>IFERROR(__xludf.DUMMYFUNCTION("GOOGLETRANSLATE(A187, ""en"", ""hi"")"),"186")</f>
        <v>186</v>
      </c>
      <c r="G187" s="5" t="str">
        <f>IFERROR(__xludf.DUMMYFUNCTION("GOOGLETRANSLATE(B187, ""en"", ""hi"")"),"कलारीपयट्टू में, मुख्य मांसपेशियों को मजबूत करने और समग्र शरीर की कंडीशनिंग में सुधार करने के लिए कौन सी तकनीक तैयार की गई है?")</f>
        <v>कलारीपयट्टू में, मुख्य मांसपेशियों को मजबूत करने और समग्र शरीर की कंडीशनिंग में सुधार करने के लिए कौन सी तकनीक तैयार की गई है?</v>
      </c>
      <c r="H187" s="5" t="str">
        <f>IFERROR(__xludf.DUMMYFUNCTION("GOOGLETRANSLATE(C187, ""en"", ""hi"")"),"ए) उझिचिल, बी) वर्मा, सी) चुवाडु, डी) मार्मा")</f>
        <v>ए) उझिचिल, बी) वर्मा, सी) चुवाडु, डी) मार्मा</v>
      </c>
      <c r="I187" s="5" t="str">
        <f>IFERROR(__xludf.DUMMYFUNCTION("GOOGLETRANSLATE(D187, ""en"", ""hi"")"),"A) उझिचिल")</f>
        <v>A) उझिचिल</v>
      </c>
    </row>
    <row r="188" ht="22.5" customHeight="1">
      <c r="A188" s="2">
        <v>187.0</v>
      </c>
      <c r="B188" s="3" t="s">
        <v>14059</v>
      </c>
      <c r="C188" s="3" t="s">
        <v>14060</v>
      </c>
      <c r="D188" s="3" t="s">
        <v>13916</v>
      </c>
      <c r="F188" s="5" t="str">
        <f>IFERROR(__xludf.DUMMYFUNCTION("GOOGLETRANSLATE(A188, ""en"", ""hi"")"),"187")</f>
        <v>187</v>
      </c>
      <c r="G188" s="5" t="str">
        <f>IFERROR(__xludf.DUMMYFUNCTION("GOOGLETRANSLATE(B188, ""en"", ""hi"")"),"एक प्रशिक्षण सत्र के दौरान, एक कलारीपयट्टू अभ्यासी तलवार का उपयोग आक्रामक और रक्षात्मक, दोनों तरह से करने पर ध्यान केंद्रित करता है। यह किस अभ्यास से संबंधित है?")</f>
        <v>एक प्रशिक्षण सत्र के दौरान, एक कलारीपयट्टू अभ्यासी तलवार का उपयोग आक्रामक और रक्षात्मक, दोनों तरह से करने पर ध्यान केंद्रित करता है। यह किस अभ्यास से संबंधित है?</v>
      </c>
      <c r="H188" s="5" t="str">
        <f>IFERROR(__xludf.DUMMYFUNCTION("GOOGLETRANSLATE(C188, ""en"", ""hi"")"),"ए) एडवस, बी) केट्टू, सी) चुवडु, डी) वर्मा")</f>
        <v>ए) एडवस, बी) केट्टू, सी) चुवडु, डी) वर्मा</v>
      </c>
      <c r="I188" s="5" t="str">
        <f>IFERROR(__xludf.DUMMYFUNCTION("GOOGLETRANSLATE(D188, ""en"", ""hi"")"),"बी) केट्टू")</f>
        <v>बी) केट्टू</v>
      </c>
    </row>
    <row r="189" ht="22.5" customHeight="1">
      <c r="A189" s="2">
        <v>188.0</v>
      </c>
      <c r="B189" s="3" t="s">
        <v>14061</v>
      </c>
      <c r="C189" s="3" t="s">
        <v>14062</v>
      </c>
      <c r="D189" s="3" t="s">
        <v>13924</v>
      </c>
      <c r="F189" s="5" t="str">
        <f>IFERROR(__xludf.DUMMYFUNCTION("GOOGLETRANSLATE(A189, ""en"", ""hi"")"),"188")</f>
        <v>188</v>
      </c>
      <c r="G189" s="5" t="str">
        <f>IFERROR(__xludf.DUMMYFUNCTION("GOOGLETRANSLATE(B189, ""en"", ""hi"")"),"एक कलारीपयट्टू अभ्यासी सटीक चालों से प्रतिद्वंद्वी के प्रहारों का जवाब देना सीख रहा है। उन्हें किस तकनीक का अभ्यास करना चाहिए?")</f>
        <v>एक कलारीपयट्टू अभ्यासी सटीक चालों से प्रतिद्वंद्वी के प्रहारों का जवाब देना सीख रहा है। उन्हें किस तकनीक का अभ्यास करना चाहिए?</v>
      </c>
      <c r="H189" s="5" t="str">
        <f>IFERROR(__xludf.DUMMYFUNCTION("GOOGLETRANSLATE(C189, ""en"", ""hi"")"),"ए) मार्मा, बी) वर्मा, सी) उझिचिल, डी) एडवस")</f>
        <v>ए) मार्मा, बी) वर्मा, सी) उझिचिल, डी) एडवस</v>
      </c>
      <c r="I189" s="5" t="str">
        <f>IFERROR(__xludf.DUMMYFUNCTION("GOOGLETRANSLATE(D189, ""en"", ""hi"")"),"बी) वर्मा")</f>
        <v>बी) वर्मा</v>
      </c>
    </row>
    <row r="190" ht="22.5" customHeight="1">
      <c r="A190" s="2">
        <v>189.0</v>
      </c>
      <c r="B190" s="3" t="s">
        <v>14063</v>
      </c>
      <c r="C190" s="3" t="s">
        <v>13965</v>
      </c>
      <c r="D190" s="3" t="s">
        <v>13684</v>
      </c>
      <c r="F190" s="5" t="str">
        <f>IFERROR(__xludf.DUMMYFUNCTION("GOOGLETRANSLATE(A190, ""en"", ""hi"")"),"189")</f>
        <v>189</v>
      </c>
      <c r="G190" s="5" t="str">
        <f>IFERROR(__xludf.DUMMYFUNCTION("GOOGLETRANSLATE(B190, ""en"", ""hi"")"),"आप कलारीपयट्टू का प्रशिक्षण ले रहे हैं और लचीलेपन और स्ट्रेचिंग व्यायामों को बेहतर बनाने पर ध्यान केंद्रित कर रहे हैं। कौन सा अभ्यास सबसे अधिक प्रासंगिक है?")</f>
        <v>आप कलारीपयट्टू का प्रशिक्षण ले रहे हैं और लचीलेपन और स्ट्रेचिंग व्यायामों को बेहतर बनाने पर ध्यान केंद्रित कर रहे हैं। कौन सा अभ्यास सबसे अधिक प्रासंगिक है?</v>
      </c>
      <c r="H190" s="5" t="str">
        <f>IFERROR(__xludf.DUMMYFUNCTION("GOOGLETRANSLATE(C190, ""en"", ""hi"")"),"ए) उझिचिल, बी) एडवस, सी) मार्मा, डी) चुवाडु")</f>
        <v>ए) उझिचिल, बी) एडवस, सी) मार्मा, डी) चुवाडु</v>
      </c>
      <c r="I190" s="5" t="str">
        <f>IFERROR(__xludf.DUMMYFUNCTION("GOOGLETRANSLATE(D190, ""en"", ""hi"")"),"A) उझिचिल")</f>
        <v>A) उझिचिल</v>
      </c>
    </row>
    <row r="191" ht="22.5" customHeight="1">
      <c r="A191" s="2">
        <v>190.0</v>
      </c>
      <c r="B191" s="3" t="s">
        <v>14064</v>
      </c>
      <c r="C191" s="3" t="s">
        <v>13713</v>
      </c>
      <c r="D191" s="3" t="s">
        <v>14065</v>
      </c>
      <c r="F191" s="5" t="str">
        <f>IFERROR(__xludf.DUMMYFUNCTION("GOOGLETRANSLATE(A191, ""en"", ""hi"")"),"190")</f>
        <v>190</v>
      </c>
      <c r="G191" s="5" t="str">
        <f>IFERROR(__xludf.DUMMYFUNCTION("GOOGLETRANSLATE(B191, ""en"", ""hi"")"),"कलारीपयट्टू कक्षा में, आप एक लंबे हथियार का उपयोग करते हैं जो काटने और प्रहार करने दोनों के लिए डिज़ाइन किया गया है। आप संभवतः किस हथियार का उपयोग कर रहे हैं?")</f>
        <v>कलारीपयट्टू कक्षा में, आप एक लंबे हथियार का उपयोग करते हैं जो काटने और प्रहार करने दोनों के लिए डिज़ाइन किया गया है। आप संभवतः किस हथियार का उपयोग कर रहे हैं?</v>
      </c>
      <c r="H191" s="5" t="str">
        <f>IFERROR(__xludf.DUMMYFUNCTION("GOOGLETRANSLATE(C191, ""en"", ""hi"")"),"A) तलवार, B) गदा, C) भाला, D) खंजर")</f>
        <v>A) तलवार, B) गदा, C) भाला, D) खंजर</v>
      </c>
      <c r="I191" s="5" t="str">
        <f>IFERROR(__xludf.DUMMYFUNCTION("GOOGLETRANSLATE(D191, ""en"", ""hi"")"),"सी) भाला")</f>
        <v>सी) भाला</v>
      </c>
    </row>
    <row r="192" ht="22.5" customHeight="1">
      <c r="A192" s="2">
        <v>191.0</v>
      </c>
      <c r="B192" s="3" t="s">
        <v>14066</v>
      </c>
      <c r="C192" s="3" t="s">
        <v>14067</v>
      </c>
      <c r="D192" s="3" t="s">
        <v>13960</v>
      </c>
      <c r="F192" s="5" t="str">
        <f>IFERROR(__xludf.DUMMYFUNCTION("GOOGLETRANSLATE(A192, ""en"", ""hi"")"),"191")</f>
        <v>191</v>
      </c>
      <c r="G192" s="5" t="str">
        <f>IFERROR(__xludf.DUMMYFUNCTION("GOOGLETRANSLATE(B192, ""en"", ""hi"")"),"आप एक कलारीपयट्टू अभ्यासी को गोलाकार और प्रवाहमय गतियों वाली तकनीकें करते हुए देखते हैं। वे कौन-सा अभ्यास प्रदर्शित कर रहे हैं?")</f>
        <v>आप एक कलारीपयट्टू अभ्यासी को गोलाकार और प्रवाहमय गतियों वाली तकनीकें करते हुए देखते हैं। वे कौन-सा अभ्यास प्रदर्शित कर रहे हैं?</v>
      </c>
      <c r="H192" s="5" t="str">
        <f>IFERROR(__xludf.DUMMYFUNCTION("GOOGLETRANSLATE(C192, ""en"", ""hi"")"),"ए) वर्मा, बी) एडवस, सी) केटी, डी) चुवाडु")</f>
        <v>ए) वर्मा, बी) एडवस, सी) केटी, डी) चुवाडु</v>
      </c>
      <c r="I192" s="5" t="str">
        <f>IFERROR(__xludf.DUMMYFUNCTION("GOOGLETRANSLATE(D192, ""en"", ""hi"")"),"ए) वर्मा")</f>
        <v>ए) वर्मा</v>
      </c>
    </row>
    <row r="193" ht="22.5" customHeight="1">
      <c r="A193" s="2">
        <v>192.0</v>
      </c>
      <c r="B193" s="3" t="s">
        <v>14068</v>
      </c>
      <c r="C193" s="3" t="s">
        <v>14069</v>
      </c>
      <c r="D193" s="3" t="s">
        <v>13678</v>
      </c>
      <c r="F193" s="5" t="str">
        <f>IFERROR(__xludf.DUMMYFUNCTION("GOOGLETRANSLATE(A193, ""en"", ""hi"")"),"192")</f>
        <v>192</v>
      </c>
      <c r="G193" s="5" t="str">
        <f>IFERROR(__xludf.DUMMYFUNCTION("GOOGLETRANSLATE(B193, ""en"", ""hi"")"),"कलारीपयट्टू में, किस अभ्यास का उपयोग अभ्यासकर्ता की तीव्र और सटीक प्रहार करने की क्षमता को बढ़ाने के लिए किया जाता है?")</f>
        <v>कलारीपयट्टू में, किस अभ्यास का उपयोग अभ्यासकर्ता की तीव्र और सटीक प्रहार करने की क्षमता को बढ़ाने के लिए किया जाता है?</v>
      </c>
      <c r="H193" s="5" t="str">
        <f>IFERROR(__xludf.DUMMYFUNCTION("GOOGLETRANSLATE(C193, ""en"", ""hi"")"),"ए) वर्मम, बी) एडवस, सी) उझिचिल, डी) मार्मा")</f>
        <v>ए) वर्मम, बी) एडवस, सी) उझिचिल, डी) मार्मा</v>
      </c>
      <c r="I193" s="5" t="str">
        <f>IFERROR(__xludf.DUMMYFUNCTION("GOOGLETRANSLATE(D193, ""en"", ""hi"")"),"ए) वर्माम")</f>
        <v>ए) वर्माम</v>
      </c>
    </row>
    <row r="194" ht="22.5" customHeight="1">
      <c r="A194" s="2">
        <v>193.0</v>
      </c>
      <c r="B194" s="3" t="s">
        <v>14070</v>
      </c>
      <c r="C194" s="3" t="s">
        <v>13981</v>
      </c>
      <c r="D194" s="3" t="s">
        <v>13675</v>
      </c>
      <c r="F194" s="5" t="str">
        <f>IFERROR(__xludf.DUMMYFUNCTION("GOOGLETRANSLATE(A194, ""en"", ""hi"")"),"193")</f>
        <v>193</v>
      </c>
      <c r="G194" s="5" t="str">
        <f>IFERROR(__xludf.DUMMYFUNCTION("GOOGLETRANSLATE(B194, ""en"", ""hi"")"),"कलारीपयट्टू के अभ्यास के दौरान, आपको हमलों से बचने के अपने कौशल में सुधार करना होगा। आपको किस अभ्यास पर ध्यान केंद्रित करना चाहिए?")</f>
        <v>कलारीपयट्टू के अभ्यास के दौरान, आपको हमलों से बचने के अपने कौशल में सुधार करना होगा। आपको किस अभ्यास पर ध्यान केंद्रित करना चाहिए?</v>
      </c>
      <c r="H194" s="5" t="str">
        <f>IFERROR(__xludf.DUMMYFUNCTION("GOOGLETRANSLATE(C194, ""en"", ""hi"")"),"ए) चुवडु, बी) वर्मा, सी) मार्मा, डी) एडवस")</f>
        <v>ए) चुवडु, बी) वर्मा, सी) मार्मा, डी) एडवस</v>
      </c>
      <c r="I194" s="5" t="str">
        <f>IFERROR(__xludf.DUMMYFUNCTION("GOOGLETRANSLATE(D194, ""en"", ""hi"")"),"A) चुवाडु")</f>
        <v>A) चुवाडु</v>
      </c>
    </row>
    <row r="195" ht="22.5" customHeight="1">
      <c r="A195" s="2">
        <v>194.0</v>
      </c>
      <c r="B195" s="3" t="s">
        <v>14071</v>
      </c>
      <c r="C195" s="3" t="s">
        <v>14072</v>
      </c>
      <c r="D195" s="3" t="s">
        <v>13932</v>
      </c>
      <c r="F195" s="5" t="str">
        <f>IFERROR(__xludf.DUMMYFUNCTION("GOOGLETRANSLATE(A195, ""en"", ""hi"")"),"194")</f>
        <v>194</v>
      </c>
      <c r="G195" s="5" t="str">
        <f>IFERROR(__xludf.DUMMYFUNCTION("GOOGLETRANSLATE(B195, ""en"", ""hi"")"),"एक कलारीपयट्टू अभ्यासी प्रतिद्वंद्वी के शरीर पर विशिष्ट दबाव बिंदुओं को लक्षित करने की तकनीक सीख रहा है। वे कौन सी तकनीक अपना रहे हैं?")</f>
        <v>एक कलारीपयट्टू अभ्यासी प्रतिद्वंद्वी के शरीर पर विशिष्ट दबाव बिंदुओं को लक्षित करने की तकनीक सीख रहा है। वे कौन सी तकनीक अपना रहे हैं?</v>
      </c>
      <c r="H195" s="5" t="str">
        <f>IFERROR(__xludf.DUMMYFUNCTION("GOOGLETRANSLATE(C195, ""en"", ""hi"")"),"ए) मार्मा, बी) वर्मा, सी) केटी, डी) उझिचिल")</f>
        <v>ए) मार्मा, बी) वर्मा, सी) केटी, डी) उझिचिल</v>
      </c>
      <c r="I195" s="5" t="str">
        <f>IFERROR(__xludf.DUMMYFUNCTION("GOOGLETRANSLATE(D195, ""en"", ""hi"")"),"A) मर्म")</f>
        <v>A) मर्म</v>
      </c>
    </row>
    <row r="196" ht="22.5" customHeight="1">
      <c r="A196" s="2">
        <v>195.0</v>
      </c>
      <c r="B196" s="3" t="s">
        <v>14073</v>
      </c>
      <c r="C196" s="3" t="s">
        <v>14074</v>
      </c>
      <c r="D196" s="3" t="s">
        <v>13684</v>
      </c>
      <c r="F196" s="5" t="str">
        <f>IFERROR(__xludf.DUMMYFUNCTION("GOOGLETRANSLATE(A196, ""en"", ""hi"")"),"195")</f>
        <v>195</v>
      </c>
      <c r="G196" s="5" t="str">
        <f>IFERROR(__xludf.DUMMYFUNCTION("GOOGLETRANSLATE(B196, ""en"", ""hi"")"),"कलारीपयट्टू में, कौन सी प्रथा ऐसी तकनीकें शामिल करती है जो शरीर की कंडीशनिंग और समग्र शारीरिक सहनशक्ति पर ध्यान केंद्रित करती हैं?")</f>
        <v>कलारीपयट्टू में, कौन सी प्रथा ऐसी तकनीकें शामिल करती है जो शरीर की कंडीशनिंग और समग्र शारीरिक सहनशक्ति पर ध्यान केंद्रित करती हैं?</v>
      </c>
      <c r="H196" s="5" t="str">
        <f>IFERROR(__xludf.DUMMYFUNCTION("GOOGLETRANSLATE(C196, ""en"", ""hi"")"),"ए) उझिचिल, बी) एडवस, सी) मार्मा, डी) वर्मा")</f>
        <v>ए) उझिचिल, बी) एडवस, सी) मार्मा, डी) वर्मा</v>
      </c>
      <c r="I196" s="5" t="str">
        <f>IFERROR(__xludf.DUMMYFUNCTION("GOOGLETRANSLATE(D196, ""en"", ""hi"")"),"A) उझिचिल")</f>
        <v>A) उझिचिल</v>
      </c>
    </row>
    <row r="197" ht="22.5" customHeight="1">
      <c r="A197" s="2">
        <v>196.0</v>
      </c>
      <c r="B197" s="3" t="s">
        <v>14075</v>
      </c>
      <c r="C197" s="3" t="s">
        <v>14076</v>
      </c>
      <c r="D197" s="3" t="s">
        <v>13793</v>
      </c>
      <c r="F197" s="5" t="str">
        <f>IFERROR(__xludf.DUMMYFUNCTION("GOOGLETRANSLATE(A197, ""en"", ""hi"")"),"196")</f>
        <v>196</v>
      </c>
      <c r="G197" s="5" t="str">
        <f>IFERROR(__xludf.DUMMYFUNCTION("GOOGLETRANSLATE(B197, ""en"", ""hi"")"),"कलारीपयट्टू कक्षा के दौरान, आप आक्रामक और रक्षात्मक, दोनों तरह के हथियारों के इस्तेमाल में महारत हासिल करने पर काम कर रहे हैं। आप किस हथियार का अभ्यास कर रहे हैं?")</f>
        <v>कलारीपयट्टू कक्षा के दौरान, आप आक्रामक और रक्षात्मक, दोनों तरह के हथियारों के इस्तेमाल में महारत हासिल करने पर काम कर रहे हैं। आप किस हथियार का अभ्यास कर रहे हैं?</v>
      </c>
      <c r="H197" s="5" t="str">
        <f>IFERROR(__xludf.DUMMYFUNCTION("GOOGLETRANSLATE(C197, ""en"", ""hi"")"),"A) गदा, B) भाला, C) तलवार, D) खंजर")</f>
        <v>A) गदा, B) भाला, C) तलवार, D) खंजर</v>
      </c>
      <c r="I197" s="5" t="str">
        <f>IFERROR(__xludf.DUMMYFUNCTION("GOOGLETRANSLATE(D197, ""en"", ""hi"")"),"सी) तलवार")</f>
        <v>सी) तलवार</v>
      </c>
    </row>
    <row r="198" ht="22.5" customHeight="1">
      <c r="A198" s="2">
        <v>197.0</v>
      </c>
      <c r="B198" s="3" t="s">
        <v>14077</v>
      </c>
      <c r="C198" s="3" t="s">
        <v>14078</v>
      </c>
      <c r="D198" s="3" t="s">
        <v>13678</v>
      </c>
      <c r="F198" s="5" t="str">
        <f>IFERROR(__xludf.DUMMYFUNCTION("GOOGLETRANSLATE(A198, ""en"", ""hi"")"),"197")</f>
        <v>197</v>
      </c>
      <c r="G198" s="5" t="str">
        <f>IFERROR(__xludf.DUMMYFUNCTION("GOOGLETRANSLATE(B198, ""en"", ""hi"")"),"कलारीपयट्टू में कौन सी प्रथा आपके प्रहारों की सटीकता और गति को बेहतर बनाने पर केंद्रित है?")</f>
        <v>कलारीपयट्टू में कौन सी प्रथा आपके प्रहारों की सटीकता और गति को बेहतर बनाने पर केंद्रित है?</v>
      </c>
      <c r="H198" s="5" t="str">
        <f>IFERROR(__xludf.DUMMYFUNCTION("GOOGLETRANSLATE(C198, ""en"", ""hi"")"),"ए) वर्मम, बी) चुवडु, सी) एडवस, डी) उझिचिल")</f>
        <v>ए) वर्मम, बी) चुवडु, सी) एडवस, डी) उझिचिल</v>
      </c>
      <c r="I198" s="5" t="str">
        <f>IFERROR(__xludf.DUMMYFUNCTION("GOOGLETRANSLATE(D198, ""en"", ""hi"")"),"ए) वर्माम")</f>
        <v>ए) वर्माम</v>
      </c>
    </row>
    <row r="199" ht="22.5" customHeight="1">
      <c r="A199" s="2">
        <v>198.0</v>
      </c>
      <c r="B199" s="3" t="s">
        <v>14079</v>
      </c>
      <c r="C199" s="3" t="s">
        <v>13713</v>
      </c>
      <c r="D199" s="3" t="s">
        <v>13772</v>
      </c>
      <c r="F199" s="5" t="str">
        <f>IFERROR(__xludf.DUMMYFUNCTION("GOOGLETRANSLATE(A199, ""en"", ""hi"")"),"198")</f>
        <v>198</v>
      </c>
      <c r="G199" s="5" t="str">
        <f>IFERROR(__xludf.DUMMYFUNCTION("GOOGLETRANSLATE(B199, ""en"", ""hi"")"),"आप एक कलारीपयट्टू प्रदर्शन देख रहे हैं जहाँ अभ्यासकर्ता शक्तिशाली, कुंद बल वाले प्रहारों के लिए एक हथियार का उपयोग करता है। वे कौन सा हथियार इस्तेमाल कर रहे हैं?")</f>
        <v>आप एक कलारीपयट्टू प्रदर्शन देख रहे हैं जहाँ अभ्यासकर्ता शक्तिशाली, कुंद बल वाले प्रहारों के लिए एक हथियार का उपयोग करता है। वे कौन सा हथियार इस्तेमाल कर रहे हैं?</v>
      </c>
      <c r="H199" s="5" t="str">
        <f>IFERROR(__xludf.DUMMYFUNCTION("GOOGLETRANSLATE(C199, ""en"", ""hi"")"),"A) तलवार, B) गदा, C) भाला, D) खंजर")</f>
        <v>A) तलवार, B) गदा, C) भाला, D) खंजर</v>
      </c>
      <c r="I199" s="5" t="str">
        <f>IFERROR(__xludf.DUMMYFUNCTION("GOOGLETRANSLATE(D199, ""en"", ""hi"")"),"बी) गदा")</f>
        <v>बी) गदा</v>
      </c>
    </row>
    <row r="200" ht="22.5" customHeight="1">
      <c r="A200" s="2">
        <v>199.0</v>
      </c>
      <c r="B200" s="3" t="s">
        <v>14080</v>
      </c>
      <c r="C200" s="3" t="s">
        <v>14081</v>
      </c>
      <c r="D200" s="3" t="s">
        <v>13675</v>
      </c>
      <c r="F200" s="5" t="str">
        <f>IFERROR(__xludf.DUMMYFUNCTION("GOOGLETRANSLATE(A200, ""en"", ""hi"")"),"199")</f>
        <v>199</v>
      </c>
      <c r="G200" s="5" t="str">
        <f>IFERROR(__xludf.DUMMYFUNCTION("GOOGLETRANSLATE(B200, ""en"", ""hi"")"),"कलारीपयट्टू प्रशिक्षण सत्र के दौरान, आप तेज़ पैरों और चपलता वाली तकनीकों पर ध्यान केंद्रित करते हैं। आप किस अभ्यास पर काम कर रहे हैं?")</f>
        <v>कलारीपयट्टू प्रशिक्षण सत्र के दौरान, आप तेज़ पैरों और चपलता वाली तकनीकों पर ध्यान केंद्रित करते हैं। आप किस अभ्यास पर काम कर रहे हैं?</v>
      </c>
      <c r="H200" s="5" t="str">
        <f>IFERROR(__xludf.DUMMYFUNCTION("GOOGLETRANSLATE(C200, ""en"", ""hi"")"),"ए) चुवाडु, बी) वर्मा, सी) एडवस, डी) उझिचिल")</f>
        <v>ए) चुवाडु, बी) वर्मा, सी) एडवस, डी) उझिचिल</v>
      </c>
      <c r="I200" s="5" t="str">
        <f>IFERROR(__xludf.DUMMYFUNCTION("GOOGLETRANSLATE(D200, ""en"", ""hi"")"),"A) चुवाडु")</f>
        <v>A) चुवाडु</v>
      </c>
    </row>
    <row r="201" ht="22.5" customHeight="1">
      <c r="A201" s="2">
        <v>200.0</v>
      </c>
      <c r="B201" s="3" t="s">
        <v>14082</v>
      </c>
      <c r="C201" s="3" t="s">
        <v>14083</v>
      </c>
      <c r="D201" s="3" t="s">
        <v>13781</v>
      </c>
      <c r="F201" s="5" t="str">
        <f>IFERROR(__xludf.DUMMYFUNCTION("GOOGLETRANSLATE(A201, ""en"", ""hi"")"),"200")</f>
        <v>200</v>
      </c>
      <c r="G201" s="5" t="str">
        <f>IFERROR(__xludf.DUMMYFUNCTION("GOOGLETRANSLATE(B201, ""en"", ""hi"")"),"एक अभ्यासकर्ता प्रतिद्वंद्वी के महत्वपूर्ण बिंदुओं पर सटीक प्रहार करना सीख रहा है। उन्हें किस तकनीक का अभ्यास करना चाहिए?")</f>
        <v>एक अभ्यासकर्ता प्रतिद्वंद्वी के महत्वपूर्ण बिंदुओं पर सटीक प्रहार करना सीख रहा है। उन्हें किस तकनीक का अभ्यास करना चाहिए?</v>
      </c>
      <c r="H201" s="5" t="str">
        <f>IFERROR(__xludf.DUMMYFUNCTION("GOOGLETRANSLATE(C201, ""en"", ""hi"")"),"ए) मार्मा, बी) वर्मम, सी) एडवस, डी) केटी")</f>
        <v>ए) मार्मा, बी) वर्मम, सी) एडवस, डी) केटी</v>
      </c>
      <c r="I201" s="5" t="str">
        <f>IFERROR(__xludf.DUMMYFUNCTION("GOOGLETRANSLATE(D201, ""en"", ""hi"")"),"बी) वर्माम")</f>
        <v>बी) वर्माम</v>
      </c>
    </row>
    <row r="202" ht="22.5" customHeight="1">
      <c r="A202" s="2">
        <v>201.0</v>
      </c>
      <c r="B202" s="3" t="s">
        <v>14084</v>
      </c>
      <c r="C202" s="3" t="s">
        <v>14016</v>
      </c>
      <c r="D202" s="3" t="s">
        <v>13684</v>
      </c>
      <c r="F202" s="5" t="str">
        <f>IFERROR(__xludf.DUMMYFUNCTION("GOOGLETRANSLATE(A202, ""en"", ""hi"")"),"201")</f>
        <v>201</v>
      </c>
      <c r="G202" s="5" t="str">
        <f>IFERROR(__xludf.DUMMYFUNCTION("GOOGLETRANSLATE(B202, ""en"", ""hi"")"),"कलारीपयट्टू में, कौन सा अभ्यास समग्र शरीर की कंडीशनिंग और लचीलापन विकसित करने के लिए डिज़ाइन किया गया है?")</f>
        <v>कलारीपयट्टू में, कौन सा अभ्यास समग्र शरीर की कंडीशनिंग और लचीलापन विकसित करने के लिए डिज़ाइन किया गया है?</v>
      </c>
      <c r="H202" s="5" t="str">
        <f>IFERROR(__xludf.DUMMYFUNCTION("GOOGLETRANSLATE(C202, ""en"", ""hi"")"),"ए) उझिचिल, बी) एडवस, सी) वर्मा, डी) चुवाडु")</f>
        <v>ए) उझिचिल, बी) एडवस, सी) वर्मा, डी) चुवाडु</v>
      </c>
      <c r="I202" s="5" t="str">
        <f>IFERROR(__xludf.DUMMYFUNCTION("GOOGLETRANSLATE(D202, ""en"", ""hi"")"),"A) उझिचिल")</f>
        <v>A) उझिचिल</v>
      </c>
    </row>
    <row r="203" ht="22.5" customHeight="1">
      <c r="A203" s="2">
        <v>202.0</v>
      </c>
      <c r="B203" s="3" t="s">
        <v>14085</v>
      </c>
      <c r="C203" s="3" t="s">
        <v>13713</v>
      </c>
      <c r="D203" s="3" t="s">
        <v>13714</v>
      </c>
      <c r="F203" s="5" t="str">
        <f>IFERROR(__xludf.DUMMYFUNCTION("GOOGLETRANSLATE(A203, ""en"", ""hi"")"),"202")</f>
        <v>202</v>
      </c>
      <c r="G203" s="5" t="str">
        <f>IFERROR(__xludf.DUMMYFUNCTION("GOOGLETRANSLATE(B203, ""en"", ""hi"")"),"आप उन तकनीकों में महारत हासिल करने पर ध्यान केंद्रित कर रहे हैं जिनमें हथियार से काटना और वार करना दोनों शामिल हैं। आप कौन सा हथियार इस्तेमाल कर रहे हैं?")</f>
        <v>आप उन तकनीकों में महारत हासिल करने पर ध्यान केंद्रित कर रहे हैं जिनमें हथियार से काटना और वार करना दोनों शामिल हैं। आप कौन सा हथियार इस्तेमाल कर रहे हैं?</v>
      </c>
      <c r="H203" s="5" t="str">
        <f>IFERROR(__xludf.DUMMYFUNCTION("GOOGLETRANSLATE(C203, ""en"", ""hi"")"),"A) तलवार, B) गदा, C) भाला, D) खंजर")</f>
        <v>A) तलवार, B) गदा, C) भाला, D) खंजर</v>
      </c>
      <c r="I203" s="5" t="str">
        <f>IFERROR(__xludf.DUMMYFUNCTION("GOOGLETRANSLATE(D203, ""en"", ""hi"")"),"ए) तलवार")</f>
        <v>ए) तलवार</v>
      </c>
    </row>
    <row r="204" ht="22.5" customHeight="1">
      <c r="A204" s="2">
        <v>203.0</v>
      </c>
      <c r="B204" s="3" t="s">
        <v>14086</v>
      </c>
      <c r="C204" s="3" t="s">
        <v>13997</v>
      </c>
      <c r="D204" s="3" t="s">
        <v>13960</v>
      </c>
      <c r="F204" s="5" t="str">
        <f>IFERROR(__xludf.DUMMYFUNCTION("GOOGLETRANSLATE(A204, ""en"", ""hi"")"),"203")</f>
        <v>203</v>
      </c>
      <c r="G204" s="5" t="str">
        <f>IFERROR(__xludf.DUMMYFUNCTION("GOOGLETRANSLATE(B204, ""en"", ""hi"")"),"कलारीपयट्टू में, वृत्ताकार और प्रवाहमय गतियों को करने की अपनी क्षमता में सुधार करने के लिए आपको किस तकनीक का अभ्यास करना चाहिए?")</f>
        <v>कलारीपयट्टू में, वृत्ताकार और प्रवाहमय गतियों को करने की अपनी क्षमता में सुधार करने के लिए आपको किस तकनीक का अभ्यास करना चाहिए?</v>
      </c>
      <c r="H204" s="5" t="str">
        <f>IFERROR(__xludf.DUMMYFUNCTION("GOOGLETRANSLATE(C204, ""en"", ""hi"")"),"ए) वर्मा, बी) एडवस, सी) चुवाडु, डी) केटी")</f>
        <v>ए) वर्मा, बी) एडवस, सी) चुवाडु, डी) केटी</v>
      </c>
      <c r="I204" s="5" t="str">
        <f>IFERROR(__xludf.DUMMYFUNCTION("GOOGLETRANSLATE(D204, ""en"", ""hi"")"),"ए) वर्मा")</f>
        <v>ए) वर्मा</v>
      </c>
    </row>
    <row r="205" ht="22.5" customHeight="1">
      <c r="A205" s="2">
        <v>204.0</v>
      </c>
      <c r="B205" s="3" t="s">
        <v>14087</v>
      </c>
      <c r="C205" s="3" t="s">
        <v>14088</v>
      </c>
      <c r="D205" s="3" t="s">
        <v>13678</v>
      </c>
      <c r="F205" s="5" t="str">
        <f>IFERROR(__xludf.DUMMYFUNCTION("GOOGLETRANSLATE(A205, ""en"", ""hi"")"),"204")</f>
        <v>204</v>
      </c>
      <c r="G205" s="5" t="str">
        <f>IFERROR(__xludf.DUMMYFUNCTION("GOOGLETRANSLATE(B205, ""en"", ""hi"")"),"कलारीपयट्टू कक्षा के दौरान, आप प्रहारों में गति और सटीकता बढ़ाने की तकनीकों पर ध्यान केंद्रित कर रहे हैं। यह किस अभ्यास से संबंधित है?")</f>
        <v>कलारीपयट्टू कक्षा के दौरान, आप प्रहारों में गति और सटीकता बढ़ाने की तकनीकों पर ध्यान केंद्रित कर रहे हैं। यह किस अभ्यास से संबंधित है?</v>
      </c>
      <c r="H205" s="5" t="str">
        <f>IFERROR(__xludf.DUMMYFUNCTION("GOOGLETRANSLATE(C205, ""en"", ""hi"")"),"ए) वर्मम, बी) उझिचिल, सी) चुवाडु, डी) एडवस")</f>
        <v>ए) वर्मम, बी) उझिचिल, सी) चुवाडु, डी) एडवस</v>
      </c>
      <c r="I205" s="5" t="str">
        <f>IFERROR(__xludf.DUMMYFUNCTION("GOOGLETRANSLATE(D205, ""en"", ""hi"")"),"ए) वर्माम")</f>
        <v>ए) वर्माम</v>
      </c>
    </row>
    <row r="206" ht="22.5" customHeight="1">
      <c r="A206" s="2">
        <v>205.0</v>
      </c>
      <c r="B206" s="3" t="s">
        <v>14089</v>
      </c>
      <c r="C206" s="3" t="s">
        <v>13713</v>
      </c>
      <c r="D206" s="3" t="s">
        <v>13714</v>
      </c>
      <c r="F206" s="5" t="str">
        <f>IFERROR(__xludf.DUMMYFUNCTION("GOOGLETRANSLATE(A206, ""en"", ""hi"")"),"205")</f>
        <v>205</v>
      </c>
      <c r="G206" s="5" t="str">
        <f>IFERROR(__xludf.DUMMYFUNCTION("GOOGLETRANSLATE(B206, ""en"", ""hi"")"),"कलारीपयट्टू में, आप एक ऐसे हथियार से प्रशिक्षण लेते हैं जिसका इस्तेमाल आक्रामक और रक्षात्मक दोनों तकनीकों के लिए किया जाता है। आप संभवतः किस हथियार का इस्तेमाल कर रहे हैं?")</f>
        <v>कलारीपयट्टू में, आप एक ऐसे हथियार से प्रशिक्षण लेते हैं जिसका इस्तेमाल आक्रामक और रक्षात्मक दोनों तकनीकों के लिए किया जाता है। आप संभवतः किस हथियार का इस्तेमाल कर रहे हैं?</v>
      </c>
      <c r="H206" s="5" t="str">
        <f>IFERROR(__xludf.DUMMYFUNCTION("GOOGLETRANSLATE(C206, ""en"", ""hi"")"),"A) तलवार, B) गदा, C) भाला, D) खंजर")</f>
        <v>A) तलवार, B) गदा, C) भाला, D) खंजर</v>
      </c>
      <c r="I206" s="5" t="str">
        <f>IFERROR(__xludf.DUMMYFUNCTION("GOOGLETRANSLATE(D206, ""en"", ""hi"")"),"ए) तलवार")</f>
        <v>ए) तलवार</v>
      </c>
    </row>
    <row r="207" ht="22.5" customHeight="1">
      <c r="A207" s="2">
        <v>206.0</v>
      </c>
      <c r="B207" s="3" t="s">
        <v>14090</v>
      </c>
      <c r="C207" s="3" t="s">
        <v>13965</v>
      </c>
      <c r="D207" s="3" t="s">
        <v>13684</v>
      </c>
      <c r="F207" s="5" t="str">
        <f>IFERROR(__xludf.DUMMYFUNCTION("GOOGLETRANSLATE(A207, ""en"", ""hi"")"),"206")</f>
        <v>206</v>
      </c>
      <c r="G207" s="5" t="str">
        <f>IFERROR(__xludf.DUMMYFUNCTION("GOOGLETRANSLATE(B207, ""en"", ""hi"")"),"आप कलारीपयट्टू में शरीर की कंडीशनिंग और लचीलेपन पर केंद्रित तकनीकें सीख रहे हैं। कौन सा अभ्यास सबसे ज़्यादा प्रासंगिक है?")</f>
        <v>आप कलारीपयट्टू में शरीर की कंडीशनिंग और लचीलेपन पर केंद्रित तकनीकें सीख रहे हैं। कौन सा अभ्यास सबसे ज़्यादा प्रासंगिक है?</v>
      </c>
      <c r="H207" s="5" t="str">
        <f>IFERROR(__xludf.DUMMYFUNCTION("GOOGLETRANSLATE(C207, ""en"", ""hi"")"),"ए) उझिचिल, बी) एडवस, सी) मार्मा, डी) चुवाडु")</f>
        <v>ए) उझिचिल, बी) एडवस, सी) मार्मा, डी) चुवाडु</v>
      </c>
      <c r="I207" s="5" t="str">
        <f>IFERROR(__xludf.DUMMYFUNCTION("GOOGLETRANSLATE(D207, ""en"", ""hi"")"),"A) उझिचिल")</f>
        <v>A) उझिचिल</v>
      </c>
    </row>
    <row r="208" ht="22.5" customHeight="1">
      <c r="A208" s="2">
        <v>207.0</v>
      </c>
      <c r="B208" s="3" t="s">
        <v>14091</v>
      </c>
      <c r="C208" s="3" t="s">
        <v>14092</v>
      </c>
      <c r="D208" s="3" t="s">
        <v>14056</v>
      </c>
      <c r="F208" s="5" t="str">
        <f>IFERROR(__xludf.DUMMYFUNCTION("GOOGLETRANSLATE(A208, ""en"", ""hi"")"),"207")</f>
        <v>207</v>
      </c>
      <c r="G208" s="5" t="str">
        <f>IFERROR(__xludf.DUMMYFUNCTION("GOOGLETRANSLATE(B208, ""en"", ""hi"")"),"कलारीपयट्टू सत्र के दौरान, आपको ऐसी तकनीकें करने को कहा जाता है जिनमें एक लंबे हथियार से तेज़ और सटीक प्रहार करना शामिल होता है। आप किस प्रकार का अभ्यास कर रहे हैं?")</f>
        <v>कलारीपयट्टू सत्र के दौरान, आपको ऐसी तकनीकें करने को कहा जाता है जिनमें एक लंबे हथियार से तेज़ और सटीक प्रहार करना शामिल होता है। आप किस प्रकार का अभ्यास कर रहे हैं?</v>
      </c>
      <c r="H208" s="5" t="str">
        <f>IFERROR(__xludf.DUMMYFUNCTION("GOOGLETRANSLATE(C208, ""en"", ""hi"")"),"ए) केटी, बी) चुवाडु, सी) मार्मा, डी) उझिचिल")</f>
        <v>ए) केटी, बी) चुवाडु, सी) मार्मा, डी) उझिचिल</v>
      </c>
      <c r="I208" s="5" t="str">
        <f>IFERROR(__xludf.DUMMYFUNCTION("GOOGLETRANSLATE(D208, ""en"", ""hi"")"),"ए) केट्टी")</f>
        <v>ए) केट्टी</v>
      </c>
    </row>
    <row r="209" ht="22.5" customHeight="1">
      <c r="A209" s="2">
        <v>208.0</v>
      </c>
      <c r="B209" s="3" t="s">
        <v>14093</v>
      </c>
      <c r="C209" s="3" t="s">
        <v>13981</v>
      </c>
      <c r="D209" s="3" t="s">
        <v>13675</v>
      </c>
      <c r="F209" s="5" t="str">
        <f>IFERROR(__xludf.DUMMYFUNCTION("GOOGLETRANSLATE(A209, ""en"", ""hi"")"),"208")</f>
        <v>208</v>
      </c>
      <c r="G209" s="5" t="str">
        <f>IFERROR(__xludf.DUMMYFUNCTION("GOOGLETRANSLATE(B209, ""en"", ""hi"")"),"कलारीपयट्टू में, हमलों से बचने और प्रभावी ढंग से जवाब देने की अपनी क्षमता में सुधार करने के लिए आपको किस अभ्यास पर ध्यान केंद्रित करना चाहिए?")</f>
        <v>कलारीपयट्टू में, हमलों से बचने और प्रभावी ढंग से जवाब देने की अपनी क्षमता में सुधार करने के लिए आपको किस अभ्यास पर ध्यान केंद्रित करना चाहिए?</v>
      </c>
      <c r="H209" s="5" t="str">
        <f>IFERROR(__xludf.DUMMYFUNCTION("GOOGLETRANSLATE(C209, ""en"", ""hi"")"),"ए) चुवडु, बी) वर्मा, सी) मार्मा, डी) एडवस")</f>
        <v>ए) चुवडु, बी) वर्मा, सी) मार्मा, डी) एडवस</v>
      </c>
      <c r="I209" s="5" t="str">
        <f>IFERROR(__xludf.DUMMYFUNCTION("GOOGLETRANSLATE(D209, ""en"", ""hi"")"),"A) चुवाडु")</f>
        <v>A) चुवाडु</v>
      </c>
    </row>
    <row r="210" ht="22.5" customHeight="1">
      <c r="A210" s="2">
        <v>209.0</v>
      </c>
      <c r="B210" s="3" t="s">
        <v>14094</v>
      </c>
      <c r="C210" s="3" t="s">
        <v>13713</v>
      </c>
      <c r="D210" s="3" t="s">
        <v>13772</v>
      </c>
      <c r="F210" s="5" t="str">
        <f>IFERROR(__xludf.DUMMYFUNCTION("GOOGLETRANSLATE(A210, ""en"", ""hi"")"),"209")</f>
        <v>209</v>
      </c>
      <c r="G210" s="5" t="str">
        <f>IFERROR(__xludf.DUMMYFUNCTION("GOOGLETRANSLATE(B210, ""en"", ""hi"")"),"एक अभ्यासकर्ता शक्तिशाली, कुंद बल वाले हमलों के लिए एक हथियार का उपयोग करने का प्रशिक्षण ले रहा है। वे कौन सा हथियार इस्तेमाल कर रहे हैं?")</f>
        <v>एक अभ्यासकर्ता शक्तिशाली, कुंद बल वाले हमलों के लिए एक हथियार का उपयोग करने का प्रशिक्षण ले रहा है। वे कौन सा हथियार इस्तेमाल कर रहे हैं?</v>
      </c>
      <c r="H210" s="5" t="str">
        <f>IFERROR(__xludf.DUMMYFUNCTION("GOOGLETRANSLATE(C210, ""en"", ""hi"")"),"A) तलवार, B) गदा, C) भाला, D) खंजर")</f>
        <v>A) तलवार, B) गदा, C) भाला, D) खंजर</v>
      </c>
      <c r="I210" s="5" t="str">
        <f>IFERROR(__xludf.DUMMYFUNCTION("GOOGLETRANSLATE(D210, ""en"", ""hi"")"),"बी) गदा")</f>
        <v>बी) गदा</v>
      </c>
    </row>
    <row r="211" ht="22.5" customHeight="1">
      <c r="A211" s="2">
        <v>210.0</v>
      </c>
      <c r="B211" s="3" t="s">
        <v>14095</v>
      </c>
      <c r="C211" s="3" t="s">
        <v>14013</v>
      </c>
      <c r="D211" s="3" t="s">
        <v>13932</v>
      </c>
      <c r="F211" s="5" t="str">
        <f>IFERROR(__xludf.DUMMYFUNCTION("GOOGLETRANSLATE(A211, ""en"", ""hi"")"),"210")</f>
        <v>210</v>
      </c>
      <c r="G211" s="5" t="str">
        <f>IFERROR(__xludf.DUMMYFUNCTION("GOOGLETRANSLATE(B211, ""en"", ""hi"")"),"कलारीपयट्टू में, आपको उन तकनीकों को बेहतर बनाने पर काम करना होगा जिनमें महत्वपूर्ण बिंदुओं पर सटीक प्रहार शामिल हैं। कौन सा अभ्यास सबसे ज़्यादा प्रासंगिक है?")</f>
        <v>कलारीपयट्टू में, आपको उन तकनीकों को बेहतर बनाने पर काम करना होगा जिनमें महत्वपूर्ण बिंदुओं पर सटीक प्रहार शामिल हैं। कौन सा अभ्यास सबसे ज़्यादा प्रासंगिक है?</v>
      </c>
      <c r="H211" s="5" t="str">
        <f>IFERROR(__xludf.DUMMYFUNCTION("GOOGLETRANSLATE(C211, ""en"", ""hi"")"),"ए) मार्मा, बी) वर्मम, सी) एडवस, डी) उझिचिल")</f>
        <v>ए) मार्मा, बी) वर्मम, सी) एडवस, डी) उझिचिल</v>
      </c>
      <c r="I211" s="5" t="str">
        <f>IFERROR(__xludf.DUMMYFUNCTION("GOOGLETRANSLATE(D211, ""en"", ""hi"")"),"A) मर्म")</f>
        <v>A) मर्म</v>
      </c>
    </row>
    <row r="212" ht="22.5" customHeight="1">
      <c r="A212" s="2">
        <v>211.0</v>
      </c>
      <c r="B212" s="3" t="s">
        <v>14096</v>
      </c>
      <c r="C212" s="3" t="s">
        <v>14016</v>
      </c>
      <c r="D212" s="3" t="s">
        <v>13684</v>
      </c>
      <c r="F212" s="5" t="str">
        <f>IFERROR(__xludf.DUMMYFUNCTION("GOOGLETRANSLATE(A212, ""en"", ""hi"")"),"211")</f>
        <v>211</v>
      </c>
      <c r="G212" s="5" t="str">
        <f>IFERROR(__xludf.DUMMYFUNCTION("GOOGLETRANSLATE(B212, ""en"", ""hi"")"),"कलारीपयट्टू कक्षा के दौरान, आप शरीर की कंडीशनिंग और समग्र शारीरिक सहनशक्ति में सुधार पर ध्यान केंद्रित करते हैं। आपको किस अभ्यास को प्राथमिकता देनी चाहिए?")</f>
        <v>कलारीपयट्टू कक्षा के दौरान, आप शरीर की कंडीशनिंग और समग्र शारीरिक सहनशक्ति में सुधार पर ध्यान केंद्रित करते हैं। आपको किस अभ्यास को प्राथमिकता देनी चाहिए?</v>
      </c>
      <c r="H212" s="5" t="str">
        <f>IFERROR(__xludf.DUMMYFUNCTION("GOOGLETRANSLATE(C212, ""en"", ""hi"")"),"ए) उझिचिल, बी) एडवस, सी) वर्मा, डी) चुवाडु")</f>
        <v>ए) उझिचिल, बी) एडवस, सी) वर्मा, डी) चुवाडु</v>
      </c>
      <c r="I212" s="5" t="str">
        <f>IFERROR(__xludf.DUMMYFUNCTION("GOOGLETRANSLATE(D212, ""en"", ""hi"")"),"A) उझिचिल")</f>
        <v>A) उझिचिल</v>
      </c>
    </row>
    <row r="213" ht="22.5" customHeight="1">
      <c r="A213" s="2">
        <v>212.0</v>
      </c>
      <c r="B213" s="3" t="s">
        <v>14097</v>
      </c>
      <c r="C213" s="3" t="s">
        <v>13978</v>
      </c>
      <c r="D213" s="3" t="s">
        <v>13678</v>
      </c>
      <c r="F213" s="5" t="str">
        <f>IFERROR(__xludf.DUMMYFUNCTION("GOOGLETRANSLATE(A213, ""en"", ""hi"")"),"212")</f>
        <v>212</v>
      </c>
      <c r="G213" s="5" t="str">
        <f>IFERROR(__xludf.DUMMYFUNCTION("GOOGLETRANSLATE(B213, ""en"", ""hi"")"),"आप कलारीपयट्टू का अभ्यास त्वरित और प्रभावी प्रहारों पर केंद्रित रखते हुए कर रहे हैं। कौन सा अभ्यास सबसे अधिक प्रासंगिक है?")</f>
        <v>आप कलारीपयट्टू का अभ्यास त्वरित और प्रभावी प्रहारों पर केंद्रित रखते हुए कर रहे हैं। कौन सा अभ्यास सबसे अधिक प्रासंगिक है?</v>
      </c>
      <c r="H213" s="5" t="str">
        <f>IFERROR(__xludf.DUMMYFUNCTION("GOOGLETRANSLATE(C213, ""en"", ""hi"")"),"ए) वर्मम, बी) एडवस, सी) चुवाडु, डी) उझिचिल")</f>
        <v>ए) वर्मम, बी) एडवस, सी) चुवाडु, डी) उझिचिल</v>
      </c>
      <c r="I213" s="5" t="str">
        <f>IFERROR(__xludf.DUMMYFUNCTION("GOOGLETRANSLATE(D213, ""en"", ""hi"")"),"ए) वर्माम")</f>
        <v>ए) वर्माम</v>
      </c>
    </row>
    <row r="214" ht="22.5" customHeight="1">
      <c r="A214" s="2">
        <v>213.0</v>
      </c>
      <c r="B214" s="3" t="s">
        <v>14098</v>
      </c>
      <c r="C214" s="3" t="s">
        <v>13713</v>
      </c>
      <c r="D214" s="3" t="s">
        <v>13714</v>
      </c>
      <c r="F214" s="5" t="str">
        <f>IFERROR(__xludf.DUMMYFUNCTION("GOOGLETRANSLATE(A214, ""en"", ""hi"")"),"213")</f>
        <v>213</v>
      </c>
      <c r="G214" s="5" t="str">
        <f>IFERROR(__xludf.DUMMYFUNCTION("GOOGLETRANSLATE(B214, ""en"", ""hi"")"),"कलारीपयट्टू सत्र में, आप एक साधक को एक ऐसे हथियार का इस्तेमाल करते हुए देखते हैं जो काटने और धकेलने, दोनों के लिए प्रभावी है। वे संभवतः किस हथियार का इस्तेमाल कर रहे हैं?")</f>
        <v>कलारीपयट्टू सत्र में, आप एक साधक को एक ऐसे हथियार का इस्तेमाल करते हुए देखते हैं जो काटने और धकेलने, दोनों के लिए प्रभावी है। वे संभवतः किस हथियार का इस्तेमाल कर रहे हैं?</v>
      </c>
      <c r="H214" s="5" t="str">
        <f>IFERROR(__xludf.DUMMYFUNCTION("GOOGLETRANSLATE(C214, ""en"", ""hi"")"),"A) तलवार, B) गदा, C) भाला, D) खंजर")</f>
        <v>A) तलवार, B) गदा, C) भाला, D) खंजर</v>
      </c>
      <c r="I214" s="5" t="str">
        <f>IFERROR(__xludf.DUMMYFUNCTION("GOOGLETRANSLATE(D214, ""en"", ""hi"")"),"ए) तलवार")</f>
        <v>ए) तलवार</v>
      </c>
    </row>
    <row r="215" ht="22.5" customHeight="1">
      <c r="A215" s="2">
        <v>214.0</v>
      </c>
      <c r="B215" s="3" t="s">
        <v>14099</v>
      </c>
      <c r="C215" s="3" t="s">
        <v>13959</v>
      </c>
      <c r="D215" s="3" t="s">
        <v>13960</v>
      </c>
      <c r="F215" s="5" t="str">
        <f>IFERROR(__xludf.DUMMYFUNCTION("GOOGLETRANSLATE(A215, ""en"", ""hi"")"),"214")</f>
        <v>214</v>
      </c>
      <c r="G215" s="5" t="str">
        <f>IFERROR(__xludf.DUMMYFUNCTION("GOOGLETRANSLATE(B215, ""en"", ""hi"")"),"कलारीपयट्टू अभ्यास के दौरान, आप उन तकनीकों पर ध्यान केंद्रित करते हैं जिनमें गोलाकार और प्रवाहमय गतियाँ शामिल होती हैं। यह किस अभ्यास से संबंधित है?")</f>
        <v>कलारीपयट्टू अभ्यास के दौरान, आप उन तकनीकों पर ध्यान केंद्रित करते हैं जिनमें गोलाकार और प्रवाहमय गतियाँ शामिल होती हैं। यह किस अभ्यास से संबंधित है?</v>
      </c>
      <c r="H215" s="5" t="str">
        <f>IFERROR(__xludf.DUMMYFUNCTION("GOOGLETRANSLATE(C215, ""en"", ""hi"")"),"ए) वर्मा, बी) चुवाडु, सी) एडवस, डी) केटी")</f>
        <v>ए) वर्मा, बी) चुवाडु, सी) एडवस, डी) केटी</v>
      </c>
      <c r="I215" s="5" t="str">
        <f>IFERROR(__xludf.DUMMYFUNCTION("GOOGLETRANSLATE(D215, ""en"", ""hi"")"),"ए) वर्मा")</f>
        <v>ए) वर्मा</v>
      </c>
    </row>
    <row r="216" ht="22.5" customHeight="1">
      <c r="A216" s="2">
        <v>215.0</v>
      </c>
      <c r="B216" s="3" t="s">
        <v>14100</v>
      </c>
      <c r="C216" s="3" t="s">
        <v>13981</v>
      </c>
      <c r="D216" s="3" t="s">
        <v>13675</v>
      </c>
      <c r="F216" s="5" t="str">
        <f>IFERROR(__xludf.DUMMYFUNCTION("GOOGLETRANSLATE(A216, ""en"", ""hi"")"),"215")</f>
        <v>215</v>
      </c>
      <c r="G216" s="5" t="str">
        <f>IFERROR(__xludf.DUMMYFUNCTION("GOOGLETRANSLATE(B216, ""en"", ""hi"")"),"आप पैरों की गति और फुर्ती बढ़ाने के लिए कलारीपयट्टू तकनीक सीख रहे हैं। आपको किस अभ्यास पर ध्यान केंद्रित करना चाहिए?")</f>
        <v>आप पैरों की गति और फुर्ती बढ़ाने के लिए कलारीपयट्टू तकनीक सीख रहे हैं। आपको किस अभ्यास पर ध्यान केंद्रित करना चाहिए?</v>
      </c>
      <c r="H216" s="5" t="str">
        <f>IFERROR(__xludf.DUMMYFUNCTION("GOOGLETRANSLATE(C216, ""en"", ""hi"")"),"ए) चुवडु, बी) वर्मा, सी) मार्मा, डी) एडवस")</f>
        <v>ए) चुवडु, बी) वर्मा, सी) मार्मा, डी) एडवस</v>
      </c>
      <c r="I216" s="5" t="str">
        <f>IFERROR(__xludf.DUMMYFUNCTION("GOOGLETRANSLATE(D216, ""en"", ""hi"")"),"A) चुवाडु")</f>
        <v>A) चुवाडु</v>
      </c>
    </row>
    <row r="217" ht="22.5" customHeight="1">
      <c r="A217" s="2">
        <v>216.0</v>
      </c>
      <c r="B217" s="3" t="s">
        <v>14101</v>
      </c>
      <c r="C217" s="3" t="s">
        <v>14102</v>
      </c>
      <c r="D217" s="3" t="s">
        <v>13993</v>
      </c>
      <c r="F217" s="5" t="str">
        <f>IFERROR(__xludf.DUMMYFUNCTION("GOOGLETRANSLATE(A217, ""en"", ""hi"")"),"216")</f>
        <v>216</v>
      </c>
      <c r="G217" s="5" t="str">
        <f>IFERROR(__xludf.DUMMYFUNCTION("GOOGLETRANSLATE(B217, ""en"", ""hi"")"),"कलारीपयट्टू में, महत्वपूर्ण बिंदुओं पर प्रहार करने में सटीकता में सुधार करने के लिए आपको किस अभ्यास पर ध्यान केंद्रित करना चाहिए?")</f>
        <v>कलारीपयट्टू में, महत्वपूर्ण बिंदुओं पर प्रहार करने में सटीकता में सुधार करने के लिए आपको किस अभ्यास पर ध्यान केंद्रित करना चाहिए?</v>
      </c>
      <c r="H217" s="5" t="str">
        <f>IFERROR(__xludf.DUMMYFUNCTION("GOOGLETRANSLATE(C217, ""en"", ""hi"")"),"ए) वर्मम, बी) मार्मा, सी) एडवस, डी) उझिचिल")</f>
        <v>ए) वर्मम, बी) मार्मा, सी) एडवस, डी) उझिचिल</v>
      </c>
      <c r="I217" s="5" t="str">
        <f>IFERROR(__xludf.DUMMYFUNCTION("GOOGLETRANSLATE(D217, ""en"", ""hi"")"),"बी) मर्म")</f>
        <v>बी) मर्म</v>
      </c>
    </row>
    <row r="218" ht="22.5" customHeight="1">
      <c r="A218" s="2">
        <v>217.0</v>
      </c>
      <c r="B218" s="3" t="s">
        <v>14103</v>
      </c>
      <c r="C218" s="3" t="s">
        <v>13713</v>
      </c>
      <c r="D218" s="3" t="s">
        <v>13772</v>
      </c>
      <c r="F218" s="5" t="str">
        <f>IFERROR(__xludf.DUMMYFUNCTION("GOOGLETRANSLATE(A218, ""en"", ""hi"")"),"217")</f>
        <v>217</v>
      </c>
      <c r="G218" s="5" t="str">
        <f>IFERROR(__xludf.DUMMYFUNCTION("GOOGLETRANSLATE(B218, ""en"", ""hi"")"),"कलारीपयट्टू प्रशिक्षण के दौरान, आपको एक ऐसे हथियार का इस्तेमाल करने को कहा जाता है जो शक्तिशाली और कुंद प्रहार पर ज़ोर देता हो। आप कौन सा हथियार इस्तेमाल कर रहे हैं?")</f>
        <v>कलारीपयट्टू प्रशिक्षण के दौरान, आपको एक ऐसे हथियार का इस्तेमाल करने को कहा जाता है जो शक्तिशाली और कुंद प्रहार पर ज़ोर देता हो। आप कौन सा हथियार इस्तेमाल कर रहे हैं?</v>
      </c>
      <c r="H218" s="5" t="str">
        <f>IFERROR(__xludf.DUMMYFUNCTION("GOOGLETRANSLATE(C218, ""en"", ""hi"")"),"A) तलवार, B) गदा, C) भाला, D) खंजर")</f>
        <v>A) तलवार, B) गदा, C) भाला, D) खंजर</v>
      </c>
      <c r="I218" s="5" t="str">
        <f>IFERROR(__xludf.DUMMYFUNCTION("GOOGLETRANSLATE(D218, ""en"", ""hi"")"),"बी) गदा")</f>
        <v>बी) गदा</v>
      </c>
    </row>
    <row r="219" ht="22.5" customHeight="1">
      <c r="A219" s="2">
        <v>218.0</v>
      </c>
      <c r="B219" s="3" t="s">
        <v>14104</v>
      </c>
      <c r="C219" s="3" t="s">
        <v>14074</v>
      </c>
      <c r="D219" s="3" t="s">
        <v>13684</v>
      </c>
      <c r="F219" s="5" t="str">
        <f>IFERROR(__xludf.DUMMYFUNCTION("GOOGLETRANSLATE(A219, ""en"", ""hi"")"),"218")</f>
        <v>218</v>
      </c>
      <c r="G219" s="5" t="str">
        <f>IFERROR(__xludf.DUMMYFUNCTION("GOOGLETRANSLATE(B219, ""en"", ""hi"")"),"कलारीपयट्टू में, आप शरीर के लचीलेपन और कंडीशनिंग को बढ़ाने वाली तकनीकों का अभ्यास करते हैं। कौन सी प्रथा सबसे अधिक प्रासंगिक है?")</f>
        <v>कलारीपयट्टू में, आप शरीर के लचीलेपन और कंडीशनिंग को बढ़ाने वाली तकनीकों का अभ्यास करते हैं। कौन सी प्रथा सबसे अधिक प्रासंगिक है?</v>
      </c>
      <c r="H219" s="5" t="str">
        <f>IFERROR(__xludf.DUMMYFUNCTION("GOOGLETRANSLATE(C219, ""en"", ""hi"")"),"ए) उझिचिल, बी) एडवस, सी) मार्मा, डी) वर्मा")</f>
        <v>ए) उझिचिल, बी) एडवस, सी) मार्मा, डी) वर्मा</v>
      </c>
      <c r="I219" s="5" t="str">
        <f>IFERROR(__xludf.DUMMYFUNCTION("GOOGLETRANSLATE(D219, ""en"", ""hi"")"),"A) उझिचिल")</f>
        <v>A) उझिचिल</v>
      </c>
    </row>
    <row r="220" ht="22.5" customHeight="1">
      <c r="A220" s="2">
        <v>219.0</v>
      </c>
      <c r="B220" s="3" t="s">
        <v>14105</v>
      </c>
      <c r="C220" s="3" t="s">
        <v>13713</v>
      </c>
      <c r="D220" s="3" t="s">
        <v>13714</v>
      </c>
      <c r="F220" s="5" t="str">
        <f>IFERROR(__xludf.DUMMYFUNCTION("GOOGLETRANSLATE(A220, ""en"", ""hi"")"),"219")</f>
        <v>219</v>
      </c>
      <c r="G220" s="5" t="str">
        <f>IFERROR(__xludf.DUMMYFUNCTION("GOOGLETRANSLATE(B220, ""en"", ""hi"")"),"कलारीपयट्टू सत्र के दौरान, आप उन तकनीकों पर ध्यान केंद्रित करते हैं जिनमें हथियार का आक्रामक और रक्षात्मक दोनों तरह से इस्तेमाल होता है। आप संभवतः किस हथियार का इस्तेमाल कर रहे हैं?")</f>
        <v>कलारीपयट्टू सत्र के दौरान, आप उन तकनीकों पर ध्यान केंद्रित करते हैं जिनमें हथियार का आक्रामक और रक्षात्मक दोनों तरह से इस्तेमाल होता है। आप संभवतः किस हथियार का इस्तेमाल कर रहे हैं?</v>
      </c>
      <c r="H220" s="5" t="str">
        <f>IFERROR(__xludf.DUMMYFUNCTION("GOOGLETRANSLATE(C220, ""en"", ""hi"")"),"A) तलवार, B) गदा, C) भाला, D) खंजर")</f>
        <v>A) तलवार, B) गदा, C) भाला, D) खंजर</v>
      </c>
      <c r="I220" s="5" t="str">
        <f>IFERROR(__xludf.DUMMYFUNCTION("GOOGLETRANSLATE(D220, ""en"", ""hi"")"),"ए) तलवार")</f>
        <v>ए) तलवार</v>
      </c>
    </row>
    <row r="221" ht="22.5" customHeight="1">
      <c r="A221" s="2">
        <v>220.0</v>
      </c>
      <c r="B221" s="3" t="s">
        <v>14106</v>
      </c>
      <c r="C221" s="3" t="s">
        <v>14092</v>
      </c>
      <c r="D221" s="3" t="s">
        <v>14056</v>
      </c>
      <c r="F221" s="5" t="str">
        <f>IFERROR(__xludf.DUMMYFUNCTION("GOOGLETRANSLATE(A221, ""en"", ""hi"")"),"220")</f>
        <v>220</v>
      </c>
      <c r="G221" s="5" t="str">
        <f>IFERROR(__xludf.DUMMYFUNCTION("GOOGLETRANSLATE(B221, ""en"", ""hi"")"),"कलारीपयट्टू में, कौन सी प्रथा एक लंबे हथियार के साथ तेजी से और सटीक हमलों को अंजाम देने पर केंद्रित है?")</f>
        <v>कलारीपयट्टू में, कौन सी प्रथा एक लंबे हथियार के साथ तेजी से और सटीक हमलों को अंजाम देने पर केंद्रित है?</v>
      </c>
      <c r="H221" s="5" t="str">
        <f>IFERROR(__xludf.DUMMYFUNCTION("GOOGLETRANSLATE(C221, ""en"", ""hi"")"),"ए) केटी, बी) चुवाडु, सी) मार्मा, डी) उझिचिल")</f>
        <v>ए) केटी, बी) चुवाडु, सी) मार्मा, डी) उझिचिल</v>
      </c>
      <c r="I221" s="5" t="str">
        <f>IFERROR(__xludf.DUMMYFUNCTION("GOOGLETRANSLATE(D221, ""en"", ""hi"")"),"ए) केट्टी")</f>
        <v>ए) केट्टी</v>
      </c>
    </row>
    <row r="222" ht="22.5" customHeight="1">
      <c r="A222" s="2">
        <v>221.0</v>
      </c>
      <c r="B222" s="3" t="s">
        <v>14107</v>
      </c>
      <c r="C222" s="3" t="s">
        <v>14108</v>
      </c>
      <c r="D222" s="3" t="s">
        <v>13960</v>
      </c>
      <c r="F222" s="5" t="str">
        <f>IFERROR(__xludf.DUMMYFUNCTION("GOOGLETRANSLATE(A222, ""en"", ""hi"")"),"221")</f>
        <v>221</v>
      </c>
      <c r="G222" s="5" t="str">
        <f>IFERROR(__xludf.DUMMYFUNCTION("GOOGLETRANSLATE(B222, ""en"", ""hi"")"),"आप अपनी गोलाकार गतियाँ करने की क्षमता सुधारने के लिए कलारीपयट्टू का प्रशिक्षण ले रहे हैं। आपको किस अभ्यास पर ध्यान केंद्रित करना चाहिए?")</f>
        <v>आप अपनी गोलाकार गतियाँ करने की क्षमता सुधारने के लिए कलारीपयट्टू का प्रशिक्षण ले रहे हैं। आपको किस अभ्यास पर ध्यान केंद्रित करना चाहिए?</v>
      </c>
      <c r="H222" s="5" t="str">
        <f>IFERROR(__xludf.DUMMYFUNCTION("GOOGLETRANSLATE(C222, ""en"", ""hi"")"),"ए) वर्मा, बी) एडवस, सी) चुवाडु, डी) उझिचिल")</f>
        <v>ए) वर्मा, बी) एडवस, सी) चुवाडु, डी) उझिचिल</v>
      </c>
      <c r="I222" s="5" t="str">
        <f>IFERROR(__xludf.DUMMYFUNCTION("GOOGLETRANSLATE(D222, ""en"", ""hi"")"),"ए) वर्मा")</f>
        <v>ए) वर्मा</v>
      </c>
    </row>
    <row r="223" ht="22.5" customHeight="1">
      <c r="A223" s="2">
        <v>222.0</v>
      </c>
      <c r="B223" s="3" t="s">
        <v>14109</v>
      </c>
      <c r="C223" s="3" t="s">
        <v>14088</v>
      </c>
      <c r="D223" s="3" t="s">
        <v>13678</v>
      </c>
      <c r="F223" s="5" t="str">
        <f>IFERROR(__xludf.DUMMYFUNCTION("GOOGLETRANSLATE(A223, ""en"", ""hi"")"),"222")</f>
        <v>222</v>
      </c>
      <c r="G223" s="5" t="str">
        <f>IFERROR(__xludf.DUMMYFUNCTION("GOOGLETRANSLATE(B223, ""en"", ""hi"")"),"कलारीपयट्टू कक्षा के दौरान, आप गति और सटीकता बढ़ाने वाली तकनीकों पर ध्यान केंद्रित करते हैं। यह किस अभ्यास से संबंधित है?")</f>
        <v>कलारीपयट्टू कक्षा के दौरान, आप गति और सटीकता बढ़ाने वाली तकनीकों पर ध्यान केंद्रित करते हैं। यह किस अभ्यास से संबंधित है?</v>
      </c>
      <c r="H223" s="5" t="str">
        <f>IFERROR(__xludf.DUMMYFUNCTION("GOOGLETRANSLATE(C223, ""en"", ""hi"")"),"ए) वर्मम, बी) उझिचिल, सी) चुवाडु, डी) एडवस")</f>
        <v>ए) वर्मम, बी) उझिचिल, सी) चुवाडु, डी) एडवस</v>
      </c>
      <c r="I223" s="5" t="str">
        <f>IFERROR(__xludf.DUMMYFUNCTION("GOOGLETRANSLATE(D223, ""en"", ""hi"")"),"ए) वर्माम")</f>
        <v>ए) वर्माम</v>
      </c>
    </row>
    <row r="224" ht="22.5" customHeight="1">
      <c r="A224" s="2">
        <v>223.0</v>
      </c>
      <c r="B224" s="3" t="s">
        <v>14110</v>
      </c>
      <c r="C224" s="3" t="s">
        <v>13981</v>
      </c>
      <c r="D224" s="3" t="s">
        <v>13675</v>
      </c>
      <c r="F224" s="5" t="str">
        <f>IFERROR(__xludf.DUMMYFUNCTION("GOOGLETRANSLATE(A224, ""en"", ""hi"")"),"223")</f>
        <v>223</v>
      </c>
      <c r="G224" s="5" t="str">
        <f>IFERROR(__xludf.DUMMYFUNCTION("GOOGLETRANSLATE(B224, ""en"", ""hi"")"),"कलारीपयट्टू में, हमलों से प्रभावी ढंग से बचने और उनका मुकाबला करने के लिए आपको किस तकनीक का अभ्यास करना चाहिए?")</f>
        <v>कलारीपयट्टू में, हमलों से प्रभावी ढंग से बचने और उनका मुकाबला करने के लिए आपको किस तकनीक का अभ्यास करना चाहिए?</v>
      </c>
      <c r="H224" s="5" t="str">
        <f>IFERROR(__xludf.DUMMYFUNCTION("GOOGLETRANSLATE(C224, ""en"", ""hi"")"),"ए) चुवडु, बी) वर्मा, सी) मार्मा, डी) एडवस")</f>
        <v>ए) चुवडु, बी) वर्मा, सी) मार्मा, डी) एडवस</v>
      </c>
      <c r="I224" s="5" t="str">
        <f>IFERROR(__xludf.DUMMYFUNCTION("GOOGLETRANSLATE(D224, ""en"", ""hi"")"),"A) चुवाडु")</f>
        <v>A) चुवाडु</v>
      </c>
    </row>
    <row r="225" ht="22.5" customHeight="1">
      <c r="A225" s="2">
        <v>224.0</v>
      </c>
      <c r="B225" s="3" t="s">
        <v>14111</v>
      </c>
      <c r="C225" s="3" t="s">
        <v>14083</v>
      </c>
      <c r="D225" s="3" t="s">
        <v>13932</v>
      </c>
      <c r="F225" s="5" t="str">
        <f>IFERROR(__xludf.DUMMYFUNCTION("GOOGLETRANSLATE(A225, ""en"", ""hi"")"),"224")</f>
        <v>224</v>
      </c>
      <c r="G225" s="5" t="str">
        <f>IFERROR(__xludf.DUMMYFUNCTION("GOOGLETRANSLATE(B225, ""en"", ""hi"")"),"एक कलारीपयट्टू अभ्यासी विशिष्ट दबाव बिंदुओं पर सटीकता से प्रहार करना सीख रहा है। वे किस तकनीक का उपयोग कर रहे हैं?")</f>
        <v>एक कलारीपयट्टू अभ्यासी विशिष्ट दबाव बिंदुओं पर सटीकता से प्रहार करना सीख रहा है। वे किस तकनीक का उपयोग कर रहे हैं?</v>
      </c>
      <c r="H225" s="5" t="str">
        <f>IFERROR(__xludf.DUMMYFUNCTION("GOOGLETRANSLATE(C225, ""en"", ""hi"")"),"ए) मार्मा, बी) वर्मम, सी) एडवस, डी) केटी")</f>
        <v>ए) मार्मा, बी) वर्मम, सी) एडवस, डी) केटी</v>
      </c>
      <c r="I225" s="5" t="str">
        <f>IFERROR(__xludf.DUMMYFUNCTION("GOOGLETRANSLATE(D225, ""en"", ""hi"")"),"A) मर्म")</f>
        <v>A) मर्म</v>
      </c>
    </row>
    <row r="226" ht="22.5" customHeight="1">
      <c r="A226" s="2">
        <v>225.0</v>
      </c>
      <c r="B226" s="3" t="s">
        <v>14112</v>
      </c>
      <c r="C226" s="3" t="s">
        <v>14016</v>
      </c>
      <c r="D226" s="3" t="s">
        <v>13684</v>
      </c>
      <c r="F226" s="5" t="str">
        <f>IFERROR(__xludf.DUMMYFUNCTION("GOOGLETRANSLATE(A226, ""en"", ""hi"")"),"225")</f>
        <v>225</v>
      </c>
      <c r="G226" s="5" t="str">
        <f>IFERROR(__xludf.DUMMYFUNCTION("GOOGLETRANSLATE(B226, ""en"", ""hi"")"),"कलारीपयट्टू में, आप शरीर की कंडीशनिंग और सहनशक्ति को बेहतर बनाने पर ध्यान केंद्रित करते हैं। आपको किस अभ्यास को प्राथमिकता देनी चाहिए?")</f>
        <v>कलारीपयट्टू में, आप शरीर की कंडीशनिंग और सहनशक्ति को बेहतर बनाने पर ध्यान केंद्रित करते हैं। आपको किस अभ्यास को प्राथमिकता देनी चाहिए?</v>
      </c>
      <c r="H226" s="5" t="str">
        <f>IFERROR(__xludf.DUMMYFUNCTION("GOOGLETRANSLATE(C226, ""en"", ""hi"")"),"ए) उझिचिल, बी) एडवस, सी) वर्मा, डी) चुवाडु")</f>
        <v>ए) उझिचिल, बी) एडवस, सी) वर्मा, डी) चुवाडु</v>
      </c>
      <c r="I226" s="5" t="str">
        <f>IFERROR(__xludf.DUMMYFUNCTION("GOOGLETRANSLATE(D226, ""en"", ""hi"")"),"A) उझिचिल")</f>
        <v>A) उझिचिल</v>
      </c>
    </row>
    <row r="227" ht="22.5" customHeight="1">
      <c r="A227" s="2">
        <v>226.0</v>
      </c>
      <c r="B227" s="3" t="s">
        <v>14113</v>
      </c>
      <c r="C227" s="3" t="s">
        <v>13713</v>
      </c>
      <c r="D227" s="3" t="s">
        <v>13714</v>
      </c>
      <c r="F227" s="5" t="str">
        <f>IFERROR(__xludf.DUMMYFUNCTION("GOOGLETRANSLATE(A227, ""en"", ""hi"")"),"226")</f>
        <v>226</v>
      </c>
      <c r="G227" s="5" t="str">
        <f>IFERROR(__xludf.DUMMYFUNCTION("GOOGLETRANSLATE(B227, ""en"", ""hi"")"),"आप ऐसी तकनीकें सीख रहे हैं जिनमें हथियार से काटना और मारना दोनों शामिल हैं। कलारीपयट्टू में आप किस हथियार का इस्तेमाल करते हैं?")</f>
        <v>आप ऐसी तकनीकें सीख रहे हैं जिनमें हथियार से काटना और मारना दोनों शामिल हैं। कलारीपयट्टू में आप किस हथियार का इस्तेमाल करते हैं?</v>
      </c>
      <c r="H227" s="5" t="str">
        <f>IFERROR(__xludf.DUMMYFUNCTION("GOOGLETRANSLATE(C227, ""en"", ""hi"")"),"A) तलवार, B) गदा, C) भाला, D) खंजर")</f>
        <v>A) तलवार, B) गदा, C) भाला, D) खंजर</v>
      </c>
      <c r="I227" s="5" t="str">
        <f>IFERROR(__xludf.DUMMYFUNCTION("GOOGLETRANSLATE(D227, ""en"", ""hi"")"),"ए) तलवार")</f>
        <v>ए) तलवार</v>
      </c>
    </row>
    <row r="228" ht="22.5" customHeight="1">
      <c r="A228" s="2">
        <v>227.0</v>
      </c>
      <c r="B228" s="3" t="s">
        <v>14114</v>
      </c>
      <c r="C228" s="3" t="s">
        <v>13997</v>
      </c>
      <c r="D228" s="3" t="s">
        <v>13960</v>
      </c>
      <c r="F228" s="5" t="str">
        <f>IFERROR(__xludf.DUMMYFUNCTION("GOOGLETRANSLATE(A228, ""en"", ""hi"")"),"227")</f>
        <v>227</v>
      </c>
      <c r="G228" s="5" t="str">
        <f>IFERROR(__xludf.DUMMYFUNCTION("GOOGLETRANSLATE(B228, ""en"", ""hi"")"),"कलारीपयट्टू कक्षा के दौरान, आप गोलाकार और प्रवाहमय गतियों वाली तकनीकों में महारत हासिल करने पर ध्यान केंद्रित करते हैं। आप किस शैली का अभ्यास कर रहे हैं?")</f>
        <v>कलारीपयट्टू कक्षा के दौरान, आप गोलाकार और प्रवाहमय गतियों वाली तकनीकों में महारत हासिल करने पर ध्यान केंद्रित करते हैं। आप किस शैली का अभ्यास कर रहे हैं?</v>
      </c>
      <c r="H228" s="5" t="str">
        <f>IFERROR(__xludf.DUMMYFUNCTION("GOOGLETRANSLATE(C228, ""en"", ""hi"")"),"ए) वर्मा, बी) एडवस, सी) चुवाडु, डी) केटी")</f>
        <v>ए) वर्मा, बी) एडवस, सी) चुवाडु, डी) केटी</v>
      </c>
      <c r="I228" s="5" t="str">
        <f>IFERROR(__xludf.DUMMYFUNCTION("GOOGLETRANSLATE(D228, ""en"", ""hi"")"),"ए) वर्मा")</f>
        <v>ए) वर्मा</v>
      </c>
    </row>
    <row r="229" ht="22.5" customHeight="1">
      <c r="A229" s="2">
        <v>228.0</v>
      </c>
      <c r="B229" s="3" t="s">
        <v>14115</v>
      </c>
      <c r="C229" s="3" t="s">
        <v>13999</v>
      </c>
      <c r="D229" s="3" t="s">
        <v>13678</v>
      </c>
      <c r="F229" s="5" t="str">
        <f>IFERROR(__xludf.DUMMYFUNCTION("GOOGLETRANSLATE(A229, ""en"", ""hi"")"),"228")</f>
        <v>228</v>
      </c>
      <c r="G229" s="5" t="str">
        <f>IFERROR(__xludf.DUMMYFUNCTION("GOOGLETRANSLATE(B229, ""en"", ""hi"")"),"कलारीपयट्टू में, कौन सा अभ्यास तीव्र और सटीक प्रहार कौशल में सुधार करने के लिए डिज़ाइन किया गया है?")</f>
        <v>कलारीपयट्टू में, कौन सा अभ्यास तीव्र और सटीक प्रहार कौशल में सुधार करने के लिए डिज़ाइन किया गया है?</v>
      </c>
      <c r="H229" s="5" t="str">
        <f>IFERROR(__xludf.DUMMYFUNCTION("GOOGLETRANSLATE(C229, ""en"", ""hi"")"),"ए) वर्मम, बी) चुवडु, सी) उझिचिल, डी) एडवस")</f>
        <v>ए) वर्मम, बी) चुवडु, सी) उझिचिल, डी) एडवस</v>
      </c>
      <c r="I229" s="5" t="str">
        <f>IFERROR(__xludf.DUMMYFUNCTION("GOOGLETRANSLATE(D229, ""en"", ""hi"")"),"ए) वर्माम")</f>
        <v>ए) वर्माम</v>
      </c>
    </row>
    <row r="230" ht="22.5" customHeight="1">
      <c r="A230" s="2">
        <v>229.0</v>
      </c>
      <c r="B230" s="3" t="s">
        <v>14116</v>
      </c>
      <c r="C230" s="3" t="s">
        <v>13713</v>
      </c>
      <c r="D230" s="3" t="s">
        <v>13714</v>
      </c>
      <c r="F230" s="5" t="str">
        <f>IFERROR(__xludf.DUMMYFUNCTION("GOOGLETRANSLATE(A230, ""en"", ""hi"")"),"229")</f>
        <v>229</v>
      </c>
      <c r="G230" s="5" t="str">
        <f>IFERROR(__xludf.DUMMYFUNCTION("GOOGLETRANSLATE(B230, ""en"", ""hi"")"),"कलारीपयट्टू सत्र के दौरान, आपको एक ऐसे हथियार का इस्तेमाल करने को कहा जाता है जो काटने और वार करने, दोनों में अपनी प्रभावशीलता के लिए जाना जाता है। आप कौन सा हथियार इस्तेमाल कर रहे हैं?")</f>
        <v>कलारीपयट्टू सत्र के दौरान, आपको एक ऐसे हथियार का इस्तेमाल करने को कहा जाता है जो काटने और वार करने, दोनों में अपनी प्रभावशीलता के लिए जाना जाता है। आप कौन सा हथियार इस्तेमाल कर रहे हैं?</v>
      </c>
      <c r="H230" s="5" t="str">
        <f>IFERROR(__xludf.DUMMYFUNCTION("GOOGLETRANSLATE(C230, ""en"", ""hi"")"),"A) तलवार, B) गदा, C) भाला, D) खंजर")</f>
        <v>A) तलवार, B) गदा, C) भाला, D) खंजर</v>
      </c>
      <c r="I230" s="5" t="str">
        <f>IFERROR(__xludf.DUMMYFUNCTION("GOOGLETRANSLATE(D230, ""en"", ""hi"")"),"ए) तलवार")</f>
        <v>ए) तलवार</v>
      </c>
    </row>
    <row r="231" ht="22.5" customHeight="1">
      <c r="A231" s="2">
        <v>230.0</v>
      </c>
      <c r="B231" s="3" t="s">
        <v>14117</v>
      </c>
      <c r="C231" s="3" t="s">
        <v>14074</v>
      </c>
      <c r="D231" s="3" t="s">
        <v>13684</v>
      </c>
      <c r="F231" s="5" t="str">
        <f>IFERROR(__xludf.DUMMYFUNCTION("GOOGLETRANSLATE(A231, ""en"", ""hi"")"),"230")</f>
        <v>230</v>
      </c>
      <c r="G231" s="5" t="str">
        <f>IFERROR(__xludf.DUMMYFUNCTION("GOOGLETRANSLATE(B231, ""en"", ""hi"")"),"कलारीपयट्टू में शरीर के लचीलेपन और कंडीशनिंग को बढ़ाने के लिए आपको किस अभ्यास पर ध्यान केंद्रित करना चाहिए?")</f>
        <v>कलारीपयट्टू में शरीर के लचीलेपन और कंडीशनिंग को बढ़ाने के लिए आपको किस अभ्यास पर ध्यान केंद्रित करना चाहिए?</v>
      </c>
      <c r="H231" s="5" t="str">
        <f>IFERROR(__xludf.DUMMYFUNCTION("GOOGLETRANSLATE(C231, ""en"", ""hi"")"),"ए) उझिचिल, बी) एडवस, सी) मार्मा, डी) वर्मा")</f>
        <v>ए) उझिचिल, बी) एडवस, सी) मार्मा, डी) वर्मा</v>
      </c>
      <c r="I231" s="5" t="str">
        <f>IFERROR(__xludf.DUMMYFUNCTION("GOOGLETRANSLATE(D231, ""en"", ""hi"")"),"A) उझिचिल")</f>
        <v>A) उझिचिल</v>
      </c>
    </row>
    <row r="232" ht="22.5" customHeight="1">
      <c r="A232" s="2">
        <v>231.0</v>
      </c>
      <c r="B232" s="3" t="s">
        <v>14118</v>
      </c>
      <c r="C232" s="3" t="s">
        <v>13978</v>
      </c>
      <c r="D232" s="3" t="s">
        <v>13678</v>
      </c>
      <c r="F232" s="5" t="str">
        <f>IFERROR(__xludf.DUMMYFUNCTION("GOOGLETRANSLATE(A232, ""en"", ""hi"")"),"231")</f>
        <v>231</v>
      </c>
      <c r="G232" s="5" t="str">
        <f>IFERROR(__xludf.DUMMYFUNCTION("GOOGLETRANSLATE(B232, ""en"", ""hi"")"),"आप कलारीपयट्टू की ऐसी तकनीक का अभ्यास कर रहे हैं जिसमें तेज़ और सटीक प्रहार शामिल हैं। कौन सा अभ्यास सबसे ज़्यादा प्रासंगिक है?")</f>
        <v>आप कलारीपयट्टू की ऐसी तकनीक का अभ्यास कर रहे हैं जिसमें तेज़ और सटीक प्रहार शामिल हैं। कौन सा अभ्यास सबसे ज़्यादा प्रासंगिक है?</v>
      </c>
      <c r="H232" s="5" t="str">
        <f>IFERROR(__xludf.DUMMYFUNCTION("GOOGLETRANSLATE(C232, ""en"", ""hi"")"),"ए) वर्मम, बी) एडवस, सी) चुवाडु, डी) उझिचिल")</f>
        <v>ए) वर्मम, बी) एडवस, सी) चुवाडु, डी) उझिचिल</v>
      </c>
      <c r="I232" s="5" t="str">
        <f>IFERROR(__xludf.DUMMYFUNCTION("GOOGLETRANSLATE(D232, ""en"", ""hi"")"),"ए) वर्माम")</f>
        <v>ए) वर्माम</v>
      </c>
    </row>
    <row r="233" ht="22.5" customHeight="1">
      <c r="A233" s="2">
        <v>232.0</v>
      </c>
      <c r="B233" s="3" t="s">
        <v>14119</v>
      </c>
      <c r="C233" s="3" t="s">
        <v>13713</v>
      </c>
      <c r="D233" s="3" t="s">
        <v>13772</v>
      </c>
      <c r="F233" s="5" t="str">
        <f>IFERROR(__xludf.DUMMYFUNCTION("GOOGLETRANSLATE(A233, ""en"", ""hi"")"),"232")</f>
        <v>232</v>
      </c>
      <c r="G233" s="5" t="str">
        <f>IFERROR(__xludf.DUMMYFUNCTION("GOOGLETRANSLATE(B233, ""en"", ""hi"")"),"कलारीपयट्टू कक्षा में, आप शक्तिशाली, कुंद प्रहारों पर ज़ोर देने वाली तकनीकों पर काम कर रहे हैं। आप संभवतः किस हथियार का इस्तेमाल कर रहे हैं?")</f>
        <v>कलारीपयट्टू कक्षा में, आप शक्तिशाली, कुंद प्रहारों पर ज़ोर देने वाली तकनीकों पर काम कर रहे हैं। आप संभवतः किस हथियार का इस्तेमाल कर रहे हैं?</v>
      </c>
      <c r="H233" s="5" t="str">
        <f>IFERROR(__xludf.DUMMYFUNCTION("GOOGLETRANSLATE(C233, ""en"", ""hi"")"),"A) तलवार, B) गदा, C) भाला, D) खंजर")</f>
        <v>A) तलवार, B) गदा, C) भाला, D) खंजर</v>
      </c>
      <c r="I233" s="5" t="str">
        <f>IFERROR(__xludf.DUMMYFUNCTION("GOOGLETRANSLATE(D233, ""en"", ""hi"")"),"बी) गदा")</f>
        <v>बी) गदा</v>
      </c>
    </row>
    <row r="234" ht="22.5" customHeight="1">
      <c r="A234" s="2">
        <v>233.0</v>
      </c>
      <c r="B234" s="3" t="s">
        <v>14120</v>
      </c>
      <c r="C234" s="3" t="s">
        <v>13981</v>
      </c>
      <c r="D234" s="3" t="s">
        <v>13675</v>
      </c>
      <c r="F234" s="5" t="str">
        <f>IFERROR(__xludf.DUMMYFUNCTION("GOOGLETRANSLATE(A234, ""en"", ""hi"")"),"233")</f>
        <v>233</v>
      </c>
      <c r="G234" s="5" t="str">
        <f>IFERROR(__xludf.DUMMYFUNCTION("GOOGLETRANSLATE(B234, ""en"", ""hi"")"),"कलारीपयट्टू प्रशिक्षण सत्र के दौरान, आपको प्रभावी बचाव और जवाबी हमले की तकनीकों में सुधार करना होगा। आपको किस अभ्यास पर ध्यान केंद्रित करना चाहिए?")</f>
        <v>कलारीपयट्टू प्रशिक्षण सत्र के दौरान, आपको प्रभावी बचाव और जवाबी हमले की तकनीकों में सुधार करना होगा। आपको किस अभ्यास पर ध्यान केंद्रित करना चाहिए?</v>
      </c>
      <c r="H234" s="5" t="str">
        <f>IFERROR(__xludf.DUMMYFUNCTION("GOOGLETRANSLATE(C234, ""en"", ""hi"")"),"ए) चुवडु, बी) वर्मा, सी) मार्मा, डी) एडवस")</f>
        <v>ए) चुवडु, बी) वर्मा, सी) मार्मा, डी) एडवस</v>
      </c>
      <c r="I234" s="5" t="str">
        <f>IFERROR(__xludf.DUMMYFUNCTION("GOOGLETRANSLATE(D234, ""en"", ""hi"")"),"A) चुवाडु")</f>
        <v>A) चुवाडु</v>
      </c>
    </row>
    <row r="235" ht="22.5" customHeight="1">
      <c r="A235" s="2">
        <v>234.0</v>
      </c>
      <c r="B235" s="3" t="s">
        <v>14121</v>
      </c>
      <c r="C235" s="3" t="s">
        <v>14083</v>
      </c>
      <c r="D235" s="3" t="s">
        <v>13932</v>
      </c>
      <c r="F235" s="5" t="str">
        <f>IFERROR(__xludf.DUMMYFUNCTION("GOOGLETRANSLATE(A235, ""en"", ""hi"")"),"234")</f>
        <v>234</v>
      </c>
      <c r="G235" s="5" t="str">
        <f>IFERROR(__xludf.DUMMYFUNCTION("GOOGLETRANSLATE(B235, ""en"", ""hi"")"),"एक कलारीपयट्टू अभ्यासी प्रतिद्वंद्वी के शरीर के विशिष्ट दबाव बिंदुओं पर सटीक प्रहार करने पर ध्यान केंद्रित करता है। वे किस तकनीक का अभ्यास कर रहे हैं?")</f>
        <v>एक कलारीपयट्टू अभ्यासी प्रतिद्वंद्वी के शरीर के विशिष्ट दबाव बिंदुओं पर सटीक प्रहार करने पर ध्यान केंद्रित करता है। वे किस तकनीक का अभ्यास कर रहे हैं?</v>
      </c>
      <c r="H235" s="5" t="str">
        <f>IFERROR(__xludf.DUMMYFUNCTION("GOOGLETRANSLATE(C235, ""en"", ""hi"")"),"ए) मार्मा, बी) वर्मम, सी) एडवस, डी) केटी")</f>
        <v>ए) मार्मा, बी) वर्मम, सी) एडवस, डी) केटी</v>
      </c>
      <c r="I235" s="5" t="str">
        <f>IFERROR(__xludf.DUMMYFUNCTION("GOOGLETRANSLATE(D235, ""en"", ""hi"")"),"A) मर्म")</f>
        <v>A) मर्म</v>
      </c>
    </row>
    <row r="236" ht="22.5" customHeight="1">
      <c r="A236" s="2">
        <v>235.0</v>
      </c>
      <c r="B236" s="3" t="s">
        <v>14122</v>
      </c>
      <c r="C236" s="3" t="s">
        <v>14016</v>
      </c>
      <c r="D236" s="3" t="s">
        <v>13684</v>
      </c>
      <c r="F236" s="5" t="str">
        <f>IFERROR(__xludf.DUMMYFUNCTION("GOOGLETRANSLATE(A236, ""en"", ""hi"")"),"235")</f>
        <v>235</v>
      </c>
      <c r="G236" s="5" t="str">
        <f>IFERROR(__xludf.DUMMYFUNCTION("GOOGLETRANSLATE(B236, ""en"", ""hi"")"),"कलारीपयट्टू में, कौन सी प्रथा शरीर की कंडीशनिंग और लचीलेपन में सुधार पर केंद्रित है?")</f>
        <v>कलारीपयट्टू में, कौन सी प्रथा शरीर की कंडीशनिंग और लचीलेपन में सुधार पर केंद्रित है?</v>
      </c>
      <c r="H236" s="5" t="str">
        <f>IFERROR(__xludf.DUMMYFUNCTION("GOOGLETRANSLATE(C236, ""en"", ""hi"")"),"ए) उझिचिल, बी) एडवस, सी) वर्मा, डी) चुवाडु")</f>
        <v>ए) उझिचिल, बी) एडवस, सी) वर्मा, डी) चुवाडु</v>
      </c>
      <c r="I236" s="5" t="str">
        <f>IFERROR(__xludf.DUMMYFUNCTION("GOOGLETRANSLATE(D236, ""en"", ""hi"")"),"A) उझिचिल")</f>
        <v>A) उझिचिल</v>
      </c>
    </row>
    <row r="237" ht="22.5" customHeight="1">
      <c r="A237" s="2">
        <v>236.0</v>
      </c>
      <c r="B237" s="3" t="s">
        <v>14123</v>
      </c>
      <c r="C237" s="3" t="s">
        <v>13978</v>
      </c>
      <c r="D237" s="3" t="s">
        <v>13678</v>
      </c>
      <c r="F237" s="5" t="str">
        <f>IFERROR(__xludf.DUMMYFUNCTION("GOOGLETRANSLATE(A237, ""en"", ""hi"")"),"236")</f>
        <v>236</v>
      </c>
      <c r="G237" s="5" t="str">
        <f>IFERROR(__xludf.DUMMYFUNCTION("GOOGLETRANSLATE(B237, ""en"", ""hi"")"),"आप कलारीपयट्टू का प्रशिक्षण ले रहे हैं जिसमें त्वरित और सटीक प्रहारों पर ध्यान केंद्रित किया जाता है। आपको किस अभ्यास पर ज़ोर देना चाहिए?")</f>
        <v>आप कलारीपयट्टू का प्रशिक्षण ले रहे हैं जिसमें त्वरित और सटीक प्रहारों पर ध्यान केंद्रित किया जाता है। आपको किस अभ्यास पर ज़ोर देना चाहिए?</v>
      </c>
      <c r="H237" s="5" t="str">
        <f>IFERROR(__xludf.DUMMYFUNCTION("GOOGLETRANSLATE(C237, ""en"", ""hi"")"),"ए) वर्मम, बी) एडवस, सी) चुवाडु, डी) उझिचिल")</f>
        <v>ए) वर्मम, बी) एडवस, सी) चुवाडु, डी) उझिचिल</v>
      </c>
      <c r="I237" s="5" t="str">
        <f>IFERROR(__xludf.DUMMYFUNCTION("GOOGLETRANSLATE(D237, ""en"", ""hi"")"),"ए) वर्माम")</f>
        <v>ए) वर्माम</v>
      </c>
    </row>
    <row r="238" ht="22.5" customHeight="1">
      <c r="A238" s="2">
        <v>237.0</v>
      </c>
      <c r="B238" s="3" t="s">
        <v>14124</v>
      </c>
      <c r="C238" s="3" t="s">
        <v>13713</v>
      </c>
      <c r="D238" s="3" t="s">
        <v>13714</v>
      </c>
      <c r="F238" s="5" t="str">
        <f>IFERROR(__xludf.DUMMYFUNCTION("GOOGLETRANSLATE(A238, ""en"", ""hi"")"),"237")</f>
        <v>237</v>
      </c>
      <c r="G238" s="5" t="str">
        <f>IFERROR(__xludf.DUMMYFUNCTION("GOOGLETRANSLATE(B238, ""en"", ""hi"")"),"कलारीपयट्टू सत्र में, आप काटने और धकेलने, दोनों ही तकनीकों के लिए एक हथियार का उपयोग देखते हैं। किस हथियार का उपयोग किया जा रहा है?")</f>
        <v>कलारीपयट्टू सत्र में, आप काटने और धकेलने, दोनों ही तकनीकों के लिए एक हथियार का उपयोग देखते हैं। किस हथियार का उपयोग किया जा रहा है?</v>
      </c>
      <c r="H238" s="5" t="str">
        <f>IFERROR(__xludf.DUMMYFUNCTION("GOOGLETRANSLATE(C238, ""en"", ""hi"")"),"A) तलवार, B) गदा, C) भाला, D) खंजर")</f>
        <v>A) तलवार, B) गदा, C) भाला, D) खंजर</v>
      </c>
      <c r="I238" s="5" t="str">
        <f>IFERROR(__xludf.DUMMYFUNCTION("GOOGLETRANSLATE(D238, ""en"", ""hi"")"),"ए) तलवार")</f>
        <v>ए) तलवार</v>
      </c>
    </row>
    <row r="239" ht="22.5" customHeight="1">
      <c r="A239" s="2">
        <v>238.0</v>
      </c>
      <c r="B239" s="3" t="s">
        <v>14125</v>
      </c>
      <c r="C239" s="3" t="s">
        <v>14108</v>
      </c>
      <c r="D239" s="3" t="s">
        <v>13960</v>
      </c>
      <c r="F239" s="5" t="str">
        <f>IFERROR(__xludf.DUMMYFUNCTION("GOOGLETRANSLATE(A239, ""en"", ""hi"")"),"238")</f>
        <v>238</v>
      </c>
      <c r="G239" s="5" t="str">
        <f>IFERROR(__xludf.DUMMYFUNCTION("GOOGLETRANSLATE(B239, ""en"", ""hi"")"),"कलारीपयट्टू प्रशिक्षण के दौरान, आप वृत्ताकार और प्रवाहमय तकनीकों पर ध्यान केंद्रित कर रहे हैं। आप किस अभ्यास पर काम कर रहे हैं?")</f>
        <v>कलारीपयट्टू प्रशिक्षण के दौरान, आप वृत्ताकार और प्रवाहमय तकनीकों पर ध्यान केंद्रित कर रहे हैं। आप किस अभ्यास पर काम कर रहे हैं?</v>
      </c>
      <c r="H239" s="5" t="str">
        <f>IFERROR(__xludf.DUMMYFUNCTION("GOOGLETRANSLATE(C239, ""en"", ""hi"")"),"ए) वर्मा, बी) एडवस, सी) चुवाडु, डी) उझिचिल")</f>
        <v>ए) वर्मा, बी) एडवस, सी) चुवाडु, डी) उझिचिल</v>
      </c>
      <c r="I239" s="5" t="str">
        <f>IFERROR(__xludf.DUMMYFUNCTION("GOOGLETRANSLATE(D239, ""en"", ""hi"")"),"ए) वर्मा")</f>
        <v>ए) वर्मा</v>
      </c>
    </row>
    <row r="240" ht="22.5" customHeight="1">
      <c r="A240" s="2">
        <v>239.0</v>
      </c>
      <c r="B240" s="3" t="s">
        <v>14126</v>
      </c>
      <c r="C240" s="3" t="s">
        <v>13981</v>
      </c>
      <c r="D240" s="3" t="s">
        <v>13675</v>
      </c>
      <c r="F240" s="5" t="str">
        <f>IFERROR(__xludf.DUMMYFUNCTION("GOOGLETRANSLATE(A240, ""en"", ""hi"")"),"239")</f>
        <v>239</v>
      </c>
      <c r="G240" s="5" t="str">
        <f>IFERROR(__xludf.DUMMYFUNCTION("GOOGLETRANSLATE(B240, ""en"", ""hi"")"),"आप चपलता और सजगता बढ़ाने के लिए कलारीपयट्टू तकनीक का अभ्यास कर रहे हैं। कौन सा अभ्यास सबसे अधिक प्रासंगिक है?")</f>
        <v>आप चपलता और सजगता बढ़ाने के लिए कलारीपयट्टू तकनीक का अभ्यास कर रहे हैं। कौन सा अभ्यास सबसे अधिक प्रासंगिक है?</v>
      </c>
      <c r="H240" s="5" t="str">
        <f>IFERROR(__xludf.DUMMYFUNCTION("GOOGLETRANSLATE(C240, ""en"", ""hi"")"),"ए) चुवडु, बी) वर्मा, सी) मार्मा, डी) एडवस")</f>
        <v>ए) चुवडु, बी) वर्मा, सी) मार्मा, डी) एडवस</v>
      </c>
      <c r="I240" s="5" t="str">
        <f>IFERROR(__xludf.DUMMYFUNCTION("GOOGLETRANSLATE(D240, ""en"", ""hi"")"),"A) चुवाडु")</f>
        <v>A) चुवाडु</v>
      </c>
    </row>
    <row r="241" ht="22.5" customHeight="1">
      <c r="A241" s="2">
        <v>240.0</v>
      </c>
      <c r="B241" s="3" t="s">
        <v>14127</v>
      </c>
      <c r="C241" s="3" t="s">
        <v>14013</v>
      </c>
      <c r="D241" s="3" t="s">
        <v>13932</v>
      </c>
      <c r="F241" s="5" t="str">
        <f>IFERROR(__xludf.DUMMYFUNCTION("GOOGLETRANSLATE(A241, ""en"", ""hi"")"),"240")</f>
        <v>240</v>
      </c>
      <c r="G241" s="5" t="str">
        <f>IFERROR(__xludf.DUMMYFUNCTION("GOOGLETRANSLATE(B241, ""en"", ""hi"")"),"कलारीपयट्टू में, किस तकनीक में महत्वपूर्ण बिंदुओं पर प्रहार करने में सटीकता में सुधार किया जाता है?")</f>
        <v>कलारीपयट्टू में, किस तकनीक में महत्वपूर्ण बिंदुओं पर प्रहार करने में सटीकता में सुधार किया जाता है?</v>
      </c>
      <c r="H241" s="5" t="str">
        <f>IFERROR(__xludf.DUMMYFUNCTION("GOOGLETRANSLATE(C241, ""en"", ""hi"")"),"ए) मार्मा, बी) वर्मम, सी) एडवस, डी) उझिचिल")</f>
        <v>ए) मार्मा, बी) वर्मम, सी) एडवस, डी) उझिचिल</v>
      </c>
      <c r="I241" s="5" t="str">
        <f>IFERROR(__xludf.DUMMYFUNCTION("GOOGLETRANSLATE(D241, ""en"", ""hi"")"),"A) मर्म")</f>
        <v>A) मर्म</v>
      </c>
    </row>
    <row r="242" ht="22.5" customHeight="1">
      <c r="A242" s="2">
        <v>241.0</v>
      </c>
      <c r="B242" s="3" t="s">
        <v>14128</v>
      </c>
      <c r="C242" s="3" t="s">
        <v>13713</v>
      </c>
      <c r="D242" s="3" t="s">
        <v>13772</v>
      </c>
      <c r="F242" s="5" t="str">
        <f>IFERROR(__xludf.DUMMYFUNCTION("GOOGLETRANSLATE(A242, ""en"", ""hi"")"),"241")</f>
        <v>241</v>
      </c>
      <c r="G242" s="5" t="str">
        <f>IFERROR(__xludf.DUMMYFUNCTION("GOOGLETRANSLATE(B242, ""en"", ""hi"")"),"कलारीपयट्टू कक्षा के दौरान, आप शक्तिशाली और कुंद बल वाले हमलों के लिए एक हथियार का उपयोग करना सीख रहे हैं। आप कौन सा हथियार इस्तेमाल कर रहे हैं?")</f>
        <v>कलारीपयट्टू कक्षा के दौरान, आप शक्तिशाली और कुंद बल वाले हमलों के लिए एक हथियार का उपयोग करना सीख रहे हैं। आप कौन सा हथियार इस्तेमाल कर रहे हैं?</v>
      </c>
      <c r="H242" s="5" t="str">
        <f>IFERROR(__xludf.DUMMYFUNCTION("GOOGLETRANSLATE(C242, ""en"", ""hi"")"),"A) तलवार, B) गदा, C) भाला, D) खंजर")</f>
        <v>A) तलवार, B) गदा, C) भाला, D) खंजर</v>
      </c>
      <c r="I242" s="5" t="str">
        <f>IFERROR(__xludf.DUMMYFUNCTION("GOOGLETRANSLATE(D242, ""en"", ""hi"")"),"बी) गदा")</f>
        <v>बी) गदा</v>
      </c>
    </row>
    <row r="243" ht="22.5" customHeight="1">
      <c r="A243" s="2">
        <v>242.0</v>
      </c>
      <c r="B243" s="3" t="s">
        <v>14129</v>
      </c>
      <c r="C243" s="3" t="s">
        <v>14016</v>
      </c>
      <c r="D243" s="3" t="s">
        <v>13684</v>
      </c>
      <c r="F243" s="5" t="str">
        <f>IFERROR(__xludf.DUMMYFUNCTION("GOOGLETRANSLATE(A243, ""en"", ""hi"")"),"242")</f>
        <v>242</v>
      </c>
      <c r="G243" s="5" t="str">
        <f>IFERROR(__xludf.DUMMYFUNCTION("GOOGLETRANSLATE(B243, ""en"", ""hi"")"),"कलारीपयट्टू में, शरीर की कंडीशनिंग और सहनशक्ति बढ़ाने के लिए आपको किस अभ्यास पर ध्यान केंद्रित करना चाहिए?")</f>
        <v>कलारीपयट्टू में, शरीर की कंडीशनिंग और सहनशक्ति बढ़ाने के लिए आपको किस अभ्यास पर ध्यान केंद्रित करना चाहिए?</v>
      </c>
      <c r="H243" s="5" t="str">
        <f>IFERROR(__xludf.DUMMYFUNCTION("GOOGLETRANSLATE(C243, ""en"", ""hi"")"),"ए) उझिचिल, बी) एडवस, सी) वर्मा, डी) चुवाडु")</f>
        <v>ए) उझिचिल, बी) एडवस, सी) वर्मा, डी) चुवाडु</v>
      </c>
      <c r="I243" s="5" t="str">
        <f>IFERROR(__xludf.DUMMYFUNCTION("GOOGLETRANSLATE(D243, ""en"", ""hi"")"),"A) उझिचिल")</f>
        <v>A) उझिचिल</v>
      </c>
    </row>
    <row r="244" ht="22.5" customHeight="1">
      <c r="A244" s="2">
        <v>243.0</v>
      </c>
      <c r="B244" s="3" t="s">
        <v>14130</v>
      </c>
      <c r="C244" s="3" t="s">
        <v>13978</v>
      </c>
      <c r="D244" s="3" t="s">
        <v>13678</v>
      </c>
      <c r="F244" s="5" t="str">
        <f>IFERROR(__xludf.DUMMYFUNCTION("GOOGLETRANSLATE(A244, ""en"", ""hi"")"),"243")</f>
        <v>243</v>
      </c>
      <c r="G244" s="5" t="str">
        <f>IFERROR(__xludf.DUMMYFUNCTION("GOOGLETRANSLATE(B244, ""en"", ""hi"")"),"आप ऐसी तकनीकों पर काम कर रहे हैं जिनमें हथियार से तेज़ और प्रभावी प्रहार शामिल हैं। कौन सी तकनीक सबसे ज़्यादा प्रासंगिक है?")</f>
        <v>आप ऐसी तकनीकों पर काम कर रहे हैं जिनमें हथियार से तेज़ और प्रभावी प्रहार शामिल हैं। कौन सी तकनीक सबसे ज़्यादा प्रासंगिक है?</v>
      </c>
      <c r="H244" s="5" t="str">
        <f>IFERROR(__xludf.DUMMYFUNCTION("GOOGLETRANSLATE(C244, ""en"", ""hi"")"),"ए) वर्मम, बी) एडवस, सी) चुवाडु, डी) उझिचिल")</f>
        <v>ए) वर्मम, बी) एडवस, सी) चुवाडु, डी) उझिचिल</v>
      </c>
      <c r="I244" s="5" t="str">
        <f>IFERROR(__xludf.DUMMYFUNCTION("GOOGLETRANSLATE(D244, ""en"", ""hi"")"),"ए) वर्माम")</f>
        <v>ए) वर्माम</v>
      </c>
    </row>
    <row r="245" ht="22.5" customHeight="1">
      <c r="A245" s="2">
        <v>244.0</v>
      </c>
      <c r="B245" s="3" t="s">
        <v>14131</v>
      </c>
      <c r="C245" s="3" t="s">
        <v>13981</v>
      </c>
      <c r="D245" s="3" t="s">
        <v>13675</v>
      </c>
      <c r="F245" s="5" t="str">
        <f>IFERROR(__xludf.DUMMYFUNCTION("GOOGLETRANSLATE(A245, ""en"", ""hi"")"),"244")</f>
        <v>244</v>
      </c>
      <c r="G245" s="5" t="str">
        <f>IFERROR(__xludf.DUMMYFUNCTION("GOOGLETRANSLATE(B245, ""en"", ""hi"")"),"कलारीपयट्टू में, कौन सा अभ्यास अभ्यासकर्ता की हमलों से बचने और प्रभावी ढंग से मुकाबला करने की क्षमता में सुधार करने के लिए डिज़ाइन किया गया है?")</f>
        <v>कलारीपयट्टू में, कौन सा अभ्यास अभ्यासकर्ता की हमलों से बचने और प्रभावी ढंग से मुकाबला करने की क्षमता में सुधार करने के लिए डिज़ाइन किया गया है?</v>
      </c>
      <c r="H245" s="5" t="str">
        <f>IFERROR(__xludf.DUMMYFUNCTION("GOOGLETRANSLATE(C245, ""en"", ""hi"")"),"ए) चुवडु, बी) वर्मा, सी) मार्मा, डी) एडवस")</f>
        <v>ए) चुवडु, बी) वर्मा, सी) मार्मा, डी) एडवस</v>
      </c>
      <c r="I245" s="5" t="str">
        <f>IFERROR(__xludf.DUMMYFUNCTION("GOOGLETRANSLATE(D245, ""en"", ""hi"")"),"A) चुवाडु")</f>
        <v>A) चुवाडु</v>
      </c>
    </row>
    <row r="246" ht="22.5" customHeight="1">
      <c r="A246" s="2">
        <v>245.0</v>
      </c>
      <c r="B246" s="3" t="s">
        <v>14132</v>
      </c>
      <c r="C246" s="3" t="s">
        <v>14083</v>
      </c>
      <c r="D246" s="3" t="s">
        <v>13932</v>
      </c>
      <c r="F246" s="5" t="str">
        <f>IFERROR(__xludf.DUMMYFUNCTION("GOOGLETRANSLATE(A246, ""en"", ""hi"")"),"245")</f>
        <v>245</v>
      </c>
      <c r="G246" s="5" t="str">
        <f>IFERROR(__xludf.DUMMYFUNCTION("GOOGLETRANSLATE(B246, ""en"", ""hi"")"),"एक कलारीपयट्टू अभ्यासी अपने प्रतिद्वंद्वी के विशिष्ट दबाव बिंदुओं को लक्षित करने की तकनीक सीख रहा है। वे किस तकनीक का अभ्यास कर रहे हैं?")</f>
        <v>एक कलारीपयट्टू अभ्यासी अपने प्रतिद्वंद्वी के विशिष्ट दबाव बिंदुओं को लक्षित करने की तकनीक सीख रहा है। वे किस तकनीक का अभ्यास कर रहे हैं?</v>
      </c>
      <c r="H246" s="5" t="str">
        <f>IFERROR(__xludf.DUMMYFUNCTION("GOOGLETRANSLATE(C246, ""en"", ""hi"")"),"ए) मार्मा, बी) वर्मम, सी) एडवस, डी) केटी")</f>
        <v>ए) मार्मा, बी) वर्मम, सी) एडवस, डी) केटी</v>
      </c>
      <c r="I246" s="5" t="str">
        <f>IFERROR(__xludf.DUMMYFUNCTION("GOOGLETRANSLATE(D246, ""en"", ""hi"")"),"A) मर्म")</f>
        <v>A) मर्म</v>
      </c>
    </row>
    <row r="247" ht="22.5" customHeight="1">
      <c r="A247" s="2">
        <v>246.0</v>
      </c>
      <c r="B247" s="3" t="s">
        <v>14133</v>
      </c>
      <c r="C247" s="3" t="s">
        <v>14016</v>
      </c>
      <c r="D247" s="3" t="s">
        <v>13684</v>
      </c>
      <c r="F247" s="5" t="str">
        <f>IFERROR(__xludf.DUMMYFUNCTION("GOOGLETRANSLATE(A247, ""en"", ""hi"")"),"246")</f>
        <v>246</v>
      </c>
      <c r="G247" s="5" t="str">
        <f>IFERROR(__xludf.DUMMYFUNCTION("GOOGLETRANSLATE(B247, ""en"", ""hi"")"),"कलारीपयट्टू में, कौन सा अभ्यास शरीर की कंडीशनिंग और समग्र शारीरिक सहनशक्ति में सुधार पर केंद्रित है?")</f>
        <v>कलारीपयट्टू में, कौन सा अभ्यास शरीर की कंडीशनिंग और समग्र शारीरिक सहनशक्ति में सुधार पर केंद्रित है?</v>
      </c>
      <c r="H247" s="5" t="str">
        <f>IFERROR(__xludf.DUMMYFUNCTION("GOOGLETRANSLATE(C247, ""en"", ""hi"")"),"ए) उझिचिल, बी) एडवस, सी) वर्मा, डी) चुवाडु")</f>
        <v>ए) उझिचिल, बी) एडवस, सी) वर्मा, डी) चुवाडु</v>
      </c>
      <c r="I247" s="5" t="str">
        <f>IFERROR(__xludf.DUMMYFUNCTION("GOOGLETRANSLATE(D247, ""en"", ""hi"")"),"A) उझिचिल")</f>
        <v>A) उझिचिल</v>
      </c>
    </row>
    <row r="248" ht="22.5" customHeight="1">
      <c r="A248" s="2">
        <v>247.0</v>
      </c>
      <c r="B248" s="3" t="s">
        <v>14134</v>
      </c>
      <c r="C248" s="3" t="s">
        <v>13713</v>
      </c>
      <c r="D248" s="3" t="s">
        <v>13714</v>
      </c>
      <c r="F248" s="5" t="str">
        <f>IFERROR(__xludf.DUMMYFUNCTION("GOOGLETRANSLATE(A248, ""en"", ""hi"")"),"247")</f>
        <v>247</v>
      </c>
      <c r="G248" s="5" t="str">
        <f>IFERROR(__xludf.DUMMYFUNCTION("GOOGLETRANSLATE(B248, ""en"", ""hi"")"),"कलारीपयट्टू कक्षा के दौरान, आपको हथियार के आक्रामक और रक्षात्मक दोनों तरह के इस्तेमाल की तकनीकों का अभ्यास करने के लिए कहा जाता है। आप संभवतः किस हथियार का इस्तेमाल कर रहे हैं?")</f>
        <v>कलारीपयट्टू कक्षा के दौरान, आपको हथियार के आक्रामक और रक्षात्मक दोनों तरह के इस्तेमाल की तकनीकों का अभ्यास करने के लिए कहा जाता है। आप संभवतः किस हथियार का इस्तेमाल कर रहे हैं?</v>
      </c>
      <c r="H248" s="5" t="str">
        <f>IFERROR(__xludf.DUMMYFUNCTION("GOOGLETRANSLATE(C248, ""en"", ""hi"")"),"A) तलवार, B) गदा, C) भाला, D) खंजर")</f>
        <v>A) तलवार, B) गदा, C) भाला, D) खंजर</v>
      </c>
      <c r="I248" s="5" t="str">
        <f>IFERROR(__xludf.DUMMYFUNCTION("GOOGLETRANSLATE(D248, ""en"", ""hi"")"),"ए) तलवार")</f>
        <v>ए) तलवार</v>
      </c>
    </row>
    <row r="249" ht="22.5" customHeight="1">
      <c r="A249" s="2">
        <v>248.0</v>
      </c>
      <c r="B249" s="3" t="s">
        <v>14135</v>
      </c>
      <c r="C249" s="3" t="s">
        <v>13978</v>
      </c>
      <c r="D249" s="3" t="s">
        <v>13678</v>
      </c>
      <c r="F249" s="5" t="str">
        <f>IFERROR(__xludf.DUMMYFUNCTION("GOOGLETRANSLATE(A249, ""en"", ""hi"")"),"248")</f>
        <v>248</v>
      </c>
      <c r="G249" s="5" t="str">
        <f>IFERROR(__xludf.DUMMYFUNCTION("GOOGLETRANSLATE(B249, ""en"", ""hi"")"),"कलारीपयट्टू में, हमलों को अंजाम देने में सटीकता और गति में सुधार करने के लिए कौन सी प्रथा तैयार की गई है?")</f>
        <v>कलारीपयट्टू में, हमलों को अंजाम देने में सटीकता और गति में सुधार करने के लिए कौन सी प्रथा तैयार की गई है?</v>
      </c>
      <c r="H249" s="5" t="str">
        <f>IFERROR(__xludf.DUMMYFUNCTION("GOOGLETRANSLATE(C249, ""en"", ""hi"")"),"ए) वर्मम, बी) एडवस, सी) चुवाडु, डी) उझिचिल")</f>
        <v>ए) वर्मम, बी) एडवस, सी) चुवाडु, डी) उझिचिल</v>
      </c>
      <c r="I249" s="5" t="str">
        <f>IFERROR(__xludf.DUMMYFUNCTION("GOOGLETRANSLATE(D249, ""en"", ""hi"")"),"ए) वर्माम")</f>
        <v>ए) वर्माम</v>
      </c>
    </row>
    <row r="250" ht="22.5" customHeight="1">
      <c r="A250" s="2">
        <v>249.0</v>
      </c>
      <c r="B250" s="3" t="s">
        <v>14136</v>
      </c>
      <c r="C250" s="3" t="s">
        <v>14108</v>
      </c>
      <c r="D250" s="3" t="s">
        <v>13960</v>
      </c>
      <c r="F250" s="5" t="str">
        <f>IFERROR(__xludf.DUMMYFUNCTION("GOOGLETRANSLATE(A250, ""en"", ""hi"")"),"249")</f>
        <v>249</v>
      </c>
      <c r="G250" s="5" t="str">
        <f>IFERROR(__xludf.DUMMYFUNCTION("GOOGLETRANSLATE(B250, ""en"", ""hi"")"),"कलारीपयट्टू सत्र के दौरान, आप वृत्ताकार और प्रवाहमय गतियों वाली तकनीकों पर ध्यान केंद्रित करते हैं। कौन सा अभ्यास सबसे अधिक प्रासंगिक है?")</f>
        <v>कलारीपयट्टू सत्र के दौरान, आप वृत्ताकार और प्रवाहमय गतियों वाली तकनीकों पर ध्यान केंद्रित करते हैं। कौन सा अभ्यास सबसे अधिक प्रासंगिक है?</v>
      </c>
      <c r="H250" s="5" t="str">
        <f>IFERROR(__xludf.DUMMYFUNCTION("GOOGLETRANSLATE(C250, ""en"", ""hi"")"),"ए) वर्मा, बी) एडवस, सी) चुवाडु, डी) उझिचिल")</f>
        <v>ए) वर्मा, बी) एडवस, सी) चुवाडु, डी) उझिचिल</v>
      </c>
      <c r="I250" s="5" t="str">
        <f>IFERROR(__xludf.DUMMYFUNCTION("GOOGLETRANSLATE(D250, ""en"", ""hi"")"),"ए) वर्मा")</f>
        <v>ए) वर्मा</v>
      </c>
    </row>
    <row r="251" ht="22.5" customHeight="1">
      <c r="A251" s="2">
        <v>250.0</v>
      </c>
      <c r="B251" s="3" t="s">
        <v>14137</v>
      </c>
      <c r="C251" s="3" t="s">
        <v>13981</v>
      </c>
      <c r="D251" s="3" t="s">
        <v>13675</v>
      </c>
      <c r="F251" s="5" t="str">
        <f>IFERROR(__xludf.DUMMYFUNCTION("GOOGLETRANSLATE(A251, ""en"", ""hi"")"),"250")</f>
        <v>250</v>
      </c>
      <c r="G251" s="5" t="str">
        <f>IFERROR(__xludf.DUMMYFUNCTION("GOOGLETRANSLATE(B251, ""en"", ""hi"")"),"आप कलारीपयट्टू की ऐसी तकनीकें सीख रहे हैं जो पैरों की गति और फुर्ती को बढ़ाती हैं। आपको किस अभ्यास को प्राथमिकता देनी चाहिए?")</f>
        <v>आप कलारीपयट्टू की ऐसी तकनीकें सीख रहे हैं जो पैरों की गति और फुर्ती को बढ़ाती हैं। आपको किस अभ्यास को प्राथमिकता देनी चाहिए?</v>
      </c>
      <c r="H251" s="5" t="str">
        <f>IFERROR(__xludf.DUMMYFUNCTION("GOOGLETRANSLATE(C251, ""en"", ""hi"")"),"ए) चुवडु, बी) वर्मा, सी) मार्मा, डी) एडवस")</f>
        <v>ए) चुवडु, बी) वर्मा, सी) मार्मा, डी) एडवस</v>
      </c>
      <c r="I251" s="5" t="str">
        <f>IFERROR(__xludf.DUMMYFUNCTION("GOOGLETRANSLATE(D251, ""en"", ""hi"")"),"A) चुवाडु")</f>
        <v>A) चुवाडु</v>
      </c>
    </row>
    <row r="252" ht="22.5" customHeight="1">
      <c r="A252" s="2">
        <v>251.0</v>
      </c>
      <c r="B252" s="3" t="s">
        <v>14138</v>
      </c>
      <c r="C252" s="3" t="s">
        <v>14013</v>
      </c>
      <c r="D252" s="3" t="s">
        <v>13932</v>
      </c>
      <c r="F252" s="5" t="str">
        <f>IFERROR(__xludf.DUMMYFUNCTION("GOOGLETRANSLATE(A252, ""en"", ""hi"")"),"251")</f>
        <v>251</v>
      </c>
      <c r="G252" s="5" t="str">
        <f>IFERROR(__xludf.DUMMYFUNCTION("GOOGLETRANSLATE(B252, ""en"", ""hi"")"),"कलारीपयट्टू में, किस अभ्यास में महत्वपूर्ण बिंदुओं पर सटीक प्रहार करने की तकनीकें शामिल हैं?")</f>
        <v>कलारीपयट्टू में, किस अभ्यास में महत्वपूर्ण बिंदुओं पर सटीक प्रहार करने की तकनीकें शामिल हैं?</v>
      </c>
      <c r="H252" s="5" t="str">
        <f>IFERROR(__xludf.DUMMYFUNCTION("GOOGLETRANSLATE(C252, ""en"", ""hi"")"),"ए) मार्मा, बी) वर्मम, सी) एडवस, डी) उझिचिल")</f>
        <v>ए) मार्मा, बी) वर्मम, सी) एडवस, डी) उझिचिल</v>
      </c>
      <c r="I252" s="5" t="str">
        <f>IFERROR(__xludf.DUMMYFUNCTION("GOOGLETRANSLATE(D252, ""en"", ""hi"")"),"A) मर्म")</f>
        <v>A) मर्म</v>
      </c>
    </row>
    <row r="253" ht="22.5" customHeight="1">
      <c r="A253" s="2">
        <v>252.0</v>
      </c>
      <c r="B253" s="3" t="s">
        <v>14139</v>
      </c>
      <c r="C253" s="3" t="s">
        <v>14016</v>
      </c>
      <c r="D253" s="3" t="s">
        <v>13684</v>
      </c>
      <c r="F253" s="5" t="str">
        <f>IFERROR(__xludf.DUMMYFUNCTION("GOOGLETRANSLATE(A253, ""en"", ""hi"")"),"252")</f>
        <v>252</v>
      </c>
      <c r="G253" s="5" t="str">
        <f>IFERROR(__xludf.DUMMYFUNCTION("GOOGLETRANSLATE(B253, ""en"", ""hi"")"),"कलारीपयट्टू कक्षा के दौरान, आप शरीर की कंडीशनिंग और लचीलेपन पर ध्यान केंद्रित करते हैं। कौन सा अभ्यास सबसे ज़्यादा प्रासंगिक है?")</f>
        <v>कलारीपयट्टू कक्षा के दौरान, आप शरीर की कंडीशनिंग और लचीलेपन पर ध्यान केंद्रित करते हैं। कौन सा अभ्यास सबसे ज़्यादा प्रासंगिक है?</v>
      </c>
      <c r="H253" s="5" t="str">
        <f>IFERROR(__xludf.DUMMYFUNCTION("GOOGLETRANSLATE(C253, ""en"", ""hi"")"),"ए) उझिचिल, बी) एडवस, सी) वर्मा, डी) चुवाडु")</f>
        <v>ए) उझिचिल, बी) एडवस, सी) वर्मा, डी) चुवाडु</v>
      </c>
      <c r="I253" s="5" t="str">
        <f>IFERROR(__xludf.DUMMYFUNCTION("GOOGLETRANSLATE(D253, ""en"", ""hi"")"),"A) उझिचिल")</f>
        <v>A) उझिचिल</v>
      </c>
    </row>
    <row r="254" ht="22.5" customHeight="1">
      <c r="A254" s="2">
        <v>253.0</v>
      </c>
      <c r="B254" s="3" t="s">
        <v>14140</v>
      </c>
      <c r="C254" s="3" t="s">
        <v>14092</v>
      </c>
      <c r="D254" s="3" t="s">
        <v>14056</v>
      </c>
      <c r="F254" s="5" t="str">
        <f>IFERROR(__xludf.DUMMYFUNCTION("GOOGLETRANSLATE(A254, ""en"", ""hi"")"),"253")</f>
        <v>253</v>
      </c>
      <c r="G254" s="5" t="str">
        <f>IFERROR(__xludf.DUMMYFUNCTION("GOOGLETRANSLATE(B254, ""en"", ""hi"")"),"आप लंबे हथियार से तेज़ और सटीक वार करने के लिए कलारीपयट्टू का प्रशिक्षण ले रहे हैं। आपको किस अभ्यास पर ध्यान केंद्रित करना चाहिए?")</f>
        <v>आप लंबे हथियार से तेज़ और सटीक वार करने के लिए कलारीपयट्टू का प्रशिक्षण ले रहे हैं। आपको किस अभ्यास पर ध्यान केंद्रित करना चाहिए?</v>
      </c>
      <c r="H254" s="5" t="str">
        <f>IFERROR(__xludf.DUMMYFUNCTION("GOOGLETRANSLATE(C254, ""en"", ""hi"")"),"ए) केटी, बी) चुवाडु, सी) मार्मा, डी) उझिचिल")</f>
        <v>ए) केटी, बी) चुवाडु, सी) मार्मा, डी) उझिचिल</v>
      </c>
      <c r="I254" s="5" t="str">
        <f>IFERROR(__xludf.DUMMYFUNCTION("GOOGLETRANSLATE(D254, ""en"", ""hi"")"),"ए) केट्टी")</f>
        <v>ए) केट्टी</v>
      </c>
    </row>
    <row r="255" ht="22.5" customHeight="1">
      <c r="A255" s="2">
        <v>254.0</v>
      </c>
      <c r="B255" s="3" t="s">
        <v>14141</v>
      </c>
      <c r="C255" s="3" t="s">
        <v>14108</v>
      </c>
      <c r="D255" s="3" t="s">
        <v>13960</v>
      </c>
      <c r="F255" s="5" t="str">
        <f>IFERROR(__xludf.DUMMYFUNCTION("GOOGLETRANSLATE(A255, ""en"", ""hi"")"),"254")</f>
        <v>254</v>
      </c>
      <c r="G255" s="5" t="str">
        <f>IFERROR(__xludf.DUMMYFUNCTION("GOOGLETRANSLATE(B255, ""en"", ""hi"")"),"कलारीपयट्टू में, कौन सी प्रथा वृत्ताकार और प्रवाहमय तकनीकों को बढ़ाने के लिए डिज़ाइन की गई है?")</f>
        <v>कलारीपयट्टू में, कौन सी प्रथा वृत्ताकार और प्रवाहमय तकनीकों को बढ़ाने के लिए डिज़ाइन की गई है?</v>
      </c>
      <c r="H255" s="5" t="str">
        <f>IFERROR(__xludf.DUMMYFUNCTION("GOOGLETRANSLATE(C255, ""en"", ""hi"")"),"ए) वर्मा, बी) एडवस, सी) चुवाडु, डी) उझिचिल")</f>
        <v>ए) वर्मा, बी) एडवस, सी) चुवाडु, डी) उझिचिल</v>
      </c>
      <c r="I255" s="5" t="str">
        <f>IFERROR(__xludf.DUMMYFUNCTION("GOOGLETRANSLATE(D255, ""en"", ""hi"")"),"ए) वर्मा")</f>
        <v>ए) वर्मा</v>
      </c>
    </row>
    <row r="256" ht="22.5" customHeight="1">
      <c r="A256" s="2">
        <v>255.0</v>
      </c>
      <c r="B256" s="3" t="s">
        <v>14142</v>
      </c>
      <c r="C256" s="3" t="s">
        <v>13981</v>
      </c>
      <c r="D256" s="3" t="s">
        <v>13675</v>
      </c>
      <c r="F256" s="5" t="str">
        <f>IFERROR(__xludf.DUMMYFUNCTION("GOOGLETRANSLATE(A256, ""en"", ""hi"")"),"255")</f>
        <v>255</v>
      </c>
      <c r="G256" s="5" t="str">
        <f>IFERROR(__xludf.DUMMYFUNCTION("GOOGLETRANSLATE(B256, ""en"", ""hi"")"),"कलारीपयट्टू कक्षा के दौरान, आपको अपनी चपलता और सजगता को बढ़ाने की ज़रूरत है। आपको किस अभ्यास पर ज़ोर देना चाहिए?")</f>
        <v>कलारीपयट्टू कक्षा के दौरान, आपको अपनी चपलता और सजगता को बढ़ाने की ज़रूरत है। आपको किस अभ्यास पर ज़ोर देना चाहिए?</v>
      </c>
      <c r="H256" s="5" t="str">
        <f>IFERROR(__xludf.DUMMYFUNCTION("GOOGLETRANSLATE(C256, ""en"", ""hi"")"),"ए) चुवडु, बी) वर्मा, सी) मार्मा, डी) एडवस")</f>
        <v>ए) चुवडु, बी) वर्मा, सी) मार्मा, डी) एडवस</v>
      </c>
      <c r="I256" s="5" t="str">
        <f>IFERROR(__xludf.DUMMYFUNCTION("GOOGLETRANSLATE(D256, ""en"", ""hi"")"),"A) चुवाडु")</f>
        <v>A) चुवाडु</v>
      </c>
    </row>
    <row r="257" ht="22.5" customHeight="1">
      <c r="A257" s="2">
        <v>256.0</v>
      </c>
      <c r="B257" s="3" t="s">
        <v>14143</v>
      </c>
      <c r="C257" s="3" t="s">
        <v>14013</v>
      </c>
      <c r="D257" s="3" t="s">
        <v>13932</v>
      </c>
      <c r="F257" s="5" t="str">
        <f>IFERROR(__xludf.DUMMYFUNCTION("GOOGLETRANSLATE(A257, ""en"", ""hi"")"),"256")</f>
        <v>256</v>
      </c>
      <c r="G257" s="5" t="str">
        <f>IFERROR(__xludf.DUMMYFUNCTION("GOOGLETRANSLATE(B257, ""en"", ""hi"")"),"कलारीपयट्टू में कौन सी तकनीक प्रतिद्वंद्वी के शरीर के महत्वपूर्ण बिंदुओं पर सटीक प्रहार पर केंद्रित है?")</f>
        <v>कलारीपयट्टू में कौन सी तकनीक प्रतिद्वंद्वी के शरीर के महत्वपूर्ण बिंदुओं पर सटीक प्रहार पर केंद्रित है?</v>
      </c>
      <c r="H257" s="5" t="str">
        <f>IFERROR(__xludf.DUMMYFUNCTION("GOOGLETRANSLATE(C257, ""en"", ""hi"")"),"ए) मार्मा, बी) वर्मम, सी) एडवस, डी) उझिचिल")</f>
        <v>ए) मार्मा, बी) वर्मम, सी) एडवस, डी) उझिचिल</v>
      </c>
      <c r="I257" s="5" t="str">
        <f>IFERROR(__xludf.DUMMYFUNCTION("GOOGLETRANSLATE(D257, ""en"", ""hi"")"),"A) मर्म")</f>
        <v>A) मर्म</v>
      </c>
    </row>
    <row r="258" ht="22.5" customHeight="1">
      <c r="A258" s="2">
        <v>257.0</v>
      </c>
      <c r="B258" s="3" t="s">
        <v>14144</v>
      </c>
      <c r="C258" s="3" t="s">
        <v>13713</v>
      </c>
      <c r="D258" s="3" t="s">
        <v>13772</v>
      </c>
      <c r="F258" s="5" t="str">
        <f>IFERROR(__xludf.DUMMYFUNCTION("GOOGLETRANSLATE(A258, ""en"", ""hi"")"),"257")</f>
        <v>257</v>
      </c>
      <c r="G258" s="5" t="str">
        <f>IFERROR(__xludf.DUMMYFUNCTION("GOOGLETRANSLATE(B258, ""en"", ""hi"")"),"कलारीपयट्टू प्रशिक्षण के दौरान, आप शक्तिशाली और कुंद बल वाले प्रहारों वाली तकनीकों का अभ्यास कर रहे हैं। आप संभवतः किस हथियार का उपयोग कर रहे हैं?")</f>
        <v>कलारीपयट्टू प्रशिक्षण के दौरान, आप शक्तिशाली और कुंद बल वाले प्रहारों वाली तकनीकों का अभ्यास कर रहे हैं। आप संभवतः किस हथियार का उपयोग कर रहे हैं?</v>
      </c>
      <c r="H258" s="5" t="str">
        <f>IFERROR(__xludf.DUMMYFUNCTION("GOOGLETRANSLATE(C258, ""en"", ""hi"")"),"A) तलवार, B) गदा, C) भाला, D) खंजर")</f>
        <v>A) तलवार, B) गदा, C) भाला, D) खंजर</v>
      </c>
      <c r="I258" s="5" t="str">
        <f>IFERROR(__xludf.DUMMYFUNCTION("GOOGLETRANSLATE(D258, ""en"", ""hi"")"),"बी) गदा")</f>
        <v>बी) गदा</v>
      </c>
    </row>
    <row r="259" ht="22.5" customHeight="1">
      <c r="A259" s="2">
        <v>258.0</v>
      </c>
      <c r="B259" s="3" t="s">
        <v>14145</v>
      </c>
      <c r="C259" s="3" t="s">
        <v>14016</v>
      </c>
      <c r="D259" s="3" t="s">
        <v>13684</v>
      </c>
      <c r="F259" s="5" t="str">
        <f>IFERROR(__xludf.DUMMYFUNCTION("GOOGLETRANSLATE(A259, ""en"", ""hi"")"),"258")</f>
        <v>258</v>
      </c>
      <c r="G259" s="5" t="str">
        <f>IFERROR(__xludf.DUMMYFUNCTION("GOOGLETRANSLATE(B259, ""en"", ""hi"")"),"कलारीपयट्टू में, शरीर की कंडीशनिंग और सहनशक्ति में सुधार के लिए आपको किस अभ्यास पर ध्यान केंद्रित करना चाहिए?")</f>
        <v>कलारीपयट्टू में, शरीर की कंडीशनिंग और सहनशक्ति में सुधार के लिए आपको किस अभ्यास पर ध्यान केंद्रित करना चाहिए?</v>
      </c>
      <c r="H259" s="5" t="str">
        <f>IFERROR(__xludf.DUMMYFUNCTION("GOOGLETRANSLATE(C259, ""en"", ""hi"")"),"ए) उझिचिल, बी) एडवस, सी) वर्मा, डी) चुवाडु")</f>
        <v>ए) उझिचिल, बी) एडवस, सी) वर्मा, डी) चुवाडु</v>
      </c>
      <c r="I259" s="5" t="str">
        <f>IFERROR(__xludf.DUMMYFUNCTION("GOOGLETRANSLATE(D259, ""en"", ""hi"")"),"A) उझिचिल")</f>
        <v>A) उझिचिल</v>
      </c>
    </row>
    <row r="260" ht="22.5" customHeight="1">
      <c r="A260" s="2">
        <v>259.0</v>
      </c>
      <c r="B260" s="3" t="s">
        <v>14146</v>
      </c>
      <c r="C260" s="3" t="s">
        <v>13978</v>
      </c>
      <c r="D260" s="3" t="s">
        <v>13678</v>
      </c>
      <c r="F260" s="5" t="str">
        <f>IFERROR(__xludf.DUMMYFUNCTION("GOOGLETRANSLATE(A260, ""en"", ""hi"")"),"259")</f>
        <v>259</v>
      </c>
      <c r="G260" s="5" t="str">
        <f>IFERROR(__xludf.DUMMYFUNCTION("GOOGLETRANSLATE(B260, ""en"", ""hi"")"),"आप कलारीपयट्टू की ऐसी तकनीक पर काम कर रहे हैं जिसमें तेज़ और प्रभावी प्रहार शामिल हैं। कौन सी विधि सबसे ज़्यादा प्रासंगिक है?")</f>
        <v>आप कलारीपयट्टू की ऐसी तकनीक पर काम कर रहे हैं जिसमें तेज़ और प्रभावी प्रहार शामिल हैं। कौन सी विधि सबसे ज़्यादा प्रासंगिक है?</v>
      </c>
      <c r="H260" s="5" t="str">
        <f>IFERROR(__xludf.DUMMYFUNCTION("GOOGLETRANSLATE(C260, ""en"", ""hi"")"),"ए) वर्मम, बी) एडवस, सी) चुवाडु, डी) उझिचिल")</f>
        <v>ए) वर्मम, बी) एडवस, सी) चुवाडु, डी) उझिचिल</v>
      </c>
      <c r="I260" s="5" t="str">
        <f>IFERROR(__xludf.DUMMYFUNCTION("GOOGLETRANSLATE(D260, ""en"", ""hi"")"),"ए) वर्माम")</f>
        <v>ए) वर्माम</v>
      </c>
    </row>
    <row r="261" ht="22.5" customHeight="1">
      <c r="A261" s="2">
        <v>260.0</v>
      </c>
      <c r="B261" s="3" t="s">
        <v>14147</v>
      </c>
      <c r="C261" s="3" t="s">
        <v>13981</v>
      </c>
      <c r="D261" s="3" t="s">
        <v>13675</v>
      </c>
      <c r="F261" s="5" t="str">
        <f>IFERROR(__xludf.DUMMYFUNCTION("GOOGLETRANSLATE(A261, ""en"", ""hi"")"),"260")</f>
        <v>260</v>
      </c>
      <c r="G261" s="5" t="str">
        <f>IFERROR(__xludf.DUMMYFUNCTION("GOOGLETRANSLATE(B261, ""en"", ""hi"")"),"कलारीपयट्टू कक्षा में, आप उन तकनीकों पर ध्यान केंद्रित करते हैं जो बचाव और जवाबी हमलों को बेहतर बनाती हैं। आपको किस अभ्यास पर ध्यान केंद्रित करना चाहिए?")</f>
        <v>कलारीपयट्टू कक्षा में, आप उन तकनीकों पर ध्यान केंद्रित करते हैं जो बचाव और जवाबी हमलों को बेहतर बनाती हैं। आपको किस अभ्यास पर ध्यान केंद्रित करना चाहिए?</v>
      </c>
      <c r="H261" s="5" t="str">
        <f>IFERROR(__xludf.DUMMYFUNCTION("GOOGLETRANSLATE(C261, ""en"", ""hi"")"),"ए) चुवडु, बी) वर्मा, सी) मार्मा, डी) एडवस")</f>
        <v>ए) चुवडु, बी) वर्मा, सी) मार्मा, डी) एडवस</v>
      </c>
      <c r="I261" s="5" t="str">
        <f>IFERROR(__xludf.DUMMYFUNCTION("GOOGLETRANSLATE(D261, ""en"", ""hi"")"),"A) चुवाडु")</f>
        <v>A) चुवाडु</v>
      </c>
    </row>
    <row r="262" ht="22.5" customHeight="1">
      <c r="A262" s="2">
        <v>261.0</v>
      </c>
      <c r="B262" s="3" t="s">
        <v>14148</v>
      </c>
      <c r="C262" s="3" t="s">
        <v>14083</v>
      </c>
      <c r="D262" s="3" t="s">
        <v>13932</v>
      </c>
      <c r="F262" s="5" t="str">
        <f>IFERROR(__xludf.DUMMYFUNCTION("GOOGLETRANSLATE(A262, ""en"", ""hi"")"),"261")</f>
        <v>261</v>
      </c>
      <c r="G262" s="5" t="str">
        <f>IFERROR(__xludf.DUMMYFUNCTION("GOOGLETRANSLATE(B262, ""en"", ""hi"")"),"एक कलारीपयट्टू अभ्यासी अपने प्रतिद्वंद्वी पर विशिष्ट दबाव बिंदुओं पर प्रहार करने की तकनीक सीख रहा है। वे किस तकनीक का अभ्यास कर रहे हैं?")</f>
        <v>एक कलारीपयट्टू अभ्यासी अपने प्रतिद्वंद्वी पर विशिष्ट दबाव बिंदुओं पर प्रहार करने की तकनीक सीख रहा है। वे किस तकनीक का अभ्यास कर रहे हैं?</v>
      </c>
      <c r="H262" s="5" t="str">
        <f>IFERROR(__xludf.DUMMYFUNCTION("GOOGLETRANSLATE(C262, ""en"", ""hi"")"),"ए) मार्मा, बी) वर्मम, सी) एडवस, डी) केटी")</f>
        <v>ए) मार्मा, बी) वर्मम, सी) एडवस, डी) केटी</v>
      </c>
      <c r="I262" s="5" t="str">
        <f>IFERROR(__xludf.DUMMYFUNCTION("GOOGLETRANSLATE(D262, ""en"", ""hi"")"),"A) मर्म")</f>
        <v>A) मर्म</v>
      </c>
    </row>
    <row r="263" ht="22.5" customHeight="1">
      <c r="A263" s="2">
        <v>262.0</v>
      </c>
      <c r="B263" s="3" t="s">
        <v>14149</v>
      </c>
      <c r="C263" s="3" t="s">
        <v>14016</v>
      </c>
      <c r="D263" s="3" t="s">
        <v>13684</v>
      </c>
      <c r="F263" s="5" t="str">
        <f>IFERROR(__xludf.DUMMYFUNCTION("GOOGLETRANSLATE(A263, ""en"", ""hi"")"),"262")</f>
        <v>262</v>
      </c>
      <c r="G263" s="5" t="str">
        <f>IFERROR(__xludf.DUMMYFUNCTION("GOOGLETRANSLATE(B263, ""en"", ""hi"")"),"कलारीपयट्टू में, कौन सा अभ्यास समग्र शरीर की कंडीशनिंग और लचीलेपन में सुधार करने के लिए डिज़ाइन किया गया है?")</f>
        <v>कलारीपयट्टू में, कौन सा अभ्यास समग्र शरीर की कंडीशनिंग और लचीलेपन में सुधार करने के लिए डिज़ाइन किया गया है?</v>
      </c>
      <c r="H263" s="5" t="str">
        <f>IFERROR(__xludf.DUMMYFUNCTION("GOOGLETRANSLATE(C263, ""en"", ""hi"")"),"ए) उझिचिल, बी) एडवस, सी) वर्मा, डी) चुवाडु")</f>
        <v>ए) उझिचिल, बी) एडवस, सी) वर्मा, डी) चुवाडु</v>
      </c>
      <c r="I263" s="5" t="str">
        <f>IFERROR(__xludf.DUMMYFUNCTION("GOOGLETRANSLATE(D263, ""en"", ""hi"")"),"A) उझिचिल")</f>
        <v>A) उझिचिल</v>
      </c>
    </row>
    <row r="264" ht="22.5" customHeight="1">
      <c r="A264" s="2">
        <v>263.0</v>
      </c>
      <c r="B264" s="3" t="s">
        <v>14150</v>
      </c>
      <c r="C264" s="3" t="s">
        <v>13713</v>
      </c>
      <c r="D264" s="3" t="s">
        <v>13714</v>
      </c>
      <c r="F264" s="5" t="str">
        <f>IFERROR(__xludf.DUMMYFUNCTION("GOOGLETRANSLATE(A264, ""en"", ""hi"")"),"263")</f>
        <v>263</v>
      </c>
      <c r="G264" s="5" t="str">
        <f>IFERROR(__xludf.DUMMYFUNCTION("GOOGLETRANSLATE(B264, ""en"", ""hi"")"),"कलारीपयट्टू सत्र के दौरान, आपको हथियार के आक्रामक और रक्षात्मक दोनों तरह के इस्तेमाल की तकनीकों का अभ्यास करने के लिए कहा जाता है। आप किस हथियार का इस्तेमाल कर रहे हैं?")</f>
        <v>कलारीपयट्टू सत्र के दौरान, आपको हथियार के आक्रामक और रक्षात्मक दोनों तरह के इस्तेमाल की तकनीकों का अभ्यास करने के लिए कहा जाता है। आप किस हथियार का इस्तेमाल कर रहे हैं?</v>
      </c>
      <c r="H264" s="5" t="str">
        <f>IFERROR(__xludf.DUMMYFUNCTION("GOOGLETRANSLATE(C264, ""en"", ""hi"")"),"A) तलवार, B) गदा, C) भाला, D) खंजर")</f>
        <v>A) तलवार, B) गदा, C) भाला, D) खंजर</v>
      </c>
      <c r="I264" s="5" t="str">
        <f>IFERROR(__xludf.DUMMYFUNCTION("GOOGLETRANSLATE(D264, ""en"", ""hi"")"),"ए) तलवार")</f>
        <v>ए) तलवार</v>
      </c>
    </row>
    <row r="265" ht="22.5" customHeight="1">
      <c r="A265" s="2">
        <v>264.0</v>
      </c>
      <c r="B265" s="3" t="s">
        <v>14151</v>
      </c>
      <c r="C265" s="3" t="s">
        <v>13978</v>
      </c>
      <c r="D265" s="3" t="s">
        <v>13678</v>
      </c>
      <c r="F265" s="5" t="str">
        <f>IFERROR(__xludf.DUMMYFUNCTION("GOOGLETRANSLATE(A265, ""en"", ""hi"")"),"264")</f>
        <v>264</v>
      </c>
      <c r="G265" s="5" t="str">
        <f>IFERROR(__xludf.DUMMYFUNCTION("GOOGLETRANSLATE(B265, ""en"", ""hi"")"),"कलारीपयट्टू में प्रहार तकनीक में सटीकता और गति बढ़ाने के लिए आपको किस अभ्यास पर ध्यान केंद्रित करना चाहिए?")</f>
        <v>कलारीपयट्टू में प्रहार तकनीक में सटीकता और गति बढ़ाने के लिए आपको किस अभ्यास पर ध्यान केंद्रित करना चाहिए?</v>
      </c>
      <c r="H265" s="5" t="str">
        <f>IFERROR(__xludf.DUMMYFUNCTION("GOOGLETRANSLATE(C265, ""en"", ""hi"")"),"ए) वर्मम, बी) एडवस, सी) चुवाडु, डी) उझिचिल")</f>
        <v>ए) वर्मम, बी) एडवस, सी) चुवाडु, डी) उझिचिल</v>
      </c>
      <c r="I265" s="5" t="str">
        <f>IFERROR(__xludf.DUMMYFUNCTION("GOOGLETRANSLATE(D265, ""en"", ""hi"")"),"ए) वर्माम")</f>
        <v>ए) वर्माम</v>
      </c>
    </row>
    <row r="266" ht="22.5" customHeight="1">
      <c r="A266" s="2">
        <v>265.0</v>
      </c>
      <c r="B266" s="3" t="s">
        <v>14152</v>
      </c>
      <c r="C266" s="3" t="s">
        <v>14108</v>
      </c>
      <c r="D266" s="3" t="s">
        <v>13960</v>
      </c>
      <c r="F266" s="5" t="str">
        <f>IFERROR(__xludf.DUMMYFUNCTION("GOOGLETRANSLATE(A266, ""en"", ""hi"")"),"265")</f>
        <v>265</v>
      </c>
      <c r="G266" s="5" t="str">
        <f>IFERROR(__xludf.DUMMYFUNCTION("GOOGLETRANSLATE(B266, ""en"", ""hi"")"),"कलारीपयट्टू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f>
        <v>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v>
      </c>
      <c r="H266" s="5" t="str">
        <f>IFERROR(__xludf.DUMMYFUNCTION("GOOGLETRANSLATE(C266, ""en"", ""hi"")"),"ए) वर्मा, बी) एडवस, सी) चुवाडु, डी) उझिचिल")</f>
        <v>ए) वर्मा, बी) एडवस, सी) चुवाडु, डी) उझिचिल</v>
      </c>
      <c r="I266" s="5" t="str">
        <f>IFERROR(__xludf.DUMMYFUNCTION("GOOGLETRANSLATE(D266, ""en"", ""hi"")"),"ए) वर्मा")</f>
        <v>ए) वर्मा</v>
      </c>
    </row>
    <row r="267" ht="22.5" customHeight="1">
      <c r="A267" s="2">
        <v>266.0</v>
      </c>
      <c r="B267" s="3" t="s">
        <v>14153</v>
      </c>
      <c r="C267" s="3" t="s">
        <v>13981</v>
      </c>
      <c r="D267" s="3" t="s">
        <v>13675</v>
      </c>
      <c r="F267" s="5" t="str">
        <f>IFERROR(__xludf.DUMMYFUNCTION("GOOGLETRANSLATE(A267, ""en"", ""hi"")"),"266")</f>
        <v>266</v>
      </c>
      <c r="G267" s="5" t="str">
        <f>IFERROR(__xludf.DUMMYFUNCTION("GOOGLETRANSLATE(B267, ""en"", ""hi"")"),"आप चपलता और सजगता बढ़ाने के लिए कलारीपयट्टू तकनीक सीख रहे हैं। आपको किस अभ्यास को प्राथमिकता देनी चाहिए?")</f>
        <v>आप चपलता और सजगता बढ़ाने के लिए कलारीपयट्टू तकनीक सीख रहे हैं। आपको किस अभ्यास को प्राथमिकता देनी चाहिए?</v>
      </c>
      <c r="H267" s="5" t="str">
        <f>IFERROR(__xludf.DUMMYFUNCTION("GOOGLETRANSLATE(C267, ""en"", ""hi"")"),"ए) चुवडु, बी) वर्मा, सी) मार्मा, डी) एडवस")</f>
        <v>ए) चुवडु, बी) वर्मा, सी) मार्मा, डी) एडवस</v>
      </c>
      <c r="I267" s="5" t="str">
        <f>IFERROR(__xludf.DUMMYFUNCTION("GOOGLETRANSLATE(D267, ""en"", ""hi"")"),"A) चुवाडु")</f>
        <v>A) चुवाडु</v>
      </c>
    </row>
    <row r="268" ht="22.5" customHeight="1">
      <c r="A268" s="2">
        <v>267.0</v>
      </c>
      <c r="B268" s="3" t="s">
        <v>14154</v>
      </c>
      <c r="C268" s="3" t="s">
        <v>14013</v>
      </c>
      <c r="D268" s="3" t="s">
        <v>13932</v>
      </c>
      <c r="F268" s="5" t="str">
        <f>IFERROR(__xludf.DUMMYFUNCTION("GOOGLETRANSLATE(A268, ""en"", ""hi"")"),"267")</f>
        <v>267</v>
      </c>
      <c r="G268" s="5" t="str">
        <f>IFERROR(__xludf.DUMMYFUNCTION("GOOGLETRANSLATE(B268, ""en"", ""hi"")"),"कलारीपयट्टू में कौन सी तकनीक सटीक महत्वपूर्ण बिंदुओं पर प्रहार करने पर केंद्रित है?")</f>
        <v>कलारीपयट्टू में कौन सी तकनीक सटीक महत्वपूर्ण बिंदुओं पर प्रहार करने पर केंद्रित है?</v>
      </c>
      <c r="H268" s="5" t="str">
        <f>IFERROR(__xludf.DUMMYFUNCTION("GOOGLETRANSLATE(C268, ""en"", ""hi"")"),"ए) मार्मा, बी) वर्मम, सी) एडवस, डी) उझिचिल")</f>
        <v>ए) मार्मा, बी) वर्मम, सी) एडवस, डी) उझिचिल</v>
      </c>
      <c r="I268" s="5" t="str">
        <f>IFERROR(__xludf.DUMMYFUNCTION("GOOGLETRANSLATE(D268, ""en"", ""hi"")"),"A) मर्म")</f>
        <v>A) मर्म</v>
      </c>
    </row>
    <row r="269" ht="22.5" customHeight="1">
      <c r="A269" s="2">
        <v>268.0</v>
      </c>
      <c r="B269" s="3" t="s">
        <v>14155</v>
      </c>
      <c r="C269" s="3" t="s">
        <v>13713</v>
      </c>
      <c r="D269" s="3" t="s">
        <v>13772</v>
      </c>
      <c r="F269" s="5" t="str">
        <f>IFERROR(__xludf.DUMMYFUNCTION("GOOGLETRANSLATE(A269, ""en"", ""hi"")"),"268")</f>
        <v>268</v>
      </c>
      <c r="G269" s="5" t="str">
        <f>IFERROR(__xludf.DUMMYFUNCTION("GOOGLETRANSLATE(B269, ""en"", ""hi"")"),"कलारीपयट्टू प्रशिक्षण के दौरान, आप शक्तिशाली और कुंद बल तकनीकों पर ध्यान केंद्रित कर रहे हैं। आप संभवतः किस हथियार का उपयोग कर रहे हैं?")</f>
        <v>कलारीपयट्टू प्रशिक्षण के दौरान, आप शक्तिशाली और कुंद बल तकनीकों पर ध्यान केंद्रित कर रहे हैं। आप संभवतः किस हथियार का उपयोग कर रहे हैं?</v>
      </c>
      <c r="H269" s="5" t="str">
        <f>IFERROR(__xludf.DUMMYFUNCTION("GOOGLETRANSLATE(C269, ""en"", ""hi"")"),"A) तलवार, B) गदा, C) भाला, D) खंजर")</f>
        <v>A) तलवार, B) गदा, C) भाला, D) खंजर</v>
      </c>
      <c r="I269" s="5" t="str">
        <f>IFERROR(__xludf.DUMMYFUNCTION("GOOGLETRANSLATE(D269, ""en"", ""hi"")"),"बी) गदा")</f>
        <v>बी) गदा</v>
      </c>
    </row>
    <row r="270" ht="22.5" customHeight="1">
      <c r="A270" s="2">
        <v>269.0</v>
      </c>
      <c r="B270" s="3" t="s">
        <v>14145</v>
      </c>
      <c r="C270" s="3" t="s">
        <v>14016</v>
      </c>
      <c r="D270" s="3" t="s">
        <v>13684</v>
      </c>
      <c r="F270" s="5" t="str">
        <f>IFERROR(__xludf.DUMMYFUNCTION("GOOGLETRANSLATE(A270, ""en"", ""hi"")"),"269")</f>
        <v>269</v>
      </c>
      <c r="G270" s="5" t="str">
        <f>IFERROR(__xludf.DUMMYFUNCTION("GOOGLETRANSLATE(B270, ""en"", ""hi"")"),"कलारीपयट्टू में, शरीर की कंडीशनिंग और सहनशक्ति में सुधार के लिए आपको किस अभ्यास पर ध्यान केंद्रित करना चाहिए?")</f>
        <v>कलारीपयट्टू में, शरीर की कंडीशनिंग और सहनशक्ति में सुधार के लिए आपको किस अभ्यास पर ध्यान केंद्रित करना चाहिए?</v>
      </c>
      <c r="H270" s="5" t="str">
        <f>IFERROR(__xludf.DUMMYFUNCTION("GOOGLETRANSLATE(C270, ""en"", ""hi"")"),"ए) उझिचिल, बी) एडवस, सी) वर्मा, डी) चुवाडु")</f>
        <v>ए) उझिचिल, बी) एडवस, सी) वर्मा, डी) चुवाडु</v>
      </c>
      <c r="I270" s="5" t="str">
        <f>IFERROR(__xludf.DUMMYFUNCTION("GOOGLETRANSLATE(D270, ""en"", ""hi"")"),"A) उझिचिल")</f>
        <v>A) उझिचिल</v>
      </c>
    </row>
    <row r="271" ht="22.5" customHeight="1">
      <c r="A271" s="2">
        <v>270.0</v>
      </c>
      <c r="B271" s="3" t="s">
        <v>14156</v>
      </c>
      <c r="C271" s="3" t="s">
        <v>13978</v>
      </c>
      <c r="D271" s="3" t="s">
        <v>13678</v>
      </c>
      <c r="F271" s="5" t="str">
        <f>IFERROR(__xludf.DUMMYFUNCTION("GOOGLETRANSLATE(A271, ""en"", ""hi"")"),"270")</f>
        <v>270</v>
      </c>
      <c r="G271" s="5" t="str">
        <f>IFERROR(__xludf.DUMMYFUNCTION("GOOGLETRANSLATE(B271, ""en"", ""hi"")"),"आप कलारीपयट्टू की तेज़ और सटीक प्रहार वाली तकनीक का अभ्यास कर रहे हैं। आपको किस अभ्यास पर ध्यान केंद्रित करना चाहिए?")</f>
        <v>आप कलारीपयट्टू की तेज़ और सटीक प्रहार वाली तकनीक का अभ्यास कर रहे हैं। आपको किस अभ्यास पर ध्यान केंद्रित करना चाहिए?</v>
      </c>
      <c r="H271" s="5" t="str">
        <f>IFERROR(__xludf.DUMMYFUNCTION("GOOGLETRANSLATE(C271, ""en"", ""hi"")"),"ए) वर्मम, बी) एडवस, सी) चुवाडु, डी) उझिचिल")</f>
        <v>ए) वर्मम, बी) एडवस, सी) चुवाडु, डी) उझिचिल</v>
      </c>
      <c r="I271" s="5" t="str">
        <f>IFERROR(__xludf.DUMMYFUNCTION("GOOGLETRANSLATE(D271, ""en"", ""hi"")"),"ए) वर्माम")</f>
        <v>ए) वर्माम</v>
      </c>
    </row>
    <row r="272" ht="22.5" customHeight="1">
      <c r="A272" s="2">
        <v>271.0</v>
      </c>
      <c r="B272" s="3" t="s">
        <v>14157</v>
      </c>
      <c r="C272" s="3" t="s">
        <v>13981</v>
      </c>
      <c r="D272" s="3" t="s">
        <v>13675</v>
      </c>
      <c r="F272" s="5" t="str">
        <f>IFERROR(__xludf.DUMMYFUNCTION("GOOGLETRANSLATE(A272, ""en"", ""hi"")"),"271")</f>
        <v>271</v>
      </c>
      <c r="G272" s="5" t="str">
        <f>IFERROR(__xludf.DUMMYFUNCTION("GOOGLETRANSLATE(B272, ""en"", ""hi"")"),"कलारीपयट्टू में, कौन सा अभ्यास हमलों से बचने और प्रभावी ढंग से मुकाबला करने की क्षमता में सुधार करने के लिए डिज़ाइन किया गया है?")</f>
        <v>कलारीपयट्टू में, कौन सा अभ्यास हमलों से बचने और प्रभावी ढंग से मुकाबला करने की क्षमता में सुधार करने के लिए डिज़ाइन किया गया है?</v>
      </c>
      <c r="H272" s="5" t="str">
        <f>IFERROR(__xludf.DUMMYFUNCTION("GOOGLETRANSLATE(C272, ""en"", ""hi"")"),"ए) चुवडु, बी) वर्मा, सी) मार्मा, डी) एडवस")</f>
        <v>ए) चुवडु, बी) वर्मा, सी) मार्मा, डी) एडवस</v>
      </c>
      <c r="I272" s="5" t="str">
        <f>IFERROR(__xludf.DUMMYFUNCTION("GOOGLETRANSLATE(D272, ""en"", ""hi"")"),"A) चुवाडु")</f>
        <v>A) चुवाडु</v>
      </c>
    </row>
    <row r="273" ht="22.5" customHeight="1">
      <c r="A273" s="2">
        <v>272.0</v>
      </c>
      <c r="B273" s="3" t="s">
        <v>14158</v>
      </c>
      <c r="C273" s="3" t="s">
        <v>14083</v>
      </c>
      <c r="D273" s="3" t="s">
        <v>13932</v>
      </c>
      <c r="F273" s="5" t="str">
        <f>IFERROR(__xludf.DUMMYFUNCTION("GOOGLETRANSLATE(A273, ""en"", ""hi"")"),"272")</f>
        <v>272</v>
      </c>
      <c r="G273" s="5" t="str">
        <f>IFERROR(__xludf.DUMMYFUNCTION("GOOGLETRANSLATE(B273, ""en"", ""hi"")"),"एक कलारीपयट्टू अभ्यासी विशिष्ट दबाव बिंदुओं पर सटीक प्रहार पर ध्यान केंद्रित कर रहा है। वे किस तकनीक का अभ्यास कर रहे हैं?")</f>
        <v>एक कलारीपयट्टू अभ्यासी विशिष्ट दबाव बिंदुओं पर सटीक प्रहार पर ध्यान केंद्रित कर रहा है। वे किस तकनीक का अभ्यास कर रहे हैं?</v>
      </c>
      <c r="H273" s="5" t="str">
        <f>IFERROR(__xludf.DUMMYFUNCTION("GOOGLETRANSLATE(C273, ""en"", ""hi"")"),"ए) मार्मा, बी) वर्मम, सी) एडवस, डी) केटी")</f>
        <v>ए) मार्मा, बी) वर्मम, सी) एडवस, डी) केटी</v>
      </c>
      <c r="I273" s="5" t="str">
        <f>IFERROR(__xludf.DUMMYFUNCTION("GOOGLETRANSLATE(D273, ""en"", ""hi"")"),"A) मर्म")</f>
        <v>A) मर्म</v>
      </c>
    </row>
    <row r="274" ht="22.5" customHeight="1">
      <c r="A274" s="2">
        <v>273.0</v>
      </c>
      <c r="B274" s="3" t="s">
        <v>14133</v>
      </c>
      <c r="C274" s="3" t="s">
        <v>14016</v>
      </c>
      <c r="D274" s="3" t="s">
        <v>13684</v>
      </c>
      <c r="F274" s="5" t="str">
        <f>IFERROR(__xludf.DUMMYFUNCTION("GOOGLETRANSLATE(A274, ""en"", ""hi"")"),"273")</f>
        <v>273</v>
      </c>
      <c r="G274" s="5" t="str">
        <f>IFERROR(__xludf.DUMMYFUNCTION("GOOGLETRANSLATE(B274, ""en"", ""hi"")"),"कलारीपयट्टू में, कौन सा अभ्यास शरीर की कंडीशनिंग और समग्र शारीरिक सहनशक्ति में सुधार पर केंद्रित है?")</f>
        <v>कलारीपयट्टू में, कौन सा अभ्यास शरीर की कंडीशनिंग और समग्र शारीरिक सहनशक्ति में सुधार पर केंद्रित है?</v>
      </c>
      <c r="H274" s="5" t="str">
        <f>IFERROR(__xludf.DUMMYFUNCTION("GOOGLETRANSLATE(C274, ""en"", ""hi"")"),"ए) उझिचिल, बी) एडवस, सी) वर्मा, डी) चुवाडु")</f>
        <v>ए) उझिचिल, बी) एडवस, सी) वर्मा, डी) चुवाडु</v>
      </c>
      <c r="I274" s="5" t="str">
        <f>IFERROR(__xludf.DUMMYFUNCTION("GOOGLETRANSLATE(D274, ""en"", ""hi"")"),"A) उझिचिल")</f>
        <v>A) उझिचिल</v>
      </c>
    </row>
    <row r="275" ht="22.5" customHeight="1">
      <c r="A275" s="2">
        <v>274.0</v>
      </c>
      <c r="B275" s="3" t="s">
        <v>14159</v>
      </c>
      <c r="C275" s="3" t="s">
        <v>14013</v>
      </c>
      <c r="D275" s="3" t="s">
        <v>13932</v>
      </c>
      <c r="F275" s="5" t="str">
        <f>IFERROR(__xludf.DUMMYFUNCTION("GOOGLETRANSLATE(A275, ""en"", ""hi"")"),"274")</f>
        <v>274</v>
      </c>
      <c r="G275" s="5" t="str">
        <f>IFERROR(__xludf.DUMMYFUNCTION("GOOGLETRANSLATE(B275, ""en"", ""hi"")"),"कलारीपयट्टू सत्र के दौरान, आप अपने प्रतिद्वंद्वी को तुरंत निष्क्रिय करने के लिए महत्वपूर्ण बिंदुओं पर प्रहार करने की तकनीक पर ध्यान केंद्रित करते हैं। आप किस अभ्यास में लगे हैं?")</f>
        <v>कलारीपयट्टू सत्र के दौरान, आप अपने प्रतिद्वंद्वी को तुरंत निष्क्रिय करने के लिए महत्वपूर्ण बिंदुओं पर प्रहार करने की तकनीक पर ध्यान केंद्रित करते हैं। आप किस अभ्यास में लगे हैं?</v>
      </c>
      <c r="H275" s="5" t="str">
        <f>IFERROR(__xludf.DUMMYFUNCTION("GOOGLETRANSLATE(C275, ""en"", ""hi"")"),"ए) मार्मा, बी) वर्मम, सी) एडवस, डी) उझिचिल")</f>
        <v>ए) मार्मा, बी) वर्मम, सी) एडवस, डी) उझिचिल</v>
      </c>
      <c r="I275" s="5" t="str">
        <f>IFERROR(__xludf.DUMMYFUNCTION("GOOGLETRANSLATE(D275, ""en"", ""hi"")"),"A) मर्म")</f>
        <v>A) मर्म</v>
      </c>
    </row>
    <row r="276" ht="22.5" customHeight="1">
      <c r="A276" s="2">
        <v>275.0</v>
      </c>
      <c r="B276" s="3" t="s">
        <v>14160</v>
      </c>
      <c r="C276" s="3" t="s">
        <v>13713</v>
      </c>
      <c r="D276" s="3" t="s">
        <v>14065</v>
      </c>
      <c r="F276" s="5" t="str">
        <f>IFERROR(__xludf.DUMMYFUNCTION("GOOGLETRANSLATE(A276, ""en"", ""hi"")"),"275")</f>
        <v>275</v>
      </c>
      <c r="G276" s="5" t="str">
        <f>IFERROR(__xludf.DUMMYFUNCTION("GOOGLETRANSLATE(B276, ""en"", ""hi"")"),"आप कलारीपयट्टू का अभ्यास कर रहे हैं और आपसे आक्रमण और बचाव दोनों के लिए एक लंबे हथियार का उपयोग करने की तकनीक का प्रदर्शन करने को कहा गया है। आप सबसे ज़्यादा किस हथियार का उपयोग कर रहे हैं?")</f>
        <v>आप कलारीपयट्टू का अभ्यास कर रहे हैं और आपसे आक्रमण और बचाव दोनों के लिए एक लंबे हथियार का उपयोग करने की तकनीक का प्रदर्शन करने को कहा गया है। आप सबसे ज़्यादा किस हथियार का उपयोग कर रहे हैं?</v>
      </c>
      <c r="H276" s="5" t="str">
        <f>IFERROR(__xludf.DUMMYFUNCTION("GOOGLETRANSLATE(C276, ""en"", ""hi"")"),"A) तलवार, B) गदा, C) भाला, D) खंजर")</f>
        <v>A) तलवार, B) गदा, C) भाला, D) खंजर</v>
      </c>
      <c r="I276" s="5" t="str">
        <f>IFERROR(__xludf.DUMMYFUNCTION("GOOGLETRANSLATE(D276, ""en"", ""hi"")"),"सी) भाला")</f>
        <v>सी) भाला</v>
      </c>
    </row>
    <row r="277" ht="22.5" customHeight="1">
      <c r="A277" s="2">
        <v>276.0</v>
      </c>
      <c r="B277" s="3" t="s">
        <v>14161</v>
      </c>
      <c r="C277" s="3" t="s">
        <v>13965</v>
      </c>
      <c r="D277" s="3" t="s">
        <v>13684</v>
      </c>
      <c r="F277" s="5" t="str">
        <f>IFERROR(__xludf.DUMMYFUNCTION("GOOGLETRANSLATE(A277, ""en"", ""hi"")"),"276")</f>
        <v>276</v>
      </c>
      <c r="G277" s="5" t="str">
        <f>IFERROR(__xludf.DUMMYFUNCTION("GOOGLETRANSLATE(B277, ""en"", ""hi"")"),"कलारीपयट्टू कक्षा में, आप अपने लचीलेपन और शरीर की कंडीशनिंग को बेहतर बनाने की तकनीकों पर काम कर रहे हैं। आपको किस अभ्यास पर ध्यान केंद्रित करना चाहिए?")</f>
        <v>कलारीपयट्टू कक्षा में, आप अपने लचीलेपन और शरीर की कंडीशनिंग को बेहतर बनाने की तकनीकों पर काम कर रहे हैं। आपको किस अभ्यास पर ध्यान केंद्रित करना चाहिए?</v>
      </c>
      <c r="H277" s="5" t="str">
        <f>IFERROR(__xludf.DUMMYFUNCTION("GOOGLETRANSLATE(C277, ""en"", ""hi"")"),"ए) उझिचिल, बी) एडवस, सी) मार्मा, डी) चुवाडु")</f>
        <v>ए) उझिचिल, बी) एडवस, सी) मार्मा, डी) चुवाडु</v>
      </c>
      <c r="I277" s="5" t="str">
        <f>IFERROR(__xludf.DUMMYFUNCTION("GOOGLETRANSLATE(D277, ""en"", ""hi"")"),"A) उझिचिल")</f>
        <v>A) उझिचिल</v>
      </c>
    </row>
    <row r="278" ht="22.5" customHeight="1">
      <c r="A278" s="2">
        <v>277.0</v>
      </c>
      <c r="B278" s="3" t="s">
        <v>14162</v>
      </c>
      <c r="C278" s="3" t="s">
        <v>14163</v>
      </c>
      <c r="D278" s="3" t="s">
        <v>13932</v>
      </c>
      <c r="F278" s="5" t="str">
        <f>IFERROR(__xludf.DUMMYFUNCTION("GOOGLETRANSLATE(A278, ""en"", ""hi"")"),"277")</f>
        <v>277</v>
      </c>
      <c r="G278" s="5" t="str">
        <f>IFERROR(__xludf.DUMMYFUNCTION("GOOGLETRANSLATE(B278, ""en"", ""hi"")"),"आप कलारीपयट्टू की एक ऐसी तकनीक सीख रहे हैं जिसमें प्रतिद्वंद्वी के शरीर के विशिष्ट बिंदुओं पर सटीक प्रहार करने पर ज़ोर दिया जाता है। आप किस तकनीक का अभ्यास कर रहे हैं?")</f>
        <v>आप कलारीपयट्टू की एक ऐसी तकनीक सीख रहे हैं जिसमें प्रतिद्वंद्वी के शरीर के विशिष्ट बिंदुओं पर सटीक प्रहार करने पर ज़ोर दिया जाता है। आप किस तकनीक का अभ्यास कर रहे हैं?</v>
      </c>
      <c r="H278" s="5" t="str">
        <f>IFERROR(__xludf.DUMMYFUNCTION("GOOGLETRANSLATE(C278, ""en"", ""hi"")"),"ए) मार्मा, बी) वर्मम, सी) चुवडु, डी) एडवस")</f>
        <v>ए) मार्मा, बी) वर्मम, सी) चुवडु, डी) एडवस</v>
      </c>
      <c r="I278" s="5" t="str">
        <f>IFERROR(__xludf.DUMMYFUNCTION("GOOGLETRANSLATE(D278, ""en"", ""hi"")"),"A) मर्म")</f>
        <v>A) मर्म</v>
      </c>
    </row>
    <row r="279" ht="22.5" customHeight="1">
      <c r="A279" s="2">
        <v>278.0</v>
      </c>
      <c r="B279" s="3" t="s">
        <v>14164</v>
      </c>
      <c r="C279" s="3" t="s">
        <v>14081</v>
      </c>
      <c r="D279" s="3" t="s">
        <v>13675</v>
      </c>
      <c r="F279" s="5" t="str">
        <f>IFERROR(__xludf.DUMMYFUNCTION("GOOGLETRANSLATE(A279, ""en"", ""hi"")"),"278")</f>
        <v>278</v>
      </c>
      <c r="G279" s="5" t="str">
        <f>IFERROR(__xludf.DUMMYFUNCTION("GOOGLETRANSLATE(B279, ""en"", ""hi"")"),"कलारीपयट्टू में, आपको तेज़ और प्रभावी फुटवर्क करने की अपनी क्षमता को निखारना होगा। आपको किस अभ्यास को प्राथमिकता देनी चाहिए?")</f>
        <v>कलारीपयट्टू में, आपको तेज़ और प्रभावी फुटवर्क करने की अपनी क्षमता को निखारना होगा। आपको किस अभ्यास को प्राथमिकता देनी चाहिए?</v>
      </c>
      <c r="H279" s="5" t="str">
        <f>IFERROR(__xludf.DUMMYFUNCTION("GOOGLETRANSLATE(C279, ""en"", ""hi"")"),"ए) चुवाडु, बी) वर्मा, सी) एडवस, डी) उझिचिल")</f>
        <v>ए) चुवाडु, बी) वर्मा, सी) एडवस, डी) उझिचिल</v>
      </c>
      <c r="I279" s="5" t="str">
        <f>IFERROR(__xludf.DUMMYFUNCTION("GOOGLETRANSLATE(D279, ""en"", ""hi"")"),"A) चुवाडु")</f>
        <v>A) चुवाडु</v>
      </c>
    </row>
    <row r="280" ht="22.5" customHeight="1">
      <c r="A280" s="2">
        <v>279.0</v>
      </c>
      <c r="B280" s="3" t="s">
        <v>14165</v>
      </c>
      <c r="C280" s="3" t="s">
        <v>13713</v>
      </c>
      <c r="D280" s="3" t="s">
        <v>13772</v>
      </c>
      <c r="F280" s="5" t="str">
        <f>IFERROR(__xludf.DUMMYFUNCTION("GOOGLETRANSLATE(A280, ""en"", ""hi"")"),"279")</f>
        <v>279</v>
      </c>
      <c r="G280" s="5" t="str">
        <f>IFERROR(__xludf.DUMMYFUNCTION("GOOGLETRANSLATE(B280, ""en"", ""hi"")"),"कलारीपयट्टू कक्षा के दौरान, आप शक्तिशाली प्रहारों और कुंद बल वाली तकनीकों का अभ्यास कर रहे होते हैं। आप सबसे ज़्यादा किस हथियार का इस्तेमाल करते हैं?")</f>
        <v>कलारीपयट्टू कक्षा के दौरान, आप शक्तिशाली प्रहारों और कुंद बल वाली तकनीकों का अभ्यास कर रहे होते हैं। आप सबसे ज़्यादा किस हथियार का इस्तेमाल करते हैं?</v>
      </c>
      <c r="H280" s="5" t="str">
        <f>IFERROR(__xludf.DUMMYFUNCTION("GOOGLETRANSLATE(C280, ""en"", ""hi"")"),"A) तलवार, B) गदा, C) भाला, D) खंजर")</f>
        <v>A) तलवार, B) गदा, C) भाला, D) खंजर</v>
      </c>
      <c r="I280" s="5" t="str">
        <f>IFERROR(__xludf.DUMMYFUNCTION("GOOGLETRANSLATE(D280, ""en"", ""hi"")"),"बी) गदा")</f>
        <v>बी) गदा</v>
      </c>
    </row>
    <row r="281" ht="22.5" customHeight="1">
      <c r="A281" s="2">
        <v>280.0</v>
      </c>
      <c r="B281" s="3" t="s">
        <v>14166</v>
      </c>
      <c r="C281" s="3" t="s">
        <v>13978</v>
      </c>
      <c r="D281" s="3" t="s">
        <v>13678</v>
      </c>
      <c r="F281" s="5" t="str">
        <f>IFERROR(__xludf.DUMMYFUNCTION("GOOGLETRANSLATE(A281, ""en"", ""hi"")"),"280")</f>
        <v>280</v>
      </c>
      <c r="G281" s="5" t="str">
        <f>IFERROR(__xludf.DUMMYFUNCTION("GOOGLETRANSLATE(B281, ""en"", ""hi"")"),"आप कलारीपयट्टू तकनीक सीख रहे हैं जो हथियार के प्रहार में आपकी गति और सटीकता को बेहतर बनाने पर केंद्रित है। कौन सा अभ्यास सबसे अधिक प्रासंगिक है?")</f>
        <v>आप कलारीपयट्टू तकनीक सीख रहे हैं जो हथियार के प्रहार में आपकी गति और सटीकता को बेहतर बनाने पर केंद्रित है। कौन सा अभ्यास सबसे अधिक प्रासंगिक है?</v>
      </c>
      <c r="H281" s="5" t="str">
        <f>IFERROR(__xludf.DUMMYFUNCTION("GOOGLETRANSLATE(C281, ""en"", ""hi"")"),"ए) वर्मम, बी) एडवस, सी) चुवाडु, डी) उझिचिल")</f>
        <v>ए) वर्मम, बी) एडवस, सी) चुवाडु, डी) उझिचिल</v>
      </c>
      <c r="I281" s="5" t="str">
        <f>IFERROR(__xludf.DUMMYFUNCTION("GOOGLETRANSLATE(D281, ""en"", ""hi"")"),"ए) वर्माम")</f>
        <v>ए) वर्माम</v>
      </c>
    </row>
    <row r="282" ht="22.5" customHeight="1">
      <c r="A282" s="2">
        <v>281.0</v>
      </c>
      <c r="B282" s="3" t="s">
        <v>14167</v>
      </c>
      <c r="C282" s="3" t="s">
        <v>13981</v>
      </c>
      <c r="D282" s="3" t="s">
        <v>13675</v>
      </c>
      <c r="F282" s="5" t="str">
        <f>IFERROR(__xludf.DUMMYFUNCTION("GOOGLETRANSLATE(A282, ""en"", ""hi"")"),"281")</f>
        <v>281</v>
      </c>
      <c r="G282" s="5" t="str">
        <f>IFERROR(__xludf.DUMMYFUNCTION("GOOGLETRANSLATE(B282, ""en"", ""hi"")"),"कलारीपयट्टू में, आप उन तकनीकों पर ध्यान केंद्रित करते हैं जो आपकी बचने और हमलों का जवाब देने की क्षमता को बढ़ाती हैं। आपको किस अभ्यास पर ध्यान केंद्रित करना चाहिए?")</f>
        <v>कलारीपयट्टू में, आप उन तकनीकों पर ध्यान केंद्रित करते हैं जो आपकी बचने और हमलों का जवाब देने की क्षमता को बढ़ाती हैं। आपको किस अभ्यास पर ध्यान केंद्रित करना चाहिए?</v>
      </c>
      <c r="H282" s="5" t="str">
        <f>IFERROR(__xludf.DUMMYFUNCTION("GOOGLETRANSLATE(C282, ""en"", ""hi"")"),"ए) चुवडु, बी) वर्मा, सी) मार्मा, डी) एडवस")</f>
        <v>ए) चुवडु, बी) वर्मा, सी) मार्मा, डी) एडवस</v>
      </c>
      <c r="I282" s="5" t="str">
        <f>IFERROR(__xludf.DUMMYFUNCTION("GOOGLETRANSLATE(D282, ""en"", ""hi"")"),"A) चुवाडु")</f>
        <v>A) चुवाडु</v>
      </c>
    </row>
    <row r="283" ht="22.5" customHeight="1">
      <c r="A283" s="2">
        <v>282.0</v>
      </c>
      <c r="B283" s="3" t="s">
        <v>14168</v>
      </c>
      <c r="C283" s="3" t="s">
        <v>14013</v>
      </c>
      <c r="D283" s="3" t="s">
        <v>13932</v>
      </c>
      <c r="F283" s="5" t="str">
        <f>IFERROR(__xludf.DUMMYFUNCTION("GOOGLETRANSLATE(A283, ""en"", ""hi"")"),"282")</f>
        <v>282</v>
      </c>
      <c r="G283" s="5" t="str">
        <f>IFERROR(__xludf.DUMMYFUNCTION("GOOGLETRANSLATE(B283, ""en"", ""hi"")"),"एक कलारीपयट्टू अभ्यासी अपने प्रतिद्वंद्वी पर सटीक दबाव बिंदुओं पर प्रहार करने की तकनीकों पर ध्यान केंद्रित कर रहा है। वे किस तकनीक पर काम कर रहे हैं?")</f>
        <v>एक कलारीपयट्टू अभ्यासी अपने प्रतिद्वंद्वी पर सटीक दबाव बिंदुओं पर प्रहार करने की तकनीकों पर ध्यान केंद्रित कर रहा है। वे किस तकनीक पर काम कर रहे हैं?</v>
      </c>
      <c r="H283" s="5" t="str">
        <f>IFERROR(__xludf.DUMMYFUNCTION("GOOGLETRANSLATE(C283, ""en"", ""hi"")"),"ए) मार्मा, बी) वर्मम, सी) एडवस, डी) उझिचिल")</f>
        <v>ए) मार्मा, बी) वर्मम, सी) एडवस, डी) उझिचिल</v>
      </c>
      <c r="I283" s="5" t="str">
        <f>IFERROR(__xludf.DUMMYFUNCTION("GOOGLETRANSLATE(D283, ""en"", ""hi"")"),"A) मर्म")</f>
        <v>A) मर्म</v>
      </c>
    </row>
    <row r="284" ht="22.5" customHeight="1">
      <c r="A284" s="2">
        <v>283.0</v>
      </c>
      <c r="B284" s="3" t="s">
        <v>14169</v>
      </c>
      <c r="C284" s="3" t="s">
        <v>14016</v>
      </c>
      <c r="D284" s="3" t="s">
        <v>13684</v>
      </c>
      <c r="F284" s="5" t="str">
        <f>IFERROR(__xludf.DUMMYFUNCTION("GOOGLETRANSLATE(A284, ""en"", ""hi"")"),"283")</f>
        <v>283</v>
      </c>
      <c r="G284" s="5" t="str">
        <f>IFERROR(__xludf.DUMMYFUNCTION("GOOGLETRANSLATE(B284, ""en"", ""hi"")"),"कलारीपयट्टू सत्र के दौरान, आप अपनी ताकत और लचीलेपन को बेहतर बनाने के लिए शरीर की कंडीशनिंग के व्यायाम कर रहे हैं। आप कौन-सा अभ्यास कर रहे हैं?")</f>
        <v>कलारीपयट्टू सत्र के दौरान, आप अपनी ताकत और लचीलेपन को बेहतर बनाने के लिए शरीर की कंडीशनिंग के व्यायाम कर रहे हैं। आप कौन-सा अभ्यास कर रहे हैं?</v>
      </c>
      <c r="H284" s="5" t="str">
        <f>IFERROR(__xludf.DUMMYFUNCTION("GOOGLETRANSLATE(C284, ""en"", ""hi"")"),"ए) उझिचिल, बी) एडवस, सी) वर्मा, डी) चुवाडु")</f>
        <v>ए) उझिचिल, बी) एडवस, सी) वर्मा, डी) चुवाडु</v>
      </c>
      <c r="I284" s="5" t="str">
        <f>IFERROR(__xludf.DUMMYFUNCTION("GOOGLETRANSLATE(D284, ""en"", ""hi"")"),"A) उझिचिल")</f>
        <v>A) उझिचिल</v>
      </c>
    </row>
    <row r="285" ht="22.5" customHeight="1">
      <c r="A285" s="2">
        <v>284.0</v>
      </c>
      <c r="B285" s="3" t="s">
        <v>14170</v>
      </c>
      <c r="C285" s="3" t="s">
        <v>13713</v>
      </c>
      <c r="D285" s="3" t="s">
        <v>13772</v>
      </c>
      <c r="F285" s="5" t="str">
        <f>IFERROR(__xludf.DUMMYFUNCTION("GOOGLETRANSLATE(A285, ""en"", ""hi"")"),"284")</f>
        <v>284</v>
      </c>
      <c r="G285" s="5" t="str">
        <f>IFERROR(__xludf.DUMMYFUNCTION("GOOGLETRANSLATE(B285, ""en"", ""hi"")"),"कलारीपयट्टू में, किस अभ्यास में शक्तिशाली और व्यापक हमलों के लिए हथियार का उपयोग किया जाता है?")</f>
        <v>कलारीपयट्टू में, किस अभ्यास में शक्तिशाली और व्यापक हमलों के लिए हथियार का उपयोग किया जाता है?</v>
      </c>
      <c r="H285" s="5" t="str">
        <f>IFERROR(__xludf.DUMMYFUNCTION("GOOGLETRANSLATE(C285, ""en"", ""hi"")"),"A) तलवार, B) गदा, C) भाला, D) खंजर")</f>
        <v>A) तलवार, B) गदा, C) भाला, D) खंजर</v>
      </c>
      <c r="I285" s="5" t="str">
        <f>IFERROR(__xludf.DUMMYFUNCTION("GOOGLETRANSLATE(D285, ""en"", ""hi"")"),"बी) गदा")</f>
        <v>बी) गदा</v>
      </c>
    </row>
    <row r="286" ht="22.5" customHeight="1">
      <c r="A286" s="2">
        <v>285.0</v>
      </c>
      <c r="B286" s="3" t="s">
        <v>14171</v>
      </c>
      <c r="C286" s="3" t="s">
        <v>13978</v>
      </c>
      <c r="D286" s="3" t="s">
        <v>13678</v>
      </c>
      <c r="F286" s="5" t="str">
        <f>IFERROR(__xludf.DUMMYFUNCTION("GOOGLETRANSLATE(A286, ""en"", ""hi"")"),"285")</f>
        <v>285</v>
      </c>
      <c r="G286" s="5" t="str">
        <f>IFERROR(__xludf.DUMMYFUNCTION("GOOGLETRANSLATE(B286, ""en"", ""hi"")"),"आप कलारीपयट्टू की ऐसी तकनीकें सीख रहे हैं जिनमें तेज़ और सटीक गति की ज़रूरत होती है। आपको किस अभ्यास पर ध्यान केंद्रित करना चाहिए?")</f>
        <v>आप कलारीपयट्टू की ऐसी तकनीकें सीख रहे हैं जिनमें तेज़ और सटीक गति की ज़रूरत होती है। आपको किस अभ्यास पर ध्यान केंद्रित करना चाहिए?</v>
      </c>
      <c r="H286" s="5" t="str">
        <f>IFERROR(__xludf.DUMMYFUNCTION("GOOGLETRANSLATE(C286, ""en"", ""hi"")"),"ए) वर्मम, बी) एडवस, सी) चुवाडु, डी) उझिचिल")</f>
        <v>ए) वर्मम, बी) एडवस, सी) चुवाडु, डी) उझिचिल</v>
      </c>
      <c r="I286" s="5" t="str">
        <f>IFERROR(__xludf.DUMMYFUNCTION("GOOGLETRANSLATE(D286, ""en"", ""hi"")"),"ए) वर्माम")</f>
        <v>ए) वर्माम</v>
      </c>
    </row>
    <row r="287" ht="22.5" customHeight="1">
      <c r="A287" s="2">
        <v>286.0</v>
      </c>
      <c r="B287" s="3" t="s">
        <v>14172</v>
      </c>
      <c r="C287" s="3" t="s">
        <v>13981</v>
      </c>
      <c r="D287" s="3" t="s">
        <v>13675</v>
      </c>
      <c r="F287" s="5" t="str">
        <f>IFERROR(__xludf.DUMMYFUNCTION("GOOGLETRANSLATE(A287, ""en"", ""hi"")"),"286")</f>
        <v>286</v>
      </c>
      <c r="G287" s="5" t="str">
        <f>IFERROR(__xludf.DUMMYFUNCTION("GOOGLETRANSLATE(B287, ""en"", ""hi"")"),"कलारीपयट्टू कक्षा के दौरान, आप अपनी चपलता और सजगता को बेहतर बनाने पर ध्यान केंद्रित कर रहे हैं। कौन सा अभ्यास सबसे अधिक प्रासंगिक है?")</f>
        <v>कलारीपयट्टू कक्षा के दौरान, आप अपनी चपलता और सजगता को बेहतर बनाने पर ध्यान केंद्रित कर रहे हैं। कौन सा अभ्यास सबसे अधिक प्रासंगिक है?</v>
      </c>
      <c r="H287" s="5" t="str">
        <f>IFERROR(__xludf.DUMMYFUNCTION("GOOGLETRANSLATE(C287, ""en"", ""hi"")"),"ए) चुवडु, बी) वर्मा, सी) मार्मा, डी) एडवस")</f>
        <v>ए) चुवडु, बी) वर्मा, सी) मार्मा, डी) एडवस</v>
      </c>
      <c r="I287" s="5" t="str">
        <f>IFERROR(__xludf.DUMMYFUNCTION("GOOGLETRANSLATE(D287, ""en"", ""hi"")"),"A) चुवाडु")</f>
        <v>A) चुवाडु</v>
      </c>
    </row>
    <row r="288" ht="22.5" customHeight="1">
      <c r="A288" s="2">
        <v>287.0</v>
      </c>
      <c r="B288" s="3" t="s">
        <v>14173</v>
      </c>
      <c r="C288" s="3" t="s">
        <v>14013</v>
      </c>
      <c r="D288" s="3" t="s">
        <v>13932</v>
      </c>
      <c r="F288" s="5" t="str">
        <f>IFERROR(__xludf.DUMMYFUNCTION("GOOGLETRANSLATE(A288, ""en"", ""hi"")"),"287")</f>
        <v>287</v>
      </c>
      <c r="G288" s="5" t="str">
        <f>IFERROR(__xludf.DUMMYFUNCTION("GOOGLETRANSLATE(B288, ""en"", ""hi"")"),"कलारीपयट्टू में, कौन सी तकनीक प्रतिद्वंद्वी को अशक्त करने के लिए विशिष्ट दबाव बिंदुओं के उपयोग पर जोर देती है?")</f>
        <v>कलारीपयट्टू में, कौन सी तकनीक प्रतिद्वंद्वी को अशक्त करने के लिए विशिष्ट दबाव बिंदुओं के उपयोग पर जोर देती है?</v>
      </c>
      <c r="H288" s="5" t="str">
        <f>IFERROR(__xludf.DUMMYFUNCTION("GOOGLETRANSLATE(C288, ""en"", ""hi"")"),"ए) मार्मा, बी) वर्मम, सी) एडवस, डी) उझिचिल")</f>
        <v>ए) मार्मा, बी) वर्मम, सी) एडवस, डी) उझिचिल</v>
      </c>
      <c r="I288" s="5" t="str">
        <f>IFERROR(__xludf.DUMMYFUNCTION("GOOGLETRANSLATE(D288, ""en"", ""hi"")"),"A) मर्म")</f>
        <v>A) मर्म</v>
      </c>
    </row>
    <row r="289" ht="22.5" customHeight="1">
      <c r="A289" s="2">
        <v>288.0</v>
      </c>
      <c r="B289" s="3" t="s">
        <v>14174</v>
      </c>
      <c r="C289" s="3" t="s">
        <v>13713</v>
      </c>
      <c r="D289" s="3" t="s">
        <v>13714</v>
      </c>
      <c r="F289" s="5" t="str">
        <f>IFERROR(__xludf.DUMMYFUNCTION("GOOGLETRANSLATE(A289, ""en"", ""hi"")"),"288")</f>
        <v>288</v>
      </c>
      <c r="G289" s="5" t="str">
        <f>IFERROR(__xludf.DUMMYFUNCTION("GOOGLETRANSLATE(B289, ""en"", ""hi"")"),"आप कलारीपयट्टू का अभ्यास कर रहे हैं और आपसे हथियार के आक्रामक और रक्षात्मक दोनों तरह के इस्तेमाल की तकनीकें प्रदर्शित करने को कहा गया है। आप कौन सा हथियार इस्तेमाल कर रहे हैं?")</f>
        <v>आप कलारीपयट्टू का अभ्यास कर रहे हैं और आपसे हथियार के आक्रामक और रक्षात्मक दोनों तरह के इस्तेमाल की तकनीकें प्रदर्शित करने को कहा गया है। आप कौन सा हथियार इस्तेमाल कर रहे हैं?</v>
      </c>
      <c r="H289" s="5" t="str">
        <f>IFERROR(__xludf.DUMMYFUNCTION("GOOGLETRANSLATE(C289, ""en"", ""hi"")"),"A) तलवार, B) गदा, C) भाला, D) खंजर")</f>
        <v>A) तलवार, B) गदा, C) भाला, D) खंजर</v>
      </c>
      <c r="I289" s="5" t="str">
        <f>IFERROR(__xludf.DUMMYFUNCTION("GOOGLETRANSLATE(D289, ""en"", ""hi"")"),"ए) तलवार")</f>
        <v>ए) तलवार</v>
      </c>
    </row>
    <row r="290" ht="22.5" customHeight="1">
      <c r="A290" s="2">
        <v>289.0</v>
      </c>
      <c r="B290" s="3" t="s">
        <v>14175</v>
      </c>
      <c r="C290" s="3" t="s">
        <v>13978</v>
      </c>
      <c r="D290" s="3" t="s">
        <v>13678</v>
      </c>
      <c r="F290" s="5" t="str">
        <f>IFERROR(__xludf.DUMMYFUNCTION("GOOGLETRANSLATE(A290, ""en"", ""hi"")"),"289")</f>
        <v>289</v>
      </c>
      <c r="G290" s="5" t="str">
        <f>IFERROR(__xludf.DUMMYFUNCTION("GOOGLETRANSLATE(B290, ""en"", ""hi"")"),"कलारीपयट्टू में सटीकता और गति से प्रहार करने की अपनी क्षमता बढ़ाने के लिए आपको किस अभ्यास पर ध्यान केंद्रित करना चाहिए?")</f>
        <v>कलारीपयट्टू में सटीकता और गति से प्रहार करने की अपनी क्षमता बढ़ाने के लिए आपको किस अभ्यास पर ध्यान केंद्रित करना चाहिए?</v>
      </c>
      <c r="H290" s="5" t="str">
        <f>IFERROR(__xludf.DUMMYFUNCTION("GOOGLETRANSLATE(C290, ""en"", ""hi"")"),"ए) वर्मम, बी) एडवस, सी) चुवाडु, डी) उझिचिल")</f>
        <v>ए) वर्मम, बी) एडवस, सी) चुवाडु, डी) उझिचिल</v>
      </c>
      <c r="I290" s="5" t="str">
        <f>IFERROR(__xludf.DUMMYFUNCTION("GOOGLETRANSLATE(D290, ""en"", ""hi"")"),"ए) वर्माम")</f>
        <v>ए) वर्माम</v>
      </c>
    </row>
    <row r="291" ht="22.5" customHeight="1">
      <c r="A291" s="2">
        <v>290.0</v>
      </c>
      <c r="B291" s="3" t="s">
        <v>14176</v>
      </c>
      <c r="C291" s="3" t="s">
        <v>14108</v>
      </c>
      <c r="D291" s="3" t="s">
        <v>13960</v>
      </c>
      <c r="F291" s="5" t="str">
        <f>IFERROR(__xludf.DUMMYFUNCTION("GOOGLETRANSLATE(A291, ""en"", ""hi"")"),"290")</f>
        <v>290</v>
      </c>
      <c r="G291" s="5" t="str">
        <f>IFERROR(__xludf.DUMMYFUNCTION("GOOGLETRANSLATE(B291, ""en"", ""hi"")"),"कलारीपयट्टू सत्र के दौरान, आप गोलाकार और प्रवाहमयी गतियों पर ध्यान केंद्रित करते हैं। कौन सा अभ्यास सबसे अधिक प्रासंगिक है?")</f>
        <v>कलारीपयट्टू सत्र के दौरान, आप गोलाकार और प्रवाहमयी गतियों पर ध्यान केंद्रित करते हैं। कौन सा अभ्यास सबसे अधिक प्रासंगिक है?</v>
      </c>
      <c r="H291" s="5" t="str">
        <f>IFERROR(__xludf.DUMMYFUNCTION("GOOGLETRANSLATE(C291, ""en"", ""hi"")"),"ए) वर्मा, बी) एडवस, सी) चुवाडु, डी) उझिचिल")</f>
        <v>ए) वर्मा, बी) एडवस, सी) चुवाडु, डी) उझिचिल</v>
      </c>
      <c r="I291" s="5" t="str">
        <f>IFERROR(__xludf.DUMMYFUNCTION("GOOGLETRANSLATE(D291, ""en"", ""hi"")"),"ए) वर्मा")</f>
        <v>ए) वर्मा</v>
      </c>
    </row>
    <row r="292" ht="22.5" customHeight="1">
      <c r="A292" s="2">
        <v>291.0</v>
      </c>
      <c r="B292" s="3" t="s">
        <v>14177</v>
      </c>
      <c r="C292" s="3" t="s">
        <v>13981</v>
      </c>
      <c r="D292" s="3" t="s">
        <v>13675</v>
      </c>
      <c r="F292" s="5" t="str">
        <f>IFERROR(__xludf.DUMMYFUNCTION("GOOGLETRANSLATE(A292, ""en"", ""hi"")"),"291")</f>
        <v>291</v>
      </c>
      <c r="G292" s="5" t="str">
        <f>IFERROR(__xludf.DUMMYFUNCTION("GOOGLETRANSLATE(B292, ""en"", ""hi"")"),"आप अपने पैरों की गति और चपलता को बेहतर बनाने के लिए कलारीपयट्टू का प्रशिक्षण ले रहे हैं। आपको किस अभ्यास को प्राथमिकता देनी चाहिए?")</f>
        <v>आप अपने पैरों की गति और चपलता को बेहतर बनाने के लिए कलारीपयट्टू का प्रशिक्षण ले रहे हैं। आपको किस अभ्यास को प्राथमिकता देनी चाहिए?</v>
      </c>
      <c r="H292" s="5" t="str">
        <f>IFERROR(__xludf.DUMMYFUNCTION("GOOGLETRANSLATE(C292, ""en"", ""hi"")"),"ए) चुवडु, बी) वर्मा, सी) मार्मा, डी) एडवस")</f>
        <v>ए) चुवडु, बी) वर्मा, सी) मार्मा, डी) एडवस</v>
      </c>
      <c r="I292" s="5" t="str">
        <f>IFERROR(__xludf.DUMMYFUNCTION("GOOGLETRANSLATE(D292, ""en"", ""hi"")"),"A) चुवाडु")</f>
        <v>A) चुवाडु</v>
      </c>
    </row>
    <row r="293" ht="22.5" customHeight="1">
      <c r="A293" s="2">
        <v>292.0</v>
      </c>
      <c r="B293" s="3" t="s">
        <v>14143</v>
      </c>
      <c r="C293" s="3" t="s">
        <v>14013</v>
      </c>
      <c r="D293" s="3" t="s">
        <v>13932</v>
      </c>
      <c r="F293" s="5" t="str">
        <f>IFERROR(__xludf.DUMMYFUNCTION("GOOGLETRANSLATE(A293, ""en"", ""hi"")"),"292")</f>
        <v>292</v>
      </c>
      <c r="G293" s="5" t="str">
        <f>IFERROR(__xludf.DUMMYFUNCTION("GOOGLETRANSLATE(B293, ""en"", ""hi"")"),"कलारीपयट्टू में कौन सी तकनीक प्रतिद्वंद्वी के शरीर के महत्वपूर्ण बिंदुओं पर सटीक प्रहार पर केंद्रित है?")</f>
        <v>कलारीपयट्टू में कौन सी तकनीक प्रतिद्वंद्वी के शरीर के महत्वपूर्ण बिंदुओं पर सटीक प्रहार पर केंद्रित है?</v>
      </c>
      <c r="H293" s="5" t="str">
        <f>IFERROR(__xludf.DUMMYFUNCTION("GOOGLETRANSLATE(C293, ""en"", ""hi"")"),"ए) मार्मा, बी) वर्मम, सी) एडवस, डी) उझिचिल")</f>
        <v>ए) मार्मा, बी) वर्मम, सी) एडवस, डी) उझिचिल</v>
      </c>
      <c r="I293" s="5" t="str">
        <f>IFERROR(__xludf.DUMMYFUNCTION("GOOGLETRANSLATE(D293, ""en"", ""hi"")"),"A) मर्म")</f>
        <v>A) मर्म</v>
      </c>
    </row>
    <row r="294" ht="22.5" customHeight="1">
      <c r="A294" s="2">
        <v>293.0</v>
      </c>
      <c r="B294" s="3" t="s">
        <v>14178</v>
      </c>
      <c r="C294" s="3" t="s">
        <v>13713</v>
      </c>
      <c r="D294" s="3" t="s">
        <v>13772</v>
      </c>
      <c r="F294" s="5" t="str">
        <f>IFERROR(__xludf.DUMMYFUNCTION("GOOGLETRANSLATE(A294, ""en"", ""hi"")"),"293")</f>
        <v>293</v>
      </c>
      <c r="G294" s="5" t="str">
        <f>IFERROR(__xludf.DUMMYFUNCTION("GOOGLETRANSLATE(B294, ""en"", ""hi"")"),"कलारीपयट्टू प्रशिक्षण के दौरान, आप शक्तिशाली और कुंद बल तकनीकों पर ध्यान केंद्रित कर रहे हैं। आप किस हथियार का उपयोग कर रहे हैं?")</f>
        <v>कलारीपयट्टू प्रशिक्षण के दौरान, आप शक्तिशाली और कुंद बल तकनीकों पर ध्यान केंद्रित कर रहे हैं। आप किस हथियार का उपयोग कर रहे हैं?</v>
      </c>
      <c r="H294" s="5" t="str">
        <f>IFERROR(__xludf.DUMMYFUNCTION("GOOGLETRANSLATE(C294, ""en"", ""hi"")"),"A) तलवार, B) गदा, C) भाला, D) खंजर")</f>
        <v>A) तलवार, B) गदा, C) भाला, D) खंजर</v>
      </c>
      <c r="I294" s="5" t="str">
        <f>IFERROR(__xludf.DUMMYFUNCTION("GOOGLETRANSLATE(D294, ""en"", ""hi"")"),"बी) गदा")</f>
        <v>बी) गदा</v>
      </c>
    </row>
    <row r="295" ht="22.5" customHeight="1">
      <c r="A295" s="2">
        <v>294.0</v>
      </c>
      <c r="B295" s="3" t="s">
        <v>14145</v>
      </c>
      <c r="C295" s="3" t="s">
        <v>14016</v>
      </c>
      <c r="D295" s="3" t="s">
        <v>13684</v>
      </c>
      <c r="F295" s="5" t="str">
        <f>IFERROR(__xludf.DUMMYFUNCTION("GOOGLETRANSLATE(A295, ""en"", ""hi"")"),"294")</f>
        <v>294</v>
      </c>
      <c r="G295" s="5" t="str">
        <f>IFERROR(__xludf.DUMMYFUNCTION("GOOGLETRANSLATE(B295, ""en"", ""hi"")"),"कलारीपयट्टू में, शरीर की कंडीशनिंग और सहनशक्ति में सुधार के लिए आपको किस अभ्यास पर ध्यान केंद्रित करना चाहिए?")</f>
        <v>कलारीपयट्टू में, शरीर की कंडीशनिंग और सहनशक्ति में सुधार के लिए आपको किस अभ्यास पर ध्यान केंद्रित करना चाहिए?</v>
      </c>
      <c r="H295" s="5" t="str">
        <f>IFERROR(__xludf.DUMMYFUNCTION("GOOGLETRANSLATE(C295, ""en"", ""hi"")"),"ए) उझिचिल, बी) एडवस, सी) वर्मा, डी) चुवाडु")</f>
        <v>ए) उझिचिल, बी) एडवस, सी) वर्मा, डी) चुवाडु</v>
      </c>
      <c r="I295" s="5" t="str">
        <f>IFERROR(__xludf.DUMMYFUNCTION("GOOGLETRANSLATE(D295, ""en"", ""hi"")"),"A) उझिचिल")</f>
        <v>A) उझिचिल</v>
      </c>
    </row>
    <row r="296" ht="22.5" customHeight="1">
      <c r="A296" s="2">
        <v>295.0</v>
      </c>
      <c r="B296" s="3" t="s">
        <v>14179</v>
      </c>
      <c r="C296" s="3" t="s">
        <v>13978</v>
      </c>
      <c r="D296" s="3" t="s">
        <v>13678</v>
      </c>
      <c r="F296" s="5" t="str">
        <f>IFERROR(__xludf.DUMMYFUNCTION("GOOGLETRANSLATE(A296, ""en"", ""hi"")"),"295")</f>
        <v>295</v>
      </c>
      <c r="G296" s="5" t="str">
        <f>IFERROR(__xludf.DUMMYFUNCTION("GOOGLETRANSLATE(B296, ""en"", ""hi"")"),"आप कलारीपयट्टू की तेज़ और प्रभावी प्रहार तकनीकों पर काम कर रहे हैं। कौन सी विधि सबसे ज़्यादा प्रासंगिक है?")</f>
        <v>आप कलारीपयट्टू की तेज़ और प्रभावी प्रहार तकनीकों पर काम कर रहे हैं। कौन सी विधि सबसे ज़्यादा प्रासंगिक है?</v>
      </c>
      <c r="H296" s="5" t="str">
        <f>IFERROR(__xludf.DUMMYFUNCTION("GOOGLETRANSLATE(C296, ""en"", ""hi"")"),"ए) वर्मम, बी) एडवस, सी) चुवाडु, डी) उझिचिल")</f>
        <v>ए) वर्मम, बी) एडवस, सी) चुवाडु, डी) उझिचिल</v>
      </c>
      <c r="I296" s="5" t="str">
        <f>IFERROR(__xludf.DUMMYFUNCTION("GOOGLETRANSLATE(D296, ""en"", ""hi"")"),"ए) वर्माम")</f>
        <v>ए) वर्माम</v>
      </c>
    </row>
    <row r="297" ht="22.5" customHeight="1">
      <c r="A297" s="2">
        <v>296.0</v>
      </c>
      <c r="B297" s="3" t="s">
        <v>14157</v>
      </c>
      <c r="C297" s="3" t="s">
        <v>13981</v>
      </c>
      <c r="D297" s="3" t="s">
        <v>13675</v>
      </c>
      <c r="F297" s="5" t="str">
        <f>IFERROR(__xludf.DUMMYFUNCTION("GOOGLETRANSLATE(A297, ""en"", ""hi"")"),"296")</f>
        <v>296</v>
      </c>
      <c r="G297" s="5" t="str">
        <f>IFERROR(__xludf.DUMMYFUNCTION("GOOGLETRANSLATE(B297, ""en"", ""hi"")"),"कलारीपयट्टू में, कौन सा अभ्यास हमलों से बचने और प्रभावी ढंग से मुकाबला करने की क्षमता में सुधार करने के लिए डिज़ाइन किया गया है?")</f>
        <v>कलारीपयट्टू में, कौन सा अभ्यास हमलों से बचने और प्रभावी ढंग से मुकाबला करने की क्षमता में सुधार करने के लिए डिज़ाइन किया गया है?</v>
      </c>
      <c r="H297" s="5" t="str">
        <f>IFERROR(__xludf.DUMMYFUNCTION("GOOGLETRANSLATE(C297, ""en"", ""hi"")"),"ए) चुवडु, बी) वर्मा, सी) मार्मा, डी) एडवस")</f>
        <v>ए) चुवडु, बी) वर्मा, सी) मार्मा, डी) एडवस</v>
      </c>
      <c r="I297" s="5" t="str">
        <f>IFERROR(__xludf.DUMMYFUNCTION("GOOGLETRANSLATE(D297, ""en"", ""hi"")"),"A) चुवाडु")</f>
        <v>A) चुवाडु</v>
      </c>
    </row>
    <row r="298" ht="22.5" customHeight="1">
      <c r="A298" s="2">
        <v>297.0</v>
      </c>
      <c r="B298" s="3" t="s">
        <v>14148</v>
      </c>
      <c r="C298" s="3" t="s">
        <v>14083</v>
      </c>
      <c r="D298" s="3" t="s">
        <v>13932</v>
      </c>
      <c r="F298" s="5" t="str">
        <f>IFERROR(__xludf.DUMMYFUNCTION("GOOGLETRANSLATE(A298, ""en"", ""hi"")"),"297")</f>
        <v>297</v>
      </c>
      <c r="G298" s="5" t="str">
        <f>IFERROR(__xludf.DUMMYFUNCTION("GOOGLETRANSLATE(B298, ""en"", ""hi"")"),"एक कलारीपयट्टू अभ्यासी अपने प्रतिद्वंद्वी पर विशिष्ट दबाव बिंदुओं पर प्रहार करने की तकनीक सीख रहा है। वे किस तकनीक का अभ्यास कर रहे हैं?")</f>
        <v>एक कलारीपयट्टू अभ्यासी अपने प्रतिद्वंद्वी पर विशिष्ट दबाव बिंदुओं पर प्रहार करने की तकनीक सीख रहा है। वे किस तकनीक का अभ्यास कर रहे हैं?</v>
      </c>
      <c r="H298" s="5" t="str">
        <f>IFERROR(__xludf.DUMMYFUNCTION("GOOGLETRANSLATE(C298, ""en"", ""hi"")"),"ए) मार्मा, बी) वर्मम, सी) एडवस, डी) केटी")</f>
        <v>ए) मार्मा, बी) वर्मम, सी) एडवस, डी) केटी</v>
      </c>
      <c r="I298" s="5" t="str">
        <f>IFERROR(__xludf.DUMMYFUNCTION("GOOGLETRANSLATE(D298, ""en"", ""hi"")"),"A) मर्म")</f>
        <v>A) मर्म</v>
      </c>
    </row>
    <row r="299" ht="22.5" customHeight="1">
      <c r="A299" s="2">
        <v>298.0</v>
      </c>
      <c r="B299" s="3" t="s">
        <v>14180</v>
      </c>
      <c r="C299" s="3" t="s">
        <v>14016</v>
      </c>
      <c r="D299" s="3" t="s">
        <v>13684</v>
      </c>
      <c r="F299" s="5" t="str">
        <f>IFERROR(__xludf.DUMMYFUNCTION("GOOGLETRANSLATE(A299, ""en"", ""hi"")"),"298")</f>
        <v>298</v>
      </c>
      <c r="G299" s="5" t="str">
        <f>IFERROR(__xludf.DUMMYFUNCTION("GOOGLETRANSLATE(B299, ""en"", ""hi"")"),"कलारीपयट्टू में, कौन सा अभ्यास शरीर की कंडीशनिंग और समग्र शारीरिक सहनशक्ति में सुधार पर केंद्रित है?")</f>
        <v>कलारीपयट्टू में, कौन सा अभ्यास शरीर की कंडीशनिंग और समग्र शारीरिक सहनशक्ति में सुधार पर केंद्रित है?</v>
      </c>
      <c r="H299" s="5" t="str">
        <f>IFERROR(__xludf.DUMMYFUNCTION("GOOGLETRANSLATE(C299, ""en"", ""hi"")"),"ए) उझिचिल, बी) एडवस, सी) वर्मा, डी) चुवाडु")</f>
        <v>ए) उझिचिल, बी) एडवस, सी) वर्मा, डी) चुवाडु</v>
      </c>
      <c r="I299" s="5" t="str">
        <f>IFERROR(__xludf.DUMMYFUNCTION("GOOGLETRANSLATE(D299, ""en"", ""hi"")"),"A) उझिचिल")</f>
        <v>A) उझिचिल</v>
      </c>
    </row>
    <row r="300" ht="22.5" customHeight="1">
      <c r="A300" s="2">
        <v>299.0</v>
      </c>
      <c r="B300" s="3" t="s">
        <v>14181</v>
      </c>
      <c r="C300" s="3" t="s">
        <v>13713</v>
      </c>
      <c r="D300" s="3" t="s">
        <v>13714</v>
      </c>
      <c r="F300" s="5" t="str">
        <f>IFERROR(__xludf.DUMMYFUNCTION("GOOGLETRANSLATE(A300, ""en"", ""hi"")"),"299")</f>
        <v>299</v>
      </c>
      <c r="G300" s="5" t="str">
        <f>IFERROR(__xludf.DUMMYFUNCTION("GOOGLETRANSLATE(B300, ""en"", ""hi"")"),"कलारीपयट्टू सत्र के दौरान, आप हथियार के आक्रामक और रक्षात्मक, दोनों तरह के इस्तेमाल की तकनीकों का अभ्यास करते हैं। आप किस हथियार का इस्तेमाल कर रहे हैं?")</f>
        <v>कलारीपयट्टू सत्र के दौरान, आप हथियार के आक्रामक और रक्षात्मक, दोनों तरह के इस्तेमाल की तकनीकों का अभ्यास करते हैं। आप किस हथियार का इस्तेमाल कर रहे हैं?</v>
      </c>
      <c r="H300" s="5" t="str">
        <f>IFERROR(__xludf.DUMMYFUNCTION("GOOGLETRANSLATE(C300, ""en"", ""hi"")"),"A) तलवार, B) गदा, C) भाला, D) खंजर")</f>
        <v>A) तलवार, B) गदा, C) भाला, D) खंजर</v>
      </c>
      <c r="I300" s="5" t="str">
        <f>IFERROR(__xludf.DUMMYFUNCTION("GOOGLETRANSLATE(D300, ""en"", ""hi"")"),"ए) तलवार")</f>
        <v>ए) तलवार</v>
      </c>
    </row>
    <row r="301" ht="22.5" customHeight="1">
      <c r="A301" s="2">
        <v>300.0</v>
      </c>
      <c r="B301" s="3" t="s">
        <v>14151</v>
      </c>
      <c r="C301" s="3" t="s">
        <v>13978</v>
      </c>
      <c r="D301" s="3" t="s">
        <v>13678</v>
      </c>
      <c r="F301" s="5" t="str">
        <f>IFERROR(__xludf.DUMMYFUNCTION("GOOGLETRANSLATE(A301, ""en"", ""hi"")"),"300")</f>
        <v>300</v>
      </c>
      <c r="G301" s="5" t="str">
        <f>IFERROR(__xludf.DUMMYFUNCTION("GOOGLETRANSLATE(B301, ""en"", ""hi"")"),"कलारीपयट्टू में प्रहार तकनीक में सटीकता और गति बढ़ाने के लिए आपको किस अभ्यास पर ध्यान केंद्रित करना चाहिए?")</f>
        <v>कलारीपयट्टू में प्रहार तकनीक में सटीकता और गति बढ़ाने के लिए आपको किस अभ्यास पर ध्यान केंद्रित करना चाहिए?</v>
      </c>
      <c r="H301" s="5" t="str">
        <f>IFERROR(__xludf.DUMMYFUNCTION("GOOGLETRANSLATE(C301, ""en"", ""hi"")"),"ए) वर्मम, बी) एडवस, सी) चुवाडु, डी) उझिचिल")</f>
        <v>ए) वर्मम, बी) एडवस, सी) चुवाडु, डी) उझिचिल</v>
      </c>
      <c r="I301" s="5" t="str">
        <f>IFERROR(__xludf.DUMMYFUNCTION("GOOGLETRANSLATE(D301, ""en"", ""hi"")"),"ए) वर्माम")</f>
        <v>ए) वर्माम</v>
      </c>
    </row>
    <row r="302" ht="22.5" customHeight="1">
      <c r="A302" s="2">
        <v>301.0</v>
      </c>
      <c r="B302" s="3" t="s">
        <v>14152</v>
      </c>
      <c r="C302" s="3" t="s">
        <v>14108</v>
      </c>
      <c r="D302" s="3" t="s">
        <v>13960</v>
      </c>
      <c r="F302" s="5" t="str">
        <f>IFERROR(__xludf.DUMMYFUNCTION("GOOGLETRANSLATE(A302, ""en"", ""hi"")"),"301")</f>
        <v>301</v>
      </c>
      <c r="G302" s="5" t="str">
        <f>IFERROR(__xludf.DUMMYFUNCTION("GOOGLETRANSLATE(B302, ""en"", ""hi"")"),"कलारीपयट्टू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f>
        <v>कलारीपयट्टू कक्षा के दौरान, आप उन तकनीकों में महारत हासिल करने पर ध्यान केंद्रित करते हैं जिनमें गोलाकार और प्रवाहमय गतियाँ शामिल होती हैं। कौन सा अभ्यास सबसे अधिक प्रासंगिक है?</v>
      </c>
      <c r="H302" s="5" t="str">
        <f>IFERROR(__xludf.DUMMYFUNCTION("GOOGLETRANSLATE(C302, ""en"", ""hi"")"),"ए) वर्मा, बी) एडवस, सी) चुवाडु, डी) उझिचिल")</f>
        <v>ए) वर्मा, बी) एडवस, सी) चुवाडु, डी) उझिचिल</v>
      </c>
      <c r="I302" s="5" t="str">
        <f>IFERROR(__xludf.DUMMYFUNCTION("GOOGLETRANSLATE(D302, ""en"", ""hi"")"),"ए) वर्मा")</f>
        <v>ए) वर्मा</v>
      </c>
    </row>
    <row r="303" ht="22.5" customHeight="1">
      <c r="A303" s="2">
        <v>302.0</v>
      </c>
      <c r="B303" s="3" t="s">
        <v>14182</v>
      </c>
      <c r="C303" s="3" t="s">
        <v>13981</v>
      </c>
      <c r="D303" s="3" t="s">
        <v>13675</v>
      </c>
      <c r="F303" s="5" t="str">
        <f>IFERROR(__xludf.DUMMYFUNCTION("GOOGLETRANSLATE(A303, ""en"", ""hi"")"),"302")</f>
        <v>302</v>
      </c>
      <c r="G303" s="5" t="str">
        <f>IFERROR(__xludf.DUMMYFUNCTION("GOOGLETRANSLATE(B303, ""en"", ""hi"")"),"आप कलारीपयट्टू की ऐसी तकनीकें सीख रहे हैं जिनमें तेज़ और प्रभावी पैरों की गति पर ज़ोर दिया जाता है। आपको किस अभ्यास को प्राथमिकता देनी चाहिए?")</f>
        <v>आप कलारीपयट्टू की ऐसी तकनीकें सीख रहे हैं जिनमें तेज़ और प्रभावी पैरों की गति पर ज़ोर दिया जाता है। आपको किस अभ्यास को प्राथमिकता देनी चाहिए?</v>
      </c>
      <c r="H303" s="5" t="str">
        <f>IFERROR(__xludf.DUMMYFUNCTION("GOOGLETRANSLATE(C303, ""en"", ""hi"")"),"ए) चुवडु, बी) वर्मा, सी) मार्मा, डी) एडवस")</f>
        <v>ए) चुवडु, बी) वर्मा, सी) मार्मा, डी) एडवस</v>
      </c>
      <c r="I303" s="5" t="str">
        <f>IFERROR(__xludf.DUMMYFUNCTION("GOOGLETRANSLATE(D303, ""en"", ""hi"")"),"A) चुवाडु")</f>
        <v>A) चुवाडु</v>
      </c>
    </row>
    <row r="304" ht="22.5" customHeight="1">
      <c r="A304" s="2">
        <v>303.0</v>
      </c>
      <c r="B304" s="3" t="s">
        <v>14183</v>
      </c>
      <c r="C304" s="3" t="s">
        <v>14013</v>
      </c>
      <c r="D304" s="3" t="s">
        <v>13932</v>
      </c>
      <c r="F304" s="5" t="str">
        <f>IFERROR(__xludf.DUMMYFUNCTION("GOOGLETRANSLATE(A304, ""en"", ""hi"")"),"303")</f>
        <v>303</v>
      </c>
      <c r="G304" s="5" t="str">
        <f>IFERROR(__xludf.DUMMYFUNCTION("GOOGLETRANSLATE(B304, ""en"", ""hi"")"),"कलारीपयट्टू में कौन सी तकनीक प्रतिद्वंद्वी को अशक्त करने के लिए विशिष्ट दबाव बिंदुओं का उपयोग करने पर केंद्रित है?")</f>
        <v>कलारीपयट्टू में कौन सी तकनीक प्रतिद्वंद्वी को अशक्त करने के लिए विशिष्ट दबाव बिंदुओं का उपयोग करने पर केंद्रित है?</v>
      </c>
      <c r="H304" s="5" t="str">
        <f>IFERROR(__xludf.DUMMYFUNCTION("GOOGLETRANSLATE(C304, ""en"", ""hi"")"),"ए) मार्मा, बी) वर्मम, सी) एडवस, डी) उझिचिल")</f>
        <v>ए) मार्मा, बी) वर्मम, सी) एडवस, डी) उझिचिल</v>
      </c>
      <c r="I304" s="5" t="str">
        <f>IFERROR(__xludf.DUMMYFUNCTION("GOOGLETRANSLATE(D304, ""en"", ""hi"")"),"A) मर्म")</f>
        <v>A) मर्म</v>
      </c>
    </row>
    <row r="305" ht="22.5" customHeight="1">
      <c r="A305" s="2">
        <v>304.0</v>
      </c>
      <c r="B305" s="3" t="s">
        <v>14184</v>
      </c>
      <c r="C305" s="3" t="s">
        <v>13713</v>
      </c>
      <c r="D305" s="3" t="s">
        <v>13772</v>
      </c>
      <c r="F305" s="5" t="str">
        <f>IFERROR(__xludf.DUMMYFUNCTION("GOOGLETRANSLATE(A305, ""en"", ""hi"")"),"304")</f>
        <v>304</v>
      </c>
      <c r="G305" s="5" t="str">
        <f>IFERROR(__xludf.DUMMYFUNCTION("GOOGLETRANSLATE(B305, ""en"", ""hi"")"),"कलारीपयट्टू प्रशिक्षण के दौरान, आप शक्तिशाली और कुंद बल तकनीकों पर ध्यान केंद्रित कर रहे हैं। आप सबसे ज़्यादा किस हथियार का इस्तेमाल कर रहे हैं?")</f>
        <v>कलारीपयट्टू प्रशिक्षण के दौरान, आप शक्तिशाली और कुंद बल तकनीकों पर ध्यान केंद्रित कर रहे हैं। आप सबसे ज़्यादा किस हथियार का इस्तेमाल कर रहे हैं?</v>
      </c>
      <c r="H305" s="5" t="str">
        <f>IFERROR(__xludf.DUMMYFUNCTION("GOOGLETRANSLATE(C305, ""en"", ""hi"")"),"A) तलवार, B) गदा, C) भाला, D) खंजर")</f>
        <v>A) तलवार, B) गदा, C) भाला, D) खंजर</v>
      </c>
      <c r="I305" s="5" t="str">
        <f>IFERROR(__xludf.DUMMYFUNCTION("GOOGLETRANSLATE(D305, ""en"", ""hi"")"),"बी) गदा")</f>
        <v>बी) गदा</v>
      </c>
    </row>
    <row r="306" ht="22.5" customHeight="1">
      <c r="A306" s="2">
        <v>305.0</v>
      </c>
      <c r="B306" s="3" t="s">
        <v>14185</v>
      </c>
      <c r="C306" s="3" t="s">
        <v>14016</v>
      </c>
      <c r="D306" s="3" t="s">
        <v>13684</v>
      </c>
      <c r="F306" s="5" t="str">
        <f>IFERROR(__xludf.DUMMYFUNCTION("GOOGLETRANSLATE(A306, ""en"", ""hi"")"),"305")</f>
        <v>305</v>
      </c>
      <c r="G306" s="5" t="str">
        <f>IFERROR(__xludf.DUMMYFUNCTION("GOOGLETRANSLATE(B306, ""en"", ""hi"")"),"कलारीपयट्टू में, कौन सा अभ्यास शरीर की कंडीशनिंग और समग्र शक्ति में सुधार करने के लिए डिज़ाइन किया गया है?")</f>
        <v>कलारीपयट्टू में, कौन सा अभ्यास शरीर की कंडीशनिंग और समग्र शक्ति में सुधार करने के लिए डिज़ाइन किया गया है?</v>
      </c>
      <c r="H306" s="5" t="str">
        <f>IFERROR(__xludf.DUMMYFUNCTION("GOOGLETRANSLATE(C306, ""en"", ""hi"")"),"ए) उझिचिल, बी) एडवस, सी) वर्मा, डी) चुवाडु")</f>
        <v>ए) उझिचिल, बी) एडवस, सी) वर्मा, डी) चुवाडु</v>
      </c>
      <c r="I306" s="5" t="str">
        <f>IFERROR(__xludf.DUMMYFUNCTION("GOOGLETRANSLATE(D306, ""en"", ""hi"")"),"A) उझिचिल")</f>
        <v>A) उझिचिल</v>
      </c>
    </row>
    <row r="307" ht="22.5" customHeight="1">
      <c r="A307" s="2">
        <v>306.0</v>
      </c>
      <c r="B307" s="3" t="s">
        <v>14186</v>
      </c>
      <c r="C307" s="3" t="s">
        <v>13978</v>
      </c>
      <c r="D307" s="3" t="s">
        <v>13678</v>
      </c>
      <c r="F307" s="5" t="str">
        <f>IFERROR(__xludf.DUMMYFUNCTION("GOOGLETRANSLATE(A307, ""en"", ""hi"")"),"306")</f>
        <v>306</v>
      </c>
      <c r="G307" s="5" t="str">
        <f>IFERROR(__xludf.DUMMYFUNCTION("GOOGLETRANSLATE(B307, ""en"", ""hi"")"),"आप कलारीपयट्टू की उन तकनीकों पर ध्यान केंद्रित कर रहे हैं जिनमें सटीक प्रहार और गति शामिल है। कौन सा अभ्यास सबसे ज़्यादा प्रासंगिक है?")</f>
        <v>आप कलारीपयट्टू की उन तकनीकों पर ध्यान केंद्रित कर रहे हैं जिनमें सटीक प्रहार और गति शामिल है। कौन सा अभ्यास सबसे ज़्यादा प्रासंगिक है?</v>
      </c>
      <c r="H307" s="5" t="str">
        <f>IFERROR(__xludf.DUMMYFUNCTION("GOOGLETRANSLATE(C307, ""en"", ""hi"")"),"ए) वर्मम, बी) एडवस, सी) चुवाडु, डी) उझिचिल")</f>
        <v>ए) वर्मम, बी) एडवस, सी) चुवाडु, डी) उझिचिल</v>
      </c>
      <c r="I307" s="5" t="str">
        <f>IFERROR(__xludf.DUMMYFUNCTION("GOOGLETRANSLATE(D307, ""en"", ""hi"")"),"ए) वर्माम")</f>
        <v>ए) वर्माम</v>
      </c>
    </row>
    <row r="308" ht="22.5" customHeight="1">
      <c r="A308" s="2">
        <v>307.0</v>
      </c>
      <c r="B308" s="3" t="s">
        <v>14187</v>
      </c>
      <c r="C308" s="3" t="s">
        <v>13981</v>
      </c>
      <c r="D308" s="3" t="s">
        <v>13675</v>
      </c>
      <c r="F308" s="5" t="str">
        <f>IFERROR(__xludf.DUMMYFUNCTION("GOOGLETRANSLATE(A308, ""en"", ""hi"")"),"307")</f>
        <v>307</v>
      </c>
      <c r="G308" s="5" t="str">
        <f>IFERROR(__xludf.DUMMYFUNCTION("GOOGLETRANSLATE(B308, ""en"", ""hi"")"),"कलारीपयट्टू में, किस अभ्यास में हमलों से बचने और जवाबी हमले के लिए चपलता और सजगता में सुधार करना शामिल है?")</f>
        <v>कलारीपयट्टू में, किस अभ्यास में हमलों से बचने और जवाबी हमले के लिए चपलता और सजगता में सुधार करना शामिल है?</v>
      </c>
      <c r="H308" s="5" t="str">
        <f>IFERROR(__xludf.DUMMYFUNCTION("GOOGLETRANSLATE(C308, ""en"", ""hi"")"),"ए) चुवडु, बी) वर्मा, सी) मार्मा, डी) एडवस")</f>
        <v>ए) चुवडु, बी) वर्मा, सी) मार्मा, डी) एडवस</v>
      </c>
      <c r="I308" s="5" t="str">
        <f>IFERROR(__xludf.DUMMYFUNCTION("GOOGLETRANSLATE(D308, ""en"", ""hi"")"),"A) चुवाडु")</f>
        <v>A) चुवाडु</v>
      </c>
    </row>
    <row r="309" ht="22.5" customHeight="1">
      <c r="A309" s="2">
        <v>308.0</v>
      </c>
      <c r="B309" s="3" t="s">
        <v>14188</v>
      </c>
      <c r="C309" s="3" t="s">
        <v>14013</v>
      </c>
      <c r="D309" s="3" t="s">
        <v>13932</v>
      </c>
      <c r="F309" s="5" t="str">
        <f>IFERROR(__xludf.DUMMYFUNCTION("GOOGLETRANSLATE(A309, ""en"", ""hi"")"),"308")</f>
        <v>308</v>
      </c>
      <c r="G309" s="5" t="str">
        <f>IFERROR(__xludf.DUMMYFUNCTION("GOOGLETRANSLATE(B309, ""en"", ""hi"")"),"एक कलारीपयट्टू साधक विरोधियों को अशक्त करने के लिए विशिष्ट दबाव बिंदुओं पर प्रहार करने का अभ्यास कर रहा है। वे कौन सी तकनीक अपना रहे हैं?")</f>
        <v>एक कलारीपयट्टू साधक विरोधियों को अशक्त करने के लिए विशिष्ट दबाव बिंदुओं पर प्रहार करने का अभ्यास कर रहा है। वे कौन सी तकनीक अपना रहे हैं?</v>
      </c>
      <c r="H309" s="5" t="str">
        <f>IFERROR(__xludf.DUMMYFUNCTION("GOOGLETRANSLATE(C309, ""en"", ""hi"")"),"ए) मार्मा, बी) वर्मम, सी) एडवस, डी) उझिचिल")</f>
        <v>ए) मार्मा, बी) वर्मम, सी) एडवस, डी) उझिचिल</v>
      </c>
      <c r="I309" s="5" t="str">
        <f>IFERROR(__xludf.DUMMYFUNCTION("GOOGLETRANSLATE(D309, ""en"", ""hi"")"),"A) मर्म")</f>
        <v>A) मर्म</v>
      </c>
    </row>
    <row r="310" ht="22.5" customHeight="1">
      <c r="A310" s="2">
        <v>309.0</v>
      </c>
      <c r="B310" s="3" t="s">
        <v>14189</v>
      </c>
      <c r="C310" s="3" t="s">
        <v>14108</v>
      </c>
      <c r="D310" s="3" t="s">
        <v>13960</v>
      </c>
      <c r="F310" s="5" t="str">
        <f>IFERROR(__xludf.DUMMYFUNCTION("GOOGLETRANSLATE(A310, ""en"", ""hi"")"),"309")</f>
        <v>309</v>
      </c>
      <c r="G310" s="5" t="str">
        <f>IFERROR(__xludf.DUMMYFUNCTION("GOOGLETRANSLATE(B310, ""en"", ""hi"")"),"कलारीपयट्टू में, कौन सी तकनीक युद्ध में तरलता बढ़ाने के लिए गोलाकार और प्रवाहपूर्ण आंदोलनों पर ध्यान केंद्रित करती है?")</f>
        <v>कलारीपयट्टू में, कौन सी तकनीक युद्ध में तरलता बढ़ाने के लिए गोलाकार और प्रवाहपूर्ण आंदोलनों पर ध्यान केंद्रित करती है?</v>
      </c>
      <c r="H310" s="5" t="str">
        <f>IFERROR(__xludf.DUMMYFUNCTION("GOOGLETRANSLATE(C310, ""en"", ""hi"")"),"ए) वर्मा, बी) एडवस, सी) चुवाडु, डी) उझिचिल")</f>
        <v>ए) वर्मा, बी) एडवस, सी) चुवाडु, डी) उझिचिल</v>
      </c>
      <c r="I310" s="5" t="str">
        <f>IFERROR(__xludf.DUMMYFUNCTION("GOOGLETRANSLATE(D310, ""en"", ""hi"")"),"ए) वर्मा")</f>
        <v>ए) वर्मा</v>
      </c>
    </row>
    <row r="311" ht="22.5" customHeight="1">
      <c r="A311" s="2">
        <v>310.0</v>
      </c>
      <c r="B311" s="3" t="s">
        <v>14190</v>
      </c>
      <c r="C311" s="3" t="s">
        <v>13713</v>
      </c>
      <c r="D311" s="3" t="s">
        <v>13772</v>
      </c>
      <c r="F311" s="5" t="str">
        <f>IFERROR(__xludf.DUMMYFUNCTION("GOOGLETRANSLATE(A311, ""en"", ""hi"")"),"310")</f>
        <v>310</v>
      </c>
      <c r="G311" s="5" t="str">
        <f>IFERROR(__xludf.DUMMYFUNCTION("GOOGLETRANSLATE(B311, ""en"", ""hi"")"),"आप कलारीपयट्टू तकनीक का अभ्यास कर रहे हैं जिसमें शक्तिशाली प्रहार और कुंद बल का प्रयोग होता है। आप कौन सा हथियार इस्तेमाल कर रहे हैं?")</f>
        <v>आप कलारीपयट्टू तकनीक का अभ्यास कर रहे हैं जिसमें शक्तिशाली प्रहार और कुंद बल का प्रयोग होता है। आप कौन सा हथियार इस्तेमाल कर रहे हैं?</v>
      </c>
      <c r="H311" s="5" t="str">
        <f>IFERROR(__xludf.DUMMYFUNCTION("GOOGLETRANSLATE(C311, ""en"", ""hi"")"),"A) तलवार, B) गदा, C) भाला, D) खंजर")</f>
        <v>A) तलवार, B) गदा, C) भाला, D) खंजर</v>
      </c>
      <c r="I311" s="5" t="str">
        <f>IFERROR(__xludf.DUMMYFUNCTION("GOOGLETRANSLATE(D311, ""en"", ""hi"")"),"बी) गदा")</f>
        <v>बी) गदा</v>
      </c>
    </row>
    <row r="312" ht="22.5" customHeight="1">
      <c r="A312" s="2">
        <v>311.0</v>
      </c>
      <c r="B312" s="3" t="s">
        <v>14191</v>
      </c>
      <c r="C312" s="3" t="s">
        <v>14013</v>
      </c>
      <c r="D312" s="3" t="s">
        <v>13932</v>
      </c>
      <c r="F312" s="5" t="str">
        <f>IFERROR(__xludf.DUMMYFUNCTION("GOOGLETRANSLATE(A312, ""en"", ""hi"")"),"311")</f>
        <v>311</v>
      </c>
      <c r="G312" s="5" t="str">
        <f>IFERROR(__xludf.DUMMYFUNCTION("GOOGLETRANSLATE(B312, ""en"", ""hi"")"),"कलारीपयट्टू में, कौन सी प्रथा प्रतिद्वंद्वी पर विशिष्ट दबाव बिंदुओं पर सटीक प्रहार पर केंद्रित है?")</f>
        <v>कलारीपयट्टू में, कौन सी प्रथा प्रतिद्वंद्वी पर विशिष्ट दबाव बिंदुओं पर सटीक प्रहार पर केंद्रित है?</v>
      </c>
      <c r="H312" s="5" t="str">
        <f>IFERROR(__xludf.DUMMYFUNCTION("GOOGLETRANSLATE(C312, ""en"", ""hi"")"),"ए) मार्मा, बी) वर्मम, सी) एडवस, डी) उझिचिल")</f>
        <v>ए) मार्मा, बी) वर्मम, सी) एडवस, डी) उझिचिल</v>
      </c>
      <c r="I312" s="5" t="str">
        <f>IFERROR(__xludf.DUMMYFUNCTION("GOOGLETRANSLATE(D312, ""en"", ""hi"")"),"A) मर्म")</f>
        <v>A) मर्म</v>
      </c>
    </row>
    <row r="313" ht="22.5" customHeight="1">
      <c r="A313" s="2">
        <v>312.0</v>
      </c>
      <c r="B313" s="3" t="s">
        <v>14192</v>
      </c>
      <c r="C313" s="3" t="s">
        <v>14016</v>
      </c>
      <c r="D313" s="3" t="s">
        <v>13684</v>
      </c>
      <c r="F313" s="5" t="str">
        <f>IFERROR(__xludf.DUMMYFUNCTION("GOOGLETRANSLATE(A313, ""en"", ""hi"")"),"312")</f>
        <v>312</v>
      </c>
      <c r="G313" s="5" t="str">
        <f>IFERROR(__xludf.DUMMYFUNCTION("GOOGLETRANSLATE(B313, ""en"", ""hi"")"),"कलारीपयट्टू प्रशिक्षण के दौरान, आप समग्र शारीरिक कंडीशनिंग में सुधार पर ध्यान केंद्रित कर रहे हैं। कौन सा अभ्यास सबसे अधिक प्रासंगिक है?")</f>
        <v>कलारीपयट्टू प्रशिक्षण के दौरान, आप समग्र शारीरिक कंडीशनिंग में सुधार पर ध्यान केंद्रित कर रहे हैं। कौन सा अभ्यास सबसे अधिक प्रासंगिक है?</v>
      </c>
      <c r="H313" s="5" t="str">
        <f>IFERROR(__xludf.DUMMYFUNCTION("GOOGLETRANSLATE(C313, ""en"", ""hi"")"),"ए) उझिचिल, बी) एडवस, सी) वर्मा, डी) चुवाडु")</f>
        <v>ए) उझिचिल, बी) एडवस, सी) वर्मा, डी) चुवाडु</v>
      </c>
      <c r="I313" s="5" t="str">
        <f>IFERROR(__xludf.DUMMYFUNCTION("GOOGLETRANSLATE(D313, ""en"", ""hi"")"),"A) उझिचिल")</f>
        <v>A) उझिचिल</v>
      </c>
    </row>
    <row r="314" ht="22.5" customHeight="1">
      <c r="A314" s="2">
        <v>313.0</v>
      </c>
      <c r="B314" s="3" t="s">
        <v>14193</v>
      </c>
      <c r="C314" s="3" t="s">
        <v>13978</v>
      </c>
      <c r="D314" s="3" t="s">
        <v>13678</v>
      </c>
      <c r="F314" s="5" t="str">
        <f>IFERROR(__xludf.DUMMYFUNCTION("GOOGLETRANSLATE(A314, ""en"", ""hi"")"),"313")</f>
        <v>313</v>
      </c>
      <c r="G314" s="5" t="str">
        <f>IFERROR(__xludf.DUMMYFUNCTION("GOOGLETRANSLATE(B314, ""en"", ""hi"")"),"कलारीपयट्टू में, हथियार के हमलों में सटीकता और गति बढ़ाने के लिए कौन सी तकनीक तैयार की गई है?")</f>
        <v>कलारीपयट्टू में, हथियार के हमलों में सटीकता और गति बढ़ाने के लिए कौन सी तकनीक तैयार की गई है?</v>
      </c>
      <c r="H314" s="5" t="str">
        <f>IFERROR(__xludf.DUMMYFUNCTION("GOOGLETRANSLATE(C314, ""en"", ""hi"")"),"ए) वर्मम, बी) एडवस, सी) चुवाडु, डी) उझिचिल")</f>
        <v>ए) वर्मम, बी) एडवस, सी) चुवाडु, डी) उझिचिल</v>
      </c>
      <c r="I314" s="5" t="str">
        <f>IFERROR(__xludf.DUMMYFUNCTION("GOOGLETRANSLATE(D314, ""en"", ""hi"")"),"ए) वर्माम")</f>
        <v>ए) वर्माम</v>
      </c>
    </row>
    <row r="315" ht="22.5" customHeight="1">
      <c r="A315" s="2">
        <v>314.0</v>
      </c>
      <c r="B315" s="3" t="s">
        <v>14182</v>
      </c>
      <c r="C315" s="3" t="s">
        <v>13981</v>
      </c>
      <c r="D315" s="3" t="s">
        <v>13675</v>
      </c>
      <c r="F315" s="5" t="str">
        <f>IFERROR(__xludf.DUMMYFUNCTION("GOOGLETRANSLATE(A315, ""en"", ""hi"")"),"314")</f>
        <v>314</v>
      </c>
      <c r="G315" s="5" t="str">
        <f>IFERROR(__xludf.DUMMYFUNCTION("GOOGLETRANSLATE(B315, ""en"", ""hi"")"),"आप कलारीपयट्टू की ऐसी तकनीकें सीख रहे हैं जिनमें तेज़ और प्रभावी पैरों की गति पर ज़ोर दिया जाता है। आपको किस अभ्यास को प्राथमिकता देनी चाहिए?")</f>
        <v>आप कलारीपयट्टू की ऐसी तकनीकें सीख रहे हैं जिनमें तेज़ और प्रभावी पैरों की गति पर ज़ोर दिया जाता है। आपको किस अभ्यास को प्राथमिकता देनी चाहिए?</v>
      </c>
      <c r="H315" s="5" t="str">
        <f>IFERROR(__xludf.DUMMYFUNCTION("GOOGLETRANSLATE(C315, ""en"", ""hi"")"),"ए) चुवडु, बी) वर्मा, सी) मार्मा, डी) एडवस")</f>
        <v>ए) चुवडु, बी) वर्मा, सी) मार्मा, डी) एडवस</v>
      </c>
      <c r="I315" s="5" t="str">
        <f>IFERROR(__xludf.DUMMYFUNCTION("GOOGLETRANSLATE(D315, ""en"", ""hi"")"),"A) चुवाडु")</f>
        <v>A) चुवाडु</v>
      </c>
    </row>
    <row r="316" ht="22.5" customHeight="1">
      <c r="A316" s="2">
        <v>315.0</v>
      </c>
      <c r="B316" s="3" t="s">
        <v>14194</v>
      </c>
      <c r="C316" s="3" t="s">
        <v>14013</v>
      </c>
      <c r="D316" s="3" t="s">
        <v>13932</v>
      </c>
      <c r="F316" s="5" t="str">
        <f>IFERROR(__xludf.DUMMYFUNCTION("GOOGLETRANSLATE(A316, ""en"", ""hi"")"),"315")</f>
        <v>315</v>
      </c>
      <c r="G316" s="5" t="str">
        <f>IFERROR(__xludf.DUMMYFUNCTION("GOOGLETRANSLATE(B316, ""en"", ""hi"")"),"कलारीपयट्टू में, कौन सी प्रथा प्रतिद्वंद्वी को तुरंत अशक्त करने के लिए विशिष्ट दबाव बिंदुओं का उपयोग करने पर केंद्रित है?")</f>
        <v>कलारीपयट्टू में, कौन सी प्रथा प्रतिद्वंद्वी को तुरंत अशक्त करने के लिए विशिष्ट दबाव बिंदुओं का उपयोग करने पर केंद्रित है?</v>
      </c>
      <c r="H316" s="5" t="str">
        <f>IFERROR(__xludf.DUMMYFUNCTION("GOOGLETRANSLATE(C316, ""en"", ""hi"")"),"ए) मार्मा, बी) वर्मम, सी) एडवस, डी) उझिचिल")</f>
        <v>ए) मार्मा, बी) वर्मम, सी) एडवस, डी) उझिचिल</v>
      </c>
      <c r="I316" s="5" t="str">
        <f>IFERROR(__xludf.DUMMYFUNCTION("GOOGLETRANSLATE(D316, ""en"", ""hi"")"),"A) मर्म")</f>
        <v>A) मर्म</v>
      </c>
    </row>
    <row r="317" ht="22.5" customHeight="1">
      <c r="A317" s="2">
        <v>316.0</v>
      </c>
      <c r="B317" s="3" t="s">
        <v>14195</v>
      </c>
      <c r="C317" s="3" t="s">
        <v>13713</v>
      </c>
      <c r="D317" s="3" t="s">
        <v>13772</v>
      </c>
      <c r="F317" s="5" t="str">
        <f>IFERROR(__xludf.DUMMYFUNCTION("GOOGLETRANSLATE(A317, ""en"", ""hi"")"),"316")</f>
        <v>316</v>
      </c>
      <c r="G317" s="5" t="str">
        <f>IFERROR(__xludf.DUMMYFUNCTION("GOOGLETRANSLATE(B317, ""en"", ""hi"")"),"कलारीपयट्टू प्रशिक्षण के दौरान, आप शक्तिशाली और कुंद बल वाले प्रहारों पर ध्यान केंद्रित कर रहे हैं। आप कौन सा हथियार इस्तेमाल कर रहे हैं?")</f>
        <v>कलारीपयट्टू प्रशिक्षण के दौरान, आप शक्तिशाली और कुंद बल वाले प्रहारों पर ध्यान केंद्रित कर रहे हैं। आप कौन सा हथियार इस्तेमाल कर रहे हैं?</v>
      </c>
      <c r="H317" s="5" t="str">
        <f>IFERROR(__xludf.DUMMYFUNCTION("GOOGLETRANSLATE(C317, ""en"", ""hi"")"),"A) तलवार, B) गदा, C) भाला, D) खंजर")</f>
        <v>A) तलवार, B) गदा, C) भाला, D) खंजर</v>
      </c>
      <c r="I317" s="5" t="str">
        <f>IFERROR(__xludf.DUMMYFUNCTION("GOOGLETRANSLATE(D317, ""en"", ""hi"")"),"बी) गदा")</f>
        <v>बी) गदा</v>
      </c>
    </row>
    <row r="318" ht="22.5" customHeight="1">
      <c r="A318" s="2">
        <v>317.0</v>
      </c>
      <c r="B318" s="3" t="s">
        <v>14196</v>
      </c>
      <c r="C318" s="3" t="s">
        <v>14016</v>
      </c>
      <c r="D318" s="3" t="s">
        <v>13684</v>
      </c>
      <c r="F318" s="5" t="str">
        <f>IFERROR(__xludf.DUMMYFUNCTION("GOOGLETRANSLATE(A318, ""en"", ""hi"")"),"317")</f>
        <v>317</v>
      </c>
      <c r="G318" s="5" t="str">
        <f>IFERROR(__xludf.DUMMYFUNCTION("GOOGLETRANSLATE(B318, ""en"", ""hi"")"),"कलारीपयट्टू में, शरीर की कंडीशनिंग और ताकत में सुधार के लिए आपको किस अभ्यास पर ध्यान केंद्रित करना चाहिए?")</f>
        <v>कलारीपयट्टू में, शरीर की कंडीशनिंग और ताकत में सुधार के लिए आपको किस अभ्यास पर ध्यान केंद्रित करना चाहिए?</v>
      </c>
      <c r="H318" s="5" t="str">
        <f>IFERROR(__xludf.DUMMYFUNCTION("GOOGLETRANSLATE(C318, ""en"", ""hi"")"),"ए) उझिचिल, बी) एडवस, सी) वर्मा, डी) चुवाडु")</f>
        <v>ए) उझिचिल, बी) एडवस, सी) वर्मा, डी) चुवाडु</v>
      </c>
      <c r="I318" s="5" t="str">
        <f>IFERROR(__xludf.DUMMYFUNCTION("GOOGLETRANSLATE(D318, ""en"", ""hi"")"),"A) उझिचिल")</f>
        <v>A) उझिचिल</v>
      </c>
    </row>
    <row r="319" ht="22.5" customHeight="1">
      <c r="A319" s="2">
        <v>318.0</v>
      </c>
      <c r="B319" s="3" t="s">
        <v>14197</v>
      </c>
      <c r="C319" s="3" t="s">
        <v>13978</v>
      </c>
      <c r="D319" s="3" t="s">
        <v>13678</v>
      </c>
      <c r="F319" s="5" t="str">
        <f>IFERROR(__xludf.DUMMYFUNCTION("GOOGLETRANSLATE(A319, ""en"", ""hi"")"),"318")</f>
        <v>318</v>
      </c>
      <c r="G319" s="5" t="str">
        <f>IFERROR(__xludf.DUMMYFUNCTION("GOOGLETRANSLATE(B319, ""en"", ""hi"")"),"आप कलारीपयट्टू की उन तकनीकों पर ध्यान केंद्रित कर रहे हैं जिनमें सटीक प्रहार और तेज़ गति शामिल है। कौन सा अभ्यास सबसे ज़्यादा प्रासंगिक है?")</f>
        <v>आप कलारीपयट्टू की उन तकनीकों पर ध्यान केंद्रित कर रहे हैं जिनमें सटीक प्रहार और तेज़ गति शामिल है। कौन सा अभ्यास सबसे ज़्यादा प्रासंगिक है?</v>
      </c>
      <c r="H319" s="5" t="str">
        <f>IFERROR(__xludf.DUMMYFUNCTION("GOOGLETRANSLATE(C319, ""en"", ""hi"")"),"ए) वर्मम, बी) एडवस, सी) चुवाडु, डी) उझिचिल")</f>
        <v>ए) वर्मम, बी) एडवस, सी) चुवाडु, डी) उझिचिल</v>
      </c>
      <c r="I319" s="5" t="str">
        <f>IFERROR(__xludf.DUMMYFUNCTION("GOOGLETRANSLATE(D319, ""en"", ""hi"")"),"ए) वर्माम")</f>
        <v>ए) वर्माम</v>
      </c>
    </row>
    <row r="320" ht="22.5" customHeight="1">
      <c r="A320" s="2">
        <v>319.0</v>
      </c>
      <c r="B320" s="3" t="s">
        <v>14198</v>
      </c>
      <c r="C320" s="3" t="s">
        <v>13981</v>
      </c>
      <c r="D320" s="3" t="s">
        <v>13675</v>
      </c>
      <c r="F320" s="5" t="str">
        <f>IFERROR(__xludf.DUMMYFUNCTION("GOOGLETRANSLATE(A320, ""en"", ""hi"")"),"319")</f>
        <v>319</v>
      </c>
      <c r="G320" s="5" t="str">
        <f>IFERROR(__xludf.DUMMYFUNCTION("GOOGLETRANSLATE(B320, ""en"", ""hi"")"),"कलारीपयट्टू में, किस अभ्यास में हमलों से बचने के लिए चपलता और सजगता में सुधार करने के लिए डिज़ाइन की गई तकनीकें शामिल हैं?")</f>
        <v>कलारीपयट्टू में, किस अभ्यास में हमलों से बचने के लिए चपलता और सजगता में सुधार करने के लिए डिज़ाइन की गई तकनीकें शामिल हैं?</v>
      </c>
      <c r="H320" s="5" t="str">
        <f>IFERROR(__xludf.DUMMYFUNCTION("GOOGLETRANSLATE(C320, ""en"", ""hi"")"),"ए) चुवडु, बी) वर्मा, सी) मार्मा, डी) एडवस")</f>
        <v>ए) चुवडु, बी) वर्मा, सी) मार्मा, डी) एडवस</v>
      </c>
      <c r="I320" s="5" t="str">
        <f>IFERROR(__xludf.DUMMYFUNCTION("GOOGLETRANSLATE(D320, ""en"", ""hi"")"),"A) चुवाडु")</f>
        <v>A) चुवाडु</v>
      </c>
    </row>
    <row r="321" ht="22.5" customHeight="1">
      <c r="A321" s="2">
        <v>320.0</v>
      </c>
      <c r="B321" s="3" t="s">
        <v>14199</v>
      </c>
      <c r="C321" s="3" t="s">
        <v>14013</v>
      </c>
      <c r="D321" s="3" t="s">
        <v>13932</v>
      </c>
      <c r="F321" s="5" t="str">
        <f>IFERROR(__xludf.DUMMYFUNCTION("GOOGLETRANSLATE(A321, ""en"", ""hi"")"),"320")</f>
        <v>320</v>
      </c>
      <c r="G321" s="5" t="str">
        <f>IFERROR(__xludf.DUMMYFUNCTION("GOOGLETRANSLATE(B321, ""en"", ""hi"")"),"एक कलारीपयट्टू अभ्यासी प्रतिद्वंद्वी के शरीर पर सटीक दबाव बिंदुओं पर प्रहार करने की तकनीक सीख रहा है। वे कौन सी तकनीक इस्तेमाल कर रहे हैं?")</f>
        <v>एक कलारीपयट्टू अभ्यासी प्रतिद्वंद्वी के शरीर पर सटीक दबाव बिंदुओं पर प्रहार करने की तकनीक सीख रहा है। वे कौन सी तकनीक इस्तेमाल कर रहे हैं?</v>
      </c>
      <c r="H321" s="5" t="str">
        <f>IFERROR(__xludf.DUMMYFUNCTION("GOOGLETRANSLATE(C321, ""en"", ""hi"")"),"ए) मार्मा, बी) वर्मम, सी) एडवस, डी) उझिचिल")</f>
        <v>ए) मार्मा, बी) वर्मम, सी) एडवस, डी) उझिचिल</v>
      </c>
      <c r="I321" s="5" t="str">
        <f>IFERROR(__xludf.DUMMYFUNCTION("GOOGLETRANSLATE(D321, ""en"", ""hi"")"),"A) मर्म")</f>
        <v>A) मर्म</v>
      </c>
    </row>
    <row r="322" ht="22.5" customHeight="1">
      <c r="A322" s="2">
        <v>321.0</v>
      </c>
      <c r="B322" s="3" t="s">
        <v>14200</v>
      </c>
      <c r="C322" s="3" t="s">
        <v>14108</v>
      </c>
      <c r="D322" s="3" t="s">
        <v>13960</v>
      </c>
      <c r="F322" s="5" t="str">
        <f>IFERROR(__xludf.DUMMYFUNCTION("GOOGLETRANSLATE(A322, ""en"", ""hi"")"),"321")</f>
        <v>321</v>
      </c>
      <c r="G322" s="5" t="str">
        <f>IFERROR(__xludf.DUMMYFUNCTION("GOOGLETRANSLATE(B322, ""en"", ""hi"")"),"कलारीपयट्टू में, कौन सी तकनीक युद्ध में तरलता और सुंदरता बढ़ाने के लिए गोलाकार और प्रवाहपूर्ण आंदोलनों पर ध्यान केंद्रित करती है?")</f>
        <v>कलारीपयट्टू में, कौन सी तकनीक युद्ध में तरलता और सुंदरता बढ़ाने के लिए गोलाकार और प्रवाहपूर्ण आंदोलनों पर ध्यान केंद्रित करती है?</v>
      </c>
      <c r="H322" s="5" t="str">
        <f>IFERROR(__xludf.DUMMYFUNCTION("GOOGLETRANSLATE(C322, ""en"", ""hi"")"),"ए) वर्मा, बी) एडवस, सी) चुवाडु, डी) उझिचिल")</f>
        <v>ए) वर्मा, बी) एडवस, सी) चुवाडु, डी) उझिचिल</v>
      </c>
      <c r="I322" s="5" t="str">
        <f>IFERROR(__xludf.DUMMYFUNCTION("GOOGLETRANSLATE(D322, ""en"", ""hi"")"),"ए) वर्मा")</f>
        <v>ए) वर्मा</v>
      </c>
    </row>
    <row r="323" ht="22.5" customHeight="1">
      <c r="A323" s="2">
        <v>322.0</v>
      </c>
      <c r="B323" s="3" t="s">
        <v>14201</v>
      </c>
      <c r="C323" s="3" t="s">
        <v>13713</v>
      </c>
      <c r="D323" s="3" t="s">
        <v>13772</v>
      </c>
      <c r="F323" s="5" t="str">
        <f>IFERROR(__xludf.DUMMYFUNCTION("GOOGLETRANSLATE(A323, ""en"", ""hi"")"),"322")</f>
        <v>322</v>
      </c>
      <c r="G323" s="5" t="str">
        <f>IFERROR(__xludf.DUMMYFUNCTION("GOOGLETRANSLATE(B323, ""en"", ""hi"")"),"आप कलारीपयट्टू तकनीक का अभ्यास कर रहे हैं जिसमें शक्तिशाली और कुंद प्रहार शामिल हैं। आप संभवतः किस हथियार का उपयोग कर रहे हैं?")</f>
        <v>आप कलारीपयट्टू तकनीक का अभ्यास कर रहे हैं जिसमें शक्तिशाली और कुंद प्रहार शामिल हैं। आप संभवतः किस हथियार का उपयोग कर रहे हैं?</v>
      </c>
      <c r="H323" s="5" t="str">
        <f>IFERROR(__xludf.DUMMYFUNCTION("GOOGLETRANSLATE(C323, ""en"", ""hi"")"),"A) तलवार, B) गदा, C) भाला, D) खंजर")</f>
        <v>A) तलवार, B) गदा, C) भाला, D) खंजर</v>
      </c>
      <c r="I323" s="5" t="str">
        <f>IFERROR(__xludf.DUMMYFUNCTION("GOOGLETRANSLATE(D323, ""en"", ""hi"")"),"बी) गदा")</f>
        <v>बी) गदा</v>
      </c>
    </row>
    <row r="324" ht="22.5" customHeight="1">
      <c r="A324" s="2">
        <v>323.0</v>
      </c>
      <c r="B324" s="3" t="s">
        <v>14202</v>
      </c>
      <c r="C324" s="3" t="s">
        <v>13978</v>
      </c>
      <c r="D324" s="3" t="s">
        <v>13678</v>
      </c>
      <c r="F324" s="5" t="str">
        <f>IFERROR(__xludf.DUMMYFUNCTION("GOOGLETRANSLATE(A324, ""en"", ""hi"")"),"323")</f>
        <v>323</v>
      </c>
      <c r="G324" s="5" t="str">
        <f>IFERROR(__xludf.DUMMYFUNCTION("GOOGLETRANSLATE(B324, ""en"", ""hi"")"),"कलारीपयट्टू में, प्रहारों में अपनी सटीकता और गति बढ़ाने के लिए आपको किस अभ्यास पर ध्यान केंद्रित करना चाहिए?")</f>
        <v>कलारीपयट्टू में, प्रहारों में अपनी सटीकता और गति बढ़ाने के लिए आपको किस अभ्यास पर ध्यान केंद्रित करना चाहिए?</v>
      </c>
      <c r="H324" s="5" t="str">
        <f>IFERROR(__xludf.DUMMYFUNCTION("GOOGLETRANSLATE(C324, ""en"", ""hi"")"),"ए) वर्मम, बी) एडवस, सी) चुवाडु, डी) उझिचिल")</f>
        <v>ए) वर्मम, बी) एडवस, सी) चुवाडु, डी) उझिचिल</v>
      </c>
      <c r="I324" s="5" t="str">
        <f>IFERROR(__xludf.DUMMYFUNCTION("GOOGLETRANSLATE(D324, ""en"", ""hi"")"),"ए) वर्माम")</f>
        <v>ए) वर्माम</v>
      </c>
    </row>
    <row r="325" ht="22.5" customHeight="1">
      <c r="A325" s="2">
        <v>324.0</v>
      </c>
      <c r="B325" s="3" t="s">
        <v>14203</v>
      </c>
      <c r="C325" s="3" t="s">
        <v>13981</v>
      </c>
      <c r="D325" s="3" t="s">
        <v>13675</v>
      </c>
      <c r="F325" s="5" t="str">
        <f>IFERROR(__xludf.DUMMYFUNCTION("GOOGLETRANSLATE(A325, ""en"", ""hi"")"),"324")</f>
        <v>324</v>
      </c>
      <c r="G325" s="5" t="str">
        <f>IFERROR(__xludf.DUMMYFUNCTION("GOOGLETRANSLATE(B325, ""en"", ""hi"")"),"कलारीपयट्टू कक्षा के दौरान, आप तेज़ और प्रभावी फुटवर्क की तकनीकों में महारत हासिल करने पर ध्यान केंद्रित कर रहे हैं। कौन सा अभ्यास सबसे ज़्यादा प्रासंगिक है?")</f>
        <v>कलारीपयट्टू कक्षा के दौरान, आप तेज़ और प्रभावी फुटवर्क की तकनीकों में महारत हासिल करने पर ध्यान केंद्रित कर रहे हैं। कौन सा अभ्यास सबसे ज़्यादा प्रासंगिक है?</v>
      </c>
      <c r="H325" s="5" t="str">
        <f>IFERROR(__xludf.DUMMYFUNCTION("GOOGLETRANSLATE(C325, ""en"", ""hi"")"),"ए) चुवडु, बी) वर्मा, सी) मार्मा, डी) एडवस")</f>
        <v>ए) चुवडु, बी) वर्मा, सी) मार्मा, डी) एडवस</v>
      </c>
      <c r="I325" s="5" t="str">
        <f>IFERROR(__xludf.DUMMYFUNCTION("GOOGLETRANSLATE(D325, ""en"", ""hi"")"),"A) चुवाडु")</f>
        <v>A) चुवाडु</v>
      </c>
    </row>
    <row r="326" ht="22.5" customHeight="1">
      <c r="A326" s="2">
        <v>325.0</v>
      </c>
      <c r="B326" s="3" t="s">
        <v>14204</v>
      </c>
      <c r="C326" s="3" t="s">
        <v>14013</v>
      </c>
      <c r="D326" s="3" t="s">
        <v>13932</v>
      </c>
      <c r="F326" s="5" t="str">
        <f>IFERROR(__xludf.DUMMYFUNCTION("GOOGLETRANSLATE(A326, ""en"", ""hi"")"),"325")</f>
        <v>325</v>
      </c>
      <c r="G326" s="5" t="str">
        <f>IFERROR(__xludf.DUMMYFUNCTION("GOOGLETRANSLATE(B326, ""en"", ""hi"")"),"कलारीपयट्टू में, कौन सी तकनीक प्रतिद्वंद्वी को तुरंत अशक्त करने के लिए विशिष्ट दबाव बिंदुओं के उपयोग पर केंद्रित है?")</f>
        <v>कलारीपयट्टू में, कौन सी तकनीक प्रतिद्वंद्वी को तुरंत अशक्त करने के लिए विशिष्ट दबाव बिंदुओं के उपयोग पर केंद्रित है?</v>
      </c>
      <c r="H326" s="5" t="str">
        <f>IFERROR(__xludf.DUMMYFUNCTION("GOOGLETRANSLATE(C326, ""en"", ""hi"")"),"ए) मार्मा, बी) वर्मम, सी) एडवस, डी) उझिचिल")</f>
        <v>ए) मार्मा, बी) वर्मम, सी) एडवस, डी) उझिचिल</v>
      </c>
      <c r="I326" s="5" t="str">
        <f>IFERROR(__xludf.DUMMYFUNCTION("GOOGLETRANSLATE(D326, ""en"", ""hi"")"),"A) मर्म")</f>
        <v>A) मर्म</v>
      </c>
    </row>
    <row r="327" ht="22.5" customHeight="1">
      <c r="A327" s="2">
        <v>326.0</v>
      </c>
      <c r="B327" s="3" t="s">
        <v>14205</v>
      </c>
      <c r="C327" s="3" t="s">
        <v>13713</v>
      </c>
      <c r="D327" s="3" t="s">
        <v>13772</v>
      </c>
      <c r="F327" s="5" t="str">
        <f>IFERROR(__xludf.DUMMYFUNCTION("GOOGLETRANSLATE(A327, ""en"", ""hi"")"),"326")</f>
        <v>326</v>
      </c>
      <c r="G327" s="5" t="str">
        <f>IFERROR(__xludf.DUMMYFUNCTION("GOOGLETRANSLATE(B327, ""en"", ""hi"")"),"कलारीपयट्टू प्रशिक्षण के दौरान, आप शक्तिशाली और कुंद बल वाले प्रहारों पर ध्यान केंद्रित कर रहे हैं। आप किस हथियार का उपयोग कर रहे हैं?")</f>
        <v>कलारीपयट्टू प्रशिक्षण के दौरान, आप शक्तिशाली और कुंद बल वाले प्रहारों पर ध्यान केंद्रित कर रहे हैं। आप किस हथियार का उपयोग कर रहे हैं?</v>
      </c>
      <c r="H327" s="5" t="str">
        <f>IFERROR(__xludf.DUMMYFUNCTION("GOOGLETRANSLATE(C327, ""en"", ""hi"")"),"A) तलवार, B) गदा, C) भाला, D) खंजर")</f>
        <v>A) तलवार, B) गदा, C) भाला, D) खंजर</v>
      </c>
      <c r="I327" s="5" t="str">
        <f>IFERROR(__xludf.DUMMYFUNCTION("GOOGLETRANSLATE(D327, ""en"", ""hi"")"),"बी) गदा")</f>
        <v>बी) गदा</v>
      </c>
    </row>
    <row r="328" ht="22.5" customHeight="1">
      <c r="A328" s="2">
        <v>327.0</v>
      </c>
      <c r="B328" s="3" t="s">
        <v>14206</v>
      </c>
      <c r="C328" s="3" t="s">
        <v>14016</v>
      </c>
      <c r="D328" s="3" t="s">
        <v>13684</v>
      </c>
      <c r="F328" s="5" t="str">
        <f>IFERROR(__xludf.DUMMYFUNCTION("GOOGLETRANSLATE(A328, ""en"", ""hi"")"),"327")</f>
        <v>327</v>
      </c>
      <c r="G328" s="5" t="str">
        <f>IFERROR(__xludf.DUMMYFUNCTION("GOOGLETRANSLATE(B328, ""en"", ""hi"")"),"कलारीपयट्टू में, कौन सा अभ्यास समग्र शरीर की कंडीशनिंग और सहनशक्ति में सुधार पर केंद्रित है?")</f>
        <v>कलारीपयट्टू में, कौन सा अभ्यास समग्र शरीर की कंडीशनिंग और सहनशक्ति में सुधार पर केंद्रित है?</v>
      </c>
      <c r="H328" s="5" t="str">
        <f>IFERROR(__xludf.DUMMYFUNCTION("GOOGLETRANSLATE(C328, ""en"", ""hi"")"),"ए) उझिचिल, बी) एडवस, सी) वर्मा, डी) चुवाडु")</f>
        <v>ए) उझिचिल, बी) एडवस, सी) वर्मा, डी) चुवाडु</v>
      </c>
      <c r="I328" s="5" t="str">
        <f>IFERROR(__xludf.DUMMYFUNCTION("GOOGLETRANSLATE(D328, ""en"", ""hi"")"),"A) उझिचिल")</f>
        <v>A) उझिचिल</v>
      </c>
    </row>
    <row r="329" ht="22.5" customHeight="1">
      <c r="A329" s="2">
        <v>328.0</v>
      </c>
      <c r="B329" s="3" t="s">
        <v>14207</v>
      </c>
      <c r="C329" s="3" t="s">
        <v>13978</v>
      </c>
      <c r="D329" s="3" t="s">
        <v>13678</v>
      </c>
      <c r="F329" s="5" t="str">
        <f>IFERROR(__xludf.DUMMYFUNCTION("GOOGLETRANSLATE(A329, ""en"", ""hi"")"),"328")</f>
        <v>328</v>
      </c>
      <c r="G329" s="5" t="str">
        <f>IFERROR(__xludf.DUMMYFUNCTION("GOOGLETRANSLATE(B329, ""en"", ""hi"")"),"आप कलारीपयट्टू की ऐसी तकनीक का अभ्यास कर रहे हैं जिसमें सटीक प्रहार और तेज़ गति शामिल है। कौन सा अभ्यास सबसे ज़्यादा प्रासंगिक है?")</f>
        <v>आप कलारीपयट्टू की ऐसी तकनीक का अभ्यास कर रहे हैं जिसमें सटीक प्रहार और तेज़ गति शामिल है। कौन सा अभ्यास सबसे ज़्यादा प्रासंगिक है?</v>
      </c>
      <c r="H329" s="5" t="str">
        <f>IFERROR(__xludf.DUMMYFUNCTION("GOOGLETRANSLATE(C329, ""en"", ""hi"")"),"ए) वर्मम, बी) एडवस, सी) चुवाडु, डी) उझिचिल")</f>
        <v>ए) वर्मम, बी) एडवस, सी) चुवाडु, डी) उझिचिल</v>
      </c>
      <c r="I329" s="5" t="str">
        <f>IFERROR(__xludf.DUMMYFUNCTION("GOOGLETRANSLATE(D329, ""en"", ""hi"")"),"ए) वर्माम")</f>
        <v>ए) वर्माम</v>
      </c>
    </row>
    <row r="330" ht="22.5" customHeight="1">
      <c r="A330" s="2">
        <v>329.0</v>
      </c>
      <c r="B330" s="3" t="s">
        <v>14208</v>
      </c>
      <c r="C330" s="3" t="s">
        <v>13981</v>
      </c>
      <c r="D330" s="3" t="s">
        <v>13675</v>
      </c>
      <c r="F330" s="5" t="str">
        <f>IFERROR(__xludf.DUMMYFUNCTION("GOOGLETRANSLATE(A330, ""en"", ""hi"")"),"329")</f>
        <v>329</v>
      </c>
      <c r="G330" s="5" t="str">
        <f>IFERROR(__xludf.DUMMYFUNCTION("GOOGLETRANSLATE(B330, ""en"", ""hi"")"),"कलारीपयट्टू में, प्रभावी बचाव और जवाबी हमलों के लिए चपलता और सजगता में सुधार करने के लिए कौन सा अभ्यास तैयार किया गया है?")</f>
        <v>कलारीपयट्टू में, प्रभावी बचाव और जवाबी हमलों के लिए चपलता और सजगता में सुधार करने के लिए कौन सा अभ्यास तैयार किया गया है?</v>
      </c>
      <c r="H330" s="5" t="str">
        <f>IFERROR(__xludf.DUMMYFUNCTION("GOOGLETRANSLATE(C330, ""en"", ""hi"")"),"ए) चुवडु, बी) वर्मा, सी) मार्मा, डी) एडवस")</f>
        <v>ए) चुवडु, बी) वर्मा, सी) मार्मा, डी) एडवस</v>
      </c>
      <c r="I330" s="5" t="str">
        <f>IFERROR(__xludf.DUMMYFUNCTION("GOOGLETRANSLATE(D330, ""en"", ""hi"")"),"A) चुवाडु")</f>
        <v>A) चुवाडु</v>
      </c>
    </row>
    <row r="331" ht="22.5" customHeight="1">
      <c r="A331" s="2">
        <v>330.0</v>
      </c>
      <c r="B331" s="3" t="s">
        <v>14188</v>
      </c>
      <c r="C331" s="3" t="s">
        <v>14013</v>
      </c>
      <c r="D331" s="3" t="s">
        <v>13932</v>
      </c>
      <c r="F331" s="5" t="str">
        <f>IFERROR(__xludf.DUMMYFUNCTION("GOOGLETRANSLATE(A331, ""en"", ""hi"")"),"330")</f>
        <v>330</v>
      </c>
      <c r="G331" s="5" t="str">
        <f>IFERROR(__xludf.DUMMYFUNCTION("GOOGLETRANSLATE(B331, ""en"", ""hi"")"),"एक कलारीपयट्टू साधक विरोधियों को अशक्त करने के लिए विशिष्ट दबाव बिंदुओं पर प्रहार करने का अभ्यास कर रहा है। वे कौन सी तकनीक अपना रहे हैं?")</f>
        <v>एक कलारीपयट्टू साधक विरोधियों को अशक्त करने के लिए विशिष्ट दबाव बिंदुओं पर प्रहार करने का अभ्यास कर रहा है। वे कौन सी तकनीक अपना रहे हैं?</v>
      </c>
      <c r="H331" s="5" t="str">
        <f>IFERROR(__xludf.DUMMYFUNCTION("GOOGLETRANSLATE(C331, ""en"", ""hi"")"),"ए) मार्मा, बी) वर्मम, सी) एडवस, डी) उझिचिल")</f>
        <v>ए) मार्मा, बी) वर्मम, सी) एडवस, डी) उझिचिल</v>
      </c>
      <c r="I331" s="5" t="str">
        <f>IFERROR(__xludf.DUMMYFUNCTION("GOOGLETRANSLATE(D331, ""en"", ""hi"")"),"A) मर्म")</f>
        <v>A) मर्म</v>
      </c>
    </row>
    <row r="332" ht="22.5" customHeight="1">
      <c r="A332" s="2">
        <v>331.0</v>
      </c>
      <c r="B332" s="3" t="s">
        <v>14189</v>
      </c>
      <c r="C332" s="3" t="s">
        <v>14108</v>
      </c>
      <c r="D332" s="3" t="s">
        <v>13960</v>
      </c>
      <c r="F332" s="5" t="str">
        <f>IFERROR(__xludf.DUMMYFUNCTION("GOOGLETRANSLATE(A332, ""en"", ""hi"")"),"331")</f>
        <v>331</v>
      </c>
      <c r="G332" s="5" t="str">
        <f>IFERROR(__xludf.DUMMYFUNCTION("GOOGLETRANSLATE(B332, ""en"", ""hi"")"),"कलारीपयट्टू में, कौन सी तकनीक युद्ध में तरलता बढ़ाने के लिए गोलाकार और प्रवाहपूर्ण आंदोलनों पर ध्यान केंद्रित करती है?")</f>
        <v>कलारीपयट्टू में, कौन सी तकनीक युद्ध में तरलता बढ़ाने के लिए गोलाकार और प्रवाहपूर्ण आंदोलनों पर ध्यान केंद्रित करती है?</v>
      </c>
      <c r="H332" s="5" t="str">
        <f>IFERROR(__xludf.DUMMYFUNCTION("GOOGLETRANSLATE(C332, ""en"", ""hi"")"),"ए) वर्मा, बी) एडवस, सी) चुवाडु, डी) उझिचिल")</f>
        <v>ए) वर्मा, बी) एडवस, सी) चुवाडु, डी) उझिचिल</v>
      </c>
      <c r="I332" s="5" t="str">
        <f>IFERROR(__xludf.DUMMYFUNCTION("GOOGLETRANSLATE(D332, ""en"", ""hi"")"),"ए) वर्मा")</f>
        <v>ए) वर्मा</v>
      </c>
    </row>
    <row r="333" ht="22.5" customHeight="1">
      <c r="A333" s="2">
        <v>332.0</v>
      </c>
      <c r="B333" s="3" t="s">
        <v>14209</v>
      </c>
      <c r="C333" s="3" t="s">
        <v>13713</v>
      </c>
      <c r="D333" s="3" t="s">
        <v>13772</v>
      </c>
      <c r="F333" s="5" t="str">
        <f>IFERROR(__xludf.DUMMYFUNCTION("GOOGLETRANSLATE(A333, ""en"", ""hi"")"),"332")</f>
        <v>332</v>
      </c>
      <c r="G333" s="5" t="str">
        <f>IFERROR(__xludf.DUMMYFUNCTION("GOOGLETRANSLATE(B333, ""en"", ""hi"")"),"आप कलारीपयट्टू तकनीक सीख रहे हैं जिसमें शक्तिशाली और कुंद प्रहार पर ज़ोर दिया जाता है। आप कौन सा हथियार इस्तेमाल कर रहे हैं?")</f>
        <v>आप कलारीपयट्टू तकनीक सीख रहे हैं जिसमें शक्तिशाली और कुंद प्रहार पर ज़ोर दिया जाता है। आप कौन सा हथियार इस्तेमाल कर रहे हैं?</v>
      </c>
      <c r="H333" s="5" t="str">
        <f>IFERROR(__xludf.DUMMYFUNCTION("GOOGLETRANSLATE(C333, ""en"", ""hi"")"),"A) तलवार, B) गदा, C) भाला, D) खंजर")</f>
        <v>A) तलवार, B) गदा, C) भाला, D) खंजर</v>
      </c>
      <c r="I333" s="5" t="str">
        <f>IFERROR(__xludf.DUMMYFUNCTION("GOOGLETRANSLATE(D333, ""en"", ""hi"")"),"बी) गदा")</f>
        <v>बी) गदा</v>
      </c>
    </row>
    <row r="334" ht="22.5" customHeight="1">
      <c r="A334" s="2">
        <v>333.0</v>
      </c>
      <c r="B334" s="3" t="s">
        <v>14196</v>
      </c>
      <c r="C334" s="3" t="s">
        <v>14016</v>
      </c>
      <c r="D334" s="3" t="s">
        <v>13684</v>
      </c>
      <c r="F334" s="5" t="str">
        <f>IFERROR(__xludf.DUMMYFUNCTION("GOOGLETRANSLATE(A334, ""en"", ""hi"")"),"333")</f>
        <v>333</v>
      </c>
      <c r="G334" s="5" t="str">
        <f>IFERROR(__xludf.DUMMYFUNCTION("GOOGLETRANSLATE(B334, ""en"", ""hi"")"),"कलारीपयट्टू में, शरीर की कंडीशनिंग और ताकत में सुधार के लिए आपको किस अभ्यास पर ध्यान केंद्रित करना चाहिए?")</f>
        <v>कलारीपयट्टू में, शरीर की कंडीशनिंग और ताकत में सुधार के लिए आपको किस अभ्यास पर ध्यान केंद्रित करना चाहिए?</v>
      </c>
      <c r="H334" s="5" t="str">
        <f>IFERROR(__xludf.DUMMYFUNCTION("GOOGLETRANSLATE(C334, ""en"", ""hi"")"),"ए) उझिचिल, बी) एडवस, सी) वर्मा, डी) चुवाडु")</f>
        <v>ए) उझिचिल, बी) एडवस, सी) वर्मा, डी) चुवाडु</v>
      </c>
      <c r="I334" s="5" t="str">
        <f>IFERROR(__xludf.DUMMYFUNCTION("GOOGLETRANSLATE(D334, ""en"", ""hi"")"),"A) उझिचिल")</f>
        <v>A) उझिचिल</v>
      </c>
    </row>
    <row r="335" ht="22.5" customHeight="1">
      <c r="A335" s="2">
        <v>334.0</v>
      </c>
      <c r="B335" s="3" t="s">
        <v>14186</v>
      </c>
      <c r="C335" s="3" t="s">
        <v>13978</v>
      </c>
      <c r="D335" s="3" t="s">
        <v>13678</v>
      </c>
      <c r="F335" s="5" t="str">
        <f>IFERROR(__xludf.DUMMYFUNCTION("GOOGLETRANSLATE(A335, ""en"", ""hi"")"),"334")</f>
        <v>334</v>
      </c>
      <c r="G335" s="5" t="str">
        <f>IFERROR(__xludf.DUMMYFUNCTION("GOOGLETRANSLATE(B335, ""en"", ""hi"")"),"आप कलारीपयट्टू की उन तकनीकों पर ध्यान केंद्रित कर रहे हैं जिनमें सटीक प्रहार और गति शामिल है। कौन सा अभ्यास सबसे ज़्यादा प्रासंगिक है?")</f>
        <v>आप कलारीपयट्टू की उन तकनीकों पर ध्यान केंद्रित कर रहे हैं जिनमें सटीक प्रहार और गति शामिल है। कौन सा अभ्यास सबसे ज़्यादा प्रासंगिक है?</v>
      </c>
      <c r="H335" s="5" t="str">
        <f>IFERROR(__xludf.DUMMYFUNCTION("GOOGLETRANSLATE(C335, ""en"", ""hi"")"),"ए) वर्मम, बी) एडवस, सी) चुवाडु, डी) उझिचिल")</f>
        <v>ए) वर्मम, बी) एडवस, सी) चुवाडु, डी) उझिचिल</v>
      </c>
      <c r="I335" s="5" t="str">
        <f>IFERROR(__xludf.DUMMYFUNCTION("GOOGLETRANSLATE(D335, ""en"", ""hi"")"),"ए) वर्माम")</f>
        <v>ए) वर्माम</v>
      </c>
    </row>
    <row r="336" ht="22.5" customHeight="1">
      <c r="A336" s="2">
        <v>335.0</v>
      </c>
      <c r="B336" s="3" t="s">
        <v>14210</v>
      </c>
      <c r="C336" s="3" t="s">
        <v>13981</v>
      </c>
      <c r="D336" s="3" t="s">
        <v>13675</v>
      </c>
      <c r="F336" s="5" t="str">
        <f>IFERROR(__xludf.DUMMYFUNCTION("GOOGLETRANSLATE(A336, ""en"", ""hi"")"),"335")</f>
        <v>335</v>
      </c>
      <c r="G336" s="5" t="str">
        <f>IFERROR(__xludf.DUMMYFUNCTION("GOOGLETRANSLATE(B336, ""en"", ""hi"")"),"कलारीपयट्टू में, हमलों से बचने और उनका मुकाबला करने के लिए चपलता और सजगता को बढ़ाने के लिए कौन सा अभ्यास तैयार किया गया है?")</f>
        <v>कलारीपयट्टू में, हमलों से बचने और उनका मुकाबला करने के लिए चपलता और सजगता को बढ़ाने के लिए कौन सा अभ्यास तैयार किया गया है?</v>
      </c>
      <c r="H336" s="5" t="str">
        <f>IFERROR(__xludf.DUMMYFUNCTION("GOOGLETRANSLATE(C336, ""en"", ""hi"")"),"ए) चुवडु, बी) वर्मा, सी) मार्मा, डी) एडवस")</f>
        <v>ए) चुवडु, बी) वर्मा, सी) मार्मा, डी) एडवस</v>
      </c>
      <c r="I336" s="5" t="str">
        <f>IFERROR(__xludf.DUMMYFUNCTION("GOOGLETRANSLATE(D336, ""en"", ""hi"")"),"A) चुवाडु")</f>
        <v>A) चुवाडु</v>
      </c>
    </row>
    <row r="337" ht="22.5" customHeight="1">
      <c r="A337" s="2">
        <v>336.0</v>
      </c>
      <c r="B337" s="3" t="s">
        <v>14211</v>
      </c>
      <c r="C337" s="3" t="s">
        <v>14013</v>
      </c>
      <c r="D337" s="3" t="s">
        <v>13932</v>
      </c>
      <c r="F337" s="5" t="str">
        <f>IFERROR(__xludf.DUMMYFUNCTION("GOOGLETRANSLATE(A337, ""en"", ""hi"")"),"336")</f>
        <v>336</v>
      </c>
      <c r="G337" s="5" t="str">
        <f>IFERROR(__xludf.DUMMYFUNCTION("GOOGLETRANSLATE(B337, ""en"", ""hi"")"),"एक कलारीपयट्टू अभ्यासी प्रतिद्वंद्वी के शरीर पर विशिष्ट दबाव बिंदुओं पर प्रहार करने की तकनीक सीख रहा है। वे कौन सी तकनीक अपना रहे हैं?")</f>
        <v>एक कलारीपयट्टू अभ्यासी प्रतिद्वंद्वी के शरीर पर विशिष्ट दबाव बिंदुओं पर प्रहार करने की तकनीक सीख रहा है। वे कौन सी तकनीक अपना रहे हैं?</v>
      </c>
      <c r="H337" s="5" t="str">
        <f>IFERROR(__xludf.DUMMYFUNCTION("GOOGLETRANSLATE(C337, ""en"", ""hi"")"),"ए) मार्मा, बी) वर्मम, सी) एडवस, डी) उझिचिल")</f>
        <v>ए) मार्मा, बी) वर्मम, सी) एडवस, डी) उझिचिल</v>
      </c>
      <c r="I337" s="5" t="str">
        <f>IFERROR(__xludf.DUMMYFUNCTION("GOOGLETRANSLATE(D337, ""en"", ""hi"")"),"A) मर्म")</f>
        <v>A) मर्म</v>
      </c>
    </row>
    <row r="338" ht="22.5" customHeight="1">
      <c r="A338" s="2">
        <v>337.0</v>
      </c>
      <c r="B338" s="3" t="s">
        <v>14212</v>
      </c>
      <c r="C338" s="3" t="s">
        <v>13713</v>
      </c>
      <c r="D338" s="3" t="s">
        <v>13772</v>
      </c>
      <c r="F338" s="5" t="str">
        <f>IFERROR(__xludf.DUMMYFUNCTION("GOOGLETRANSLATE(A338, ""en"", ""hi"")"),"337")</f>
        <v>337</v>
      </c>
      <c r="G338" s="5" t="str">
        <f>IFERROR(__xludf.DUMMYFUNCTION("GOOGLETRANSLATE(B338, ""en"", ""hi"")"),"कलारीपयट्टू प्रशिक्षण के दौरान, आप शक्तिशाली और कुंद बल वाले प्रहारों पर ध्यान केंद्रित कर रहे हैं। आप किस हथियार का उपयोग कर रहे हैं?")</f>
        <v>कलारीपयट्टू प्रशिक्षण के दौरान, आप शक्तिशाली और कुंद बल वाले प्रहारों पर ध्यान केंद्रित कर रहे हैं। आप किस हथियार का उपयोग कर रहे हैं?</v>
      </c>
      <c r="H338" s="5" t="str">
        <f>IFERROR(__xludf.DUMMYFUNCTION("GOOGLETRANSLATE(C338, ""en"", ""hi"")"),"A) तलवार, B) गदा, C) भाला, D) खंजर")</f>
        <v>A) तलवार, B) गदा, C) भाला, D) खंजर</v>
      </c>
      <c r="I338" s="5" t="str">
        <f>IFERROR(__xludf.DUMMYFUNCTION("GOOGLETRANSLATE(D338, ""en"", ""hi"")"),"बी) गदा")</f>
        <v>बी) गदा</v>
      </c>
    </row>
    <row r="339" ht="22.5" customHeight="1">
      <c r="A339" s="2">
        <v>338.0</v>
      </c>
      <c r="B339" s="3" t="s">
        <v>14145</v>
      </c>
      <c r="C339" s="3" t="s">
        <v>14016</v>
      </c>
      <c r="D339" s="3" t="s">
        <v>13684</v>
      </c>
      <c r="F339" s="5" t="str">
        <f>IFERROR(__xludf.DUMMYFUNCTION("GOOGLETRANSLATE(A339, ""en"", ""hi"")"),"338")</f>
        <v>338</v>
      </c>
      <c r="G339" s="5" t="str">
        <f>IFERROR(__xludf.DUMMYFUNCTION("GOOGLETRANSLATE(B339, ""en"", ""hi"")"),"कलारीपयट्टू में, शरीर की कंडीशनिंग और सहनशक्ति में सुधार के लिए आपको किस अभ्यास पर ध्यान केंद्रित करना चाहिए?")</f>
        <v>कलारीपयट्टू में, शरीर की कंडीशनिंग और सहनशक्ति में सुधार के लिए आपको किस अभ्यास पर ध्यान केंद्रित करना चाहिए?</v>
      </c>
      <c r="H339" s="5" t="str">
        <f>IFERROR(__xludf.DUMMYFUNCTION("GOOGLETRANSLATE(C339, ""en"", ""hi"")"),"ए) उझिचिल, बी) एडवस, सी) वर्मा, डी) चुवाडु")</f>
        <v>ए) उझिचिल, बी) एडवस, सी) वर्मा, डी) चुवाडु</v>
      </c>
      <c r="I339" s="5" t="str">
        <f>IFERROR(__xludf.DUMMYFUNCTION("GOOGLETRANSLATE(D339, ""en"", ""hi"")"),"A) उझिचिल")</f>
        <v>A) उझिचिल</v>
      </c>
    </row>
    <row r="340" ht="22.5" customHeight="1">
      <c r="A340" s="2">
        <v>339.0</v>
      </c>
      <c r="B340" s="3" t="s">
        <v>14207</v>
      </c>
      <c r="C340" s="3" t="s">
        <v>13978</v>
      </c>
      <c r="D340" s="3" t="s">
        <v>13678</v>
      </c>
      <c r="F340" s="5" t="str">
        <f>IFERROR(__xludf.DUMMYFUNCTION("GOOGLETRANSLATE(A340, ""en"", ""hi"")"),"339")</f>
        <v>339</v>
      </c>
      <c r="G340" s="5" t="str">
        <f>IFERROR(__xludf.DUMMYFUNCTION("GOOGLETRANSLATE(B340, ""en"", ""hi"")"),"आप कलारीपयट्टू की ऐसी तकनीक का अभ्यास कर रहे हैं जिसमें सटीक प्रहार और तेज़ गति शामिल है। कौन सा अभ्यास सबसे ज़्यादा प्रासंगिक है?")</f>
        <v>आप कलारीपयट्टू की ऐसी तकनीक का अभ्यास कर रहे हैं जिसमें सटीक प्रहार और तेज़ गति शामिल है। कौन सा अभ्यास सबसे ज़्यादा प्रासंगिक है?</v>
      </c>
      <c r="H340" s="5" t="str">
        <f>IFERROR(__xludf.DUMMYFUNCTION("GOOGLETRANSLATE(C340, ""en"", ""hi"")"),"ए) वर्मम, बी) एडवस, सी) चुवाडु, डी) उझिचिल")</f>
        <v>ए) वर्मम, बी) एडवस, सी) चुवाडु, डी) उझिचिल</v>
      </c>
      <c r="I340" s="5" t="str">
        <f>IFERROR(__xludf.DUMMYFUNCTION("GOOGLETRANSLATE(D340, ""en"", ""hi"")"),"ए) वर्माम")</f>
        <v>ए) वर्माम</v>
      </c>
    </row>
    <row r="341" ht="22.5" customHeight="1">
      <c r="A341" s="2">
        <v>340.0</v>
      </c>
      <c r="B341" s="3" t="s">
        <v>14213</v>
      </c>
      <c r="C341" s="3" t="s">
        <v>13981</v>
      </c>
      <c r="D341" s="3" t="s">
        <v>13675</v>
      </c>
      <c r="F341" s="5" t="str">
        <f>IFERROR(__xludf.DUMMYFUNCTION("GOOGLETRANSLATE(A341, ""en"", ""hi"")"),"340")</f>
        <v>340</v>
      </c>
      <c r="G341" s="5" t="str">
        <f>IFERROR(__xludf.DUMMYFUNCTION("GOOGLETRANSLATE(B341, ""en"", ""hi"")"),"कलारीपयट्टू में, किस अभ्यास में हमलों से बचने और उनका मुकाबला करने के लिए चपलता और सजगता में सुधार करने के लिए डिज़ाइन की गई तकनीकें शामिल हैं?")</f>
        <v>कलारीपयट्टू में, किस अभ्यास में हमलों से बचने और उनका मुकाबला करने के लिए चपलता और सजगता में सुधार करने के लिए डिज़ाइन की गई तकनीकें शामिल हैं?</v>
      </c>
      <c r="H341" s="5" t="str">
        <f>IFERROR(__xludf.DUMMYFUNCTION("GOOGLETRANSLATE(C341, ""en"", ""hi"")"),"ए) चुवडु, बी) वर्मा, सी) मार्मा, डी) एडवस")</f>
        <v>ए) चुवडु, बी) वर्मा, सी) मार्मा, डी) एडवस</v>
      </c>
      <c r="I341" s="5" t="str">
        <f>IFERROR(__xludf.DUMMYFUNCTION("GOOGLETRANSLATE(D341, ""en"", ""hi"")"),"A) चुवाडु")</f>
        <v>A) चुवाडु</v>
      </c>
    </row>
    <row r="342" ht="22.5" customHeight="1">
      <c r="A342" s="2">
        <v>341.0</v>
      </c>
      <c r="B342" s="3" t="s">
        <v>14214</v>
      </c>
      <c r="C342" s="3" t="s">
        <v>14013</v>
      </c>
      <c r="D342" s="3" t="s">
        <v>13932</v>
      </c>
      <c r="F342" s="5" t="str">
        <f>IFERROR(__xludf.DUMMYFUNCTION("GOOGLETRANSLATE(A342, ""en"", ""hi"")"),"341")</f>
        <v>341</v>
      </c>
      <c r="G342" s="5" t="str">
        <f>IFERROR(__xludf.DUMMYFUNCTION("GOOGLETRANSLATE(B342, ""en"", ""hi"")"),"एक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f>
        <v>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v>
      </c>
      <c r="H342" s="5" t="str">
        <f>IFERROR(__xludf.DUMMYFUNCTION("GOOGLETRANSLATE(C342, ""en"", ""hi"")"),"ए) मार्मा, बी) वर्मम, सी) एडवस, डी) उझिचिल")</f>
        <v>ए) मार्मा, बी) वर्मम, सी) एडवस, डी) उझिचिल</v>
      </c>
      <c r="I342" s="5" t="str">
        <f>IFERROR(__xludf.DUMMYFUNCTION("GOOGLETRANSLATE(D342, ""en"", ""hi"")"),"A) मर्म")</f>
        <v>A) मर्म</v>
      </c>
    </row>
    <row r="343" ht="22.5" customHeight="1">
      <c r="A343" s="2">
        <v>342.0</v>
      </c>
      <c r="B343" s="3" t="s">
        <v>14200</v>
      </c>
      <c r="C343" s="3" t="s">
        <v>14108</v>
      </c>
      <c r="D343" s="3" t="s">
        <v>13960</v>
      </c>
      <c r="F343" s="5" t="str">
        <f>IFERROR(__xludf.DUMMYFUNCTION("GOOGLETRANSLATE(A343, ""en"", ""hi"")"),"342")</f>
        <v>342</v>
      </c>
      <c r="G343" s="5" t="str">
        <f>IFERROR(__xludf.DUMMYFUNCTION("GOOGLETRANSLATE(B343, ""en"", ""hi"")"),"कलारीपयट्टू में, कौन सी तकनीक युद्ध में तरलता और सुंदरता बढ़ाने के लिए गोलाकार और प्रवाहपूर्ण आंदोलनों पर ध्यान केंद्रित करती है?")</f>
        <v>कलारीपयट्टू में, कौन सी तकनीक युद्ध में तरलता और सुंदरता बढ़ाने के लिए गोलाकार और प्रवाहपूर्ण आंदोलनों पर ध्यान केंद्रित करती है?</v>
      </c>
      <c r="H343" s="5" t="str">
        <f>IFERROR(__xludf.DUMMYFUNCTION("GOOGLETRANSLATE(C343, ""en"", ""hi"")"),"ए) वर्मा, बी) एडवस, सी) चुवाडु, डी) उझिचिल")</f>
        <v>ए) वर्मा, बी) एडवस, सी) चुवाडु, डी) उझिचिल</v>
      </c>
      <c r="I343" s="5" t="str">
        <f>IFERROR(__xludf.DUMMYFUNCTION("GOOGLETRANSLATE(D343, ""en"", ""hi"")"),"ए) वर्मा")</f>
        <v>ए) वर्मा</v>
      </c>
    </row>
    <row r="344" ht="22.5" customHeight="1">
      <c r="A344" s="2">
        <v>343.0</v>
      </c>
      <c r="B344" s="3" t="s">
        <v>14215</v>
      </c>
      <c r="C344" s="3" t="s">
        <v>13713</v>
      </c>
      <c r="D344" s="3" t="s">
        <v>13772</v>
      </c>
      <c r="F344" s="5" t="str">
        <f>IFERROR(__xludf.DUMMYFUNCTION("GOOGLETRANSLATE(A344, ""en"", ""hi"")"),"343")</f>
        <v>343</v>
      </c>
      <c r="G344" s="5" t="str">
        <f>IFERROR(__xludf.DUMMYFUNCTION("GOOGLETRANSLATE(B344, ""en"", ""hi"")"),"आप कलारीपयट्टू तकनीक सीख रहे हैं जिसमें शक्तिशाली और कुंद प्रहार शामिल हैं। आप संभवतः किस हथियार का उपयोग कर रहे हैं?")</f>
        <v>आप कलारीपयट्टू तकनीक सीख रहे हैं जिसमें शक्तिशाली और कुंद प्रहार शामिल हैं। आप संभवतः किस हथियार का उपयोग कर रहे हैं?</v>
      </c>
      <c r="H344" s="5" t="str">
        <f>IFERROR(__xludf.DUMMYFUNCTION("GOOGLETRANSLATE(C344, ""en"", ""hi"")"),"A) तलवार, B) गदा, C) भाला, D) खंजर")</f>
        <v>A) तलवार, B) गदा, C) भाला, D) खंजर</v>
      </c>
      <c r="I344" s="5" t="str">
        <f>IFERROR(__xludf.DUMMYFUNCTION("GOOGLETRANSLATE(D344, ""en"", ""hi"")"),"बी) गदा")</f>
        <v>बी) गदा</v>
      </c>
    </row>
    <row r="345" ht="22.5" customHeight="1">
      <c r="A345" s="2">
        <v>344.0</v>
      </c>
      <c r="B345" s="3" t="s">
        <v>14216</v>
      </c>
      <c r="C345" s="3" t="s">
        <v>13978</v>
      </c>
      <c r="D345" s="3" t="s">
        <v>13678</v>
      </c>
      <c r="F345" s="5" t="str">
        <f>IFERROR(__xludf.DUMMYFUNCTION("GOOGLETRANSLATE(A345, ""en"", ""hi"")"),"344")</f>
        <v>344</v>
      </c>
      <c r="G345" s="5" t="str">
        <f>IFERROR(__xludf.DUMMYFUNCTION("GOOGLETRANSLATE(B345, ""en"", ""hi"")"),"कलारीपयट्टू में, हथियार के प्रहार में सटीकता और गति बढ़ाने के लिए आपको किस अभ्यास पर ध्यान केंद्रित करना चाहिए?")</f>
        <v>कलारीपयट्टू में, हथियार के प्रहार में सटीकता और गति बढ़ाने के लिए आपको किस अभ्यास पर ध्यान केंद्रित करना चाहिए?</v>
      </c>
      <c r="H345" s="5" t="str">
        <f>IFERROR(__xludf.DUMMYFUNCTION("GOOGLETRANSLATE(C345, ""en"", ""hi"")"),"ए) वर्मम, बी) एडवस, सी) चुवाडु, डी) उझिचिल")</f>
        <v>ए) वर्मम, बी) एडवस, सी) चुवाडु, डी) उझिचिल</v>
      </c>
      <c r="I345" s="5" t="str">
        <f>IFERROR(__xludf.DUMMYFUNCTION("GOOGLETRANSLATE(D345, ""en"", ""hi"")"),"ए) वर्माम")</f>
        <v>ए) वर्माम</v>
      </c>
    </row>
    <row r="346" ht="22.5" customHeight="1">
      <c r="A346" s="2">
        <v>345.0</v>
      </c>
      <c r="B346" s="3" t="s">
        <v>14203</v>
      </c>
      <c r="C346" s="3" t="s">
        <v>13981</v>
      </c>
      <c r="D346" s="3" t="s">
        <v>13675</v>
      </c>
      <c r="F346" s="5" t="str">
        <f>IFERROR(__xludf.DUMMYFUNCTION("GOOGLETRANSLATE(A346, ""en"", ""hi"")"),"345")</f>
        <v>345</v>
      </c>
      <c r="G346" s="5" t="str">
        <f>IFERROR(__xludf.DUMMYFUNCTION("GOOGLETRANSLATE(B346, ""en"", ""hi"")"),"कलारीपयट्टू कक्षा के दौरान, आप तेज़ और प्रभावी फुटवर्क की तकनीकों में महारत हासिल करने पर ध्यान केंद्रित कर रहे हैं। कौन सा अभ्यास सबसे ज़्यादा प्रासंगिक है?")</f>
        <v>कलारीपयट्टू कक्षा के दौरान, आप तेज़ और प्रभावी फुटवर्क की तकनीकों में महारत हासिल करने पर ध्यान केंद्रित कर रहे हैं। कौन सा अभ्यास सबसे ज़्यादा प्रासंगिक है?</v>
      </c>
      <c r="H346" s="5" t="str">
        <f>IFERROR(__xludf.DUMMYFUNCTION("GOOGLETRANSLATE(C346, ""en"", ""hi"")"),"ए) चुवडु, बी) वर्मा, सी) मार्मा, डी) एडवस")</f>
        <v>ए) चुवडु, बी) वर्मा, सी) मार्मा, डी) एडवस</v>
      </c>
      <c r="I346" s="5" t="str">
        <f>IFERROR(__xludf.DUMMYFUNCTION("GOOGLETRANSLATE(D346, ""en"", ""hi"")"),"A) चुवाडु")</f>
        <v>A) चुवाडु</v>
      </c>
    </row>
    <row r="347" ht="22.5" customHeight="1">
      <c r="A347" s="2">
        <v>346.0</v>
      </c>
      <c r="B347" s="3" t="s">
        <v>14217</v>
      </c>
      <c r="C347" s="3" t="s">
        <v>14013</v>
      </c>
      <c r="D347" s="3" t="s">
        <v>13932</v>
      </c>
      <c r="F347" s="5" t="str">
        <f>IFERROR(__xludf.DUMMYFUNCTION("GOOGLETRANSLATE(A347, ""en"", ""hi"")"),"346")</f>
        <v>346</v>
      </c>
      <c r="G347" s="5" t="str">
        <f>IFERROR(__xludf.DUMMYFUNCTION("GOOGLETRANSLATE(B347, ""en"", ""hi"")"),"कलारीपयट्टू में, कौन सी प्रथा प्रतिद्वंद्वी को अशक्त करने के लिए विशिष्ट दबाव बिंदुओं के उपयोग पर केंद्रित है?")</f>
        <v>कलारीपयट्टू में, कौन सी प्रथा प्रतिद्वंद्वी को अशक्त करने के लिए विशिष्ट दबाव बिंदुओं के उपयोग पर केंद्रित है?</v>
      </c>
      <c r="H347" s="5" t="str">
        <f>IFERROR(__xludf.DUMMYFUNCTION("GOOGLETRANSLATE(C347, ""en"", ""hi"")"),"ए) मार्मा, बी) वर्मम, सी) एडवस, डी) उझिचिल")</f>
        <v>ए) मार्मा, बी) वर्मम, सी) एडवस, डी) उझिचिल</v>
      </c>
      <c r="I347" s="5" t="str">
        <f>IFERROR(__xludf.DUMMYFUNCTION("GOOGLETRANSLATE(D347, ""en"", ""hi"")"),"A) मर्म")</f>
        <v>A) मर्म</v>
      </c>
    </row>
    <row r="348" ht="22.5" customHeight="1">
      <c r="A348" s="2">
        <v>347.0</v>
      </c>
      <c r="B348" s="3" t="s">
        <v>14218</v>
      </c>
      <c r="C348" s="3" t="s">
        <v>13713</v>
      </c>
      <c r="D348" s="3" t="s">
        <v>13772</v>
      </c>
      <c r="F348" s="5" t="str">
        <f>IFERROR(__xludf.DUMMYFUNCTION("GOOGLETRANSLATE(A348, ""en"", ""hi"")"),"347")</f>
        <v>347</v>
      </c>
      <c r="G348" s="5" t="str">
        <f>IFERROR(__xludf.DUMMYFUNCTION("GOOGLETRANSLATE(B348, ""en"", ""hi"")"),"कलारीपयट्टू प्रशिक्षण के दौरान, आप शक्तिशाली और कुंद प्रहारों वाली तकनीकों पर ध्यान केंद्रित कर रहे हैं। आप किस हथियार का उपयोग कर रहे हैं?")</f>
        <v>कलारीपयट्टू प्रशिक्षण के दौरान, आप शक्तिशाली और कुंद प्रहारों वाली तकनीकों पर ध्यान केंद्रित कर रहे हैं। आप किस हथियार का उपयोग कर रहे हैं?</v>
      </c>
      <c r="H348" s="5" t="str">
        <f>IFERROR(__xludf.DUMMYFUNCTION("GOOGLETRANSLATE(C348, ""en"", ""hi"")"),"A) तलवार, B) गदा, C) भाला, D) खंजर")</f>
        <v>A) तलवार, B) गदा, C) भाला, D) खंजर</v>
      </c>
      <c r="I348" s="5" t="str">
        <f>IFERROR(__xludf.DUMMYFUNCTION("GOOGLETRANSLATE(D348, ""en"", ""hi"")"),"बी) गदा")</f>
        <v>बी) गदा</v>
      </c>
    </row>
    <row r="349" ht="22.5" customHeight="1">
      <c r="A349" s="2">
        <v>348.0</v>
      </c>
      <c r="B349" s="3" t="s">
        <v>14185</v>
      </c>
      <c r="C349" s="3" t="s">
        <v>14016</v>
      </c>
      <c r="D349" s="3" t="s">
        <v>13684</v>
      </c>
      <c r="F349" s="5" t="str">
        <f>IFERROR(__xludf.DUMMYFUNCTION("GOOGLETRANSLATE(A349, ""en"", ""hi"")"),"348")</f>
        <v>348</v>
      </c>
      <c r="G349" s="5" t="str">
        <f>IFERROR(__xludf.DUMMYFUNCTION("GOOGLETRANSLATE(B349, ""en"", ""hi"")"),"कलारीपयट्टू में, कौन सा अभ्यास शरीर की कंडीशनिंग और समग्र शक्ति में सुधार करने के लिए डिज़ाइन किया गया है?")</f>
        <v>कलारीपयट्टू में, कौन सा अभ्यास शरीर की कंडीशनिंग और समग्र शक्ति में सुधार करने के लिए डिज़ाइन किया गया है?</v>
      </c>
      <c r="H349" s="5" t="str">
        <f>IFERROR(__xludf.DUMMYFUNCTION("GOOGLETRANSLATE(C349, ""en"", ""hi"")"),"ए) उझिचिल, बी) एडवस, सी) वर्मा, डी) चुवाडु")</f>
        <v>ए) उझिचिल, बी) एडवस, सी) वर्मा, डी) चुवाडु</v>
      </c>
      <c r="I349" s="5" t="str">
        <f>IFERROR(__xludf.DUMMYFUNCTION("GOOGLETRANSLATE(D349, ""en"", ""hi"")"),"A) उझिचिल")</f>
        <v>A) उझिचिल</v>
      </c>
    </row>
    <row r="350" ht="22.5" customHeight="1">
      <c r="A350" s="2">
        <v>349.0</v>
      </c>
      <c r="B350" s="3" t="s">
        <v>14186</v>
      </c>
      <c r="C350" s="3" t="s">
        <v>13978</v>
      </c>
      <c r="D350" s="3" t="s">
        <v>13678</v>
      </c>
      <c r="F350" s="5" t="str">
        <f>IFERROR(__xludf.DUMMYFUNCTION("GOOGLETRANSLATE(A350, ""en"", ""hi"")"),"349")</f>
        <v>349</v>
      </c>
      <c r="G350" s="5" t="str">
        <f>IFERROR(__xludf.DUMMYFUNCTION("GOOGLETRANSLATE(B350, ""en"", ""hi"")"),"आप कलारीपयट्टू की उन तकनीकों पर ध्यान केंद्रित कर रहे हैं जिनमें सटीक प्रहार और गति शामिल है। कौन सा अभ्यास सबसे ज़्यादा प्रासंगिक है?")</f>
        <v>आप कलारीपयट्टू की उन तकनीकों पर ध्यान केंद्रित कर रहे हैं जिनमें सटीक प्रहार और गति शामिल है। कौन सा अभ्यास सबसे ज़्यादा प्रासंगिक है?</v>
      </c>
      <c r="H350" s="5" t="str">
        <f>IFERROR(__xludf.DUMMYFUNCTION("GOOGLETRANSLATE(C350, ""en"", ""hi"")"),"ए) वर्मम, बी) एडवस, सी) चुवाडु, डी) उझिचिल")</f>
        <v>ए) वर्मम, बी) एडवस, सी) चुवाडु, डी) उझिचिल</v>
      </c>
      <c r="I350" s="5" t="str">
        <f>IFERROR(__xludf.DUMMYFUNCTION("GOOGLETRANSLATE(D350, ""en"", ""hi"")"),"ए) वर्माम")</f>
        <v>ए) वर्माम</v>
      </c>
    </row>
    <row r="351" ht="22.5" customHeight="1">
      <c r="A351" s="2">
        <v>350.0</v>
      </c>
      <c r="B351" s="3" t="s">
        <v>14210</v>
      </c>
      <c r="C351" s="3" t="s">
        <v>13981</v>
      </c>
      <c r="D351" s="3" t="s">
        <v>13675</v>
      </c>
      <c r="F351" s="5" t="str">
        <f>IFERROR(__xludf.DUMMYFUNCTION("GOOGLETRANSLATE(A351, ""en"", ""hi"")"),"350")</f>
        <v>350</v>
      </c>
      <c r="G351" s="5" t="str">
        <f>IFERROR(__xludf.DUMMYFUNCTION("GOOGLETRANSLATE(B351, ""en"", ""hi"")"),"कलारीपयट्टू में, हमलों से बचने और उनका मुकाबला करने के लिए चपलता और सजगता को बढ़ाने के लिए कौन सा अभ्यास तैयार किया गया है?")</f>
        <v>कलारीपयट्टू में, हमलों से बचने और उनका मुकाबला करने के लिए चपलता और सजगता को बढ़ाने के लिए कौन सा अभ्यास तैयार किया गया है?</v>
      </c>
      <c r="H351" s="5" t="str">
        <f>IFERROR(__xludf.DUMMYFUNCTION("GOOGLETRANSLATE(C351, ""en"", ""hi"")"),"ए) चुवडु, बी) वर्मा, सी) मार्मा, डी) एडवस")</f>
        <v>ए) चुवडु, बी) वर्मा, सी) मार्मा, डी) एडवस</v>
      </c>
      <c r="I351" s="5" t="str">
        <f>IFERROR(__xludf.DUMMYFUNCTION("GOOGLETRANSLATE(D351, ""en"", ""hi"")"),"A) चुवाडु")</f>
        <v>A) चुवाडु</v>
      </c>
    </row>
    <row r="352" ht="22.5" customHeight="1">
      <c r="A352" s="2">
        <v>351.0</v>
      </c>
      <c r="B352" s="3" t="s">
        <v>14211</v>
      </c>
      <c r="C352" s="3" t="s">
        <v>14013</v>
      </c>
      <c r="D352" s="3" t="s">
        <v>13932</v>
      </c>
      <c r="F352" s="5" t="str">
        <f>IFERROR(__xludf.DUMMYFUNCTION("GOOGLETRANSLATE(A352, ""en"", ""hi"")"),"351")</f>
        <v>351</v>
      </c>
      <c r="G352" s="5" t="str">
        <f>IFERROR(__xludf.DUMMYFUNCTION("GOOGLETRANSLATE(B352, ""en"", ""hi"")"),"एक कलारीपयट्टू अभ्यासी प्रतिद्वंद्वी के शरीर पर विशिष्ट दबाव बिंदुओं पर प्रहार करने की तकनीक सीख रहा है। वे कौन सी तकनीक अपना रहे हैं?")</f>
        <v>एक कलारीपयट्टू अभ्यासी प्रतिद्वंद्वी के शरीर पर विशिष्ट दबाव बिंदुओं पर प्रहार करने की तकनीक सीख रहा है। वे कौन सी तकनीक अपना रहे हैं?</v>
      </c>
      <c r="H352" s="5" t="str">
        <f>IFERROR(__xludf.DUMMYFUNCTION("GOOGLETRANSLATE(C352, ""en"", ""hi"")"),"ए) मार्मा, बी) वर्मम, सी) एडवस, डी) उझिचिल")</f>
        <v>ए) मार्मा, बी) वर्मम, सी) एडवस, डी) उझिचिल</v>
      </c>
      <c r="I352" s="5" t="str">
        <f>IFERROR(__xludf.DUMMYFUNCTION("GOOGLETRANSLATE(D352, ""en"", ""hi"")"),"A) मर्म")</f>
        <v>A) मर्म</v>
      </c>
    </row>
    <row r="353" ht="22.5" customHeight="1">
      <c r="A353" s="2">
        <v>352.0</v>
      </c>
      <c r="B353" s="3" t="s">
        <v>14200</v>
      </c>
      <c r="C353" s="3" t="s">
        <v>14108</v>
      </c>
      <c r="D353" s="3" t="s">
        <v>13960</v>
      </c>
      <c r="F353" s="5" t="str">
        <f>IFERROR(__xludf.DUMMYFUNCTION("GOOGLETRANSLATE(A353, ""en"", ""hi"")"),"352")</f>
        <v>352</v>
      </c>
      <c r="G353" s="5" t="str">
        <f>IFERROR(__xludf.DUMMYFUNCTION("GOOGLETRANSLATE(B353, ""en"", ""hi"")"),"कलारीपयट्टू में, कौन सी तकनीक युद्ध में तरलता और सुंदरता बढ़ाने के लिए गोलाकार और प्रवाहपूर्ण आंदोलनों पर ध्यान केंद्रित करती है?")</f>
        <v>कलारीपयट्टू में, कौन सी तकनीक युद्ध में तरलता और सुंदरता बढ़ाने के लिए गोलाकार और प्रवाहपूर्ण आंदोलनों पर ध्यान केंद्रित करती है?</v>
      </c>
      <c r="H353" s="5" t="str">
        <f>IFERROR(__xludf.DUMMYFUNCTION("GOOGLETRANSLATE(C353, ""en"", ""hi"")"),"ए) वर्मा, बी) एडवस, सी) चुवाडु, डी) उझिचिल")</f>
        <v>ए) वर्मा, बी) एडवस, सी) चुवाडु, डी) उझिचिल</v>
      </c>
      <c r="I353" s="5" t="str">
        <f>IFERROR(__xludf.DUMMYFUNCTION("GOOGLETRANSLATE(D353, ""en"", ""hi"")"),"ए) वर्मा")</f>
        <v>ए) वर्मा</v>
      </c>
    </row>
    <row r="354" ht="22.5" customHeight="1">
      <c r="A354" s="2">
        <v>353.0</v>
      </c>
      <c r="B354" s="3" t="s">
        <v>14209</v>
      </c>
      <c r="C354" s="3" t="s">
        <v>13713</v>
      </c>
      <c r="D354" s="3" t="s">
        <v>13772</v>
      </c>
      <c r="F354" s="5" t="str">
        <f>IFERROR(__xludf.DUMMYFUNCTION("GOOGLETRANSLATE(A354, ""en"", ""hi"")"),"353")</f>
        <v>353</v>
      </c>
      <c r="G354" s="5" t="str">
        <f>IFERROR(__xludf.DUMMYFUNCTION("GOOGLETRANSLATE(B354, ""en"", ""hi"")"),"आप कलारीपयट्टू तकनीक सीख रहे हैं जिसमें शक्तिशाली और कुंद प्रहार पर ज़ोर दिया जाता है। आप कौन सा हथियार इस्तेमाल कर रहे हैं?")</f>
        <v>आप कलारीपयट्टू तकनीक सीख रहे हैं जिसमें शक्तिशाली और कुंद प्रहार पर ज़ोर दिया जाता है। आप कौन सा हथियार इस्तेमाल कर रहे हैं?</v>
      </c>
      <c r="H354" s="5" t="str">
        <f>IFERROR(__xludf.DUMMYFUNCTION("GOOGLETRANSLATE(C354, ""en"", ""hi"")"),"A) तलवार, B) गदा, C) भाला, D) खंजर")</f>
        <v>A) तलवार, B) गदा, C) भाला, D) खंजर</v>
      </c>
      <c r="I354" s="5" t="str">
        <f>IFERROR(__xludf.DUMMYFUNCTION("GOOGLETRANSLATE(D354, ""en"", ""hi"")"),"बी) गदा")</f>
        <v>बी) गदा</v>
      </c>
    </row>
    <row r="355" ht="22.5" customHeight="1">
      <c r="A355" s="2">
        <v>354.0</v>
      </c>
      <c r="B355" s="3" t="s">
        <v>14196</v>
      </c>
      <c r="C355" s="3" t="s">
        <v>14016</v>
      </c>
      <c r="D355" s="3" t="s">
        <v>13684</v>
      </c>
      <c r="F355" s="5" t="str">
        <f>IFERROR(__xludf.DUMMYFUNCTION("GOOGLETRANSLATE(A355, ""en"", ""hi"")"),"354")</f>
        <v>354</v>
      </c>
      <c r="G355" s="5" t="str">
        <f>IFERROR(__xludf.DUMMYFUNCTION("GOOGLETRANSLATE(B355, ""en"", ""hi"")"),"कलारीपयट्टू में, शरीर की कंडीशनिंग और ताकत में सुधार के लिए आपको किस अभ्यास पर ध्यान केंद्रित करना चाहिए?")</f>
        <v>कलारीपयट्टू में, शरीर की कंडीशनिंग और ताकत में सुधार के लिए आपको किस अभ्यास पर ध्यान केंद्रित करना चाहिए?</v>
      </c>
      <c r="H355" s="5" t="str">
        <f>IFERROR(__xludf.DUMMYFUNCTION("GOOGLETRANSLATE(C355, ""en"", ""hi"")"),"ए) उझिचिल, बी) एडवस, सी) वर्मा, डी) चुवाडु")</f>
        <v>ए) उझिचिल, बी) एडवस, सी) वर्मा, डी) चुवाडु</v>
      </c>
      <c r="I355" s="5" t="str">
        <f>IFERROR(__xludf.DUMMYFUNCTION("GOOGLETRANSLATE(D355, ""en"", ""hi"")"),"A) उझिचिल")</f>
        <v>A) उझिचिल</v>
      </c>
    </row>
    <row r="356" ht="22.5" customHeight="1">
      <c r="A356" s="2">
        <v>355.0</v>
      </c>
      <c r="B356" s="3" t="s">
        <v>14186</v>
      </c>
      <c r="C356" s="3" t="s">
        <v>13978</v>
      </c>
      <c r="D356" s="3" t="s">
        <v>13678</v>
      </c>
      <c r="F356" s="5" t="str">
        <f>IFERROR(__xludf.DUMMYFUNCTION("GOOGLETRANSLATE(A356, ""en"", ""hi"")"),"355")</f>
        <v>355</v>
      </c>
      <c r="G356" s="5" t="str">
        <f>IFERROR(__xludf.DUMMYFUNCTION("GOOGLETRANSLATE(B356, ""en"", ""hi"")"),"आप कलारीपयट्टू की उन तकनीकों पर ध्यान केंद्रित कर रहे हैं जिनमें सटीक प्रहार और गति शामिल है। कौन सा अभ्यास सबसे ज़्यादा प्रासंगिक है?")</f>
        <v>आप कलारीपयट्टू की उन तकनीकों पर ध्यान केंद्रित कर रहे हैं जिनमें सटीक प्रहार और गति शामिल है। कौन सा अभ्यास सबसे ज़्यादा प्रासंगिक है?</v>
      </c>
      <c r="H356" s="5" t="str">
        <f>IFERROR(__xludf.DUMMYFUNCTION("GOOGLETRANSLATE(C356, ""en"", ""hi"")"),"ए) वर्मम, बी) एडवस, सी) चुवाडु, डी) उझिचिल")</f>
        <v>ए) वर्मम, बी) एडवस, सी) चुवाडु, डी) उझिचिल</v>
      </c>
      <c r="I356" s="5" t="str">
        <f>IFERROR(__xludf.DUMMYFUNCTION("GOOGLETRANSLATE(D356, ""en"", ""hi"")"),"ए) वर्माम")</f>
        <v>ए) वर्माम</v>
      </c>
    </row>
    <row r="357" ht="22.5" customHeight="1">
      <c r="A357" s="2">
        <v>356.0</v>
      </c>
      <c r="B357" s="3" t="s">
        <v>14210</v>
      </c>
      <c r="C357" s="3" t="s">
        <v>13981</v>
      </c>
      <c r="D357" s="3" t="s">
        <v>13675</v>
      </c>
      <c r="F357" s="5" t="str">
        <f>IFERROR(__xludf.DUMMYFUNCTION("GOOGLETRANSLATE(A357, ""en"", ""hi"")"),"356")</f>
        <v>356</v>
      </c>
      <c r="G357" s="5" t="str">
        <f>IFERROR(__xludf.DUMMYFUNCTION("GOOGLETRANSLATE(B357, ""en"", ""hi"")"),"कलारीपयट्टू में, हमलों से बचने और उनका मुकाबला करने के लिए चपलता और सजगता को बढ़ाने के लिए कौन सा अभ्यास तैयार किया गया है?")</f>
        <v>कलारीपयट्टू में, हमलों से बचने और उनका मुकाबला करने के लिए चपलता और सजगता को बढ़ाने के लिए कौन सा अभ्यास तैयार किया गया है?</v>
      </c>
      <c r="H357" s="5" t="str">
        <f>IFERROR(__xludf.DUMMYFUNCTION("GOOGLETRANSLATE(C357, ""en"", ""hi"")"),"ए) चुवडु, बी) वर्मा, सी) मार्मा, डी) एडवस")</f>
        <v>ए) चुवडु, बी) वर्मा, सी) मार्मा, डी) एडवस</v>
      </c>
      <c r="I357" s="5" t="str">
        <f>IFERROR(__xludf.DUMMYFUNCTION("GOOGLETRANSLATE(D357, ""en"", ""hi"")"),"A) चुवाडु")</f>
        <v>A) चुवाडु</v>
      </c>
    </row>
    <row r="358" ht="22.5" customHeight="1">
      <c r="A358" s="2">
        <v>357.0</v>
      </c>
      <c r="B358" s="3" t="s">
        <v>14211</v>
      </c>
      <c r="C358" s="3" t="s">
        <v>14013</v>
      </c>
      <c r="D358" s="3" t="s">
        <v>13932</v>
      </c>
      <c r="F358" s="5" t="str">
        <f>IFERROR(__xludf.DUMMYFUNCTION("GOOGLETRANSLATE(A358, ""en"", ""hi"")"),"357")</f>
        <v>357</v>
      </c>
      <c r="G358" s="5" t="str">
        <f>IFERROR(__xludf.DUMMYFUNCTION("GOOGLETRANSLATE(B358, ""en"", ""hi"")"),"एक कलारीपयट्टू अभ्यासी प्रतिद्वंद्वी के शरीर पर विशिष्ट दबाव बिंदुओं पर प्रहार करने की तकनीक सीख रहा है। वे कौन सी तकनीक अपना रहे हैं?")</f>
        <v>एक कलारीपयट्टू अभ्यासी प्रतिद्वंद्वी के शरीर पर विशिष्ट दबाव बिंदुओं पर प्रहार करने की तकनीक सीख रहा है। वे कौन सी तकनीक अपना रहे हैं?</v>
      </c>
      <c r="H358" s="5" t="str">
        <f>IFERROR(__xludf.DUMMYFUNCTION("GOOGLETRANSLATE(C358, ""en"", ""hi"")"),"ए) मार्मा, बी) वर्मम, सी) एडवस, डी) उझिचिल")</f>
        <v>ए) मार्मा, बी) वर्मम, सी) एडवस, डी) उझिचिल</v>
      </c>
      <c r="I358" s="5" t="str">
        <f>IFERROR(__xludf.DUMMYFUNCTION("GOOGLETRANSLATE(D358, ""en"", ""hi"")"),"A) मर्म")</f>
        <v>A) मर्म</v>
      </c>
    </row>
    <row r="359" ht="22.5" customHeight="1">
      <c r="A359" s="2">
        <v>358.0</v>
      </c>
      <c r="B359" s="3" t="s">
        <v>14219</v>
      </c>
      <c r="C359" s="3" t="s">
        <v>13713</v>
      </c>
      <c r="D359" s="3" t="s">
        <v>13772</v>
      </c>
      <c r="F359" s="5" t="str">
        <f>IFERROR(__xludf.DUMMYFUNCTION("GOOGLETRANSLATE(A359, ""en"", ""hi"")"),"358")</f>
        <v>358</v>
      </c>
      <c r="G359" s="5" t="str">
        <f>IFERROR(__xludf.DUMMYFUNCTION("GOOGLETRANSLATE(B359, ""en"", ""hi"")"),"कलारीपयट्टू प्रशिक्षण के दौरान, आप शक्तिशाली और कुंद प्रहारों वाली तकनीकों पर ध्यान केंद्रित कर रहे हैं। आप किस हथियार का उपयोग कर रहे हैं?")</f>
        <v>कलारीपयट्टू प्रशिक्षण के दौरान, आप शक्तिशाली और कुंद प्रहारों वाली तकनीकों पर ध्यान केंद्रित कर रहे हैं। आप किस हथियार का उपयोग कर रहे हैं?</v>
      </c>
      <c r="H359" s="5" t="str">
        <f>IFERROR(__xludf.DUMMYFUNCTION("GOOGLETRANSLATE(C359, ""en"", ""hi"")"),"A) तलवार, B) गदा, C) भाला, D) खंजर")</f>
        <v>A) तलवार, B) गदा, C) भाला, D) खंजर</v>
      </c>
      <c r="I359" s="5" t="str">
        <f>IFERROR(__xludf.DUMMYFUNCTION("GOOGLETRANSLATE(D359, ""en"", ""hi"")"),"बी) गदा")</f>
        <v>बी) गदा</v>
      </c>
    </row>
    <row r="360" ht="22.5" customHeight="1">
      <c r="A360" s="2">
        <v>359.0</v>
      </c>
      <c r="B360" s="3" t="s">
        <v>14145</v>
      </c>
      <c r="C360" s="3" t="s">
        <v>14016</v>
      </c>
      <c r="D360" s="3" t="s">
        <v>13684</v>
      </c>
      <c r="F360" s="5" t="str">
        <f>IFERROR(__xludf.DUMMYFUNCTION("GOOGLETRANSLATE(A360, ""en"", ""hi"")"),"359")</f>
        <v>359</v>
      </c>
      <c r="G360" s="5" t="str">
        <f>IFERROR(__xludf.DUMMYFUNCTION("GOOGLETRANSLATE(B360, ""en"", ""hi"")"),"कलारीपयट्टू में, शरीर की कंडीशनिंग और सहनशक्ति में सुधार के लिए आपको किस अभ्यास पर ध्यान केंद्रित करना चाहिए?")</f>
        <v>कलारीपयट्टू में, शरीर की कंडीशनिंग और सहनशक्ति में सुधार के लिए आपको किस अभ्यास पर ध्यान केंद्रित करना चाहिए?</v>
      </c>
      <c r="H360" s="5" t="str">
        <f>IFERROR(__xludf.DUMMYFUNCTION("GOOGLETRANSLATE(C360, ""en"", ""hi"")"),"ए) उझिचिल, बी) एडवस, सी) वर्मा, डी) चुवाडु")</f>
        <v>ए) उझिचिल, बी) एडवस, सी) वर्मा, डी) चुवाडु</v>
      </c>
      <c r="I360" s="5" t="str">
        <f>IFERROR(__xludf.DUMMYFUNCTION("GOOGLETRANSLATE(D360, ""en"", ""hi"")"),"A) उझिचिल")</f>
        <v>A) उझिचिल</v>
      </c>
    </row>
    <row r="361" ht="22.5" customHeight="1">
      <c r="A361" s="2">
        <v>360.0</v>
      </c>
      <c r="B361" s="3" t="s">
        <v>14207</v>
      </c>
      <c r="C361" s="3" t="s">
        <v>13978</v>
      </c>
      <c r="D361" s="3" t="s">
        <v>13678</v>
      </c>
      <c r="F361" s="5" t="str">
        <f>IFERROR(__xludf.DUMMYFUNCTION("GOOGLETRANSLATE(A361, ""en"", ""hi"")"),"360")</f>
        <v>360</v>
      </c>
      <c r="G361" s="5" t="str">
        <f>IFERROR(__xludf.DUMMYFUNCTION("GOOGLETRANSLATE(B361, ""en"", ""hi"")"),"आप कलारीपयट्टू की ऐसी तकनीक का अभ्यास कर रहे हैं जिसमें सटीक प्रहार और तेज़ गति शामिल है। कौन सा अभ्यास सबसे ज़्यादा प्रासंगिक है?")</f>
        <v>आप कलारीपयट्टू की ऐसी तकनीक का अभ्यास कर रहे हैं जिसमें सटीक प्रहार और तेज़ गति शामिल है। कौन सा अभ्यास सबसे ज़्यादा प्रासंगिक है?</v>
      </c>
      <c r="H361" s="5" t="str">
        <f>IFERROR(__xludf.DUMMYFUNCTION("GOOGLETRANSLATE(C361, ""en"", ""hi"")"),"ए) वर्मम, बी) एडवस, सी) चुवाडु, डी) उझिचिल")</f>
        <v>ए) वर्मम, बी) एडवस, सी) चुवाडु, डी) उझिचिल</v>
      </c>
      <c r="I361" s="5" t="str">
        <f>IFERROR(__xludf.DUMMYFUNCTION("GOOGLETRANSLATE(D361, ""en"", ""hi"")"),"ए) वर्माम")</f>
        <v>ए) वर्माम</v>
      </c>
    </row>
    <row r="362" ht="22.5" customHeight="1">
      <c r="A362" s="2">
        <v>361.0</v>
      </c>
      <c r="B362" s="3" t="s">
        <v>14213</v>
      </c>
      <c r="C362" s="3" t="s">
        <v>13981</v>
      </c>
      <c r="D362" s="3" t="s">
        <v>13675</v>
      </c>
      <c r="F362" s="5" t="str">
        <f>IFERROR(__xludf.DUMMYFUNCTION("GOOGLETRANSLATE(A362, ""en"", ""hi"")"),"361")</f>
        <v>361</v>
      </c>
      <c r="G362" s="5" t="str">
        <f>IFERROR(__xludf.DUMMYFUNCTION("GOOGLETRANSLATE(B362, ""en"", ""hi"")"),"कलारीपयट्टू में, किस अभ्यास में हमलों से बचने और उनका मुकाबला करने के लिए चपलता और सजगता में सुधार करने के लिए डिज़ाइन की गई तकनीकें शामिल हैं?")</f>
        <v>कलारीपयट्टू में, किस अभ्यास में हमलों से बचने और उनका मुकाबला करने के लिए चपलता और सजगता में सुधार करने के लिए डिज़ाइन की गई तकनीकें शामिल हैं?</v>
      </c>
      <c r="H362" s="5" t="str">
        <f>IFERROR(__xludf.DUMMYFUNCTION("GOOGLETRANSLATE(C362, ""en"", ""hi"")"),"ए) चुवडु, बी) वर्मा, सी) मार्मा, डी) एडवस")</f>
        <v>ए) चुवडु, बी) वर्मा, सी) मार्मा, डी) एडवस</v>
      </c>
      <c r="I362" s="5" t="str">
        <f>IFERROR(__xludf.DUMMYFUNCTION("GOOGLETRANSLATE(D362, ""en"", ""hi"")"),"A) चुवाडु")</f>
        <v>A) चुवाडु</v>
      </c>
    </row>
    <row r="363" ht="22.5" customHeight="1">
      <c r="A363" s="2">
        <v>362.0</v>
      </c>
      <c r="B363" s="3" t="s">
        <v>14214</v>
      </c>
      <c r="C363" s="3" t="s">
        <v>14013</v>
      </c>
      <c r="D363" s="3" t="s">
        <v>13932</v>
      </c>
      <c r="F363" s="5" t="str">
        <f>IFERROR(__xludf.DUMMYFUNCTION("GOOGLETRANSLATE(A363, ""en"", ""hi"")"),"362")</f>
        <v>362</v>
      </c>
      <c r="G363" s="5" t="str">
        <f>IFERROR(__xludf.DUMMYFUNCTION("GOOGLETRANSLATE(B363, ""en"", ""hi"")"),"एक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f>
        <v>एक कलारीपयट्टू अभ्यासी अपने प्रतिद्वंद्वी को तुरंत अशक्त करने के लिए विशिष्ट दबाव बिंदुओं पर प्रहार करने पर ध्यान केंद्रित करता है। वे किस तकनीक का अभ्यास कर रहे हैं?</v>
      </c>
      <c r="H363" s="5" t="str">
        <f>IFERROR(__xludf.DUMMYFUNCTION("GOOGLETRANSLATE(C363, ""en"", ""hi"")"),"ए) मार्मा, बी) वर्मम, सी) एडवस, डी) उझिचिल")</f>
        <v>ए) मार्मा, बी) वर्मम, सी) एडवस, डी) उझिचिल</v>
      </c>
      <c r="I363" s="5" t="str">
        <f>IFERROR(__xludf.DUMMYFUNCTION("GOOGLETRANSLATE(D363, ""en"", ""hi"")"),"A) मर्म")</f>
        <v>A) मर्म</v>
      </c>
    </row>
    <row r="364" ht="22.5" customHeight="1">
      <c r="A364" s="2">
        <v>363.0</v>
      </c>
      <c r="B364" s="3" t="s">
        <v>14200</v>
      </c>
      <c r="C364" s="3" t="s">
        <v>14108</v>
      </c>
      <c r="D364" s="3" t="s">
        <v>13960</v>
      </c>
      <c r="F364" s="5" t="str">
        <f>IFERROR(__xludf.DUMMYFUNCTION("GOOGLETRANSLATE(A364, ""en"", ""hi"")"),"363")</f>
        <v>363</v>
      </c>
      <c r="G364" s="5" t="str">
        <f>IFERROR(__xludf.DUMMYFUNCTION("GOOGLETRANSLATE(B364, ""en"", ""hi"")"),"कलारीपयट्टू में, कौन सी तकनीक युद्ध में तरलता और सुंदरता बढ़ाने के लिए गोलाकार और प्रवाहपूर्ण आंदोलनों पर ध्यान केंद्रित करती है?")</f>
        <v>कलारीपयट्टू में, कौन सी तकनीक युद्ध में तरलता और सुंदरता बढ़ाने के लिए गोलाकार और प्रवाहपूर्ण आंदोलनों पर ध्यान केंद्रित करती है?</v>
      </c>
      <c r="H364" s="5" t="str">
        <f>IFERROR(__xludf.DUMMYFUNCTION("GOOGLETRANSLATE(C364, ""en"", ""hi"")"),"ए) वर्मा, बी) एडवस, सी) चुवाडु, डी) उझिचिल")</f>
        <v>ए) वर्मा, बी) एडवस, सी) चुवाडु, डी) उझिचिल</v>
      </c>
      <c r="I364" s="5" t="str">
        <f>IFERROR(__xludf.DUMMYFUNCTION("GOOGLETRANSLATE(D364, ""en"", ""hi"")"),"ए) वर्मा")</f>
        <v>ए) वर्मा</v>
      </c>
    </row>
    <row r="365" ht="22.5" customHeight="1">
      <c r="A365" s="2">
        <v>364.0</v>
      </c>
      <c r="B365" s="3" t="s">
        <v>14215</v>
      </c>
      <c r="C365" s="3" t="s">
        <v>13713</v>
      </c>
      <c r="D365" s="3" t="s">
        <v>13772</v>
      </c>
      <c r="F365" s="5" t="str">
        <f>IFERROR(__xludf.DUMMYFUNCTION("GOOGLETRANSLATE(A365, ""en"", ""hi"")"),"364")</f>
        <v>364</v>
      </c>
      <c r="G365" s="5" t="str">
        <f>IFERROR(__xludf.DUMMYFUNCTION("GOOGLETRANSLATE(B365, ""en"", ""hi"")"),"आप कलारीपयट्टू तकनीक सीख रहे हैं जिसमें शक्तिशाली और कुंद प्रहार शामिल हैं। आप संभवतः किस हथियार का उपयोग कर रहे हैं?")</f>
        <v>आप कलारीपयट्टू तकनीक सीख रहे हैं जिसमें शक्तिशाली और कुंद प्रहार शामिल हैं। आप संभवतः किस हथियार का उपयोग कर रहे हैं?</v>
      </c>
      <c r="H365" s="5" t="str">
        <f>IFERROR(__xludf.DUMMYFUNCTION("GOOGLETRANSLATE(C365, ""en"", ""hi"")"),"A) तलवार, B) गदा, C) भाला, D) खंजर")</f>
        <v>A) तलवार, B) गदा, C) भाला, D) खंजर</v>
      </c>
      <c r="I365" s="5" t="str">
        <f>IFERROR(__xludf.DUMMYFUNCTION("GOOGLETRANSLATE(D365, ""en"", ""hi"")"),"बी) गदा")</f>
        <v>बी) गदा</v>
      </c>
    </row>
    <row r="366" ht="22.5" customHeight="1">
      <c r="A366" s="2">
        <v>365.0</v>
      </c>
      <c r="B366" s="3" t="s">
        <v>14216</v>
      </c>
      <c r="C366" s="3" t="s">
        <v>13978</v>
      </c>
      <c r="D366" s="3" t="s">
        <v>13678</v>
      </c>
      <c r="F366" s="5" t="str">
        <f>IFERROR(__xludf.DUMMYFUNCTION("GOOGLETRANSLATE(A366, ""en"", ""hi"")"),"365")</f>
        <v>365</v>
      </c>
      <c r="G366" s="5" t="str">
        <f>IFERROR(__xludf.DUMMYFUNCTION("GOOGLETRANSLATE(B366, ""en"", ""hi"")"),"कलारीपयट्टू में, हथियार के प्रहार में सटीकता और गति बढ़ाने के लिए आपको किस अभ्यास पर ध्यान केंद्रित करना चाहिए?")</f>
        <v>कलारीपयट्टू में, हथियार के प्रहार में सटीकता और गति बढ़ाने के लिए आपको किस अभ्यास पर ध्यान केंद्रित करना चाहिए?</v>
      </c>
      <c r="H366" s="5" t="str">
        <f>IFERROR(__xludf.DUMMYFUNCTION("GOOGLETRANSLATE(C366, ""en"", ""hi"")"),"ए) वर्मम, बी) एडवस, सी) चुवाडु, डी) उझिचिल")</f>
        <v>ए) वर्मम, बी) एडवस, सी) चुवाडु, डी) उझिचिल</v>
      </c>
      <c r="I366" s="5" t="str">
        <f>IFERROR(__xludf.DUMMYFUNCTION("GOOGLETRANSLATE(D366, ""en"", ""hi"")"),"ए) वर्माम")</f>
        <v>ए) वर्माम</v>
      </c>
    </row>
    <row r="367" ht="22.5" customHeight="1">
      <c r="A367" s="2">
        <v>366.0</v>
      </c>
      <c r="B367" s="3" t="s">
        <v>14203</v>
      </c>
      <c r="C367" s="3" t="s">
        <v>13981</v>
      </c>
      <c r="D367" s="3" t="s">
        <v>13675</v>
      </c>
      <c r="F367" s="5" t="str">
        <f>IFERROR(__xludf.DUMMYFUNCTION("GOOGLETRANSLATE(A367, ""en"", ""hi"")"),"366")</f>
        <v>366</v>
      </c>
      <c r="G367" s="5" t="str">
        <f>IFERROR(__xludf.DUMMYFUNCTION("GOOGLETRANSLATE(B367, ""en"", ""hi"")"),"कलारीपयट्टू कक्षा के दौरान, आप तेज़ और प्रभावी फुटवर्क की तकनीकों में महारत हासिल करने पर ध्यान केंद्रित कर रहे हैं। कौन सा अभ्यास सबसे ज़्यादा प्रासंगिक है?")</f>
        <v>कलारीपयट्टू कक्षा के दौरान, आप तेज़ और प्रभावी फुटवर्क की तकनीकों में महारत हासिल करने पर ध्यान केंद्रित कर रहे हैं। कौन सा अभ्यास सबसे ज़्यादा प्रासंगिक है?</v>
      </c>
      <c r="H367" s="5" t="str">
        <f>IFERROR(__xludf.DUMMYFUNCTION("GOOGLETRANSLATE(C367, ""en"", ""hi"")"),"ए) चुवडु, बी) वर्मा, सी) मार्मा, डी) एडवस")</f>
        <v>ए) चुवडु, बी) वर्मा, सी) मार्मा, डी) एडवस</v>
      </c>
      <c r="I367" s="5" t="str">
        <f>IFERROR(__xludf.DUMMYFUNCTION("GOOGLETRANSLATE(D367, ""en"", ""hi"")"),"A) चुवाडु")</f>
        <v>A) चुवाडु</v>
      </c>
    </row>
    <row r="368" ht="22.5" customHeight="1">
      <c r="A368" s="2">
        <v>367.0</v>
      </c>
      <c r="B368" s="3" t="s">
        <v>14217</v>
      </c>
      <c r="C368" s="3" t="s">
        <v>14013</v>
      </c>
      <c r="D368" s="3" t="s">
        <v>13932</v>
      </c>
      <c r="F368" s="5" t="str">
        <f>IFERROR(__xludf.DUMMYFUNCTION("GOOGLETRANSLATE(A368, ""en"", ""hi"")"),"367")</f>
        <v>367</v>
      </c>
      <c r="G368" s="5" t="str">
        <f>IFERROR(__xludf.DUMMYFUNCTION("GOOGLETRANSLATE(B368, ""en"", ""hi"")"),"कलारीपयट्टू में, कौन सी प्रथा प्रतिद्वंद्वी को अशक्त करने के लिए विशिष्ट दबाव बिंदुओं के उपयोग पर केंद्रित है?")</f>
        <v>कलारीपयट्टू में, कौन सी प्रथा प्रतिद्वंद्वी को अशक्त करने के लिए विशिष्ट दबाव बिंदुओं के उपयोग पर केंद्रित है?</v>
      </c>
      <c r="H368" s="5" t="str">
        <f>IFERROR(__xludf.DUMMYFUNCTION("GOOGLETRANSLATE(C368, ""en"", ""hi"")"),"ए) मार्मा, बी) वर्मम, सी) एडवस, डी) उझिचिल")</f>
        <v>ए) मार्मा, बी) वर्मम, सी) एडवस, डी) उझिचिल</v>
      </c>
      <c r="I368" s="5" t="str">
        <f>IFERROR(__xludf.DUMMYFUNCTION("GOOGLETRANSLATE(D368, ""en"", ""hi"")"),"A) मर्म")</f>
        <v>A) मर्म</v>
      </c>
    </row>
    <row r="369" ht="22.5" customHeight="1">
      <c r="A369" s="2">
        <v>368.0</v>
      </c>
      <c r="B369" s="3" t="s">
        <v>14220</v>
      </c>
      <c r="C369" s="3" t="s">
        <v>14221</v>
      </c>
      <c r="D369" s="3" t="s">
        <v>14222</v>
      </c>
      <c r="F369" s="5" t="str">
        <f>IFERROR(__xludf.DUMMYFUNCTION("GOOGLETRANSLATE(A369, ""en"", ""hi"")"),"368")</f>
        <v>368</v>
      </c>
      <c r="G369" s="5" t="str">
        <f>IFERROR(__xludf.DUMMYFUNCTION("GOOGLETRANSLATE(B369, ""en"", ""hi"")"),"कलारीपयट्टू में किस तकनीक में दूर से वार करने के लिए लंबे हथियार का उपयोग किया जाता है?")</f>
        <v>कलारीपयट्टू में किस तकनीक में दूर से वार करने के लिए लंबे हथियार का उपयोग किया जाता है?</v>
      </c>
      <c r="H369" s="5" t="str">
        <f>IFERROR(__xludf.DUMMYFUNCTION("GOOGLETRANSLATE(C369, ""en"", ""hi"")"),"ए) वर्मा, बी) एडवस, सी) लॉन्ग स्टिक, डी) उझिचिल")</f>
        <v>ए) वर्मा, बी) एडवस, सी) लॉन्ग स्टिक, डी) उझिचिल</v>
      </c>
      <c r="I369" s="5" t="str">
        <f>IFERROR(__xludf.DUMMYFUNCTION("GOOGLETRANSLATE(D369, ""en"", ""hi"")"),"सी) लंबी छड़ी")</f>
        <v>सी) लंबी छड़ी</v>
      </c>
    </row>
    <row r="370" ht="22.5" customHeight="1">
      <c r="A370" s="2">
        <v>369.0</v>
      </c>
      <c r="B370" s="3" t="s">
        <v>14223</v>
      </c>
      <c r="C370" s="3" t="s">
        <v>14224</v>
      </c>
      <c r="D370" s="3" t="s">
        <v>13675</v>
      </c>
      <c r="F370" s="5" t="str">
        <f>IFERROR(__xludf.DUMMYFUNCTION("GOOGLETRANSLATE(A370, ""en"", ""hi"")"),"369")</f>
        <v>369</v>
      </c>
      <c r="G370" s="5" t="str">
        <f>IFERROR(__xludf.DUMMYFUNCTION("GOOGLETRANSLATE(B370, ""en"", ""hi"")"),"एक अभ्यासकर्ता निम्न प्रहारों से बचाव की तकनीकों पर ध्यान केंद्रित कर रहा है। उन्हें किस अभ्यास पर ज़ोर देना चाहिए?")</f>
        <v>एक अभ्यासकर्ता निम्न प्रहारों से बचाव की तकनीकों पर ध्यान केंद्रित कर रहा है। उन्हें किस अभ्यास पर ज़ोर देना चाहिए?</v>
      </c>
      <c r="H370" s="5" t="str">
        <f>IFERROR(__xludf.DUMMYFUNCTION("GOOGLETRANSLATE(C370, ""en"", ""hi"")"),"ए) चुवडु, बी) वर्मम, सी) मार्मा, डी) एडवस")</f>
        <v>ए) चुवडु, बी) वर्मम, सी) मार्मा, डी) एडवस</v>
      </c>
      <c r="I370" s="5" t="str">
        <f>IFERROR(__xludf.DUMMYFUNCTION("GOOGLETRANSLATE(D370, ""en"", ""hi"")"),"A) चुवाडु")</f>
        <v>A) चुवाडु</v>
      </c>
    </row>
    <row r="371" ht="22.5" customHeight="1">
      <c r="A371" s="2">
        <v>370.0</v>
      </c>
      <c r="B371" s="3" t="s">
        <v>14225</v>
      </c>
      <c r="C371" s="3" t="s">
        <v>14226</v>
      </c>
      <c r="D371" s="3" t="s">
        <v>9197</v>
      </c>
      <c r="F371" s="5" t="str">
        <f>IFERROR(__xludf.DUMMYFUNCTION("GOOGLETRANSLATE(A371, ""en"", ""hi"")"),"370")</f>
        <v>370</v>
      </c>
      <c r="G371" s="5" t="str">
        <f>IFERROR(__xludf.DUMMYFUNCTION("GOOGLETRANSLATE(B371, ""en"", ""hi"")"),"कलारीपयट्टू में, 'वर्मा' के नाम से ज्ञात अभ्यास का प्राथमिक केंद्र क्या है?")</f>
        <v>कलारीपयट्टू में, 'वर्मा' के नाम से ज्ञात अभ्यास का प्राथमिक केंद्र क्या है?</v>
      </c>
      <c r="H371" s="5" t="str">
        <f>IFERROR(__xludf.DUMMYFUNCTION("GOOGLETRANSLATE(C371, ""en"", ""hi"")"),"ए) दबाव बिंदु, बी) शरीर की कंडीशनिंग, सी) हथियार प्रशिक्षण, डी) फुटवर्क")</f>
        <v>ए) दबाव बिंदु, बी) शरीर की कंडीशनिंग, सी) हथियार प्रशिक्षण, डी) फुटवर्क</v>
      </c>
      <c r="I371" s="5" t="str">
        <f>IFERROR(__xludf.DUMMYFUNCTION("GOOGLETRANSLATE(D371, ""en"", ""hi"")"),"A) दबाव बिंदु")</f>
        <v>A) दबाव बिंदु</v>
      </c>
    </row>
    <row r="372" ht="22.5" customHeight="1">
      <c r="A372" s="2">
        <v>371.0</v>
      </c>
      <c r="B372" s="3" t="s">
        <v>14227</v>
      </c>
      <c r="C372" s="3" t="s">
        <v>13955</v>
      </c>
      <c r="D372" s="3" t="s">
        <v>13913</v>
      </c>
      <c r="F372" s="5" t="str">
        <f>IFERROR(__xludf.DUMMYFUNCTION("GOOGLETRANSLATE(A372, ""en"", ""hi"")"),"371")</f>
        <v>371</v>
      </c>
      <c r="G372" s="5" t="str">
        <f>IFERROR(__xludf.DUMMYFUNCTION("GOOGLETRANSLATE(B372, ""en"", ""hi"")"),"कलारीपयट्टू के लिए एक अभ्यासकर्ता को अपनी गति और चपलता बढ़ाने की ज़रूरत होती है। कौन सा अभ्यास सबसे ज़्यादा फ़ायदेमंद है?")</f>
        <v>कलारीपयट्टू के लिए एक अभ्यासकर्ता को अपनी गति और चपलता बढ़ाने की ज़रूरत होती है। कौन सा अभ्यास सबसे ज़्यादा फ़ायदेमंद है?</v>
      </c>
      <c r="H372" s="5" t="str">
        <f>IFERROR(__xludf.DUMMYFUNCTION("GOOGLETRANSLATE(C372, ""en"", ""hi"")"),"ए) एडवस, बी) उझिचिल, सी) चुवाडु, डी) वर्मा")</f>
        <v>ए) एडवस, बी) उझिचिल, सी) चुवाडु, डी) वर्मा</v>
      </c>
      <c r="I372" s="5" t="str">
        <f>IFERROR(__xludf.DUMMYFUNCTION("GOOGLETRANSLATE(D372, ""en"", ""hi"")"),"C) चुवाडु")</f>
        <v>C) चुवाडु</v>
      </c>
    </row>
    <row r="373" ht="22.5" customHeight="1">
      <c r="A373" s="2">
        <v>372.0</v>
      </c>
      <c r="B373" s="3" t="s">
        <v>14228</v>
      </c>
      <c r="C373" s="3" t="s">
        <v>13713</v>
      </c>
      <c r="D373" s="3" t="s">
        <v>13714</v>
      </c>
      <c r="F373" s="5" t="str">
        <f>IFERROR(__xludf.DUMMYFUNCTION("GOOGLETRANSLATE(A373, ""en"", ""hi"")"),"372")</f>
        <v>372</v>
      </c>
      <c r="G373" s="5" t="str">
        <f>IFERROR(__xludf.DUMMYFUNCTION("GOOGLETRANSLATE(B373, ""en"", ""hi"")"),"कलारीपयट्टू में, तीव्र कट और प्रहार की तकनीकों के लिए आमतौर पर किस हथियार का उपयोग किया जाता है?")</f>
        <v>कलारीपयट्टू में, तीव्र कट और प्रहार की तकनीकों के लिए आमतौर पर किस हथियार का उपयोग किया जाता है?</v>
      </c>
      <c r="H373" s="5" t="str">
        <f>IFERROR(__xludf.DUMMYFUNCTION("GOOGLETRANSLATE(C373, ""en"", ""hi"")"),"A) तलवार, B) गदा, C) भाला, D) खंजर")</f>
        <v>A) तलवार, B) गदा, C) भाला, D) खंजर</v>
      </c>
      <c r="I373" s="5" t="str">
        <f>IFERROR(__xludf.DUMMYFUNCTION("GOOGLETRANSLATE(D373, ""en"", ""hi"")"),"ए) तलवार")</f>
        <v>ए) तलवार</v>
      </c>
    </row>
    <row r="374" ht="22.5" customHeight="1">
      <c r="A374" s="2">
        <v>373.0</v>
      </c>
      <c r="B374" s="3" t="s">
        <v>14229</v>
      </c>
      <c r="C374" s="3" t="s">
        <v>13814</v>
      </c>
      <c r="D374" s="3" t="s">
        <v>13787</v>
      </c>
      <c r="F374" s="5" t="str">
        <f>IFERROR(__xludf.DUMMYFUNCTION("GOOGLETRANSLATE(A374, ""en"", ""hi"")"),"373")</f>
        <v>373</v>
      </c>
      <c r="G374" s="5" t="str">
        <f>IFERROR(__xludf.DUMMYFUNCTION("GOOGLETRANSLATE(B374, ""en"", ""hi"")"),"कलारीपयट्टू प्रशिक्षण के दौरान, आप हमलों को रोकना और उनका प्रतिकार करना सीख रहे हैं। कौन सी तकनीक सबसे ज़्यादा प्रासंगिक है?")</f>
        <v>कलारीपयट्टू प्रशिक्षण के दौरान, आप हमलों को रोकना और उनका प्रतिकार करना सीख रहे हैं। कौन सी तकनीक सबसे ज़्यादा प्रासंगिक है?</v>
      </c>
      <c r="H374" s="5" t="str">
        <f>IFERROR(__xludf.DUMMYFUNCTION("GOOGLETRANSLATE(C374, ""en"", ""hi"")"),"ए) एडवस, बी) चुवाडु, सी) वर्मा, डी) उझिचिल")</f>
        <v>ए) एडवस, बी) चुवाडु, सी) वर्मा, डी) उझिचिल</v>
      </c>
      <c r="I374" s="5" t="str">
        <f>IFERROR(__xludf.DUMMYFUNCTION("GOOGLETRANSLATE(D374, ""en"", ""hi"")"),"बी) चुवाडु")</f>
        <v>बी) चुवाडु</v>
      </c>
    </row>
    <row r="375" ht="22.5" customHeight="1">
      <c r="A375" s="2">
        <v>374.0</v>
      </c>
      <c r="B375" s="3" t="s">
        <v>14230</v>
      </c>
      <c r="C375" s="3" t="s">
        <v>14016</v>
      </c>
      <c r="D375" s="3" t="s">
        <v>13684</v>
      </c>
      <c r="F375" s="5" t="str">
        <f>IFERROR(__xludf.DUMMYFUNCTION("GOOGLETRANSLATE(A375, ""en"", ""hi"")"),"374")</f>
        <v>374</v>
      </c>
      <c r="G375" s="5" t="str">
        <f>IFERROR(__xludf.DUMMYFUNCTION("GOOGLETRANSLATE(B375, ""en"", ""hi"")"),"कलारीपयट्टू का एक अभ्यासकर्ता अपनी सहनशक्ति बढ़ाने पर ध्यान केंद्रित कर रहा है। उन्हें किस अभ्यास को प्राथमिकता देनी चाहिए?")</f>
        <v>कलारीपयट्टू का एक अभ्यासकर्ता अपनी सहनशक्ति बढ़ाने पर ध्यान केंद्रित कर रहा है। उन्हें किस अभ्यास को प्राथमिकता देनी चाहिए?</v>
      </c>
      <c r="H375" s="5" t="str">
        <f>IFERROR(__xludf.DUMMYFUNCTION("GOOGLETRANSLATE(C375, ""en"", ""hi"")"),"ए) उझिचिल, बी) एडवस, सी) वर्मा, डी) चुवाडु")</f>
        <v>ए) उझिचिल, बी) एडवस, सी) वर्मा, डी) चुवाडु</v>
      </c>
      <c r="I375" s="5" t="str">
        <f>IFERROR(__xludf.DUMMYFUNCTION("GOOGLETRANSLATE(D375, ""en"", ""hi"")"),"A) उझिचिल")</f>
        <v>A) उझिचिल</v>
      </c>
    </row>
    <row r="376" ht="22.5" customHeight="1">
      <c r="A376" s="2">
        <v>375.0</v>
      </c>
      <c r="B376" s="3" t="s">
        <v>14231</v>
      </c>
      <c r="C376" s="3" t="s">
        <v>14232</v>
      </c>
      <c r="D376" s="3" t="s">
        <v>13740</v>
      </c>
      <c r="F376" s="5" t="str">
        <f>IFERROR(__xludf.DUMMYFUNCTION("GOOGLETRANSLATE(A376, ""en"", ""hi"")"),"375")</f>
        <v>375</v>
      </c>
      <c r="G376" s="5" t="str">
        <f>IFERROR(__xludf.DUMMYFUNCTION("GOOGLETRANSLATE(B376, ""en"", ""hi"")"),"कलारीपयट्टू में, किस तकनीक में सटीकता और नियंत्रण विकसित करने के लिए हथियार के साथ प्रशिक्षण शामिल है?")</f>
        <v>कलारीपयट्टू में, किस तकनीक में सटीकता और नियंत्रण विकसित करने के लिए हथियार के साथ प्रशिक्षण शामिल है?</v>
      </c>
      <c r="H376" s="5" t="str">
        <f>IFERROR(__xludf.DUMMYFUNCTION("GOOGLETRANSLATE(C376, ""en"", ""hi"")"),"ए) एडवस, बी) वर्मा, सी) मार्मा, डी) उझिचिल")</f>
        <v>ए) एडवस, बी) वर्मा, सी) मार्मा, डी) उझिचिल</v>
      </c>
      <c r="I376" s="5" t="str">
        <f>IFERROR(__xludf.DUMMYFUNCTION("GOOGLETRANSLATE(D376, ""en"", ""hi"")"),"ए) एडवस")</f>
        <v>ए) एडवस</v>
      </c>
    </row>
    <row r="377" ht="22.5" customHeight="1">
      <c r="A377" s="2">
        <v>376.0</v>
      </c>
      <c r="B377" s="3" t="s">
        <v>14233</v>
      </c>
      <c r="C377" s="3" t="s">
        <v>13962</v>
      </c>
      <c r="D377" s="3" t="s">
        <v>13932</v>
      </c>
      <c r="F377" s="5" t="str">
        <f>IFERROR(__xludf.DUMMYFUNCTION("GOOGLETRANSLATE(A377, ""en"", ""hi"")"),"376")</f>
        <v>376</v>
      </c>
      <c r="G377" s="5" t="str">
        <f>IFERROR(__xludf.DUMMYFUNCTION("GOOGLETRANSLATE(B377, ""en"", ""hi"")"),"एक कलारीपयट्टू अभ्यासी दबाव बिंदुओं का उपयोग करके अपने प्रतिद्वंद्वी को तुरंत निष्क्रिय करना सीख रहा है। वे कौन सी तकनीक अपना रहे हैं?")</f>
        <v>एक कलारीपयट्टू अभ्यासी दबाव बिंदुओं का उपयोग करके अपने प्रतिद्वंद्वी को तुरंत निष्क्रिय करना सीख रहा है। वे कौन सी तकनीक अपना रहे हैं?</v>
      </c>
      <c r="H377" s="5" t="str">
        <f>IFERROR(__xludf.DUMMYFUNCTION("GOOGLETRANSLATE(C377, ""en"", ""hi"")"),"ए) मार्मा, बी) वर्मम, सी) चुवडु, डी) उझिचिल")</f>
        <v>ए) मार्मा, बी) वर्मम, सी) चुवडु, डी) उझिचिल</v>
      </c>
      <c r="I377" s="5" t="str">
        <f>IFERROR(__xludf.DUMMYFUNCTION("GOOGLETRANSLATE(D377, ""en"", ""hi"")"),"A) मर्म")</f>
        <v>A) मर्म</v>
      </c>
    </row>
    <row r="378" ht="22.5" customHeight="1">
      <c r="A378" s="2">
        <v>377.0</v>
      </c>
      <c r="B378" s="3" t="s">
        <v>14234</v>
      </c>
      <c r="C378" s="3" t="s">
        <v>13978</v>
      </c>
      <c r="D378" s="3" t="s">
        <v>13678</v>
      </c>
      <c r="F378" s="5" t="str">
        <f>IFERROR(__xludf.DUMMYFUNCTION("GOOGLETRANSLATE(A378, ""en"", ""hi"")"),"377")</f>
        <v>377</v>
      </c>
      <c r="G378" s="5" t="str">
        <f>IFERROR(__xludf.DUMMYFUNCTION("GOOGLETRANSLATE(B378, ""en"", ""hi"")"),"कलारीपयट्टू में सटीकता और गति के साथ प्रहार करने की कला में निपुणता प्राप्त करने के लिए कौन सा अभ्यास आवश्यक है?")</f>
        <v>कलारीपयट्टू में सटीकता और गति के साथ प्रहार करने की कला में निपुणता प्राप्त करने के लिए कौन सा अभ्यास आवश्यक है?</v>
      </c>
      <c r="H378" s="5" t="str">
        <f>IFERROR(__xludf.DUMMYFUNCTION("GOOGLETRANSLATE(C378, ""en"", ""hi"")"),"ए) वर्मम, बी) एडवस, सी) चुवाडु, डी) उझिचिल")</f>
        <v>ए) वर्मम, बी) एडवस, सी) चुवाडु, डी) उझिचिल</v>
      </c>
      <c r="I378" s="5" t="str">
        <f>IFERROR(__xludf.DUMMYFUNCTION("GOOGLETRANSLATE(D378, ""en"", ""hi"")"),"ए) वर्माम")</f>
        <v>ए) वर्माम</v>
      </c>
    </row>
    <row r="379" ht="22.5" customHeight="1">
      <c r="A379" s="2">
        <v>378.0</v>
      </c>
      <c r="B379" s="3" t="s">
        <v>14235</v>
      </c>
      <c r="C379" s="3" t="s">
        <v>13713</v>
      </c>
      <c r="D379" s="3" t="s">
        <v>13772</v>
      </c>
      <c r="F379" s="5" t="str">
        <f>IFERROR(__xludf.DUMMYFUNCTION("GOOGLETRANSLATE(A379, ""en"", ""hi"")"),"378")</f>
        <v>378</v>
      </c>
      <c r="G379" s="5" t="str">
        <f>IFERROR(__xludf.DUMMYFUNCTION("GOOGLETRANSLATE(B379, ""en"", ""hi"")"),"कलारीपयट्टू प्रशिक्षण के दौरान, आप उन तकनीकों पर ध्यान केंद्रित कर रहे हैं जिनमें कुंद हथियार का उपयोग शामिल है। आप संभवतः किस हथियार से प्रशिक्षण ले रहे हैं?")</f>
        <v>कलारीपयट्टू प्रशिक्षण के दौरान, आप उन तकनीकों पर ध्यान केंद्रित कर रहे हैं जिनमें कुंद हथियार का उपयोग शामिल है। आप संभवतः किस हथियार से प्रशिक्षण ले रहे हैं?</v>
      </c>
      <c r="H379" s="5" t="str">
        <f>IFERROR(__xludf.DUMMYFUNCTION("GOOGLETRANSLATE(C379, ""en"", ""hi"")"),"A) तलवार, B) गदा, C) भाला, D) खंजर")</f>
        <v>A) तलवार, B) गदा, C) भाला, D) खंजर</v>
      </c>
      <c r="I379" s="5" t="str">
        <f>IFERROR(__xludf.DUMMYFUNCTION("GOOGLETRANSLATE(D379, ""en"", ""hi"")"),"बी) गदा")</f>
        <v>बी) गदा</v>
      </c>
    </row>
    <row r="380" ht="22.5" customHeight="1">
      <c r="A380" s="2">
        <v>379.0</v>
      </c>
      <c r="B380" s="3" t="s">
        <v>14236</v>
      </c>
      <c r="C380" s="3" t="s">
        <v>14081</v>
      </c>
      <c r="D380" s="3" t="s">
        <v>13675</v>
      </c>
      <c r="F380" s="5" t="str">
        <f>IFERROR(__xludf.DUMMYFUNCTION("GOOGLETRANSLATE(A380, ""en"", ""hi"")"),"379")</f>
        <v>379</v>
      </c>
      <c r="G380" s="5" t="str">
        <f>IFERROR(__xludf.DUMMYFUNCTION("GOOGLETRANSLATE(B380, ""en"", ""hi"")"),"एक कलारीपयट्टू अभ्यासी बेहतर गतिशीलता के लिए अपने पैरों की गति बढ़ाने पर ध्यान केंद्रित कर रहा है। उन्हें किस अभ्यास पर ध्यान केंद्रित करना चाहिए?")</f>
        <v>एक कलारीपयट्टू अभ्यासी बेहतर गतिशीलता के लिए अपने पैरों की गति बढ़ाने पर ध्यान केंद्रित कर रहा है। उन्हें किस अभ्यास पर ध्यान केंद्रित करना चाहिए?</v>
      </c>
      <c r="H380" s="5" t="str">
        <f>IFERROR(__xludf.DUMMYFUNCTION("GOOGLETRANSLATE(C380, ""en"", ""hi"")"),"ए) चुवाडु, बी) वर्मा, सी) एडवस, डी) उझिचिल")</f>
        <v>ए) चुवाडु, बी) वर्मा, सी) एडवस, डी) उझिचिल</v>
      </c>
      <c r="I380" s="5" t="str">
        <f>IFERROR(__xludf.DUMMYFUNCTION("GOOGLETRANSLATE(D380, ""en"", ""hi"")"),"A) चुवाडु")</f>
        <v>A) चुवाडु</v>
      </c>
    </row>
    <row r="381" ht="22.5" customHeight="1">
      <c r="A381" s="2">
        <v>380.0</v>
      </c>
      <c r="B381" s="3" t="s">
        <v>14237</v>
      </c>
      <c r="C381" s="3" t="s">
        <v>14238</v>
      </c>
      <c r="D381" s="3" t="s">
        <v>14239</v>
      </c>
      <c r="F381" s="5" t="str">
        <f>IFERROR(__xludf.DUMMYFUNCTION("GOOGLETRANSLATE(A381, ""en"", ""hi"")"),"380")</f>
        <v>380</v>
      </c>
      <c r="G381" s="5" t="str">
        <f>IFERROR(__xludf.DUMMYFUNCTION("GOOGLETRANSLATE(B381, ""en"", ""hi"")"),"कलारीपयट्टू में किस तकनीक में रक्षात्मक और आक्रामक दोनों युद्धाभ्यासों के लिए भाले का उपयोग शामिल है?")</f>
        <v>कलारीपयट्टू में किस तकनीक में रक्षात्मक और आक्रामक दोनों युद्धाभ्यासों के लिए भाले का उपयोग शामिल है?</v>
      </c>
      <c r="H381" s="5" t="str">
        <f>IFERROR(__xludf.DUMMYFUNCTION("GOOGLETRANSLATE(C381, ""en"", ""hi"")"),"ए) एडवस, बी) वर्मम, सी) स्पीयर तकनीक, डी) उझिचिल")</f>
        <v>ए) एडवस, बी) वर्मम, सी) स्पीयर तकनीक, डी) उझिचिल</v>
      </c>
      <c r="I381" s="5" t="str">
        <f>IFERROR(__xludf.DUMMYFUNCTION("GOOGLETRANSLATE(D381, ""en"", ""hi"")"),"सी) भाला तकनीक")</f>
        <v>सी) भाला तकनीक</v>
      </c>
    </row>
    <row r="382" ht="22.5" customHeight="1">
      <c r="A382" s="2">
        <v>381.0</v>
      </c>
      <c r="B382" s="3" t="s">
        <v>14240</v>
      </c>
      <c r="C382" s="3" t="s">
        <v>14108</v>
      </c>
      <c r="D382" s="3" t="s">
        <v>13960</v>
      </c>
      <c r="F382" s="5" t="str">
        <f>IFERROR(__xludf.DUMMYFUNCTION("GOOGLETRANSLATE(A382, ""en"", ""hi"")"),"381")</f>
        <v>381</v>
      </c>
      <c r="G382" s="5" t="str">
        <f>IFERROR(__xludf.DUMMYFUNCTION("GOOGLETRANSLATE(B382, ""en"", ""hi"")"),"आप कलारीपयट्टू की ऐसी तकनीकें सीख रहे हैं जिनमें गोलाकार गतियों पर ज़ोर दिया जाता है। कौन सा अभ्यास सबसे ज़्यादा प्रासंगिक है?")</f>
        <v>आप कलारीपयट्टू की ऐसी तकनीकें सीख रहे हैं जिनमें गोलाकार गतियों पर ज़ोर दिया जाता है। कौन सा अभ्यास सबसे ज़्यादा प्रासंगिक है?</v>
      </c>
      <c r="H382" s="5" t="str">
        <f>IFERROR(__xludf.DUMMYFUNCTION("GOOGLETRANSLATE(C382, ""en"", ""hi"")"),"ए) वर्मा, बी) एडवस, सी) चुवाडु, डी) उझिचिल")</f>
        <v>ए) वर्मा, बी) एडवस, सी) चुवाडु, डी) उझिचिल</v>
      </c>
      <c r="I382" s="5" t="str">
        <f>IFERROR(__xludf.DUMMYFUNCTION("GOOGLETRANSLATE(D382, ""en"", ""hi"")"),"ए) वर्मा")</f>
        <v>ए) वर्मा</v>
      </c>
    </row>
    <row r="383" ht="22.5" customHeight="1">
      <c r="A383" s="2">
        <v>382.0</v>
      </c>
      <c r="B383" s="3" t="s">
        <v>14241</v>
      </c>
      <c r="C383" s="3" t="s">
        <v>14242</v>
      </c>
      <c r="D383" s="3" t="s">
        <v>14243</v>
      </c>
      <c r="F383" s="5" t="str">
        <f>IFERROR(__xludf.DUMMYFUNCTION("GOOGLETRANSLATE(A383, ""en"", ""hi"")"),"382")</f>
        <v>382</v>
      </c>
      <c r="G383" s="5" t="str">
        <f>IFERROR(__xludf.DUMMYFUNCTION("GOOGLETRANSLATE(B383, ""en"", ""hi"")"),"कलारीपयट्टू में, कौन सी प्रथा निकट-युद्ध तकनीकों के लिए खंजर का उपयोग करने पर केंद्रित है?")</f>
        <v>कलारीपयट्टू में, कौन सी प्रथा निकट-युद्ध तकनीकों के लिए खंजर का उपयोग करने पर केंद्रित है?</v>
      </c>
      <c r="H383" s="5" t="str">
        <f>IFERROR(__xludf.DUMMYFUNCTION("GOOGLETRANSLATE(C383, ""en"", ""hi"")"),"ए) डैगर तकनीक, बी) वर्मा, सी) एडवस, डी) उझिचिल")</f>
        <v>ए) डैगर तकनीक, बी) वर्मा, सी) एडवस, डी) उझिचिल</v>
      </c>
      <c r="I383" s="5" t="str">
        <f>IFERROR(__xludf.DUMMYFUNCTION("GOOGLETRANSLATE(D383, ""en"", ""hi"")"),"ए) खंजर तकनीक")</f>
        <v>ए) खंजर तकनीक</v>
      </c>
    </row>
    <row r="384" ht="22.5" customHeight="1">
      <c r="A384" s="2">
        <v>383.0</v>
      </c>
      <c r="B384" s="3" t="s">
        <v>14244</v>
      </c>
      <c r="C384" s="3" t="s">
        <v>14016</v>
      </c>
      <c r="D384" s="3" t="s">
        <v>13684</v>
      </c>
      <c r="F384" s="5" t="str">
        <f>IFERROR(__xludf.DUMMYFUNCTION("GOOGLETRANSLATE(A384, ""en"", ""hi"")"),"383")</f>
        <v>383</v>
      </c>
      <c r="G384" s="5" t="str">
        <f>IFERROR(__xludf.DUMMYFUNCTION("GOOGLETRANSLATE(B384, ""en"", ""hi"")"),"एक कलारीपयट्टू अभ्यासी अपने शरीर की समग्र शक्ति को बेहतर बनाने की तकनीकों पर काम कर रहा है। उन्हें किस अभ्यास पर ध्यान केंद्रित करना चाहिए?")</f>
        <v>एक कलारीपयट्टू अभ्यासी अपने शरीर की समग्र शक्ति को बेहतर बनाने की तकनीकों पर काम कर रहा है। उन्हें किस अभ्यास पर ध्यान केंद्रित करना चाहिए?</v>
      </c>
      <c r="H384" s="5" t="str">
        <f>IFERROR(__xludf.DUMMYFUNCTION("GOOGLETRANSLATE(C384, ""en"", ""hi"")"),"ए) उझिचिल, बी) एडवस, सी) वर्मा, डी) चुवाडु")</f>
        <v>ए) उझिचिल, बी) एडवस, सी) वर्मा, डी) चुवाडु</v>
      </c>
      <c r="I384" s="5" t="str">
        <f>IFERROR(__xludf.DUMMYFUNCTION("GOOGLETRANSLATE(D384, ""en"", ""hi"")"),"A) उझिचिल")</f>
        <v>A) उझिचिल</v>
      </c>
    </row>
    <row r="385" ht="22.5" customHeight="1">
      <c r="A385" s="2">
        <v>384.0</v>
      </c>
      <c r="B385" s="3" t="s">
        <v>14245</v>
      </c>
      <c r="C385" s="3" t="s">
        <v>13814</v>
      </c>
      <c r="D385" s="3" t="s">
        <v>13740</v>
      </c>
      <c r="F385" s="5" t="str">
        <f>IFERROR(__xludf.DUMMYFUNCTION("GOOGLETRANSLATE(A385, ""en"", ""hi"")"),"384")</f>
        <v>384</v>
      </c>
      <c r="G385" s="5" t="str">
        <f>IFERROR(__xludf.DUMMYFUNCTION("GOOGLETRANSLATE(B385, ""en"", ""hi"")"),"कलारीपयट्टू प्रशिक्षण के दौरान, किस अभ्यास में आंदोलनों के समन्वय और तुल्यकालन को बढ़ाना शामिल है?")</f>
        <v>कलारीपयट्टू प्रशिक्षण के दौरान, किस अभ्यास में आंदोलनों के समन्वय और तुल्यकालन को बढ़ाना शामिल है?</v>
      </c>
      <c r="H385" s="5" t="str">
        <f>IFERROR(__xludf.DUMMYFUNCTION("GOOGLETRANSLATE(C385, ""en"", ""hi"")"),"ए) एडवस, बी) चुवाडु, सी) वर्मा, डी) उझिचिल")</f>
        <v>ए) एडवस, बी) चुवाडु, सी) वर्मा, डी) उझिचिल</v>
      </c>
      <c r="I385" s="5" t="str">
        <f>IFERROR(__xludf.DUMMYFUNCTION("GOOGLETRANSLATE(D385, ""en"", ""hi"")"),"ए) एडवस")</f>
        <v>ए) एडवस</v>
      </c>
    </row>
    <row r="386" ht="22.5" customHeight="1">
      <c r="A386" s="2">
        <v>385.0</v>
      </c>
      <c r="B386" s="3" t="s">
        <v>14246</v>
      </c>
      <c r="C386" s="3" t="s">
        <v>14247</v>
      </c>
      <c r="D386" s="3" t="s">
        <v>9197</v>
      </c>
      <c r="F386" s="5" t="str">
        <f>IFERROR(__xludf.DUMMYFUNCTION("GOOGLETRANSLATE(A386, ""en"", ""hi"")"),"385")</f>
        <v>385</v>
      </c>
      <c r="G386" s="5" t="str">
        <f>IFERROR(__xludf.DUMMYFUNCTION("GOOGLETRANSLATE(B386, ""en"", ""hi"")"),"कलारीपयट्टू में 'मर्म' नामक तकनीक का प्राथमिक केंद्र क्या है?")</f>
        <v>कलारीपयट्टू में 'मर्म' नामक तकनीक का प्राथमिक केंद्र क्या है?</v>
      </c>
      <c r="H386" s="5" t="str">
        <f>IFERROR(__xludf.DUMMYFUNCTION("GOOGLETRANSLATE(C386, ""en"", ""hi"")"),"ए) दबाव बिंदु, बी) हथियार संचालन, सी) शरीर की कंडीशनिंग, डी) फुटवर्क")</f>
        <v>ए) दबाव बिंदु, बी) हथियार संचालन, सी) शरीर की कंडीशनिंग, डी) फुटवर्क</v>
      </c>
      <c r="I386" s="5" t="str">
        <f>IFERROR(__xludf.DUMMYFUNCTION("GOOGLETRANSLATE(D386, ""en"", ""hi"")"),"A) दबाव बिंदु")</f>
        <v>A) दबाव बिंदु</v>
      </c>
    </row>
    <row r="387" ht="22.5" customHeight="1">
      <c r="A387" s="2">
        <v>386.0</v>
      </c>
      <c r="B387" s="3" t="s">
        <v>14248</v>
      </c>
      <c r="C387" s="3" t="s">
        <v>13981</v>
      </c>
      <c r="D387" s="3" t="s">
        <v>13675</v>
      </c>
      <c r="F387" s="5" t="str">
        <f>IFERROR(__xludf.DUMMYFUNCTION("GOOGLETRANSLATE(A387, ""en"", ""hi"")"),"386")</f>
        <v>386</v>
      </c>
      <c r="G387" s="5" t="str">
        <f>IFERROR(__xludf.DUMMYFUNCTION("GOOGLETRANSLATE(B387, ""en"", ""hi"")"),"कलारीपयट्टू का एक अभ्यासी ऊपरी प्रहारों से बचाव की तकनीकों पर ध्यान केंद्रित कर रहा है। कौन सा अभ्यास सबसे ज़्यादा फ़ायदेमंद है?")</f>
        <v>कलारीपयट्टू का एक अभ्यासी ऊपरी प्रहारों से बचाव की तकनीकों पर ध्यान केंद्रित कर रहा है। कौन सा अभ्यास सबसे ज़्यादा फ़ायदेमंद है?</v>
      </c>
      <c r="H387" s="5" t="str">
        <f>IFERROR(__xludf.DUMMYFUNCTION("GOOGLETRANSLATE(C387, ""en"", ""hi"")"),"ए) चुवडु, बी) वर्मा, सी) मार्मा, डी) एडवस")</f>
        <v>ए) चुवडु, बी) वर्मा, सी) मार्मा, डी) एडवस</v>
      </c>
      <c r="I387" s="5" t="str">
        <f>IFERROR(__xludf.DUMMYFUNCTION("GOOGLETRANSLATE(D387, ""en"", ""hi"")"),"A) चुवाडु")</f>
        <v>A) चुवाडु</v>
      </c>
    </row>
    <row r="388" ht="22.5" customHeight="1">
      <c r="A388" s="2">
        <v>387.0</v>
      </c>
      <c r="B388" s="3" t="s">
        <v>14249</v>
      </c>
      <c r="C388" s="3" t="s">
        <v>13713</v>
      </c>
      <c r="D388" s="3" t="s">
        <v>13714</v>
      </c>
      <c r="F388" s="5" t="str">
        <f>IFERROR(__xludf.DUMMYFUNCTION("GOOGLETRANSLATE(A388, ""en"", ""hi"")"),"387")</f>
        <v>387</v>
      </c>
      <c r="G388" s="5" t="str">
        <f>IFERROR(__xludf.DUMMYFUNCTION("GOOGLETRANSLATE(B388, ""en"", ""hi"")"),"कलारीपयट्टू में, तीव्र और सटीक प्रहार करने की तकनीक के लिए किस हथियार का सबसे अधिक उपयोग किया जाता है?")</f>
        <v>कलारीपयट्टू में, तीव्र और सटीक प्रहार करने की तकनीक के लिए किस हथियार का सबसे अधिक उपयोग किया जाता है?</v>
      </c>
      <c r="H388" s="5" t="str">
        <f>IFERROR(__xludf.DUMMYFUNCTION("GOOGLETRANSLATE(C388, ""en"", ""hi"")"),"A) तलवार, B) गदा, C) भाला, D) खंजर")</f>
        <v>A) तलवार, B) गदा, C) भाला, D) खंजर</v>
      </c>
      <c r="I388" s="5" t="str">
        <f>IFERROR(__xludf.DUMMYFUNCTION("GOOGLETRANSLATE(D388, ""en"", ""hi"")"),"ए) तलवार")</f>
        <v>ए) तलवार</v>
      </c>
    </row>
    <row r="389" ht="22.5" customHeight="1">
      <c r="A389" s="2">
        <v>388.0</v>
      </c>
      <c r="B389" s="3" t="s">
        <v>14250</v>
      </c>
      <c r="C389" s="3" t="s">
        <v>14251</v>
      </c>
      <c r="D389" s="3" t="s">
        <v>14252</v>
      </c>
      <c r="F389" s="5" t="str">
        <f>IFERROR(__xludf.DUMMYFUNCTION("GOOGLETRANSLATE(A389, ""en"", ""hi"")"),"388")</f>
        <v>388</v>
      </c>
      <c r="G389" s="5" t="str">
        <f>IFERROR(__xludf.DUMMYFUNCTION("GOOGLETRANSLATE(B389, ""en"", ""hi"")"),"कलारीपयट्टू प्रशिक्षण के दौरान, आप उन तकनीकों में महारत हासिल करने पर ध्यान केंद्रित कर रहे हैं जिनमें लंबी छड़ी का उपयोग शामिल है। कौन सा अभ्यास सबसे अधिक प्रासंगिक है?")</f>
        <v>कलारीपयट्टू प्रशिक्षण के दौरान, आप उन तकनीकों में महारत हासिल करने पर ध्यान केंद्रित कर रहे हैं जिनमें लंबी छड़ी का उपयोग शामिल है। कौन सा अभ्यास सबसे अधिक प्रासंगिक है?</v>
      </c>
      <c r="H389" s="5" t="str">
        <f>IFERROR(__xludf.DUMMYFUNCTION("GOOGLETRANSLATE(C389, ""en"", ""hi"")"),"A) लॉन्ग स्टिक तकनीक, B) वर्मा, C) अदावस, D) उझिचिल")</f>
        <v>A) लॉन्ग स्टिक तकनीक, B) वर्मा, C) अदावस, D) उझिचिल</v>
      </c>
      <c r="I389" s="5" t="str">
        <f>IFERROR(__xludf.DUMMYFUNCTION("GOOGLETRANSLATE(D389, ""en"", ""hi"")"),"ए) लंबी छड़ी तकनीक")</f>
        <v>ए) लंबी छड़ी तकनीक</v>
      </c>
    </row>
    <row r="390" ht="22.5" customHeight="1">
      <c r="A390" s="2">
        <v>389.0</v>
      </c>
      <c r="B390" s="3" t="s">
        <v>14253</v>
      </c>
      <c r="C390" s="3" t="s">
        <v>13809</v>
      </c>
      <c r="D390" s="3" t="s">
        <v>13675</v>
      </c>
      <c r="F390" s="5" t="str">
        <f>IFERROR(__xludf.DUMMYFUNCTION("GOOGLETRANSLATE(A390, ""en"", ""hi"")"),"389")</f>
        <v>389</v>
      </c>
      <c r="G390" s="5" t="str">
        <f>IFERROR(__xludf.DUMMYFUNCTION("GOOGLETRANSLATE(B390, ""en"", ""hi"")"),"कलारीपयट्टू में, कौन सी तकनीक अभ्यासकर्ता की चपलता और सजगता में सुधार करने के लिए डिज़ाइन की गई है?")</f>
        <v>कलारीपयट्टू में, कौन सी तकनीक अभ्यासकर्ता की चपलता और सजगता में सुधार करने के लिए डिज़ाइन की गई है?</v>
      </c>
      <c r="H390" s="5" t="str">
        <f>IFERROR(__xludf.DUMMYFUNCTION("GOOGLETRANSLATE(C390, ""en"", ""hi"")"),"ए) चुवडु, बी) वर्मम, सी) एडवस, डी) उझिचिल")</f>
        <v>ए) चुवडु, बी) वर्मम, सी) एडवस, डी) उझिचिल</v>
      </c>
      <c r="I390" s="5" t="str">
        <f>IFERROR(__xludf.DUMMYFUNCTION("GOOGLETRANSLATE(D390, ""en"", ""hi"")"),"A) चुवाडु")</f>
        <v>A) चुवाडु</v>
      </c>
    </row>
    <row r="391" ht="22.5" customHeight="1">
      <c r="A391" s="2">
        <v>390.0</v>
      </c>
      <c r="B391" s="3" t="s">
        <v>14254</v>
      </c>
      <c r="C391" s="3" t="s">
        <v>14242</v>
      </c>
      <c r="D391" s="3" t="s">
        <v>14243</v>
      </c>
      <c r="F391" s="5" t="str">
        <f>IFERROR(__xludf.DUMMYFUNCTION("GOOGLETRANSLATE(A391, ""en"", ""hi"")"),"390")</f>
        <v>390</v>
      </c>
      <c r="G391" s="5" t="str">
        <f>IFERROR(__xludf.DUMMYFUNCTION("GOOGLETRANSLATE(B391, ""en"", ""hi"")"),"एक कलारीपयट्टू साधक खंजर से सटीक और प्रभावी प्रहार करने की तकनीक सीख रहा है। वे कौन-सा अभ्यास कर रहे हैं?")</f>
        <v>एक कलारीपयट्टू साधक खंजर से सटीक और प्रभावी प्रहार करने की तकनीक सीख रहा है। वे कौन-सा अभ्यास कर रहे हैं?</v>
      </c>
      <c r="H391" s="5" t="str">
        <f>IFERROR(__xludf.DUMMYFUNCTION("GOOGLETRANSLATE(C391, ""en"", ""hi"")"),"ए) डैगर तकनीक, बी) वर्मा, सी) एडवस, डी) उझिचिल")</f>
        <v>ए) डैगर तकनीक, बी) वर्मा, सी) एडवस, डी) उझिचिल</v>
      </c>
      <c r="I391" s="5" t="str">
        <f>IFERROR(__xludf.DUMMYFUNCTION("GOOGLETRANSLATE(D391, ""en"", ""hi"")"),"ए) खंजर तकनीक")</f>
        <v>ए) खंजर तकनीक</v>
      </c>
    </row>
    <row r="392" ht="22.5" customHeight="1">
      <c r="A392" s="2">
        <v>391.0</v>
      </c>
      <c r="B392" s="3" t="s">
        <v>14255</v>
      </c>
      <c r="C392" s="3" t="s">
        <v>14016</v>
      </c>
      <c r="D392" s="3" t="s">
        <v>13684</v>
      </c>
      <c r="F392" s="5" t="str">
        <f>IFERROR(__xludf.DUMMYFUNCTION("GOOGLETRANSLATE(A392, ""en"", ""hi"")"),"391")</f>
        <v>391</v>
      </c>
      <c r="G392" s="5" t="str">
        <f>IFERROR(__xludf.DUMMYFUNCTION("GOOGLETRANSLATE(B392, ""en"", ""hi"")"),"कलारीपयट्टू में, कौन सी प्रथा शरीर की कंडीशनिंग और धीरज प्रशिक्षण पर केंद्रित है?")</f>
        <v>कलारीपयट्टू में, कौन सी प्रथा शरीर की कंडीशनिंग और धीरज प्रशिक्षण पर केंद्रित है?</v>
      </c>
      <c r="H392" s="5" t="str">
        <f>IFERROR(__xludf.DUMMYFUNCTION("GOOGLETRANSLATE(C392, ""en"", ""hi"")"),"ए) उझिचिल, बी) एडवस, सी) वर्मा, डी) चुवाडु")</f>
        <v>ए) उझिचिल, बी) एडवस, सी) वर्मा, डी) चुवाडु</v>
      </c>
      <c r="I392" s="5" t="str">
        <f>IFERROR(__xludf.DUMMYFUNCTION("GOOGLETRANSLATE(D392, ""en"", ""hi"")"),"A) उझिचिल")</f>
        <v>A) उझिचिल</v>
      </c>
    </row>
    <row r="393" ht="22.5" customHeight="1">
      <c r="A393" s="2">
        <v>392.0</v>
      </c>
      <c r="B393" s="3" t="s">
        <v>14256</v>
      </c>
      <c r="C393" s="3" t="s">
        <v>14013</v>
      </c>
      <c r="D393" s="3" t="s">
        <v>13932</v>
      </c>
      <c r="F393" s="5" t="str">
        <f>IFERROR(__xludf.DUMMYFUNCTION("GOOGLETRANSLATE(A393, ""en"", ""hi"")"),"392")</f>
        <v>392</v>
      </c>
      <c r="G393" s="5" t="str">
        <f>IFERROR(__xludf.DUMMYFUNCTION("GOOGLETRANSLATE(B393, ""en"", ""hi"")"),"कलारीपयट्टू प्रशिक्षण के दौरान, आप अपने प्रतिद्वंद्वी को अशक्त करने के लिए विशिष्ट दबाव बिंदुओं पर प्रहार करना सीख रहे हैं। आप किस तकनीक पर ध्यान केंद्रित कर रहे हैं?")</f>
        <v>कलारीपयट्टू प्रशिक्षण के दौरान, आप अपने प्रतिद्वंद्वी को अशक्त करने के लिए विशिष्ट दबाव बिंदुओं पर प्रहार करना सीख रहे हैं। आप किस तकनीक पर ध्यान केंद्रित कर रहे हैं?</v>
      </c>
      <c r="H393" s="5" t="str">
        <f>IFERROR(__xludf.DUMMYFUNCTION("GOOGLETRANSLATE(C393, ""en"", ""hi"")"),"ए) मार्मा, बी) वर्मम, सी) एडवस, डी) उझिचिल")</f>
        <v>ए) मार्मा, बी) वर्मम, सी) एडवस, डी) उझिचिल</v>
      </c>
      <c r="I393" s="5" t="str">
        <f>IFERROR(__xludf.DUMMYFUNCTION("GOOGLETRANSLATE(D393, ""en"", ""hi"")"),"A) मर्म")</f>
        <v>A) मर्म</v>
      </c>
    </row>
    <row r="394" ht="22.5" customHeight="1">
      <c r="A394" s="2">
        <v>393.0</v>
      </c>
      <c r="B394" s="3" t="s">
        <v>14257</v>
      </c>
      <c r="C394" s="3" t="s">
        <v>14108</v>
      </c>
      <c r="D394" s="3" t="s">
        <v>13960</v>
      </c>
      <c r="F394" s="5" t="str">
        <f>IFERROR(__xludf.DUMMYFUNCTION("GOOGLETRANSLATE(A394, ""en"", ""hi"")"),"393")</f>
        <v>393</v>
      </c>
      <c r="G394" s="5" t="str">
        <f>IFERROR(__xludf.DUMMYFUNCTION("GOOGLETRANSLATE(B394, ""en"", ""hi"")"),"कलारीपयट्टू में, किस तकनीक में वृत्ताकार और प्रवाहमय आंदोलनों के उपयोग में निपुणता हासिल करना शामिल है?")</f>
        <v>कलारीपयट्टू में, किस तकनीक में वृत्ताकार और प्रवाहमय आंदोलनों के उपयोग में निपुणता हासिल करना शामिल है?</v>
      </c>
      <c r="H394" s="5" t="str">
        <f>IFERROR(__xludf.DUMMYFUNCTION("GOOGLETRANSLATE(C394, ""en"", ""hi"")"),"ए) वर्मा, बी) एडवस, सी) चुवाडु, डी) उझिचिल")</f>
        <v>ए) वर्मा, बी) एडवस, सी) चुवाडु, डी) उझिचिल</v>
      </c>
      <c r="I394" s="5" t="str">
        <f>IFERROR(__xludf.DUMMYFUNCTION("GOOGLETRANSLATE(D394, ""en"", ""hi"")"),"ए) वर्मा")</f>
        <v>ए) वर्मा</v>
      </c>
    </row>
    <row r="395" ht="22.5" customHeight="1">
      <c r="A395" s="2">
        <v>394.0</v>
      </c>
      <c r="B395" s="3" t="s">
        <v>14258</v>
      </c>
      <c r="C395" s="3" t="s">
        <v>13713</v>
      </c>
      <c r="D395" s="3" t="s">
        <v>13772</v>
      </c>
      <c r="F395" s="5" t="str">
        <f>IFERROR(__xludf.DUMMYFUNCTION("GOOGLETRANSLATE(A395, ""en"", ""hi"")"),"394")</f>
        <v>394</v>
      </c>
      <c r="G395" s="5" t="str">
        <f>IFERROR(__xludf.DUMMYFUNCTION("GOOGLETRANSLATE(B395, ""en"", ""hi"")"),"आप कलारीपयट्टू तकनीक का अभ्यास कर रहे हैं जिसमें शक्तिशाली प्रहार के लिए कुंद हथियार का इस्तेमाल किया जाता है। आप कौन सा हथियार इस्तेमाल कर रहे हैं?")</f>
        <v>आप कलारीपयट्टू तकनीक का अभ्यास कर रहे हैं जिसमें शक्तिशाली प्रहार के लिए कुंद हथियार का इस्तेमाल किया जाता है। आप कौन सा हथियार इस्तेमाल कर रहे हैं?</v>
      </c>
      <c r="H395" s="5" t="str">
        <f>IFERROR(__xludf.DUMMYFUNCTION("GOOGLETRANSLATE(C395, ""en"", ""hi"")"),"A) तलवार, B) गदा, C) भाला, D) खंजर")</f>
        <v>A) तलवार, B) गदा, C) भाला, D) खंजर</v>
      </c>
      <c r="I395" s="5" t="str">
        <f>IFERROR(__xludf.DUMMYFUNCTION("GOOGLETRANSLATE(D395, ""en"", ""hi"")"),"बी) गदा")</f>
        <v>बी) गदा</v>
      </c>
    </row>
    <row r="396" ht="22.5" customHeight="1">
      <c r="A396" s="2">
        <v>395.0</v>
      </c>
      <c r="B396" s="3" t="s">
        <v>14259</v>
      </c>
      <c r="C396" s="3" t="s">
        <v>14049</v>
      </c>
      <c r="D396" s="3" t="s">
        <v>13675</v>
      </c>
      <c r="F396" s="5" t="str">
        <f>IFERROR(__xludf.DUMMYFUNCTION("GOOGLETRANSLATE(A396, ""en"", ""hi"")"),"395")</f>
        <v>395</v>
      </c>
      <c r="G396" s="5" t="str">
        <f>IFERROR(__xludf.DUMMYFUNCTION("GOOGLETRANSLATE(B396, ""en"", ""hi"")"),"कलारीपयट्टू में फुटवर्क और रक्षात्मक युद्धाभ्यास में सुधार के लिए कौन सा अभ्यास आवश्यक है?")</f>
        <v>कलारीपयट्टू में फुटवर्क और रक्षात्मक युद्धाभ्यास में सुधार के लिए कौन सा अभ्यास आवश्यक है?</v>
      </c>
      <c r="H396" s="5" t="str">
        <f>IFERROR(__xludf.DUMMYFUNCTION("GOOGLETRANSLATE(C396, ""en"", ""hi"")"),"ए) चुवाडु, बी) एडवस, सी) वर्मा, डी) उझिचिल")</f>
        <v>ए) चुवाडु, बी) एडवस, सी) वर्मा, डी) उझिचिल</v>
      </c>
      <c r="I396" s="5" t="str">
        <f>IFERROR(__xludf.DUMMYFUNCTION("GOOGLETRANSLATE(D396, ""en"", ""hi"")"),"A) चुवाडु")</f>
        <v>A) चुवाडु</v>
      </c>
    </row>
    <row r="397" ht="22.5" customHeight="1">
      <c r="A397" s="2">
        <v>396.0</v>
      </c>
      <c r="B397" s="3" t="s">
        <v>14260</v>
      </c>
      <c r="C397" s="3" t="s">
        <v>13978</v>
      </c>
      <c r="D397" s="3" t="s">
        <v>13678</v>
      </c>
      <c r="F397" s="5" t="str">
        <f>IFERROR(__xludf.DUMMYFUNCTION("GOOGLETRANSLATE(A397, ""en"", ""hi"")"),"396")</f>
        <v>396</v>
      </c>
      <c r="G397" s="5" t="str">
        <f>IFERROR(__xludf.DUMMYFUNCTION("GOOGLETRANSLATE(B397, ""en"", ""hi"")"),"एक कलारीपयट्टू अभ्यासी अपनी गति और सटीकता को बढ़ाने के लिए हथियार के प्रहारों पर ध्यान केंद्रित कर रहा है। उन्हें किस अभ्यास को प्राथमिकता देनी चाहिए?")</f>
        <v>एक कलारीपयट्टू अभ्यासी अपनी गति और सटीकता को बढ़ाने के लिए हथियार के प्रहारों पर ध्यान केंद्रित कर रहा है। उन्हें किस अभ्यास को प्राथमिकता देनी चाहिए?</v>
      </c>
      <c r="H397" s="5" t="str">
        <f>IFERROR(__xludf.DUMMYFUNCTION("GOOGLETRANSLATE(C397, ""en"", ""hi"")"),"ए) वर्मम, बी) एडवस, सी) चुवाडु, डी) उझिचिल")</f>
        <v>ए) वर्मम, बी) एडवस, सी) चुवाडु, डी) उझिचिल</v>
      </c>
      <c r="I397" s="5" t="str">
        <f>IFERROR(__xludf.DUMMYFUNCTION("GOOGLETRANSLATE(D397, ""en"", ""hi"")"),"ए) वर्माम")</f>
        <v>ए) वर्माम</v>
      </c>
    </row>
    <row r="398" ht="22.5" customHeight="1">
      <c r="A398" s="2">
        <v>397.0</v>
      </c>
      <c r="B398" s="3" t="s">
        <v>14261</v>
      </c>
      <c r="C398" s="3" t="s">
        <v>14262</v>
      </c>
      <c r="D398" s="3" t="s">
        <v>13690</v>
      </c>
      <c r="F398" s="5" t="str">
        <f>IFERROR(__xludf.DUMMYFUNCTION("GOOGLETRANSLATE(A398, ""en"", ""hi"")"),"397")</f>
        <v>397</v>
      </c>
      <c r="G398" s="5" t="str">
        <f>IFERROR(__xludf.DUMMYFUNCTION("GOOGLETRANSLATE(B398, ""en"", ""hi"")"),"कलारीपयट्टू में, लंबी दूरी के हमलों और प्रहारों से संबंधित तकनीकों के लिए कौन सा हथियार सबसे प्रभावी है?")</f>
        <v>कलारीपयट्टू में, लंबी दूरी के हमलों और प्रहारों से संबंधित तकनीकों के लिए कौन सा हथियार सबसे प्रभावी है?</v>
      </c>
      <c r="H398" s="5" t="str">
        <f>IFERROR(__xludf.DUMMYFUNCTION("GOOGLETRANSLATE(C398, ""en"", ""hi"")"),"A) भाला, B) तलवार, C) गदा, D) खंजर")</f>
        <v>A) भाला, B) तलवार, C) गदा, D) खंजर</v>
      </c>
      <c r="I398" s="5" t="str">
        <f>IFERROR(__xludf.DUMMYFUNCTION("GOOGLETRANSLATE(D398, ""en"", ""hi"")"),"ए) भाला")</f>
        <v>ए) भाला</v>
      </c>
    </row>
    <row r="399" ht="22.5" customHeight="1">
      <c r="A399" s="2">
        <v>398.0</v>
      </c>
      <c r="B399" s="3" t="s">
        <v>14263</v>
      </c>
      <c r="C399" s="3" t="s">
        <v>13814</v>
      </c>
      <c r="D399" s="3" t="s">
        <v>13740</v>
      </c>
      <c r="F399" s="5" t="str">
        <f>IFERROR(__xludf.DUMMYFUNCTION("GOOGLETRANSLATE(A399, ""en"", ""hi"")"),"398")</f>
        <v>398</v>
      </c>
      <c r="G399" s="5" t="str">
        <f>IFERROR(__xludf.DUMMYFUNCTION("GOOGLETRANSLATE(B399, ""en"", ""hi"")"),"कलारीपयट्टू प्रशिक्षण के दौरान, एक साथ प्रहार करने और बचाव करने की अपनी क्षमता को बढ़ाने के लिए आपको किस अभ्यास पर ध्यान केंद्रित करना चाहिए?")</f>
        <v>कलारीपयट्टू प्रशिक्षण के दौरान, एक साथ प्रहार करने और बचाव करने की अपनी क्षमता को बढ़ाने के लिए आपको किस अभ्यास पर ध्यान केंद्रित करना चाहिए?</v>
      </c>
      <c r="H399" s="5" t="str">
        <f>IFERROR(__xludf.DUMMYFUNCTION("GOOGLETRANSLATE(C399, ""en"", ""hi"")"),"ए) एडवस, बी) चुवाडु, सी) वर्मा, डी) उझिचिल")</f>
        <v>ए) एडवस, बी) चुवाडु, सी) वर्मा, डी) उझिचिल</v>
      </c>
      <c r="I399" s="5" t="str">
        <f>IFERROR(__xludf.DUMMYFUNCTION("GOOGLETRANSLATE(D399, ""en"", ""hi"")"),"ए) एडवस")</f>
        <v>ए) एडवस</v>
      </c>
    </row>
    <row r="400" ht="22.5" customHeight="1">
      <c r="A400" s="2">
        <v>399.0</v>
      </c>
      <c r="B400" s="3" t="s">
        <v>14264</v>
      </c>
      <c r="C400" s="3" t="s">
        <v>14251</v>
      </c>
      <c r="D400" s="3" t="s">
        <v>14252</v>
      </c>
      <c r="F400" s="5" t="str">
        <f>IFERROR(__xludf.DUMMYFUNCTION("GOOGLETRANSLATE(A400, ""en"", ""hi"")"),"399")</f>
        <v>399</v>
      </c>
      <c r="G400" s="5" t="str">
        <f>IFERROR(__xludf.DUMMYFUNCTION("GOOGLETRANSLATE(B400, ""en"", ""hi"")"),"कलारीपयट्टू में, किस अभ्यास में हमलों में पहुंच और शक्ति विकसित करने के लिए एक लंबे हथियार का उपयोग शामिल है?")</f>
        <v>कलारीपयट्टू में, किस अभ्यास में हमलों में पहुंच और शक्ति विकसित करने के लिए एक लंबे हथियार का उपयोग शामिल है?</v>
      </c>
      <c r="H400" s="5" t="str">
        <f>IFERROR(__xludf.DUMMYFUNCTION("GOOGLETRANSLATE(C400, ""en"", ""hi"")"),"A) लॉन्ग स्टिक तकनीक, B) वर्मा, C) अदावस, D) उझिचिल")</f>
        <v>A) लॉन्ग स्टिक तकनीक, B) वर्मा, C) अदावस, D) उझिचिल</v>
      </c>
      <c r="I400" s="5" t="str">
        <f>IFERROR(__xludf.DUMMYFUNCTION("GOOGLETRANSLATE(D400, ""en"", ""hi"")"),"ए) लंबी छड़ी तकनीक")</f>
        <v>ए) लंबी छड़ी तकनीक</v>
      </c>
    </row>
    <row r="401" ht="22.5" customHeight="1">
      <c r="A401" s="2">
        <v>400.0</v>
      </c>
      <c r="B401" s="3" t="s">
        <v>14265</v>
      </c>
      <c r="C401" s="3" t="s">
        <v>14049</v>
      </c>
      <c r="D401" s="3" t="s">
        <v>13675</v>
      </c>
      <c r="F401" s="5" t="str">
        <f>IFERROR(__xludf.DUMMYFUNCTION("GOOGLETRANSLATE(A401, ""en"", ""hi"")"),"400")</f>
        <v>400</v>
      </c>
      <c r="G401" s="5" t="str">
        <f>IFERROR(__xludf.DUMMYFUNCTION("GOOGLETRANSLATE(B401, ""en"", ""hi"")"),"एक कलारीपयट्टू अभ्यासी तेज़ और प्रभावी पैरों की क्रिया वाली तकनीकों में महारत हासिल करने पर ध्यान केंद्रित कर रहा है। वे किस तरह का अभ्यास कर रहे हैं?")</f>
        <v>एक कलारीपयट्टू अभ्यासी तेज़ और प्रभावी पैरों की क्रिया वाली तकनीकों में महारत हासिल करने पर ध्यान केंद्रित कर रहा है। वे किस तरह का अभ्यास कर रहे हैं?</v>
      </c>
      <c r="H401" s="5" t="str">
        <f>IFERROR(__xludf.DUMMYFUNCTION("GOOGLETRANSLATE(C401, ""en"", ""hi"")"),"ए) चुवाडु, बी) एडवस, सी) वर्मा, डी) उझिचिल")</f>
        <v>ए) चुवाडु, बी) एडवस, सी) वर्मा, डी) उझिचिल</v>
      </c>
      <c r="I401" s="5" t="str">
        <f>IFERROR(__xludf.DUMMYFUNCTION("GOOGLETRANSLATE(D401, ""en"", ""hi"")"),"A) चुवाडु")</f>
        <v>A) चुवाडु</v>
      </c>
    </row>
    <row r="402" ht="22.5" customHeight="1">
      <c r="A402" s="2">
        <v>401.0</v>
      </c>
      <c r="B402" s="3" t="s">
        <v>14266</v>
      </c>
      <c r="C402" s="3" t="s">
        <v>13978</v>
      </c>
      <c r="D402" s="3" t="s">
        <v>13678</v>
      </c>
      <c r="F402" s="5" t="str">
        <f>IFERROR(__xludf.DUMMYFUNCTION("GOOGLETRANSLATE(A402, ""en"", ""hi"")"),"401")</f>
        <v>401</v>
      </c>
      <c r="G402" s="5" t="str">
        <f>IFERROR(__xludf.DUMMYFUNCTION("GOOGLETRANSLATE(B402, ""en"", ""hi"")"),"कलारीपयट्टू में, कौन सी तकनीक अभ्यासकर्ता की शक्तिशाली और सटीक प्रहार करने की क्षमता को बढ़ाने के लिए डिज़ाइन की गई है?")</f>
        <v>कलारीपयट्टू में, कौन सी तकनीक अभ्यासकर्ता की शक्तिशाली और सटीक प्रहार करने की क्षमता को बढ़ाने के लिए डिज़ाइन की गई है?</v>
      </c>
      <c r="H402" s="5" t="str">
        <f>IFERROR(__xludf.DUMMYFUNCTION("GOOGLETRANSLATE(C402, ""en"", ""hi"")"),"ए) वर्मम, बी) एडवस, सी) चुवाडु, डी) उझिचिल")</f>
        <v>ए) वर्मम, बी) एडवस, सी) चुवाडु, डी) उझिचिल</v>
      </c>
      <c r="I402" s="5" t="str">
        <f>IFERROR(__xludf.DUMMYFUNCTION("GOOGLETRANSLATE(D402, ""en"", ""hi"")"),"ए) वर्माम")</f>
        <v>ए) वर्माम</v>
      </c>
    </row>
    <row r="403" ht="22.5" customHeight="1">
      <c r="A403" s="2">
        <v>402.0</v>
      </c>
      <c r="B403" s="3" t="s">
        <v>14267</v>
      </c>
      <c r="C403" s="3" t="s">
        <v>14268</v>
      </c>
      <c r="D403" s="3" t="s">
        <v>14269</v>
      </c>
      <c r="F403" s="5" t="str">
        <f>IFERROR(__xludf.DUMMYFUNCTION("GOOGLETRANSLATE(A403, ""en"", ""hi"")"),"402")</f>
        <v>402</v>
      </c>
      <c r="G403" s="5" t="str">
        <f>IFERROR(__xludf.DUMMYFUNCTION("GOOGLETRANSLATE(B403, ""en"", ""hi"")"),"कलारीपयट्टू प्रशिक्षण के दौरान, आप एक छोटे हथियार से निकट युद्ध की तकनीक सीख रहे हैं। आप सबसे ज़्यादा किस हथियार का इस्तेमाल करते हैं?")</f>
        <v>कलारीपयट्टू प्रशिक्षण के दौरान, आप एक छोटे हथियार से निकट युद्ध की तकनीक सीख रहे हैं। आप सबसे ज़्यादा किस हथियार का इस्तेमाल करते हैं?</v>
      </c>
      <c r="H403" s="5" t="str">
        <f>IFERROR(__xludf.DUMMYFUNCTION("GOOGLETRANSLATE(C403, ""en"", ""hi"")"),"A) खंजर, B) तलवार, C) गदा, D) भाला")</f>
        <v>A) खंजर, B) तलवार, C) गदा, D) भाला</v>
      </c>
      <c r="I403" s="5" t="str">
        <f>IFERROR(__xludf.DUMMYFUNCTION("GOOGLETRANSLATE(D403, ""en"", ""hi"")"),"ए) खंजर")</f>
        <v>ए) खंजर</v>
      </c>
    </row>
    <row r="404" ht="22.5" customHeight="1">
      <c r="A404" s="2">
        <v>403.0</v>
      </c>
      <c r="B404" s="3" t="s">
        <v>14270</v>
      </c>
      <c r="C404" s="3" t="s">
        <v>14016</v>
      </c>
      <c r="D404" s="3" t="s">
        <v>13684</v>
      </c>
      <c r="F404" s="5" t="str">
        <f>IFERROR(__xludf.DUMMYFUNCTION("GOOGLETRANSLATE(A404, ""en"", ""hi"")"),"403")</f>
        <v>403</v>
      </c>
      <c r="G404" s="5" t="str">
        <f>IFERROR(__xludf.DUMMYFUNCTION("GOOGLETRANSLATE(B404, ""en"", ""hi"")"),"कलारीपयट्टू में, कौन सी प्रथा ऐसी तकनीकों को शामिल करती है जो समग्र शारीरिक कंडीशनिंग और सहनशक्ति में सुधार करती हैं?")</f>
        <v>कलारीपयट्टू में, कौन सी प्रथा ऐसी तकनीकों को शामिल करती है जो समग्र शारीरिक कंडीशनिंग और सहनशक्ति में सुधार करती हैं?</v>
      </c>
      <c r="H404" s="5" t="str">
        <f>IFERROR(__xludf.DUMMYFUNCTION("GOOGLETRANSLATE(C404, ""en"", ""hi"")"),"ए) उझिचिल, बी) एडवस, सी) वर्मा, डी) चुवाडु")</f>
        <v>ए) उझिचिल, बी) एडवस, सी) वर्मा, डी) चुवाडु</v>
      </c>
      <c r="I404" s="5" t="str">
        <f>IFERROR(__xludf.DUMMYFUNCTION("GOOGLETRANSLATE(D404, ""en"", ""hi"")"),"A) उझिचिल")</f>
        <v>A) उझिचिल</v>
      </c>
    </row>
    <row r="405" ht="22.5" customHeight="1">
      <c r="A405" s="2">
        <v>404.0</v>
      </c>
      <c r="B405" s="3" t="s">
        <v>14271</v>
      </c>
      <c r="C405" s="3" t="s">
        <v>14224</v>
      </c>
      <c r="D405" s="3" t="s">
        <v>13675</v>
      </c>
      <c r="F405" s="5" t="str">
        <f>IFERROR(__xludf.DUMMYFUNCTION("GOOGLETRANSLATE(A405, ""en"", ""hi"")"),"404")</f>
        <v>404</v>
      </c>
      <c r="G405" s="5" t="str">
        <f>IFERROR(__xludf.DUMMYFUNCTION("GOOGLETRANSLATE(B405, ""en"", ""hi"")"),"एक कलारीपयट्टू अभ्यासी हमलों से बचने और उनका मुकाबला करने की अपनी क्षमता बढ़ाने के लिए तकनीकें सीख रहा है। वे कौन सी साधना कर रहे हैं?")</f>
        <v>एक कलारीपयट्टू अभ्यासी हमलों से बचने और उनका मुकाबला करने की अपनी क्षमता बढ़ाने के लिए तकनीकें सीख रहा है। वे कौन सी साधना कर रहे हैं?</v>
      </c>
      <c r="H405" s="5" t="str">
        <f>IFERROR(__xludf.DUMMYFUNCTION("GOOGLETRANSLATE(C405, ""en"", ""hi"")"),"ए) चुवडु, बी) वर्मम, सी) मार्मा, डी) एडवस")</f>
        <v>ए) चुवडु, बी) वर्मम, सी) मार्मा, डी) एडवस</v>
      </c>
      <c r="I405" s="5" t="str">
        <f>IFERROR(__xludf.DUMMYFUNCTION("GOOGLETRANSLATE(D405, ""en"", ""hi"")"),"A) चुवाडु")</f>
        <v>A) चुवाडु</v>
      </c>
    </row>
    <row r="406" ht="22.5" customHeight="1">
      <c r="A406" s="2">
        <v>405.0</v>
      </c>
      <c r="B406" s="3" t="s">
        <v>14272</v>
      </c>
      <c r="C406" s="3" t="s">
        <v>13713</v>
      </c>
      <c r="D406" s="3" t="s">
        <v>13714</v>
      </c>
      <c r="F406" s="5" t="str">
        <f>IFERROR(__xludf.DUMMYFUNCTION("GOOGLETRANSLATE(A406, ""en"", ""hi"")"),"405")</f>
        <v>405</v>
      </c>
      <c r="G406" s="5" t="str">
        <f>IFERROR(__xludf.DUMMYFUNCTION("GOOGLETRANSLATE(B406, ""en"", ""hi"")"),"कलारीपयट्टू में, किस हथियार का उपयोग उन तकनीकों के लिए किया जाता है जिसमें तेज और प्रभावी कटौती और वार शामिल होते हैं?")</f>
        <v>कलारीपयट्टू में, किस हथियार का उपयोग उन तकनीकों के लिए किया जाता है जिसमें तेज और प्रभावी कटौती और वार शामिल होते हैं?</v>
      </c>
      <c r="H406" s="5" t="str">
        <f>IFERROR(__xludf.DUMMYFUNCTION("GOOGLETRANSLATE(C406, ""en"", ""hi"")"),"A) तलवार, B) गदा, C) भाला, D) खंजर")</f>
        <v>A) तलवार, B) गदा, C) भाला, D) खंजर</v>
      </c>
      <c r="I406" s="5" t="str">
        <f>IFERROR(__xludf.DUMMYFUNCTION("GOOGLETRANSLATE(D406, ""en"", ""hi"")"),"ए) तलवार")</f>
        <v>ए) तलवार</v>
      </c>
    </row>
    <row r="407" ht="22.5" customHeight="1">
      <c r="A407" s="2">
        <v>406.0</v>
      </c>
      <c r="B407" s="3" t="s">
        <v>14273</v>
      </c>
      <c r="C407" s="3" t="s">
        <v>14251</v>
      </c>
      <c r="D407" s="3" t="s">
        <v>14252</v>
      </c>
      <c r="F407" s="5" t="str">
        <f>IFERROR(__xludf.DUMMYFUNCTION("GOOGLETRANSLATE(A407, ""en"", ""hi"")"),"406")</f>
        <v>406</v>
      </c>
      <c r="G407" s="5" t="str">
        <f>IFERROR(__xludf.DUMMYFUNCTION("GOOGLETRANSLATE(B407, ""en"", ""hi"")"),"कलारीपयट्टू प्रशिक्षण के दौरान, कौन सा अभ्यास आक्रामक और रक्षात्मक दोनों युद्धाभ्यासों के लिए एक लंबे हथियार का उपयोग करने पर केंद्रित है?")</f>
        <v>कलारीपयट्टू प्रशिक्षण के दौरान, कौन सा अभ्यास आक्रामक और रक्षात्मक दोनों युद्धाभ्यासों के लिए एक लंबे हथियार का उपयोग करने पर केंद्रित है?</v>
      </c>
      <c r="H407" s="5" t="str">
        <f>IFERROR(__xludf.DUMMYFUNCTION("GOOGLETRANSLATE(C407, ""en"", ""hi"")"),"A) लॉन्ग स्टिक तकनीक, B) वर्मा, C) अदावस, D) उझिचिल")</f>
        <v>A) लॉन्ग स्टिक तकनीक, B) वर्मा, C) अदावस, D) उझिचिल</v>
      </c>
      <c r="I407" s="5" t="str">
        <f>IFERROR(__xludf.DUMMYFUNCTION("GOOGLETRANSLATE(D407, ""en"", ""hi"")"),"ए) लंबी छड़ी तकनीक")</f>
        <v>ए) लंबी छड़ी तकनीक</v>
      </c>
    </row>
    <row r="408" ht="22.5" customHeight="1">
      <c r="A408" s="2">
        <v>407.0</v>
      </c>
      <c r="B408" s="3" t="s">
        <v>14274</v>
      </c>
      <c r="C408" s="3" t="s">
        <v>14108</v>
      </c>
      <c r="D408" s="3" t="s">
        <v>13960</v>
      </c>
      <c r="F408" s="5" t="str">
        <f>IFERROR(__xludf.DUMMYFUNCTION("GOOGLETRANSLATE(A408, ""en"", ""hi"")"),"407")</f>
        <v>407</v>
      </c>
      <c r="G408" s="5" t="str">
        <f>IFERROR(__xludf.DUMMYFUNCTION("GOOGLETRANSLATE(B408, ""en"", ""hi"")"),"कलारीपयट्टू में, युद्ध में तीव्र और तरल गति में निपुणता प्राप्त करने के लिए कौन सी तकनीक महत्वपूर्ण है?")</f>
        <v>कलारीपयट्टू में, युद्ध में तीव्र और तरल गति में निपुणता प्राप्त करने के लिए कौन सी तकनीक महत्वपूर्ण है?</v>
      </c>
      <c r="H408" s="5" t="str">
        <f>IFERROR(__xludf.DUMMYFUNCTION("GOOGLETRANSLATE(C408, ""en"", ""hi"")"),"ए) वर्मा, बी) एडवस, सी) चुवाडु, डी) उझिचिल")</f>
        <v>ए) वर्मा, बी) एडवस, सी) चुवाडु, डी) उझिचिल</v>
      </c>
      <c r="I408" s="5" t="str">
        <f>IFERROR(__xludf.DUMMYFUNCTION("GOOGLETRANSLATE(D408, ""en"", ""hi"")"),"ए) वर्मा")</f>
        <v>ए) वर्मा</v>
      </c>
    </row>
    <row r="409" ht="22.5" customHeight="1">
      <c r="A409" s="2">
        <v>408.0</v>
      </c>
      <c r="B409" s="3" t="s">
        <v>14275</v>
      </c>
      <c r="C409" s="3" t="s">
        <v>14013</v>
      </c>
      <c r="D409" s="3" t="s">
        <v>13932</v>
      </c>
      <c r="F409" s="5" t="str">
        <f>IFERROR(__xludf.DUMMYFUNCTION("GOOGLETRANSLATE(A409, ""en"", ""hi"")"),"408")</f>
        <v>408</v>
      </c>
      <c r="G409" s="5" t="str">
        <f>IFERROR(__xludf.DUMMYFUNCTION("GOOGLETRANSLATE(B409, ""en"", ""hi"")"),"एक कलारीपयट्टू अभ्यासी शरीर के विशिष्ट दबाव बिंदुओं पर प्रहार करने की तकनीकों पर ध्यान केंद्रित करता है। उन्हें किस अभ्यास पर ज़ोर देना चाहिए?")</f>
        <v>एक कलारीपयट्टू अभ्यासी शरीर के विशिष्ट दबाव बिंदुओं पर प्रहार करने की तकनीकों पर ध्यान केंद्रित करता है। उन्हें किस अभ्यास पर ज़ोर देना चाहिए?</v>
      </c>
      <c r="H409" s="5" t="str">
        <f>IFERROR(__xludf.DUMMYFUNCTION("GOOGLETRANSLATE(C409, ""en"", ""hi"")"),"ए) मार्मा, बी) वर्मम, सी) एडवस, डी) उझिचिल")</f>
        <v>ए) मार्मा, बी) वर्मम, सी) एडवस, डी) उझिचिल</v>
      </c>
      <c r="I409" s="5" t="str">
        <f>IFERROR(__xludf.DUMMYFUNCTION("GOOGLETRANSLATE(D409, ""en"", ""hi"")"),"A) मर्म")</f>
        <v>A) मर्म</v>
      </c>
    </row>
    <row r="410" ht="22.5" customHeight="1">
      <c r="A410" s="2">
        <v>409.0</v>
      </c>
      <c r="B410" s="3" t="s">
        <v>14276</v>
      </c>
      <c r="C410" s="3" t="s">
        <v>14016</v>
      </c>
      <c r="D410" s="3" t="s">
        <v>13684</v>
      </c>
      <c r="F410" s="5" t="str">
        <f>IFERROR(__xludf.DUMMYFUNCTION("GOOGLETRANSLATE(A410, ""en"", ""hi"")"),"409")</f>
        <v>409</v>
      </c>
      <c r="G410" s="5" t="str">
        <f>IFERROR(__xludf.DUMMYFUNCTION("GOOGLETRANSLATE(B410, ""en"", ""hi"")"),"कलारीपयट्टू में, शारीरिक कंडीशनिंग के माध्यम से शक्ति और सहनशक्ति विकसित करने के लिए आपको किस अभ्यास पर ध्यान केंद्रित करना चाहिए?")</f>
        <v>कलारीपयट्टू में, शारीरिक कंडीशनिंग के माध्यम से शक्ति और सहनशक्ति विकसित करने के लिए आपको किस अभ्यास पर ध्यान केंद्रित करना चाहिए?</v>
      </c>
      <c r="H410" s="5" t="str">
        <f>IFERROR(__xludf.DUMMYFUNCTION("GOOGLETRANSLATE(C410, ""en"", ""hi"")"),"ए) उझिचिल, बी) एडवस, सी) वर्मा, डी) चुवाडु")</f>
        <v>ए) उझिचिल, बी) एडवस, सी) वर्मा, डी) चुवाडु</v>
      </c>
      <c r="I410" s="5" t="str">
        <f>IFERROR(__xludf.DUMMYFUNCTION("GOOGLETRANSLATE(D410, ""en"", ""hi"")"),"A) उझिचिल")</f>
        <v>A) उझिचिल</v>
      </c>
    </row>
    <row r="411" ht="22.5" customHeight="1">
      <c r="A411" s="2">
        <v>410.0</v>
      </c>
      <c r="B411" s="3" t="s">
        <v>14277</v>
      </c>
      <c r="C411" s="3" t="s">
        <v>14278</v>
      </c>
      <c r="D411" s="3" t="s">
        <v>14279</v>
      </c>
      <c r="F411" s="5" t="str">
        <f>IFERROR(__xludf.DUMMYFUNCTION("GOOGLETRANSLATE(A411, ""en"", ""hi"")"),"410")</f>
        <v>410</v>
      </c>
      <c r="G411" s="5" t="str">
        <f>IFERROR(__xludf.DUMMYFUNCTION("GOOGLETRANSLATE(B411, ""en"", ""hi"")"),"कलारीपयट्टू प्रशिक्षण के दौरान, किस तकनीक में लंबी दूरी की लड़ाई के लिए भाले का उपयोग शामिल है?")</f>
        <v>कलारीपयट्टू प्रशिक्षण के दौरान, किस तकनीक में लंबी दूरी की लड़ाई के लिए भाले का उपयोग शामिल है?</v>
      </c>
      <c r="H411" s="5" t="str">
        <f>IFERROR(__xludf.DUMMYFUNCTION("GOOGLETRANSLATE(C411, ""en"", ""hi"")"),"ए) भाला तकनीक, बी) वर्मा, सी) एडवस, डी) उझिचिल")</f>
        <v>ए) भाला तकनीक, बी) वर्मा, सी) एडवस, डी) उझिचिल</v>
      </c>
      <c r="I411" s="5" t="str">
        <f>IFERROR(__xludf.DUMMYFUNCTION("GOOGLETRANSLATE(D411, ""en"", ""hi"")"),"ए) भाला तकनीक")</f>
        <v>ए) भाला तकनीक</v>
      </c>
    </row>
    <row r="412" ht="22.5" customHeight="1">
      <c r="A412" s="2">
        <v>411.0</v>
      </c>
      <c r="B412" s="3" t="s">
        <v>14280</v>
      </c>
      <c r="C412" s="3" t="s">
        <v>13809</v>
      </c>
      <c r="D412" s="3" t="s">
        <v>13675</v>
      </c>
      <c r="F412" s="5" t="str">
        <f>IFERROR(__xludf.DUMMYFUNCTION("GOOGLETRANSLATE(A412, ""en"", ""hi"")"),"411")</f>
        <v>411</v>
      </c>
      <c r="G412" s="5" t="str">
        <f>IFERROR(__xludf.DUMMYFUNCTION("GOOGLETRANSLATE(B412, ""en"", ""hi"")"),"कलारीपयट्टू में, किस अभ्यास में अभ्यासकर्ता की तेजी से आगे बढ़ने और हमलों से बचने की क्षमता में सुधार करने की तकनीकें शामिल हैं?")</f>
        <v>कलारीपयट्टू में, किस अभ्यास में अभ्यासकर्ता की तेजी से आगे बढ़ने और हमलों से बचने की क्षमता में सुधार करने की तकनीकें शामिल हैं?</v>
      </c>
      <c r="H412" s="5" t="str">
        <f>IFERROR(__xludf.DUMMYFUNCTION("GOOGLETRANSLATE(C412, ""en"", ""hi"")"),"ए) चुवडु, बी) वर्मम, सी) एडवस, डी) उझिचिल")</f>
        <v>ए) चुवडु, बी) वर्मम, सी) एडवस, डी) उझिचिल</v>
      </c>
      <c r="I412" s="5" t="str">
        <f>IFERROR(__xludf.DUMMYFUNCTION("GOOGLETRANSLATE(D412, ""en"", ""hi"")"),"A) चुवाडु")</f>
        <v>A) चुवाडु</v>
      </c>
    </row>
    <row r="413" ht="22.5" customHeight="1">
      <c r="A413" s="2">
        <v>412.0</v>
      </c>
      <c r="B413" s="3" t="s">
        <v>14281</v>
      </c>
      <c r="C413" s="3" t="s">
        <v>14282</v>
      </c>
      <c r="D413" s="3" t="s">
        <v>14283</v>
      </c>
      <c r="F413" s="5" t="str">
        <f>IFERROR(__xludf.DUMMYFUNCTION("GOOGLETRANSLATE(A413, ""en"", ""hi"")"),"412")</f>
        <v>412</v>
      </c>
      <c r="G413" s="5" t="str">
        <f>IFERROR(__xludf.DUMMYFUNCTION("GOOGLETRANSLATE(B413, ""en"", ""hi"")"),"एक कलारीपयट्टू अभ्यासी गदा को प्रभावी ढंग से चलाने की तकनीक सीख रहा है। वे किस अभ्यास पर ध्यान केंद्रित कर रहे हैं?")</f>
        <v>एक कलारीपयट्टू अभ्यासी गदा को प्रभावी ढंग से चलाने की तकनीक सीख रहा है। वे किस अभ्यास पर ध्यान केंद्रित कर रहे हैं?</v>
      </c>
      <c r="H413" s="5" t="str">
        <f>IFERROR(__xludf.DUMMYFUNCTION("GOOGLETRANSLATE(C413, ""en"", ""hi"")"),"ए) गदा तकनीक, बी) वर्मा, सी) एडवस, डी) उझिचिल")</f>
        <v>ए) गदा तकनीक, बी) वर्मा, सी) एडवस, डी) उझिचिल</v>
      </c>
      <c r="I413" s="5" t="str">
        <f>IFERROR(__xludf.DUMMYFUNCTION("GOOGLETRANSLATE(D413, ""en"", ""hi"")"),"ए) गदा तकनीक")</f>
        <v>ए) गदा तकनीक</v>
      </c>
    </row>
    <row r="414" ht="22.5" customHeight="1">
      <c r="A414" s="2">
        <v>413.0</v>
      </c>
      <c r="B414" s="3" t="s">
        <v>14284</v>
      </c>
      <c r="C414" s="3" t="s">
        <v>14285</v>
      </c>
      <c r="D414" s="3" t="s">
        <v>14286</v>
      </c>
      <c r="F414" s="5" t="str">
        <f>IFERROR(__xludf.DUMMYFUNCTION("GOOGLETRANSLATE(A414, ""en"", ""hi"")"),"413")</f>
        <v>413</v>
      </c>
      <c r="G414" s="5" t="str">
        <f>IFERROR(__xludf.DUMMYFUNCTION("GOOGLETRANSLATE(B414, ""en"", ""hi"")"),"कलारीपयट्टू में तलवार से सटीक और शक्तिशाली प्रहार करने में निपुणता प्राप्त करने के लिए कौन सा अभ्यास आवश्यक है?")</f>
        <v>कलारीपयट्टू में तलवार से सटीक और शक्तिशाली प्रहार करने में निपुणता प्राप्त करने के लिए कौन सा अभ्यास आवश्यक है?</v>
      </c>
      <c r="H414" s="5" t="str">
        <f>IFERROR(__xludf.DUMMYFUNCTION("GOOGLETRANSLATE(C414, ""en"", ""hi"")"),"ए) तलवार तकनीक, बी) वर्मा, सी) एडवस, डी) उझिचिल")</f>
        <v>ए) तलवार तकनीक, बी) वर्मा, सी) एडवस, डी) उझिचिल</v>
      </c>
      <c r="I414" s="5" t="str">
        <f>IFERROR(__xludf.DUMMYFUNCTION("GOOGLETRANSLATE(D414, ""en"", ""hi"")"),"A) तलवार तकनीक")</f>
        <v>A) तलवार तकनीक</v>
      </c>
    </row>
    <row r="415" ht="22.5" customHeight="1">
      <c r="A415" s="2">
        <v>414.0</v>
      </c>
      <c r="B415" s="3" t="s">
        <v>14287</v>
      </c>
      <c r="C415" s="3" t="s">
        <v>13814</v>
      </c>
      <c r="D415" s="3" t="s">
        <v>13740</v>
      </c>
      <c r="F415" s="5" t="str">
        <f>IFERROR(__xludf.DUMMYFUNCTION("GOOGLETRANSLATE(A415, ""en"", ""hi"")"),"414")</f>
        <v>414</v>
      </c>
      <c r="G415" s="5" t="str">
        <f>IFERROR(__xludf.DUMMYFUNCTION("GOOGLETRANSLATE(B415, ""en"", ""hi"")"),"कलारीपयट्टू प्रशिक्षण के दौरान, कौन सी तकनीक अभ्यासकर्ता की समग्र युद्ध रणनीति और अनुकूलन क्षमता में सुधार लाने पर केंद्रित है?")</f>
        <v>कलारीपयट्टू प्रशिक्षण के दौरान, कौन सी तकनीक अभ्यासकर्ता की समग्र युद्ध रणनीति और अनुकूलन क्षमता में सुधार लाने पर केंद्रित है?</v>
      </c>
      <c r="H415" s="5" t="str">
        <f>IFERROR(__xludf.DUMMYFUNCTION("GOOGLETRANSLATE(C415, ""en"", ""hi"")"),"ए) एडवस, बी) चुवाडु, सी) वर्मा, डी) उझिचिल")</f>
        <v>ए) एडवस, बी) चुवाडु, सी) वर्मा, डी) उझिचिल</v>
      </c>
      <c r="I415" s="5" t="str">
        <f>IFERROR(__xludf.DUMMYFUNCTION("GOOGLETRANSLATE(D415, ""en"", ""hi"")"),"ए) एडवस")</f>
        <v>ए) एडवस</v>
      </c>
    </row>
    <row r="416" ht="22.5" customHeight="1">
      <c r="A416" s="2">
        <v>415.0</v>
      </c>
      <c r="B416" s="3" t="s">
        <v>14288</v>
      </c>
      <c r="C416" s="3" t="s">
        <v>14251</v>
      </c>
      <c r="D416" s="3" t="s">
        <v>14252</v>
      </c>
      <c r="F416" s="5" t="str">
        <f>IFERROR(__xludf.DUMMYFUNCTION("GOOGLETRANSLATE(A416, ""en"", ""hi"")"),"415")</f>
        <v>415</v>
      </c>
      <c r="G416" s="5" t="str">
        <f>IFERROR(__xludf.DUMMYFUNCTION("GOOGLETRANSLATE(B416, ""en"", ""hi"")"),"कलारीपयट्टू में, किस तकनीक में हमला करने और बचाव दोनों के लिए एक लंबे हथियार का उपयोग किया जाता है?")</f>
        <v>कलारीपयट्टू में, किस तकनीक में हमला करने और बचाव दोनों के लिए एक लंबे हथियार का उपयोग किया जाता है?</v>
      </c>
      <c r="H416" s="5" t="str">
        <f>IFERROR(__xludf.DUMMYFUNCTION("GOOGLETRANSLATE(C416, ""en"", ""hi"")"),"A) लॉन्ग स्टिक तकनीक, B) वर्मा, C) अदावस, D) उझिचिल")</f>
        <v>A) लॉन्ग स्टिक तकनीक, B) वर्मा, C) अदावस, D) उझिचिल</v>
      </c>
      <c r="I416" s="5" t="str">
        <f>IFERROR(__xludf.DUMMYFUNCTION("GOOGLETRANSLATE(D416, ""en"", ""hi"")"),"ए) लंबी छड़ी तकनीक")</f>
        <v>ए) लंबी छड़ी तकनीक</v>
      </c>
    </row>
    <row r="417" ht="22.5" customHeight="1">
      <c r="A417" s="2">
        <v>416.0</v>
      </c>
      <c r="B417" s="3" t="s">
        <v>14289</v>
      </c>
      <c r="C417" s="3" t="s">
        <v>13978</v>
      </c>
      <c r="D417" s="3" t="s">
        <v>13678</v>
      </c>
      <c r="F417" s="5" t="str">
        <f>IFERROR(__xludf.DUMMYFUNCTION("GOOGLETRANSLATE(A417, ""en"", ""hi"")"),"416")</f>
        <v>416</v>
      </c>
      <c r="G417" s="5" t="str">
        <f>IFERROR(__xludf.DUMMYFUNCTION("GOOGLETRANSLATE(B417, ""en"", ""hi"")"),"एक कलारीपयट्टू अभ्यासी सटीकता और गति से प्रहार करने की अपनी क्षमता बढ़ाने के लिए तकनीकें सीख रहा है। वे किस अभ्यास पर ध्यान केंद्रित कर रहे हैं?")</f>
        <v>एक कलारीपयट्टू अभ्यासी सटीकता और गति से प्रहार करने की अपनी क्षमता बढ़ाने के लिए तकनीकें सीख रहा है। वे किस अभ्यास पर ध्यान केंद्रित कर रहे हैं?</v>
      </c>
      <c r="H417" s="5" t="str">
        <f>IFERROR(__xludf.DUMMYFUNCTION("GOOGLETRANSLATE(C417, ""en"", ""hi"")"),"ए) वर्मम, बी) एडवस, सी) चुवाडु, डी) उझिचिल")</f>
        <v>ए) वर्मम, बी) एडवस, सी) चुवाडु, डी) उझिचिल</v>
      </c>
      <c r="I417" s="5" t="str">
        <f>IFERROR(__xludf.DUMMYFUNCTION("GOOGLETRANSLATE(D417, ""en"", ""hi"")"),"ए) वर्माम")</f>
        <v>ए) वर्माम</v>
      </c>
    </row>
    <row r="418" ht="22.5" customHeight="1">
      <c r="A418" s="2">
        <v>417.0</v>
      </c>
      <c r="B418" s="3" t="s">
        <v>14290</v>
      </c>
      <c r="C418" s="3" t="s">
        <v>13713</v>
      </c>
      <c r="D418" s="3" t="s">
        <v>13714</v>
      </c>
      <c r="F418" s="5" t="str">
        <f>IFERROR(__xludf.DUMMYFUNCTION("GOOGLETRANSLATE(A418, ""en"", ""hi"")"),"417")</f>
        <v>417</v>
      </c>
      <c r="G418" s="5" t="str">
        <f>IFERROR(__xludf.DUMMYFUNCTION("GOOGLETRANSLATE(B418, ""en"", ""hi"")"),"कलारीपयट्टू में, किस हथियार का उपयोग मुख्य रूप से तीव्र कट और प्रहार की तकनीकों के लिए किया जाता है?")</f>
        <v>कलारीपयट्टू में, किस हथियार का उपयोग मुख्य रूप से तीव्र कट और प्रहार की तकनीकों के लिए किया जाता है?</v>
      </c>
      <c r="H418" s="5" t="str">
        <f>IFERROR(__xludf.DUMMYFUNCTION("GOOGLETRANSLATE(C418, ""en"", ""hi"")"),"A) तलवार, B) गदा, C) भाला, D) खंजर")</f>
        <v>A) तलवार, B) गदा, C) भाला, D) खंजर</v>
      </c>
      <c r="I418" s="5" t="str">
        <f>IFERROR(__xludf.DUMMYFUNCTION("GOOGLETRANSLATE(D418, ""en"", ""hi"")"),"ए) तलवार")</f>
        <v>ए) तलवार</v>
      </c>
    </row>
    <row r="419" ht="22.5" customHeight="1">
      <c r="A419" s="2">
        <v>418.0</v>
      </c>
      <c r="B419" s="3" t="s">
        <v>14291</v>
      </c>
      <c r="C419" s="3" t="s">
        <v>14224</v>
      </c>
      <c r="D419" s="3" t="s">
        <v>13675</v>
      </c>
      <c r="F419" s="5" t="str">
        <f>IFERROR(__xludf.DUMMYFUNCTION("GOOGLETRANSLATE(A419, ""en"", ""hi"")"),"418")</f>
        <v>418</v>
      </c>
      <c r="G419" s="5" t="str">
        <f>IFERROR(__xludf.DUMMYFUNCTION("GOOGLETRANSLATE(B419, ""en"", ""hi"")"),"कलारीपयट्टू प्रशिक्षण के दौरान, आप अपनी बचाव और जवाबी हमलों की क्षमता बढ़ाने पर ध्यान केंद्रित कर रहे हैं। आपको किस अभ्यास पर ज़ोर देना चाहिए?")</f>
        <v>कलारीपयट्टू प्रशिक्षण के दौरान, आप अपनी बचाव और जवाबी हमलों की क्षमता बढ़ाने पर ध्यान केंद्रित कर रहे हैं। आपको किस अभ्यास पर ज़ोर देना चाहिए?</v>
      </c>
      <c r="H419" s="5" t="str">
        <f>IFERROR(__xludf.DUMMYFUNCTION("GOOGLETRANSLATE(C419, ""en"", ""hi"")"),"ए) चुवडु, बी) वर्मम, सी) मार्मा, डी) एडवस")</f>
        <v>ए) चुवडु, बी) वर्मम, सी) मार्मा, डी) एडवस</v>
      </c>
      <c r="I419" s="5" t="str">
        <f>IFERROR(__xludf.DUMMYFUNCTION("GOOGLETRANSLATE(D419, ""en"", ""hi"")"),"A) चुवाडु")</f>
        <v>A) चुवाडु</v>
      </c>
    </row>
    <row r="420" ht="22.5" customHeight="1">
      <c r="A420" s="2">
        <v>419.0</v>
      </c>
      <c r="B420" s="3" t="s">
        <v>14292</v>
      </c>
      <c r="C420" s="3" t="s">
        <v>14242</v>
      </c>
      <c r="D420" s="3" t="s">
        <v>14243</v>
      </c>
      <c r="F420" s="5" t="str">
        <f>IFERROR(__xludf.DUMMYFUNCTION("GOOGLETRANSLATE(A420, ""en"", ""hi"")"),"419")</f>
        <v>419</v>
      </c>
      <c r="G420" s="5" t="str">
        <f>IFERROR(__xludf.DUMMYFUNCTION("GOOGLETRANSLATE(B420, ""en"", ""hi"")"),"कलारीपयट्टू में, किस तकनीक में निकट-युद्ध स्थितियों के लिए खंजर का उपयोग शामिल है?")</f>
        <v>कलारीपयट्टू में, किस तकनीक में निकट-युद्ध स्थितियों के लिए खंजर का उपयोग शामिल है?</v>
      </c>
      <c r="H420" s="5" t="str">
        <f>IFERROR(__xludf.DUMMYFUNCTION("GOOGLETRANSLATE(C420, ""en"", ""hi"")"),"ए) डैगर तकनीक, बी) वर्मा, सी) एडवस, डी) उझिचिल")</f>
        <v>ए) डैगर तकनीक, बी) वर्मा, सी) एडवस, डी) उझिचिल</v>
      </c>
      <c r="I420" s="5" t="str">
        <f>IFERROR(__xludf.DUMMYFUNCTION("GOOGLETRANSLATE(D420, ""en"", ""hi"")"),"ए) खंजर तकनीक")</f>
        <v>ए) खंजर तकनीक</v>
      </c>
    </row>
    <row r="421" ht="22.5" customHeight="1">
      <c r="A421" s="2">
        <v>420.0</v>
      </c>
      <c r="B421" s="3" t="s">
        <v>14293</v>
      </c>
      <c r="C421" s="3" t="s">
        <v>14016</v>
      </c>
      <c r="D421" s="3" t="s">
        <v>13684</v>
      </c>
      <c r="F421" s="5" t="str">
        <f>IFERROR(__xludf.DUMMYFUNCTION("GOOGLETRANSLATE(A421, ""en"", ""hi"")"),"420")</f>
        <v>420</v>
      </c>
      <c r="G421" s="5" t="str">
        <f>IFERROR(__xludf.DUMMYFUNCTION("GOOGLETRANSLATE(B421, ""en"", ""hi"")"),"एक कलारीपयट्टू अभ्यासी समग्र शारीरिक शक्ति और सहनशक्ति को बेहतर बनाने की तकनीकों पर ध्यान केंद्रित करता है। उन्हें किस अभ्यास को प्राथमिकता देनी चाहिए?")</f>
        <v>एक कलारीपयट्टू अभ्यासी समग्र शारीरिक शक्ति और सहनशक्ति को बेहतर बनाने की तकनीकों पर ध्यान केंद्रित करता है। उन्हें किस अभ्यास को प्राथमिकता देनी चाहिए?</v>
      </c>
      <c r="H421" s="5" t="str">
        <f>IFERROR(__xludf.DUMMYFUNCTION("GOOGLETRANSLATE(C421, ""en"", ""hi"")"),"ए) उझिचिल, बी) एडवस, सी) वर्मा, डी) चुवाडु")</f>
        <v>ए) उझिचिल, बी) एडवस, सी) वर्मा, डी) चुवाडु</v>
      </c>
      <c r="I421" s="5" t="str">
        <f>IFERROR(__xludf.DUMMYFUNCTION("GOOGLETRANSLATE(D421, ""en"", ""hi"")"),"A) उझिचिल")</f>
        <v>A) उझिचिल</v>
      </c>
    </row>
    <row r="422" ht="22.5" customHeight="1">
      <c r="A422" s="2">
        <v>421.0</v>
      </c>
      <c r="B422" s="3" t="s">
        <v>14294</v>
      </c>
      <c r="C422" s="3" t="s">
        <v>13798</v>
      </c>
      <c r="D422" s="3" t="s">
        <v>13740</v>
      </c>
      <c r="F422" s="5" t="str">
        <f>IFERROR(__xludf.DUMMYFUNCTION("GOOGLETRANSLATE(A422, ""en"", ""hi"")"),"421")</f>
        <v>421</v>
      </c>
      <c r="G422" s="5" t="str">
        <f>IFERROR(__xludf.DUMMYFUNCTION("GOOGLETRANSLATE(B422, ""en"", ""hi"")"),"कलारीपयट्टू प्रशिक्षण के दौरान, हथियार से सटीक और प्रभावी प्रहार करने की अपनी क्षमता बढ़ाने के लिए आपको किस अभ्यास पर ध्यान केंद्रित करना चाहिए?")</f>
        <v>कलारीपयट्टू प्रशिक्षण के दौरान, हथियार से सटीक और प्रभावी प्रहार करने की अपनी क्षमता बढ़ाने के लिए आपको किस अभ्यास पर ध्यान केंद्रित करना चाहिए?</v>
      </c>
      <c r="H422" s="5" t="str">
        <f>IFERROR(__xludf.DUMMYFUNCTION("GOOGLETRANSLATE(C422, ""en"", ""hi"")"),"ए) एडवस, बी) वर्मा, सी) चुवाडु, डी) उझिचिल")</f>
        <v>ए) एडवस, बी) वर्मा, सी) चुवाडु, डी) उझिचिल</v>
      </c>
      <c r="I422" s="5" t="str">
        <f>IFERROR(__xludf.DUMMYFUNCTION("GOOGLETRANSLATE(D422, ""en"", ""hi"")"),"ए) एडवस")</f>
        <v>ए) एडवस</v>
      </c>
    </row>
    <row r="423" ht="22.5" customHeight="1">
      <c r="A423" s="2">
        <v>422.0</v>
      </c>
      <c r="B423" s="3" t="s">
        <v>14295</v>
      </c>
      <c r="C423" s="3" t="s">
        <v>13713</v>
      </c>
      <c r="D423" s="3" t="s">
        <v>13714</v>
      </c>
      <c r="F423" s="5" t="str">
        <f>IFERROR(__xludf.DUMMYFUNCTION("GOOGLETRANSLATE(A423, ""en"", ""hi"")"),"422")</f>
        <v>422</v>
      </c>
      <c r="G423" s="5" t="str">
        <f>IFERROR(__xludf.DUMMYFUNCTION("GOOGLETRANSLATE(B423, ""en"", ""hi"")"),"कलारीपयट्टू में, शक्तिशाली और सटीक प्रहार करने की तकनीक के लिए किस हथियार का उपयोग किया जाता है?")</f>
        <v>कलारीपयट्टू में, शक्तिशाली और सटीक प्रहार करने की तकनीक के लिए किस हथियार का उपयोग किया जाता है?</v>
      </c>
      <c r="H423" s="5" t="str">
        <f>IFERROR(__xludf.DUMMYFUNCTION("GOOGLETRANSLATE(C423, ""en"", ""hi"")"),"A) तलवार, B) गदा, C) भाला, D) खंजर")</f>
        <v>A) तलवार, B) गदा, C) भाला, D) खंजर</v>
      </c>
      <c r="I423" s="5" t="str">
        <f>IFERROR(__xludf.DUMMYFUNCTION("GOOGLETRANSLATE(D423, ""en"", ""hi"")"),"ए) तलवार")</f>
        <v>ए) तलवार</v>
      </c>
    </row>
    <row r="424" ht="22.5" customHeight="1">
      <c r="A424" s="2">
        <v>423.0</v>
      </c>
      <c r="B424" s="3" t="s">
        <v>14296</v>
      </c>
      <c r="C424" s="3" t="s">
        <v>14251</v>
      </c>
      <c r="D424" s="3" t="s">
        <v>14252</v>
      </c>
      <c r="F424" s="5" t="str">
        <f>IFERROR(__xludf.DUMMYFUNCTION("GOOGLETRANSLATE(A424, ""en"", ""hi"")"),"423")</f>
        <v>423</v>
      </c>
      <c r="G424" s="5" t="str">
        <f>IFERROR(__xludf.DUMMYFUNCTION("GOOGLETRANSLATE(B424, ""en"", ""hi"")"),"एक अभ्यासकर्ता कलारीपयट्टू तकनीक सीख रहा है जिसमें आक्रमण और बचाव दोनों के लिए एक लंबे हथियार के इस्तेमाल पर ज़ोर दिया जाता है। कौन सा अभ्यास सबसे ज़्यादा प्रासंगिक है?")</f>
        <v>एक अभ्यासकर्ता कलारीपयट्टू तकनीक सीख रहा है जिसमें आक्रमण और बचाव दोनों के लिए एक लंबे हथियार के इस्तेमाल पर ज़ोर दिया जाता है। कौन सा अभ्यास सबसे ज़्यादा प्रासंगिक है?</v>
      </c>
      <c r="H424" s="5" t="str">
        <f>IFERROR(__xludf.DUMMYFUNCTION("GOOGLETRANSLATE(C424, ""en"", ""hi"")"),"A) लॉन्ग स्टिक तकनीक, B) वर्मा, C) अदावस, D) उझिचिल")</f>
        <v>A) लॉन्ग स्टिक तकनीक, B) वर्मा, C) अदावस, D) उझिचिल</v>
      </c>
      <c r="I424" s="5" t="str">
        <f>IFERROR(__xludf.DUMMYFUNCTION("GOOGLETRANSLATE(D424, ""en"", ""hi"")"),"ए) लंबी छड़ी तकनीक")</f>
        <v>ए) लंबी छड़ी तकनीक</v>
      </c>
    </row>
    <row r="425" ht="22.5" customHeight="1">
      <c r="A425" s="2">
        <v>424.0</v>
      </c>
      <c r="B425" s="3" t="s">
        <v>14297</v>
      </c>
      <c r="C425" s="3" t="s">
        <v>14108</v>
      </c>
      <c r="D425" s="3" t="s">
        <v>13960</v>
      </c>
      <c r="F425" s="5" t="str">
        <f>IFERROR(__xludf.DUMMYFUNCTION("GOOGLETRANSLATE(A425, ""en"", ""hi"")"),"424")</f>
        <v>424</v>
      </c>
      <c r="G425" s="5" t="str">
        <f>IFERROR(__xludf.DUMMYFUNCTION("GOOGLETRANSLATE(B425, ""en"", ""hi"")"),"कलारीपयट्टू में, युद्ध में वृत्ताकार और प्रवाहमय आंदोलनों का उपयोग करने की कला में निपुणता प्राप्त करने के लिए कौन सी तकनीक आवश्यक है?")</f>
        <v>कलारीपयट्टू में, युद्ध में वृत्ताकार और प्रवाहमय आंदोलनों का उपयोग करने की कला में निपुणता प्राप्त करने के लिए कौन सी तकनीक आवश्यक है?</v>
      </c>
      <c r="H425" s="5" t="str">
        <f>IFERROR(__xludf.DUMMYFUNCTION("GOOGLETRANSLATE(C425, ""en"", ""hi"")"),"ए) वर्मा, बी) एडवस, सी) चुवाडु, डी) उझिचिल")</f>
        <v>ए) वर्मा, बी) एडवस, सी) चुवाडु, डी) उझिचिल</v>
      </c>
      <c r="I425" s="5" t="str">
        <f>IFERROR(__xludf.DUMMYFUNCTION("GOOGLETRANSLATE(D425, ""en"", ""hi"")"),"ए) वर्मा")</f>
        <v>ए) वर्मा</v>
      </c>
    </row>
    <row r="426" ht="22.5" customHeight="1">
      <c r="A426" s="2">
        <v>425.0</v>
      </c>
      <c r="B426" s="3" t="s">
        <v>14298</v>
      </c>
      <c r="C426" s="3" t="s">
        <v>14013</v>
      </c>
      <c r="D426" s="3" t="s">
        <v>13932</v>
      </c>
      <c r="F426" s="5" t="str">
        <f>IFERROR(__xludf.DUMMYFUNCTION("GOOGLETRANSLATE(A426, ""en"", ""hi"")"),"425")</f>
        <v>425</v>
      </c>
      <c r="G426" s="5" t="str">
        <f>IFERROR(__xludf.DUMMYFUNCTION("GOOGLETRANSLATE(B426, ""en"", ""hi"")"),"कलारीपयट्टू प्रशिक्षण के दौरान, किस अभ्यास में प्रतिद्वंद्वी को अशक्त करने के लिए विशिष्ट दबाव बिंदुओं का उपयोग शामिल है?")</f>
        <v>कलारीपयट्टू प्रशिक्षण के दौरान, किस अभ्यास में प्रतिद्वंद्वी को अशक्त करने के लिए विशिष्ट दबाव बिंदुओं का उपयोग शामिल है?</v>
      </c>
      <c r="H426" s="5" t="str">
        <f>IFERROR(__xludf.DUMMYFUNCTION("GOOGLETRANSLATE(C426, ""en"", ""hi"")"),"ए) मार्मा, बी) वर्मम, सी) एडवस, डी) उझिचिल")</f>
        <v>ए) मार्मा, बी) वर्मम, सी) एडवस, डी) उझिचिल</v>
      </c>
      <c r="I426" s="5" t="str">
        <f>IFERROR(__xludf.DUMMYFUNCTION("GOOGLETRANSLATE(D426, ""en"", ""hi"")"),"A) मर्म")</f>
        <v>A) मर्म</v>
      </c>
    </row>
    <row r="427" ht="22.5" customHeight="1">
      <c r="A427" s="2">
        <v>426.0</v>
      </c>
      <c r="B427" s="3" t="s">
        <v>14299</v>
      </c>
      <c r="C427" s="3" t="s">
        <v>14001</v>
      </c>
      <c r="D427" s="3" t="s">
        <v>14002</v>
      </c>
      <c r="F427" s="5" t="str">
        <f>IFERROR(__xludf.DUMMYFUNCTION("GOOGLETRANSLATE(A427, ""en"", ""hi"")"),"426")</f>
        <v>426</v>
      </c>
      <c r="G427" s="5" t="str">
        <f>IFERROR(__xludf.DUMMYFUNCTION("GOOGLETRANSLATE(B427, ""en"", ""hi"")"),"एक कलारीपयट्टू साधक शक्तिशाली प्रहार के लिए कुंद हथियार का उपयोग करने की तकनीक पर काम कर रहा है। वे कौन सा हथियार इस्तेमाल कर रहे हैं?")</f>
        <v>एक कलारीपयट्टू साधक शक्तिशाली प्रहार के लिए कुंद हथियार का उपयोग करने की तकनीक पर काम कर रहा है। वे कौन सा हथियार इस्तेमाल कर रहे हैं?</v>
      </c>
      <c r="H427" s="5" t="str">
        <f>IFERROR(__xludf.DUMMYFUNCTION("GOOGLETRANSLATE(C427, ""en"", ""hi"")"),"A) गदा, B) तलवार, C) भाला, D) खंजर")</f>
        <v>A) गदा, B) तलवार, C) भाला, D) खंजर</v>
      </c>
      <c r="I427" s="5" t="str">
        <f>IFERROR(__xludf.DUMMYFUNCTION("GOOGLETRANSLATE(D427, ""en"", ""hi"")"),"ए) गदा")</f>
        <v>ए) गदा</v>
      </c>
    </row>
    <row r="428" ht="22.5" customHeight="1">
      <c r="A428" s="2">
        <v>427.0</v>
      </c>
      <c r="B428" s="3" t="s">
        <v>14300</v>
      </c>
      <c r="C428" s="3" t="s">
        <v>14016</v>
      </c>
      <c r="D428" s="3" t="s">
        <v>13684</v>
      </c>
      <c r="F428" s="5" t="str">
        <f>IFERROR(__xludf.DUMMYFUNCTION("GOOGLETRANSLATE(A428, ""en"", ""hi"")"),"427")</f>
        <v>427</v>
      </c>
      <c r="G428" s="5" t="str">
        <f>IFERROR(__xludf.DUMMYFUNCTION("GOOGLETRANSLATE(B428, ""en"", ""hi"")"),"कलारीपयट्टू में, कौन सा अभ्यास शरीर की कंडीशनिंग और समग्र शारीरिक सहनशक्ति में सुधार पर केंद्रित है?")</f>
        <v>कलारीपयट्टू में, कौन सा अभ्यास शरीर की कंडीशनिंग और समग्र शारीरिक सहनशक्ति में सुधार पर केंद्रित है?</v>
      </c>
      <c r="H428" s="5" t="str">
        <f>IFERROR(__xludf.DUMMYFUNCTION("GOOGLETRANSLATE(C428, ""en"", ""hi"")"),"ए) उझिचिल, बी) एडवस, सी) वर्मा, डी) चुवाडु")</f>
        <v>ए) उझिचिल, बी) एडवस, सी) वर्मा, डी) चुवाडु</v>
      </c>
      <c r="I428" s="5" t="str">
        <f>IFERROR(__xludf.DUMMYFUNCTION("GOOGLETRANSLATE(D428, ""en"", ""hi"")"),"A) उझिचिल")</f>
        <v>A) उझिचिल</v>
      </c>
    </row>
    <row r="429" ht="22.5" customHeight="1">
      <c r="A429" s="2">
        <v>428.0</v>
      </c>
      <c r="B429" s="3" t="s">
        <v>14301</v>
      </c>
      <c r="C429" s="3" t="s">
        <v>13809</v>
      </c>
      <c r="D429" s="3" t="s">
        <v>13675</v>
      </c>
      <c r="F429" s="5" t="str">
        <f>IFERROR(__xludf.DUMMYFUNCTION("GOOGLETRANSLATE(A429, ""en"", ""hi"")"),"428")</f>
        <v>428</v>
      </c>
      <c r="G429" s="5" t="str">
        <f>IFERROR(__xludf.DUMMYFUNCTION("GOOGLETRANSLATE(B429, ""en"", ""hi"")"),"कलारीपयट्टू प्रशिक्षण के दौरान, युद्ध में अपनी चपलता और सजगता को बढ़ाने के लिए आपको किस तकनीक पर ध्यान केंद्रित करना चाहिए?")</f>
        <v>कलारीपयट्टू प्रशिक्षण के दौरान, युद्ध में अपनी चपलता और सजगता को बढ़ाने के लिए आपको किस तकनीक पर ध्यान केंद्रित करना चाहिए?</v>
      </c>
      <c r="H429" s="5" t="str">
        <f>IFERROR(__xludf.DUMMYFUNCTION("GOOGLETRANSLATE(C429, ""en"", ""hi"")"),"ए) चुवडु, बी) वर्मम, सी) एडवस, डी) उझिचिल")</f>
        <v>ए) चुवडु, बी) वर्मम, सी) एडवस, डी) उझिचिल</v>
      </c>
      <c r="I429" s="5" t="str">
        <f>IFERROR(__xludf.DUMMYFUNCTION("GOOGLETRANSLATE(D429, ""en"", ""hi"")"),"A) चुवाडु")</f>
        <v>A) चुवाडु</v>
      </c>
    </row>
    <row r="430" ht="22.5" customHeight="1">
      <c r="A430" s="2">
        <v>429.0</v>
      </c>
      <c r="B430" s="3" t="s">
        <v>14302</v>
      </c>
      <c r="C430" s="3" t="s">
        <v>14251</v>
      </c>
      <c r="D430" s="3" t="s">
        <v>14252</v>
      </c>
      <c r="F430" s="5" t="str">
        <f>IFERROR(__xludf.DUMMYFUNCTION("GOOGLETRANSLATE(A430, ""en"", ""hi"")"),"429")</f>
        <v>429</v>
      </c>
      <c r="G430" s="5" t="str">
        <f>IFERROR(__xludf.DUMMYFUNCTION("GOOGLETRANSLATE(B430, ""en"", ""hi"")"),"कलारीपयट्टू में, किस तकनीक में प्रभावी आक्रामक और रक्षात्मक युद्धाभ्यास के लिए एक लंबे हथियार का उपयोग शामिल है?")</f>
        <v>कलारीपयट्टू में, किस तकनीक में प्रभावी आक्रामक और रक्षात्मक युद्धाभ्यास के लिए एक लंबे हथियार का उपयोग शामिल है?</v>
      </c>
      <c r="H430" s="5" t="str">
        <f>IFERROR(__xludf.DUMMYFUNCTION("GOOGLETRANSLATE(C430, ""en"", ""hi"")"),"A) लॉन्ग स्टिक तकनीक, B) वर्मा, C) अदावस, D) उझिचिल")</f>
        <v>A) लॉन्ग स्टिक तकनीक, B) वर्मा, C) अदावस, D) उझिचिल</v>
      </c>
      <c r="I430" s="5" t="str">
        <f>IFERROR(__xludf.DUMMYFUNCTION("GOOGLETRANSLATE(D430, ""en"", ""hi"")"),"ए) लंबी छड़ी तकनीक")</f>
        <v>ए) लंबी छड़ी तकनीक</v>
      </c>
    </row>
    <row r="431" ht="22.5" customHeight="1">
      <c r="A431" s="2">
        <v>430.0</v>
      </c>
      <c r="B431" s="3" t="s">
        <v>14303</v>
      </c>
      <c r="C431" s="3" t="s">
        <v>13978</v>
      </c>
      <c r="D431" s="3" t="s">
        <v>13678</v>
      </c>
      <c r="F431" s="5" t="str">
        <f>IFERROR(__xludf.DUMMYFUNCTION("GOOGLETRANSLATE(A431, ""en"", ""hi"")"),"430")</f>
        <v>430</v>
      </c>
      <c r="G431" s="5" t="str">
        <f>IFERROR(__xludf.DUMMYFUNCTION("GOOGLETRANSLATE(B431, ""en"", ""hi"")"),"एक कलारीपयट्टू अभ्यासी अपनी सटीकता और हथियार प्रहार की गति को बेहतर बनाने की तकनीकों पर ध्यान केंद्रित कर रहा है। उन्हें किस अभ्यास को प्राथमिकता देनी चाहिए?")</f>
        <v>एक कलारीपयट्टू अभ्यासी अपनी सटीकता और हथियार प्रहार की गति को बेहतर बनाने की तकनीकों पर ध्यान केंद्रित कर रहा है। उन्हें किस अभ्यास को प्राथमिकता देनी चाहिए?</v>
      </c>
      <c r="H431" s="5" t="str">
        <f>IFERROR(__xludf.DUMMYFUNCTION("GOOGLETRANSLATE(C431, ""en"", ""hi"")"),"ए) वर्मम, बी) एडवस, सी) चुवाडु, डी) उझिचिल")</f>
        <v>ए) वर्मम, बी) एडवस, सी) चुवाडु, डी) उझिचिल</v>
      </c>
      <c r="I431" s="5" t="str">
        <f>IFERROR(__xludf.DUMMYFUNCTION("GOOGLETRANSLATE(D431, ""en"", ""hi"")"),"ए) वर्माम")</f>
        <v>ए) वर्माम</v>
      </c>
    </row>
    <row r="432" ht="22.5" customHeight="1">
      <c r="A432" s="2">
        <v>431.0</v>
      </c>
      <c r="B432" s="3" t="s">
        <v>14304</v>
      </c>
      <c r="C432" s="3" t="s">
        <v>13713</v>
      </c>
      <c r="D432" s="3" t="s">
        <v>13714</v>
      </c>
      <c r="F432" s="5" t="str">
        <f>IFERROR(__xludf.DUMMYFUNCTION("GOOGLETRANSLATE(A432, ""en"", ""hi"")"),"431")</f>
        <v>431</v>
      </c>
      <c r="G432" s="5" t="str">
        <f>IFERROR(__xludf.DUMMYFUNCTION("GOOGLETRANSLATE(B432, ""en"", ""hi"")"),"कलारीपयट्टू में, तीव्र और सटीक वार करने की तकनीक के लिए कौन सा हथियार सबसे उपयुक्त है?")</f>
        <v>कलारीपयट्टू में, तीव्र और सटीक वार करने की तकनीक के लिए कौन सा हथियार सबसे उपयुक्त है?</v>
      </c>
      <c r="H432" s="5" t="str">
        <f>IFERROR(__xludf.DUMMYFUNCTION("GOOGLETRANSLATE(C432, ""en"", ""hi"")"),"A) तलवार, B) गदा, C) भाला, D) खंजर")</f>
        <v>A) तलवार, B) गदा, C) भाला, D) खंजर</v>
      </c>
      <c r="I432" s="5" t="str">
        <f>IFERROR(__xludf.DUMMYFUNCTION("GOOGLETRANSLATE(D432, ""en"", ""hi"")"),"ए) तलवार")</f>
        <v>ए) तलवार</v>
      </c>
    </row>
    <row r="433" ht="22.5" customHeight="1">
      <c r="A433" s="2">
        <v>432.0</v>
      </c>
      <c r="B433" s="3" t="s">
        <v>14305</v>
      </c>
      <c r="C433" s="3" t="s">
        <v>13809</v>
      </c>
      <c r="D433" s="3" t="s">
        <v>13675</v>
      </c>
      <c r="F433" s="5" t="str">
        <f>IFERROR(__xludf.DUMMYFUNCTION("GOOGLETRANSLATE(A433, ""en"", ""hi"")"),"432")</f>
        <v>432</v>
      </c>
      <c r="G433" s="5" t="str">
        <f>IFERROR(__xludf.DUMMYFUNCTION("GOOGLETRANSLATE(B433, ""en"", ""hi"")"),"कलारीपयट्टू प्रशिक्षण के दौरान, कौन सा अभ्यास फुटवर्क और रक्षात्मक क्षमताओं को बढ़ाने पर केंद्रित है?")</f>
        <v>कलारीपयट्टू प्रशिक्षण के दौरान, कौन सा अभ्यास फुटवर्क और रक्षात्मक क्षमताओं को बढ़ाने पर केंद्रित है?</v>
      </c>
      <c r="H433" s="5" t="str">
        <f>IFERROR(__xludf.DUMMYFUNCTION("GOOGLETRANSLATE(C433, ""en"", ""hi"")"),"ए) चुवडु, बी) वर्मम, सी) एडवस, डी) उझिचिल")</f>
        <v>ए) चुवडु, बी) वर्मम, सी) एडवस, डी) उझिचिल</v>
      </c>
      <c r="I433" s="5" t="str">
        <f>IFERROR(__xludf.DUMMYFUNCTION("GOOGLETRANSLATE(D433, ""en"", ""hi"")"),"A) चुवाडु")</f>
        <v>A) चुवाडु</v>
      </c>
    </row>
    <row r="434" ht="22.5" customHeight="1">
      <c r="A434" s="2">
        <v>433.0</v>
      </c>
      <c r="B434" s="3" t="s">
        <v>14306</v>
      </c>
      <c r="C434" s="3" t="s">
        <v>14242</v>
      </c>
      <c r="D434" s="3" t="s">
        <v>14243</v>
      </c>
      <c r="F434" s="5" t="str">
        <f>IFERROR(__xludf.DUMMYFUNCTION("GOOGLETRANSLATE(A434, ""en"", ""hi"")"),"433")</f>
        <v>433</v>
      </c>
      <c r="G434" s="5" t="str">
        <f>IFERROR(__xludf.DUMMYFUNCTION("GOOGLETRANSLATE(B434, ""en"", ""hi"")"),"कलारीपयट्टू में, नजदीकी युद्ध परिदृश्यों में खंजर के उपयोग में निपुणता प्राप्त करने के लिए आपको किस अभ्यास पर जोर देना चाहिए?")</f>
        <v>कलारीपयट्टू में, नजदीकी युद्ध परिदृश्यों में खंजर के उपयोग में निपुणता प्राप्त करने के लिए आपको किस अभ्यास पर जोर देना चाहिए?</v>
      </c>
      <c r="H434" s="5" t="str">
        <f>IFERROR(__xludf.DUMMYFUNCTION("GOOGLETRANSLATE(C434, ""en"", ""hi"")"),"ए) डैगर तकनीक, बी) वर्मा, सी) एडवस, डी) उझिचिल")</f>
        <v>ए) डैगर तकनीक, बी) वर्मा, सी) एडवस, डी) उझिचिल</v>
      </c>
      <c r="I434" s="5" t="str">
        <f>IFERROR(__xludf.DUMMYFUNCTION("GOOGLETRANSLATE(D434, ""en"", ""hi"")"),"ए) खंजर तकनीक")</f>
        <v>ए) खंजर तकनीक</v>
      </c>
    </row>
    <row r="435" ht="22.5" customHeight="1">
      <c r="A435" s="2">
        <v>434.0</v>
      </c>
      <c r="B435" s="3" t="s">
        <v>14307</v>
      </c>
      <c r="C435" s="3" t="s">
        <v>14016</v>
      </c>
      <c r="D435" s="3" t="s">
        <v>13684</v>
      </c>
      <c r="F435" s="5" t="str">
        <f>IFERROR(__xludf.DUMMYFUNCTION("GOOGLETRANSLATE(A435, ""en"", ""hi"")"),"434")</f>
        <v>434</v>
      </c>
      <c r="G435" s="5" t="str">
        <f>IFERROR(__xludf.DUMMYFUNCTION("GOOGLETRANSLATE(B435, ""en"", ""hi"")"),"एक कलारीपयट्टू अभ्यासी समग्र शारीरिक शक्ति और कंडीशनिंग विकसित करने की तकनीकों पर ध्यान केंद्रित करता है। उन्हें किस अभ्यास पर ध्यान केंद्रित करना चाहिए?")</f>
        <v>एक कलारीपयट्टू अभ्यासी समग्र शारीरिक शक्ति और कंडीशनिंग विकसित करने की तकनीकों पर ध्यान केंद्रित करता है। उन्हें किस अभ्यास पर ध्यान केंद्रित करना चाहिए?</v>
      </c>
      <c r="H435" s="5" t="str">
        <f>IFERROR(__xludf.DUMMYFUNCTION("GOOGLETRANSLATE(C435, ""en"", ""hi"")"),"ए) उझिचिल, बी) एडवस, सी) वर्मा, डी) चुवाडु")</f>
        <v>ए) उझिचिल, बी) एडवस, सी) वर्मा, डी) चुवाडु</v>
      </c>
      <c r="I435" s="5" t="str">
        <f>IFERROR(__xludf.DUMMYFUNCTION("GOOGLETRANSLATE(D435, ""en"", ""hi"")"),"A) उझिचिल")</f>
        <v>A) उझिचिल</v>
      </c>
    </row>
    <row r="436" ht="22.5" customHeight="1">
      <c r="A436" s="2">
        <v>435.0</v>
      </c>
      <c r="B436" s="3" t="s">
        <v>14308</v>
      </c>
      <c r="C436" s="3" t="s">
        <v>14251</v>
      </c>
      <c r="D436" s="3" t="s">
        <v>14252</v>
      </c>
      <c r="F436" s="5" t="str">
        <f>IFERROR(__xludf.DUMMYFUNCTION("GOOGLETRANSLATE(A436, ""en"", ""hi"")"),"435")</f>
        <v>435</v>
      </c>
      <c r="G436" s="5" t="str">
        <f>IFERROR(__xludf.DUMMYFUNCTION("GOOGLETRANSLATE(B436, ""en"", ""hi"")"),"कलारीपयट्टू प्रशिक्षण के दौरान, किस तकनीक में शक्तिशाली हमलों और रक्षात्मक चालों को निष्पादित करने के लिए एक लंबे हथियार का उपयोग शामिल है?")</f>
        <v>कलारीपयट्टू प्रशिक्षण के दौरान, किस तकनीक में शक्तिशाली हमलों और रक्षात्मक चालों को निष्पादित करने के लिए एक लंबे हथियार का उपयोग शामिल है?</v>
      </c>
      <c r="H436" s="5" t="str">
        <f>IFERROR(__xludf.DUMMYFUNCTION("GOOGLETRANSLATE(C436, ""en"", ""hi"")"),"A) लॉन्ग स्टिक तकनीक, B) वर्मा, C) अदावस, D) उझिचिल")</f>
        <v>A) लॉन्ग स्टिक तकनीक, B) वर्मा, C) अदावस, D) उझिचिल</v>
      </c>
      <c r="I436" s="5" t="str">
        <f>IFERROR(__xludf.DUMMYFUNCTION("GOOGLETRANSLATE(D436, ""en"", ""hi"")"),"ए) लंबी छड़ी तकनीक")</f>
        <v>ए) लंबी छड़ी तकनीक</v>
      </c>
    </row>
    <row r="437" ht="22.5" customHeight="1">
      <c r="A437" s="2">
        <v>436.0</v>
      </c>
      <c r="B437" s="3" t="s">
        <v>14309</v>
      </c>
      <c r="C437" s="3" t="s">
        <v>13798</v>
      </c>
      <c r="D437" s="3" t="s">
        <v>13740</v>
      </c>
      <c r="F437" s="5" t="str">
        <f>IFERROR(__xludf.DUMMYFUNCTION("GOOGLETRANSLATE(A437, ""en"", ""hi"")"),"436")</f>
        <v>436</v>
      </c>
      <c r="G437" s="5" t="str">
        <f>IFERROR(__xludf.DUMMYFUNCTION("GOOGLETRANSLATE(B437, ""en"", ""hi"")"),"कलारीपयट्टू में, हथियार के प्रहार की गति और प्रभावशीलता में सुधार के लिए कौन सा अभ्यास महत्वपूर्ण है?")</f>
        <v>कलारीपयट्टू में, हथियार के प्रहार की गति और प्रभावशीलता में सुधार के लिए कौन सा अभ्यास महत्वपूर्ण है?</v>
      </c>
      <c r="H437" s="5" t="str">
        <f>IFERROR(__xludf.DUMMYFUNCTION("GOOGLETRANSLATE(C437, ""en"", ""hi"")"),"ए) एडवस, बी) वर्मा, सी) चुवाडु, डी) उझिचिल")</f>
        <v>ए) एडवस, बी) वर्मा, सी) चुवाडु, डी) उझिचिल</v>
      </c>
      <c r="I437" s="5" t="str">
        <f>IFERROR(__xludf.DUMMYFUNCTION("GOOGLETRANSLATE(D437, ""en"", ""hi"")"),"ए) एडवस")</f>
        <v>ए) एडवस</v>
      </c>
    </row>
    <row r="438" ht="22.5" customHeight="1">
      <c r="A438" s="2">
        <v>437.0</v>
      </c>
      <c r="B438" s="3" t="s">
        <v>14310</v>
      </c>
      <c r="C438" s="3" t="s">
        <v>13978</v>
      </c>
      <c r="D438" s="3" t="s">
        <v>13678</v>
      </c>
      <c r="F438" s="5" t="str">
        <f>IFERROR(__xludf.DUMMYFUNCTION("GOOGLETRANSLATE(A438, ""en"", ""hi"")"),"437")</f>
        <v>437</v>
      </c>
      <c r="G438" s="5" t="str">
        <f>IFERROR(__xludf.DUMMYFUNCTION("GOOGLETRANSLATE(B438, ""en"", ""hi"")"),"एक कलारीपयट्टू साधक सटीकता और शक्ति से प्रहार करने की तकनीकों पर काम कर रहा है। वे सबसे ज़्यादा किस अभ्यास में लगे हुए हैं?")</f>
        <v>एक कलारीपयट्टू साधक सटीकता और शक्ति से प्रहार करने की तकनीकों पर काम कर रहा है। वे सबसे ज़्यादा किस अभ्यास में लगे हुए हैं?</v>
      </c>
      <c r="H438" s="5" t="str">
        <f>IFERROR(__xludf.DUMMYFUNCTION("GOOGLETRANSLATE(C438, ""en"", ""hi"")"),"ए) वर्मम, बी) एडवस, सी) चुवाडु, डी) उझिचिल")</f>
        <v>ए) वर्मम, बी) एडवस, सी) चुवाडु, डी) उझिचिल</v>
      </c>
      <c r="I438" s="5" t="str">
        <f>IFERROR(__xludf.DUMMYFUNCTION("GOOGLETRANSLATE(D438, ""en"", ""hi"")"),"ए) वर्माम")</f>
        <v>ए) वर्माम</v>
      </c>
    </row>
    <row r="439" ht="22.5" customHeight="1">
      <c r="A439" s="2">
        <v>438.0</v>
      </c>
      <c r="B439" s="3" t="s">
        <v>14311</v>
      </c>
      <c r="C439" s="3" t="s">
        <v>13713</v>
      </c>
      <c r="D439" s="3" t="s">
        <v>13714</v>
      </c>
      <c r="F439" s="5" t="str">
        <f>IFERROR(__xludf.DUMMYFUNCTION("GOOGLETRANSLATE(A439, ""en"", ""hi"")"),"438")</f>
        <v>438</v>
      </c>
      <c r="G439" s="5" t="str">
        <f>IFERROR(__xludf.DUMMYFUNCTION("GOOGLETRANSLATE(B439, ""en"", ""hi"")"),"कलारीपयट्टू में, त्वरित और सटीक कट और वार करने की तकनीक के लिए किस हथियार का उपयोग किया जाता है?")</f>
        <v>कलारीपयट्टू में, त्वरित और सटीक कट और वार करने की तकनीक के लिए किस हथियार का उपयोग किया जाता है?</v>
      </c>
      <c r="H439" s="5" t="str">
        <f>IFERROR(__xludf.DUMMYFUNCTION("GOOGLETRANSLATE(C439, ""en"", ""hi"")"),"A) तलवार, B) गदा, C) भाला, D) खंजर")</f>
        <v>A) तलवार, B) गदा, C) भाला, D) खंजर</v>
      </c>
      <c r="I439" s="5" t="str">
        <f>IFERROR(__xludf.DUMMYFUNCTION("GOOGLETRANSLATE(D439, ""en"", ""hi"")"),"ए) तलवार")</f>
        <v>ए) तलवार</v>
      </c>
    </row>
    <row r="440" ht="22.5" customHeight="1">
      <c r="A440" s="2">
        <v>439.0</v>
      </c>
      <c r="B440" s="3" t="s">
        <v>14312</v>
      </c>
      <c r="C440" s="3" t="s">
        <v>13809</v>
      </c>
      <c r="D440" s="3" t="s">
        <v>13675</v>
      </c>
      <c r="F440" s="5" t="str">
        <f>IFERROR(__xludf.DUMMYFUNCTION("GOOGLETRANSLATE(A440, ""en"", ""hi"")"),"439")</f>
        <v>439</v>
      </c>
      <c r="G440" s="5" t="str">
        <f>IFERROR(__xludf.DUMMYFUNCTION("GOOGLETRANSLATE(B440, ""en"", ""hi"")"),"कलारीपयट्टू प्रशिक्षण के दौरान, कौन सा अभ्यास अभ्यासकर्ता की हमलों से बचने और उनका मुकाबला करने की क्षमता को बढ़ाने पर केंद्रित है?")</f>
        <v>कलारीपयट्टू प्रशिक्षण के दौरान, कौन सा अभ्यास अभ्यासकर्ता की हमलों से बचने और उनका मुकाबला करने की क्षमता को बढ़ाने पर केंद्रित है?</v>
      </c>
      <c r="H440" s="5" t="str">
        <f>IFERROR(__xludf.DUMMYFUNCTION("GOOGLETRANSLATE(C440, ""en"", ""hi"")"),"ए) चुवडु, बी) वर्मम, सी) एडवस, डी) उझिचिल")</f>
        <v>ए) चुवडु, बी) वर्मम, सी) एडवस, डी) उझिचिल</v>
      </c>
      <c r="I440" s="5" t="str">
        <f>IFERROR(__xludf.DUMMYFUNCTION("GOOGLETRANSLATE(D440, ""en"", ""hi"")"),"A) चुवाडु")</f>
        <v>A) चुवाडु</v>
      </c>
    </row>
    <row r="441" ht="22.5" customHeight="1">
      <c r="A441" s="2">
        <v>440.0</v>
      </c>
      <c r="B441" s="3" t="s">
        <v>14313</v>
      </c>
      <c r="C441" s="3" t="s">
        <v>14242</v>
      </c>
      <c r="D441" s="3" t="s">
        <v>14243</v>
      </c>
      <c r="F441" s="5" t="str">
        <f>IFERROR(__xludf.DUMMYFUNCTION("GOOGLETRANSLATE(A441, ""en"", ""hi"")"),"440")</f>
        <v>440</v>
      </c>
      <c r="G441" s="5" t="str">
        <f>IFERROR(__xludf.DUMMYFUNCTION("GOOGLETRANSLATE(B441, ""en"", ""hi"")"),"कलारीपयट्टू में, किस तकनीक में निकट-सीमा युद्ध के लिए खंजर का उपयोग शामिल है?")</f>
        <v>कलारीपयट्टू में, किस तकनीक में निकट-सीमा युद्ध के लिए खंजर का उपयोग शामिल है?</v>
      </c>
      <c r="H441" s="5" t="str">
        <f>IFERROR(__xludf.DUMMYFUNCTION("GOOGLETRANSLATE(C441, ""en"", ""hi"")"),"ए) डैगर तकनीक, बी) वर्मा, सी) एडवस, डी) उझिचिल")</f>
        <v>ए) डैगर तकनीक, बी) वर्मा, सी) एडवस, डी) उझिचिल</v>
      </c>
      <c r="I441" s="5" t="str">
        <f>IFERROR(__xludf.DUMMYFUNCTION("GOOGLETRANSLATE(D441, ""en"", ""hi"")"),"ए) खंजर तकनीक")</f>
        <v>ए) खंजर तकनीक</v>
      </c>
    </row>
    <row r="442" ht="22.5" customHeight="1">
      <c r="A442" s="2">
        <v>441.0</v>
      </c>
      <c r="B442" s="3" t="s">
        <v>14314</v>
      </c>
      <c r="C442" s="3" t="s">
        <v>14016</v>
      </c>
      <c r="D442" s="3" t="s">
        <v>13684</v>
      </c>
      <c r="F442" s="5" t="str">
        <f>IFERROR(__xludf.DUMMYFUNCTION("GOOGLETRANSLATE(A442, ""en"", ""hi"")"),"441")</f>
        <v>441</v>
      </c>
      <c r="G442" s="5" t="str">
        <f>IFERROR(__xludf.DUMMYFUNCTION("GOOGLETRANSLATE(B442, ""en"", ""hi"")"),"एक कलारीपयट्टू अभ्यासी समग्र शारीरिक कंडीशनिंग और शक्ति पर ध्यान केंद्रित करता है। उन्हें किस अभ्यास पर ज़ोर देना चाहिए?")</f>
        <v>एक कलारीपयट्टू अभ्यासी समग्र शारीरिक कंडीशनिंग और शक्ति पर ध्यान केंद्रित करता है। उन्हें किस अभ्यास पर ज़ोर देना चाहिए?</v>
      </c>
      <c r="H442" s="5" t="str">
        <f>IFERROR(__xludf.DUMMYFUNCTION("GOOGLETRANSLATE(C442, ""en"", ""hi"")"),"ए) उझिचिल, बी) एडवस, सी) वर्मा, डी) चुवाडु")</f>
        <v>ए) उझिचिल, बी) एडवस, सी) वर्मा, डी) चुवाडु</v>
      </c>
      <c r="I442" s="5" t="str">
        <f>IFERROR(__xludf.DUMMYFUNCTION("GOOGLETRANSLATE(D442, ""en"", ""hi"")"),"A) उझिचिल")</f>
        <v>A) उझिचिल</v>
      </c>
    </row>
    <row r="443" ht="22.5" customHeight="1">
      <c r="A443" s="2">
        <v>442.0</v>
      </c>
      <c r="B443" s="3" t="s">
        <v>14315</v>
      </c>
      <c r="C443" s="3" t="s">
        <v>14108</v>
      </c>
      <c r="D443" s="3" t="s">
        <v>13960</v>
      </c>
      <c r="F443" s="5" t="str">
        <f>IFERROR(__xludf.DUMMYFUNCTION("GOOGLETRANSLATE(A443, ""en"", ""hi"")"),"442")</f>
        <v>442</v>
      </c>
      <c r="G443" s="5" t="str">
        <f>IFERROR(__xludf.DUMMYFUNCTION("GOOGLETRANSLATE(B443, ""en"", ""hi"")"),"कलारीपयट्टू प्रशिक्षण के दौरान, प्रभावी युद्ध के लिए वृत्ताकार और प्रवाहमयी गतियों का उपयोग किस तकनीक में किया जाता है?")</f>
        <v>कलारीपयट्टू प्रशिक्षण के दौरान, प्रभावी युद्ध के लिए वृत्ताकार और प्रवाहमयी गतियों का उपयोग किस तकनीक में किया जाता है?</v>
      </c>
      <c r="H443" s="5" t="str">
        <f>IFERROR(__xludf.DUMMYFUNCTION("GOOGLETRANSLATE(C443, ""en"", ""hi"")"),"ए) वर्मा, बी) एडवस, सी) चुवाडु, डी) उझिचिल")</f>
        <v>ए) वर्मा, बी) एडवस, सी) चुवाडु, डी) उझिचिल</v>
      </c>
      <c r="I443" s="5" t="str">
        <f>IFERROR(__xludf.DUMMYFUNCTION("GOOGLETRANSLATE(D443, ""en"", ""hi"")"),"ए) वर्मा")</f>
        <v>ए) वर्मा</v>
      </c>
    </row>
    <row r="444" ht="22.5" customHeight="1">
      <c r="A444" s="2">
        <v>443.0</v>
      </c>
      <c r="B444" s="3" t="s">
        <v>14183</v>
      </c>
      <c r="C444" s="3" t="s">
        <v>14013</v>
      </c>
      <c r="D444" s="3" t="s">
        <v>13932</v>
      </c>
      <c r="F444" s="5" t="str">
        <f>IFERROR(__xludf.DUMMYFUNCTION("GOOGLETRANSLATE(A444, ""en"", ""hi"")"),"443")</f>
        <v>443</v>
      </c>
      <c r="G444" s="5" t="str">
        <f>IFERROR(__xludf.DUMMYFUNCTION("GOOGLETRANSLATE(B444, ""en"", ""hi"")"),"कलारीपयट्टू में कौन सी तकनीक प्रतिद्वंद्वी को अशक्त करने के लिए विशिष्ट दबाव बिंदुओं का उपयोग करने पर केंद्रित है?")</f>
        <v>कलारीपयट्टू में कौन सी तकनीक प्रतिद्वंद्वी को अशक्त करने के लिए विशिष्ट दबाव बिंदुओं का उपयोग करने पर केंद्रित है?</v>
      </c>
      <c r="H444" s="5" t="str">
        <f>IFERROR(__xludf.DUMMYFUNCTION("GOOGLETRANSLATE(C444, ""en"", ""hi"")"),"ए) मार्मा, बी) वर्मम, सी) एडवस, डी) उझिचिल")</f>
        <v>ए) मार्मा, बी) वर्मम, सी) एडवस, डी) उझिचिल</v>
      </c>
      <c r="I444" s="5" t="str">
        <f>IFERROR(__xludf.DUMMYFUNCTION("GOOGLETRANSLATE(D444, ""en"", ""hi"")"),"A) मर्म")</f>
        <v>A) मर्म</v>
      </c>
    </row>
    <row r="445" ht="22.5" customHeight="1">
      <c r="A445" s="2">
        <v>444.0</v>
      </c>
      <c r="B445" s="3" t="s">
        <v>14316</v>
      </c>
      <c r="C445" s="3" t="s">
        <v>14282</v>
      </c>
      <c r="D445" s="3" t="s">
        <v>14283</v>
      </c>
      <c r="F445" s="5" t="str">
        <f>IFERROR(__xludf.DUMMYFUNCTION("GOOGLETRANSLATE(A445, ""en"", ""hi"")"),"444")</f>
        <v>444</v>
      </c>
      <c r="G445" s="5" t="str">
        <f>IFERROR(__xludf.DUMMYFUNCTION("GOOGLETRANSLATE(B445, ""en"", ""hi"")"),"एक कलारीपयट्टू अभ्यासी गदा को प्रभावी ढंग से चलाने की तकनीक सीख रहा है। वे कौन-सा अभ्यास कर रहे हैं?")</f>
        <v>एक कलारीपयट्टू अभ्यासी गदा को प्रभावी ढंग से चलाने की तकनीक सीख रहा है। वे कौन-सा अभ्यास कर रहे हैं?</v>
      </c>
      <c r="H445" s="5" t="str">
        <f>IFERROR(__xludf.DUMMYFUNCTION("GOOGLETRANSLATE(C445, ""en"", ""hi"")"),"ए) गदा तकनीक, बी) वर्मा, सी) एडवस, डी) उझिचिल")</f>
        <v>ए) गदा तकनीक, बी) वर्मा, सी) एडवस, डी) उझिचिल</v>
      </c>
      <c r="I445" s="5" t="str">
        <f>IFERROR(__xludf.DUMMYFUNCTION("GOOGLETRANSLATE(D445, ""en"", ""hi"")"),"ए) गदा तकनीक")</f>
        <v>ए) गदा तकनीक</v>
      </c>
    </row>
    <row r="446" ht="22.5" customHeight="1">
      <c r="A446" s="2">
        <v>445.0</v>
      </c>
      <c r="B446" s="3" t="s">
        <v>14317</v>
      </c>
      <c r="C446" s="3" t="s">
        <v>14285</v>
      </c>
      <c r="D446" s="3" t="s">
        <v>14286</v>
      </c>
      <c r="F446" s="5" t="str">
        <f>IFERROR(__xludf.DUMMYFUNCTION("GOOGLETRANSLATE(A446, ""en"", ""hi"")"),"445")</f>
        <v>445</v>
      </c>
      <c r="G446" s="5" t="str">
        <f>IFERROR(__xludf.DUMMYFUNCTION("GOOGLETRANSLATE(B446, ""en"", ""hi"")"),"कलारीपयट्टू में तलवार से सटीक प्रहार और रक्षात्मक तकनीक में निपुणता प्राप्त करने के लिए कौन सा अभ्यास आवश्यक है?")</f>
        <v>कलारीपयट्टू में तलवार से सटीक प्रहार और रक्षात्मक तकनीक में निपुणता प्राप्त करने के लिए कौन सा अभ्यास आवश्यक है?</v>
      </c>
      <c r="H446" s="5" t="str">
        <f>IFERROR(__xludf.DUMMYFUNCTION("GOOGLETRANSLATE(C446, ""en"", ""hi"")"),"ए) तलवार तकनीक, बी) वर्मा, सी) एडवस, डी) उझिचिल")</f>
        <v>ए) तलवार तकनीक, बी) वर्मा, सी) एडवस, डी) उझिचिल</v>
      </c>
      <c r="I446" s="5" t="str">
        <f>IFERROR(__xludf.DUMMYFUNCTION("GOOGLETRANSLATE(D446, ""en"", ""hi"")"),"A) तलवार तकनीक")</f>
        <v>A) तलवार तकनीक</v>
      </c>
    </row>
    <row r="447" ht="22.5" customHeight="1">
      <c r="A447" s="2">
        <v>446.0</v>
      </c>
      <c r="B447" s="3" t="s">
        <v>14318</v>
      </c>
      <c r="C447" s="3" t="s">
        <v>13814</v>
      </c>
      <c r="D447" s="3" t="s">
        <v>13740</v>
      </c>
      <c r="F447" s="5" t="str">
        <f>IFERROR(__xludf.DUMMYFUNCTION("GOOGLETRANSLATE(A447, ""en"", ""hi"")"),"446")</f>
        <v>446</v>
      </c>
      <c r="G447" s="5" t="str">
        <f>IFERROR(__xludf.DUMMYFUNCTION("GOOGLETRANSLATE(B447, ""en"", ""hi"")"),"कलारीपयट्टू प्रशिक्षण के दौरान, कौन सा अभ्यास समग्र युद्ध रणनीति और अनुकूलन क्षमता में सुधार पर केंद्रित है?")</f>
        <v>कलारीपयट्टू प्रशिक्षण के दौरान, कौन सा अभ्यास समग्र युद्ध रणनीति और अनुकूलन क्षमता में सुधार पर केंद्रित है?</v>
      </c>
      <c r="H447" s="5" t="str">
        <f>IFERROR(__xludf.DUMMYFUNCTION("GOOGLETRANSLATE(C447, ""en"", ""hi"")"),"ए) एडवस, बी) चुवाडु, सी) वर्मा, डी) उझिचिल")</f>
        <v>ए) एडवस, बी) चुवाडु, सी) वर्मा, डी) उझिचिल</v>
      </c>
      <c r="I447" s="5" t="str">
        <f>IFERROR(__xludf.DUMMYFUNCTION("GOOGLETRANSLATE(D447, ""en"", ""hi"")"),"ए) एडवस")</f>
        <v>ए) एडवस</v>
      </c>
    </row>
    <row r="448" ht="22.5" customHeight="1">
      <c r="A448" s="2">
        <v>447.0</v>
      </c>
      <c r="B448" s="3" t="s">
        <v>14319</v>
      </c>
      <c r="C448" s="3" t="s">
        <v>14251</v>
      </c>
      <c r="D448" s="3" t="s">
        <v>14252</v>
      </c>
      <c r="F448" s="5" t="str">
        <f>IFERROR(__xludf.DUMMYFUNCTION("GOOGLETRANSLATE(A448, ""en"", ""hi"")"),"447")</f>
        <v>447</v>
      </c>
      <c r="G448" s="5" t="str">
        <f>IFERROR(__xludf.DUMMYFUNCTION("GOOGLETRANSLATE(B448, ""en"", ""hi"")"),"कलारीपयट्टू में, किस तकनीक में आक्रामक और रक्षात्मक दोनों उद्देश्यों के लिए एक लंबे हथियार का उपयोग किया जाता है?")</f>
        <v>कलारीपयट्टू में, किस तकनीक में आक्रामक और रक्षात्मक दोनों उद्देश्यों के लिए एक लंबे हथियार का उपयोग किया जाता है?</v>
      </c>
      <c r="H448" s="5" t="str">
        <f>IFERROR(__xludf.DUMMYFUNCTION("GOOGLETRANSLATE(C448, ""en"", ""hi"")"),"A) लॉन्ग स्टिक तकनीक, B) वर्मा, C) अदावस, D) उझिचिल")</f>
        <v>A) लॉन्ग स्टिक तकनीक, B) वर्मा, C) अदावस, D) उझिचिल</v>
      </c>
      <c r="I448" s="5" t="str">
        <f>IFERROR(__xludf.DUMMYFUNCTION("GOOGLETRANSLATE(D448, ""en"", ""hi"")"),"ए) लंबी छड़ी तकनीक")</f>
        <v>ए) लंबी छड़ी तकनीक</v>
      </c>
    </row>
    <row r="449" ht="22.5" customHeight="1">
      <c r="A449" s="2">
        <v>448.0</v>
      </c>
      <c r="B449" s="3" t="s">
        <v>14320</v>
      </c>
      <c r="C449" s="3" t="s">
        <v>13978</v>
      </c>
      <c r="D449" s="3" t="s">
        <v>13678</v>
      </c>
      <c r="F449" s="5" t="str">
        <f>IFERROR(__xludf.DUMMYFUNCTION("GOOGLETRANSLATE(A449, ""en"", ""hi"")"),"448")</f>
        <v>448</v>
      </c>
      <c r="G449" s="5" t="str">
        <f>IFERROR(__xludf.DUMMYFUNCTION("GOOGLETRANSLATE(B449, ""en"", ""hi"")"),"एक कलारीपयट्टू अभ्यासी उन तकनीकों पर ध्यान केंद्रित कर रहा है जो युद्ध में उसकी चपलता और सजगता को बढ़ाती हैं। उन्हें किस अभ्यास को प्राथमिकता देनी चाहिए?")</f>
        <v>एक कलारीपयट्टू अभ्यासी उन तकनीकों पर ध्यान केंद्रित कर रहा है जो युद्ध में उसकी चपलता और सजगता को बढ़ाती हैं। उन्हें किस अभ्यास को प्राथमिकता देनी चाहिए?</v>
      </c>
      <c r="H449" s="5" t="str">
        <f>IFERROR(__xludf.DUMMYFUNCTION("GOOGLETRANSLATE(C449, ""en"", ""hi"")"),"ए) वर्मम, बी) एडवस, सी) चुवाडु, डी) उझिचिल")</f>
        <v>ए) वर्मम, बी) एडवस, सी) चुवाडु, डी) उझिचिल</v>
      </c>
      <c r="I449" s="5" t="str">
        <f>IFERROR(__xludf.DUMMYFUNCTION("GOOGLETRANSLATE(D449, ""en"", ""hi"")"),"ए) वर्माम")</f>
        <v>ए) वर्माम</v>
      </c>
    </row>
    <row r="450" ht="22.5" customHeight="1">
      <c r="A450" s="2">
        <v>449.0</v>
      </c>
      <c r="B450" s="3" t="s">
        <v>14321</v>
      </c>
      <c r="C450" s="3" t="s">
        <v>13713</v>
      </c>
      <c r="D450" s="3" t="s">
        <v>13714</v>
      </c>
      <c r="F450" s="5" t="str">
        <f>IFERROR(__xludf.DUMMYFUNCTION("GOOGLETRANSLATE(A450, ""en"", ""hi"")"),"449")</f>
        <v>449</v>
      </c>
      <c r="G450" s="5" t="str">
        <f>IFERROR(__xludf.DUMMYFUNCTION("GOOGLETRANSLATE(B450, ""en"", ""hi"")"),"कलारीपयट्टू में, कौन सा हथियार तीव्र और सटीक वार और प्रहार की तकनीक के लिए सबसे उपयुक्त है?")</f>
        <v>कलारीपयट्टू में, कौन सा हथियार तीव्र और सटीक वार और प्रहार की तकनीक के लिए सबसे उपयुक्त है?</v>
      </c>
      <c r="H450" s="5" t="str">
        <f>IFERROR(__xludf.DUMMYFUNCTION("GOOGLETRANSLATE(C450, ""en"", ""hi"")"),"A) तलवार, B) गदा, C) भाला, D) खंजर")</f>
        <v>A) तलवार, B) गदा, C) भाला, D) खंजर</v>
      </c>
      <c r="I450" s="5" t="str">
        <f>IFERROR(__xludf.DUMMYFUNCTION("GOOGLETRANSLATE(D450, ""en"", ""hi"")"),"ए) तलवार")</f>
        <v>ए) तलवार</v>
      </c>
    </row>
    <row r="451" ht="22.5" customHeight="1">
      <c r="A451" s="2">
        <v>450.0</v>
      </c>
      <c r="B451" s="3" t="s">
        <v>14322</v>
      </c>
      <c r="C451" s="3" t="s">
        <v>13809</v>
      </c>
      <c r="D451" s="3" t="s">
        <v>13675</v>
      </c>
      <c r="F451" s="5" t="str">
        <f>IFERROR(__xludf.DUMMYFUNCTION("GOOGLETRANSLATE(A451, ""en"", ""hi"")"),"450")</f>
        <v>450</v>
      </c>
      <c r="G451" s="5" t="str">
        <f>IFERROR(__xludf.DUMMYFUNCTION("GOOGLETRANSLATE(B451, ""en"", ""hi"")"),"कलारीपयट्टू प्रशिक्षण के दौरान, कौन सा अभ्यास फुटवर्क और रक्षात्मक तकनीकों को विकसित करने पर केंद्रित है?")</f>
        <v>कलारीपयट्टू प्रशिक्षण के दौरान, कौन सा अभ्यास फुटवर्क और रक्षात्मक तकनीकों को विकसित करने पर केंद्रित है?</v>
      </c>
      <c r="H451" s="5" t="str">
        <f>IFERROR(__xludf.DUMMYFUNCTION("GOOGLETRANSLATE(C451, ""en"", ""hi"")"),"ए) चुवडु, बी) वर्मम, सी) एडवस, डी) उझिचिल")</f>
        <v>ए) चुवडु, बी) वर्मम, सी) एडवस, डी) उझिचिल</v>
      </c>
      <c r="I451" s="5" t="str">
        <f>IFERROR(__xludf.DUMMYFUNCTION("GOOGLETRANSLATE(D451, ""en"", ""hi"")"),"A) चुवाडु")</f>
        <v>A) चुवाडु</v>
      </c>
    </row>
    <row r="452" ht="22.5" customHeight="1">
      <c r="A452" s="2">
        <v>451.0</v>
      </c>
      <c r="B452" s="3" t="s">
        <v>14323</v>
      </c>
      <c r="C452" s="3" t="s">
        <v>14242</v>
      </c>
      <c r="D452" s="3" t="s">
        <v>14243</v>
      </c>
      <c r="F452" s="5" t="str">
        <f>IFERROR(__xludf.DUMMYFUNCTION("GOOGLETRANSLATE(A452, ""en"", ""hi"")"),"451")</f>
        <v>451</v>
      </c>
      <c r="G452" s="5" t="str">
        <f>IFERROR(__xludf.DUMMYFUNCTION("GOOGLETRANSLATE(B452, ""en"", ""hi"")"),"कलारीपयट्टू में, किस तकनीक में प्रभावी निकट-युद्ध तकनीकों को करने के लिए खंजर का उपयोग शामिल है?")</f>
        <v>कलारीपयट्टू में, किस तकनीक में प्रभावी निकट-युद्ध तकनीकों को करने के लिए खंजर का उपयोग शामिल है?</v>
      </c>
      <c r="H452" s="5" t="str">
        <f>IFERROR(__xludf.DUMMYFUNCTION("GOOGLETRANSLATE(C452, ""en"", ""hi"")"),"ए) डैगर तकनीक, बी) वर्मा, सी) एडवस, डी) उझिचिल")</f>
        <v>ए) डैगर तकनीक, बी) वर्मा, सी) एडवस, डी) उझिचिल</v>
      </c>
      <c r="I452" s="5" t="str">
        <f>IFERROR(__xludf.DUMMYFUNCTION("GOOGLETRANSLATE(D452, ""en"", ""hi"")"),"ए) खंजर तकनीक")</f>
        <v>ए) खंजर तकनीक</v>
      </c>
    </row>
    <row r="453" ht="22.5" customHeight="1">
      <c r="A453" s="2">
        <v>452.0</v>
      </c>
      <c r="B453" s="3" t="s">
        <v>14324</v>
      </c>
      <c r="C453" s="3" t="s">
        <v>14016</v>
      </c>
      <c r="D453" s="3" t="s">
        <v>13684</v>
      </c>
      <c r="F453" s="5" t="str">
        <f>IFERROR(__xludf.DUMMYFUNCTION("GOOGLETRANSLATE(A453, ""en"", ""hi"")"),"452")</f>
        <v>452</v>
      </c>
      <c r="G453" s="5" t="str">
        <f>IFERROR(__xludf.DUMMYFUNCTION("GOOGLETRANSLATE(B453, ""en"", ""hi"")"),"एक कलारीपयट्टू अभ्यासी समग्र शक्ति और सहनशक्ति में सुधार लाने की तकनीकों पर ध्यान केंद्रित करता है। उन्हें किस अभ्यास पर ध्यान केंद्रित करना चाहिए?")</f>
        <v>एक कलारीपयट्टू अभ्यासी समग्र शक्ति और सहनशक्ति में सुधार लाने की तकनीकों पर ध्यान केंद्रित करता है। उन्हें किस अभ्यास पर ध्यान केंद्रित करना चाहिए?</v>
      </c>
      <c r="H453" s="5" t="str">
        <f>IFERROR(__xludf.DUMMYFUNCTION("GOOGLETRANSLATE(C453, ""en"", ""hi"")"),"ए) उझिचिल, बी) एडवस, सी) वर्मा, डी) चुवाडु")</f>
        <v>ए) उझिचिल, बी) एडवस, सी) वर्मा, डी) चुवाडु</v>
      </c>
      <c r="I453" s="5" t="str">
        <f>IFERROR(__xludf.DUMMYFUNCTION("GOOGLETRANSLATE(D453, ""en"", ""hi"")"),"A) उझिचिल")</f>
        <v>A) उझिचिल</v>
      </c>
    </row>
    <row r="454" ht="22.5" customHeight="1">
      <c r="A454" s="2">
        <v>453.0</v>
      </c>
      <c r="B454" s="3" t="s">
        <v>14325</v>
      </c>
      <c r="C454" s="3" t="s">
        <v>14251</v>
      </c>
      <c r="D454" s="3" t="s">
        <v>14252</v>
      </c>
      <c r="F454" s="5" t="str">
        <f>IFERROR(__xludf.DUMMYFUNCTION("GOOGLETRANSLATE(A454, ""en"", ""hi"")"),"453")</f>
        <v>453</v>
      </c>
      <c r="G454" s="5" t="str">
        <f>IFERROR(__xludf.DUMMYFUNCTION("GOOGLETRANSLATE(B454, ""en"", ""hi"")"),"कलारीपयट्टू प्रशिक्षण के दौरान, कौन सी तकनीक लंबे हथियार से सटीक प्रहार करने की आपकी क्षमता को बढ़ाने पर केंद्रित है?")</f>
        <v>कलारीपयट्टू प्रशिक्षण के दौरान, कौन सी तकनीक लंबे हथियार से सटीक प्रहार करने की आपकी क्षमता को बढ़ाने पर केंद्रित है?</v>
      </c>
      <c r="H454" s="5" t="str">
        <f>IFERROR(__xludf.DUMMYFUNCTION("GOOGLETRANSLATE(C454, ""en"", ""hi"")"),"A) लॉन्ग स्टिक तकनीक, B) वर्मा, C) अदावस, D) उझिचिल")</f>
        <v>A) लॉन्ग स्टिक तकनीक, B) वर्मा, C) अदावस, D) उझिचिल</v>
      </c>
      <c r="I454" s="5" t="str">
        <f>IFERROR(__xludf.DUMMYFUNCTION("GOOGLETRANSLATE(D454, ""en"", ""hi"")"),"ए) लंबी छड़ी तकनीक")</f>
        <v>ए) लंबी छड़ी तकनीक</v>
      </c>
    </row>
    <row r="455" ht="22.5" customHeight="1">
      <c r="A455" s="2">
        <v>454.0</v>
      </c>
      <c r="B455" s="3" t="s">
        <v>14326</v>
      </c>
      <c r="C455" s="3" t="s">
        <v>13780</v>
      </c>
      <c r="D455" s="3" t="s">
        <v>13740</v>
      </c>
      <c r="F455" s="5" t="str">
        <f>IFERROR(__xludf.DUMMYFUNCTION("GOOGLETRANSLATE(A455, ""en"", ""hi"")"),"454")</f>
        <v>454</v>
      </c>
      <c r="G455" s="5" t="str">
        <f>IFERROR(__xludf.DUMMYFUNCTION("GOOGLETRANSLATE(B455, ""en"", ""hi"")"),"कलारीपयट्टू में शक्तिशाली और सटीक प्रहार करने की कला में निपुणता प्राप्त करने के लिए आपको किस अभ्यास पर ध्यान केंद्रित करना चाहिए?")</f>
        <v>कलारीपयट्टू में शक्तिशाली और सटीक प्रहार करने की कला में निपुणता प्राप्त करने के लिए आपको किस अभ्यास पर ध्यान केंद्रित करना चाहिए?</v>
      </c>
      <c r="H455" s="5" t="str">
        <f>IFERROR(__xludf.DUMMYFUNCTION("GOOGLETRANSLATE(C455, ""en"", ""hi"")"),"ए) एडवस, बी) वर्मम, सी) चुवाडु, डी) उझिचिल")</f>
        <v>ए) एडवस, बी) वर्मम, सी) चुवाडु, डी) उझिचिल</v>
      </c>
      <c r="I455" s="5" t="str">
        <f>IFERROR(__xludf.DUMMYFUNCTION("GOOGLETRANSLATE(D455, ""en"", ""hi"")"),"ए) एडवस")</f>
        <v>ए) एडवस</v>
      </c>
    </row>
    <row r="456" ht="22.5" customHeight="1">
      <c r="A456" s="2">
        <v>455.0</v>
      </c>
      <c r="B456" s="3" t="s">
        <v>14327</v>
      </c>
      <c r="C456" s="3" t="s">
        <v>13978</v>
      </c>
      <c r="D456" s="3" t="s">
        <v>13678</v>
      </c>
      <c r="F456" s="5" t="str">
        <f>IFERROR(__xludf.DUMMYFUNCTION("GOOGLETRANSLATE(A456, ""en"", ""hi"")"),"455")</f>
        <v>455</v>
      </c>
      <c r="G456" s="5" t="str">
        <f>IFERROR(__xludf.DUMMYFUNCTION("GOOGLETRANSLATE(B456, ""en"", ""hi"")"),"एक कलारीपयट्टू अभ्यासी ऐसी तकनीकों पर काम कर रहा है जिनमें तेज़ और प्रभावी हथियार प्रहार शामिल हैं। वे किस अभ्यास पर ध्यान केंद्रित कर रहे हैं?")</f>
        <v>एक कलारीपयट्टू अभ्यासी ऐसी तकनीकों पर काम कर रहा है जिनमें तेज़ और प्रभावी हथियार प्रहार शामिल हैं। वे किस अभ्यास पर ध्यान केंद्रित कर रहे हैं?</v>
      </c>
      <c r="H456" s="5" t="str">
        <f>IFERROR(__xludf.DUMMYFUNCTION("GOOGLETRANSLATE(C456, ""en"", ""hi"")"),"ए) वर्मम, बी) एडवस, सी) चुवाडु, डी) उझिचिल")</f>
        <v>ए) वर्मम, बी) एडवस, सी) चुवाडु, डी) उझिचिल</v>
      </c>
      <c r="I456" s="5" t="str">
        <f>IFERROR(__xludf.DUMMYFUNCTION("GOOGLETRANSLATE(D456, ""en"", ""hi"")"),"ए) वर्माम")</f>
        <v>ए) वर्माम</v>
      </c>
    </row>
    <row r="457" ht="22.5" customHeight="1">
      <c r="A457" s="2">
        <v>456.0</v>
      </c>
      <c r="B457" s="3" t="s">
        <v>14328</v>
      </c>
      <c r="C457" s="3" t="s">
        <v>14329</v>
      </c>
      <c r="D457" s="3" t="s">
        <v>13684</v>
      </c>
      <c r="F457" s="5" t="str">
        <f>IFERROR(__xludf.DUMMYFUNCTION("GOOGLETRANSLATE(A457, ""en"", ""hi"")"),"456")</f>
        <v>456</v>
      </c>
      <c r="G457" s="5" t="str">
        <f>IFERROR(__xludf.DUMMYFUNCTION("GOOGLETRANSLATE(B457, ""en"", ""hi"")"),"कलारीपयट्टू में, कई हमलावरों से बचाव करने की अभ्यासकर्ता की क्षमता में सुधार करने के लिए किस तकनीक पर जोर दिया जाता है?")</f>
        <v>कलारीपयट्टू में, कई हमलावरों से बचाव करने की अभ्यासकर्ता की क्षमता में सुधार करने के लिए किस तकनीक पर जोर दिया जाता है?</v>
      </c>
      <c r="H457" s="5" t="str">
        <f>IFERROR(__xludf.DUMMYFUNCTION("GOOGLETRANSLATE(C457, ""en"", ""hi"")"),"ए) उझिचिल, बी) एडवस, सी) चुवाडु, डी) वर्मम")</f>
        <v>ए) उझिचिल, बी) एडवस, सी) चुवाडु, डी) वर्मम</v>
      </c>
      <c r="I457" s="5" t="str">
        <f>IFERROR(__xludf.DUMMYFUNCTION("GOOGLETRANSLATE(D457, ""en"", ""hi"")"),"A) उझिचिल")</f>
        <v>A) उझिचिल</v>
      </c>
    </row>
    <row r="458" ht="22.5" customHeight="1">
      <c r="A458" s="2">
        <v>457.0</v>
      </c>
      <c r="B458" s="3" t="s">
        <v>14330</v>
      </c>
      <c r="C458" s="3" t="s">
        <v>14331</v>
      </c>
      <c r="D458" s="3" t="s">
        <v>14279</v>
      </c>
      <c r="F458" s="5" t="str">
        <f>IFERROR(__xludf.DUMMYFUNCTION("GOOGLETRANSLATE(A458, ""en"", ""hi"")"),"457")</f>
        <v>457</v>
      </c>
      <c r="G458" s="5" t="str">
        <f>IFERROR(__xludf.DUMMYFUNCTION("GOOGLETRANSLATE(B458, ""en"", ""hi"")"),"एक कलारीपयट्टू साधक भाले की सटीकता और नियंत्रण बढ़ाने का प्रशिक्षण ले रहा है। वे किस अभ्यास में लगे हुए हैं?")</f>
        <v>एक कलारीपयट्टू साधक भाले की सटीकता और नियंत्रण बढ़ाने का प्रशिक्षण ले रहा है। वे किस अभ्यास में लगे हुए हैं?</v>
      </c>
      <c r="H458" s="5" t="str">
        <f>IFERROR(__xludf.DUMMYFUNCTION("GOOGLETRANSLATE(C458, ""en"", ""hi"")"),"ए) भाला तकनीक, बी) एडवस, सी) मार्मा, डी) चुवाडु")</f>
        <v>ए) भाला तकनीक, बी) एडवस, सी) मार्मा, डी) चुवाडु</v>
      </c>
      <c r="I458" s="5" t="str">
        <f>IFERROR(__xludf.DUMMYFUNCTION("GOOGLETRANSLATE(D458, ""en"", ""hi"")"),"ए) भाला तकनीक")</f>
        <v>ए) भाला तकनीक</v>
      </c>
    </row>
    <row r="459" ht="22.5" customHeight="1">
      <c r="A459" s="2">
        <v>458.0</v>
      </c>
      <c r="B459" s="3" t="s">
        <v>14332</v>
      </c>
      <c r="C459" s="3" t="s">
        <v>14333</v>
      </c>
      <c r="D459" s="3" t="s">
        <v>13675</v>
      </c>
      <c r="F459" s="5" t="str">
        <f>IFERROR(__xludf.DUMMYFUNCTION("GOOGLETRANSLATE(A459, ""en"", ""hi"")"),"458")</f>
        <v>458</v>
      </c>
      <c r="G459" s="5" t="str">
        <f>IFERROR(__xludf.DUMMYFUNCTION("GOOGLETRANSLATE(B459, ""en"", ""hi"")"),"कलारीपयट्टू अभ्यास के दौरान, त्वरित जवाबी हमले की कला में निपुणता प्राप्त करने के लिए कौन सी तकनीक महत्वपूर्ण है?")</f>
        <v>कलारीपयट्टू अभ्यास के दौरान, त्वरित जवाबी हमले की कला में निपुणता प्राप्त करने के लिए कौन सी तकनीक महत्वपूर्ण है?</v>
      </c>
      <c r="H459" s="5" t="str">
        <f>IFERROR(__xludf.DUMMYFUNCTION("GOOGLETRANSLATE(C459, ""en"", ""hi"")"),"ए) चुवडु, बी) वर्मम, सी) उझिचिल, डी) एडवस")</f>
        <v>ए) चुवडु, बी) वर्मम, सी) उझिचिल, डी) एडवस</v>
      </c>
      <c r="I459" s="5" t="str">
        <f>IFERROR(__xludf.DUMMYFUNCTION("GOOGLETRANSLATE(D459, ""en"", ""hi"")"),"A) चुवाडु")</f>
        <v>A) चुवाडु</v>
      </c>
    </row>
    <row r="460" ht="22.5" customHeight="1">
      <c r="A460" s="2">
        <v>459.0</v>
      </c>
      <c r="B460" s="3" t="s">
        <v>14334</v>
      </c>
      <c r="C460" s="3" t="s">
        <v>14001</v>
      </c>
      <c r="D460" s="3" t="s">
        <v>14002</v>
      </c>
      <c r="F460" s="5" t="str">
        <f>IFERROR(__xludf.DUMMYFUNCTION("GOOGLETRANSLATE(A460, ""en"", ""hi"")"),"459")</f>
        <v>459</v>
      </c>
      <c r="G460" s="5" t="str">
        <f>IFERROR(__xludf.DUMMYFUNCTION("GOOGLETRANSLATE(B460, ""en"", ""hi"")"),"कलारीपयट्टू में, किस हथियार का उपयोग मुख्य रूप से शक्तिशाली और व्यापक प्रहारों के लिए किया जाता है?")</f>
        <v>कलारीपयट्टू में, किस हथियार का उपयोग मुख्य रूप से शक्तिशाली और व्यापक प्रहारों के लिए किया जाता है?</v>
      </c>
      <c r="H460" s="5" t="str">
        <f>IFERROR(__xludf.DUMMYFUNCTION("GOOGLETRANSLATE(C460, ""en"", ""hi"")"),"A) गदा, B) तलवार, C) भाला, D) खंजर")</f>
        <v>A) गदा, B) तलवार, C) भाला, D) खंजर</v>
      </c>
      <c r="I460" s="5" t="str">
        <f>IFERROR(__xludf.DUMMYFUNCTION("GOOGLETRANSLATE(D460, ""en"", ""hi"")"),"ए) गदा")</f>
        <v>ए) गदा</v>
      </c>
    </row>
    <row r="461" ht="22.5" customHeight="1">
      <c r="A461" s="2">
        <v>460.0</v>
      </c>
      <c r="B461" s="3" t="s">
        <v>14335</v>
      </c>
      <c r="C461" s="3" t="s">
        <v>14049</v>
      </c>
      <c r="D461" s="3" t="s">
        <v>13675</v>
      </c>
      <c r="F461" s="5" t="str">
        <f>IFERROR(__xludf.DUMMYFUNCTION("GOOGLETRANSLATE(A461, ""en"", ""hi"")"),"460")</f>
        <v>460</v>
      </c>
      <c r="G461" s="5" t="str">
        <f>IFERROR(__xludf.DUMMYFUNCTION("GOOGLETRANSLATE(B461, ""en"", ""hi"")"),"एक कलारीपयट्टू अभ्यासी अपनी चपलता और तेज़ पैरों की गति को बेहतर बनाने की तकनीकों पर ध्यान केंद्रित कर रहा है। उन्हें किस अभ्यास को प्राथमिकता देनी चाहिए?")</f>
        <v>एक कलारीपयट्टू अभ्यासी अपनी चपलता और तेज़ पैरों की गति को बेहतर बनाने की तकनीकों पर ध्यान केंद्रित कर रहा है। उन्हें किस अभ्यास को प्राथमिकता देनी चाहिए?</v>
      </c>
      <c r="H461" s="5" t="str">
        <f>IFERROR(__xludf.DUMMYFUNCTION("GOOGLETRANSLATE(C461, ""en"", ""hi"")"),"ए) चुवाडु, बी) एडवस, सी) वर्मा, डी) उझिचिल")</f>
        <v>ए) चुवाडु, बी) एडवस, सी) वर्मा, डी) उझिचिल</v>
      </c>
      <c r="I461" s="5" t="str">
        <f>IFERROR(__xludf.DUMMYFUNCTION("GOOGLETRANSLATE(D461, ""en"", ""hi"")"),"A) चुवाडु")</f>
        <v>A) चुवाडु</v>
      </c>
    </row>
    <row r="462" ht="22.5" customHeight="1">
      <c r="A462" s="2">
        <v>461.0</v>
      </c>
      <c r="B462" s="3" t="s">
        <v>14336</v>
      </c>
      <c r="C462" s="3" t="s">
        <v>14251</v>
      </c>
      <c r="D462" s="3" t="s">
        <v>14252</v>
      </c>
      <c r="F462" s="5" t="str">
        <f>IFERROR(__xludf.DUMMYFUNCTION("GOOGLETRANSLATE(A462, ""en"", ""hi"")"),"461")</f>
        <v>461</v>
      </c>
      <c r="G462" s="5" t="str">
        <f>IFERROR(__xludf.DUMMYFUNCTION("GOOGLETRANSLATE(B462, ""en"", ""hi"")"),"कलारीपयट्टू में, किस अभ्यास में आक्रमण और बचाव को संयोजित करने वाली तकनीकों के लिए एक लंबे हथियार का उपयोग शामिल है?")</f>
        <v>कलारीपयट्टू में, किस अभ्यास में आक्रमण और बचाव को संयोजित करने वाली तकनीकों के लिए एक लंबे हथियार का उपयोग शामिल है?</v>
      </c>
      <c r="H462" s="5" t="str">
        <f>IFERROR(__xludf.DUMMYFUNCTION("GOOGLETRANSLATE(C462, ""en"", ""hi"")"),"A) लॉन्ग स्टिक तकनीक, B) वर्मा, C) अदावस, D) उझिचिल")</f>
        <v>A) लॉन्ग स्टिक तकनीक, B) वर्मा, C) अदावस, D) उझिचिल</v>
      </c>
      <c r="I462" s="5" t="str">
        <f>IFERROR(__xludf.DUMMYFUNCTION("GOOGLETRANSLATE(D462, ""en"", ""hi"")"),"ए) लंबी छड़ी तकनीक")</f>
        <v>ए) लंबी छड़ी तकनीक</v>
      </c>
    </row>
    <row r="463" ht="22.5" customHeight="1">
      <c r="A463" s="2">
        <v>462.0</v>
      </c>
      <c r="B463" s="3" t="s">
        <v>14337</v>
      </c>
      <c r="C463" s="3" t="s">
        <v>14242</v>
      </c>
      <c r="D463" s="3" t="s">
        <v>14243</v>
      </c>
      <c r="F463" s="5" t="str">
        <f>IFERROR(__xludf.DUMMYFUNCTION("GOOGLETRANSLATE(A463, ""en"", ""hi"")"),"462")</f>
        <v>462</v>
      </c>
      <c r="G463" s="5" t="str">
        <f>IFERROR(__xludf.DUMMYFUNCTION("GOOGLETRANSLATE(B463, ""en"", ""hi"")"),"एक कलारीपयट्टू अभ्यासी निकट-सीमा युद्ध के लिए खंजर का प्रभावी ढंग से उपयोग करने की तकनीक सीख रहा है। वे किस अभ्यास पर ध्यान केंद्रित कर रहे हैं?")</f>
        <v>एक कलारीपयट्टू अभ्यासी निकट-सीमा युद्ध के लिए खंजर का प्रभावी ढंग से उपयोग करने की तकनीक सीख रहा है। वे किस अभ्यास पर ध्यान केंद्रित कर रहे हैं?</v>
      </c>
      <c r="H463" s="5" t="str">
        <f>IFERROR(__xludf.DUMMYFUNCTION("GOOGLETRANSLATE(C463, ""en"", ""hi"")"),"ए) डैगर तकनीक, बी) वर्मा, सी) एडवस, डी) उझिचिल")</f>
        <v>ए) डैगर तकनीक, बी) वर्मा, सी) एडवस, डी) उझिचिल</v>
      </c>
      <c r="I463" s="5" t="str">
        <f>IFERROR(__xludf.DUMMYFUNCTION("GOOGLETRANSLATE(D463, ""en"", ""hi"")"),"ए) खंजर तकनीक")</f>
        <v>ए) खंजर तकनीक</v>
      </c>
    </row>
    <row r="464" ht="22.5" customHeight="1">
      <c r="A464" s="2">
        <v>463.0</v>
      </c>
      <c r="B464" s="3" t="s">
        <v>14338</v>
      </c>
      <c r="C464" s="3" t="s">
        <v>14339</v>
      </c>
      <c r="D464" s="3" t="s">
        <v>14286</v>
      </c>
      <c r="F464" s="5" t="str">
        <f>IFERROR(__xludf.DUMMYFUNCTION("GOOGLETRANSLATE(A464, ""en"", ""hi"")"),"463")</f>
        <v>463</v>
      </c>
      <c r="G464" s="5" t="str">
        <f>IFERROR(__xludf.DUMMYFUNCTION("GOOGLETRANSLATE(B464, ""en"", ""hi"")"),"कलारीपयट्टू प्रशिक्षण के दौरान तलवार से शक्तिशाली प्रहार करने की क्षमता विकसित करने के लिए कौन सी तकनीक आवश्यक है?")</f>
        <v>कलारीपयट्टू प्रशिक्षण के दौरान तलवार से शक्तिशाली प्रहार करने की क्षमता विकसित करने के लिए कौन सी तकनीक आवश्यक है?</v>
      </c>
      <c r="H464" s="5" t="str">
        <f>IFERROR(__xludf.DUMMYFUNCTION("GOOGLETRANSLATE(C464, ""en"", ""hi"")"),"ए) तलवार तकनीक, बी) वर्मा, सी) चुवाडु, डी) एडवस")</f>
        <v>ए) तलवार तकनीक, बी) वर्मा, सी) चुवाडु, डी) एडवस</v>
      </c>
      <c r="I464" s="5" t="str">
        <f>IFERROR(__xludf.DUMMYFUNCTION("GOOGLETRANSLATE(D464, ""en"", ""hi"")"),"A) तलवार तकनीक")</f>
        <v>A) तलवार तकनीक</v>
      </c>
    </row>
    <row r="465" ht="22.5" customHeight="1">
      <c r="A465" s="2">
        <v>464.0</v>
      </c>
      <c r="B465" s="3" t="s">
        <v>14340</v>
      </c>
      <c r="C465" s="3" t="s">
        <v>14013</v>
      </c>
      <c r="D465" s="3" t="s">
        <v>13932</v>
      </c>
      <c r="F465" s="5" t="str">
        <f>IFERROR(__xludf.DUMMYFUNCTION("GOOGLETRANSLATE(A465, ""en"", ""hi"")"),"464")</f>
        <v>464</v>
      </c>
      <c r="G465" s="5" t="str">
        <f>IFERROR(__xludf.DUMMYFUNCTION("GOOGLETRANSLATE(B465, ""en"", ""hi"")"),"कलारीपयट्टू में, किस अभ्यास में विशिष्ट दबाव बिंदुओं को लक्षित करके प्रतिद्वंद्वी को अक्षम करने के लिए डिज़ाइन की गई तकनीकें शामिल हैं?")</f>
        <v>कलारीपयट्टू में, किस अभ्यास में विशिष्ट दबाव बिंदुओं को लक्षित करके प्रतिद्वंद्वी को अक्षम करने के लिए डिज़ाइन की गई तकनीकें शामिल हैं?</v>
      </c>
      <c r="H465" s="5" t="str">
        <f>IFERROR(__xludf.DUMMYFUNCTION("GOOGLETRANSLATE(C465, ""en"", ""hi"")"),"ए) मार्मा, बी) वर्मम, सी) एडवस, डी) उझिचिल")</f>
        <v>ए) मार्मा, बी) वर्मम, सी) एडवस, डी) उझिचिल</v>
      </c>
      <c r="I465" s="5" t="str">
        <f>IFERROR(__xludf.DUMMYFUNCTION("GOOGLETRANSLATE(D465, ""en"", ""hi"")"),"A) मर्म")</f>
        <v>A) मर्म</v>
      </c>
    </row>
    <row r="466" ht="22.5" customHeight="1">
      <c r="A466" s="2">
        <v>465.0</v>
      </c>
      <c r="B466" s="3" t="s">
        <v>14341</v>
      </c>
      <c r="C466" s="3" t="s">
        <v>13978</v>
      </c>
      <c r="D466" s="3" t="s">
        <v>13678</v>
      </c>
      <c r="F466" s="5" t="str">
        <f>IFERROR(__xludf.DUMMYFUNCTION("GOOGLETRANSLATE(A466, ""en"", ""hi"")"),"465")</f>
        <v>465</v>
      </c>
      <c r="G466" s="5" t="str">
        <f>IFERROR(__xludf.DUMMYFUNCTION("GOOGLETRANSLATE(B466, ""en"", ""hi"")"),"एक कलारीपयट्टू अभ्यासी सटीकता और गति से प्रहार करने की अपनी क्षमता को बढ़ाने पर ध्यान केंद्रित कर रहा है। वे किस अभ्यास पर ध्यान केंद्रित कर रहे हैं?")</f>
        <v>एक कलारीपयट्टू अभ्यासी सटीकता और गति से प्रहार करने की अपनी क्षमता को बढ़ाने पर ध्यान केंद्रित कर रहा है। वे किस अभ्यास पर ध्यान केंद्रित कर रहे हैं?</v>
      </c>
      <c r="H466" s="5" t="str">
        <f>IFERROR(__xludf.DUMMYFUNCTION("GOOGLETRANSLATE(C466, ""en"", ""hi"")"),"ए) वर्मम, बी) एडवस, सी) चुवाडु, डी) उझिचिल")</f>
        <v>ए) वर्मम, बी) एडवस, सी) चुवाडु, डी) उझिचिल</v>
      </c>
      <c r="I466" s="5" t="str">
        <f>IFERROR(__xludf.DUMMYFUNCTION("GOOGLETRANSLATE(D466, ""en"", ""hi"")"),"ए) वर्माम")</f>
        <v>ए) वर्माम</v>
      </c>
    </row>
    <row r="467" ht="22.5" customHeight="1">
      <c r="A467" s="2">
        <v>466.0</v>
      </c>
      <c r="B467" s="3" t="s">
        <v>14342</v>
      </c>
      <c r="C467" s="3" t="s">
        <v>14282</v>
      </c>
      <c r="D467" s="3" t="s">
        <v>14283</v>
      </c>
      <c r="F467" s="5" t="str">
        <f>IFERROR(__xludf.DUMMYFUNCTION("GOOGLETRANSLATE(A467, ""en"", ""hi"")"),"466")</f>
        <v>466</v>
      </c>
      <c r="G467" s="5" t="str">
        <f>IFERROR(__xludf.DUMMYFUNCTION("GOOGLETRANSLATE(B467, ""en"", ""hi"")"),"कलारीपयट्टू में, युद्ध में गदा के उपयोग में निपुणता प्राप्त करने के लिए कौन सी तकनीक आवश्यक है?")</f>
        <v>कलारीपयट्टू में, युद्ध में गदा के उपयोग में निपुणता प्राप्त करने के लिए कौन सी तकनीक आवश्यक है?</v>
      </c>
      <c r="H467" s="5" t="str">
        <f>IFERROR(__xludf.DUMMYFUNCTION("GOOGLETRANSLATE(C467, ""en"", ""hi"")"),"ए) गदा तकनीक, बी) वर्मा, सी) एडवस, डी) उझिचिल")</f>
        <v>ए) गदा तकनीक, बी) वर्मा, सी) एडवस, डी) उझिचिल</v>
      </c>
      <c r="I467" s="5" t="str">
        <f>IFERROR(__xludf.DUMMYFUNCTION("GOOGLETRANSLATE(D467, ""en"", ""hi"")"),"ए) गदा तकनीक")</f>
        <v>ए) गदा तकनीक</v>
      </c>
    </row>
    <row r="468" ht="22.5" customHeight="1">
      <c r="A468" s="2">
        <v>467.0</v>
      </c>
      <c r="B468" s="3" t="s">
        <v>14343</v>
      </c>
      <c r="C468" s="3" t="s">
        <v>14016</v>
      </c>
      <c r="D468" s="3" t="s">
        <v>13684</v>
      </c>
      <c r="F468" s="5" t="str">
        <f>IFERROR(__xludf.DUMMYFUNCTION("GOOGLETRANSLATE(A468, ""en"", ""hi"")"),"467")</f>
        <v>467</v>
      </c>
      <c r="G468" s="5" t="str">
        <f>IFERROR(__xludf.DUMMYFUNCTION("GOOGLETRANSLATE(B468, ""en"", ""hi"")"),"कलारीपयट्टू प्रशिक्षण के दौरान, कौन सा अभ्यास समग्र शक्ति और सहनशक्ति में सुधार के लिए शरीर की कंडीशनिंग पर केंद्रित है?")</f>
        <v>कलारीपयट्टू प्रशिक्षण के दौरान, कौन सा अभ्यास समग्र शक्ति और सहनशक्ति में सुधार के लिए शरीर की कंडीशनिंग पर केंद्रित है?</v>
      </c>
      <c r="H468" s="5" t="str">
        <f>IFERROR(__xludf.DUMMYFUNCTION("GOOGLETRANSLATE(C468, ""en"", ""hi"")"),"ए) उझिचिल, बी) एडवस, सी) वर्मा, डी) चुवाडु")</f>
        <v>ए) उझिचिल, बी) एडवस, सी) वर्मा, डी) चुवाडु</v>
      </c>
      <c r="I468" s="5" t="str">
        <f>IFERROR(__xludf.DUMMYFUNCTION("GOOGLETRANSLATE(D468, ""en"", ""hi"")"),"A) उझिचिल")</f>
        <v>A) उझिचिल</v>
      </c>
    </row>
    <row r="469" ht="22.5" customHeight="1">
      <c r="A469" s="2">
        <v>468.0</v>
      </c>
      <c r="B469" s="3" t="s">
        <v>14344</v>
      </c>
      <c r="C469" s="3" t="s">
        <v>14251</v>
      </c>
      <c r="D469" s="3" t="s">
        <v>14252</v>
      </c>
      <c r="F469" s="5" t="str">
        <f>IFERROR(__xludf.DUMMYFUNCTION("GOOGLETRANSLATE(A469, ""en"", ""hi"")"),"468")</f>
        <v>468</v>
      </c>
      <c r="G469" s="5" t="str">
        <f>IFERROR(__xludf.DUMMYFUNCTION("GOOGLETRANSLATE(B469, ""en"", ""hi"")"),"कलारीपयट्टू में, किस तकनीक में आक्रामक और रक्षात्मक दोनों युद्धाभ्यास करने के लिए एक लंबे हथियार का उपयोग करना शामिल है?")</f>
        <v>कलारीपयट्टू में, किस तकनीक में आक्रामक और रक्षात्मक दोनों युद्धाभ्यास करने के लिए एक लंबे हथियार का उपयोग करना शामिल है?</v>
      </c>
      <c r="H469" s="5" t="str">
        <f>IFERROR(__xludf.DUMMYFUNCTION("GOOGLETRANSLATE(C469, ""en"", ""hi"")"),"A) लॉन्ग स्टिक तकनीक, B) वर्मा, C) अदावस, D) उझिचिल")</f>
        <v>A) लॉन्ग स्टिक तकनीक, B) वर्मा, C) अदावस, D) उझिचिल</v>
      </c>
      <c r="I469" s="5" t="str">
        <f>IFERROR(__xludf.DUMMYFUNCTION("GOOGLETRANSLATE(D469, ""en"", ""hi"")"),"ए) लंबी छड़ी तकनीक")</f>
        <v>ए) लंबी छड़ी तकनीक</v>
      </c>
    </row>
    <row r="470" ht="22.5" customHeight="1">
      <c r="A470" s="2">
        <v>469.0</v>
      </c>
      <c r="B470" s="3" t="s">
        <v>14345</v>
      </c>
      <c r="C470" s="3" t="s">
        <v>13809</v>
      </c>
      <c r="D470" s="3" t="s">
        <v>13675</v>
      </c>
      <c r="F470" s="5" t="str">
        <f>IFERROR(__xludf.DUMMYFUNCTION("GOOGLETRANSLATE(A470, ""en"", ""hi"")"),"469")</f>
        <v>469</v>
      </c>
      <c r="G470" s="5" t="str">
        <f>IFERROR(__xludf.DUMMYFUNCTION("GOOGLETRANSLATE(B470, ""en"", ""hi"")"),"एक कलारीपयट्टू अभ्यासी तेज़ और प्रभावी फुटवर्क विकसित करने पर ध्यान केंद्रित करता है। उन्हें किस अभ्यास पर ज़ोर देना चाहिए?")</f>
        <v>एक कलारीपयट्टू अभ्यासी तेज़ और प्रभावी फुटवर्क विकसित करने पर ध्यान केंद्रित करता है। उन्हें किस अभ्यास पर ज़ोर देना चाहिए?</v>
      </c>
      <c r="H470" s="5" t="str">
        <f>IFERROR(__xludf.DUMMYFUNCTION("GOOGLETRANSLATE(C470, ""en"", ""hi"")"),"ए) चुवडु, बी) वर्मम, सी) एडवस, डी) उझिचिल")</f>
        <v>ए) चुवडु, बी) वर्मम, सी) एडवस, डी) उझिचिल</v>
      </c>
      <c r="I470" s="5" t="str">
        <f>IFERROR(__xludf.DUMMYFUNCTION("GOOGLETRANSLATE(D470, ""en"", ""hi"")"),"A) चुवाडु")</f>
        <v>A) चुवाडु</v>
      </c>
    </row>
    <row r="471" ht="22.5" customHeight="1">
      <c r="A471" s="2">
        <v>470.0</v>
      </c>
      <c r="B471" s="3" t="s">
        <v>14346</v>
      </c>
      <c r="C471" s="3" t="s">
        <v>13713</v>
      </c>
      <c r="D471" s="3" t="s">
        <v>13714</v>
      </c>
      <c r="F471" s="5" t="str">
        <f>IFERROR(__xludf.DUMMYFUNCTION("GOOGLETRANSLATE(A471, ""en"", ""hi"")"),"470")</f>
        <v>470</v>
      </c>
      <c r="G471" s="5" t="str">
        <f>IFERROR(__xludf.DUMMYFUNCTION("GOOGLETRANSLATE(B471, ""en"", ""hi"")"),"कलारीपयट्टू में, तीव्र और सटीक कट लगाने की तकनीक के लिए कौन सा हथियार सबसे उपयुक्त है?")</f>
        <v>कलारीपयट्टू में, तीव्र और सटीक कट लगाने की तकनीक के लिए कौन सा हथियार सबसे उपयुक्त है?</v>
      </c>
      <c r="H471" s="5" t="str">
        <f>IFERROR(__xludf.DUMMYFUNCTION("GOOGLETRANSLATE(C471, ""en"", ""hi"")"),"A) तलवार, B) गदा, C) भाला, D) खंजर")</f>
        <v>A) तलवार, B) गदा, C) भाला, D) खंजर</v>
      </c>
      <c r="I471" s="5" t="str">
        <f>IFERROR(__xludf.DUMMYFUNCTION("GOOGLETRANSLATE(D471, ""en"", ""hi"")"),"ए) तलवार")</f>
        <v>ए) तलवार</v>
      </c>
    </row>
    <row r="472" ht="22.5" customHeight="1">
      <c r="A472" s="2">
        <v>471.0</v>
      </c>
      <c r="B472" s="3" t="s">
        <v>14347</v>
      </c>
      <c r="C472" s="3" t="s">
        <v>14013</v>
      </c>
      <c r="D472" s="3" t="s">
        <v>13932</v>
      </c>
      <c r="F472" s="5" t="str">
        <f>IFERROR(__xludf.DUMMYFUNCTION("GOOGLETRANSLATE(A472, ""en"", ""hi"")"),"471")</f>
        <v>471</v>
      </c>
      <c r="G472" s="5" t="str">
        <f>IFERROR(__xludf.DUMMYFUNCTION("GOOGLETRANSLATE(B472, ""en"", ""hi"")"),"कलारीपयट्टू प्रशिक्षण के दौरान, किस अभ्यास में युद्ध प्रभावशीलता को बढ़ाने के लिए विशिष्ट दबाव बिंदुओं का उपयोग शामिल है?")</f>
        <v>कलारीपयट्टू प्रशिक्षण के दौरान, किस अभ्यास में युद्ध प्रभावशीलता को बढ़ाने के लिए विशिष्ट दबाव बिंदुओं का उपयोग शामिल है?</v>
      </c>
      <c r="H472" s="5" t="str">
        <f>IFERROR(__xludf.DUMMYFUNCTION("GOOGLETRANSLATE(C472, ""en"", ""hi"")"),"ए) मार्मा, बी) वर्मम, सी) एडवस, डी) उझिचिल")</f>
        <v>ए) मार्मा, बी) वर्मम, सी) एडवस, डी) उझिचिल</v>
      </c>
      <c r="I472" s="5" t="str">
        <f>IFERROR(__xludf.DUMMYFUNCTION("GOOGLETRANSLATE(D472, ""en"", ""hi"")"),"A) मर्म")</f>
        <v>A) मर्म</v>
      </c>
    </row>
    <row r="473" ht="22.5" customHeight="1">
      <c r="A473" s="2">
        <v>472.0</v>
      </c>
      <c r="B473" s="3" t="s">
        <v>14348</v>
      </c>
      <c r="C473" s="3" t="s">
        <v>14278</v>
      </c>
      <c r="D473" s="3" t="s">
        <v>14279</v>
      </c>
      <c r="F473" s="5" t="str">
        <f>IFERROR(__xludf.DUMMYFUNCTION("GOOGLETRANSLATE(A473, ""en"", ""hi"")"),"472")</f>
        <v>472</v>
      </c>
      <c r="G473" s="5" t="str">
        <f>IFERROR(__xludf.DUMMYFUNCTION("GOOGLETRANSLATE(B473, ""en"", ""hi"")"),"एक कलारीपयट्टू अभ्यासी भाला प्रभावी ढंग से चलाने की तकनीक सीख रहा है। वे किस अभ्यास पर ध्यान केंद्रित कर रहे हैं?")</f>
        <v>एक कलारीपयट्टू अभ्यासी भाला प्रभावी ढंग से चलाने की तकनीक सीख रहा है। वे किस अभ्यास पर ध्यान केंद्रित कर रहे हैं?</v>
      </c>
      <c r="H473" s="5" t="str">
        <f>IFERROR(__xludf.DUMMYFUNCTION("GOOGLETRANSLATE(C473, ""en"", ""hi"")"),"ए) भाला तकनीक, बी) वर्मा, सी) एडवस, डी) उझिचिल")</f>
        <v>ए) भाला तकनीक, बी) वर्मा, सी) एडवस, डी) उझिचिल</v>
      </c>
      <c r="I473" s="5" t="str">
        <f>IFERROR(__xludf.DUMMYFUNCTION("GOOGLETRANSLATE(D473, ""en"", ""hi"")"),"ए) भाला तकनीक")</f>
        <v>ए) भाला तकनीक</v>
      </c>
    </row>
    <row r="474" ht="22.5" customHeight="1">
      <c r="A474" s="2">
        <v>473.0</v>
      </c>
      <c r="B474" s="3" t="s">
        <v>14349</v>
      </c>
      <c r="C474" s="3" t="s">
        <v>14333</v>
      </c>
      <c r="D474" s="3" t="s">
        <v>13675</v>
      </c>
      <c r="F474" s="5" t="str">
        <f>IFERROR(__xludf.DUMMYFUNCTION("GOOGLETRANSLATE(A474, ""en"", ""hi"")"),"473")</f>
        <v>473</v>
      </c>
      <c r="G474" s="5" t="str">
        <f>IFERROR(__xludf.DUMMYFUNCTION("GOOGLETRANSLATE(B474, ""en"", ""hi"")"),"कलारीपयट्टू में हमलों से बचने और उनका मुकाबला करने की कला में निपुणता हासिल करने के लिए कौन सी तकनीक महत्वपूर्ण है?")</f>
        <v>कलारीपयट्टू में हमलों से बचने और उनका मुकाबला करने की कला में निपुणता हासिल करने के लिए कौन सी तकनीक महत्वपूर्ण है?</v>
      </c>
      <c r="H474" s="5" t="str">
        <f>IFERROR(__xludf.DUMMYFUNCTION("GOOGLETRANSLATE(C474, ""en"", ""hi"")"),"ए) चुवडु, बी) वर्मम, सी) उझिचिल, डी) एडवस")</f>
        <v>ए) चुवडु, बी) वर्मम, सी) उझिचिल, डी) एडवस</v>
      </c>
      <c r="I474" s="5" t="str">
        <f>IFERROR(__xludf.DUMMYFUNCTION("GOOGLETRANSLATE(D474, ""en"", ""hi"")"),"A) चुवाडु")</f>
        <v>A) चुवाडु</v>
      </c>
    </row>
    <row r="475" ht="22.5" customHeight="1">
      <c r="A475" s="2">
        <v>474.0</v>
      </c>
      <c r="B475" s="3" t="s">
        <v>14350</v>
      </c>
      <c r="C475" s="3" t="s">
        <v>14251</v>
      </c>
      <c r="D475" s="3" t="s">
        <v>14252</v>
      </c>
      <c r="F475" s="5" t="str">
        <f>IFERROR(__xludf.DUMMYFUNCTION("GOOGLETRANSLATE(A475, ""en"", ""hi"")"),"474")</f>
        <v>474</v>
      </c>
      <c r="G475" s="5" t="str">
        <f>IFERROR(__xludf.DUMMYFUNCTION("GOOGLETRANSLATE(B475, ""en"", ""hi"")"),"कलारीपयट्टू प्रशिक्षण के दौरान, कौन सा अभ्यास प्रभावी युद्ध तकनीकों के लिए एक लंबे हथियार का उपयोग करने पर केंद्रित है?")</f>
        <v>कलारीपयट्टू प्रशिक्षण के दौरान, कौन सा अभ्यास प्रभावी युद्ध तकनीकों के लिए एक लंबे हथियार का उपयोग करने पर केंद्रित है?</v>
      </c>
      <c r="H475" s="5" t="str">
        <f>IFERROR(__xludf.DUMMYFUNCTION("GOOGLETRANSLATE(C475, ""en"", ""hi"")"),"A) लॉन्ग स्टिक तकनीक, B) वर्मा, C) अदावस, D) उझिचिल")</f>
        <v>A) लॉन्ग स्टिक तकनीक, B) वर्मा, C) अदावस, D) उझिचिल</v>
      </c>
      <c r="I475" s="5" t="str">
        <f>IFERROR(__xludf.DUMMYFUNCTION("GOOGLETRANSLATE(D475, ""en"", ""hi"")"),"ए) लंबी छड़ी तकनीक")</f>
        <v>ए) लंबी छड़ी तकनीक</v>
      </c>
    </row>
    <row r="476" ht="22.5" customHeight="1">
      <c r="A476" s="2">
        <v>475.0</v>
      </c>
      <c r="B476" s="3" t="s">
        <v>14351</v>
      </c>
      <c r="C476" s="3" t="s">
        <v>14285</v>
      </c>
      <c r="D476" s="3" t="s">
        <v>14286</v>
      </c>
      <c r="F476" s="5" t="str">
        <f>IFERROR(__xludf.DUMMYFUNCTION("GOOGLETRANSLATE(A476, ""en"", ""hi"")"),"475")</f>
        <v>475</v>
      </c>
      <c r="G476" s="5" t="str">
        <f>IFERROR(__xludf.DUMMYFUNCTION("GOOGLETRANSLATE(B476, ""en"", ""hi"")"),"कलारीपयट्टू में तलवार से त्वरित और शक्तिशाली प्रहार की कला में निपुणता प्राप्त करने के लिए आपको किस अभ्यास पर ध्यान केंद्रित करना चाहिए?")</f>
        <v>कलारीपयट्टू में तलवार से त्वरित और शक्तिशाली प्रहार की कला में निपुणता प्राप्त करने के लिए आपको किस अभ्यास पर ध्यान केंद्रित करना चाहिए?</v>
      </c>
      <c r="H476" s="5" t="str">
        <f>IFERROR(__xludf.DUMMYFUNCTION("GOOGLETRANSLATE(C476, ""en"", ""hi"")"),"ए) तलवार तकनीक, बी) वर्मा, सी) एडवस, डी) उझिचिल")</f>
        <v>ए) तलवार तकनीक, बी) वर्मा, सी) एडवस, डी) उझिचिल</v>
      </c>
      <c r="I476" s="5" t="str">
        <f>IFERROR(__xludf.DUMMYFUNCTION("GOOGLETRANSLATE(D476, ""en"", ""hi"")"),"A) तलवार तकनीक")</f>
        <v>A) तलवार तकनीक</v>
      </c>
    </row>
    <row r="477" ht="22.5" customHeight="1">
      <c r="A477" s="2">
        <v>476.0</v>
      </c>
      <c r="B477" s="3" t="s">
        <v>14352</v>
      </c>
      <c r="C477" s="3" t="s">
        <v>14016</v>
      </c>
      <c r="D477" s="3" t="s">
        <v>13684</v>
      </c>
      <c r="F477" s="5" t="str">
        <f>IFERROR(__xludf.DUMMYFUNCTION("GOOGLETRANSLATE(A477, ""en"", ""hi"")"),"476")</f>
        <v>476</v>
      </c>
      <c r="G477" s="5" t="str">
        <f>IFERROR(__xludf.DUMMYFUNCTION("GOOGLETRANSLATE(B477, ""en"", ""hi"")"),"एक कलारीपयट्टू अभ्यासी अपनी शारीरिक स्थिति और शक्ति को बेहतर बनाने की तकनीकों पर काम कर रहा है। उसे किस अभ्यास को प्राथमिकता देनी चाहिए?")</f>
        <v>एक कलारीपयट्टू अभ्यासी अपनी शारीरिक स्थिति और शक्ति को बेहतर बनाने की तकनीकों पर काम कर रहा है। उसे किस अभ्यास को प्राथमिकता देनी चाहिए?</v>
      </c>
      <c r="H477" s="5" t="str">
        <f>IFERROR(__xludf.DUMMYFUNCTION("GOOGLETRANSLATE(C477, ""en"", ""hi"")"),"ए) उझिचिल, बी) एडवस, सी) वर्मा, डी) चुवाडु")</f>
        <v>ए) उझिचिल, बी) एडवस, सी) वर्मा, डी) चुवाडु</v>
      </c>
      <c r="I477" s="5" t="str">
        <f>IFERROR(__xludf.DUMMYFUNCTION("GOOGLETRANSLATE(D477, ""en"", ""hi"")"),"A) उझिचिल")</f>
        <v>A) उझिचिल</v>
      </c>
    </row>
    <row r="478" ht="22.5" customHeight="1">
      <c r="A478" s="2">
        <v>477.0</v>
      </c>
      <c r="B478" s="3" t="s">
        <v>14353</v>
      </c>
      <c r="C478" s="3" t="s">
        <v>13809</v>
      </c>
      <c r="D478" s="3" t="s">
        <v>13675</v>
      </c>
      <c r="F478" s="5" t="str">
        <f>IFERROR(__xludf.DUMMYFUNCTION("GOOGLETRANSLATE(A478, ""en"", ""hi"")"),"477")</f>
        <v>477</v>
      </c>
      <c r="G478" s="5" t="str">
        <f>IFERROR(__xludf.DUMMYFUNCTION("GOOGLETRANSLATE(B478, ""en"", ""hi"")"),"कलारीपयट्टू प्रशिक्षण के दौरान, कौन सी तकनीक विशिष्ट फुटवर्क के माध्यम से चपलता और सजगता में सुधार पर केंद्रित है?")</f>
        <v>कलारीपयट्टू प्रशिक्षण के दौरान, कौन सी तकनीक विशिष्ट फुटवर्क के माध्यम से चपलता और सजगता में सुधार पर केंद्रित है?</v>
      </c>
      <c r="H478" s="5" t="str">
        <f>IFERROR(__xludf.DUMMYFUNCTION("GOOGLETRANSLATE(C478, ""en"", ""hi"")"),"ए) चुवडु, बी) वर्मम, सी) एडवस, डी) उझिचिल")</f>
        <v>ए) चुवडु, बी) वर्मम, सी) एडवस, डी) उझिचिल</v>
      </c>
      <c r="I478" s="5" t="str">
        <f>IFERROR(__xludf.DUMMYFUNCTION("GOOGLETRANSLATE(D478, ""en"", ""hi"")"),"A) चुवाडु")</f>
        <v>A) चुवाडु</v>
      </c>
    </row>
    <row r="479" ht="22.5" customHeight="1">
      <c r="A479" s="2">
        <v>478.0</v>
      </c>
      <c r="B479" s="3" t="s">
        <v>14354</v>
      </c>
      <c r="C479" s="3" t="s">
        <v>13713</v>
      </c>
      <c r="D479" s="3" t="s">
        <v>13714</v>
      </c>
      <c r="F479" s="5" t="str">
        <f>IFERROR(__xludf.DUMMYFUNCTION("GOOGLETRANSLATE(A479, ""en"", ""hi"")"),"478")</f>
        <v>478</v>
      </c>
      <c r="G479" s="5" t="str">
        <f>IFERROR(__xludf.DUMMYFUNCTION("GOOGLETRANSLATE(B479, ""en"", ""hi"")"),"कलारीपयट्टू में, प्रभावी वार और प्रहार की तकनीकों के लिए मुख्य रूप से किस हथियार का उपयोग किया जाता है?")</f>
        <v>कलारीपयट्टू में, प्रभावी वार और प्रहार की तकनीकों के लिए मुख्य रूप से किस हथियार का उपयोग किया जाता है?</v>
      </c>
      <c r="H479" s="5" t="str">
        <f>IFERROR(__xludf.DUMMYFUNCTION("GOOGLETRANSLATE(C479, ""en"", ""hi"")"),"A) तलवार, B) गदा, C) भाला, D) खंजर")</f>
        <v>A) तलवार, B) गदा, C) भाला, D) खंजर</v>
      </c>
      <c r="I479" s="5" t="str">
        <f>IFERROR(__xludf.DUMMYFUNCTION("GOOGLETRANSLATE(D479, ""en"", ""hi"")"),"ए) तलवार")</f>
        <v>ए) तलवार</v>
      </c>
    </row>
    <row r="480" ht="22.5" customHeight="1">
      <c r="A480" s="2">
        <v>479.0</v>
      </c>
      <c r="B480" s="3" t="s">
        <v>14355</v>
      </c>
      <c r="C480" s="3" t="s">
        <v>13978</v>
      </c>
      <c r="D480" s="3" t="s">
        <v>13678</v>
      </c>
      <c r="F480" s="5" t="str">
        <f>IFERROR(__xludf.DUMMYFUNCTION("GOOGLETRANSLATE(A480, ""en"", ""hi"")"),"479")</f>
        <v>479</v>
      </c>
      <c r="G480" s="5" t="str">
        <f>IFERROR(__xludf.DUMMYFUNCTION("GOOGLETRANSLATE(B480, ""en"", ""hi"")"),"एक कलारीपयट्टू अभ्यासी शक्तिशाली और सटीक प्रहार करने की अपनी क्षमता बढ़ाने के लिए तकनीकें सीख रहा है। वे किस अभ्यास पर ध्यान केंद्रित कर रहे हैं?")</f>
        <v>एक कलारीपयट्टू अभ्यासी शक्तिशाली और सटीक प्रहार करने की अपनी क्षमता बढ़ाने के लिए तकनीकें सीख रहा है। वे किस अभ्यास पर ध्यान केंद्रित कर रहे हैं?</v>
      </c>
      <c r="H480" s="5" t="str">
        <f>IFERROR(__xludf.DUMMYFUNCTION("GOOGLETRANSLATE(C480, ""en"", ""hi"")"),"ए) वर्मम, बी) एडवस, सी) चुवाडु, डी) उझिचिल")</f>
        <v>ए) वर्मम, बी) एडवस, सी) चुवाडु, डी) उझिचिल</v>
      </c>
      <c r="I480" s="5" t="str">
        <f>IFERROR(__xludf.DUMMYFUNCTION("GOOGLETRANSLATE(D480, ""en"", ""hi"")"),"ए) वर्माम")</f>
        <v>ए) वर्माम</v>
      </c>
    </row>
    <row r="481" ht="22.5" customHeight="1">
      <c r="A481" s="2">
        <v>480.0</v>
      </c>
      <c r="B481" s="3" t="s">
        <v>14356</v>
      </c>
      <c r="C481" s="3" t="s">
        <v>14013</v>
      </c>
      <c r="D481" s="3" t="s">
        <v>13932</v>
      </c>
      <c r="F481" s="5" t="str">
        <f>IFERROR(__xludf.DUMMYFUNCTION("GOOGLETRANSLATE(A481, ""en"", ""hi"")"),"480")</f>
        <v>480</v>
      </c>
      <c r="G481" s="5" t="str">
        <f>IFERROR(__xludf.DUMMYFUNCTION("GOOGLETRANSLATE(B481, ""en"", ""hi"")"),"कलारीपयट्टू में किस अभ्यास में प्रतिद्वंद्वी को अशक्त करने के लिए विशिष्ट दबाव बिंदुओं का उपयोग किया जाता है?")</f>
        <v>कलारीपयट्टू में किस अभ्यास में प्रतिद्वंद्वी को अशक्त करने के लिए विशिष्ट दबाव बिंदुओं का उपयोग किया जाता है?</v>
      </c>
      <c r="H481" s="5" t="str">
        <f>IFERROR(__xludf.DUMMYFUNCTION("GOOGLETRANSLATE(C481, ""en"", ""hi"")"),"ए) मार्मा, बी) वर्मम, सी) एडवस, डी) उझिचिल")</f>
        <v>ए) मार्मा, बी) वर्मम, सी) एडवस, डी) उझिचिल</v>
      </c>
      <c r="I481" s="5" t="str">
        <f>IFERROR(__xludf.DUMMYFUNCTION("GOOGLETRANSLATE(D481, ""en"", ""hi"")"),"A) मर्म")</f>
        <v>A) मर्म</v>
      </c>
    </row>
    <row r="482" ht="22.5" customHeight="1">
      <c r="A482" s="2">
        <v>481.0</v>
      </c>
      <c r="B482" s="3" t="s">
        <v>14357</v>
      </c>
      <c r="C482" s="3" t="s">
        <v>14242</v>
      </c>
      <c r="D482" s="3" t="s">
        <v>14243</v>
      </c>
      <c r="F482" s="5" t="str">
        <f>IFERROR(__xludf.DUMMYFUNCTION("GOOGLETRANSLATE(A482, ""en"", ""hi"")"),"481")</f>
        <v>481</v>
      </c>
      <c r="G482" s="5" t="str">
        <f>IFERROR(__xludf.DUMMYFUNCTION("GOOGLETRANSLATE(B482, ""en"", ""hi"")"),"कलारीपयट्टू प्रशिक्षण के दौरान, नजदीकी युद्ध परिदृश्यों में खंजर का उपयोग करने की कला में निपुणता प्राप्त करने के लिए आपको किस अभ्यास पर ध्यान केंद्रित करना चाहिए?")</f>
        <v>कलारीपयट्टू प्रशिक्षण के दौरान, नजदीकी युद्ध परिदृश्यों में खंजर का उपयोग करने की कला में निपुणता प्राप्त करने के लिए आपको किस अभ्यास पर ध्यान केंद्रित करना चाहिए?</v>
      </c>
      <c r="H482" s="5" t="str">
        <f>IFERROR(__xludf.DUMMYFUNCTION("GOOGLETRANSLATE(C482, ""en"", ""hi"")"),"ए) डैगर तकनीक, बी) वर्मा, सी) एडवस, डी) उझिचिल")</f>
        <v>ए) डैगर तकनीक, बी) वर्मा, सी) एडवस, डी) उझिचिल</v>
      </c>
      <c r="I482" s="5" t="str">
        <f>IFERROR(__xludf.DUMMYFUNCTION("GOOGLETRANSLATE(D482, ""en"", ""hi"")"),"ए) खंजर तकनीक")</f>
        <v>ए) खंजर तकनीक</v>
      </c>
    </row>
    <row r="483" ht="22.5" customHeight="1">
      <c r="A483" s="2">
        <v>482.0</v>
      </c>
      <c r="B483" s="3" t="s">
        <v>14358</v>
      </c>
      <c r="C483" s="3" t="s">
        <v>14016</v>
      </c>
      <c r="D483" s="3" t="s">
        <v>13684</v>
      </c>
      <c r="F483" s="5" t="str">
        <f>IFERROR(__xludf.DUMMYFUNCTION("GOOGLETRANSLATE(A483, ""en"", ""hi"")"),"482")</f>
        <v>482</v>
      </c>
      <c r="G483" s="5" t="str">
        <f>IFERROR(__xludf.DUMMYFUNCTION("GOOGLETRANSLATE(B483, ""en"", ""hi"")"),"एक कलारीपयट्टू अभ्यासी अपनी शारीरिक शक्ति और सहनशक्ति बढ़ाने पर ध्यान केंद्रित कर रहा है। उसे किस अभ्यास को प्राथमिकता देनी चाहिए?")</f>
        <v>एक कलारीपयट्टू अभ्यासी अपनी शारीरिक शक्ति और सहनशक्ति बढ़ाने पर ध्यान केंद्रित कर रहा है। उसे किस अभ्यास को प्राथमिकता देनी चाहिए?</v>
      </c>
      <c r="H483" s="5" t="str">
        <f>IFERROR(__xludf.DUMMYFUNCTION("GOOGLETRANSLATE(C483, ""en"", ""hi"")"),"ए) उझिचिल, बी) एडवस, सी) वर्मा, डी) चुवाडु")</f>
        <v>ए) उझिचिल, बी) एडवस, सी) वर्मा, डी) चुवाडु</v>
      </c>
      <c r="I483" s="5" t="str">
        <f>IFERROR(__xludf.DUMMYFUNCTION("GOOGLETRANSLATE(D483, ""en"", ""hi"")"),"A) उझिचिल")</f>
        <v>A) उझिचिल</v>
      </c>
    </row>
    <row r="484" ht="22.5" customHeight="1">
      <c r="A484" s="2">
        <v>483.0</v>
      </c>
      <c r="B484" s="3" t="s">
        <v>14359</v>
      </c>
      <c r="C484" s="3" t="s">
        <v>14251</v>
      </c>
      <c r="D484" s="3" t="s">
        <v>14252</v>
      </c>
      <c r="F484" s="5" t="str">
        <f>IFERROR(__xludf.DUMMYFUNCTION("GOOGLETRANSLATE(A484, ""en"", ""hi"")"),"483")</f>
        <v>483</v>
      </c>
      <c r="G484" s="5" t="str">
        <f>IFERROR(__xludf.DUMMYFUNCTION("GOOGLETRANSLATE(B484, ""en"", ""hi"")"),"कलारीपयट्टू में, किस तकनीक में आक्रामक और रक्षात्मक दोनों युद्धाभ्यास के लिए एक लंबे हथियार का उपयोग किया जाता है?")</f>
        <v>कलारीपयट्टू में, किस तकनीक में आक्रामक और रक्षात्मक दोनों युद्धाभ्यास के लिए एक लंबे हथियार का उपयोग किया जाता है?</v>
      </c>
      <c r="H484" s="5" t="str">
        <f>IFERROR(__xludf.DUMMYFUNCTION("GOOGLETRANSLATE(C484, ""en"", ""hi"")"),"A) लॉन्ग स्टिक तकनीक, B) वर्मा, C) अदावस, D) उझिचिल")</f>
        <v>A) लॉन्ग स्टिक तकनीक, B) वर्मा, C) अदावस, D) उझिचिल</v>
      </c>
      <c r="I484" s="5" t="str">
        <f>IFERROR(__xludf.DUMMYFUNCTION("GOOGLETRANSLATE(D484, ""en"", ""hi"")"),"ए) लंबी छड़ी तकनीक")</f>
        <v>ए) लंबी छड़ी तकनीक</v>
      </c>
    </row>
    <row r="485" ht="22.5" customHeight="1">
      <c r="A485" s="2">
        <v>484.0</v>
      </c>
      <c r="B485" s="3" t="s">
        <v>14360</v>
      </c>
      <c r="C485" s="3" t="s">
        <v>13809</v>
      </c>
      <c r="D485" s="3" t="s">
        <v>13675</v>
      </c>
      <c r="F485" s="5" t="str">
        <f>IFERROR(__xludf.DUMMYFUNCTION("GOOGLETRANSLATE(A485, ""en"", ""hi"")"),"484")</f>
        <v>484</v>
      </c>
      <c r="G485" s="5" t="str">
        <f>IFERROR(__xludf.DUMMYFUNCTION("GOOGLETRANSLATE(B485, ""en"", ""hi"")"),"कलारीपयट्टू प्रशिक्षण के दौरान, कौन सा अभ्यास हमलों से बचने और उनका मुकाबला करने की क्षमता बढ़ाने पर केंद्रित है?")</f>
        <v>कलारीपयट्टू प्रशिक्षण के दौरान, कौन सा अभ्यास हमलों से बचने और उनका मुकाबला करने की क्षमता बढ़ाने पर केंद्रित है?</v>
      </c>
      <c r="H485" s="5" t="str">
        <f>IFERROR(__xludf.DUMMYFUNCTION("GOOGLETRANSLATE(C485, ""en"", ""hi"")"),"ए) चुवडु, बी) वर्मम, सी) एडवस, डी) उझिचिल")</f>
        <v>ए) चुवडु, बी) वर्मम, सी) एडवस, डी) उझिचिल</v>
      </c>
      <c r="I485" s="5" t="str">
        <f>IFERROR(__xludf.DUMMYFUNCTION("GOOGLETRANSLATE(D485, ""en"", ""hi"")"),"A) चुवाडु")</f>
        <v>A) चुवाडु</v>
      </c>
    </row>
    <row r="486" ht="22.5" customHeight="1">
      <c r="A486" s="2">
        <v>485.0</v>
      </c>
      <c r="B486" s="3" t="s">
        <v>14361</v>
      </c>
      <c r="C486" s="3" t="s">
        <v>13713</v>
      </c>
      <c r="D486" s="3" t="s">
        <v>13714</v>
      </c>
      <c r="F486" s="5" t="str">
        <f>IFERROR(__xludf.DUMMYFUNCTION("GOOGLETRANSLATE(A486, ""en"", ""hi"")"),"485")</f>
        <v>485</v>
      </c>
      <c r="G486" s="5" t="str">
        <f>IFERROR(__xludf.DUMMYFUNCTION("GOOGLETRANSLATE(B486, ""en"", ""hi"")"),"कलारीपयट्टू में, कौन सा हथियार त्वरित और सटीक वार और प्रहार की तकनीक के लिए सबसे उपयुक्त है?")</f>
        <v>कलारीपयट्टू में, कौन सा हथियार त्वरित और सटीक वार और प्रहार की तकनीक के लिए सबसे उपयुक्त है?</v>
      </c>
      <c r="H486" s="5" t="str">
        <f>IFERROR(__xludf.DUMMYFUNCTION("GOOGLETRANSLATE(C486, ""en"", ""hi"")"),"A) तलवार, B) गदा, C) भाला, D) खंजर")</f>
        <v>A) तलवार, B) गदा, C) भाला, D) खंजर</v>
      </c>
      <c r="I486" s="5" t="str">
        <f>IFERROR(__xludf.DUMMYFUNCTION("GOOGLETRANSLATE(D486, ""en"", ""hi"")"),"ए) तलवार")</f>
        <v>ए) तलवार</v>
      </c>
    </row>
    <row r="487" ht="22.5" customHeight="1">
      <c r="A487" s="2">
        <v>486.0</v>
      </c>
      <c r="B487" s="3" t="s">
        <v>14281</v>
      </c>
      <c r="C487" s="3" t="s">
        <v>14282</v>
      </c>
      <c r="D487" s="3" t="s">
        <v>14283</v>
      </c>
      <c r="F487" s="5" t="str">
        <f>IFERROR(__xludf.DUMMYFUNCTION("GOOGLETRANSLATE(A487, ""en"", ""hi"")"),"486")</f>
        <v>486</v>
      </c>
      <c r="G487" s="5" t="str">
        <f>IFERROR(__xludf.DUMMYFUNCTION("GOOGLETRANSLATE(B487, ""en"", ""hi"")"),"एक कलारीपयट्टू अभ्यासी गदा को प्रभावी ढंग से चलाने की तकनीक सीख रहा है। वे किस अभ्यास पर ध्यान केंद्रित कर रहे हैं?")</f>
        <v>एक कलारीपयट्टू अभ्यासी गदा को प्रभावी ढंग से चलाने की तकनीक सीख रहा है। वे किस अभ्यास पर ध्यान केंद्रित कर रहे हैं?</v>
      </c>
      <c r="H487" s="5" t="str">
        <f>IFERROR(__xludf.DUMMYFUNCTION("GOOGLETRANSLATE(C487, ""en"", ""hi"")"),"ए) गदा तकनीक, बी) वर्मा, सी) एडवस, डी) उझिचिल")</f>
        <v>ए) गदा तकनीक, बी) वर्मा, सी) एडवस, डी) उझिचिल</v>
      </c>
      <c r="I487" s="5" t="str">
        <f>IFERROR(__xludf.DUMMYFUNCTION("GOOGLETRANSLATE(D487, ""en"", ""hi"")"),"ए) गदा तकनीक")</f>
        <v>ए) गदा तकनीक</v>
      </c>
    </row>
    <row r="488" ht="22.5" customHeight="1">
      <c r="A488" s="2">
        <v>487.0</v>
      </c>
      <c r="B488" s="3" t="s">
        <v>14362</v>
      </c>
      <c r="C488" s="3" t="s">
        <v>14339</v>
      </c>
      <c r="D488" s="3" t="s">
        <v>14286</v>
      </c>
      <c r="F488" s="5" t="str">
        <f>IFERROR(__xludf.DUMMYFUNCTION("GOOGLETRANSLATE(A488, ""en"", ""hi"")"),"487")</f>
        <v>487</v>
      </c>
      <c r="G488" s="5" t="str">
        <f>IFERROR(__xludf.DUMMYFUNCTION("GOOGLETRANSLATE(B488, ""en"", ""hi"")"),"कलारीपयट्टू प्रशिक्षण के दौरान तलवार से सटीक प्रहार करने के लिए कौन सा अभ्यास आवश्यक है?")</f>
        <v>कलारीपयट्टू प्रशिक्षण के दौरान तलवार से सटीक प्रहार करने के लिए कौन सा अभ्यास आवश्यक है?</v>
      </c>
      <c r="H488" s="5" t="str">
        <f>IFERROR(__xludf.DUMMYFUNCTION("GOOGLETRANSLATE(C488, ""en"", ""hi"")"),"ए) तलवार तकनीक, बी) वर्मा, सी) चुवाडु, डी) एडवस")</f>
        <v>ए) तलवार तकनीक, बी) वर्मा, सी) चुवाडु, डी) एडवस</v>
      </c>
      <c r="I488" s="5" t="str">
        <f>IFERROR(__xludf.DUMMYFUNCTION("GOOGLETRANSLATE(D488, ""en"", ""hi"")"),"A) तलवार तकनीक")</f>
        <v>A) तलवार तकनीक</v>
      </c>
    </row>
    <row r="489" ht="22.5" customHeight="1">
      <c r="A489" s="2">
        <v>488.0</v>
      </c>
      <c r="B489" s="3" t="s">
        <v>14363</v>
      </c>
      <c r="C489" s="3" t="s">
        <v>14278</v>
      </c>
      <c r="D489" s="3" t="s">
        <v>14279</v>
      </c>
      <c r="F489" s="5" t="str">
        <f>IFERROR(__xludf.DUMMYFUNCTION("GOOGLETRANSLATE(A489, ""en"", ""hi"")"),"488")</f>
        <v>488</v>
      </c>
      <c r="G489" s="5" t="str">
        <f>IFERROR(__xludf.DUMMYFUNCTION("GOOGLETRANSLATE(B489, ""en"", ""hi"")"),"कलारीपयट्टू में, आक्रमण और बचाव दोनों के लिए भाले के उपयोग में निपुणता प्राप्त करने के लिए कौन सी तकनीक महत्वपूर्ण है?")</f>
        <v>कलारीपयट्टू में, आक्रमण और बचाव दोनों के लिए भाले के उपयोग में निपुणता प्राप्त करने के लिए कौन सी तकनीक महत्वपूर्ण है?</v>
      </c>
      <c r="H489" s="5" t="str">
        <f>IFERROR(__xludf.DUMMYFUNCTION("GOOGLETRANSLATE(C489, ""en"", ""hi"")"),"ए) भाला तकनीक, बी) वर्मा, सी) एडवस, डी) उझिचिल")</f>
        <v>ए) भाला तकनीक, बी) वर्मा, सी) एडवस, डी) उझिचिल</v>
      </c>
      <c r="I489" s="5" t="str">
        <f>IFERROR(__xludf.DUMMYFUNCTION("GOOGLETRANSLATE(D489, ""en"", ""hi"")"),"ए) भाला तकनीक")</f>
        <v>ए) भाला तकनीक</v>
      </c>
    </row>
    <row r="490" ht="22.5" customHeight="1">
      <c r="A490" s="2">
        <v>489.0</v>
      </c>
      <c r="B490" s="3" t="s">
        <v>14364</v>
      </c>
      <c r="C490" s="3" t="s">
        <v>13809</v>
      </c>
      <c r="D490" s="3" t="s">
        <v>13675</v>
      </c>
      <c r="F490" s="5" t="str">
        <f>IFERROR(__xludf.DUMMYFUNCTION("GOOGLETRANSLATE(A490, ""en"", ""hi"")"),"489")</f>
        <v>489</v>
      </c>
      <c r="G490" s="5" t="str">
        <f>IFERROR(__xludf.DUMMYFUNCTION("GOOGLETRANSLATE(B490, ""en"", ""hi"")"),"एक कलारीपयट्टू अभ्यासी अपने पैरों की गति और रक्षात्मक कौशल को बेहतर बनाने की तकनीकों पर ध्यान केंद्रित कर रहा है। उन्हें किस अभ्यास पर ज़ोर देना चाहिए?")</f>
        <v>एक कलारीपयट्टू अभ्यासी अपने पैरों की गति और रक्षात्मक कौशल को बेहतर बनाने की तकनीकों पर ध्यान केंद्रित कर रहा है। उन्हें किस अभ्यास पर ज़ोर देना चाहिए?</v>
      </c>
      <c r="H490" s="5" t="str">
        <f>IFERROR(__xludf.DUMMYFUNCTION("GOOGLETRANSLATE(C490, ""en"", ""hi"")"),"ए) चुवडु, बी) वर्मम, सी) एडवस, डी) उझिचिल")</f>
        <v>ए) चुवडु, बी) वर्मम, सी) एडवस, डी) उझिचिल</v>
      </c>
      <c r="I490" s="5" t="str">
        <f>IFERROR(__xludf.DUMMYFUNCTION("GOOGLETRANSLATE(D490, ""en"", ""hi"")"),"A) चुवाडु")</f>
        <v>A) चुवाडु</v>
      </c>
    </row>
    <row r="491" ht="22.5" customHeight="1">
      <c r="A491" s="2">
        <v>490.0</v>
      </c>
      <c r="B491" s="3" t="s">
        <v>14365</v>
      </c>
      <c r="C491" s="3" t="s">
        <v>14013</v>
      </c>
      <c r="D491" s="3" t="s">
        <v>13932</v>
      </c>
      <c r="F491" s="5" t="str">
        <f>IFERROR(__xludf.DUMMYFUNCTION("GOOGLETRANSLATE(A491, ""en"", ""hi"")"),"490")</f>
        <v>490</v>
      </c>
      <c r="G491" s="5" t="str">
        <f>IFERROR(__xludf.DUMMYFUNCTION("GOOGLETRANSLATE(B491, ""en"", ""hi"")"),"कलारीपयट्टू में, कौन सी प्रथा युद्ध प्रभावशीलता के लिए विशिष्ट दबाव बिंदुओं के उपयोग पर केंद्रित है?")</f>
        <v>कलारीपयट्टू में, कौन सी प्रथा युद्ध प्रभावशीलता के लिए विशिष्ट दबाव बिंदुओं के उपयोग पर केंद्रित है?</v>
      </c>
      <c r="H491" s="5" t="str">
        <f>IFERROR(__xludf.DUMMYFUNCTION("GOOGLETRANSLATE(C491, ""en"", ""hi"")"),"ए) मार्मा, बी) वर्मम, सी) एडवस, डी) उझिचिल")</f>
        <v>ए) मार्मा, बी) वर्मम, सी) एडवस, डी) उझिचिल</v>
      </c>
      <c r="I491" s="5" t="str">
        <f>IFERROR(__xludf.DUMMYFUNCTION("GOOGLETRANSLATE(D491, ""en"", ""hi"")"),"A) मर्म")</f>
        <v>A) मर्म</v>
      </c>
    </row>
    <row r="492" ht="22.5" customHeight="1">
      <c r="A492" s="2">
        <v>491.0</v>
      </c>
      <c r="B492" s="3" t="s">
        <v>14366</v>
      </c>
      <c r="C492" s="3" t="s">
        <v>14242</v>
      </c>
      <c r="D492" s="3" t="s">
        <v>14243</v>
      </c>
      <c r="F492" s="5" t="str">
        <f>IFERROR(__xludf.DUMMYFUNCTION("GOOGLETRANSLATE(A492, ""en"", ""hi"")"),"491")</f>
        <v>491</v>
      </c>
      <c r="G492" s="5" t="str">
        <f>IFERROR(__xludf.DUMMYFUNCTION("GOOGLETRANSLATE(B492, ""en"", ""hi"")"),"कलारीपयट्टू प्रशिक्षण के दौरान, किस अभ्यास में खंजर से सटीक और शक्तिशाली प्रहार करने की तकनीक शामिल होती है?")</f>
        <v>कलारीपयट्टू प्रशिक्षण के दौरान, किस अभ्यास में खंजर से सटीक और शक्तिशाली प्रहार करने की तकनीक शामिल होती है?</v>
      </c>
      <c r="H492" s="5" t="str">
        <f>IFERROR(__xludf.DUMMYFUNCTION("GOOGLETRANSLATE(C492, ""en"", ""hi"")"),"ए) डैगर तकनीक, बी) वर्मा, सी) एडवस, डी) उझिचिल")</f>
        <v>ए) डैगर तकनीक, बी) वर्मा, सी) एडवस, डी) उझिचिल</v>
      </c>
      <c r="I492" s="5" t="str">
        <f>IFERROR(__xludf.DUMMYFUNCTION("GOOGLETRANSLATE(D492, ""en"", ""hi"")"),"ए) खंजर तकनीक")</f>
        <v>ए) खंजर तकनीक</v>
      </c>
    </row>
    <row r="493" ht="22.5" customHeight="1">
      <c r="A493" s="2">
        <v>492.0</v>
      </c>
      <c r="B493" s="3" t="s">
        <v>14367</v>
      </c>
      <c r="C493" s="3" t="s">
        <v>14016</v>
      </c>
      <c r="D493" s="3" t="s">
        <v>13684</v>
      </c>
      <c r="F493" s="5" t="str">
        <f>IFERROR(__xludf.DUMMYFUNCTION("GOOGLETRANSLATE(A493, ""en"", ""hi"")"),"492")</f>
        <v>492</v>
      </c>
      <c r="G493" s="5" t="str">
        <f>IFERROR(__xludf.DUMMYFUNCTION("GOOGLETRANSLATE(B493, ""en"", ""hi"")"),"कलारीपयट्टू में, समग्र शारीरिक शक्ति और कंडीशनिंग विकसित करने के लिए आपको किस तकनीक पर ध्यान केंद्रित करना चाहिए?")</f>
        <v>कलारीपयट्टू में, समग्र शारीरिक शक्ति और कंडीशनिंग विकसित करने के लिए आपको किस तकनीक पर ध्यान केंद्रित करना चाहिए?</v>
      </c>
      <c r="H493" s="5" t="str">
        <f>IFERROR(__xludf.DUMMYFUNCTION("GOOGLETRANSLATE(C493, ""en"", ""hi"")"),"ए) उझिचिल, बी) एडवस, सी) वर्मा, डी) चुवाडु")</f>
        <v>ए) उझिचिल, बी) एडवस, सी) वर्मा, डी) चुवाडु</v>
      </c>
      <c r="I493" s="5" t="str">
        <f>IFERROR(__xludf.DUMMYFUNCTION("GOOGLETRANSLATE(D493, ""en"", ""hi"")"),"A) उझिचिल")</f>
        <v>A) उझिचिल</v>
      </c>
    </row>
    <row r="494" ht="22.5" customHeight="1">
      <c r="A494" s="2">
        <v>493.0</v>
      </c>
      <c r="B494" s="3" t="s">
        <v>14368</v>
      </c>
      <c r="C494" s="3" t="s">
        <v>13978</v>
      </c>
      <c r="D494" s="3" t="s">
        <v>13678</v>
      </c>
      <c r="F494" s="5" t="str">
        <f>IFERROR(__xludf.DUMMYFUNCTION("GOOGLETRANSLATE(A494, ""en"", ""hi"")"),"493")</f>
        <v>493</v>
      </c>
      <c r="G494" s="5" t="str">
        <f>IFERROR(__xludf.DUMMYFUNCTION("GOOGLETRANSLATE(B494, ""en"", ""hi"")"),"एक कलारीपयट्टू अभ्यासी अपनी गति और सटीकता को बेहतर बनाने के लिए हथियार के प्रहार की तकनीकें सीख रहा है। वे किस अभ्यास पर ध्यान केंद्रित कर रहे हैं?")</f>
        <v>एक कलारीपयट्टू अभ्यासी अपनी गति और सटीकता को बेहतर बनाने के लिए हथियार के प्रहार की तकनीकें सीख रहा है। वे किस अभ्यास पर ध्यान केंद्रित कर रहे हैं?</v>
      </c>
      <c r="H494" s="5" t="str">
        <f>IFERROR(__xludf.DUMMYFUNCTION("GOOGLETRANSLATE(C494, ""en"", ""hi"")"),"ए) वर्मम, बी) एडवस, सी) चुवाडु, डी) उझिचिल")</f>
        <v>ए) वर्मम, बी) एडवस, सी) चुवाडु, डी) उझिचिल</v>
      </c>
      <c r="I494" s="5" t="str">
        <f>IFERROR(__xludf.DUMMYFUNCTION("GOOGLETRANSLATE(D494, ""en"", ""hi"")"),"ए) वर्माम")</f>
        <v>ए) वर्माम</v>
      </c>
    </row>
    <row r="495" ht="22.5" customHeight="1">
      <c r="A495" s="2">
        <v>494.0</v>
      </c>
      <c r="B495" s="3" t="s">
        <v>14369</v>
      </c>
      <c r="C495" s="3" t="s">
        <v>14251</v>
      </c>
      <c r="D495" s="3" t="s">
        <v>14252</v>
      </c>
      <c r="F495" s="5" t="str">
        <f>IFERROR(__xludf.DUMMYFUNCTION("GOOGLETRANSLATE(A495, ""en"", ""hi"")"),"494")</f>
        <v>494</v>
      </c>
      <c r="G495" s="5" t="str">
        <f>IFERROR(__xludf.DUMMYFUNCTION("GOOGLETRANSLATE(B495, ""en"", ""hi"")"),"कलारीपयट्टू प्रशिक्षण के दौरान, युद्ध में लंबे हथियार के उपयोग में निपुणता प्राप्त करने के लिए कौन सा अभ्यास आवश्यक है?")</f>
        <v>कलारीपयट्टू प्रशिक्षण के दौरान, युद्ध में लंबे हथियार के उपयोग में निपुणता प्राप्त करने के लिए कौन सा अभ्यास आवश्यक है?</v>
      </c>
      <c r="H495" s="5" t="str">
        <f>IFERROR(__xludf.DUMMYFUNCTION("GOOGLETRANSLATE(C495, ""en"", ""hi"")"),"A) लॉन्ग स्टिक तकनीक, B) वर्मा, C) अदावस, D) उझिचिल")</f>
        <v>A) लॉन्ग स्टिक तकनीक, B) वर्मा, C) अदावस, D) उझिचिल</v>
      </c>
      <c r="I495" s="5" t="str">
        <f>IFERROR(__xludf.DUMMYFUNCTION("GOOGLETRANSLATE(D495, ""en"", ""hi"")"),"ए) लंबी छड़ी तकनीक")</f>
        <v>ए) लंबी छड़ी तकनीक</v>
      </c>
    </row>
    <row r="496" ht="22.5" customHeight="1">
      <c r="A496" s="2">
        <v>495.0</v>
      </c>
      <c r="B496" s="3" t="s">
        <v>14370</v>
      </c>
      <c r="C496" s="3" t="s">
        <v>14282</v>
      </c>
      <c r="D496" s="3" t="s">
        <v>14283</v>
      </c>
      <c r="F496" s="5" t="str">
        <f>IFERROR(__xludf.DUMMYFUNCTION("GOOGLETRANSLATE(A496, ""en"", ""hi"")"),"495")</f>
        <v>495</v>
      </c>
      <c r="G496" s="5" t="str">
        <f>IFERROR(__xludf.DUMMYFUNCTION("GOOGLETRANSLATE(B496, ""en"", ""hi"")"),"कलारीपयट्टू में युद्ध में गदा के प्रभावी उपयोग के लिए किस अभ्यास पर जोर दिया जाना चाहिए?")</f>
        <v>कलारीपयट्टू में युद्ध में गदा के प्रभावी उपयोग के लिए किस अभ्यास पर जोर दिया जाना चाहिए?</v>
      </c>
      <c r="H496" s="5" t="str">
        <f>IFERROR(__xludf.DUMMYFUNCTION("GOOGLETRANSLATE(C496, ""en"", ""hi"")"),"ए) गदा तकनीक, बी) वर्मा, सी) एडवस, डी) उझिचिल")</f>
        <v>ए) गदा तकनीक, बी) वर्मा, सी) एडवस, डी) उझिचिल</v>
      </c>
      <c r="I496" s="5" t="str">
        <f>IFERROR(__xludf.DUMMYFUNCTION("GOOGLETRANSLATE(D496, ""en"", ""hi"")"),"ए) गदा तकनीक")</f>
        <v>ए) गदा तकनीक</v>
      </c>
    </row>
    <row r="497" ht="22.5" customHeight="1">
      <c r="A497" s="2">
        <v>496.0</v>
      </c>
      <c r="B497" s="3" t="s">
        <v>14371</v>
      </c>
      <c r="C497" s="3" t="s">
        <v>13809</v>
      </c>
      <c r="D497" s="3" t="s">
        <v>13675</v>
      </c>
      <c r="F497" s="5" t="str">
        <f>IFERROR(__xludf.DUMMYFUNCTION("GOOGLETRANSLATE(A497, ""en"", ""hi"")"),"496")</f>
        <v>496</v>
      </c>
      <c r="G497" s="5" t="str">
        <f>IFERROR(__xludf.DUMMYFUNCTION("GOOGLETRANSLATE(B497, ""en"", ""hi"")"),"एक कलारीपयट्टू अभ्यासी अपने पैरों की गति और रक्षात्मक क्षमताओं को विकसित करने पर ध्यान केंद्रित कर रहा है। उन्हें किस अभ्यास को प्राथमिकता देनी चाहिए?")</f>
        <v>एक कलारीपयट्टू अभ्यासी अपने पैरों की गति और रक्षात्मक क्षमताओं को विकसित करने पर ध्यान केंद्रित कर रहा है। उन्हें किस अभ्यास को प्राथमिकता देनी चाहिए?</v>
      </c>
      <c r="H497" s="5" t="str">
        <f>IFERROR(__xludf.DUMMYFUNCTION("GOOGLETRANSLATE(C497, ""en"", ""hi"")"),"ए) चुवडु, बी) वर्मम, सी) एडवस, डी) उझिचिल")</f>
        <v>ए) चुवडु, बी) वर्मम, सी) एडवस, डी) उझिचिल</v>
      </c>
      <c r="I497" s="5" t="str">
        <f>IFERROR(__xludf.DUMMYFUNCTION("GOOGLETRANSLATE(D497, ""en"", ""hi"")"),"A) चुवाडु")</f>
        <v>A) चुवाडु</v>
      </c>
    </row>
    <row r="498" ht="22.5" customHeight="1">
      <c r="A498" s="2">
        <v>497.0</v>
      </c>
      <c r="B498" s="3" t="s">
        <v>14372</v>
      </c>
      <c r="C498" s="3" t="s">
        <v>13713</v>
      </c>
      <c r="D498" s="3" t="s">
        <v>13714</v>
      </c>
      <c r="F498" s="5" t="str">
        <f>IFERROR(__xludf.DUMMYFUNCTION("GOOGLETRANSLATE(A498, ""en"", ""hi"")"),"497")</f>
        <v>497</v>
      </c>
      <c r="G498" s="5" t="str">
        <f>IFERROR(__xludf.DUMMYFUNCTION("GOOGLETRANSLATE(B498, ""en"", ""hi"")"),"कलारीपयट्टू में, कौन सा हथियार तीव्र और सटीक वार और प्रहार की तकनीक के लिए सबसे उपयुक्त है?")</f>
        <v>कलारीपयट्टू में, कौन सा हथियार तीव्र और सटीक वार और प्रहार की तकनीक के लिए सबसे उपयुक्त है?</v>
      </c>
      <c r="H498" s="5" t="str">
        <f>IFERROR(__xludf.DUMMYFUNCTION("GOOGLETRANSLATE(C498, ""en"", ""hi"")"),"A) तलवार, B) गदा, C) भाला, D) खंजर")</f>
        <v>A) तलवार, B) गदा, C) भाला, D) खंजर</v>
      </c>
      <c r="I498" s="5" t="str">
        <f>IFERROR(__xludf.DUMMYFUNCTION("GOOGLETRANSLATE(D498, ""en"", ""hi"")"),"ए) तलवार")</f>
        <v>ए) तलवार</v>
      </c>
    </row>
    <row r="499" ht="22.5" customHeight="1">
      <c r="A499" s="2">
        <v>498.0</v>
      </c>
      <c r="B499" s="3" t="s">
        <v>14373</v>
      </c>
      <c r="C499" s="3" t="s">
        <v>14278</v>
      </c>
      <c r="D499" s="3" t="s">
        <v>14279</v>
      </c>
      <c r="F499" s="5" t="str">
        <f>IFERROR(__xludf.DUMMYFUNCTION("GOOGLETRANSLATE(A499, ""en"", ""hi"")"),"498")</f>
        <v>498</v>
      </c>
      <c r="G499" s="5" t="str">
        <f>IFERROR(__xludf.DUMMYFUNCTION("GOOGLETRANSLATE(B499, ""en"", ""hi"")"),"कलारीपयट्टू प्रशिक्षण के दौरान, युद्ध में भाले के उपयोग में निपुणता प्राप्त करने के लिए कौन सी तकनीक आवश्यक है?")</f>
        <v>कलारीपयट्टू प्रशिक्षण के दौरान, युद्ध में भाले के उपयोग में निपुणता प्राप्त करने के लिए कौन सी तकनीक आवश्यक है?</v>
      </c>
      <c r="H499" s="5" t="str">
        <f>IFERROR(__xludf.DUMMYFUNCTION("GOOGLETRANSLATE(C499, ""en"", ""hi"")"),"ए) भाला तकनीक, बी) वर्मा, सी) एडवस, डी) उझिचिल")</f>
        <v>ए) भाला तकनीक, बी) वर्मा, सी) एडवस, डी) उझिचिल</v>
      </c>
      <c r="I499" s="5" t="str">
        <f>IFERROR(__xludf.DUMMYFUNCTION("GOOGLETRANSLATE(D499, ""en"", ""hi"")"),"ए) भाला तकनीक")</f>
        <v>ए) भाला तकनीक</v>
      </c>
    </row>
    <row r="500" ht="22.5" customHeight="1">
      <c r="A500" s="2">
        <v>499.0</v>
      </c>
      <c r="B500" s="3" t="s">
        <v>14374</v>
      </c>
      <c r="C500" s="3" t="s">
        <v>14013</v>
      </c>
      <c r="D500" s="3" t="s">
        <v>13932</v>
      </c>
      <c r="F500" s="5" t="str">
        <f>IFERROR(__xludf.DUMMYFUNCTION("GOOGLETRANSLATE(A500, ""en"", ""hi"")"),"499")</f>
        <v>499</v>
      </c>
      <c r="G500" s="5" t="str">
        <f>IFERROR(__xludf.DUMMYFUNCTION("GOOGLETRANSLATE(B500, ""en"", ""hi"")"),"कलारीपयट्टू में, कौन सी प्रथा प्रतिद्वंद्वी को प्रभावी ढंग से अक्षम करने के लिए विशिष्ट दबाव बिंदुओं का उपयोग करने पर केंद्रित है?")</f>
        <v>कलारीपयट्टू में, कौन सी प्रथा प्रतिद्वंद्वी को प्रभावी ढंग से अक्षम करने के लिए विशिष्ट दबाव बिंदुओं का उपयोग करने पर केंद्रित है?</v>
      </c>
      <c r="H500" s="5" t="str">
        <f>IFERROR(__xludf.DUMMYFUNCTION("GOOGLETRANSLATE(C500, ""en"", ""hi"")"),"ए) मार्मा, बी) वर्मम, सी) एडवस, डी) उझिचिल")</f>
        <v>ए) मार्मा, बी) वर्मम, सी) एडवस, डी) उझिचिल</v>
      </c>
      <c r="I500" s="5" t="str">
        <f>IFERROR(__xludf.DUMMYFUNCTION("GOOGLETRANSLATE(D500, ""en"", ""hi"")"),"A) मर्म")</f>
        <v>A) मर्म</v>
      </c>
    </row>
    <row r="501" ht="22.5" customHeight="1">
      <c r="A501" s="2">
        <v>500.0</v>
      </c>
      <c r="B501" s="3" t="s">
        <v>14375</v>
      </c>
      <c r="C501" s="3" t="s">
        <v>14285</v>
      </c>
      <c r="D501" s="3" t="s">
        <v>14286</v>
      </c>
      <c r="F501" s="5" t="str">
        <f>IFERROR(__xludf.DUMMYFUNCTION("GOOGLETRANSLATE(A501, ""en"", ""hi"")"),"500")</f>
        <v>500</v>
      </c>
      <c r="G501" s="5" t="str">
        <f>IFERROR(__xludf.DUMMYFUNCTION("GOOGLETRANSLATE(B501, ""en"", ""hi"")"),"एक कलारीपयट्टू साधक तलवार से तेज़ी और सटीकता से वार करने की अपनी क्षमता बढ़ाने की तकनीकें सीख रहा है। वे किस अभ्यास पर ध्यान केंद्रित कर रहे हैं?")</f>
        <v>एक कलारीपयट्टू साधक तलवार से तेज़ी और सटीकता से वार करने की अपनी क्षमता बढ़ाने की तकनीकें सीख रहा है। वे किस अभ्यास पर ध्यान केंद्रित कर रहे हैं?</v>
      </c>
      <c r="H501" s="5" t="str">
        <f>IFERROR(__xludf.DUMMYFUNCTION("GOOGLETRANSLATE(C501, ""en"", ""hi"")"),"ए) तलवार तकनीक, बी) वर्मा, सी) एडवस, डी) उझिचिल")</f>
        <v>ए) तलवार तकनीक, बी) वर्मा, सी) एडवस, डी) उझिचिल</v>
      </c>
      <c r="I501" s="5" t="str">
        <f>IFERROR(__xludf.DUMMYFUNCTION("GOOGLETRANSLATE(D501, ""en"", ""hi"")"),"A) तलवार तकनीक")</f>
        <v>A) तलवार तकनीक</v>
      </c>
    </row>
    <row r="502" ht="22.5" customHeight="1">
      <c r="A502" s="2">
        <v>501.0</v>
      </c>
      <c r="B502" s="3" t="s">
        <v>14376</v>
      </c>
      <c r="C502" s="3" t="s">
        <v>14251</v>
      </c>
      <c r="D502" s="3" t="s">
        <v>14252</v>
      </c>
      <c r="F502" s="5" t="str">
        <f>IFERROR(__xludf.DUMMYFUNCTION("GOOGLETRANSLATE(A502, ""en"", ""hi"")"),"501")</f>
        <v>501</v>
      </c>
      <c r="G502" s="5" t="str">
        <f>IFERROR(__xludf.DUMMYFUNCTION("GOOGLETRANSLATE(B502, ""en"", ""hi"")"),"कलारीपयट्टू प्रशिक्षण के दौरान, किस तकनीक में प्रभावी आक्रामक और रक्षात्मक युद्धाभ्यास के लिए एक लंबे हथियार का उपयोग शामिल है?")</f>
        <v>कलारीपयट्टू प्रशिक्षण के दौरान, किस तकनीक में प्रभावी आक्रामक और रक्षात्मक युद्धाभ्यास के लिए एक लंबे हथियार का उपयोग शामिल है?</v>
      </c>
      <c r="H502" s="5" t="str">
        <f>IFERROR(__xludf.DUMMYFUNCTION("GOOGLETRANSLATE(C502, ""en"", ""hi"")"),"A) लॉन्ग स्टिक तकनीक, B) वर्मा, C) अदावस, D) उझिचिल")</f>
        <v>A) लॉन्ग स्टिक तकनीक, B) वर्मा, C) अदावस, D) उझिचिल</v>
      </c>
      <c r="I502" s="5" t="str">
        <f>IFERROR(__xludf.DUMMYFUNCTION("GOOGLETRANSLATE(D502, ""en"", ""hi"")"),"ए) लंबी छड़ी तकनीक")</f>
        <v>ए) लंबी छड़ी तकनीक</v>
      </c>
    </row>
    <row r="503" ht="22.5" customHeight="1">
      <c r="A503" s="2">
        <v>502.0</v>
      </c>
      <c r="B503" s="3" t="s">
        <v>14377</v>
      </c>
      <c r="C503" s="3" t="s">
        <v>14242</v>
      </c>
      <c r="D503" s="3" t="s">
        <v>14243</v>
      </c>
      <c r="F503" s="5" t="str">
        <f>IFERROR(__xludf.DUMMYFUNCTION("GOOGLETRANSLATE(A503, ""en"", ""hi"")"),"502")</f>
        <v>502</v>
      </c>
      <c r="G503" s="5" t="str">
        <f>IFERROR(__xludf.DUMMYFUNCTION("GOOGLETRANSLATE(B503, ""en"", ""hi"")"),"कलारीपयट्टू में, निकट-युद्ध परिदृश्यों में खंजर को प्रभावी ढंग से संभालने की क्षमता विकसित करने के लिए किस अभ्यास पर जोर दिया जाना चाहिए?")</f>
        <v>कलारीपयट्टू में, निकट-युद्ध परिदृश्यों में खंजर को प्रभावी ढंग से संभालने की क्षमता विकसित करने के लिए किस अभ्यास पर जोर दिया जाना चाहिए?</v>
      </c>
      <c r="H503" s="5" t="str">
        <f>IFERROR(__xludf.DUMMYFUNCTION("GOOGLETRANSLATE(C503, ""en"", ""hi"")"),"ए) डैगर तकनीक, बी) वर्मा, सी) एडवस, डी) उझिचिल")</f>
        <v>ए) डैगर तकनीक, बी) वर्मा, सी) एडवस, डी) उझिचिल</v>
      </c>
      <c r="I503" s="5" t="str">
        <f>IFERROR(__xludf.DUMMYFUNCTION("GOOGLETRANSLATE(D503, ""en"", ""hi"")"),"ए) खंजर तकनीक")</f>
        <v>ए) खंजर तकनीक</v>
      </c>
    </row>
    <row r="504" ht="22.5" customHeight="1">
      <c r="A504" s="2">
        <v>503.0</v>
      </c>
      <c r="B504" s="3" t="s">
        <v>14378</v>
      </c>
      <c r="C504" s="3" t="s">
        <v>14016</v>
      </c>
      <c r="D504" s="3" t="s">
        <v>13684</v>
      </c>
      <c r="F504" s="5" t="str">
        <f>IFERROR(__xludf.DUMMYFUNCTION("GOOGLETRANSLATE(A504, ""en"", ""hi"")"),"503")</f>
        <v>503</v>
      </c>
      <c r="G504" s="5" t="str">
        <f>IFERROR(__xludf.DUMMYFUNCTION("GOOGLETRANSLATE(B504, ""en"", ""hi"")"),"एक कलारीपयट्टू अभ्यासी अपनी समग्र शारीरिक स्थिति को बेहतर बनाने की तकनीकों पर ध्यान केंद्रित कर रहा है। उन्हें किस अभ्यास को प्राथमिकता देनी चाहिए?")</f>
        <v>एक कलारीपयट्टू अभ्यासी अपनी समग्र शारीरिक स्थिति को बेहतर बनाने की तकनीकों पर ध्यान केंद्रित कर रहा है। उन्हें किस अभ्यास को प्राथमिकता देनी चाहिए?</v>
      </c>
      <c r="H504" s="5" t="str">
        <f>IFERROR(__xludf.DUMMYFUNCTION("GOOGLETRANSLATE(C504, ""en"", ""hi"")"),"ए) उझिचिल, बी) एडवस, सी) वर्मा, डी) चुवाडु")</f>
        <v>ए) उझिचिल, बी) एडवस, सी) वर्मा, डी) चुवाडु</v>
      </c>
      <c r="I504" s="5" t="str">
        <f>IFERROR(__xludf.DUMMYFUNCTION("GOOGLETRANSLATE(D504, ""en"", ""hi"")"),"A) उझिचिल")</f>
        <v>A) उझिचिल</v>
      </c>
    </row>
    <row r="505" ht="22.5" customHeight="1">
      <c r="A505" s="2">
        <v>504.0</v>
      </c>
      <c r="B505" s="3" t="s">
        <v>14379</v>
      </c>
      <c r="C505" s="3" t="s">
        <v>14282</v>
      </c>
      <c r="D505" s="3" t="s">
        <v>14283</v>
      </c>
      <c r="F505" s="5" t="str">
        <f>IFERROR(__xludf.DUMMYFUNCTION("GOOGLETRANSLATE(A505, ""en"", ""hi"")"),"504")</f>
        <v>504</v>
      </c>
      <c r="G505" s="5" t="str">
        <f>IFERROR(__xludf.DUMMYFUNCTION("GOOGLETRANSLATE(B505, ""en"", ""hi"")"),"कलारीपयट्टू में गदा से शक्तिशाली और सटीक प्रहार करने की क्षमता बढ़ाने के लिए कौन सी तकनीक महत्वपूर्ण है?")</f>
        <v>कलारीपयट्टू में गदा से शक्तिशाली और सटीक प्रहार करने की क्षमता बढ़ाने के लिए कौन सी तकनीक महत्वपूर्ण है?</v>
      </c>
      <c r="H505" s="5" t="str">
        <f>IFERROR(__xludf.DUMMYFUNCTION("GOOGLETRANSLATE(C505, ""en"", ""hi"")"),"ए) गदा तकनीक, बी) वर्मा, सी) एडवस, डी) उझिचिल")</f>
        <v>ए) गदा तकनीक, बी) वर्मा, सी) एडवस, डी) उझिचिल</v>
      </c>
      <c r="I505" s="5" t="str">
        <f>IFERROR(__xludf.DUMMYFUNCTION("GOOGLETRANSLATE(D505, ""en"", ""hi"")"),"ए) गदा तकनीक")</f>
        <v>ए) गदा तकनीक</v>
      </c>
    </row>
    <row r="506" ht="22.5" customHeight="1">
      <c r="A506" s="2">
        <v>505.0</v>
      </c>
      <c r="B506" s="3" t="s">
        <v>14380</v>
      </c>
      <c r="C506" s="3" t="s">
        <v>13809</v>
      </c>
      <c r="D506" s="3" t="s">
        <v>13675</v>
      </c>
      <c r="F506" s="5" t="str">
        <f>IFERROR(__xludf.DUMMYFUNCTION("GOOGLETRANSLATE(A506, ""en"", ""hi"")"),"505")</f>
        <v>505</v>
      </c>
      <c r="G506" s="5" t="str">
        <f>IFERROR(__xludf.DUMMYFUNCTION("GOOGLETRANSLATE(B506, ""en"", ""hi"")"),"कलारीपयट्टू प्रशिक्षण के दौरान, कौन सा अभ्यास विशिष्ट तकनीकों के माध्यम से चपलता और सजगता विकसित करने पर केंद्रित है?")</f>
        <v>कलारीपयट्टू प्रशिक्षण के दौरान, कौन सा अभ्यास विशिष्ट तकनीकों के माध्यम से चपलता और सजगता विकसित करने पर केंद्रित है?</v>
      </c>
      <c r="H506" s="5" t="str">
        <f>IFERROR(__xludf.DUMMYFUNCTION("GOOGLETRANSLATE(C506, ""en"", ""hi"")"),"ए) चुवडु, बी) वर्मम, सी) एडवस, डी) उझिचिल")</f>
        <v>ए) चुवडु, बी) वर्मम, सी) एडवस, डी) उझिचिल</v>
      </c>
      <c r="I506" s="5" t="str">
        <f>IFERROR(__xludf.DUMMYFUNCTION("GOOGLETRANSLATE(D506, ""en"", ""hi"")"),"A) चुवाडु")</f>
        <v>A) चुवाडु</v>
      </c>
    </row>
    <row r="507" ht="22.5" customHeight="1">
      <c r="A507" s="2">
        <v>506.0</v>
      </c>
      <c r="B507" s="3" t="s">
        <v>14381</v>
      </c>
      <c r="C507" s="3" t="s">
        <v>13713</v>
      </c>
      <c r="D507" s="3" t="s">
        <v>13714</v>
      </c>
      <c r="F507" s="5" t="str">
        <f>IFERROR(__xludf.DUMMYFUNCTION("GOOGLETRANSLATE(A507, ""en"", ""hi"")"),"506")</f>
        <v>506</v>
      </c>
      <c r="G507" s="5" t="str">
        <f>IFERROR(__xludf.DUMMYFUNCTION("GOOGLETRANSLATE(B507, ""en"", ""hi"")"),"कलारीपयट्टू में, कौन सा हथियार त्वरित और सटीक प्रहार और कट लगाने की तकनीक के लिए सबसे उपयुक्त है?")</f>
        <v>कलारीपयट्टू में, कौन सा हथियार त्वरित और सटीक प्रहार और कट लगाने की तकनीक के लिए सबसे उपयुक्त है?</v>
      </c>
      <c r="H507" s="5" t="str">
        <f>IFERROR(__xludf.DUMMYFUNCTION("GOOGLETRANSLATE(C507, ""en"", ""hi"")"),"A) तलवार, B) गदा, C) भाला, D) खंजर")</f>
        <v>A) तलवार, B) गदा, C) भाला, D) खंजर</v>
      </c>
      <c r="I507" s="5" t="str">
        <f>IFERROR(__xludf.DUMMYFUNCTION("GOOGLETRANSLATE(D507, ""en"", ""hi"")"),"ए) तलवार")</f>
        <v>ए) तलवार</v>
      </c>
    </row>
    <row r="508" ht="22.5" customHeight="1">
      <c r="A508" s="2">
        <v>507.0</v>
      </c>
      <c r="B508" s="3" t="s">
        <v>14382</v>
      </c>
      <c r="C508" s="3" t="s">
        <v>14282</v>
      </c>
      <c r="D508" s="3" t="s">
        <v>14283</v>
      </c>
      <c r="F508" s="5" t="str">
        <f>IFERROR(__xludf.DUMMYFUNCTION("GOOGLETRANSLATE(A508, ""en"", ""hi"")"),"507")</f>
        <v>507</v>
      </c>
      <c r="G508" s="5" t="str">
        <f>IFERROR(__xludf.DUMMYFUNCTION("GOOGLETRANSLATE(B508, ""en"", ""hi"")"),"एक कलारीपयट्टू अभ्यासी युद्ध में गदा को प्रभावी ढंग से चलाने की तकनीक सीख रहा है। वे किस अभ्यास पर ध्यान केंद्रित कर रहे हैं?")</f>
        <v>एक कलारीपयट्टू अभ्यासी युद्ध में गदा को प्रभावी ढंग से चलाने की तकनीक सीख रहा है। वे किस अभ्यास पर ध्यान केंद्रित कर रहे हैं?</v>
      </c>
      <c r="H508" s="5" t="str">
        <f>IFERROR(__xludf.DUMMYFUNCTION("GOOGLETRANSLATE(C508, ""en"", ""hi"")"),"ए) गदा तकनीक, बी) वर्मा, सी) एडवस, डी) उझिचिल")</f>
        <v>ए) गदा तकनीक, बी) वर्मा, सी) एडवस, डी) उझिचिल</v>
      </c>
      <c r="I508" s="5" t="str">
        <f>IFERROR(__xludf.DUMMYFUNCTION("GOOGLETRANSLATE(D508, ""en"", ""hi"")"),"ए) गदा तकनीक")</f>
        <v>ए) गदा तकनीक</v>
      </c>
    </row>
    <row r="509" ht="22.5" customHeight="1">
      <c r="A509" s="2">
        <v>508.0</v>
      </c>
      <c r="B509" s="3" t="s">
        <v>14383</v>
      </c>
      <c r="C509" s="3" t="s">
        <v>14242</v>
      </c>
      <c r="D509" s="3" t="s">
        <v>14243</v>
      </c>
      <c r="F509" s="5" t="str">
        <f>IFERROR(__xludf.DUMMYFUNCTION("GOOGLETRANSLATE(A509, ""en"", ""hi"")"),"508")</f>
        <v>508</v>
      </c>
      <c r="G509" s="5" t="str">
        <f>IFERROR(__xludf.DUMMYFUNCTION("GOOGLETRANSLATE(B509, ""en"", ""hi"")"),"कलारीपयट्टू प्रशिक्षण के दौरान, खंजर से सटीक और शक्तिशाली प्रहार करने में निपुणता प्राप्त करने के लिए कौन सा अभ्यास आवश्यक है?")</f>
        <v>कलारीपयट्टू प्रशिक्षण के दौरान, खंजर से सटीक और शक्तिशाली प्रहार करने में निपुणता प्राप्त करने के लिए कौन सा अभ्यास आवश्यक है?</v>
      </c>
      <c r="H509" s="5" t="str">
        <f>IFERROR(__xludf.DUMMYFUNCTION("GOOGLETRANSLATE(C509, ""en"", ""hi"")"),"ए) डैगर तकनीक, बी) वर्मा, सी) एडवस, डी) उझिचिल")</f>
        <v>ए) डैगर तकनीक, बी) वर्मा, सी) एडवस, डी) उझिचिल</v>
      </c>
      <c r="I509" s="5" t="str">
        <f>IFERROR(__xludf.DUMMYFUNCTION("GOOGLETRANSLATE(D509, ""en"", ""hi"")"),"ए) खंजर तकनीक")</f>
        <v>ए) खंजर तकनीक</v>
      </c>
    </row>
    <row r="510" ht="22.5" customHeight="1">
      <c r="A510" s="2">
        <v>509.0</v>
      </c>
      <c r="B510" s="3" t="s">
        <v>14384</v>
      </c>
      <c r="C510" s="3" t="s">
        <v>14251</v>
      </c>
      <c r="D510" s="3" t="s">
        <v>14252</v>
      </c>
      <c r="F510" s="5" t="str">
        <f>IFERROR(__xludf.DUMMYFUNCTION("GOOGLETRANSLATE(A510, ""en"", ""hi"")"),"509")</f>
        <v>509</v>
      </c>
      <c r="G510" s="5" t="str">
        <f>IFERROR(__xludf.DUMMYFUNCTION("GOOGLETRANSLATE(B510, ""en"", ""hi"")"),"कलारीपयट्टू में, किस तकनीक में आक्रामक और रक्षात्मक दोनों चालों को निष्पादित करने के लिए एक लंबे हथियार का उपयोग करना शामिल है?")</f>
        <v>कलारीपयट्टू में, किस तकनीक में आक्रामक और रक्षात्मक दोनों चालों को निष्पादित करने के लिए एक लंबे हथियार का उपयोग करना शामिल है?</v>
      </c>
      <c r="H510" s="5" t="str">
        <f>IFERROR(__xludf.DUMMYFUNCTION("GOOGLETRANSLATE(C510, ""en"", ""hi"")"),"A) लॉन्ग स्टिक तकनीक, B) वर्मा, C) अदावस, D) उझिचिल")</f>
        <v>A) लॉन्ग स्टिक तकनीक, B) वर्मा, C) अदावस, D) उझिचिल</v>
      </c>
      <c r="I510" s="5" t="str">
        <f>IFERROR(__xludf.DUMMYFUNCTION("GOOGLETRANSLATE(D510, ""en"", ""hi"")"),"ए) लंबी छड़ी तकनीक")</f>
        <v>ए) लंबी छड़ी तकनीक</v>
      </c>
    </row>
    <row r="511" ht="22.5" customHeight="1">
      <c r="A511" s="2">
        <v>510.0</v>
      </c>
      <c r="B511" s="3" t="s">
        <v>14385</v>
      </c>
      <c r="C511" s="3" t="s">
        <v>13809</v>
      </c>
      <c r="D511" s="3" t="s">
        <v>13675</v>
      </c>
      <c r="F511" s="5" t="str">
        <f>IFERROR(__xludf.DUMMYFUNCTION("GOOGLETRANSLATE(A511, ""en"", ""hi"")"),"510")</f>
        <v>510</v>
      </c>
      <c r="G511" s="5" t="str">
        <f>IFERROR(__xludf.DUMMYFUNCTION("GOOGLETRANSLATE(B511, ""en"", ""hi"")"),"एक कलारीपयट्टू अभ्यासी अपनी सजगता और गति को बढ़ाने की तकनीकों पर ध्यान केंद्रित कर रहा है। उन्हें किस अभ्यास को प्राथमिकता देनी चाहिए?")</f>
        <v>एक कलारीपयट्टू अभ्यासी अपनी सजगता और गति को बढ़ाने की तकनीकों पर ध्यान केंद्रित कर रहा है। उन्हें किस अभ्यास को प्राथमिकता देनी चाहिए?</v>
      </c>
      <c r="H511" s="5" t="str">
        <f>IFERROR(__xludf.DUMMYFUNCTION("GOOGLETRANSLATE(C511, ""en"", ""hi"")"),"ए) चुवडु, बी) वर्मम, सी) एडवस, डी) उझिचिल")</f>
        <v>ए) चुवडु, बी) वर्मम, सी) एडवस, डी) उझिचिल</v>
      </c>
      <c r="I511" s="5" t="str">
        <f>IFERROR(__xludf.DUMMYFUNCTION("GOOGLETRANSLATE(D511, ""en"", ""hi"")"),"A) चुवाडु")</f>
        <v>A) चुवाडु</v>
      </c>
    </row>
    <row r="512" ht="22.5" customHeight="1">
      <c r="A512" s="2">
        <v>511.0</v>
      </c>
      <c r="B512" s="3" t="s">
        <v>14386</v>
      </c>
      <c r="C512" s="3" t="s">
        <v>14001</v>
      </c>
      <c r="D512" s="3" t="s">
        <v>14002</v>
      </c>
      <c r="F512" s="5" t="str">
        <f>IFERROR(__xludf.DUMMYFUNCTION("GOOGLETRANSLATE(A512, ""en"", ""hi"")"),"511")</f>
        <v>511</v>
      </c>
      <c r="G512" s="5" t="str">
        <f>IFERROR(__xludf.DUMMYFUNCTION("GOOGLETRANSLATE(B512, ""en"", ""hi"")"),"कलारीपयट्टू में, किस हथियार का उपयोग मुख्य रूप से तीव्र और शक्तिशाली हमलों से संबंधित तकनीकों के लिए किया जाता है?")</f>
        <v>कलारीपयट्टू में, किस हथियार का उपयोग मुख्य रूप से तीव्र और शक्तिशाली हमलों से संबंधित तकनीकों के लिए किया जाता है?</v>
      </c>
      <c r="H512" s="5" t="str">
        <f>IFERROR(__xludf.DUMMYFUNCTION("GOOGLETRANSLATE(C512, ""en"", ""hi"")"),"A) गदा, B) तलवार, C) भाला, D) खंजर")</f>
        <v>A) गदा, B) तलवार, C) भाला, D) खंजर</v>
      </c>
      <c r="I512" s="5" t="str">
        <f>IFERROR(__xludf.DUMMYFUNCTION("GOOGLETRANSLATE(D512, ""en"", ""hi"")"),"ए) गदा")</f>
        <v>ए) गदा</v>
      </c>
    </row>
    <row r="513" ht="22.5" customHeight="1">
      <c r="A513" s="2">
        <v>512.0</v>
      </c>
      <c r="B513" s="3" t="s">
        <v>14387</v>
      </c>
      <c r="C513" s="3" t="s">
        <v>14013</v>
      </c>
      <c r="D513" s="3" t="s">
        <v>13932</v>
      </c>
      <c r="F513" s="5" t="str">
        <f>IFERROR(__xludf.DUMMYFUNCTION("GOOGLETRANSLATE(A513, ""en"", ""hi"")"),"512")</f>
        <v>512</v>
      </c>
      <c r="G513" s="5" t="str">
        <f>IFERROR(__xludf.DUMMYFUNCTION("GOOGLETRANSLATE(B513, ""en"", ""hi"")"),"कलारीपयट्टू प्रशिक्षण के दौरान, कौन सी तकनीक प्रतिद्वंद्वी को अशक्त करने के लिए विशिष्ट दबाव बिंदुओं का उपयोग करने पर केंद्रित है?")</f>
        <v>कलारीपयट्टू प्रशिक्षण के दौरान, कौन सी तकनीक प्रतिद्वंद्वी को अशक्त करने के लिए विशिष्ट दबाव बिंदुओं का उपयोग करने पर केंद्रित है?</v>
      </c>
      <c r="H513" s="5" t="str">
        <f>IFERROR(__xludf.DUMMYFUNCTION("GOOGLETRANSLATE(C513, ""en"", ""hi"")"),"ए) मार्मा, बी) वर्मम, सी) एडवस, डी) उझिचिल")</f>
        <v>ए) मार्मा, बी) वर्मम, सी) एडवस, डी) उझिचिल</v>
      </c>
      <c r="I513" s="5" t="str">
        <f>IFERROR(__xludf.DUMMYFUNCTION("GOOGLETRANSLATE(D513, ""en"", ""hi"")"),"A) मर्म")</f>
        <v>A) मर्म</v>
      </c>
    </row>
    <row r="514" ht="22.5" customHeight="1">
      <c r="A514" s="2">
        <v>513.0</v>
      </c>
      <c r="B514" s="3" t="s">
        <v>14388</v>
      </c>
      <c r="C514" s="3" t="s">
        <v>14016</v>
      </c>
      <c r="D514" s="3" t="s">
        <v>13684</v>
      </c>
      <c r="F514" s="5" t="str">
        <f>IFERROR(__xludf.DUMMYFUNCTION("GOOGLETRANSLATE(A514, ""en"", ""hi"")"),"513")</f>
        <v>513</v>
      </c>
      <c r="G514" s="5" t="str">
        <f>IFERROR(__xludf.DUMMYFUNCTION("GOOGLETRANSLATE(B514, ""en"", ""hi"")"),"एक कलारीपयट्टू अभ्यासी अपनी शारीरिक शक्ति और सहनशक्ति बढ़ाने के लिए तकनीकें सीख रहा है। उन्हें किस अभ्यास पर ध्यान केंद्रित करना चाहिए?")</f>
        <v>एक कलारीपयट्टू अभ्यासी अपनी शारीरिक शक्ति और सहनशक्ति बढ़ाने के लिए तकनीकें सीख रहा है। उन्हें किस अभ्यास पर ध्यान केंद्रित करना चाहिए?</v>
      </c>
      <c r="H514" s="5" t="str">
        <f>IFERROR(__xludf.DUMMYFUNCTION("GOOGLETRANSLATE(C514, ""en"", ""hi"")"),"ए) उझिचिल, बी) एडवस, सी) वर्मा, डी) चुवाडु")</f>
        <v>ए) उझिचिल, बी) एडवस, सी) वर्मा, डी) चुवाडु</v>
      </c>
      <c r="I514" s="5" t="str">
        <f>IFERROR(__xludf.DUMMYFUNCTION("GOOGLETRANSLATE(D514, ""en"", ""hi"")"),"A) उझिचिल")</f>
        <v>A) उझिचिल</v>
      </c>
    </row>
    <row r="515" ht="22.5" customHeight="1">
      <c r="A515" s="2">
        <v>514.0</v>
      </c>
      <c r="B515" s="3" t="s">
        <v>14389</v>
      </c>
      <c r="C515" s="3" t="s">
        <v>14242</v>
      </c>
      <c r="D515" s="3" t="s">
        <v>14243</v>
      </c>
      <c r="F515" s="5" t="str">
        <f>IFERROR(__xludf.DUMMYFUNCTION("GOOGLETRANSLATE(A515, ""en"", ""hi"")"),"514")</f>
        <v>514</v>
      </c>
      <c r="G515" s="5" t="str">
        <f>IFERROR(__xludf.DUMMYFUNCTION("GOOGLETRANSLATE(B515, ""en"", ""hi"")"),"कलारीपयट्टू में खंजर को प्रभावी ढंग से संभालने की क्षमता विकसित करने के लिए किस तकनीक पर जोर दिया जाना चाहिए?")</f>
        <v>कलारीपयट्टू में खंजर को प्रभावी ढंग से संभालने की क्षमता विकसित करने के लिए किस तकनीक पर जोर दिया जाना चाहिए?</v>
      </c>
      <c r="H515" s="5" t="str">
        <f>IFERROR(__xludf.DUMMYFUNCTION("GOOGLETRANSLATE(C515, ""en"", ""hi"")"),"ए) डैगर तकनीक, बी) वर्मा, सी) एडवस, डी) उझिचिल")</f>
        <v>ए) डैगर तकनीक, बी) वर्मा, सी) एडवस, डी) उझिचिल</v>
      </c>
      <c r="I515" s="5" t="str">
        <f>IFERROR(__xludf.DUMMYFUNCTION("GOOGLETRANSLATE(D515, ""en"", ""hi"")"),"ए) खंजर तकनीक")</f>
        <v>ए) खंजर तकनीक</v>
      </c>
    </row>
    <row r="516" ht="22.5" customHeight="1">
      <c r="A516" s="2">
        <v>515.0</v>
      </c>
      <c r="B516" s="3" t="s">
        <v>14390</v>
      </c>
      <c r="C516" s="3" t="s">
        <v>14251</v>
      </c>
      <c r="D516" s="3" t="s">
        <v>14252</v>
      </c>
      <c r="F516" s="5" t="str">
        <f>IFERROR(__xludf.DUMMYFUNCTION("GOOGLETRANSLATE(A516, ""en"", ""hi"")"),"515")</f>
        <v>515</v>
      </c>
      <c r="G516" s="5" t="str">
        <f>IFERROR(__xludf.DUMMYFUNCTION("GOOGLETRANSLATE(B516, ""en"", ""hi"")"),"कलारीपयट्टू प्रशिक्षण के दौरान, कौन सा अभ्यास हमले और बचाव दोनों के लिए एक लंबे हथियार के प्रभावी उपयोग पर केंद्रित है?")</f>
        <v>कलारीपयट्टू प्रशिक्षण के दौरान, कौन सा अभ्यास हमले और बचाव दोनों के लिए एक लंबे हथियार के प्रभावी उपयोग पर केंद्रित है?</v>
      </c>
      <c r="H516" s="5" t="str">
        <f>IFERROR(__xludf.DUMMYFUNCTION("GOOGLETRANSLATE(C516, ""en"", ""hi"")"),"A) लॉन्ग स्टिक तकनीक, B) वर्मा, C) अदावस, D) उझिचिल")</f>
        <v>A) लॉन्ग स्टिक तकनीक, B) वर्मा, C) अदावस, D) उझिचिल</v>
      </c>
      <c r="I516" s="5" t="str">
        <f>IFERROR(__xludf.DUMMYFUNCTION("GOOGLETRANSLATE(D516, ""en"", ""hi"")"),"ए) लंबी छड़ी तकनीक")</f>
        <v>ए) लंबी छड़ी तकनीक</v>
      </c>
    </row>
    <row r="517" ht="22.5" customHeight="1">
      <c r="A517" s="2">
        <v>516.0</v>
      </c>
      <c r="B517" s="3" t="s">
        <v>14391</v>
      </c>
      <c r="C517" s="3" t="s">
        <v>14285</v>
      </c>
      <c r="D517" s="3" t="s">
        <v>14286</v>
      </c>
      <c r="F517" s="5" t="str">
        <f>IFERROR(__xludf.DUMMYFUNCTION("GOOGLETRANSLATE(A517, ""en"", ""hi"")"),"516")</f>
        <v>516</v>
      </c>
      <c r="G517" s="5" t="str">
        <f>IFERROR(__xludf.DUMMYFUNCTION("GOOGLETRANSLATE(B517, ""en"", ""hi"")"),"कलारीपयट्टू में तलवार से त्वरित और सटीक प्रहार की कला में निपुणता प्राप्त करने के लिए किस अभ्यास को प्राथमिकता दी जानी चाहिए?")</f>
        <v>कलारीपयट्टू में तलवार से त्वरित और सटीक प्रहार की कला में निपुणता प्राप्त करने के लिए किस अभ्यास को प्राथमिकता दी जानी चाहिए?</v>
      </c>
      <c r="H517" s="5" t="str">
        <f>IFERROR(__xludf.DUMMYFUNCTION("GOOGLETRANSLATE(C517, ""en"", ""hi"")"),"ए) तलवार तकनीक, बी) वर्मा, सी) एडवस, डी) उझिचिल")</f>
        <v>ए) तलवार तकनीक, बी) वर्मा, सी) एडवस, डी) उझिचिल</v>
      </c>
      <c r="I517" s="5" t="str">
        <f>IFERROR(__xludf.DUMMYFUNCTION("GOOGLETRANSLATE(D517, ""en"", ""hi"")"),"A) तलवार तकनीक")</f>
        <v>A) तलवार तकनीक</v>
      </c>
    </row>
    <row r="518" ht="22.5" customHeight="1">
      <c r="A518" s="2">
        <v>517.0</v>
      </c>
      <c r="B518" s="3" t="s">
        <v>14392</v>
      </c>
      <c r="C518" s="3" t="s">
        <v>13809</v>
      </c>
      <c r="D518" s="3" t="s">
        <v>13675</v>
      </c>
      <c r="F518" s="5" t="str">
        <f>IFERROR(__xludf.DUMMYFUNCTION("GOOGLETRANSLATE(A518, ""en"", ""hi"")"),"517")</f>
        <v>517</v>
      </c>
      <c r="G518" s="5" t="str">
        <f>IFERROR(__xludf.DUMMYFUNCTION("GOOGLETRANSLATE(B518, ""en"", ""hi"")"),"एक कलारीपयट्टू अभ्यासी अपनी चपलता और पैरों की गति बढ़ाने की तकनीकों पर ध्यान केंद्रित कर रहा है। उन्हें किस अभ्यास पर ज़ोर देना चाहिए?")</f>
        <v>एक कलारीपयट्टू अभ्यासी अपनी चपलता और पैरों की गति बढ़ाने की तकनीकों पर ध्यान केंद्रित कर रहा है। उन्हें किस अभ्यास पर ज़ोर देना चाहिए?</v>
      </c>
      <c r="H518" s="5" t="str">
        <f>IFERROR(__xludf.DUMMYFUNCTION("GOOGLETRANSLATE(C518, ""en"", ""hi"")"),"ए) चुवडु, बी) वर्मम, सी) एडवस, डी) उझिचिल")</f>
        <v>ए) चुवडु, बी) वर्मम, सी) एडवस, डी) उझिचिल</v>
      </c>
      <c r="I518" s="5" t="str">
        <f>IFERROR(__xludf.DUMMYFUNCTION("GOOGLETRANSLATE(D518, ""en"", ""hi"")"),"A) चुवाडु")</f>
        <v>A) चुवाडु</v>
      </c>
    </row>
    <row r="519" ht="22.5" customHeight="1">
      <c r="A519" s="2">
        <v>518.0</v>
      </c>
      <c r="B519" s="3" t="s">
        <v>14393</v>
      </c>
      <c r="C519" s="3" t="s">
        <v>13713</v>
      </c>
      <c r="D519" s="3" t="s">
        <v>13714</v>
      </c>
      <c r="F519" s="5" t="str">
        <f>IFERROR(__xludf.DUMMYFUNCTION("GOOGLETRANSLATE(A519, ""en"", ""hi"")"),"518")</f>
        <v>518</v>
      </c>
      <c r="G519" s="5" t="str">
        <f>IFERROR(__xludf.DUMMYFUNCTION("GOOGLETRANSLATE(B519, ""en"", ""hi"")"),"कलारीपयट्टू में, प्रभावी प्रहार और कट लगाने की तकनीक के लिए कौन सा हथियार सबसे उपयुक्त है?")</f>
        <v>कलारीपयट्टू में, प्रभावी प्रहार और कट लगाने की तकनीक के लिए कौन सा हथियार सबसे उपयुक्त है?</v>
      </c>
      <c r="H519" s="5" t="str">
        <f>IFERROR(__xludf.DUMMYFUNCTION("GOOGLETRANSLATE(C519, ""en"", ""hi"")"),"A) तलवार, B) गदा, C) भाला, D) खंजर")</f>
        <v>A) तलवार, B) गदा, C) भाला, D) खंजर</v>
      </c>
      <c r="I519" s="5" t="str">
        <f>IFERROR(__xludf.DUMMYFUNCTION("GOOGLETRANSLATE(D519, ""en"", ""hi"")"),"ए) तलवार")</f>
        <v>ए) तलवार</v>
      </c>
    </row>
    <row r="520" ht="22.5" customHeight="1">
      <c r="A520" s="2">
        <v>519.0</v>
      </c>
      <c r="B520" s="3" t="s">
        <v>14394</v>
      </c>
      <c r="C520" s="3" t="s">
        <v>14278</v>
      </c>
      <c r="D520" s="3" t="s">
        <v>14279</v>
      </c>
      <c r="F520" s="5" t="str">
        <f>IFERROR(__xludf.DUMMYFUNCTION("GOOGLETRANSLATE(A520, ""en"", ""hi"")"),"519")</f>
        <v>519</v>
      </c>
      <c r="G520" s="5" t="str">
        <f>IFERROR(__xludf.DUMMYFUNCTION("GOOGLETRANSLATE(B520, ""en"", ""hi"")"),"कलारीपयट्टू प्रशिक्षण के दौरान, किस अभ्यास में आक्रामक और रक्षात्मक दोनों तकनीकों के लिए भाले का उपयोग शामिल है?")</f>
        <v>कलारीपयट्टू प्रशिक्षण के दौरान, किस अभ्यास में आक्रामक और रक्षात्मक दोनों तकनीकों के लिए भाले का उपयोग शामिल है?</v>
      </c>
      <c r="H520" s="5" t="str">
        <f>IFERROR(__xludf.DUMMYFUNCTION("GOOGLETRANSLATE(C520, ""en"", ""hi"")"),"ए) भाला तकनीक, बी) वर्मा, सी) एडवस, डी) उझिचिल")</f>
        <v>ए) भाला तकनीक, बी) वर्मा, सी) एडवस, डी) उझिचिल</v>
      </c>
      <c r="I520" s="5" t="str">
        <f>IFERROR(__xludf.DUMMYFUNCTION("GOOGLETRANSLATE(D520, ""en"", ""hi"")"),"ए) भाला तकनीक")</f>
        <v>ए) भाला तकनीक</v>
      </c>
    </row>
    <row r="521" ht="22.5" customHeight="1">
      <c r="A521" s="2">
        <v>520.0</v>
      </c>
      <c r="B521" s="3" t="s">
        <v>14395</v>
      </c>
      <c r="C521" s="3" t="s">
        <v>14251</v>
      </c>
      <c r="D521" s="3" t="s">
        <v>14252</v>
      </c>
      <c r="F521" s="5" t="str">
        <f>IFERROR(__xludf.DUMMYFUNCTION("GOOGLETRANSLATE(A521, ""en"", ""hi"")"),"520")</f>
        <v>520</v>
      </c>
      <c r="G521" s="5" t="str">
        <f>IFERROR(__xludf.DUMMYFUNCTION("GOOGLETRANSLATE(B521, ""en"", ""hi"")"),"कलारीपयट्टू में, विभिन्न युद्ध परिदृश्यों में लंबे हथियार के उपयोग में निपुणता प्राप्त करने के लिए कौन सी तकनीक आवश्यक है?")</f>
        <v>कलारीपयट्टू में, विभिन्न युद्ध परिदृश्यों में लंबे हथियार के उपयोग में निपुणता प्राप्त करने के लिए कौन सी तकनीक आवश्यक है?</v>
      </c>
      <c r="H521" s="5" t="str">
        <f>IFERROR(__xludf.DUMMYFUNCTION("GOOGLETRANSLATE(C521, ""en"", ""hi"")"),"A) लॉन्ग स्टिक तकनीक, B) वर्मा, C) अदावस, D) उझिचिल")</f>
        <v>A) लॉन्ग स्टिक तकनीक, B) वर्मा, C) अदावस, D) उझिचिल</v>
      </c>
      <c r="I521" s="5" t="str">
        <f>IFERROR(__xludf.DUMMYFUNCTION("GOOGLETRANSLATE(D521, ""en"", ""hi"")"),"ए) लंबी छड़ी तकनीक")</f>
        <v>ए) लंबी छड़ी तकनीक</v>
      </c>
    </row>
    <row r="522" ht="22.5" customHeight="1">
      <c r="A522" s="2">
        <v>521.0</v>
      </c>
      <c r="B522" s="3" t="s">
        <v>14396</v>
      </c>
      <c r="C522" s="3" t="s">
        <v>13809</v>
      </c>
      <c r="D522" s="3" t="s">
        <v>13675</v>
      </c>
      <c r="F522" s="5" t="str">
        <f>IFERROR(__xludf.DUMMYFUNCTION("GOOGLETRANSLATE(A522, ""en"", ""hi"")"),"521")</f>
        <v>521</v>
      </c>
      <c r="G522" s="5" t="str">
        <f>IFERROR(__xludf.DUMMYFUNCTION("GOOGLETRANSLATE(B522, ""en"", ""hi"")"),"एक कलारीपयट्टू अभ्यासी अपनी सजगता और हमलों से बचने की क्षमता को बेहतर बनाने पर ध्यान केंद्रित कर रहा है। उन्हें किस अभ्यास को प्राथमिकता देनी चाहिए?")</f>
        <v>एक कलारीपयट्टू अभ्यासी अपनी सजगता और हमलों से बचने की क्षमता को बेहतर बनाने पर ध्यान केंद्रित कर रहा है। उन्हें किस अभ्यास को प्राथमिकता देनी चाहिए?</v>
      </c>
      <c r="H522" s="5" t="str">
        <f>IFERROR(__xludf.DUMMYFUNCTION("GOOGLETRANSLATE(C522, ""en"", ""hi"")"),"ए) चुवडु, बी) वर्मम, सी) एडवस, डी) उझिचिल")</f>
        <v>ए) चुवडु, बी) वर्मम, सी) एडवस, डी) उझिचिल</v>
      </c>
      <c r="I522" s="5" t="str">
        <f>IFERROR(__xludf.DUMMYFUNCTION("GOOGLETRANSLATE(D522, ""en"", ""hi"")"),"A) चुवाडु")</f>
        <v>A) चुवाडु</v>
      </c>
    </row>
    <row r="523" ht="22.5" customHeight="1">
      <c r="A523" s="2">
        <v>522.0</v>
      </c>
      <c r="B523" s="3" t="s">
        <v>14397</v>
      </c>
      <c r="C523" s="3" t="s">
        <v>14013</v>
      </c>
      <c r="D523" s="3" t="s">
        <v>13932</v>
      </c>
      <c r="F523" s="5" t="str">
        <f>IFERROR(__xludf.DUMMYFUNCTION("GOOGLETRANSLATE(A523, ""en"", ""hi"")"),"522")</f>
        <v>522</v>
      </c>
      <c r="G523" s="5" t="str">
        <f>IFERROR(__xludf.DUMMYFUNCTION("GOOGLETRANSLATE(B523, ""en"", ""hi"")"),"कलारीपयट्टू में, किस अभ्यास में युद्ध प्रभावशीलता को बढ़ाने के लिए विशिष्ट दबाव बिंदुओं को लक्षित करना शामिल है?")</f>
        <v>कलारीपयट्टू में, किस अभ्यास में युद्ध प्रभावशीलता को बढ़ाने के लिए विशिष्ट दबाव बिंदुओं को लक्षित करना शामिल है?</v>
      </c>
      <c r="H523" s="5" t="str">
        <f>IFERROR(__xludf.DUMMYFUNCTION("GOOGLETRANSLATE(C523, ""en"", ""hi"")"),"ए) मार्मा, बी) वर्मम, सी) एडवस, डी) उझिचिल")</f>
        <v>ए) मार्मा, बी) वर्मम, सी) एडवस, डी) उझिचिल</v>
      </c>
      <c r="I523" s="5" t="str">
        <f>IFERROR(__xludf.DUMMYFUNCTION("GOOGLETRANSLATE(D523, ""en"", ""hi"")"),"A) मर्म")</f>
        <v>A) मर्म</v>
      </c>
    </row>
    <row r="524" ht="22.5" customHeight="1">
      <c r="A524" s="2">
        <v>523.0</v>
      </c>
      <c r="B524" s="3" t="s">
        <v>14382</v>
      </c>
      <c r="C524" s="3" t="s">
        <v>14282</v>
      </c>
      <c r="D524" s="3" t="s">
        <v>14283</v>
      </c>
      <c r="F524" s="5" t="str">
        <f>IFERROR(__xludf.DUMMYFUNCTION("GOOGLETRANSLATE(A524, ""en"", ""hi"")"),"523")</f>
        <v>523</v>
      </c>
      <c r="G524" s="5" t="str">
        <f>IFERROR(__xludf.DUMMYFUNCTION("GOOGLETRANSLATE(B524, ""en"", ""hi"")"),"एक कलारीपयट्टू अभ्यासी युद्ध में गदा को प्रभावी ढंग से चलाने की तकनीक सीख रहा है। वे किस अभ्यास पर ध्यान केंद्रित कर रहे हैं?")</f>
        <v>एक कलारीपयट्टू अभ्यासी युद्ध में गदा को प्रभावी ढंग से चलाने की तकनीक सीख रहा है। वे किस अभ्यास पर ध्यान केंद्रित कर रहे हैं?</v>
      </c>
      <c r="H524" s="5" t="str">
        <f>IFERROR(__xludf.DUMMYFUNCTION("GOOGLETRANSLATE(C524, ""en"", ""hi"")"),"ए) गदा तकनीक, बी) वर्मा, सी) एडवस, डी) उझिचिल")</f>
        <v>ए) गदा तकनीक, बी) वर्मा, सी) एडवस, डी) उझिचिल</v>
      </c>
      <c r="I524" s="5" t="str">
        <f>IFERROR(__xludf.DUMMYFUNCTION("GOOGLETRANSLATE(D524, ""en"", ""hi"")"),"ए) गदा तकनीक")</f>
        <v>ए) गदा तकनीक</v>
      </c>
    </row>
    <row r="525" ht="22.5" customHeight="1">
      <c r="A525" s="2">
        <v>524.0</v>
      </c>
      <c r="B525" s="3" t="s">
        <v>14398</v>
      </c>
      <c r="C525" s="3" t="s">
        <v>14242</v>
      </c>
      <c r="D525" s="3" t="s">
        <v>14243</v>
      </c>
      <c r="F525" s="5" t="str">
        <f>IFERROR(__xludf.DUMMYFUNCTION("GOOGLETRANSLATE(A525, ""en"", ""hi"")"),"524")</f>
        <v>524</v>
      </c>
      <c r="G525" s="5" t="str">
        <f>IFERROR(__xludf.DUMMYFUNCTION("GOOGLETRANSLATE(B525, ""en"", ""hi"")"),"कलारीपयट्टू प्रशिक्षण के दौरान, कौन सी प्रथा प्रभावी निकट-युद्ध तकनीकों के लिए खंजर के उपयोग पर केंद्रित है?")</f>
        <v>कलारीपयट्टू प्रशिक्षण के दौरान, कौन सी प्रथा प्रभावी निकट-युद्ध तकनीकों के लिए खंजर के उपयोग पर केंद्रित है?</v>
      </c>
      <c r="H525" s="5" t="str">
        <f>IFERROR(__xludf.DUMMYFUNCTION("GOOGLETRANSLATE(C525, ""en"", ""hi"")"),"ए) डैगर तकनीक, बी) वर्मा, सी) एडवस, डी) उझिचिल")</f>
        <v>ए) डैगर तकनीक, बी) वर्मा, सी) एडवस, डी) उझिचिल</v>
      </c>
      <c r="I525" s="5" t="str">
        <f>IFERROR(__xludf.DUMMYFUNCTION("GOOGLETRANSLATE(D525, ""en"", ""hi"")"),"ए) खंजर तकनीक")</f>
        <v>ए) खंजर तकनीक</v>
      </c>
    </row>
    <row r="526" ht="22.5" customHeight="1">
      <c r="A526" s="2">
        <v>525.0</v>
      </c>
      <c r="B526" s="3" t="s">
        <v>14399</v>
      </c>
      <c r="C526" s="3" t="s">
        <v>14016</v>
      </c>
      <c r="D526" s="3" t="s">
        <v>13684</v>
      </c>
      <c r="F526" s="5" t="str">
        <f>IFERROR(__xludf.DUMMYFUNCTION("GOOGLETRANSLATE(A526, ""en"", ""hi"")"),"525")</f>
        <v>525</v>
      </c>
      <c r="G526" s="5" t="str">
        <f>IFERROR(__xludf.DUMMYFUNCTION("GOOGLETRANSLATE(B526, ""en"", ""hi"")"),"कलारीपयट्टू में, युद्ध के लिए शक्ति और अनुकूलन विकसित करने हेतु किस तकनीक पर जोर दिया जाना चाहिए?")</f>
        <v>कलारीपयट्टू में, युद्ध के लिए शक्ति और अनुकूलन विकसित करने हेतु किस तकनीक पर जोर दिया जाना चाहिए?</v>
      </c>
      <c r="H526" s="5" t="str">
        <f>IFERROR(__xludf.DUMMYFUNCTION("GOOGLETRANSLATE(C526, ""en"", ""hi"")"),"ए) उझिचिल, बी) एडवस, सी) वर्मा, डी) चुवाडु")</f>
        <v>ए) उझिचिल, बी) एडवस, सी) वर्मा, डी) चुवाडु</v>
      </c>
      <c r="I526" s="5" t="str">
        <f>IFERROR(__xludf.DUMMYFUNCTION("GOOGLETRANSLATE(D526, ""en"", ""hi"")"),"A) उझिचिल")</f>
        <v>A) उझिचिल</v>
      </c>
    </row>
    <row r="527" ht="22.5" customHeight="1">
      <c r="A527" s="2">
        <v>526.0</v>
      </c>
      <c r="B527" s="3" t="s">
        <v>14400</v>
      </c>
      <c r="C527" s="3" t="s">
        <v>14285</v>
      </c>
      <c r="D527" s="3" t="s">
        <v>14286</v>
      </c>
      <c r="F527" s="5" t="str">
        <f>IFERROR(__xludf.DUMMYFUNCTION("GOOGLETRANSLATE(A527, ""en"", ""hi"")"),"526")</f>
        <v>526</v>
      </c>
      <c r="G527" s="5" t="str">
        <f>IFERROR(__xludf.DUMMYFUNCTION("GOOGLETRANSLATE(B527, ""en"", ""hi"")"),"एक कलारीपयट्टू अभ्यासी तलवार की गति और सटीकता बढ़ाने की तकनीकों पर ध्यान केंद्रित कर रहा है। उन्हें किस अभ्यास को प्राथमिकता देनी चाहिए?")</f>
        <v>एक कलारीपयट्टू अभ्यासी तलवार की गति और सटीकता बढ़ाने की तकनीकों पर ध्यान केंद्रित कर रहा है। उन्हें किस अभ्यास को प्राथमिकता देनी चाहिए?</v>
      </c>
      <c r="H527" s="5" t="str">
        <f>IFERROR(__xludf.DUMMYFUNCTION("GOOGLETRANSLATE(C527, ""en"", ""hi"")"),"ए) तलवार तकनीक, बी) वर्मा, सी) एडवस, डी) उझिचिल")</f>
        <v>ए) तलवार तकनीक, बी) वर्मा, सी) एडवस, डी) उझिचिल</v>
      </c>
      <c r="I527" s="5" t="str">
        <f>IFERROR(__xludf.DUMMYFUNCTION("GOOGLETRANSLATE(D527, ""en"", ""hi"")"),"A) तलवार तकनीक")</f>
        <v>A) तलवार तकनीक</v>
      </c>
    </row>
    <row r="528" ht="22.5" customHeight="1">
      <c r="A528" s="2">
        <v>527.0</v>
      </c>
      <c r="B528" s="3" t="s">
        <v>14401</v>
      </c>
      <c r="C528" s="3" t="s">
        <v>14251</v>
      </c>
      <c r="D528" s="3" t="s">
        <v>14252</v>
      </c>
      <c r="F528" s="5" t="str">
        <f>IFERROR(__xludf.DUMMYFUNCTION("GOOGLETRANSLATE(A528, ""en"", ""hi"")"),"527")</f>
        <v>527</v>
      </c>
      <c r="G528" s="5" t="str">
        <f>IFERROR(__xludf.DUMMYFUNCTION("GOOGLETRANSLATE(B528, ""en"", ""hi"")"),"कलारीपयट्टू प्रशिक्षण के दौरान, विभिन्न युद्ध स्थितियों में लंबे हथियार के उपयोग में निपुणता प्राप्त करने के लिए कौन सा अभ्यास आवश्यक है?")</f>
        <v>कलारीपयट्टू प्रशिक्षण के दौरान, विभिन्न युद्ध स्थितियों में लंबे हथियार के उपयोग में निपुणता प्राप्त करने के लिए कौन सा अभ्यास आवश्यक है?</v>
      </c>
      <c r="H528" s="5" t="str">
        <f>IFERROR(__xludf.DUMMYFUNCTION("GOOGLETRANSLATE(C528, ""en"", ""hi"")"),"A) लॉन्ग स्टिक तकनीक, B) वर्मा, C) अदावस, D) उझिचिल")</f>
        <v>A) लॉन्ग स्टिक तकनीक, B) वर्मा, C) अदावस, D) उझिचिल</v>
      </c>
      <c r="I528" s="5" t="str">
        <f>IFERROR(__xludf.DUMMYFUNCTION("GOOGLETRANSLATE(D528, ""en"", ""hi"")"),"ए) लंबी छड़ी तकनीक")</f>
        <v>ए) लंबी छड़ी तकनीक</v>
      </c>
    </row>
    <row r="529" ht="22.5" customHeight="1">
      <c r="A529" s="2">
        <v>528.0</v>
      </c>
      <c r="B529" s="3" t="s">
        <v>14402</v>
      </c>
      <c r="C529" s="3" t="s">
        <v>14001</v>
      </c>
      <c r="D529" s="3" t="s">
        <v>14002</v>
      </c>
      <c r="F529" s="5" t="str">
        <f>IFERROR(__xludf.DUMMYFUNCTION("GOOGLETRANSLATE(A529, ""en"", ""hi"")"),"528")</f>
        <v>528</v>
      </c>
      <c r="G529" s="5" t="str">
        <f>IFERROR(__xludf.DUMMYFUNCTION("GOOGLETRANSLATE(B529, ""en"", ""hi"")"),"कलारीपयट्टू में, शक्तिशाली और व्यापक प्रहारों के लिए मुख्य रूप से किस हथियार का उपयोग किया जाता है?")</f>
        <v>कलारीपयट्टू में, शक्तिशाली और व्यापक प्रहारों के लिए मुख्य रूप से किस हथियार का उपयोग किया जाता है?</v>
      </c>
      <c r="H529" s="5" t="str">
        <f>IFERROR(__xludf.DUMMYFUNCTION("GOOGLETRANSLATE(C529, ""en"", ""hi"")"),"A) गदा, B) तलवार, C) भाला, D) खंजर")</f>
        <v>A) गदा, B) तलवार, C) भाला, D) खंजर</v>
      </c>
      <c r="I529" s="5" t="str">
        <f>IFERROR(__xludf.DUMMYFUNCTION("GOOGLETRANSLATE(D529, ""en"", ""hi"")"),"ए) गदा")</f>
        <v>ए) गदा</v>
      </c>
    </row>
    <row r="530" ht="22.5" customHeight="1">
      <c r="A530" s="2">
        <v>529.0</v>
      </c>
      <c r="B530" s="3" t="s">
        <v>14403</v>
      </c>
      <c r="C530" s="3" t="s">
        <v>13809</v>
      </c>
      <c r="D530" s="3" t="s">
        <v>13675</v>
      </c>
      <c r="F530" s="5" t="str">
        <f>IFERROR(__xludf.DUMMYFUNCTION("GOOGLETRANSLATE(A530, ""en"", ""hi"")"),"529")</f>
        <v>529</v>
      </c>
      <c r="G530" s="5" t="str">
        <f>IFERROR(__xludf.DUMMYFUNCTION("GOOGLETRANSLATE(B530, ""en"", ""hi"")"),"एक कलारीपयट्टू अभ्यासी अपनी चपलता और रक्षात्मक कौशल को बेहतर बनाने की तकनीकों पर ध्यान केंद्रित कर रहा है। उन्हें किस अभ्यास पर ध्यान केंद्रित करना चाहिए?")</f>
        <v>एक कलारीपयट्टू अभ्यासी अपनी चपलता और रक्षात्मक कौशल को बेहतर बनाने की तकनीकों पर ध्यान केंद्रित कर रहा है। उन्हें किस अभ्यास पर ध्यान केंद्रित करना चाहिए?</v>
      </c>
      <c r="H530" s="5" t="str">
        <f>IFERROR(__xludf.DUMMYFUNCTION("GOOGLETRANSLATE(C530, ""en"", ""hi"")"),"ए) चुवडु, बी) वर्मम, सी) एडवस, डी) उझिचिल")</f>
        <v>ए) चुवडु, बी) वर्मम, सी) एडवस, डी) उझिचिल</v>
      </c>
      <c r="I530" s="5" t="str">
        <f>IFERROR(__xludf.DUMMYFUNCTION("GOOGLETRANSLATE(D530, ""en"", ""hi"")"),"A) चुवाडु")</f>
        <v>A) चुवाडु</v>
      </c>
    </row>
    <row r="531" ht="22.5" customHeight="1">
      <c r="A531" s="2">
        <v>530.0</v>
      </c>
      <c r="B531" s="3" t="s">
        <v>14404</v>
      </c>
      <c r="C531" s="3" t="s">
        <v>14013</v>
      </c>
      <c r="D531" s="3" t="s">
        <v>13932</v>
      </c>
      <c r="F531" s="5" t="str">
        <f>IFERROR(__xludf.DUMMYFUNCTION("GOOGLETRANSLATE(A531, ""en"", ""hi"")"),"530")</f>
        <v>530</v>
      </c>
      <c r="G531" s="5" t="str">
        <f>IFERROR(__xludf.DUMMYFUNCTION("GOOGLETRANSLATE(B531, ""en"", ""hi"")"),"कलारीपयट्टू में, किस अभ्यास में विरोधियों को प्रभावी ढंग से अक्षम करने के लिए विशिष्ट दबाव बिंदुओं का उपयोग शामिल है?")</f>
        <v>कलारीपयट्टू में, किस अभ्यास में विरोधियों को प्रभावी ढंग से अक्षम करने के लिए विशिष्ट दबाव बिंदुओं का उपयोग शामिल है?</v>
      </c>
      <c r="H531" s="5" t="str">
        <f>IFERROR(__xludf.DUMMYFUNCTION("GOOGLETRANSLATE(C531, ""en"", ""hi"")"),"ए) मार्मा, बी) वर्मम, सी) एडवस, डी) उझिचिल")</f>
        <v>ए) मार्मा, बी) वर्मम, सी) एडवस, डी) उझिचिल</v>
      </c>
      <c r="I531" s="5" t="str">
        <f>IFERROR(__xludf.DUMMYFUNCTION("GOOGLETRANSLATE(D531, ""en"", ""hi"")"),"A) मर्म")</f>
        <v>A) मर्म</v>
      </c>
    </row>
    <row r="532" ht="22.5" customHeight="1">
      <c r="A532" s="2">
        <v>531.0</v>
      </c>
      <c r="B532" s="3" t="s">
        <v>14405</v>
      </c>
      <c r="C532" s="3" t="s">
        <v>14242</v>
      </c>
      <c r="D532" s="3" t="s">
        <v>14243</v>
      </c>
      <c r="F532" s="5" t="str">
        <f>IFERROR(__xludf.DUMMYFUNCTION("GOOGLETRANSLATE(A532, ""en"", ""hi"")"),"531")</f>
        <v>531</v>
      </c>
      <c r="G532" s="5" t="str">
        <f>IFERROR(__xludf.DUMMYFUNCTION("GOOGLETRANSLATE(B532, ""en"", ""hi"")"),"कलारीपयट्टू प्रशिक्षण के दौरान, खंजर के साथ प्रभावी युद्ध कौशल विकसित करने के लिए किस तकनीक पर जोर दिया जाना चाहिए?")</f>
        <v>कलारीपयट्टू प्रशिक्षण के दौरान, खंजर के साथ प्रभावी युद्ध कौशल विकसित करने के लिए किस तकनीक पर जोर दिया जाना चाहिए?</v>
      </c>
      <c r="H532" s="5" t="str">
        <f>IFERROR(__xludf.DUMMYFUNCTION("GOOGLETRANSLATE(C532, ""en"", ""hi"")"),"ए) डैगर तकनीक, बी) वर्मा, सी) एडवस, डी) उझिचिल")</f>
        <v>ए) डैगर तकनीक, बी) वर्मा, सी) एडवस, डी) उझिचिल</v>
      </c>
      <c r="I532" s="5" t="str">
        <f>IFERROR(__xludf.DUMMYFUNCTION("GOOGLETRANSLATE(D532, ""en"", ""hi"")"),"ए) खंजर तकनीक")</f>
        <v>ए) खंजर तकनीक</v>
      </c>
    </row>
    <row r="533" ht="22.5" customHeight="1">
      <c r="A533" s="2">
        <v>532.0</v>
      </c>
      <c r="B533" s="3" t="s">
        <v>14406</v>
      </c>
      <c r="C533" s="3" t="s">
        <v>14016</v>
      </c>
      <c r="D533" s="3" t="s">
        <v>13684</v>
      </c>
      <c r="F533" s="5" t="str">
        <f>IFERROR(__xludf.DUMMYFUNCTION("GOOGLETRANSLATE(A533, ""en"", ""hi"")"),"532")</f>
        <v>532</v>
      </c>
      <c r="G533" s="5" t="str">
        <f>IFERROR(__xludf.DUMMYFUNCTION("GOOGLETRANSLATE(B533, ""en"", ""hi"")"),"एक कलारीपयट्टू अभ्यासी अपने शरीर की समग्र शक्ति और कंडीशनिंग बढ़ाने की तकनीकों पर ध्यान केंद्रित कर रहा है। उन्हें किस अभ्यास को प्राथमिकता देनी चाहिए?")</f>
        <v>एक कलारीपयट्टू अभ्यासी अपने शरीर की समग्र शक्ति और कंडीशनिंग बढ़ाने की तकनीकों पर ध्यान केंद्रित कर रहा है। उन्हें किस अभ्यास को प्राथमिकता देनी चाहिए?</v>
      </c>
      <c r="H533" s="5" t="str">
        <f>IFERROR(__xludf.DUMMYFUNCTION("GOOGLETRANSLATE(C533, ""en"", ""hi"")"),"ए) उझिचिल, बी) एडवस, सी) वर्मा, डी) चुवाडु")</f>
        <v>ए) उझिचिल, बी) एडवस, सी) वर्मा, डी) चुवाडु</v>
      </c>
      <c r="I533" s="5" t="str">
        <f>IFERROR(__xludf.DUMMYFUNCTION("GOOGLETRANSLATE(D533, ""en"", ""hi"")"),"A) उझिचिल")</f>
        <v>A) उझिचिल</v>
      </c>
    </row>
    <row r="534" ht="22.5" customHeight="1">
      <c r="A534" s="2">
        <v>533.0</v>
      </c>
      <c r="B534" s="3" t="s">
        <v>14407</v>
      </c>
      <c r="C534" s="3" t="s">
        <v>14251</v>
      </c>
      <c r="D534" s="3" t="s">
        <v>14252</v>
      </c>
      <c r="F534" s="5" t="str">
        <f>IFERROR(__xludf.DUMMYFUNCTION("GOOGLETRANSLATE(A534, ""en"", ""hi"")"),"533")</f>
        <v>533</v>
      </c>
      <c r="G534" s="5" t="str">
        <f>IFERROR(__xludf.DUMMYFUNCTION("GOOGLETRANSLATE(B534, ""en"", ""hi"")"),"कलारीपयट्टू में, कौन सी तकनीक आक्रामक और रक्षात्मक दोनों उद्देश्यों के लिए एक लंबे हथियार के उपयोग में महारत हासिल करने पर केंद्रित है?")</f>
        <v>कलारीपयट्टू में, कौन सी तकनीक आक्रामक और रक्षात्मक दोनों उद्देश्यों के लिए एक लंबे हथियार के उपयोग में महारत हासिल करने पर केंद्रित है?</v>
      </c>
      <c r="H534" s="5" t="str">
        <f>IFERROR(__xludf.DUMMYFUNCTION("GOOGLETRANSLATE(C534, ""en"", ""hi"")"),"A) लॉन्ग स्टिक तकनीक, B) वर्मा, C) अदावस, D) उझिचिल")</f>
        <v>A) लॉन्ग स्टिक तकनीक, B) वर्मा, C) अदावस, D) उझिचिल</v>
      </c>
      <c r="I534" s="5" t="str">
        <f>IFERROR(__xludf.DUMMYFUNCTION("GOOGLETRANSLATE(D534, ""en"", ""hi"")"),"ए) लंबी छड़ी तकनीक")</f>
        <v>ए) लंबी छड़ी तकनीक</v>
      </c>
    </row>
    <row r="535" ht="22.5" customHeight="1">
      <c r="A535" s="2">
        <v>534.0</v>
      </c>
      <c r="B535" s="3" t="s">
        <v>14408</v>
      </c>
      <c r="C535" s="3" t="s">
        <v>14285</v>
      </c>
      <c r="D535" s="3" t="s">
        <v>14286</v>
      </c>
      <c r="F535" s="5" t="str">
        <f>IFERROR(__xludf.DUMMYFUNCTION("GOOGLETRANSLATE(A535, ""en"", ""hi"")"),"534")</f>
        <v>534</v>
      </c>
      <c r="G535" s="5" t="str">
        <f>IFERROR(__xludf.DUMMYFUNCTION("GOOGLETRANSLATE(B535, ""en"", ""hi"")"),"कलारीपयट्टू प्रशिक्षण के दौरान, तलवार से सटीक और शक्तिशाली प्रहार करने के लिए आपको किस अभ्यास पर जोर देना चाहिए?")</f>
        <v>कलारीपयट्टू प्रशिक्षण के दौरान, तलवार से सटीक और शक्तिशाली प्रहार करने के लिए आपको किस अभ्यास पर जोर देना चाहिए?</v>
      </c>
      <c r="H535" s="5" t="str">
        <f>IFERROR(__xludf.DUMMYFUNCTION("GOOGLETRANSLATE(C535, ""en"", ""hi"")"),"ए) तलवार तकनीक, बी) वर्मा, सी) एडवस, डी) उझिचिल")</f>
        <v>ए) तलवार तकनीक, बी) वर्मा, सी) एडवस, डी) उझिचिल</v>
      </c>
      <c r="I535" s="5" t="str">
        <f>IFERROR(__xludf.DUMMYFUNCTION("GOOGLETRANSLATE(D535, ""en"", ""hi"")"),"A) तलवार तकनीक")</f>
        <v>A) तलवार तकनीक</v>
      </c>
    </row>
    <row r="536" ht="22.5" customHeight="1">
      <c r="A536" s="2">
        <v>535.0</v>
      </c>
      <c r="B536" s="3" t="s">
        <v>14409</v>
      </c>
      <c r="C536" s="3" t="s">
        <v>13809</v>
      </c>
      <c r="D536" s="3" t="s">
        <v>13675</v>
      </c>
      <c r="F536" s="5" t="str">
        <f>IFERROR(__xludf.DUMMYFUNCTION("GOOGLETRANSLATE(A536, ""en"", ""hi"")"),"535")</f>
        <v>535</v>
      </c>
      <c r="G536" s="5" t="str">
        <f>IFERROR(__xludf.DUMMYFUNCTION("GOOGLETRANSLATE(B536, ""en"", ""hi"")"),"एक कलारीपयट्टू अभ्यासी अपनी सजगता और हमलों से बचने की क्षमता को बेहतर बनाने पर काम कर रहा है। उन्हें किस अभ्यास पर ध्यान केंद्रित करना चाहिए?")</f>
        <v>एक कलारीपयट्टू अभ्यासी अपनी सजगता और हमलों से बचने की क्षमता को बेहतर बनाने पर काम कर रहा है। उन्हें किस अभ्यास पर ध्यान केंद्रित करना चाहिए?</v>
      </c>
      <c r="H536" s="5" t="str">
        <f>IFERROR(__xludf.DUMMYFUNCTION("GOOGLETRANSLATE(C536, ""en"", ""hi"")"),"ए) चुवडु, बी) वर्मम, सी) एडवस, डी) उझिचिल")</f>
        <v>ए) चुवडु, बी) वर्मम, सी) एडवस, डी) उझिचिल</v>
      </c>
      <c r="I536" s="5" t="str">
        <f>IFERROR(__xludf.DUMMYFUNCTION("GOOGLETRANSLATE(D536, ""en"", ""hi"")"),"A) चुवाडु")</f>
        <v>A) चुवाडु</v>
      </c>
    </row>
    <row r="537" ht="22.5" customHeight="1">
      <c r="A537" s="2">
        <v>536.0</v>
      </c>
      <c r="B537" s="3" t="s">
        <v>14410</v>
      </c>
      <c r="C537" s="3" t="s">
        <v>13713</v>
      </c>
      <c r="D537" s="3" t="s">
        <v>13714</v>
      </c>
      <c r="F537" s="5" t="str">
        <f>IFERROR(__xludf.DUMMYFUNCTION("GOOGLETRANSLATE(A537, ""en"", ""hi"")"),"536")</f>
        <v>536</v>
      </c>
      <c r="G537" s="5" t="str">
        <f>IFERROR(__xludf.DUMMYFUNCTION("GOOGLETRANSLATE(B537, ""en"", ""hi"")"),"कलारीपयट्टू में, कौन सा हथियार उन तकनीकों के लिए सबसे उपयुक्त है जिसमें प्रभावी प्रहार और कट शामिल हैं?")</f>
        <v>कलारीपयट्टू में, कौन सा हथियार उन तकनीकों के लिए सबसे उपयुक्त है जिसमें प्रभावी प्रहार और कट शामिल हैं?</v>
      </c>
      <c r="H537" s="5" t="str">
        <f>IFERROR(__xludf.DUMMYFUNCTION("GOOGLETRANSLATE(C537, ""en"", ""hi"")"),"A) तलवार, B) गदा, C) भाला, D) खंजर")</f>
        <v>A) तलवार, B) गदा, C) भाला, D) खंजर</v>
      </c>
      <c r="I537" s="5" t="str">
        <f>IFERROR(__xludf.DUMMYFUNCTION("GOOGLETRANSLATE(D537, ""en"", ""hi"")"),"ए) तलवार")</f>
        <v>ए) तलवार</v>
      </c>
    </row>
    <row r="538" ht="22.5" customHeight="1">
      <c r="A538" s="2">
        <v>537.0</v>
      </c>
      <c r="B538" s="3" t="s">
        <v>14411</v>
      </c>
      <c r="C538" s="3" t="s">
        <v>14013</v>
      </c>
      <c r="D538" s="3" t="s">
        <v>13932</v>
      </c>
      <c r="F538" s="5" t="str">
        <f>IFERROR(__xludf.DUMMYFUNCTION("GOOGLETRANSLATE(A538, ""en"", ""hi"")"),"537")</f>
        <v>537</v>
      </c>
      <c r="G538" s="5" t="str">
        <f>IFERROR(__xludf.DUMMYFUNCTION("GOOGLETRANSLATE(B538, ""en"", ""hi"")"),"कलारीपयट्टू प्रशिक्षण के दौरान, कौन सा अभ्यास प्रभावी युद्ध के लिए विशिष्ट दबाव बिंदुओं के उपयोग पर केंद्रित है?")</f>
        <v>कलारीपयट्टू प्रशिक्षण के दौरान, कौन सा अभ्यास प्रभावी युद्ध के लिए विशिष्ट दबाव बिंदुओं के उपयोग पर केंद्रित है?</v>
      </c>
      <c r="H538" s="5" t="str">
        <f>IFERROR(__xludf.DUMMYFUNCTION("GOOGLETRANSLATE(C538, ""en"", ""hi"")"),"ए) मार्मा, बी) वर्मम, सी) एडवस, डी) उझिचिल")</f>
        <v>ए) मार्मा, बी) वर्मम, सी) एडवस, डी) उझिचिल</v>
      </c>
      <c r="I538" s="5" t="str">
        <f>IFERROR(__xludf.DUMMYFUNCTION("GOOGLETRANSLATE(D538, ""en"", ""hi"")"),"A) मर्म")</f>
        <v>A) मर्म</v>
      </c>
    </row>
    <row r="539" ht="22.5" customHeight="1">
      <c r="A539" s="2">
        <v>538.0</v>
      </c>
      <c r="B539" s="3" t="s">
        <v>14382</v>
      </c>
      <c r="C539" s="3" t="s">
        <v>14282</v>
      </c>
      <c r="D539" s="3" t="s">
        <v>14283</v>
      </c>
      <c r="F539" s="5" t="str">
        <f>IFERROR(__xludf.DUMMYFUNCTION("GOOGLETRANSLATE(A539, ""en"", ""hi"")"),"538")</f>
        <v>538</v>
      </c>
      <c r="G539" s="5" t="str">
        <f>IFERROR(__xludf.DUMMYFUNCTION("GOOGLETRANSLATE(B539, ""en"", ""hi"")"),"एक कलारीपयट्टू अभ्यासी युद्ध में गदा को प्रभावी ढंग से चलाने की तकनीक सीख रहा है। वे किस अभ्यास पर ध्यान केंद्रित कर रहे हैं?")</f>
        <v>एक कलारीपयट्टू अभ्यासी युद्ध में गदा को प्रभावी ढंग से चलाने की तकनीक सीख रहा है। वे किस अभ्यास पर ध्यान केंद्रित कर रहे हैं?</v>
      </c>
      <c r="H539" s="5" t="str">
        <f>IFERROR(__xludf.DUMMYFUNCTION("GOOGLETRANSLATE(C539, ""en"", ""hi"")"),"ए) गदा तकनीक, बी) वर्मा, सी) एडवस, डी) उझिचिल")</f>
        <v>ए) गदा तकनीक, बी) वर्मा, सी) एडवस, डी) उझिचिल</v>
      </c>
      <c r="I539" s="5" t="str">
        <f>IFERROR(__xludf.DUMMYFUNCTION("GOOGLETRANSLATE(D539, ""en"", ""hi"")"),"ए) गदा तकनीक")</f>
        <v>ए) गदा तकनीक</v>
      </c>
    </row>
    <row r="540" ht="22.5" customHeight="1">
      <c r="A540" s="2">
        <v>539.0</v>
      </c>
      <c r="B540" s="3" t="s">
        <v>14412</v>
      </c>
      <c r="C540" s="3" t="s">
        <v>14242</v>
      </c>
      <c r="D540" s="3" t="s">
        <v>14243</v>
      </c>
      <c r="F540" s="5" t="str">
        <f>IFERROR(__xludf.DUMMYFUNCTION("GOOGLETRANSLATE(A540, ""en"", ""hi"")"),"539")</f>
        <v>539</v>
      </c>
      <c r="G540" s="5" t="str">
        <f>IFERROR(__xludf.DUMMYFUNCTION("GOOGLETRANSLATE(B540, ""en"", ""hi"")"),"कलारीपयट्टू प्रशिक्षण के दौरान, खंजर से प्रभावी युद्ध कौशल विकसित करने के लिए किस तकनीक को प्राथमिकता दी जानी चाहिए?")</f>
        <v>कलारीपयट्टू प्रशिक्षण के दौरान, खंजर से प्रभावी युद्ध कौशल विकसित करने के लिए किस तकनीक को प्राथमिकता दी जानी चाहिए?</v>
      </c>
      <c r="H540" s="5" t="str">
        <f>IFERROR(__xludf.DUMMYFUNCTION("GOOGLETRANSLATE(C540, ""en"", ""hi"")"),"ए) डैगर तकनीक, बी) वर्मा, सी) एडवस, डी) उझिचिल")</f>
        <v>ए) डैगर तकनीक, बी) वर्मा, सी) एडवस, डी) उझिचिल</v>
      </c>
      <c r="I540" s="5" t="str">
        <f>IFERROR(__xludf.DUMMYFUNCTION("GOOGLETRANSLATE(D540, ""en"", ""hi"")"),"ए) खंजर तकनीक")</f>
        <v>ए) खंजर तकनीक</v>
      </c>
    </row>
    <row r="541" ht="22.5" customHeight="1">
      <c r="A541" s="2">
        <v>540.0</v>
      </c>
      <c r="B541" s="3" t="s">
        <v>14413</v>
      </c>
      <c r="C541" s="3" t="s">
        <v>14251</v>
      </c>
      <c r="D541" s="3" t="s">
        <v>14252</v>
      </c>
      <c r="F541" s="5" t="str">
        <f>IFERROR(__xludf.DUMMYFUNCTION("GOOGLETRANSLATE(A541, ""en"", ""hi"")"),"540")</f>
        <v>540</v>
      </c>
      <c r="G541" s="5" t="str">
        <f>IFERROR(__xludf.DUMMYFUNCTION("GOOGLETRANSLATE(B541, ""en"", ""hi"")"),"कलारीपयट्टू में, कौन सी प्रथा आक्रामक और रक्षात्मक दोनों युद्धाभ्यास करने के लिए एक लंबे हथियार का उपयोग करने पर केंद्रित है?")</f>
        <v>कलारीपयट्टू में, कौन सी प्रथा आक्रामक और रक्षात्मक दोनों युद्धाभ्यास करने के लिए एक लंबे हथियार का उपयोग करने पर केंद्रित है?</v>
      </c>
      <c r="H541" s="5" t="str">
        <f>IFERROR(__xludf.DUMMYFUNCTION("GOOGLETRANSLATE(C541, ""en"", ""hi"")"),"A) लॉन्ग स्टिक तकनीक, B) वर्मा, C) अदावस, D) उझिचिल")</f>
        <v>A) लॉन्ग स्टिक तकनीक, B) वर्मा, C) अदावस, D) उझिचिल</v>
      </c>
      <c r="I541" s="5" t="str">
        <f>IFERROR(__xludf.DUMMYFUNCTION("GOOGLETRANSLATE(D541, ""en"", ""hi"")"),"ए) लंबी छड़ी तकनीक")</f>
        <v>ए) लंबी छड़ी तकनीक</v>
      </c>
    </row>
    <row r="542" ht="22.5" customHeight="1">
      <c r="A542" s="2">
        <v>541.0</v>
      </c>
      <c r="B542" s="3" t="s">
        <v>14414</v>
      </c>
      <c r="C542" s="3" t="s">
        <v>13809</v>
      </c>
      <c r="D542" s="3" t="s">
        <v>13675</v>
      </c>
      <c r="F542" s="5" t="str">
        <f>IFERROR(__xludf.DUMMYFUNCTION("GOOGLETRANSLATE(A542, ""en"", ""hi"")"),"541")</f>
        <v>541</v>
      </c>
      <c r="G542" s="5" t="str">
        <f>IFERROR(__xludf.DUMMYFUNCTION("GOOGLETRANSLATE(B542, ""en"", ""hi"")"),"एक कलारीपयट्टू अभ्यासी अपनी चपलता और तेज़ पैरों की गति बढ़ाने की तकनीकों पर ध्यान केंद्रित कर रहा है। उन्हें किस अभ्यास को प्राथमिकता देनी चाहिए?")</f>
        <v>एक कलारीपयट्टू अभ्यासी अपनी चपलता और तेज़ पैरों की गति बढ़ाने की तकनीकों पर ध्यान केंद्रित कर रहा है। उन्हें किस अभ्यास को प्राथमिकता देनी चाहिए?</v>
      </c>
      <c r="H542" s="5" t="str">
        <f>IFERROR(__xludf.DUMMYFUNCTION("GOOGLETRANSLATE(C542, ""en"", ""hi"")"),"ए) चुवडु, बी) वर्मम, सी) एडवस, डी) उझिचिल")</f>
        <v>ए) चुवडु, बी) वर्मम, सी) एडवस, डी) उझिचिल</v>
      </c>
      <c r="I542" s="5" t="str">
        <f>IFERROR(__xludf.DUMMYFUNCTION("GOOGLETRANSLATE(D542, ""en"", ""hi"")"),"A) चुवाडु")</f>
        <v>A) चुवाडु</v>
      </c>
    </row>
    <row r="543" ht="22.5" customHeight="1">
      <c r="A543" s="2">
        <v>542.0</v>
      </c>
      <c r="B543" s="3" t="s">
        <v>14415</v>
      </c>
      <c r="C543" s="3" t="s">
        <v>14285</v>
      </c>
      <c r="D543" s="3" t="s">
        <v>14286</v>
      </c>
      <c r="F543" s="5" t="str">
        <f>IFERROR(__xludf.DUMMYFUNCTION("GOOGLETRANSLATE(A543, ""en"", ""hi"")"),"542")</f>
        <v>542</v>
      </c>
      <c r="G543" s="5" t="str">
        <f>IFERROR(__xludf.DUMMYFUNCTION("GOOGLETRANSLATE(B543, ""en"", ""hi"")"),"कलारीपयट्टू प्रशिक्षण के दौरान तलवार से सटीक प्रहार करने के लिए किस तकनीक पर जोर दिया जाना चाहिए?")</f>
        <v>कलारीपयट्टू प्रशिक्षण के दौरान तलवार से सटीक प्रहार करने के लिए किस तकनीक पर जोर दिया जाना चाहिए?</v>
      </c>
      <c r="H543" s="5" t="str">
        <f>IFERROR(__xludf.DUMMYFUNCTION("GOOGLETRANSLATE(C543, ""en"", ""hi"")"),"ए) तलवार तकनीक, बी) वर्मा, सी) एडवस, डी) उझिचिल")</f>
        <v>ए) तलवार तकनीक, बी) वर्मा, सी) एडवस, डी) उझिचिल</v>
      </c>
      <c r="I543" s="5" t="str">
        <f>IFERROR(__xludf.DUMMYFUNCTION("GOOGLETRANSLATE(D543, ""en"", ""hi"")"),"A) तलवार तकनीक")</f>
        <v>A) तलवार तकनीक</v>
      </c>
    </row>
    <row r="544" ht="22.5" customHeight="1">
      <c r="A544" s="2">
        <v>543.0</v>
      </c>
      <c r="B544" s="3" t="s">
        <v>14416</v>
      </c>
      <c r="C544" s="3" t="s">
        <v>14417</v>
      </c>
      <c r="D544" s="3" t="s">
        <v>10601</v>
      </c>
      <c r="F544" s="5" t="str">
        <f>IFERROR(__xludf.DUMMYFUNCTION("GOOGLETRANSLATE(A544, ""en"", ""hi"")"),"543")</f>
        <v>543</v>
      </c>
      <c r="G544" s="5" t="str">
        <f>IFERROR(__xludf.DUMMYFUNCTION("GOOGLETRANSLATE(B544, ""en"", ""hi"")"),"कलारीपयट्टु में, 'चुवडु' तकनीक का प्राथमिक उद्देश्य क्या है?")</f>
        <v>कलारीपयट्टु में, 'चुवडु' तकनीक का प्राथमिक उद्देश्य क्या है?</v>
      </c>
      <c r="H544" s="5" t="str">
        <f>IFERROR(__xludf.DUMMYFUNCTION("GOOGLETRANSLATE(C544, ""en"", ""hi"")"),"A) फुटवर्क में सुधार, B) ताकत बढ़ाना, C) हथियार संचालन में निपुणता, D) चपलता विकसित करना")</f>
        <v>A) फुटवर्क में सुधार, B) ताकत बढ़ाना, C) हथियार संचालन में निपुणता, D) चपलता विकसित करना</v>
      </c>
      <c r="I544" s="5" t="str">
        <f>IFERROR(__xludf.DUMMYFUNCTION("GOOGLETRANSLATE(D544, ""en"", ""hi"")"),"A) फुटवर्क में सुधार")</f>
        <v>A) फुटवर्क में सुधार</v>
      </c>
    </row>
    <row r="545" ht="22.5" customHeight="1">
      <c r="A545" s="2">
        <v>544.0</v>
      </c>
      <c r="B545" s="3" t="s">
        <v>14418</v>
      </c>
      <c r="C545" s="3" t="s">
        <v>14419</v>
      </c>
      <c r="D545" s="3" t="s">
        <v>13921</v>
      </c>
      <c r="F545" s="5" t="str">
        <f>IFERROR(__xludf.DUMMYFUNCTION("GOOGLETRANSLATE(A545, ""en"", ""hi"")"),"544")</f>
        <v>544</v>
      </c>
      <c r="G545" s="5" t="str">
        <f>IFERROR(__xludf.DUMMYFUNCTION("GOOGLETRANSLATE(B545, ""en"", ""hi"")"),"एक कलारीपयट्टू अभ्यासी अपने रक्षात्मक कौशल को बेहतर बनाने के लिए प्रशिक्षण ले रहा है। उन्हें किस अभ्यास पर ध्यान केंद्रित करना चाहिए?")</f>
        <v>एक कलारीपयट्टू अभ्यासी अपने रक्षात्मक कौशल को बेहतर बनाने के लिए प्रशिक्षण ले रहा है। उन्हें किस अभ्यास पर ध्यान केंद्रित करना चाहिए?</v>
      </c>
      <c r="H545" s="5" t="str">
        <f>IFERROR(__xludf.DUMMYFUNCTION("GOOGLETRANSLATE(C545, ""en"", ""hi"")"),"ए) एडवस, बी) उझिचिल, सी) मार्मा, डी) चुवाडु")</f>
        <v>ए) एडवस, बी) उझिचिल, सी) मार्मा, डी) चुवाडु</v>
      </c>
      <c r="I545" s="5" t="str">
        <f>IFERROR(__xludf.DUMMYFUNCTION("GOOGLETRANSLATE(D545, ""en"", ""hi"")"),"बी) उझिचिल")</f>
        <v>बी) उझिचिल</v>
      </c>
    </row>
    <row r="546" ht="22.5" customHeight="1">
      <c r="A546" s="2">
        <v>545.0</v>
      </c>
      <c r="B546" s="3" t="s">
        <v>14420</v>
      </c>
      <c r="C546" s="3" t="s">
        <v>13713</v>
      </c>
      <c r="D546" s="3" t="s">
        <v>14065</v>
      </c>
      <c r="F546" s="5" t="str">
        <f>IFERROR(__xludf.DUMMYFUNCTION("GOOGLETRANSLATE(A546, ""en"", ""hi"")"),"545")</f>
        <v>545</v>
      </c>
      <c r="G546" s="5" t="str">
        <f>IFERROR(__xludf.DUMMYFUNCTION("GOOGLETRANSLATE(B546, ""en"", ""hi"")"),"कलारीपयट्टू सत्र के दौरान, लंबी दूरी के हमलों का अभ्यास करने के लिए आमतौर पर किस हथियार का उपयोग किया जाता है?")</f>
        <v>कलारीपयट्टू सत्र के दौरान, लंबी दूरी के हमलों का अभ्यास करने के लिए आमतौर पर किस हथियार का उपयोग किया जाता है?</v>
      </c>
      <c r="H546" s="5" t="str">
        <f>IFERROR(__xludf.DUMMYFUNCTION("GOOGLETRANSLATE(C546, ""en"", ""hi"")"),"A) तलवार, B) गदा, C) भाला, D) खंजर")</f>
        <v>A) तलवार, B) गदा, C) भाला, D) खंजर</v>
      </c>
      <c r="I546" s="5" t="str">
        <f>IFERROR(__xludf.DUMMYFUNCTION("GOOGLETRANSLATE(D546, ""en"", ""hi"")"),"सी) भाला")</f>
        <v>सी) भाला</v>
      </c>
    </row>
    <row r="547" ht="22.5" customHeight="1">
      <c r="A547" s="2">
        <v>546.0</v>
      </c>
      <c r="B547" s="3" t="s">
        <v>14421</v>
      </c>
      <c r="C547" s="3" t="s">
        <v>14005</v>
      </c>
      <c r="D547" s="3" t="s">
        <v>13932</v>
      </c>
      <c r="F547" s="5" t="str">
        <f>IFERROR(__xludf.DUMMYFUNCTION("GOOGLETRANSLATE(A547, ""en"", ""hi"")"),"546")</f>
        <v>546</v>
      </c>
      <c r="G547" s="5" t="str">
        <f>IFERROR(__xludf.DUMMYFUNCTION("GOOGLETRANSLATE(B547, ""en"", ""hi"")"),"कलारीपयट्टू में, किस अभ्यास में प्रतिद्वंद्वी के ऊर्जा प्रवाह को प्रभावित करने के लिए दबाव बिंदुओं का उपयोग शामिल है?")</f>
        <v>कलारीपयट्टू में, किस अभ्यास में प्रतिद्वंद्वी के ऊर्जा प्रवाह को प्रभावित करने के लिए दबाव बिंदुओं का उपयोग शामिल है?</v>
      </c>
      <c r="H547" s="5" t="str">
        <f>IFERROR(__xludf.DUMMYFUNCTION("GOOGLETRANSLATE(C547, ""en"", ""hi"")"),"ए) मार्मा, बी) एडवस, सी) वर्मा, डी) उझिचिल")</f>
        <v>ए) मार्मा, बी) एडवस, सी) वर्मा, डी) उझिचिल</v>
      </c>
      <c r="I547" s="5" t="str">
        <f>IFERROR(__xludf.DUMMYFUNCTION("GOOGLETRANSLATE(D547, ""en"", ""hi"")"),"A) मर्म")</f>
        <v>A) मर्म</v>
      </c>
    </row>
    <row r="548" ht="22.5" customHeight="1">
      <c r="A548" s="2">
        <v>547.0</v>
      </c>
      <c r="B548" s="3" t="s">
        <v>14422</v>
      </c>
      <c r="C548" s="3" t="s">
        <v>14423</v>
      </c>
      <c r="D548" s="3" t="s">
        <v>14424</v>
      </c>
      <c r="F548" s="5" t="str">
        <f>IFERROR(__xludf.DUMMYFUNCTION("GOOGLETRANSLATE(A548, ""en"", ""hi"")"),"547")</f>
        <v>547</v>
      </c>
      <c r="G548" s="5" t="str">
        <f>IFERROR(__xludf.DUMMYFUNCTION("GOOGLETRANSLATE(B548, ""en"", ""hi"")"),"एक कलारीपयट्टू अभ्यासी अपनी प्रहार शक्ति को बेहतर बनाने पर ध्यान केंद्रित करना चाहता है। उन्हें किस तकनीक पर ज़ोर देना चाहिए?")</f>
        <v>एक कलारीपयट्टू अभ्यासी अपनी प्रहार शक्ति को बेहतर बनाने पर ध्यान केंद्रित करना चाहता है। उन्हें किस तकनीक पर ज़ोर देना चाहिए?</v>
      </c>
      <c r="H548" s="5" t="str">
        <f>IFERROR(__xludf.DUMMYFUNCTION("GOOGLETRANSLATE(C548, ""en"", ""hi"")"),"ए) तलवार तकनीक, बी) गदा तकनीक, सी) चुवाडु, डी) खंजर तकनीक")</f>
        <v>ए) तलवार तकनीक, बी) गदा तकनीक, सी) चुवाडु, डी) खंजर तकनीक</v>
      </c>
      <c r="I548" s="5" t="str">
        <f>IFERROR(__xludf.DUMMYFUNCTION("GOOGLETRANSLATE(D548, ""en"", ""hi"")"),"बी) गदा तकनीक")</f>
        <v>बी) गदा तकनीक</v>
      </c>
    </row>
    <row r="549" ht="22.5" customHeight="1">
      <c r="A549" s="2">
        <v>548.0</v>
      </c>
      <c r="B549" s="3" t="s">
        <v>14425</v>
      </c>
      <c r="C549" s="3" t="s">
        <v>14242</v>
      </c>
      <c r="D549" s="3" t="s">
        <v>14243</v>
      </c>
      <c r="F549" s="5" t="str">
        <f>IFERROR(__xludf.DUMMYFUNCTION("GOOGLETRANSLATE(A549, ""en"", ""hi"")"),"548")</f>
        <v>548</v>
      </c>
      <c r="G549" s="5" t="str">
        <f>IFERROR(__xludf.DUMMYFUNCTION("GOOGLETRANSLATE(B549, ""en"", ""hi"")"),"कलारीपयट्टू में, नजदीकी युद्ध में खंजर के उपयोग में निपुणता प्राप्त करने के लिए कौन सा अभ्यास आवश्यक है?")</f>
        <v>कलारीपयट्टू में, नजदीकी युद्ध में खंजर के उपयोग में निपुणता प्राप्त करने के लिए कौन सा अभ्यास आवश्यक है?</v>
      </c>
      <c r="H549" s="5" t="str">
        <f>IFERROR(__xludf.DUMMYFUNCTION("GOOGLETRANSLATE(C549, ""en"", ""hi"")"),"ए) डैगर तकनीक, बी) वर्मा, सी) एडवस, डी) उझिचिल")</f>
        <v>ए) डैगर तकनीक, बी) वर्मा, सी) एडवस, डी) उझिचिल</v>
      </c>
      <c r="I549" s="5" t="str">
        <f>IFERROR(__xludf.DUMMYFUNCTION("GOOGLETRANSLATE(D549, ""en"", ""hi"")"),"ए) खंजर तकनीक")</f>
        <v>ए) खंजर तकनीक</v>
      </c>
    </row>
    <row r="550" ht="22.5" customHeight="1">
      <c r="A550" s="2">
        <v>549.0</v>
      </c>
      <c r="B550" s="3" t="s">
        <v>14426</v>
      </c>
      <c r="C550" s="3" t="s">
        <v>14008</v>
      </c>
      <c r="D550" s="3" t="s">
        <v>13684</v>
      </c>
      <c r="F550" s="5" t="str">
        <f>IFERROR(__xludf.DUMMYFUNCTION("GOOGLETRANSLATE(A550, ""en"", ""hi"")"),"549")</f>
        <v>549</v>
      </c>
      <c r="G550" s="5" t="str">
        <f>IFERROR(__xludf.DUMMYFUNCTION("GOOGLETRANSLATE(B550, ""en"", ""hi"")"),"कलारीपयट्टू प्रशिक्षण के दौरान, समग्र शारीरिक कंडीशनिंग विकसित करने के लिए कौन सा अभ्यास महत्वपूर्ण है?")</f>
        <v>कलारीपयट्टू प्रशिक्षण के दौरान, समग्र शारीरिक कंडीशनिंग विकसित करने के लिए कौन सा अभ्यास महत्वपूर्ण है?</v>
      </c>
      <c r="H550" s="5" t="str">
        <f>IFERROR(__xludf.DUMMYFUNCTION("GOOGLETRANSLATE(C550, ""en"", ""hi"")"),"ए) उझिचिल, बी) चुवाडु, सी) मार्मा, डी) एडवस")</f>
        <v>ए) उझिचिल, बी) चुवाडु, सी) मार्मा, डी) एडवस</v>
      </c>
      <c r="I550" s="5" t="str">
        <f>IFERROR(__xludf.DUMMYFUNCTION("GOOGLETRANSLATE(D550, ""en"", ""hi"")"),"A) उझिचिल")</f>
        <v>A) उझिचिल</v>
      </c>
    </row>
    <row r="551" ht="22.5" customHeight="1">
      <c r="A551" s="2">
        <v>550.0</v>
      </c>
      <c r="B551" s="3" t="s">
        <v>14427</v>
      </c>
      <c r="C551" s="3" t="s">
        <v>14428</v>
      </c>
      <c r="D551" s="3" t="s">
        <v>14429</v>
      </c>
      <c r="F551" s="5" t="str">
        <f>IFERROR(__xludf.DUMMYFUNCTION("GOOGLETRANSLATE(A551, ""en"", ""hi"")"),"550")</f>
        <v>550</v>
      </c>
      <c r="G551" s="5" t="str">
        <f>IFERROR(__xludf.DUMMYFUNCTION("GOOGLETRANSLATE(B551, ""en"", ""hi"")"),"कलारीपयट्टू में 'अडावस' अभ्यास का प्राथमिक केंद्र क्या है?")</f>
        <v>कलारीपयट्टू में 'अडावस' अभ्यास का प्राथमिक केंद्र क्या है?</v>
      </c>
      <c r="H551" s="5" t="str">
        <f>IFERROR(__xludf.DUMMYFUNCTION("GOOGLETRANSLATE(C551, ""en"", ""hi"")"),"A) हथियार तकनीक, B) रुख और चाल, C) दबाव बिंदु, D) शरीर की कंडीशनिंग")</f>
        <v>A) हथियार तकनीक, B) रुख और चाल, C) दबाव बिंदु, D) शरीर की कंडीशनिंग</v>
      </c>
      <c r="I551" s="5" t="str">
        <f>IFERROR(__xludf.DUMMYFUNCTION("GOOGLETRANSLATE(D551, ""en"", ""hi"")"),"बी) रुख और गति")</f>
        <v>बी) रुख और गति</v>
      </c>
    </row>
    <row r="552" ht="22.5" customHeight="1">
      <c r="A552" s="2">
        <v>551.0</v>
      </c>
      <c r="B552" s="3" t="s">
        <v>14430</v>
      </c>
      <c r="C552" s="3" t="s">
        <v>14431</v>
      </c>
      <c r="D552" s="3" t="s">
        <v>14286</v>
      </c>
      <c r="F552" s="5" t="str">
        <f>IFERROR(__xludf.DUMMYFUNCTION("GOOGLETRANSLATE(A552, ""en"", ""hi"")"),"551")</f>
        <v>551</v>
      </c>
      <c r="G552" s="5" t="str">
        <f>IFERROR(__xludf.DUMMYFUNCTION("GOOGLETRANSLATE(B552, ""en"", ""hi"")"),"कलारीपयट्टू का एक अभ्यासी सटीक प्रहार करने की अपनी क्षमता पर काम कर रहा है। उन्हें क्या अभ्यास करना चाहिए?")</f>
        <v>कलारीपयट्टू का एक अभ्यासी सटीक प्रहार करने की अपनी क्षमता पर काम कर रहा है। उन्हें क्या अभ्यास करना चाहिए?</v>
      </c>
      <c r="H552" s="5" t="str">
        <f>IFERROR(__xludf.DUMMYFUNCTION("GOOGLETRANSLATE(C552, ""en"", ""hi"")"),"ए) तलवार तकनीक, बी) उझिचिल, सी) मार्मा, डी) चुवाडु")</f>
        <v>ए) तलवार तकनीक, बी) उझिचिल, सी) मार्मा, डी) चुवाडु</v>
      </c>
      <c r="I552" s="5" t="str">
        <f>IFERROR(__xludf.DUMMYFUNCTION("GOOGLETRANSLATE(D552, ""en"", ""hi"")"),"A) तलवार तकनीक")</f>
        <v>A) तलवार तकनीक</v>
      </c>
    </row>
    <row r="553" ht="22.5" customHeight="1">
      <c r="A553" s="2">
        <v>552.0</v>
      </c>
      <c r="B553" s="3" t="s">
        <v>14432</v>
      </c>
      <c r="C553" s="3" t="s">
        <v>14001</v>
      </c>
      <c r="D553" s="3" t="s">
        <v>14002</v>
      </c>
      <c r="F553" s="5" t="str">
        <f>IFERROR(__xludf.DUMMYFUNCTION("GOOGLETRANSLATE(A553, ""en"", ""hi"")"),"552")</f>
        <v>552</v>
      </c>
      <c r="G553" s="5" t="str">
        <f>IFERROR(__xludf.DUMMYFUNCTION("GOOGLETRANSLATE(B553, ""en"", ""hi"")"),"कलारीपयट्टू में, व्यापक, व्यापक प्रहारों वाली तकनीकों के लिए कौन सा हथियार सबसे प्रभावी है?")</f>
        <v>कलारीपयट्टू में, व्यापक, व्यापक प्रहारों वाली तकनीकों के लिए कौन सा हथियार सबसे प्रभावी है?</v>
      </c>
      <c r="H553" s="5" t="str">
        <f>IFERROR(__xludf.DUMMYFUNCTION("GOOGLETRANSLATE(C553, ""en"", ""hi"")"),"A) गदा, B) तलवार, C) भाला, D) खंजर")</f>
        <v>A) गदा, B) तलवार, C) भाला, D) खंजर</v>
      </c>
      <c r="I553" s="5" t="str">
        <f>IFERROR(__xludf.DUMMYFUNCTION("GOOGLETRANSLATE(D553, ""en"", ""hi"")"),"ए) गदा")</f>
        <v>ए) गदा</v>
      </c>
    </row>
    <row r="554" ht="22.5" customHeight="1">
      <c r="A554" s="2">
        <v>553.0</v>
      </c>
      <c r="B554" s="3" t="s">
        <v>14433</v>
      </c>
      <c r="C554" s="3" t="s">
        <v>14251</v>
      </c>
      <c r="D554" s="3" t="s">
        <v>14252</v>
      </c>
      <c r="F554" s="5" t="str">
        <f>IFERROR(__xludf.DUMMYFUNCTION("GOOGLETRANSLATE(A554, ""en"", ""hi"")"),"553")</f>
        <v>553</v>
      </c>
      <c r="G554" s="5" t="str">
        <f>IFERROR(__xludf.DUMMYFUNCTION("GOOGLETRANSLATE(B554, ""en"", ""hi"")"),"कलारीपयट्टू प्रशिक्षण के दौरान, कौन सा अभ्यास युद्ध के लिए एक लंबे हथियार के उपयोग को परिष्कृत करने पर केंद्रित है?")</f>
        <v>कलारीपयट्टू प्रशिक्षण के दौरान, कौन सा अभ्यास युद्ध के लिए एक लंबे हथियार के उपयोग को परिष्कृत करने पर केंद्रित है?</v>
      </c>
      <c r="H554" s="5" t="str">
        <f>IFERROR(__xludf.DUMMYFUNCTION("GOOGLETRANSLATE(C554, ""en"", ""hi"")"),"A) लॉन्ग स्टिक तकनीक, B) वर्मा, C) अदावस, D) उझिचिल")</f>
        <v>A) लॉन्ग स्टिक तकनीक, B) वर्मा, C) अदावस, D) उझिचिल</v>
      </c>
      <c r="I554" s="5" t="str">
        <f>IFERROR(__xludf.DUMMYFUNCTION("GOOGLETRANSLATE(D554, ""en"", ""hi"")"),"ए) लंबी छड़ी तकनीक")</f>
        <v>ए) लंबी छड़ी तकनीक</v>
      </c>
    </row>
    <row r="555" ht="22.5" customHeight="1">
      <c r="A555" s="2">
        <v>554.0</v>
      </c>
      <c r="B555" s="3" t="s">
        <v>14434</v>
      </c>
      <c r="C555" s="3" t="s">
        <v>14435</v>
      </c>
      <c r="D555" s="3" t="s">
        <v>14436</v>
      </c>
      <c r="F555" s="5" t="str">
        <f>IFERROR(__xludf.DUMMYFUNCTION("GOOGLETRANSLATE(A555, ""en"", ""hi"")"),"554")</f>
        <v>554</v>
      </c>
      <c r="G555" s="5" t="str">
        <f>IFERROR(__xludf.DUMMYFUNCTION("GOOGLETRANSLATE(B555, ""en"", ""hi"")"),"कलारीपयट्टू में, कई हथियारों को प्रभावी ढंग से चलाना सीखने के लिए कौन सा अभ्यास आवश्यक है?")</f>
        <v>कलारीपयट्टू में, कई हथियारों को प्रभावी ढंग से चलाना सीखने के लिए कौन सा अभ्यास आवश्यक है?</v>
      </c>
      <c r="H555" s="5" t="str">
        <f>IFERROR(__xludf.DUMMYFUNCTION("GOOGLETRANSLATE(C555, ""en"", ""hi"")"),"ए) हथियार संयोजन, बी) मार्मा, सी) एडवस, डी) उझिचिल")</f>
        <v>ए) हथियार संयोजन, बी) मार्मा, सी) एडवस, डी) उझिचिल</v>
      </c>
      <c r="I555" s="5" t="str">
        <f>IFERROR(__xludf.DUMMYFUNCTION("GOOGLETRANSLATE(D555, ""en"", ""hi"")"),"A) हथियार संयोजन")</f>
        <v>A) हथियार संयोजन</v>
      </c>
    </row>
    <row r="556" ht="22.5" customHeight="1">
      <c r="A556" s="2">
        <v>555.0</v>
      </c>
      <c r="B556" s="3" t="s">
        <v>14437</v>
      </c>
      <c r="C556" s="3" t="s">
        <v>14081</v>
      </c>
      <c r="D556" s="3" t="s">
        <v>13675</v>
      </c>
      <c r="F556" s="5" t="str">
        <f>IFERROR(__xludf.DUMMYFUNCTION("GOOGLETRANSLATE(A556, ""en"", ""hi"")"),"555")</f>
        <v>555</v>
      </c>
      <c r="G556" s="5" t="str">
        <f>IFERROR(__xludf.DUMMYFUNCTION("GOOGLETRANSLATE(B556, ""en"", ""hi"")"),"एक कलारीपयट्टू अभ्यासी हमलों से बचने की अपनी क्षमता को बेहतर बनाने पर ध्यान केंद्रित कर रहा है। उन्हें क्या अभ्यास करना चाहिए?")</f>
        <v>एक कलारीपयट्टू अभ्यासी हमलों से बचने की अपनी क्षमता को बेहतर बनाने पर ध्यान केंद्रित कर रहा है। उन्हें क्या अभ्यास करना चाहिए?</v>
      </c>
      <c r="H556" s="5" t="str">
        <f>IFERROR(__xludf.DUMMYFUNCTION("GOOGLETRANSLATE(C556, ""en"", ""hi"")"),"ए) चुवाडु, बी) वर्मा, सी) एडवस, डी) उझिचिल")</f>
        <v>ए) चुवाडु, बी) वर्मा, सी) एडवस, डी) उझिचिल</v>
      </c>
      <c r="I556" s="5" t="str">
        <f>IFERROR(__xludf.DUMMYFUNCTION("GOOGLETRANSLATE(D556, ""en"", ""hi"")"),"A) चुवाडु")</f>
        <v>A) चुवाडु</v>
      </c>
    </row>
    <row r="557" ht="22.5" customHeight="1">
      <c r="A557" s="2">
        <v>556.0</v>
      </c>
      <c r="B557" s="3" t="s">
        <v>14438</v>
      </c>
      <c r="C557" s="3" t="s">
        <v>14278</v>
      </c>
      <c r="D557" s="3" t="s">
        <v>14279</v>
      </c>
      <c r="F557" s="5" t="str">
        <f>IFERROR(__xludf.DUMMYFUNCTION("GOOGLETRANSLATE(A557, ""en"", ""hi"")"),"556")</f>
        <v>556</v>
      </c>
      <c r="G557" s="5" t="str">
        <f>IFERROR(__xludf.DUMMYFUNCTION("GOOGLETRANSLATE(B557, ""en"", ""hi"")"),"कलारीपयट्टू में, आक्रमण और बचाव दोनों के लिए भाले के उपयोग में निपुणता प्राप्त करने के लिए कौन सी तकनीक महत्वपूर्ण है?")</f>
        <v>कलारीपयट्टू में, आक्रमण और बचाव दोनों के लिए भाले के उपयोग में निपुणता प्राप्त करने के लिए कौन सी तकनीक महत्वपूर्ण है?</v>
      </c>
      <c r="H557" s="5" t="str">
        <f>IFERROR(__xludf.DUMMYFUNCTION("GOOGLETRANSLATE(C557, ""en"", ""hi"")"),"ए) भाला तकनीक, बी) वर्मा, सी) एडवस, डी) उझिचिल")</f>
        <v>ए) भाला तकनीक, बी) वर्मा, सी) एडवस, डी) उझिचिल</v>
      </c>
      <c r="I557" s="5" t="str">
        <f>IFERROR(__xludf.DUMMYFUNCTION("GOOGLETRANSLATE(D557, ""en"", ""hi"")"),"ए) भाला तकनीक")</f>
        <v>ए) भाला तकनीक</v>
      </c>
    </row>
    <row r="558" ht="22.5" customHeight="1">
      <c r="A558" s="2">
        <v>557.0</v>
      </c>
      <c r="B558" s="3" t="s">
        <v>14439</v>
      </c>
      <c r="C558" s="3" t="s">
        <v>14052</v>
      </c>
      <c r="D558" s="3" t="s">
        <v>13684</v>
      </c>
      <c r="F558" s="5" t="str">
        <f>IFERROR(__xludf.DUMMYFUNCTION("GOOGLETRANSLATE(A558, ""en"", ""hi"")"),"557")</f>
        <v>557</v>
      </c>
      <c r="G558" s="5" t="str">
        <f>IFERROR(__xludf.DUMMYFUNCTION("GOOGLETRANSLATE(B558, ""en"", ""hi"")"),"कलारीपयट्टू प्रशिक्षण के दौरान, कौन सा अभ्यास बेहतर स्थिरता के लिए मुख्य मांसपेशियों को मजबूत करने पर केंद्रित है?")</f>
        <v>कलारीपयट्टू प्रशिक्षण के दौरान, कौन सा अभ्यास बेहतर स्थिरता के लिए मुख्य मांसपेशियों को मजबूत करने पर केंद्रित है?</v>
      </c>
      <c r="H558" s="5" t="str">
        <f>IFERROR(__xludf.DUMMYFUNCTION("GOOGLETRANSLATE(C558, ""en"", ""hi"")"),"ए) उझिचिल, बी) मार्मा, सी) एडवस, डी) चुवाडु")</f>
        <v>ए) उझिचिल, बी) मार्मा, सी) एडवस, डी) चुवाडु</v>
      </c>
      <c r="I558" s="5" t="str">
        <f>IFERROR(__xludf.DUMMYFUNCTION("GOOGLETRANSLATE(D558, ""en"", ""hi"")"),"A) उझिचिल")</f>
        <v>A) उझिचिल</v>
      </c>
    </row>
    <row r="559" ht="22.5" customHeight="1">
      <c r="A559" s="2">
        <v>558.0</v>
      </c>
      <c r="B559" s="3" t="s">
        <v>14440</v>
      </c>
      <c r="C559" s="3" t="s">
        <v>13713</v>
      </c>
      <c r="D559" s="3" t="s">
        <v>13935</v>
      </c>
      <c r="F559" s="5" t="str">
        <f>IFERROR(__xludf.DUMMYFUNCTION("GOOGLETRANSLATE(A559, ""en"", ""hi"")"),"558")</f>
        <v>558</v>
      </c>
      <c r="G559" s="5" t="str">
        <f>IFERROR(__xludf.DUMMYFUNCTION("GOOGLETRANSLATE(B559, ""en"", ""hi"")"),"कलारीपयट्टू में, किस हथियार का उपयोग मुख्य रूप से त्वरित, सटीक प्रहारों वाली तकनीकों के लिए किया जाता है?")</f>
        <v>कलारीपयट्टू में, किस हथियार का उपयोग मुख्य रूप से त्वरित, सटीक प्रहारों वाली तकनीकों के लिए किया जाता है?</v>
      </c>
      <c r="H559" s="5" t="str">
        <f>IFERROR(__xludf.DUMMYFUNCTION("GOOGLETRANSLATE(C559, ""en"", ""hi"")"),"A) तलवार, B) गदा, C) भाला, D) खंजर")</f>
        <v>A) तलवार, B) गदा, C) भाला, D) खंजर</v>
      </c>
      <c r="I559" s="5" t="str">
        <f>IFERROR(__xludf.DUMMYFUNCTION("GOOGLETRANSLATE(D559, ""en"", ""hi"")"),"D) खंजर")</f>
        <v>D) खंजर</v>
      </c>
    </row>
    <row r="560" ht="22.5" customHeight="1">
      <c r="A560" s="2">
        <v>559.0</v>
      </c>
      <c r="B560" s="3" t="s">
        <v>14441</v>
      </c>
      <c r="C560" s="3" t="s">
        <v>14016</v>
      </c>
      <c r="D560" s="3" t="s">
        <v>13684</v>
      </c>
      <c r="F560" s="5" t="str">
        <f>IFERROR(__xludf.DUMMYFUNCTION("GOOGLETRANSLATE(A560, ""en"", ""hi"")"),"559")</f>
        <v>559</v>
      </c>
      <c r="G560" s="5" t="str">
        <f>IFERROR(__xludf.DUMMYFUNCTION("GOOGLETRANSLATE(B560, ""en"", ""hi"")"),"एक कलारीपयट्टू अभ्यासी अपनी शक्ति और सहनशक्ति बढ़ाने के लिए तकनीकें सीख रहा है। उसे किस पर ध्यान केंद्रित करना चाहिए?")</f>
        <v>एक कलारीपयट्टू अभ्यासी अपनी शक्ति और सहनशक्ति बढ़ाने के लिए तकनीकें सीख रहा है। उसे किस पर ध्यान केंद्रित करना चाहिए?</v>
      </c>
      <c r="H560" s="5" t="str">
        <f>IFERROR(__xludf.DUMMYFUNCTION("GOOGLETRANSLATE(C560, ""en"", ""hi"")"),"ए) उझिचिल, बी) एडवस, सी) वर्मा, डी) चुवाडु")</f>
        <v>ए) उझिचिल, बी) एडवस, सी) वर्मा, डी) चुवाडु</v>
      </c>
      <c r="I560" s="5" t="str">
        <f>IFERROR(__xludf.DUMMYFUNCTION("GOOGLETRANSLATE(D560, ""en"", ""hi"")"),"A) उझिचिल")</f>
        <v>A) उझिचिल</v>
      </c>
    </row>
    <row r="561" ht="22.5" customHeight="1">
      <c r="A561" s="2">
        <v>560.0</v>
      </c>
      <c r="B561" s="3" t="s">
        <v>14442</v>
      </c>
      <c r="C561" s="3" t="s">
        <v>14285</v>
      </c>
      <c r="D561" s="3" t="s">
        <v>14286</v>
      </c>
      <c r="F561" s="5" t="str">
        <f>IFERROR(__xludf.DUMMYFUNCTION("GOOGLETRANSLATE(A561, ""en"", ""hi"")"),"560")</f>
        <v>560</v>
      </c>
      <c r="G561" s="5" t="str">
        <f>IFERROR(__xludf.DUMMYFUNCTION("GOOGLETRANSLATE(B561, ""en"", ""hi"")"),"कलारीपयट्टू प्रशिक्षण के दौरान, विभिन्न युद्ध परिदृश्यों में तलवार के उपयोग में निपुणता प्राप्त करने के लिए किस अभ्यास पर जोर दिया जाना चाहिए?")</f>
        <v>कलारीपयट्टू प्रशिक्षण के दौरान, विभिन्न युद्ध परिदृश्यों में तलवार के उपयोग में निपुणता प्राप्त करने के लिए किस अभ्यास पर जोर दिया जाना चाहिए?</v>
      </c>
      <c r="H561" s="5" t="str">
        <f>IFERROR(__xludf.DUMMYFUNCTION("GOOGLETRANSLATE(C561, ""en"", ""hi"")"),"ए) तलवार तकनीक, बी) वर्मा, सी) एडवस, डी) उझिचिल")</f>
        <v>ए) तलवार तकनीक, बी) वर्मा, सी) एडवस, डी) उझिचिल</v>
      </c>
      <c r="I561" s="5" t="str">
        <f>IFERROR(__xludf.DUMMYFUNCTION("GOOGLETRANSLATE(D561, ""en"", ""hi"")"),"A) तलवार तकनीक")</f>
        <v>A) तलवार तकनीक</v>
      </c>
    </row>
    <row r="562" ht="22.5" customHeight="1">
      <c r="A562" s="2">
        <v>561.0</v>
      </c>
      <c r="B562" s="3" t="s">
        <v>14443</v>
      </c>
      <c r="C562" s="3" t="s">
        <v>14444</v>
      </c>
      <c r="D562" s="3" t="s">
        <v>13932</v>
      </c>
      <c r="F562" s="5" t="str">
        <f>IFERROR(__xludf.DUMMYFUNCTION("GOOGLETRANSLATE(A562, ""en"", ""hi"")"),"561")</f>
        <v>561</v>
      </c>
      <c r="G562" s="5" t="str">
        <f>IFERROR(__xludf.DUMMYFUNCTION("GOOGLETRANSLATE(B562, ""en"", ""hi"")"),"कलारीपयट्टू में, कौन सी तकनीक युद्ध दक्षता बढ़ाने के लिए दबाव बिंदुओं के उपयोग पर केंद्रित है?")</f>
        <v>कलारीपयट्टू में, कौन सी तकनीक युद्ध दक्षता बढ़ाने के लिए दबाव बिंदुओं के उपयोग पर केंद्रित है?</v>
      </c>
      <c r="H562" s="5" t="str">
        <f>IFERROR(__xludf.DUMMYFUNCTION("GOOGLETRANSLATE(C562, ""en"", ""hi"")"),"ए) मार्मा, बी) वर्मा, सी) एडवस, डी) उझिचिल")</f>
        <v>ए) मार्मा, बी) वर्मा, सी) एडवस, डी) उझिचिल</v>
      </c>
      <c r="I562" s="5" t="str">
        <f>IFERROR(__xludf.DUMMYFUNCTION("GOOGLETRANSLATE(D562, ""en"", ""hi"")"),"A) मर्म")</f>
        <v>A) मर्म</v>
      </c>
    </row>
    <row r="563" ht="22.5" customHeight="1">
      <c r="A563" s="2">
        <v>562.0</v>
      </c>
      <c r="B563" s="3" t="s">
        <v>14445</v>
      </c>
      <c r="C563" s="3" t="s">
        <v>14282</v>
      </c>
      <c r="D563" s="3" t="s">
        <v>14283</v>
      </c>
      <c r="F563" s="5" t="str">
        <f>IFERROR(__xludf.DUMMYFUNCTION("GOOGLETRANSLATE(A563, ""en"", ""hi"")"),"562")</f>
        <v>562</v>
      </c>
      <c r="G563" s="5" t="str">
        <f>IFERROR(__xludf.DUMMYFUNCTION("GOOGLETRANSLATE(B563, ""en"", ""hi"")"),"एक कलारीपयट्टू साधक गदा को प्रभावी ढंग से चलाने की तकनीकों पर ध्यान केंद्रित कर रहा है। उन्हें किस चीज़ को प्राथमिकता देनी चाहिए?")</f>
        <v>एक कलारीपयट्टू साधक गदा को प्रभावी ढंग से चलाने की तकनीकों पर ध्यान केंद्रित कर रहा है। उन्हें किस चीज़ को प्राथमिकता देनी चाहिए?</v>
      </c>
      <c r="H563" s="5" t="str">
        <f>IFERROR(__xludf.DUMMYFUNCTION("GOOGLETRANSLATE(C563, ""en"", ""hi"")"),"ए) गदा तकनीक, बी) वर्मा, सी) एडवस, डी) उझिचिल")</f>
        <v>ए) गदा तकनीक, बी) वर्मा, सी) एडवस, डी) उझिचिल</v>
      </c>
      <c r="I563" s="5" t="str">
        <f>IFERROR(__xludf.DUMMYFUNCTION("GOOGLETRANSLATE(D563, ""en"", ""hi"")"),"ए) गदा तकनीक")</f>
        <v>ए) गदा तकनीक</v>
      </c>
    </row>
    <row r="564" ht="22.5" customHeight="1">
      <c r="A564" s="2">
        <v>563.0</v>
      </c>
      <c r="B564" s="3" t="s">
        <v>14446</v>
      </c>
      <c r="C564" s="3" t="s">
        <v>13809</v>
      </c>
      <c r="D564" s="3" t="s">
        <v>13675</v>
      </c>
      <c r="F564" s="5" t="str">
        <f>IFERROR(__xludf.DUMMYFUNCTION("GOOGLETRANSLATE(A564, ""en"", ""hi"")"),"563")</f>
        <v>563</v>
      </c>
      <c r="G564" s="5" t="str">
        <f>IFERROR(__xludf.DUMMYFUNCTION("GOOGLETRANSLATE(B564, ""en"", ""hi"")"),"कलारीपयट्टू प्रशिक्षण के दौरान, किस अभ्यास में प्रभावी फुटवर्क और गति के लिए तकनीकें शामिल होती हैं?")</f>
        <v>कलारीपयट्टू प्रशिक्षण के दौरान, किस अभ्यास में प्रभावी फुटवर्क और गति के लिए तकनीकें शामिल होती हैं?</v>
      </c>
      <c r="H564" s="5" t="str">
        <f>IFERROR(__xludf.DUMMYFUNCTION("GOOGLETRANSLATE(C564, ""en"", ""hi"")"),"ए) चुवडु, बी) वर्मम, सी) एडवस, डी) उझिचिल")</f>
        <v>ए) चुवडु, बी) वर्मम, सी) एडवस, डी) उझिचिल</v>
      </c>
      <c r="I564" s="5" t="str">
        <f>IFERROR(__xludf.DUMMYFUNCTION("GOOGLETRANSLATE(D564, ""en"", ""hi"")"),"A) चुवाडु")</f>
        <v>A) चुवाडु</v>
      </c>
    </row>
    <row r="565" ht="22.5" customHeight="1">
      <c r="A565" s="2">
        <v>564.0</v>
      </c>
      <c r="B565" s="3" t="s">
        <v>14447</v>
      </c>
      <c r="C565" s="3" t="s">
        <v>14448</v>
      </c>
      <c r="D565" s="3" t="s">
        <v>14269</v>
      </c>
      <c r="F565" s="5" t="str">
        <f>IFERROR(__xludf.DUMMYFUNCTION("GOOGLETRANSLATE(A565, ""en"", ""hi"")"),"564")</f>
        <v>564</v>
      </c>
      <c r="G565" s="5" t="str">
        <f>IFERROR(__xludf.DUMMYFUNCTION("GOOGLETRANSLATE(B565, ""en"", ""hi"")"),"कलारीपयट्टू में, कौन सा हथियार उन तकनीकों के लिए सबसे उपयुक्त है जिसमें निकटवर्ती क्षेत्रों में आक्रमण और बचाव दोनों शामिल हैं?")</f>
        <v>कलारीपयट्टू में, कौन सा हथियार उन तकनीकों के लिए सबसे उपयुक्त है जिसमें निकटवर्ती क्षेत्रों में आक्रमण और बचाव दोनों शामिल हैं?</v>
      </c>
      <c r="H565" s="5" t="str">
        <f>IFERROR(__xludf.DUMMYFUNCTION("GOOGLETRANSLATE(C565, ""en"", ""hi"")"),"A) खंजर, B) तलवार, C) भाला, D) गदा")</f>
        <v>A) खंजर, B) तलवार, C) भाला, D) गदा</v>
      </c>
      <c r="I565" s="5" t="str">
        <f>IFERROR(__xludf.DUMMYFUNCTION("GOOGLETRANSLATE(D565, ""en"", ""hi"")"),"ए) खंजर")</f>
        <v>ए) खंजर</v>
      </c>
    </row>
    <row r="566" ht="22.5" customHeight="1">
      <c r="A566" s="2">
        <v>565.0</v>
      </c>
      <c r="B566" s="3" t="s">
        <v>14449</v>
      </c>
      <c r="C566" s="3" t="s">
        <v>14282</v>
      </c>
      <c r="D566" s="3" t="s">
        <v>14283</v>
      </c>
      <c r="F566" s="5" t="str">
        <f>IFERROR(__xludf.DUMMYFUNCTION("GOOGLETRANSLATE(A566, ""en"", ""hi"")"),"565")</f>
        <v>565</v>
      </c>
      <c r="G566" s="5" t="str">
        <f>IFERROR(__xludf.DUMMYFUNCTION("GOOGLETRANSLATE(B566, ""en"", ""hi"")"),"एक कलारीपयट्टू अभ्यासी गदा से शक्तिशाली प्रहार करने की अपनी क्षमता में सुधार करने की तकनीक सीख रहा है। उन्हें किस अभ्यास पर ध्यान केंद्रित करना चाहिए?")</f>
        <v>एक कलारीपयट्टू अभ्यासी गदा से शक्तिशाली प्रहार करने की अपनी क्षमता में सुधार करने की तकनीक सीख रहा है। उन्हें किस अभ्यास पर ध्यान केंद्रित करना चाहिए?</v>
      </c>
      <c r="H566" s="5" t="str">
        <f>IFERROR(__xludf.DUMMYFUNCTION("GOOGLETRANSLATE(C566, ""en"", ""hi"")"),"ए) गदा तकनीक, बी) वर्मा, सी) एडवस, डी) उझिचिल")</f>
        <v>ए) गदा तकनीक, बी) वर्मा, सी) एडवस, डी) उझिचिल</v>
      </c>
      <c r="I566" s="5" t="str">
        <f>IFERROR(__xludf.DUMMYFUNCTION("GOOGLETRANSLATE(D566, ""en"", ""hi"")"),"ए) गदा तकनीक")</f>
        <v>ए) गदा तकनीक</v>
      </c>
    </row>
    <row r="567" ht="22.5" customHeight="1">
      <c r="A567" s="2">
        <v>566.0</v>
      </c>
      <c r="B567" s="3" t="s">
        <v>14450</v>
      </c>
      <c r="C567" s="3" t="s">
        <v>14285</v>
      </c>
      <c r="D567" s="3" t="s">
        <v>14286</v>
      </c>
      <c r="F567" s="5" t="str">
        <f>IFERROR(__xludf.DUMMYFUNCTION("GOOGLETRANSLATE(A567, ""en"", ""hi"")"),"566")</f>
        <v>566</v>
      </c>
      <c r="G567" s="5" t="str">
        <f>IFERROR(__xludf.DUMMYFUNCTION("GOOGLETRANSLATE(B567, ""en"", ""hi"")"),"कलारीपयट्टू प्रशिक्षण के दौरान तलवार से त्वरित और प्रभावी प्रहार करने में निपुणता प्राप्त करने के लिए कौन सी तकनीक आवश्यक है?")</f>
        <v>कलारीपयट्टू प्रशिक्षण के दौरान तलवार से त्वरित और प्रभावी प्रहार करने में निपुणता प्राप्त करने के लिए कौन सी तकनीक आवश्यक है?</v>
      </c>
      <c r="H567" s="5" t="str">
        <f>IFERROR(__xludf.DUMMYFUNCTION("GOOGLETRANSLATE(C567, ""en"", ""hi"")"),"ए) तलवार तकनीक, बी) वर्मा, सी) एडवस, डी) उझिचिल")</f>
        <v>ए) तलवार तकनीक, बी) वर्मा, सी) एडवस, डी) उझिचिल</v>
      </c>
      <c r="I567" s="5" t="str">
        <f>IFERROR(__xludf.DUMMYFUNCTION("GOOGLETRANSLATE(D567, ""en"", ""hi"")"),"A) तलवार तकनीक")</f>
        <v>A) तलवार तकनीक</v>
      </c>
    </row>
    <row r="568" ht="22.5" customHeight="1">
      <c r="A568" s="2">
        <v>567.0</v>
      </c>
      <c r="B568" s="3" t="s">
        <v>14451</v>
      </c>
      <c r="C568" s="3" t="s">
        <v>14251</v>
      </c>
      <c r="D568" s="3" t="s">
        <v>14252</v>
      </c>
      <c r="F568" s="5" t="str">
        <f>IFERROR(__xludf.DUMMYFUNCTION("GOOGLETRANSLATE(A568, ""en"", ""hi"")"),"567")</f>
        <v>567</v>
      </c>
      <c r="G568" s="5" t="str">
        <f>IFERROR(__xludf.DUMMYFUNCTION("GOOGLETRANSLATE(B568, ""en"", ""hi"")"),"कलारीपयट्टू में, कौन सी प्रथा रक्षात्मक युद्धाभ्यास के लिए एक लंबे हथियार का उपयोग करने पर केंद्रित है?")</f>
        <v>कलारीपयट्टू में, कौन सी प्रथा रक्षात्मक युद्धाभ्यास के लिए एक लंबे हथियार का उपयोग करने पर केंद्रित है?</v>
      </c>
      <c r="H568" s="5" t="str">
        <f>IFERROR(__xludf.DUMMYFUNCTION("GOOGLETRANSLATE(C568, ""en"", ""hi"")"),"A) लॉन्ग स्टिक तकनीक, B) वर्मा, C) अदावस, D) उझिचिल")</f>
        <v>A) लॉन्ग स्टिक तकनीक, B) वर्मा, C) अदावस, D) उझिचिल</v>
      </c>
      <c r="I568" s="5" t="str">
        <f>IFERROR(__xludf.DUMMYFUNCTION("GOOGLETRANSLATE(D568, ""en"", ""hi"")"),"ए) लंबी छड़ी तकनीक")</f>
        <v>ए) लंबी छड़ी तकनीक</v>
      </c>
    </row>
    <row r="569" ht="22.5" customHeight="1">
      <c r="A569" s="2">
        <v>568.0</v>
      </c>
      <c r="B569" s="3" t="s">
        <v>14452</v>
      </c>
      <c r="C569" s="3" t="s">
        <v>14242</v>
      </c>
      <c r="D569" s="3" t="s">
        <v>14243</v>
      </c>
      <c r="F569" s="5" t="str">
        <f>IFERROR(__xludf.DUMMYFUNCTION("GOOGLETRANSLATE(A569, ""en"", ""hi"")"),"568")</f>
        <v>568</v>
      </c>
      <c r="G569" s="5" t="str">
        <f>IFERROR(__xludf.DUMMYFUNCTION("GOOGLETRANSLATE(B569, ""en"", ""hi"")"),"एक कलारीपयट्टू अभ्यासी खंजर से अपनी सटीकता बढ़ाने की तकनीकों पर ध्यान केंद्रित कर रहा है। उन्हें क्या अभ्यास करना चाहिए?")</f>
        <v>एक कलारीपयट्टू अभ्यासी खंजर से अपनी सटीकता बढ़ाने की तकनीकों पर ध्यान केंद्रित कर रहा है। उन्हें क्या अभ्यास करना चाहिए?</v>
      </c>
      <c r="H569" s="5" t="str">
        <f>IFERROR(__xludf.DUMMYFUNCTION("GOOGLETRANSLATE(C569, ""en"", ""hi"")"),"ए) डैगर तकनीक, बी) वर्मा, सी) एडवस, डी) उझिचिल")</f>
        <v>ए) डैगर तकनीक, बी) वर्मा, सी) एडवस, डी) उझिचिल</v>
      </c>
      <c r="I569" s="5" t="str">
        <f>IFERROR(__xludf.DUMMYFUNCTION("GOOGLETRANSLATE(D569, ""en"", ""hi"")"),"ए) खंजर तकनीक")</f>
        <v>ए) खंजर तकनीक</v>
      </c>
    </row>
    <row r="570" ht="22.5" customHeight="1">
      <c r="A570" s="2">
        <v>569.0</v>
      </c>
      <c r="B570" s="3" t="s">
        <v>14453</v>
      </c>
      <c r="C570" s="3" t="s">
        <v>14282</v>
      </c>
      <c r="D570" s="3" t="s">
        <v>14283</v>
      </c>
      <c r="F570" s="5" t="str">
        <f>IFERROR(__xludf.DUMMYFUNCTION("GOOGLETRANSLATE(A570, ""en"", ""hi"")"),"569")</f>
        <v>569</v>
      </c>
      <c r="G570" s="5" t="str">
        <f>IFERROR(__xludf.DUMMYFUNCTION("GOOGLETRANSLATE(B570, ""en"", ""hi"")"),"कलारीपयट्टू में गदा से उच्च प्रभाव वाले प्रहार करने की क्षमता विकसित करने के लिए कौन सी तकनीक महत्वपूर्ण है?")</f>
        <v>कलारीपयट्टू में गदा से उच्च प्रभाव वाले प्रहार करने की क्षमता विकसित करने के लिए कौन सी तकनीक महत्वपूर्ण है?</v>
      </c>
      <c r="H570" s="5" t="str">
        <f>IFERROR(__xludf.DUMMYFUNCTION("GOOGLETRANSLATE(C570, ""en"", ""hi"")"),"ए) गदा तकनीक, बी) वर्मा, सी) एडवस, डी) उझिचिल")</f>
        <v>ए) गदा तकनीक, बी) वर्मा, सी) एडवस, डी) उझिचिल</v>
      </c>
      <c r="I570" s="5" t="str">
        <f>IFERROR(__xludf.DUMMYFUNCTION("GOOGLETRANSLATE(D570, ""en"", ""hi"")"),"ए) गदा तकनीक")</f>
        <v>ए) गदा तकनीक</v>
      </c>
    </row>
    <row r="571" ht="22.5" customHeight="1">
      <c r="A571" s="2">
        <v>570.0</v>
      </c>
      <c r="B571" s="3" t="s">
        <v>14454</v>
      </c>
      <c r="C571" s="3" t="s">
        <v>14052</v>
      </c>
      <c r="D571" s="3" t="s">
        <v>13684</v>
      </c>
      <c r="F571" s="5" t="str">
        <f>IFERROR(__xludf.DUMMYFUNCTION("GOOGLETRANSLATE(A571, ""en"", ""hi"")"),"570")</f>
        <v>570</v>
      </c>
      <c r="G571" s="5" t="str">
        <f>IFERROR(__xludf.DUMMYFUNCTION("GOOGLETRANSLATE(B571, ""en"", ""hi"")"),"कलारीपयट्टू प्रशिक्षण के दौरान, कौन सा अभ्यास समग्र शक्ति और कंडीशनिंग को बढ़ाता है?")</f>
        <v>कलारीपयट्टू प्रशिक्षण के दौरान, कौन सा अभ्यास समग्र शक्ति और कंडीशनिंग को बढ़ाता है?</v>
      </c>
      <c r="H571" s="5" t="str">
        <f>IFERROR(__xludf.DUMMYFUNCTION("GOOGLETRANSLATE(C571, ""en"", ""hi"")"),"ए) उझिचिल, बी) मार्मा, सी) एडवस, डी) चुवाडु")</f>
        <v>ए) उझिचिल, बी) मार्मा, सी) एडवस, डी) चुवाडु</v>
      </c>
      <c r="I571" s="5" t="str">
        <f>IFERROR(__xludf.DUMMYFUNCTION("GOOGLETRANSLATE(D571, ""en"", ""hi"")"),"A) उझिचिल")</f>
        <v>A) उझिचिल</v>
      </c>
    </row>
    <row r="572" ht="22.5" customHeight="1">
      <c r="A572" s="2">
        <v>571.0</v>
      </c>
      <c r="B572" s="3" t="s">
        <v>14455</v>
      </c>
      <c r="C572" s="3" t="s">
        <v>13713</v>
      </c>
      <c r="D572" s="3" t="s">
        <v>13714</v>
      </c>
      <c r="F572" s="5" t="str">
        <f>IFERROR(__xludf.DUMMYFUNCTION("GOOGLETRANSLATE(A572, ""en"", ""hi"")"),"571")</f>
        <v>571</v>
      </c>
      <c r="G572" s="5" t="str">
        <f>IFERROR(__xludf.DUMMYFUNCTION("GOOGLETRANSLATE(B572, ""en"", ""hi"")"),"कलारीपयट्टू में, कौन सा हथियार उन तकनीकों के लिए सबसे अच्छा है जिनमें तीव्र और चुस्त युद्धाभ्यास की आवश्यकता होती है?")</f>
        <v>कलारीपयट्टू में, कौन सा हथियार उन तकनीकों के लिए सबसे अच्छा है जिनमें तीव्र और चुस्त युद्धाभ्यास की आवश्यकता होती है?</v>
      </c>
      <c r="H572" s="5" t="str">
        <f>IFERROR(__xludf.DUMMYFUNCTION("GOOGLETRANSLATE(C572, ""en"", ""hi"")"),"A) तलवार, B) गदा, C) भाला, D) खंजर")</f>
        <v>A) तलवार, B) गदा, C) भाला, D) खंजर</v>
      </c>
      <c r="I572" s="5" t="str">
        <f>IFERROR(__xludf.DUMMYFUNCTION("GOOGLETRANSLATE(D572, ""en"", ""hi"")"),"ए) तलवार")</f>
        <v>ए) तलवार</v>
      </c>
    </row>
    <row r="573" ht="22.5" customHeight="1">
      <c r="A573" s="2">
        <v>572.0</v>
      </c>
      <c r="B573" s="3" t="s">
        <v>14456</v>
      </c>
      <c r="C573" s="3" t="s">
        <v>14435</v>
      </c>
      <c r="D573" s="3" t="s">
        <v>14436</v>
      </c>
      <c r="F573" s="5" t="str">
        <f>IFERROR(__xludf.DUMMYFUNCTION("GOOGLETRANSLATE(A573, ""en"", ""hi"")"),"572")</f>
        <v>572</v>
      </c>
      <c r="G573" s="5" t="str">
        <f>IFERROR(__xludf.DUMMYFUNCTION("GOOGLETRANSLATE(B573, ""en"", ""hi"")"),"एक कलारीपयट्टू अभ्यासी एक साथ कई हथियार चलाने की तकनीक सीख रहा है। वे किस अभ्यास पर ध्यान केंद्रित कर रहे हैं?")</f>
        <v>एक कलारीपयट्टू अभ्यासी एक साथ कई हथियार चलाने की तकनीक सीख रहा है। वे किस अभ्यास पर ध्यान केंद्रित कर रहे हैं?</v>
      </c>
      <c r="H573" s="5" t="str">
        <f>IFERROR(__xludf.DUMMYFUNCTION("GOOGLETRANSLATE(C573, ""en"", ""hi"")"),"ए) हथियार संयोजन, बी) मार्मा, सी) एडवस, डी) उझिचिल")</f>
        <v>ए) हथियार संयोजन, बी) मार्मा, सी) एडवस, डी) उझिचिल</v>
      </c>
      <c r="I573" s="5" t="str">
        <f>IFERROR(__xludf.DUMMYFUNCTION("GOOGLETRANSLATE(D573, ""en"", ""hi"")"),"A) हथियार संयोजन")</f>
        <v>A) हथियार संयोजन</v>
      </c>
    </row>
    <row r="574" ht="22.5" customHeight="1">
      <c r="A574" s="2">
        <v>573.0</v>
      </c>
      <c r="B574" s="3" t="s">
        <v>14457</v>
      </c>
      <c r="C574" s="3" t="s">
        <v>14081</v>
      </c>
      <c r="D574" s="3" t="s">
        <v>13675</v>
      </c>
      <c r="F574" s="5" t="str">
        <f>IFERROR(__xludf.DUMMYFUNCTION("GOOGLETRANSLATE(A574, ""en"", ""hi"")"),"573")</f>
        <v>573</v>
      </c>
      <c r="G574" s="5" t="str">
        <f>IFERROR(__xludf.DUMMYFUNCTION("GOOGLETRANSLATE(B574, ""en"", ""hi"")"),"कलारीपयट्टू प्रशिक्षण के दौरान, फुटवर्क और मूवमेंट रणनीतियों में निपुणता प्राप्त करने के लिए कौन सी तकनीक आवश्यक है?")</f>
        <v>कलारीपयट्टू प्रशिक्षण के दौरान, फुटवर्क और मूवमेंट रणनीतियों में निपुणता प्राप्त करने के लिए कौन सी तकनीक आवश्यक है?</v>
      </c>
      <c r="H574" s="5" t="str">
        <f>IFERROR(__xludf.DUMMYFUNCTION("GOOGLETRANSLATE(C574, ""en"", ""hi"")"),"ए) चुवाडु, बी) वर्मा, सी) एडवस, डी) उझिचिल")</f>
        <v>ए) चुवाडु, बी) वर्मा, सी) एडवस, डी) उझिचिल</v>
      </c>
      <c r="I574" s="5" t="str">
        <f>IFERROR(__xludf.DUMMYFUNCTION("GOOGLETRANSLATE(D574, ""en"", ""hi"")"),"A) चुवाडु")</f>
        <v>A) चुवाडु</v>
      </c>
    </row>
    <row r="575" ht="22.5" customHeight="1">
      <c r="A575" s="2">
        <v>574.0</v>
      </c>
      <c r="B575" s="3" t="s">
        <v>14458</v>
      </c>
      <c r="C575" s="3" t="s">
        <v>14278</v>
      </c>
      <c r="D575" s="3" t="s">
        <v>14279</v>
      </c>
      <c r="F575" s="5" t="str">
        <f>IFERROR(__xludf.DUMMYFUNCTION("GOOGLETRANSLATE(A575, ""en"", ""hi"")"),"574")</f>
        <v>574</v>
      </c>
      <c r="G575" s="5" t="str">
        <f>IFERROR(__xludf.DUMMYFUNCTION("GOOGLETRANSLATE(B575, ""en"", ""hi"")"),"कलारीपयट्टू में, कौन सी प्रथा लंबी दूरी की युद्ध तकनीकों के लिए भाले के उपयोग पर केंद्रित है?")</f>
        <v>कलारीपयट्टू में, कौन सी प्रथा लंबी दूरी की युद्ध तकनीकों के लिए भाले के उपयोग पर केंद्रित है?</v>
      </c>
      <c r="H575" s="5" t="str">
        <f>IFERROR(__xludf.DUMMYFUNCTION("GOOGLETRANSLATE(C575, ""en"", ""hi"")"),"ए) भाला तकनीक, बी) वर्मा, सी) एडवस, डी) उझिचिल")</f>
        <v>ए) भाला तकनीक, बी) वर्मा, सी) एडवस, डी) उझिचिल</v>
      </c>
      <c r="I575" s="5" t="str">
        <f>IFERROR(__xludf.DUMMYFUNCTION("GOOGLETRANSLATE(D575, ""en"", ""hi"")"),"ए) भाला तकनीक")</f>
        <v>ए) भाला तकनीक</v>
      </c>
    </row>
    <row r="576" ht="22.5" customHeight="1">
      <c r="A576" s="2">
        <v>575.0</v>
      </c>
      <c r="B576" s="3" t="s">
        <v>14459</v>
      </c>
      <c r="C576" s="3" t="s">
        <v>14081</v>
      </c>
      <c r="D576" s="3" t="s">
        <v>13675</v>
      </c>
      <c r="F576" s="5" t="str">
        <f>IFERROR(__xludf.DUMMYFUNCTION("GOOGLETRANSLATE(A576, ""en"", ""hi"")"),"575")</f>
        <v>575</v>
      </c>
      <c r="G576" s="5" t="str">
        <f>IFERROR(__xludf.DUMMYFUNCTION("GOOGLETRANSLATE(B576, ""en"", ""hi"")"),"एक कलारीपयट्टू अभ्यासी अपनी समग्र चपलता और सजगता को बेहतर बनाने पर ध्यान केंद्रित करता है। उन्हें क्या अभ्यास करना चाहिए?")</f>
        <v>एक कलारीपयट्टू अभ्यासी अपनी समग्र चपलता और सजगता को बेहतर बनाने पर ध्यान केंद्रित करता है। उन्हें क्या अभ्यास करना चाहिए?</v>
      </c>
      <c r="H576" s="5" t="str">
        <f>IFERROR(__xludf.DUMMYFUNCTION("GOOGLETRANSLATE(C576, ""en"", ""hi"")"),"ए) चुवाडु, बी) वर्मा, सी) एडवस, डी) उझिचिल")</f>
        <v>ए) चुवाडु, बी) वर्मा, सी) एडवस, डी) उझिचिल</v>
      </c>
      <c r="I576" s="5" t="str">
        <f>IFERROR(__xludf.DUMMYFUNCTION("GOOGLETRANSLATE(D576, ""en"", ""hi"")"),"A) चुवाडु")</f>
        <v>A) चुवाडु</v>
      </c>
    </row>
    <row r="577" ht="22.5" customHeight="1">
      <c r="A577" s="2">
        <v>576.0</v>
      </c>
      <c r="B577" s="3" t="s">
        <v>14460</v>
      </c>
      <c r="C577" s="3" t="s">
        <v>14251</v>
      </c>
      <c r="D577" s="3" t="s">
        <v>14252</v>
      </c>
      <c r="F577" s="5" t="str">
        <f>IFERROR(__xludf.DUMMYFUNCTION("GOOGLETRANSLATE(A577, ""en"", ""hi"")"),"576")</f>
        <v>576</v>
      </c>
      <c r="G577" s="5" t="str">
        <f>IFERROR(__xludf.DUMMYFUNCTION("GOOGLETRANSLATE(B577, ""en"", ""hi"")"),"कलारीपयट्टू में, लंबे हथियार के साथ प्रभावी युद्ध कौशल विकसित करने के लिए कौन सी तकनीक महत्वपूर्ण है?")</f>
        <v>कलारीपयट्टू में, लंबे हथियार के साथ प्रभावी युद्ध कौशल विकसित करने के लिए कौन सी तकनीक महत्वपूर्ण है?</v>
      </c>
      <c r="H577" s="5" t="str">
        <f>IFERROR(__xludf.DUMMYFUNCTION("GOOGLETRANSLATE(C577, ""en"", ""hi"")"),"A) लॉन्ग स्टिक तकनीक, B) वर्मा, C) अदावस, D) उझिचिल")</f>
        <v>A) लॉन्ग स्टिक तकनीक, B) वर्मा, C) अदावस, D) उझिचिल</v>
      </c>
      <c r="I577" s="5" t="str">
        <f>IFERROR(__xludf.DUMMYFUNCTION("GOOGLETRANSLATE(D577, ""en"", ""hi"")"),"ए) लंबी छड़ी तकनीक")</f>
        <v>ए) लंबी छड़ी तकनीक</v>
      </c>
    </row>
    <row r="578" ht="22.5" customHeight="1">
      <c r="A578" s="2">
        <v>577.0</v>
      </c>
      <c r="B578" s="3" t="s">
        <v>14461</v>
      </c>
      <c r="C578" s="3" t="s">
        <v>14444</v>
      </c>
      <c r="D578" s="3" t="s">
        <v>13932</v>
      </c>
      <c r="F578" s="5" t="str">
        <f>IFERROR(__xludf.DUMMYFUNCTION("GOOGLETRANSLATE(A578, ""en"", ""hi"")"),"577")</f>
        <v>577</v>
      </c>
      <c r="G578" s="5" t="str">
        <f>IFERROR(__xludf.DUMMYFUNCTION("GOOGLETRANSLATE(B578, ""en"", ""hi"")"),"कलारीपयट्टू प्रशिक्षण के दौरान, कौन सा अभ्यास विरोधियों को अशक्त करने के लिए दबाव बिंदुओं का उपयोग करने पर केंद्रित है?")</f>
        <v>कलारीपयट्टू प्रशिक्षण के दौरान, कौन सा अभ्यास विरोधियों को अशक्त करने के लिए दबाव बिंदुओं का उपयोग करने पर केंद्रित है?</v>
      </c>
      <c r="H578" s="5" t="str">
        <f>IFERROR(__xludf.DUMMYFUNCTION("GOOGLETRANSLATE(C578, ""en"", ""hi"")"),"ए) मार्मा, बी) वर्मा, सी) एडवस, डी) उझिचिल")</f>
        <v>ए) मार्मा, बी) वर्मा, सी) एडवस, डी) उझिचिल</v>
      </c>
      <c r="I578" s="5" t="str">
        <f>IFERROR(__xludf.DUMMYFUNCTION("GOOGLETRANSLATE(D578, ""en"", ""hi"")"),"A) मर्म")</f>
        <v>A) मर्म</v>
      </c>
    </row>
    <row r="579" ht="22.5" customHeight="1">
      <c r="A579" s="2">
        <v>578.0</v>
      </c>
      <c r="B579" s="3" t="s">
        <v>14462</v>
      </c>
      <c r="C579" s="3" t="s">
        <v>14285</v>
      </c>
      <c r="D579" s="3" t="s">
        <v>14286</v>
      </c>
      <c r="F579" s="5" t="str">
        <f>IFERROR(__xludf.DUMMYFUNCTION("GOOGLETRANSLATE(A579, ""en"", ""hi"")"),"578")</f>
        <v>578</v>
      </c>
      <c r="G579" s="5" t="str">
        <f>IFERROR(__xludf.DUMMYFUNCTION("GOOGLETRANSLATE(B579, ""en"", ""hi"")"),"एक कलारीपयट्टू साधक तलवार से अपनी प्रहार शक्ति बढ़ाने की तकनीक सीख रहा है। उसे किस चीज़ को प्राथमिकता देनी चाहिए?")</f>
        <v>एक कलारीपयट्टू साधक तलवार से अपनी प्रहार शक्ति बढ़ाने की तकनीक सीख रहा है। उसे किस चीज़ को प्राथमिकता देनी चाहिए?</v>
      </c>
      <c r="H579" s="5" t="str">
        <f>IFERROR(__xludf.DUMMYFUNCTION("GOOGLETRANSLATE(C579, ""en"", ""hi"")"),"ए) तलवार तकनीक, बी) वर्मा, सी) एडवस, डी) उझिचिल")</f>
        <v>ए) तलवार तकनीक, बी) वर्मा, सी) एडवस, डी) उझिचिल</v>
      </c>
      <c r="I579" s="5" t="str">
        <f>IFERROR(__xludf.DUMMYFUNCTION("GOOGLETRANSLATE(D579, ""en"", ""hi"")"),"A) तलवार तकनीक")</f>
        <v>A) तलवार तकनीक</v>
      </c>
    </row>
    <row r="580" ht="22.5" customHeight="1">
      <c r="A580" s="2">
        <v>579.0</v>
      </c>
      <c r="B580" s="3" t="s">
        <v>14463</v>
      </c>
      <c r="C580" s="3" t="s">
        <v>13713</v>
      </c>
      <c r="D580" s="3" t="s">
        <v>13772</v>
      </c>
      <c r="F580" s="5" t="str">
        <f>IFERROR(__xludf.DUMMYFUNCTION("GOOGLETRANSLATE(A580, ""en"", ""hi"")"),"579")</f>
        <v>579</v>
      </c>
      <c r="G580" s="5" t="str">
        <f>IFERROR(__xludf.DUMMYFUNCTION("GOOGLETRANSLATE(B580, ""en"", ""hi"")"),"कलारीपयट्टू में आक्रामक और रक्षात्मक दोनों प्रकार के हमलों के लिए कौन सा हथियार सबसे प्रभावी है?")</f>
        <v>कलारीपयट्टू में आक्रामक और रक्षात्मक दोनों प्रकार के हमलों के लिए कौन सा हथियार सबसे प्रभावी है?</v>
      </c>
      <c r="H580" s="5" t="str">
        <f>IFERROR(__xludf.DUMMYFUNCTION("GOOGLETRANSLATE(C580, ""en"", ""hi"")"),"A) तलवार, B) गदा, C) भाला, D) खंजर")</f>
        <v>A) तलवार, B) गदा, C) भाला, D) खंजर</v>
      </c>
      <c r="I580" s="5" t="str">
        <f>IFERROR(__xludf.DUMMYFUNCTION("GOOGLETRANSLATE(D580, ""en"", ""hi"")"),"बी) गदा")</f>
        <v>बी) गदा</v>
      </c>
    </row>
    <row r="581" ht="22.5" customHeight="1">
      <c r="A581" s="2">
        <v>580.0</v>
      </c>
      <c r="B581" s="3" t="s">
        <v>14464</v>
      </c>
      <c r="C581" s="3" t="s">
        <v>14242</v>
      </c>
      <c r="D581" s="3" t="s">
        <v>14243</v>
      </c>
      <c r="F581" s="5" t="str">
        <f>IFERROR(__xludf.DUMMYFUNCTION("GOOGLETRANSLATE(A581, ""en"", ""hi"")"),"580")</f>
        <v>580</v>
      </c>
      <c r="G581" s="5" t="str">
        <f>IFERROR(__xludf.DUMMYFUNCTION("GOOGLETRANSLATE(B581, ""en"", ""hi"")"),"कलारीपयट्टू प्रशिक्षण के दौरान, खंजर से त्वरित और सटीक प्रहार करने के लिए किस अभ्यास पर जोर दिया जाना चाहिए?")</f>
        <v>कलारीपयट्टू प्रशिक्षण के दौरान, खंजर से त्वरित और सटीक प्रहार करने के लिए किस अभ्यास पर जोर दिया जाना चाहिए?</v>
      </c>
      <c r="H581" s="5" t="str">
        <f>IFERROR(__xludf.DUMMYFUNCTION("GOOGLETRANSLATE(C581, ""en"", ""hi"")"),"ए) डैगर तकनीक, बी) वर्मा, सी) एडवस, डी) उझिचिल")</f>
        <v>ए) डैगर तकनीक, बी) वर्मा, सी) एडवस, डी) उझिचिल</v>
      </c>
      <c r="I581" s="5" t="str">
        <f>IFERROR(__xludf.DUMMYFUNCTION("GOOGLETRANSLATE(D581, ""en"", ""hi"")"),"ए) खंजर तकनीक")</f>
        <v>ए) खंजर तकनीक</v>
      </c>
    </row>
    <row r="582" ht="22.5" customHeight="1">
      <c r="A582" s="2">
        <v>581.0</v>
      </c>
      <c r="B582" s="3" t="s">
        <v>14465</v>
      </c>
      <c r="C582" s="3" t="s">
        <v>14081</v>
      </c>
      <c r="D582" s="3" t="s">
        <v>13675</v>
      </c>
      <c r="F582" s="5" t="str">
        <f>IFERROR(__xludf.DUMMYFUNCTION("GOOGLETRANSLATE(A582, ""en"", ""hi"")"),"581")</f>
        <v>581</v>
      </c>
      <c r="G582" s="5" t="str">
        <f>IFERROR(__xludf.DUMMYFUNCTION("GOOGLETRANSLATE(B582, ""en"", ""hi"")"),"एक कलारीपयट्टू अभ्यासी अपने पैरों की गति और चाल को बेहतर बनाने की तकनीकों पर ध्यान केंद्रित कर रहा है। उन्हें क्या अभ्यास करना चाहिए?")</f>
        <v>एक कलारीपयट्टू अभ्यासी अपने पैरों की गति और चाल को बेहतर बनाने की तकनीकों पर ध्यान केंद्रित कर रहा है। उन्हें क्या अभ्यास करना चाहिए?</v>
      </c>
      <c r="H582" s="5" t="str">
        <f>IFERROR(__xludf.DUMMYFUNCTION("GOOGLETRANSLATE(C582, ""en"", ""hi"")"),"ए) चुवाडु, बी) वर्मा, सी) एडवस, डी) उझिचिल")</f>
        <v>ए) चुवाडु, बी) वर्मा, सी) एडवस, डी) उझिचिल</v>
      </c>
      <c r="I582" s="5" t="str">
        <f>IFERROR(__xludf.DUMMYFUNCTION("GOOGLETRANSLATE(D582, ""en"", ""hi"")"),"A) चुवाडु")</f>
        <v>A) चुवाडु</v>
      </c>
    </row>
    <row r="583" ht="22.5" customHeight="1">
      <c r="A583" s="2">
        <v>582.0</v>
      </c>
      <c r="B583" s="3" t="s">
        <v>14466</v>
      </c>
      <c r="C583" s="3" t="s">
        <v>14251</v>
      </c>
      <c r="D583" s="3" t="s">
        <v>14252</v>
      </c>
      <c r="F583" s="5" t="str">
        <f>IFERROR(__xludf.DUMMYFUNCTION("GOOGLETRANSLATE(A583, ""en"", ""hi"")"),"582")</f>
        <v>582</v>
      </c>
      <c r="G583" s="5" t="str">
        <f>IFERROR(__xludf.DUMMYFUNCTION("GOOGLETRANSLATE(B583, ""en"", ""hi"")"),"कलारीपयट्टू में, कौन सी तकनीक आक्रामक और रक्षात्मक दोनों युद्धाभ्यासों के लिए एक लंबे हथियार का उपयोग करने पर केंद्रित है?")</f>
        <v>कलारीपयट्टू में, कौन सी तकनीक आक्रामक और रक्षात्मक दोनों युद्धाभ्यासों के लिए एक लंबे हथियार का उपयोग करने पर केंद्रित है?</v>
      </c>
      <c r="H583" s="5" t="str">
        <f>IFERROR(__xludf.DUMMYFUNCTION("GOOGLETRANSLATE(C583, ""en"", ""hi"")"),"A) लॉन्ग स्टिक तकनीक, B) वर्मा, C) अदावस, D) उझिचिल")</f>
        <v>A) लॉन्ग स्टिक तकनीक, B) वर्मा, C) अदावस, D) उझिचिल</v>
      </c>
      <c r="I583" s="5" t="str">
        <f>IFERROR(__xludf.DUMMYFUNCTION("GOOGLETRANSLATE(D583, ""en"", ""hi"")"),"ए) लंबी छड़ी तकनीक")</f>
        <v>ए) लंबी छड़ी तकनीक</v>
      </c>
    </row>
    <row r="584" ht="22.5" customHeight="1">
      <c r="A584" s="2">
        <v>583.0</v>
      </c>
      <c r="B584" s="3" t="s">
        <v>14467</v>
      </c>
      <c r="C584" s="3" t="s">
        <v>14052</v>
      </c>
      <c r="D584" s="3" t="s">
        <v>13684</v>
      </c>
      <c r="F584" s="5" t="str">
        <f>IFERROR(__xludf.DUMMYFUNCTION("GOOGLETRANSLATE(A584, ""en"", ""hi"")"),"583")</f>
        <v>583</v>
      </c>
      <c r="G584" s="5" t="str">
        <f>IFERROR(__xludf.DUMMYFUNCTION("GOOGLETRANSLATE(B584, ""en"", ""hi"")"),"कलारीपयट्टू प्रशिक्षण के दौरान, समग्र शक्ति और कंडीशनिंग विकसित करने के लिए कौन सा अभ्यास आवश्यक है?")</f>
        <v>कलारीपयट्टू प्रशिक्षण के दौरान, समग्र शक्ति और कंडीशनिंग विकसित करने के लिए कौन सा अभ्यास आवश्यक है?</v>
      </c>
      <c r="H584" s="5" t="str">
        <f>IFERROR(__xludf.DUMMYFUNCTION("GOOGLETRANSLATE(C584, ""en"", ""hi"")"),"ए) उझिचिल, बी) मार्मा, सी) एडवस, डी) चुवाडु")</f>
        <v>ए) उझिचिल, बी) मार्मा, सी) एडवस, डी) चुवाडु</v>
      </c>
      <c r="I584" s="5" t="str">
        <f>IFERROR(__xludf.DUMMYFUNCTION("GOOGLETRANSLATE(D584, ""en"", ""hi"")"),"A) उझिचिल")</f>
        <v>A) उझिचिल</v>
      </c>
    </row>
    <row r="585" ht="22.5" customHeight="1">
      <c r="A585" s="2">
        <v>584.0</v>
      </c>
      <c r="B585" s="3" t="s">
        <v>14468</v>
      </c>
      <c r="C585" s="3" t="s">
        <v>13713</v>
      </c>
      <c r="D585" s="3" t="s">
        <v>13714</v>
      </c>
      <c r="F585" s="5" t="str">
        <f>IFERROR(__xludf.DUMMYFUNCTION("GOOGLETRANSLATE(A585, ""en"", ""hi"")"),"584")</f>
        <v>584</v>
      </c>
      <c r="G585" s="5" t="str">
        <f>IFERROR(__xludf.DUMMYFUNCTION("GOOGLETRANSLATE(B585, ""en"", ""hi"")"),"कलारीपयट्टू में, किस हथियार का उपयोग मुख्य रूप से त्वरित प्रहार और वार करने की तकनीक के लिए किया जाता है?")</f>
        <v>कलारीपयट्टू में, किस हथियार का उपयोग मुख्य रूप से त्वरित प्रहार और वार करने की तकनीक के लिए किया जाता है?</v>
      </c>
      <c r="H585" s="5" t="str">
        <f>IFERROR(__xludf.DUMMYFUNCTION("GOOGLETRANSLATE(C585, ""en"", ""hi"")"),"A) तलवार, B) गदा, C) भाला, D) खंजर")</f>
        <v>A) तलवार, B) गदा, C) भाला, D) खंजर</v>
      </c>
      <c r="I585" s="5" t="str">
        <f>IFERROR(__xludf.DUMMYFUNCTION("GOOGLETRANSLATE(D585, ""en"", ""hi"")"),"ए) तलवार")</f>
        <v>ए) तलवार</v>
      </c>
    </row>
    <row r="586" ht="22.5" customHeight="1">
      <c r="A586" s="2">
        <v>585.0</v>
      </c>
      <c r="B586" s="3" t="s">
        <v>14469</v>
      </c>
      <c r="C586" s="3" t="s">
        <v>14278</v>
      </c>
      <c r="D586" s="3" t="s">
        <v>14279</v>
      </c>
      <c r="F586" s="5" t="str">
        <f>IFERROR(__xludf.DUMMYFUNCTION("GOOGLETRANSLATE(A586, ""en"", ""hi"")"),"585")</f>
        <v>585</v>
      </c>
      <c r="G586" s="5" t="str">
        <f>IFERROR(__xludf.DUMMYFUNCTION("GOOGLETRANSLATE(B586, ""en"", ""hi"")"),"एक कलारीपयट्टू अभ्यासी भाला चलाने की अपनी क्षमता को प्रभावी ढंग से बढ़ाने की तकनीकों पर ध्यान केंद्रित कर रहा है। उन्हें किस अभ्यास पर ज़ोर देना चाहिए?")</f>
        <v>एक कलारीपयट्टू अभ्यासी भाला चलाने की अपनी क्षमता को प्रभावी ढंग से बढ़ाने की तकनीकों पर ध्यान केंद्रित कर रहा है। उन्हें किस अभ्यास पर ज़ोर देना चाहिए?</v>
      </c>
      <c r="H586" s="5" t="str">
        <f>IFERROR(__xludf.DUMMYFUNCTION("GOOGLETRANSLATE(C586, ""en"", ""hi"")"),"ए) भाला तकनीक, बी) वर्मा, सी) एडवस, डी) उझिचिल")</f>
        <v>ए) भाला तकनीक, बी) वर्मा, सी) एडवस, डी) उझिचिल</v>
      </c>
      <c r="I586" s="5" t="str">
        <f>IFERROR(__xludf.DUMMYFUNCTION("GOOGLETRANSLATE(D586, ""en"", ""hi"")"),"ए) भाला तकनीक")</f>
        <v>ए) भाला तकनीक</v>
      </c>
    </row>
    <row r="587" ht="22.5" customHeight="1">
      <c r="A587" s="2">
        <v>586.0</v>
      </c>
      <c r="B587" s="3" t="s">
        <v>14470</v>
      </c>
      <c r="C587" s="3" t="s">
        <v>14285</v>
      </c>
      <c r="D587" s="3" t="s">
        <v>14286</v>
      </c>
      <c r="F587" s="5" t="str">
        <f>IFERROR(__xludf.DUMMYFUNCTION("GOOGLETRANSLATE(A587, ""en"", ""hi"")"),"586")</f>
        <v>586</v>
      </c>
      <c r="G587" s="5" t="str">
        <f>IFERROR(__xludf.DUMMYFUNCTION("GOOGLETRANSLATE(B587, ""en"", ""hi"")"),"कलारीपयट्टू में तलवार से सटीक और शक्तिशाली प्रहार करने में निपुणता प्राप्त करने के लिए कौन सी तकनीक महत्वपूर्ण है?")</f>
        <v>कलारीपयट्टू में तलवार से सटीक और शक्तिशाली प्रहार करने में निपुणता प्राप्त करने के लिए कौन सी तकनीक महत्वपूर्ण है?</v>
      </c>
      <c r="H587" s="5" t="str">
        <f>IFERROR(__xludf.DUMMYFUNCTION("GOOGLETRANSLATE(C587, ""en"", ""hi"")"),"ए) तलवार तकनीक, बी) वर्मा, सी) एडवस, डी) उझिचिल")</f>
        <v>ए) तलवार तकनीक, बी) वर्मा, सी) एडवस, डी) उझिचिल</v>
      </c>
      <c r="I587" s="5" t="str">
        <f>IFERROR(__xludf.DUMMYFUNCTION("GOOGLETRANSLATE(D587, ""en"", ""hi"")"),"A) तलवार तकनीक")</f>
        <v>A) तलवार तकनीक</v>
      </c>
    </row>
    <row r="588" ht="22.5" customHeight="1">
      <c r="A588" s="2">
        <v>587.0</v>
      </c>
      <c r="B588" s="3" t="s">
        <v>14471</v>
      </c>
      <c r="C588" s="3" t="s">
        <v>14081</v>
      </c>
      <c r="D588" s="3" t="s">
        <v>13675</v>
      </c>
      <c r="F588" s="5" t="str">
        <f>IFERROR(__xludf.DUMMYFUNCTION("GOOGLETRANSLATE(A588, ""en"", ""hi"")"),"587")</f>
        <v>587</v>
      </c>
      <c r="G588" s="5" t="str">
        <f>IFERROR(__xludf.DUMMYFUNCTION("GOOGLETRANSLATE(B588, ""en"", ""hi"")"),"कलारीपयट्टू प्रशिक्षण के दौरान, किस अभ्यास से चपलता और त्वरित गति में सुधार होता है?")</f>
        <v>कलारीपयट्टू प्रशिक्षण के दौरान, किस अभ्यास से चपलता और त्वरित गति में सुधार होता है?</v>
      </c>
      <c r="H588" s="5" t="str">
        <f>IFERROR(__xludf.DUMMYFUNCTION("GOOGLETRANSLATE(C588, ""en"", ""hi"")"),"ए) चुवाडु, बी) वर्मा, सी) एडवस, डी) उझिचिल")</f>
        <v>ए) चुवाडु, बी) वर्मा, सी) एडवस, डी) उझिचिल</v>
      </c>
      <c r="I588" s="5" t="str">
        <f>IFERROR(__xludf.DUMMYFUNCTION("GOOGLETRANSLATE(D588, ""en"", ""hi"")"),"A) चुवाडु")</f>
        <v>A) चुवाडु</v>
      </c>
    </row>
    <row r="589" ht="22.5" customHeight="1">
      <c r="A589" s="2">
        <v>588.0</v>
      </c>
      <c r="B589" s="3" t="s">
        <v>14472</v>
      </c>
      <c r="C589" s="3" t="s">
        <v>14282</v>
      </c>
      <c r="D589" s="3" t="s">
        <v>14283</v>
      </c>
      <c r="F589" s="5" t="str">
        <f>IFERROR(__xludf.DUMMYFUNCTION("GOOGLETRANSLATE(A589, ""en"", ""hi"")"),"588")</f>
        <v>588</v>
      </c>
      <c r="G589" s="5" t="str">
        <f>IFERROR(__xludf.DUMMYFUNCTION("GOOGLETRANSLATE(B589, ""en"", ""hi"")"),"एक कलारीपयट्टू साधक गदा से अपनी शक्ति और सटीकता बढ़ाने की तकनीकों पर काम कर रहा है। उन्हें किस चीज़ को प्राथमिकता देनी चाहिए?")</f>
        <v>एक कलारीपयट्टू साधक गदा से अपनी शक्ति और सटीकता बढ़ाने की तकनीकों पर काम कर रहा है। उन्हें किस चीज़ को प्राथमिकता देनी चाहिए?</v>
      </c>
      <c r="H589" s="5" t="str">
        <f>IFERROR(__xludf.DUMMYFUNCTION("GOOGLETRANSLATE(C589, ""en"", ""hi"")"),"ए) गदा तकनीक, बी) वर्मा, सी) एडवस, डी) उझिचिल")</f>
        <v>ए) गदा तकनीक, बी) वर्मा, सी) एडवस, डी) उझिचिल</v>
      </c>
      <c r="I589" s="5" t="str">
        <f>IFERROR(__xludf.DUMMYFUNCTION("GOOGLETRANSLATE(D589, ""en"", ""hi"")"),"ए) गदा तकनीक")</f>
        <v>ए) गदा तकनीक</v>
      </c>
    </row>
    <row r="590" ht="22.5" customHeight="1">
      <c r="A590" s="2">
        <v>589.0</v>
      </c>
      <c r="B590" s="3" t="s">
        <v>14473</v>
      </c>
      <c r="C590" s="3" t="s">
        <v>14251</v>
      </c>
      <c r="D590" s="3" t="s">
        <v>14252</v>
      </c>
      <c r="F590" s="5" t="str">
        <f>IFERROR(__xludf.DUMMYFUNCTION("GOOGLETRANSLATE(A590, ""en"", ""hi"")"),"589")</f>
        <v>589</v>
      </c>
      <c r="G590" s="5" t="str">
        <f>IFERROR(__xludf.DUMMYFUNCTION("GOOGLETRANSLATE(B590, ""en"", ""hi"")"),"कलारीपयट्टू में, कौन सी प्रथा प्रभावी रक्षात्मक तकनीकों के लिए एक लंबे हथियार का उपयोग करने पर केंद्रित है?")</f>
        <v>कलारीपयट्टू में, कौन सी प्रथा प्रभावी रक्षात्मक तकनीकों के लिए एक लंबे हथियार का उपयोग करने पर केंद्रित है?</v>
      </c>
      <c r="H590" s="5" t="str">
        <f>IFERROR(__xludf.DUMMYFUNCTION("GOOGLETRANSLATE(C590, ""en"", ""hi"")"),"A) लॉन्ग स्टिक तकनीक, B) वर्मा, C) अदावस, D) उझिचिल")</f>
        <v>A) लॉन्ग स्टिक तकनीक, B) वर्मा, C) अदावस, D) उझिचिल</v>
      </c>
      <c r="I590" s="5" t="str">
        <f>IFERROR(__xludf.DUMMYFUNCTION("GOOGLETRANSLATE(D590, ""en"", ""hi"")"),"ए) लंबी छड़ी तकनीक")</f>
        <v>ए) लंबी छड़ी तकनीक</v>
      </c>
    </row>
    <row r="591" ht="22.5" customHeight="1">
      <c r="A591" s="2">
        <v>590.0</v>
      </c>
      <c r="B591" s="3" t="s">
        <v>14474</v>
      </c>
      <c r="C591" s="3" t="s">
        <v>14242</v>
      </c>
      <c r="D591" s="3" t="s">
        <v>14243</v>
      </c>
      <c r="F591" s="5" t="str">
        <f>IFERROR(__xludf.DUMMYFUNCTION("GOOGLETRANSLATE(A591, ""en"", ""hi"")"),"590")</f>
        <v>590</v>
      </c>
      <c r="G591" s="5" t="str">
        <f>IFERROR(__xludf.DUMMYFUNCTION("GOOGLETRANSLATE(B591, ""en"", ""hi"")"),"कलारीपयट्टू प्रशिक्षण के दौरान, खंजर से प्रभावी प्रहार करने की क्षमता विकसित करने के लिए किस तकनीक पर जोर दिया जाना चाहिए?")</f>
        <v>कलारीपयट्टू प्रशिक्षण के दौरान, खंजर से प्रभावी प्रहार करने की क्षमता विकसित करने के लिए किस तकनीक पर जोर दिया जाना चाहिए?</v>
      </c>
      <c r="H591" s="5" t="str">
        <f>IFERROR(__xludf.DUMMYFUNCTION("GOOGLETRANSLATE(C591, ""en"", ""hi"")"),"ए) डैगर तकनीक, बी) वर्मा, सी) एडवस, डी) उझिचिल")</f>
        <v>ए) डैगर तकनीक, बी) वर्मा, सी) एडवस, डी) उझिचिल</v>
      </c>
      <c r="I591" s="5" t="str">
        <f>IFERROR(__xludf.DUMMYFUNCTION("GOOGLETRANSLATE(D591, ""en"", ""hi"")"),"ए) खंजर तकनीक")</f>
        <v>ए) खंजर तकनीक</v>
      </c>
    </row>
    <row r="592" ht="22.5" customHeight="1">
      <c r="A592" s="2">
        <v>591.0</v>
      </c>
      <c r="B592" s="3" t="s">
        <v>14475</v>
      </c>
      <c r="C592" s="3" t="s">
        <v>14016</v>
      </c>
      <c r="D592" s="3" t="s">
        <v>13684</v>
      </c>
      <c r="F592" s="5" t="str">
        <f>IFERROR(__xludf.DUMMYFUNCTION("GOOGLETRANSLATE(A592, ""en"", ""hi"")"),"591")</f>
        <v>591</v>
      </c>
      <c r="G592" s="5" t="str">
        <f>IFERROR(__xludf.DUMMYFUNCTION("GOOGLETRANSLATE(B592, ""en"", ""hi"")"),"एक कलारीपयट्टू अभ्यासी अपनी समग्र शक्ति और युद्ध के लिए अनुकूलन को बेहतर बनाने की तकनीकों पर ध्यान केंद्रित कर रहा है। उन्हें किस चीज़ को प्राथमिकता देनी चाहिए?")</f>
        <v>एक कलारीपयट्टू अभ्यासी अपनी समग्र शक्ति और युद्ध के लिए अनुकूलन को बेहतर बनाने की तकनीकों पर ध्यान केंद्रित कर रहा है। उन्हें किस चीज़ को प्राथमिकता देनी चाहिए?</v>
      </c>
      <c r="H592" s="5" t="str">
        <f>IFERROR(__xludf.DUMMYFUNCTION("GOOGLETRANSLATE(C592, ""en"", ""hi"")"),"ए) उझिचिल, बी) एडवस, सी) वर्मा, डी) चुवाडु")</f>
        <v>ए) उझिचिल, बी) एडवस, सी) वर्मा, डी) चुवाडु</v>
      </c>
      <c r="I592" s="5" t="str">
        <f>IFERROR(__xludf.DUMMYFUNCTION("GOOGLETRANSLATE(D592, ""en"", ""hi"")"),"A) उझिचिल")</f>
        <v>A) उझिचिल</v>
      </c>
    </row>
    <row r="593" ht="22.5" customHeight="1">
      <c r="A593" s="2">
        <v>592.0</v>
      </c>
      <c r="B593" s="3" t="s">
        <v>14476</v>
      </c>
      <c r="C593" s="3" t="s">
        <v>14285</v>
      </c>
      <c r="D593" s="3" t="s">
        <v>14286</v>
      </c>
      <c r="F593" s="5" t="str">
        <f>IFERROR(__xludf.DUMMYFUNCTION("GOOGLETRANSLATE(A593, ""en"", ""hi"")"),"592")</f>
        <v>592</v>
      </c>
      <c r="G593" s="5" t="str">
        <f>IFERROR(__xludf.DUMMYFUNCTION("GOOGLETRANSLATE(B593, ""en"", ""hi"")"),"कलारीपयट्टू में, विभिन्न युद्ध स्थितियों में तलवार के उपयोग में निपुणता प्राप्त करने के लिए कौन सा अभ्यास आवश्यक है?")</f>
        <v>कलारीपयट्टू में, विभिन्न युद्ध स्थितियों में तलवार के उपयोग में निपुणता प्राप्त करने के लिए कौन सा अभ्यास आवश्यक है?</v>
      </c>
      <c r="H593" s="5" t="str">
        <f>IFERROR(__xludf.DUMMYFUNCTION("GOOGLETRANSLATE(C593, ""en"", ""hi"")"),"ए) तलवार तकनीक, बी) वर्मा, सी) एडवस, डी) उझिचिल")</f>
        <v>ए) तलवार तकनीक, बी) वर्मा, सी) एडवस, डी) उझिचिल</v>
      </c>
      <c r="I593" s="5" t="str">
        <f>IFERROR(__xludf.DUMMYFUNCTION("GOOGLETRANSLATE(D593, ""en"", ""hi"")"),"A) तलवार तकनीक")</f>
        <v>A) तलवार तकनीक</v>
      </c>
    </row>
    <row r="594" ht="22.5" customHeight="1">
      <c r="A594" s="2">
        <v>593.0</v>
      </c>
      <c r="B594" s="3" t="s">
        <v>14477</v>
      </c>
      <c r="C594" s="3" t="s">
        <v>14444</v>
      </c>
      <c r="D594" s="3" t="s">
        <v>13932</v>
      </c>
      <c r="F594" s="5" t="str">
        <f>IFERROR(__xludf.DUMMYFUNCTION("GOOGLETRANSLATE(A594, ""en"", ""hi"")"),"593")</f>
        <v>593</v>
      </c>
      <c r="G594" s="5" t="str">
        <f>IFERROR(__xludf.DUMMYFUNCTION("GOOGLETRANSLATE(B594, ""en"", ""hi"")"),"कलारीपयट्टू प्रशिक्षण के दौरान, कौन सी तकनीक युद्ध प्रभावशीलता को बढ़ाने के लिए दबाव बिंदुओं का उपयोग करने पर केंद्रित है?")</f>
        <v>कलारीपयट्टू प्रशिक्षण के दौरान, कौन सी तकनीक युद्ध प्रभावशीलता को बढ़ाने के लिए दबाव बिंदुओं का उपयोग करने पर केंद्रित है?</v>
      </c>
      <c r="H594" s="5" t="str">
        <f>IFERROR(__xludf.DUMMYFUNCTION("GOOGLETRANSLATE(C594, ""en"", ""hi"")"),"ए) मार्मा, बी) वर्मा, सी) एडवस, डी) उझिचिल")</f>
        <v>ए) मार्मा, बी) वर्मा, सी) एडवस, डी) उझिचिल</v>
      </c>
      <c r="I594" s="5" t="str">
        <f>IFERROR(__xludf.DUMMYFUNCTION("GOOGLETRANSLATE(D594, ""en"", ""hi"")"),"A) मर्म")</f>
        <v>A) मर्म</v>
      </c>
    </row>
    <row r="595" ht="22.5" customHeight="1">
      <c r="A595" s="2">
        <v>594.0</v>
      </c>
      <c r="B595" s="3" t="s">
        <v>14382</v>
      </c>
      <c r="C595" s="3" t="s">
        <v>14282</v>
      </c>
      <c r="D595" s="3" t="s">
        <v>14283</v>
      </c>
      <c r="F595" s="5" t="str">
        <f>IFERROR(__xludf.DUMMYFUNCTION("GOOGLETRANSLATE(A595, ""en"", ""hi"")"),"594")</f>
        <v>594</v>
      </c>
      <c r="G595" s="5" t="str">
        <f>IFERROR(__xludf.DUMMYFUNCTION("GOOGLETRANSLATE(B595, ""en"", ""hi"")"),"एक कलारीपयट्टू अभ्यासी युद्ध में गदा को प्रभावी ढंग से चलाने की तकनीक सीख रहा है। वे किस अभ्यास पर ध्यान केंद्रित कर रहे हैं?")</f>
        <v>एक कलारीपयट्टू अभ्यासी युद्ध में गदा को प्रभावी ढंग से चलाने की तकनीक सीख रहा है। वे किस अभ्यास पर ध्यान केंद्रित कर रहे हैं?</v>
      </c>
      <c r="H595" s="5" t="str">
        <f>IFERROR(__xludf.DUMMYFUNCTION("GOOGLETRANSLATE(C595, ""en"", ""hi"")"),"ए) गदा तकनीक, बी) वर्मा, सी) एडवस, डी) उझिचिल")</f>
        <v>ए) गदा तकनीक, बी) वर्मा, सी) एडवस, डी) उझिचिल</v>
      </c>
      <c r="I595" s="5" t="str">
        <f>IFERROR(__xludf.DUMMYFUNCTION("GOOGLETRANSLATE(D595, ""en"", ""hi"")"),"ए) गदा तकनीक")</f>
        <v>ए) गदा तकनीक</v>
      </c>
    </row>
    <row r="596" ht="22.5" customHeight="1">
      <c r="A596" s="2">
        <v>595.0</v>
      </c>
      <c r="B596" s="3" t="s">
        <v>14412</v>
      </c>
      <c r="C596" s="3" t="s">
        <v>14242</v>
      </c>
      <c r="D596" s="3" t="s">
        <v>14243</v>
      </c>
      <c r="F596" s="5" t="str">
        <f>IFERROR(__xludf.DUMMYFUNCTION("GOOGLETRANSLATE(A596, ""en"", ""hi"")"),"595")</f>
        <v>595</v>
      </c>
      <c r="G596" s="5" t="str">
        <f>IFERROR(__xludf.DUMMYFUNCTION("GOOGLETRANSLATE(B596, ""en"", ""hi"")"),"कलारीपयट्टू प्रशिक्षण के दौरान, खंजर से प्रभावी युद्ध कौशल विकसित करने के लिए किस तकनीक को प्राथमिकता दी जानी चाहिए?")</f>
        <v>कलारीपयट्टू प्रशिक्षण के दौरान, खंजर से प्रभावी युद्ध कौशल विकसित करने के लिए किस तकनीक को प्राथमिकता दी जानी चाहिए?</v>
      </c>
      <c r="H596" s="5" t="str">
        <f>IFERROR(__xludf.DUMMYFUNCTION("GOOGLETRANSLATE(C596, ""en"", ""hi"")"),"ए) डैगर तकनीक, बी) वर्मा, सी) एडवस, डी) उझिचिल")</f>
        <v>ए) डैगर तकनीक, बी) वर्मा, सी) एडवस, डी) उझिचिल</v>
      </c>
      <c r="I596" s="5" t="str">
        <f>IFERROR(__xludf.DUMMYFUNCTION("GOOGLETRANSLATE(D596, ""en"", ""hi"")"),"ए) खंजर तकनीक")</f>
        <v>ए) खंजर तकनीक</v>
      </c>
    </row>
    <row r="597" ht="22.5" customHeight="1">
      <c r="A597" s="2">
        <v>596.0</v>
      </c>
      <c r="B597" s="3" t="s">
        <v>14413</v>
      </c>
      <c r="C597" s="3" t="s">
        <v>14251</v>
      </c>
      <c r="D597" s="3" t="s">
        <v>14252</v>
      </c>
      <c r="F597" s="5" t="str">
        <f>IFERROR(__xludf.DUMMYFUNCTION("GOOGLETRANSLATE(A597, ""en"", ""hi"")"),"596")</f>
        <v>596</v>
      </c>
      <c r="G597" s="5" t="str">
        <f>IFERROR(__xludf.DUMMYFUNCTION("GOOGLETRANSLATE(B597, ""en"", ""hi"")"),"कलारीपयट्टू में, कौन सी प्रथा आक्रामक और रक्षात्मक दोनों युद्धाभ्यास करने के लिए एक लंबे हथियार का उपयोग करने पर केंद्रित है?")</f>
        <v>कलारीपयट्टू में, कौन सी प्रथा आक्रामक और रक्षात्मक दोनों युद्धाभ्यास करने के लिए एक लंबे हथियार का उपयोग करने पर केंद्रित है?</v>
      </c>
      <c r="H597" s="5" t="str">
        <f>IFERROR(__xludf.DUMMYFUNCTION("GOOGLETRANSLATE(C597, ""en"", ""hi"")"),"A) लॉन्ग स्टिक तकनीक, B) वर्मा, C) अदावस, D) उझिचिल")</f>
        <v>A) लॉन्ग स्टिक तकनीक, B) वर्मा, C) अदावस, D) उझिचिल</v>
      </c>
      <c r="I597" s="5" t="str">
        <f>IFERROR(__xludf.DUMMYFUNCTION("GOOGLETRANSLATE(D597, ""en"", ""hi"")"),"ए) लंबी छड़ी तकनीक")</f>
        <v>ए) लंबी छड़ी तकनीक</v>
      </c>
    </row>
    <row r="598" ht="22.5" customHeight="1">
      <c r="A598" s="2">
        <v>597.0</v>
      </c>
      <c r="B598" s="3" t="s">
        <v>14414</v>
      </c>
      <c r="C598" s="3" t="s">
        <v>13809</v>
      </c>
      <c r="D598" s="3" t="s">
        <v>13675</v>
      </c>
      <c r="F598" s="5" t="str">
        <f>IFERROR(__xludf.DUMMYFUNCTION("GOOGLETRANSLATE(A598, ""en"", ""hi"")"),"597")</f>
        <v>597</v>
      </c>
      <c r="G598" s="5" t="str">
        <f>IFERROR(__xludf.DUMMYFUNCTION("GOOGLETRANSLATE(B598, ""en"", ""hi"")"),"एक कलारीपयट्टू अभ्यासी अपनी चपलता और तेज़ पैरों की गति बढ़ाने की तकनीकों पर ध्यान केंद्रित कर रहा है। उन्हें किस अभ्यास को प्राथमिकता देनी चाहिए?")</f>
        <v>एक कलारीपयट्टू अभ्यासी अपनी चपलता और तेज़ पैरों की गति बढ़ाने की तकनीकों पर ध्यान केंद्रित कर रहा है। उन्हें किस अभ्यास को प्राथमिकता देनी चाहिए?</v>
      </c>
      <c r="H598" s="5" t="str">
        <f>IFERROR(__xludf.DUMMYFUNCTION("GOOGLETRANSLATE(C598, ""en"", ""hi"")"),"ए) चुवडु, बी) वर्मम, सी) एडवस, डी) उझिचिल")</f>
        <v>ए) चुवडु, बी) वर्मम, सी) एडवस, डी) उझिचिल</v>
      </c>
      <c r="I598" s="5" t="str">
        <f>IFERROR(__xludf.DUMMYFUNCTION("GOOGLETRANSLATE(D598, ""en"", ""hi"")"),"A) चुवाडु")</f>
        <v>A) चुवाडु</v>
      </c>
    </row>
    <row r="599" ht="22.5" customHeight="1">
      <c r="A599" s="2">
        <v>598.0</v>
      </c>
      <c r="B599" s="3" t="s">
        <v>14415</v>
      </c>
      <c r="C599" s="3" t="s">
        <v>14285</v>
      </c>
      <c r="D599" s="3" t="s">
        <v>14286</v>
      </c>
      <c r="F599" s="5" t="str">
        <f>IFERROR(__xludf.DUMMYFUNCTION("GOOGLETRANSLATE(A599, ""en"", ""hi"")"),"598")</f>
        <v>598</v>
      </c>
      <c r="G599" s="5" t="str">
        <f>IFERROR(__xludf.DUMMYFUNCTION("GOOGLETRANSLATE(B599, ""en"", ""hi"")"),"कलारीपयट्टू प्रशिक्षण के दौरान तलवार से सटीक प्रहार करने के लिए किस तकनीक पर जोर दिया जाना चाहिए?")</f>
        <v>कलारीपयट्टू प्रशिक्षण के दौरान तलवार से सटीक प्रहार करने के लिए किस तकनीक पर जोर दिया जाना चाहिए?</v>
      </c>
      <c r="H599" s="5" t="str">
        <f>IFERROR(__xludf.DUMMYFUNCTION("GOOGLETRANSLATE(C599, ""en"", ""hi"")"),"ए) तलवार तकनीक, बी) वर्मा, सी) एडवस, डी) उझिचिल")</f>
        <v>ए) तलवार तकनीक, बी) वर्मा, सी) एडवस, डी) उझिचिल</v>
      </c>
      <c r="I599" s="5" t="str">
        <f>IFERROR(__xludf.DUMMYFUNCTION("GOOGLETRANSLATE(D599, ""en"", ""hi"")"),"A) तलवार तकनीक")</f>
        <v>A) तलवार तकनीक</v>
      </c>
    </row>
  </sheetData>
  <drawing r:id="rId1"/>
  <tableParts count="2">
    <tablePart r:id="rId4"/>
    <tablePart r:id="rId5"/>
  </tableParts>
</worksheet>
</file>